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 updateLinks="never" codeName="ThisWorkbook" showPivotChartFilter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9a8e6080005d5668/"/>
    </mc:Choice>
  </mc:AlternateContent>
  <xr:revisionPtr revIDLastSave="0" documentId="8_{585F4F36-EA84-4ABC-9B3C-2922737F6275}" xr6:coauthVersionLast="47" xr6:coauthVersionMax="47" xr10:uidLastSave="{00000000-0000-0000-0000-000000000000}"/>
  <bookViews>
    <workbookView xWindow="0" yWindow="760" windowWidth="34560" windowHeight="21580" tabRatio="959" firstSheet="8" activeTab="9" xr2:uid="{00000000-000D-0000-FFFF-FFFF00000000}"/>
  </bookViews>
  <sheets>
    <sheet name="FinSnapshot" sheetId="60" r:id="rId1"/>
    <sheet name="Comp" sheetId="161" r:id="rId2"/>
    <sheet name="Financials &amp; Forecast" sheetId="137" r:id="rId3"/>
    <sheet name="M" sheetId="18" r:id="rId4"/>
    <sheet name="TripCompare" sheetId="162" r:id="rId5"/>
    <sheet name="APM-Yearly" sheetId="35" r:id="rId6"/>
    <sheet name="M-Comparison" sheetId="129" r:id="rId7"/>
    <sheet name="Relo" sheetId="136" r:id="rId8"/>
    <sheet name="Monthly" sheetId="141" r:id="rId9"/>
    <sheet name="Jan" sheetId="47" r:id="rId10"/>
    <sheet name="Feb" sheetId="46" r:id="rId11"/>
    <sheet name="Mar" sheetId="45" r:id="rId12"/>
    <sheet name="Apr" sheetId="61" r:id="rId13"/>
    <sheet name="May" sheetId="44" r:id="rId14"/>
    <sheet name="Jul" sheetId="51" r:id="rId15"/>
    <sheet name="Aug" sheetId="52" r:id="rId16"/>
    <sheet name="Sep" sheetId="55" r:id="rId17"/>
    <sheet name="Oct" sheetId="54" r:id="rId18"/>
    <sheet name="Jun" sheetId="50" r:id="rId19"/>
    <sheet name="Nov" sheetId="53" r:id="rId20"/>
    <sheet name="Dec" sheetId="49" r:id="rId21"/>
    <sheet name="Stocks" sheetId="150" r:id="rId22"/>
    <sheet name="CF" sheetId="149" r:id="rId23"/>
    <sheet name="Yearly-PI" sheetId="142" r:id="rId24"/>
    <sheet name="Cars" sheetId="28" r:id="rId25"/>
    <sheet name="EMCDell" sheetId="133" r:id="rId26"/>
    <sheet name="Schools-MA" sheetId="126" r:id="rId27"/>
    <sheet name="Buy Dec I" sheetId="124" r:id="rId28"/>
    <sheet name="Mortgage" sheetId="148" r:id="rId29"/>
    <sheet name="Buy Dec II" sheetId="125" r:id="rId30"/>
    <sheet name="Analysis1" sheetId="163" r:id="rId31"/>
  </sheets>
  <externalReferences>
    <externalReference r:id="rId32"/>
    <externalReference r:id="rId33"/>
  </externalReferences>
  <definedNames>
    <definedName name="_xlnm._FilterDatabase" localSheetId="0" hidden="1">FinSnapshot!$A$1:$A$1319</definedName>
    <definedName name="_xlnm._FilterDatabase" localSheetId="8" hidden="1">Monthly!$A$2:$P$1945</definedName>
    <definedName name="_xlnm._FilterDatabase" localSheetId="19" hidden="1">Nov!$A$3:$CB$97</definedName>
    <definedName name="_xlnm._FilterDatabase" localSheetId="17" hidden="1">Oct!$A$3:$CB$113</definedName>
    <definedName name="A" localSheetId="7">#REF!</definedName>
    <definedName name="A" localSheetId="23">#REF!</definedName>
    <definedName name="A">#REF!</definedName>
    <definedName name="ActualNumberOfPayments">IFERROR(IF(LoanIsGood,IF(PaymentsPerYear=1,1,MATCH(0.01,Mortgage!End_Bal,-1)+1)),"")</definedName>
    <definedName name="B" localSheetId="7">#REF!</definedName>
    <definedName name="B" localSheetId="23">#REF!</definedName>
    <definedName name="B">#REF!</definedName>
    <definedName name="Beg_Bal" localSheetId="7">#REF!</definedName>
    <definedName name="Beg_Bal" localSheetId="23">#REF!</definedName>
    <definedName name="Beg_Bal">#REF!</definedName>
    <definedName name="Categories">OFFSET('[1]Archived Categories Sheet'!$J$7,0,0,COUNTIF('[1]Archived Categories Sheet'!$J$7:$J$44,"&lt;&gt;"&amp;"--"),1)</definedName>
    <definedName name="CategoryIdentifiers">#REF!</definedName>
    <definedName name="CategoryNames">Monthly!$C$9:$C$193</definedName>
    <definedName name="ColumnTitle1">PaymentSchedule[[#Headers],[PMT NO]]</definedName>
    <definedName name="Data" localSheetId="7">#REF!</definedName>
    <definedName name="Data" localSheetId="23">#REF!</definedName>
    <definedName name="Data">#REF!</definedName>
    <definedName name="ddf">#REF!</definedName>
    <definedName name="eb" localSheetId="7">#REF!</definedName>
    <definedName name="eb" localSheetId="23">#REF!</definedName>
    <definedName name="eb">#REF!</definedName>
    <definedName name="End_Bal" localSheetId="28">PaymentSchedule[ENDING BALANCE]</definedName>
    <definedName name="End_Bal" localSheetId="7">#REF!</definedName>
    <definedName name="End_Bal" localSheetId="23">#REF!</definedName>
    <definedName name="End_Bal">#REF!</definedName>
    <definedName name="ep" localSheetId="7">#REF!</definedName>
    <definedName name="ep" localSheetId="23">#REF!</definedName>
    <definedName name="ep">#REF!</definedName>
    <definedName name="Extra_Pay" localSheetId="7">#REF!</definedName>
    <definedName name="Extra_Pay" localSheetId="23">#REF!</definedName>
    <definedName name="Extra_Pay">#REF!</definedName>
    <definedName name="ExtraPayments">Mortgage!$E$8</definedName>
    <definedName name="ff">#REF!</definedName>
    <definedName name="Full_Print" localSheetId="7">#REF!</definedName>
    <definedName name="Full_Print" localSheetId="23">#REF!</definedName>
    <definedName name="Full_Print">#REF!</definedName>
    <definedName name="h" localSheetId="7">IF([2]Fixed!Values_Entered,[2]Fixed!Header_Row+[2]Fixed!Number_of_Payments,[2]Fixed!Header_Row)</definedName>
    <definedName name="h" localSheetId="23">IF([2]Fixed!Values_Entered,[2]Fixed!Header_Row+[2]Fixed!Number_of_Payments,[2]Fixed!Header_Row)</definedName>
    <definedName name="h">IF([2]Fixed!Values_Entered,[2]Fixed!Header_Row+[2]Fixed!Number_of_Payments,[2]Fixed!Header_Row)</definedName>
    <definedName name="Header_Row" localSheetId="7">ROW(#REF!)</definedName>
    <definedName name="Header_Row" localSheetId="23">ROW(#REF!)</definedName>
    <definedName name="Header_Row">ROW(#REF!)</definedName>
    <definedName name="HiddenCategoriesCategoryNames">_xlfn.ANCHORARRAY([1]HiddenCategories!$B$2)</definedName>
    <definedName name="Int" localSheetId="7">#REF!</definedName>
    <definedName name="Int" localSheetId="23">#REF!</definedName>
    <definedName name="Int">#REF!</definedName>
    <definedName name="Interest_Rate" localSheetId="7">#REF!</definedName>
    <definedName name="Interest_Rate" localSheetId="23">#REF!</definedName>
    <definedName name="Interest_Rate">#REF!</definedName>
    <definedName name="InterestRate">Mortgage!$E$3</definedName>
    <definedName name="Last_Row" localSheetId="7">#N/A</definedName>
    <definedName name="Last_Row" localSheetId="23">#N/A</definedName>
    <definedName name="LastCol">MATCH(REPT("z",255),Mortgage!$10:$10)</definedName>
    <definedName name="LastRow">MATCH(9.99E+307,Mortgage!$B:$B)</definedName>
    <definedName name="LenderName">Mortgage!$H$8:$I$8</definedName>
    <definedName name="Loan_Amount" localSheetId="7">#REF!</definedName>
    <definedName name="Loan_Amount" localSheetId="23">#REF!</definedName>
    <definedName name="Loan_Amount">#REF!</definedName>
    <definedName name="Loan_Start" localSheetId="7">#REF!</definedName>
    <definedName name="Loan_Start" localSheetId="23">#REF!</definedName>
    <definedName name="Loan_Start">#REF!</definedName>
    <definedName name="Loan_Years" localSheetId="7">#REF!</definedName>
    <definedName name="Loan_Years" localSheetId="23">#REF!</definedName>
    <definedName name="Loan_Years">#REF!</definedName>
    <definedName name="LoanAmount">Mortgage!$E$2</definedName>
    <definedName name="LoanIsGood">(Mortgage!$E$2*Mortgage!$E$3*Mortgage!$E$4*Mortgage!$E$6)&gt;0</definedName>
    <definedName name="LoanPeriod">Mortgage!$E$4</definedName>
    <definedName name="LoanStartDate">Mortgage!$E$6</definedName>
    <definedName name="Months">OFFSET(#REF!,0,0,COUNTIF(#REF!,"&lt;&gt;"&amp;"--"),1)</definedName>
    <definedName name="Mortagage_Rent">#REF!</definedName>
    <definedName name="Num_Pmt_Per_Year" localSheetId="7">#REF!</definedName>
    <definedName name="Num_Pmt_Per_Year" localSheetId="23">#REF!</definedName>
    <definedName name="Num_Pmt_Per_Year">#REF!</definedName>
    <definedName name="Number_of_Payments">MATCH(0.01,End_Bal,-1)+1</definedName>
    <definedName name="Pay_Date" localSheetId="7">#REF!</definedName>
    <definedName name="Pay_Date" localSheetId="23">#REF!</definedName>
    <definedName name="Pay_Date">#REF!</definedName>
    <definedName name="Pay_Num" localSheetId="7">#REF!</definedName>
    <definedName name="Pay_Num" localSheetId="23">#REF!</definedName>
    <definedName name="Pay_Num">#REF!</definedName>
    <definedName name="Payment_Date">DATE(YEAR(Loan_Start),MONTH(Loan_Start)+Payment_Number,DAY(Loan_Start))</definedName>
    <definedName name="PaymentsPerYear">Mortgage!$E$5</definedName>
    <definedName name="Princ" localSheetId="7">#REF!</definedName>
    <definedName name="Princ" localSheetId="23">#REF!</definedName>
    <definedName name="Princ">#REF!</definedName>
    <definedName name="Print_Area_Reset">OFFSET(Full_Print,0,0,Last_Row)</definedName>
    <definedName name="_xlnm.Print_Titles" localSheetId="28">Mortgage!$10:$10</definedName>
    <definedName name="PrintArea_SET">OFFSET(Mortgage!#REF!,,,LastRow,LastCol)</definedName>
    <definedName name="RowTitleRegion1..E9">Mortgage!$C$2:$D$2</definedName>
    <definedName name="RowTitleRegion2..I7">Mortgage!$G$2:$H$2</definedName>
    <definedName name="RowTitleRegion3..E9">Mortgage!$C$8</definedName>
    <definedName name="RowTitleRegion4..H9">Mortgage!$G$8</definedName>
    <definedName name="Sched_Pay" localSheetId="7">#REF!</definedName>
    <definedName name="Sched_Pay" localSheetId="23">#REF!</definedName>
    <definedName name="Sched_Pay">#REF!</definedName>
    <definedName name="Scheduled_Extra_Payments" localSheetId="7">#REF!</definedName>
    <definedName name="Scheduled_Extra_Payments" localSheetId="23">#REF!</definedName>
    <definedName name="Scheduled_Extra_Payments">#REF!</definedName>
    <definedName name="Scheduled_Interest_Rate" localSheetId="7">#REF!</definedName>
    <definedName name="Scheduled_Interest_Rate" localSheetId="23">#REF!</definedName>
    <definedName name="Scheduled_Interest_Rate">#REF!</definedName>
    <definedName name="Scheduled_Monthly_Payment" localSheetId="7">#REF!</definedName>
    <definedName name="Scheduled_Monthly_Payment" localSheetId="23">#REF!</definedName>
    <definedName name="Scheduled_Monthly_Payment">#REF!</definedName>
    <definedName name="ScheduledNumberOfPayments">Mortgage!$I$3</definedName>
    <definedName name="ScheduledPayment">Mortgage!$I$2</definedName>
    <definedName name="snapshot_month">#REF!</definedName>
    <definedName name="SubcategoryNames">#REF!</definedName>
    <definedName name="Total_Interest" localSheetId="7">#REF!</definedName>
    <definedName name="Total_Interest" localSheetId="23">#REF!</definedName>
    <definedName name="Total_Interest">#REF!</definedName>
    <definedName name="Total_Pay" localSheetId="7">#REF!</definedName>
    <definedName name="Total_Pay" localSheetId="23">#REF!</definedName>
    <definedName name="Total_Pay">#REF!</definedName>
    <definedName name="Total_Payment" localSheetId="7">Scheduled_Payment+Extra_Payment</definedName>
    <definedName name="Total_Payment" localSheetId="23">Scheduled_Payment+Extra_Payment</definedName>
    <definedName name="Total_Payment">Scheduled_Payment+Extra_Payment</definedName>
    <definedName name="TotalEarlyPayments">SUM(PaymentSchedule[EXTRA PAYMENT])</definedName>
    <definedName name="TotalInterest">SUM(PaymentSchedule[INTEREST])</definedName>
    <definedName name="tp" localSheetId="7">Scheduled_Payment+Extra_Payment</definedName>
    <definedName name="tp" localSheetId="23">Scheduled_Payment+Extra_Payment</definedName>
    <definedName name="tp">Scheduled_Payment+Extra_Payment</definedName>
    <definedName name="tpl" localSheetId="7">Scheduled_Payment+Extra_Payment</definedName>
    <definedName name="tpl" localSheetId="23">Scheduled_Payment+Extra_Payment</definedName>
    <definedName name="tpl">Scheduled_Payment+Extra_Payment</definedName>
    <definedName name="Values_Entered">IF(Loan_Amount*Interest_Rate*Loan_Years*Loan_Start&gt;0,1,0)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35" l="1"/>
  <c r="Z93" i="35"/>
  <c r="Y93" i="35"/>
  <c r="X93" i="35"/>
  <c r="W93" i="35"/>
  <c r="V93" i="35"/>
  <c r="U93" i="35"/>
  <c r="T93" i="35"/>
  <c r="S93" i="35"/>
  <c r="R93" i="35"/>
  <c r="Q93" i="35"/>
  <c r="P93" i="35"/>
  <c r="O93" i="35"/>
  <c r="N93" i="35"/>
  <c r="M93" i="35"/>
  <c r="L93" i="35"/>
  <c r="K93" i="35"/>
  <c r="J93" i="35"/>
  <c r="I93" i="35"/>
  <c r="H93" i="35"/>
  <c r="G93" i="35"/>
  <c r="F93" i="35"/>
  <c r="E93" i="35"/>
  <c r="D93" i="35"/>
  <c r="C93" i="35"/>
  <c r="C74" i="35"/>
  <c r="S12" i="162"/>
  <c r="S11" i="162"/>
  <c r="S14" i="162" s="1"/>
  <c r="S15" i="162" s="1"/>
  <c r="CQ18" i="162" a="1"/>
  <c r="CQ18" i="162"/>
  <c r="CQ160" i="52"/>
  <c r="CQ159" i="52"/>
  <c r="CQ158" i="52"/>
  <c r="CQ157" i="52"/>
  <c r="CQ156" i="52"/>
  <c r="CQ155" i="52"/>
  <c r="CQ154" i="52"/>
  <c r="CQ153" i="52"/>
  <c r="CQ152" i="52"/>
  <c r="CQ151" i="52"/>
  <c r="CQ150" i="52"/>
  <c r="CQ149" i="52"/>
  <c r="CQ148" i="52"/>
  <c r="CQ147" i="52"/>
  <c r="CQ146" i="52"/>
  <c r="CQ145" i="52"/>
  <c r="CQ144" i="52"/>
  <c r="CQ143" i="52"/>
  <c r="CQ142" i="52"/>
  <c r="CQ141" i="52"/>
  <c r="CQ140" i="52"/>
  <c r="CQ139" i="52"/>
  <c r="CQ138" i="52"/>
  <c r="CQ137" i="52"/>
  <c r="CQ136" i="52"/>
  <c r="CQ135" i="52"/>
  <c r="CQ134" i="52"/>
  <c r="CQ133" i="52"/>
  <c r="CQ132" i="52"/>
  <c r="CQ131" i="52"/>
  <c r="CQ130" i="52"/>
  <c r="CQ129" i="52"/>
  <c r="CQ128" i="52"/>
  <c r="CQ127" i="52"/>
  <c r="CQ126" i="52"/>
  <c r="CQ125" i="52"/>
  <c r="CQ124" i="52"/>
  <c r="CQ123" i="52"/>
  <c r="CQ122" i="52"/>
  <c r="CQ121" i="52"/>
  <c r="CQ120" i="52"/>
  <c r="CQ119" i="52"/>
  <c r="CQ118" i="52"/>
  <c r="CQ117" i="52"/>
  <c r="CQ116" i="52"/>
  <c r="CQ115" i="52"/>
  <c r="CQ114" i="52"/>
  <c r="CQ113" i="52"/>
  <c r="CQ112" i="52"/>
  <c r="CQ111" i="52"/>
  <c r="CQ110" i="52"/>
  <c r="CQ109" i="52"/>
  <c r="CQ108" i="52"/>
  <c r="CQ107" i="52"/>
  <c r="CQ106" i="52"/>
  <c r="CQ105" i="52"/>
  <c r="CQ104" i="52"/>
  <c r="CQ103" i="52"/>
  <c r="CQ102" i="52"/>
  <c r="CQ101" i="52"/>
  <c r="CQ100" i="52"/>
  <c r="CQ99" i="52"/>
  <c r="CQ98" i="52"/>
  <c r="CQ97" i="52"/>
  <c r="CQ96" i="52"/>
  <c r="CQ95" i="52"/>
  <c r="CQ94" i="52"/>
  <c r="CQ93" i="52"/>
  <c r="CQ92" i="52"/>
  <c r="CQ91" i="52"/>
  <c r="CQ90" i="52"/>
  <c r="CQ89" i="52"/>
  <c r="CQ88" i="52"/>
  <c r="CQ87" i="52"/>
  <c r="CQ86" i="52"/>
  <c r="CQ85" i="52"/>
  <c r="CQ84" i="52"/>
  <c r="CQ83" i="52"/>
  <c r="CQ82" i="52"/>
  <c r="CQ81" i="52"/>
  <c r="CQ80" i="52"/>
  <c r="CQ79" i="52"/>
  <c r="CQ78" i="52"/>
  <c r="CQ77" i="52"/>
  <c r="CQ76" i="52"/>
  <c r="CQ75" i="52"/>
  <c r="CQ74" i="52"/>
  <c r="CQ73" i="52"/>
  <c r="CQ72" i="52"/>
  <c r="CQ13" i="52"/>
  <c r="CR110" i="51"/>
  <c r="CQ110" i="51"/>
  <c r="CQ112" i="51" s="1"/>
  <c r="CV142" i="50"/>
  <c r="CU142" i="50"/>
  <c r="CU144" i="50" s="1"/>
  <c r="CQ142" i="50"/>
  <c r="CQ189" i="61"/>
  <c r="CQ188" i="61"/>
  <c r="CQ187" i="61"/>
  <c r="CQ186" i="61"/>
  <c r="CQ185" i="61"/>
  <c r="CQ184" i="61"/>
  <c r="CQ183" i="61"/>
  <c r="CQ182" i="61"/>
  <c r="CQ181" i="61"/>
  <c r="CQ180" i="61"/>
  <c r="CQ179" i="61"/>
  <c r="CQ178" i="61"/>
  <c r="CQ177" i="61"/>
  <c r="CQ176" i="61"/>
  <c r="CQ175" i="61"/>
  <c r="CQ174" i="61"/>
  <c r="CQ173" i="61"/>
  <c r="CQ172" i="61"/>
  <c r="CQ171" i="61"/>
  <c r="CQ169" i="61"/>
  <c r="CQ168" i="61"/>
  <c r="CQ167" i="61"/>
  <c r="CQ166" i="61"/>
  <c r="CQ165" i="61"/>
  <c r="CQ164" i="61"/>
  <c r="CQ163" i="61"/>
  <c r="CQ162" i="61"/>
  <c r="CQ161" i="61"/>
  <c r="CQ160" i="61"/>
  <c r="CQ159" i="61"/>
  <c r="CQ158" i="61"/>
  <c r="CQ157" i="61"/>
  <c r="CQ156" i="61"/>
  <c r="CQ155" i="61"/>
  <c r="CQ154" i="61"/>
  <c r="CQ153" i="61"/>
  <c r="CQ152" i="61"/>
  <c r="CQ151" i="61"/>
  <c r="CQ150" i="61"/>
  <c r="CQ149" i="61"/>
  <c r="CQ148" i="61"/>
  <c r="CQ147" i="61"/>
  <c r="CQ146" i="61"/>
  <c r="CQ145" i="61"/>
  <c r="CQ144" i="61"/>
  <c r="CQ143" i="61"/>
  <c r="CQ142" i="61"/>
  <c r="CQ141" i="61"/>
  <c r="CQ140" i="61"/>
  <c r="CS146" i="61"/>
  <c r="CQ170" i="61" s="1"/>
  <c r="CI127" i="61"/>
  <c r="CJ127" i="61"/>
  <c r="CM128" i="61"/>
  <c r="CN128" i="61"/>
  <c r="CI129" i="61"/>
  <c r="T171" i="141"/>
  <c r="U170" i="141"/>
  <c r="T170" i="141"/>
  <c r="S166" i="141"/>
  <c r="L188" i="141"/>
  <c r="L187" i="141"/>
  <c r="L184" i="141"/>
  <c r="L183" i="141"/>
  <c r="L182" i="141"/>
  <c r="L181" i="141"/>
  <c r="K181" i="141"/>
  <c r="CR107" i="45"/>
  <c r="CQ107" i="45"/>
  <c r="CQ109" i="45" s="1"/>
  <c r="CM76" i="49"/>
  <c r="X19" i="60"/>
  <c r="CM84" i="53"/>
  <c r="CM18" i="53"/>
  <c r="CM17" i="53"/>
  <c r="CM16" i="53"/>
  <c r="CM15" i="53"/>
  <c r="CM11" i="53"/>
  <c r="CN131" i="54"/>
  <c r="CM120" i="54"/>
  <c r="CM122" i="54"/>
  <c r="D170" i="141"/>
  <c r="C170" i="141"/>
  <c r="CN102" i="55"/>
  <c r="CM102" i="55"/>
  <c r="P13" i="162"/>
  <c r="Q13" i="162"/>
  <c r="CM19" i="52"/>
  <c r="CM18" i="52"/>
  <c r="CM14" i="52"/>
  <c r="CM13" i="52"/>
  <c r="O13" i="162"/>
  <c r="O12" i="162"/>
  <c r="O11" i="162"/>
  <c r="O10" i="162"/>
  <c r="CM20" i="51"/>
  <c r="CM18" i="51"/>
  <c r="CM14" i="51"/>
  <c r="CM12" i="51"/>
  <c r="CM22" i="51"/>
  <c r="CM16" i="51"/>
  <c r="CM15" i="51"/>
  <c r="O8" i="162"/>
  <c r="CM11" i="51"/>
  <c r="CM9" i="51"/>
  <c r="R14" i="162"/>
  <c r="R15" i="162"/>
  <c r="CM110" i="51"/>
  <c r="P11" i="162"/>
  <c r="N8" i="162"/>
  <c r="P9" i="162"/>
  <c r="E24" i="162" s="1"/>
  <c r="Q14" i="162"/>
  <c r="Q15" i="162"/>
  <c r="O14" i="162"/>
  <c r="O15" i="162"/>
  <c r="CM20" i="50"/>
  <c r="N11" i="162"/>
  <c r="E26" i="162" s="1"/>
  <c r="CM23" i="50"/>
  <c r="CM28" i="50"/>
  <c r="CM24" i="50"/>
  <c r="CM16" i="50"/>
  <c r="CM26" i="50"/>
  <c r="CM22" i="50"/>
  <c r="CM21" i="50"/>
  <c r="CM24" i="52"/>
  <c r="P12" i="162"/>
  <c r="E27" i="162" s="1"/>
  <c r="P10" i="162"/>
  <c r="CN101" i="44"/>
  <c r="CM101" i="44"/>
  <c r="CM103" i="44"/>
  <c r="X52" i="60"/>
  <c r="W52" i="60"/>
  <c r="V52" i="60"/>
  <c r="U52" i="60"/>
  <c r="W49" i="60"/>
  <c r="W46" i="60"/>
  <c r="W119" i="60"/>
  <c r="W116" i="60"/>
  <c r="W91" i="60"/>
  <c r="W85" i="60"/>
  <c r="W81" i="60"/>
  <c r="W80" i="60"/>
  <c r="W60" i="60"/>
  <c r="W47" i="60"/>
  <c r="W44" i="60"/>
  <c r="W34" i="60"/>
  <c r="W32" i="60"/>
  <c r="W31" i="60"/>
  <c r="W24" i="60"/>
  <c r="W21" i="60"/>
  <c r="W134" i="60"/>
  <c r="W19" i="60"/>
  <c r="W13" i="60"/>
  <c r="W11" i="60"/>
  <c r="W10" i="60"/>
  <c r="N165" i="141"/>
  <c r="M165" i="141"/>
  <c r="L165" i="141"/>
  <c r="K165" i="141"/>
  <c r="J165" i="141"/>
  <c r="I165" i="141"/>
  <c r="H165" i="141"/>
  <c r="G165" i="141"/>
  <c r="F165" i="141"/>
  <c r="E165" i="141"/>
  <c r="D165" i="141"/>
  <c r="C165" i="141"/>
  <c r="D207" i="141"/>
  <c r="D205" i="141"/>
  <c r="D204" i="141"/>
  <c r="D203" i="141"/>
  <c r="D202" i="141"/>
  <c r="D201" i="141"/>
  <c r="D211" i="141"/>
  <c r="D210" i="141"/>
  <c r="C211" i="141"/>
  <c r="C181" i="141"/>
  <c r="G184" i="141"/>
  <c r="D184" i="141"/>
  <c r="C184" i="141"/>
  <c r="G183" i="141"/>
  <c r="D183" i="141"/>
  <c r="C183" i="141"/>
  <c r="G182" i="141"/>
  <c r="D182" i="141"/>
  <c r="C182" i="141"/>
  <c r="G181" i="141"/>
  <c r="F181" i="141"/>
  <c r="D181" i="141"/>
  <c r="G188" i="141"/>
  <c r="F188" i="141"/>
  <c r="D188" i="141"/>
  <c r="C188" i="141"/>
  <c r="G187" i="141"/>
  <c r="F187" i="141"/>
  <c r="D187" i="141"/>
  <c r="C187" i="141"/>
  <c r="D300" i="141"/>
  <c r="C300" i="141"/>
  <c r="D296" i="141"/>
  <c r="C296" i="141"/>
  <c r="C215" i="141"/>
  <c r="C207" i="141"/>
  <c r="C205" i="141"/>
  <c r="C204" i="141"/>
  <c r="C203" i="141"/>
  <c r="C202" i="141"/>
  <c r="C201" i="141"/>
  <c r="C210" i="141"/>
  <c r="N174" i="141"/>
  <c r="M174" i="141"/>
  <c r="L174" i="141"/>
  <c r="K174" i="141"/>
  <c r="J174" i="141"/>
  <c r="I174" i="141"/>
  <c r="H174" i="141"/>
  <c r="G174" i="141"/>
  <c r="F174" i="141"/>
  <c r="E174" i="141"/>
  <c r="D174" i="141"/>
  <c r="C174" i="141"/>
  <c r="CN107" i="45"/>
  <c r="CM107" i="45"/>
  <c r="CM109" i="45"/>
  <c r="D24" i="162"/>
  <c r="D21" i="162"/>
  <c r="D20" i="162"/>
  <c r="C24" i="162"/>
  <c r="C21" i="162"/>
  <c r="C20" i="162"/>
  <c r="B27" i="162"/>
  <c r="B26" i="162"/>
  <c r="B25" i="162"/>
  <c r="B23" i="162"/>
  <c r="B21" i="162"/>
  <c r="B20" i="162"/>
  <c r="V42" i="60"/>
  <c r="W43" i="60" s="1"/>
  <c r="X32" i="60"/>
  <c r="X34" i="60"/>
  <c r="X31" i="60"/>
  <c r="M12" i="162"/>
  <c r="M10" i="162"/>
  <c r="M7" i="162"/>
  <c r="CJ107" i="49"/>
  <c r="CJ104" i="49"/>
  <c r="CJ103" i="49"/>
  <c r="CJ102" i="49"/>
  <c r="CI107" i="49"/>
  <c r="M8" i="162" s="1"/>
  <c r="CJ106" i="49"/>
  <c r="CI106" i="49"/>
  <c r="M11" i="162" s="1"/>
  <c r="CJ105" i="49"/>
  <c r="CI102" i="49"/>
  <c r="CJ118" i="49"/>
  <c r="CI118" i="49"/>
  <c r="CI120" i="49"/>
  <c r="CI15" i="53"/>
  <c r="L11" i="162"/>
  <c r="L8" i="162"/>
  <c r="L10" i="162"/>
  <c r="CI18" i="53"/>
  <c r="CI17" i="53"/>
  <c r="L12" i="162"/>
  <c r="CI16" i="53"/>
  <c r="N295" i="141"/>
  <c r="N292" i="141"/>
  <c r="N291" i="141"/>
  <c r="N290" i="141"/>
  <c r="N288" i="141"/>
  <c r="N287" i="141"/>
  <c r="N284" i="141"/>
  <c r="N283" i="141"/>
  <c r="N282" i="141"/>
  <c r="N281" i="141"/>
  <c r="N280" i="141"/>
  <c r="N279" i="141"/>
  <c r="N278" i="141"/>
  <c r="N265" i="141"/>
  <c r="N264" i="141"/>
  <c r="N261" i="141"/>
  <c r="N260" i="141"/>
  <c r="N259" i="141"/>
  <c r="N258" i="141"/>
  <c r="N255" i="141"/>
  <c r="N254" i="141"/>
  <c r="CJ129" i="54"/>
  <c r="CI129" i="54"/>
  <c r="D292" i="141"/>
  <c r="D291" i="141"/>
  <c r="D290" i="141"/>
  <c r="D288" i="141"/>
  <c r="D287" i="141"/>
  <c r="C292" i="141"/>
  <c r="C291" i="141"/>
  <c r="C290" i="141"/>
  <c r="C288" i="141"/>
  <c r="C287" i="141"/>
  <c r="N285" i="141"/>
  <c r="CJ100" i="55"/>
  <c r="CI100" i="55"/>
  <c r="CM17" i="50"/>
  <c r="N10" i="162"/>
  <c r="E25" i="162" s="1"/>
  <c r="CI16" i="52"/>
  <c r="K8" i="162"/>
  <c r="CI22" i="52"/>
  <c r="CI20" i="52"/>
  <c r="CI18" i="52"/>
  <c r="CI19" i="52"/>
  <c r="CI82" i="50"/>
  <c r="J12" i="162"/>
  <c r="J13" i="162"/>
  <c r="CI84" i="50"/>
  <c r="J8" i="162"/>
  <c r="CI81" i="50"/>
  <c r="CI80" i="50"/>
  <c r="J11" i="162"/>
  <c r="D26" i="162"/>
  <c r="CI79" i="50"/>
  <c r="J10" i="162"/>
  <c r="CI13" i="52"/>
  <c r="CI26" i="52"/>
  <c r="CI11" i="52"/>
  <c r="CJ110" i="51"/>
  <c r="CI110" i="51"/>
  <c r="I14" i="162"/>
  <c r="I15" i="162"/>
  <c r="CJ137" i="50"/>
  <c r="CJ101" i="44"/>
  <c r="CI101" i="44"/>
  <c r="W28" i="18"/>
  <c r="W26" i="18"/>
  <c r="F275" i="141"/>
  <c r="E46" i="161"/>
  <c r="E47" i="161"/>
  <c r="H10" i="162"/>
  <c r="CJ91" i="45"/>
  <c r="CI91" i="45"/>
  <c r="CI93" i="45"/>
  <c r="H8" i="162"/>
  <c r="CI51" i="46"/>
  <c r="D258" i="141"/>
  <c r="CI50" i="46"/>
  <c r="D295" i="141"/>
  <c r="D284" i="141"/>
  <c r="D282" i="141"/>
  <c r="D281" i="141"/>
  <c r="D280" i="141"/>
  <c r="D279" i="141"/>
  <c r="D278" i="141"/>
  <c r="D265" i="141"/>
  <c r="D264" i="141"/>
  <c r="D261" i="141"/>
  <c r="D260" i="141"/>
  <c r="D259" i="141"/>
  <c r="D255" i="141"/>
  <c r="D254" i="141"/>
  <c r="D247" i="141"/>
  <c r="J254" i="141"/>
  <c r="C282" i="141"/>
  <c r="C281" i="141"/>
  <c r="C280" i="141"/>
  <c r="C279" i="141"/>
  <c r="C278" i="141"/>
  <c r="C247" i="141"/>
  <c r="C261" i="141"/>
  <c r="C258" i="141"/>
  <c r="C255" i="141"/>
  <c r="C254" i="141"/>
  <c r="C253" i="141"/>
  <c r="C295" i="141"/>
  <c r="C265" i="141"/>
  <c r="C264" i="141"/>
  <c r="H14" i="162"/>
  <c r="H15" i="162"/>
  <c r="K14" i="162"/>
  <c r="K15" i="162"/>
  <c r="G14" i="162"/>
  <c r="V46" i="60"/>
  <c r="V23" i="18"/>
  <c r="V68" i="129"/>
  <c r="V64" i="129"/>
  <c r="W70" i="129"/>
  <c r="T70" i="129"/>
  <c r="S70" i="129"/>
  <c r="U64" i="129"/>
  <c r="U61" i="129"/>
  <c r="W55" i="129"/>
  <c r="T55" i="129"/>
  <c r="S55" i="129"/>
  <c r="R55" i="129"/>
  <c r="W46" i="129"/>
  <c r="T46" i="129"/>
  <c r="S46" i="129"/>
  <c r="R46" i="129"/>
  <c r="W36" i="129"/>
  <c r="T36" i="129"/>
  <c r="S36" i="129"/>
  <c r="R36" i="129"/>
  <c r="W32" i="129"/>
  <c r="T32" i="129"/>
  <c r="S32" i="129"/>
  <c r="R32" i="129"/>
  <c r="W26" i="129"/>
  <c r="T26" i="129"/>
  <c r="S26" i="129"/>
  <c r="R26" i="129"/>
  <c r="W18" i="129"/>
  <c r="T18" i="129"/>
  <c r="S18" i="129"/>
  <c r="R18" i="129"/>
  <c r="W4" i="129"/>
  <c r="W74" i="129"/>
  <c r="T4" i="129"/>
  <c r="T74" i="129"/>
  <c r="S4" i="129"/>
  <c r="R4" i="129"/>
  <c r="B14" i="162"/>
  <c r="C14" i="162"/>
  <c r="C15" i="162"/>
  <c r="D14" i="162"/>
  <c r="E14" i="162"/>
  <c r="E15" i="162"/>
  <c r="CI12" i="47"/>
  <c r="CI13" i="47"/>
  <c r="CI22" i="47"/>
  <c r="N242" i="141"/>
  <c r="M242" i="141"/>
  <c r="L242" i="141"/>
  <c r="K242" i="141"/>
  <c r="J242" i="141"/>
  <c r="I242" i="141"/>
  <c r="H242" i="141"/>
  <c r="G242" i="141"/>
  <c r="F242" i="141"/>
  <c r="E242" i="141"/>
  <c r="D242" i="141"/>
  <c r="C242" i="141"/>
  <c r="CF118" i="49"/>
  <c r="N380" i="141"/>
  <c r="CE118" i="49"/>
  <c r="D331" i="141"/>
  <c r="C331" i="141"/>
  <c r="CF100" i="53"/>
  <c r="CE100" i="53"/>
  <c r="CF128" i="54"/>
  <c r="CE128" i="54"/>
  <c r="CF100" i="55"/>
  <c r="K331" i="141"/>
  <c r="CE100" i="55"/>
  <c r="D14" i="161"/>
  <c r="D13" i="161"/>
  <c r="C11" i="161"/>
  <c r="C14" i="161"/>
  <c r="C13" i="161"/>
  <c r="E10" i="161"/>
  <c r="E9" i="161"/>
  <c r="D11" i="161"/>
  <c r="F5" i="161"/>
  <c r="E5" i="161"/>
  <c r="D6" i="161"/>
  <c r="C6" i="161"/>
  <c r="E4" i="161"/>
  <c r="F4" i="161"/>
  <c r="CF14" i="52"/>
  <c r="CE11" i="52"/>
  <c r="CF13" i="52"/>
  <c r="CE29" i="52"/>
  <c r="CE30" i="52"/>
  <c r="CE25" i="52"/>
  <c r="N387" i="141"/>
  <c r="U73" i="129"/>
  <c r="M387" i="141"/>
  <c r="L387" i="141"/>
  <c r="K387" i="141"/>
  <c r="J387" i="141"/>
  <c r="H387" i="141"/>
  <c r="G387" i="141"/>
  <c r="F387" i="141"/>
  <c r="E387" i="141"/>
  <c r="D387" i="141"/>
  <c r="C387" i="141"/>
  <c r="I387" i="141"/>
  <c r="CE28" i="52"/>
  <c r="CE26" i="52"/>
  <c r="CE24" i="52"/>
  <c r="CE32" i="52"/>
  <c r="F13" i="162"/>
  <c r="C28" i="162"/>
  <c r="CE15" i="52"/>
  <c r="CE51" i="52"/>
  <c r="CE22" i="52"/>
  <c r="CE50" i="52"/>
  <c r="CE21" i="52"/>
  <c r="CE49" i="52"/>
  <c r="CE20" i="52"/>
  <c r="F350" i="141"/>
  <c r="CE82" i="50"/>
  <c r="H336" i="141"/>
  <c r="CF128" i="50"/>
  <c r="H331" i="141"/>
  <c r="CE14" i="50"/>
  <c r="CF110" i="51"/>
  <c r="I331" i="141"/>
  <c r="CE110" i="51"/>
  <c r="CF100" i="44"/>
  <c r="G372" i="141"/>
  <c r="CE100" i="44"/>
  <c r="CE7" i="61"/>
  <c r="CE94" i="61"/>
  <c r="CF94" i="61"/>
  <c r="F380" i="141"/>
  <c r="AM111" i="60"/>
  <c r="AM108" i="60"/>
  <c r="AK108" i="60"/>
  <c r="U59" i="60"/>
  <c r="AK107" i="60"/>
  <c r="AN107" i="60"/>
  <c r="AJ107" i="60"/>
  <c r="D380" i="141"/>
  <c r="D376" i="141"/>
  <c r="D375" i="141"/>
  <c r="D374" i="141"/>
  <c r="D372" i="141"/>
  <c r="D371" i="141"/>
  <c r="D368" i="141"/>
  <c r="D366" i="141"/>
  <c r="D365" i="141"/>
  <c r="D364" i="141"/>
  <c r="D363" i="141"/>
  <c r="D362" i="141"/>
  <c r="D349" i="141"/>
  <c r="D348" i="141"/>
  <c r="D345" i="141"/>
  <c r="D344" i="141"/>
  <c r="D343" i="141"/>
  <c r="D342" i="141"/>
  <c r="CE8" i="45"/>
  <c r="CE91" i="45"/>
  <c r="CE93" i="45"/>
  <c r="CF91" i="45"/>
  <c r="E374" i="141"/>
  <c r="CE10" i="46"/>
  <c r="D379" i="141"/>
  <c r="C376" i="141"/>
  <c r="C375" i="141"/>
  <c r="C374" i="141"/>
  <c r="C372" i="141"/>
  <c r="C371" i="141"/>
  <c r="C380" i="141"/>
  <c r="C379" i="141"/>
  <c r="C368" i="141"/>
  <c r="C366" i="141"/>
  <c r="C365" i="141"/>
  <c r="C364" i="141"/>
  <c r="C363" i="141"/>
  <c r="C362" i="141"/>
  <c r="C349" i="141"/>
  <c r="C348" i="141"/>
  <c r="C345" i="141"/>
  <c r="C344" i="141"/>
  <c r="C343" i="141"/>
  <c r="C342" i="141"/>
  <c r="U34" i="60"/>
  <c r="U32" i="60"/>
  <c r="U24" i="60"/>
  <c r="U21" i="60"/>
  <c r="U19" i="60"/>
  <c r="U13" i="60"/>
  <c r="V25" i="60"/>
  <c r="V24" i="60"/>
  <c r="AB19" i="60"/>
  <c r="AB13" i="60"/>
  <c r="AB24" i="60"/>
  <c r="O385" i="141"/>
  <c r="N326" i="141"/>
  <c r="M326" i="141"/>
  <c r="L326" i="141"/>
  <c r="K326" i="141"/>
  <c r="J326" i="141"/>
  <c r="I326" i="141"/>
  <c r="H326" i="141"/>
  <c r="G326" i="141"/>
  <c r="F326" i="141"/>
  <c r="E326" i="141"/>
  <c r="D326" i="141"/>
  <c r="C326" i="141"/>
  <c r="L441" i="141"/>
  <c r="CB118" i="49"/>
  <c r="N468" i="141"/>
  <c r="CA118" i="49"/>
  <c r="V28" i="18"/>
  <c r="CB100" i="53"/>
  <c r="M468" i="141"/>
  <c r="CA100" i="53"/>
  <c r="CA111" i="54"/>
  <c r="CB111" i="54"/>
  <c r="L468" i="141"/>
  <c r="N420" i="141"/>
  <c r="N417" i="141"/>
  <c r="M420" i="141"/>
  <c r="M417" i="141"/>
  <c r="L420" i="141"/>
  <c r="L417" i="141"/>
  <c r="K420" i="141"/>
  <c r="K417" i="141"/>
  <c r="J420" i="141"/>
  <c r="J417" i="141"/>
  <c r="CB100" i="55"/>
  <c r="K448" i="141"/>
  <c r="CA100" i="55"/>
  <c r="CA8" i="52"/>
  <c r="CA99" i="52"/>
  <c r="CB99" i="52"/>
  <c r="J450" i="141"/>
  <c r="Q53" i="60"/>
  <c r="Q59" i="60"/>
  <c r="X112" i="60"/>
  <c r="B34" i="18"/>
  <c r="I1868" i="141"/>
  <c r="I1882" i="141"/>
  <c r="I1890" i="141"/>
  <c r="I1896" i="141"/>
  <c r="I1900" i="141"/>
  <c r="I1910" i="141"/>
  <c r="I1919" i="141"/>
  <c r="I1925" i="141"/>
  <c r="I1927" i="141"/>
  <c r="I1929" i="141"/>
  <c r="I1934" i="141"/>
  <c r="J1868" i="141"/>
  <c r="J1882" i="141"/>
  <c r="J1890" i="141"/>
  <c r="J1896" i="141"/>
  <c r="J1900" i="141"/>
  <c r="J1910" i="141"/>
  <c r="J1919" i="141"/>
  <c r="J1925" i="141"/>
  <c r="J1927" i="141"/>
  <c r="J1929" i="141"/>
  <c r="J1934" i="141"/>
  <c r="K1868" i="141"/>
  <c r="K1882" i="141"/>
  <c r="K1890" i="141"/>
  <c r="K1896" i="141"/>
  <c r="K1900" i="141"/>
  <c r="K1910" i="141"/>
  <c r="K1919" i="141"/>
  <c r="K1925" i="141"/>
  <c r="K1927" i="141"/>
  <c r="K1929" i="141"/>
  <c r="K1934" i="141"/>
  <c r="L1868" i="141"/>
  <c r="L1882" i="141"/>
  <c r="L1890" i="141"/>
  <c r="L1896" i="141"/>
  <c r="L1900" i="141"/>
  <c r="L1910" i="141"/>
  <c r="L1919" i="141"/>
  <c r="L1925" i="141"/>
  <c r="L1927" i="141"/>
  <c r="L1929" i="141"/>
  <c r="L1934" i="141"/>
  <c r="M1868" i="141"/>
  <c r="M1882" i="141"/>
  <c r="M1890" i="141"/>
  <c r="M1896" i="141"/>
  <c r="M1900" i="141"/>
  <c r="M1910" i="141"/>
  <c r="M1919" i="141"/>
  <c r="M1925" i="141"/>
  <c r="M1927" i="141"/>
  <c r="M1929" i="141"/>
  <c r="M1934" i="141"/>
  <c r="N1868" i="141"/>
  <c r="N1882" i="141"/>
  <c r="N1890" i="141"/>
  <c r="N1896" i="141"/>
  <c r="N1900" i="141"/>
  <c r="N1910" i="141"/>
  <c r="N1919" i="141"/>
  <c r="N1925" i="141"/>
  <c r="N1927" i="141"/>
  <c r="N1929" i="141"/>
  <c r="N1934" i="141"/>
  <c r="C15" i="18"/>
  <c r="C112" i="60"/>
  <c r="C4" i="137"/>
  <c r="C1714" i="141"/>
  <c r="C1728" i="141"/>
  <c r="C1736" i="141"/>
  <c r="C1742" i="141"/>
  <c r="C1746" i="141"/>
  <c r="C1756" i="141"/>
  <c r="C1765" i="141"/>
  <c r="C1771" i="141"/>
  <c r="C1773" i="141"/>
  <c r="C1775" i="141"/>
  <c r="C1780" i="141"/>
  <c r="D1714" i="141"/>
  <c r="D1728" i="141"/>
  <c r="D1736" i="141"/>
  <c r="D1742" i="141"/>
  <c r="D1746" i="141"/>
  <c r="D1756" i="141"/>
  <c r="D1765" i="141"/>
  <c r="D1771" i="141"/>
  <c r="D1773" i="141"/>
  <c r="D1775" i="141"/>
  <c r="D1780" i="141"/>
  <c r="E1714" i="141"/>
  <c r="E1728" i="141"/>
  <c r="E1736" i="141"/>
  <c r="E1742" i="141"/>
  <c r="E1746" i="141"/>
  <c r="E1756" i="141"/>
  <c r="E1765" i="141"/>
  <c r="E1771" i="141"/>
  <c r="E1773" i="141"/>
  <c r="E1775" i="141"/>
  <c r="E1780" i="141"/>
  <c r="F1714" i="141"/>
  <c r="F1728" i="141"/>
  <c r="F1736" i="141"/>
  <c r="F1742" i="141"/>
  <c r="F1746" i="141"/>
  <c r="F1756" i="141"/>
  <c r="F1765" i="141"/>
  <c r="F1771" i="141"/>
  <c r="F1773" i="141"/>
  <c r="F1775" i="141"/>
  <c r="F1780" i="141"/>
  <c r="G1714" i="141"/>
  <c r="G1728" i="141"/>
  <c r="G1736" i="141"/>
  <c r="G1742" i="141"/>
  <c r="G1746" i="141"/>
  <c r="G1756" i="141"/>
  <c r="G1765" i="141"/>
  <c r="G1771" i="141"/>
  <c r="G1773" i="141"/>
  <c r="G1775" i="141"/>
  <c r="G1780" i="141"/>
  <c r="H1714" i="141"/>
  <c r="H1728" i="141"/>
  <c r="H1736" i="141"/>
  <c r="H1742" i="141"/>
  <c r="H1746" i="141"/>
  <c r="H1756" i="141"/>
  <c r="H1765" i="141"/>
  <c r="H1771" i="141"/>
  <c r="H1773" i="141"/>
  <c r="H1775" i="141"/>
  <c r="H1780" i="141"/>
  <c r="I1714" i="141"/>
  <c r="I1728" i="141"/>
  <c r="I1736" i="141"/>
  <c r="I1742" i="141"/>
  <c r="I1746" i="141"/>
  <c r="I1756" i="141"/>
  <c r="I1765" i="141"/>
  <c r="I1771" i="141"/>
  <c r="I1773" i="141"/>
  <c r="I1775" i="141"/>
  <c r="I1780" i="141"/>
  <c r="J1716" i="141"/>
  <c r="J1714" i="141"/>
  <c r="J1728" i="141"/>
  <c r="J1736" i="141"/>
  <c r="J1742" i="141"/>
  <c r="J1746" i="141"/>
  <c r="J1756" i="141"/>
  <c r="J1765" i="141"/>
  <c r="J1771" i="141"/>
  <c r="J1773" i="141"/>
  <c r="J1775" i="141"/>
  <c r="J1780" i="141"/>
  <c r="K1716" i="141"/>
  <c r="K1714" i="141"/>
  <c r="K1728" i="141"/>
  <c r="K1736" i="141"/>
  <c r="K1742" i="141"/>
  <c r="K1746" i="141"/>
  <c r="K1756" i="141"/>
  <c r="K1765" i="141"/>
  <c r="K1771" i="141"/>
  <c r="K1773" i="141"/>
  <c r="K1775" i="141"/>
  <c r="K1780" i="141"/>
  <c r="L1716" i="141"/>
  <c r="L1714" i="141"/>
  <c r="L1728" i="141"/>
  <c r="L1736" i="141"/>
  <c r="L1742" i="141"/>
  <c r="L1746" i="141"/>
  <c r="L1756" i="141"/>
  <c r="L1765" i="141"/>
  <c r="L1771" i="141"/>
  <c r="L1773" i="141"/>
  <c r="L1775" i="141"/>
  <c r="L1780" i="141"/>
  <c r="M1716" i="141"/>
  <c r="M1714" i="141"/>
  <c r="M1728" i="141"/>
  <c r="M1736" i="141"/>
  <c r="M1742" i="141"/>
  <c r="M1746" i="141"/>
  <c r="M1756" i="141"/>
  <c r="M1765" i="141"/>
  <c r="M1771" i="141"/>
  <c r="D61" i="129"/>
  <c r="M1773" i="141"/>
  <c r="D63" i="129"/>
  <c r="M1775" i="141"/>
  <c r="M1780" i="141"/>
  <c r="N1716" i="141"/>
  <c r="N1728" i="141"/>
  <c r="N1736" i="141"/>
  <c r="N1742" i="141"/>
  <c r="N1746" i="141"/>
  <c r="N1756" i="141"/>
  <c r="N1765" i="141"/>
  <c r="N1771" i="141"/>
  <c r="N1773" i="141"/>
  <c r="N1775" i="141"/>
  <c r="N1780" i="141"/>
  <c r="C1638" i="141"/>
  <c r="C1650" i="141"/>
  <c r="C1658" i="141"/>
  <c r="C1664" i="141"/>
  <c r="C1668" i="141"/>
  <c r="C1678" i="141"/>
  <c r="C1687" i="141"/>
  <c r="C1693" i="141"/>
  <c r="C1695" i="141"/>
  <c r="C1697" i="141"/>
  <c r="C1702" i="141"/>
  <c r="D1638" i="141"/>
  <c r="D1636" i="141"/>
  <c r="D1650" i="141"/>
  <c r="D1658" i="141"/>
  <c r="D1664" i="141"/>
  <c r="D1668" i="141"/>
  <c r="D1678" i="141"/>
  <c r="D1687" i="141"/>
  <c r="D1693" i="141"/>
  <c r="D1695" i="141"/>
  <c r="D1697" i="141"/>
  <c r="D1702" i="141"/>
  <c r="E1638" i="141"/>
  <c r="E1636" i="141"/>
  <c r="E1650" i="141"/>
  <c r="E1658" i="141"/>
  <c r="E1664" i="141"/>
  <c r="E1668" i="141"/>
  <c r="E1678" i="141"/>
  <c r="E1687" i="141"/>
  <c r="E1693" i="141"/>
  <c r="E1695" i="141"/>
  <c r="E1697" i="141"/>
  <c r="E1702" i="141"/>
  <c r="F1638" i="141"/>
  <c r="F1636" i="141"/>
  <c r="F1650" i="141"/>
  <c r="F1658" i="141"/>
  <c r="F1664" i="141"/>
  <c r="F1668" i="141"/>
  <c r="F1678" i="141"/>
  <c r="F1687" i="141"/>
  <c r="F1693" i="141"/>
  <c r="F1695" i="141"/>
  <c r="F1697" i="141"/>
  <c r="F1702" i="141"/>
  <c r="G1638" i="141"/>
  <c r="G1636" i="141"/>
  <c r="G1650" i="141"/>
  <c r="G1658" i="141"/>
  <c r="G1664" i="141"/>
  <c r="G1668" i="141"/>
  <c r="G1678" i="141"/>
  <c r="G1687" i="141"/>
  <c r="G1693" i="141"/>
  <c r="G1695" i="141"/>
  <c r="G1697" i="141"/>
  <c r="G1702" i="141"/>
  <c r="H1638" i="141"/>
  <c r="H1636" i="141"/>
  <c r="H1650" i="141"/>
  <c r="H1658" i="141"/>
  <c r="H1664" i="141"/>
  <c r="H1668" i="141"/>
  <c r="H1678" i="141"/>
  <c r="H1687" i="141"/>
  <c r="H1693" i="141"/>
  <c r="H1695" i="141"/>
  <c r="H1697" i="141"/>
  <c r="H1702" i="141"/>
  <c r="I1638" i="141"/>
  <c r="I1636" i="141"/>
  <c r="I1650" i="141"/>
  <c r="I1658" i="141"/>
  <c r="I1664" i="141"/>
  <c r="I1668" i="141"/>
  <c r="I1678" i="141"/>
  <c r="I1687" i="141"/>
  <c r="I1693" i="141"/>
  <c r="I1695" i="141"/>
  <c r="I1691" i="141"/>
  <c r="I1697" i="141"/>
  <c r="I1702" i="141"/>
  <c r="J1638" i="141"/>
  <c r="J1636" i="141"/>
  <c r="J1650" i="141"/>
  <c r="J1658" i="141"/>
  <c r="J1664" i="141"/>
  <c r="J1668" i="141"/>
  <c r="J1678" i="141"/>
  <c r="J1687" i="141"/>
  <c r="J1693" i="141"/>
  <c r="J1695" i="141"/>
  <c r="J1697" i="141"/>
  <c r="J1702" i="141"/>
  <c r="K1638" i="141"/>
  <c r="K1636" i="141"/>
  <c r="K1650" i="141"/>
  <c r="K1658" i="141"/>
  <c r="K1664" i="141"/>
  <c r="K1668" i="141"/>
  <c r="K1678" i="141"/>
  <c r="K1687" i="141"/>
  <c r="K1693" i="141"/>
  <c r="K1695" i="141"/>
  <c r="K1697" i="141"/>
  <c r="K1702" i="141"/>
  <c r="L1638" i="141"/>
  <c r="L1636" i="141"/>
  <c r="L1650" i="141"/>
  <c r="L1658" i="141"/>
  <c r="L1664" i="141"/>
  <c r="L1668" i="141"/>
  <c r="L1678" i="141"/>
  <c r="L1687" i="141"/>
  <c r="L1693" i="141"/>
  <c r="L1695" i="141"/>
  <c r="L1697" i="141"/>
  <c r="L1702" i="141"/>
  <c r="M1638" i="141"/>
  <c r="M1636" i="141"/>
  <c r="M1650" i="141"/>
  <c r="M1658" i="141"/>
  <c r="M1664" i="141"/>
  <c r="M1668" i="141"/>
  <c r="M1678" i="141"/>
  <c r="M1687" i="141"/>
  <c r="M1693" i="141"/>
  <c r="E61" i="129"/>
  <c r="M1695" i="141"/>
  <c r="E63" i="129"/>
  <c r="M1697" i="141"/>
  <c r="M1702" i="141"/>
  <c r="N1638" i="141"/>
  <c r="N1636" i="141"/>
  <c r="N1650" i="141"/>
  <c r="N1658" i="141"/>
  <c r="N1664" i="141"/>
  <c r="N1668" i="141"/>
  <c r="N1678" i="141"/>
  <c r="N1687" i="141"/>
  <c r="N1693" i="141"/>
  <c r="N1695" i="141"/>
  <c r="N1697" i="141"/>
  <c r="N1702" i="141"/>
  <c r="C1560" i="141"/>
  <c r="C1558" i="141"/>
  <c r="C1572" i="141"/>
  <c r="C1580" i="141"/>
  <c r="C1586" i="141"/>
  <c r="C1590" i="141"/>
  <c r="C1600" i="141"/>
  <c r="C1609" i="141"/>
  <c r="C1615" i="141"/>
  <c r="C1617" i="141"/>
  <c r="C1619" i="141"/>
  <c r="C1624" i="141"/>
  <c r="D1560" i="141"/>
  <c r="D1558" i="141"/>
  <c r="D1572" i="141"/>
  <c r="D1580" i="141"/>
  <c r="D1586" i="141"/>
  <c r="D1590" i="141"/>
  <c r="D1600" i="141"/>
  <c r="D1609" i="141"/>
  <c r="D1615" i="141"/>
  <c r="D1617" i="141"/>
  <c r="D1619" i="141"/>
  <c r="D1624" i="141"/>
  <c r="E1560" i="141"/>
  <c r="E1558" i="141"/>
  <c r="E1572" i="141"/>
  <c r="E1580" i="141"/>
  <c r="E1586" i="141"/>
  <c r="E1590" i="141"/>
  <c r="E1600" i="141"/>
  <c r="E1609" i="141"/>
  <c r="E1615" i="141"/>
  <c r="E1617" i="141"/>
  <c r="E1619" i="141"/>
  <c r="E1624" i="141"/>
  <c r="F1560" i="141"/>
  <c r="F1558" i="141"/>
  <c r="F1572" i="141"/>
  <c r="F1580" i="141"/>
  <c r="F1586" i="141"/>
  <c r="F1590" i="141"/>
  <c r="F1600" i="141"/>
  <c r="F1609" i="141"/>
  <c r="F1615" i="141"/>
  <c r="F1617" i="141"/>
  <c r="F1619" i="141"/>
  <c r="F1624" i="141"/>
  <c r="G1560" i="141"/>
  <c r="G1558" i="141"/>
  <c r="G1572" i="141"/>
  <c r="G1580" i="141"/>
  <c r="G1586" i="141"/>
  <c r="G1590" i="141"/>
  <c r="G1600" i="141"/>
  <c r="G1609" i="141"/>
  <c r="G1615" i="141"/>
  <c r="G1617" i="141"/>
  <c r="G1619" i="141"/>
  <c r="G1624" i="141"/>
  <c r="H1560" i="141"/>
  <c r="H1558" i="141"/>
  <c r="H1572" i="141"/>
  <c r="H1580" i="141"/>
  <c r="H1586" i="141"/>
  <c r="H1590" i="141"/>
  <c r="H1600" i="141"/>
  <c r="H1609" i="141"/>
  <c r="H1615" i="141"/>
  <c r="H1617" i="141"/>
  <c r="H1619" i="141"/>
  <c r="H1624" i="141"/>
  <c r="I1560" i="141"/>
  <c r="I1558" i="141"/>
  <c r="I1572" i="141"/>
  <c r="I1580" i="141"/>
  <c r="I1586" i="141"/>
  <c r="I1590" i="141"/>
  <c r="I1600" i="141"/>
  <c r="I1609" i="141"/>
  <c r="I1615" i="141"/>
  <c r="I1617" i="141"/>
  <c r="I1619" i="141"/>
  <c r="I1624" i="141"/>
  <c r="J1560" i="141"/>
  <c r="J1558" i="141"/>
  <c r="J1572" i="141"/>
  <c r="J1580" i="141"/>
  <c r="J1586" i="141"/>
  <c r="J1590" i="141"/>
  <c r="J1600" i="141"/>
  <c r="J1609" i="141"/>
  <c r="J1615" i="141"/>
  <c r="J1617" i="141"/>
  <c r="J1619" i="141"/>
  <c r="J1624" i="141"/>
  <c r="K1560" i="141"/>
  <c r="K1558" i="141"/>
  <c r="K1572" i="141"/>
  <c r="K1580" i="141"/>
  <c r="K1586" i="141"/>
  <c r="K1590" i="141"/>
  <c r="K1600" i="141"/>
  <c r="K1609" i="141"/>
  <c r="K1615" i="141"/>
  <c r="K1617" i="141"/>
  <c r="K1619" i="141"/>
  <c r="K1624" i="141"/>
  <c r="L1560" i="141"/>
  <c r="L1558" i="141"/>
  <c r="L1572" i="141"/>
  <c r="L1580" i="141"/>
  <c r="L1586" i="141"/>
  <c r="L1590" i="141"/>
  <c r="L1600" i="141"/>
  <c r="L1609" i="141"/>
  <c r="L1615" i="141"/>
  <c r="L1617" i="141"/>
  <c r="L1619" i="141"/>
  <c r="L1624" i="141"/>
  <c r="M1560" i="141"/>
  <c r="M1558" i="141"/>
  <c r="M1572" i="141"/>
  <c r="M1580" i="141"/>
  <c r="M1586" i="141"/>
  <c r="M1590" i="141"/>
  <c r="M1600" i="141"/>
  <c r="M1609" i="141"/>
  <c r="M1615" i="141"/>
  <c r="F61" i="129"/>
  <c r="M1617" i="141"/>
  <c r="F63" i="129"/>
  <c r="M1619" i="141"/>
  <c r="M1624" i="141"/>
  <c r="N1560" i="141"/>
  <c r="N1558" i="141"/>
  <c r="N1572" i="141"/>
  <c r="N1580" i="141"/>
  <c r="N1586" i="141"/>
  <c r="N1590" i="141"/>
  <c r="N1600" i="141"/>
  <c r="N1609" i="141"/>
  <c r="N1615" i="141"/>
  <c r="N1617" i="141"/>
  <c r="N1619" i="141"/>
  <c r="N1624" i="141"/>
  <c r="C1482" i="141"/>
  <c r="C1494" i="141"/>
  <c r="C1502" i="141"/>
  <c r="C1508" i="141"/>
  <c r="C1512" i="141"/>
  <c r="C1522" i="141"/>
  <c r="C1531" i="141"/>
  <c r="C1537" i="141"/>
  <c r="C1539" i="141"/>
  <c r="C1541" i="141"/>
  <c r="C1546" i="141"/>
  <c r="D1482" i="141"/>
  <c r="D1480" i="141"/>
  <c r="D1494" i="141"/>
  <c r="D1502" i="141"/>
  <c r="D1508" i="141"/>
  <c r="D1512" i="141"/>
  <c r="D1522" i="141"/>
  <c r="D1531" i="141"/>
  <c r="D1537" i="141"/>
  <c r="D1539" i="141"/>
  <c r="D1541" i="141"/>
  <c r="D1546" i="141"/>
  <c r="E1482" i="141"/>
  <c r="E1480" i="141"/>
  <c r="E1494" i="141"/>
  <c r="E1502" i="141"/>
  <c r="E1508" i="141"/>
  <c r="E1512" i="141"/>
  <c r="E1522" i="141"/>
  <c r="E1531" i="141"/>
  <c r="E1537" i="141"/>
  <c r="E1539" i="141"/>
  <c r="E1541" i="141"/>
  <c r="E1546" i="141"/>
  <c r="F1482" i="141"/>
  <c r="F1480" i="141"/>
  <c r="F1494" i="141"/>
  <c r="F1502" i="141"/>
  <c r="F1508" i="141"/>
  <c r="F1512" i="141"/>
  <c r="F1522" i="141"/>
  <c r="F1531" i="141"/>
  <c r="F1537" i="141"/>
  <c r="F1539" i="141"/>
  <c r="F1541" i="141"/>
  <c r="F1546" i="141"/>
  <c r="G1482" i="141"/>
  <c r="G1480" i="141"/>
  <c r="G1494" i="141"/>
  <c r="G1502" i="141"/>
  <c r="G1508" i="141"/>
  <c r="G1512" i="141"/>
  <c r="G1522" i="141"/>
  <c r="G1531" i="141"/>
  <c r="G1537" i="141"/>
  <c r="G1539" i="141"/>
  <c r="G1541" i="141"/>
  <c r="G1546" i="141"/>
  <c r="H1482" i="141"/>
  <c r="H1480" i="141"/>
  <c r="H1494" i="141"/>
  <c r="H1502" i="141"/>
  <c r="H1508" i="141"/>
  <c r="H1512" i="141"/>
  <c r="H1522" i="141"/>
  <c r="H1531" i="141"/>
  <c r="H1537" i="141"/>
  <c r="H1539" i="141"/>
  <c r="H1541" i="141"/>
  <c r="H1546" i="141"/>
  <c r="I1482" i="141"/>
  <c r="I1480" i="141"/>
  <c r="I1494" i="141"/>
  <c r="I1502" i="141"/>
  <c r="I1508" i="141"/>
  <c r="I1512" i="141"/>
  <c r="I1522" i="141"/>
  <c r="I1531" i="141"/>
  <c r="I1537" i="141"/>
  <c r="I1539" i="141"/>
  <c r="I1541" i="141"/>
  <c r="I1546" i="141"/>
  <c r="J1482" i="141"/>
  <c r="J1480" i="141"/>
  <c r="J1494" i="141"/>
  <c r="J1502" i="141"/>
  <c r="J1508" i="141"/>
  <c r="J1512" i="141"/>
  <c r="J1522" i="141"/>
  <c r="J1531" i="141"/>
  <c r="J1537" i="141"/>
  <c r="J1539" i="141"/>
  <c r="J1541" i="141"/>
  <c r="J1546" i="141"/>
  <c r="K1482" i="141"/>
  <c r="K1494" i="141"/>
  <c r="K1502" i="141"/>
  <c r="K1508" i="141"/>
  <c r="K1512" i="141"/>
  <c r="K1522" i="141"/>
  <c r="K1531" i="141"/>
  <c r="K1537" i="141"/>
  <c r="K1539" i="141"/>
  <c r="K1541" i="141"/>
  <c r="K1546" i="141"/>
  <c r="L1482" i="141"/>
  <c r="L1480" i="141"/>
  <c r="L1494" i="141"/>
  <c r="L1502" i="141"/>
  <c r="L1508" i="141"/>
  <c r="L1512" i="141"/>
  <c r="L1522" i="141"/>
  <c r="L1531" i="141"/>
  <c r="L1537" i="141"/>
  <c r="L1539" i="141"/>
  <c r="L1541" i="141"/>
  <c r="L1546" i="141"/>
  <c r="M1482" i="141"/>
  <c r="M1480" i="141"/>
  <c r="M1494" i="141"/>
  <c r="M1502" i="141"/>
  <c r="M1508" i="141"/>
  <c r="M1512" i="141"/>
  <c r="M1522" i="141"/>
  <c r="M1531" i="141"/>
  <c r="M1537" i="141"/>
  <c r="G61" i="129"/>
  <c r="M1539" i="141"/>
  <c r="G63" i="129"/>
  <c r="M1541" i="141"/>
  <c r="M1546" i="141"/>
  <c r="N1482" i="141"/>
  <c r="N1480" i="141"/>
  <c r="N1494" i="141"/>
  <c r="N1502" i="141"/>
  <c r="N1508" i="141"/>
  <c r="N1512" i="141"/>
  <c r="N1522" i="141"/>
  <c r="N1531" i="141"/>
  <c r="N1537" i="141"/>
  <c r="N1539" i="141"/>
  <c r="N1541" i="141"/>
  <c r="N1546" i="141"/>
  <c r="C1403" i="141"/>
  <c r="C1417" i="141"/>
  <c r="C1425" i="141"/>
  <c r="C1431" i="141"/>
  <c r="C1435" i="141"/>
  <c r="C1445" i="141"/>
  <c r="C1454" i="141"/>
  <c r="C1460" i="141"/>
  <c r="C1462" i="141"/>
  <c r="C1464" i="141"/>
  <c r="C1469" i="141"/>
  <c r="D1403" i="141"/>
  <c r="D1417" i="141"/>
  <c r="D1425" i="141"/>
  <c r="D1431" i="141"/>
  <c r="D1435" i="141"/>
  <c r="D1445" i="141"/>
  <c r="D1454" i="141"/>
  <c r="D1460" i="141"/>
  <c r="D1462" i="141"/>
  <c r="D1464" i="141"/>
  <c r="D1469" i="141"/>
  <c r="E1403" i="141"/>
  <c r="E1417" i="141"/>
  <c r="E1425" i="141"/>
  <c r="E1431" i="141"/>
  <c r="E1435" i="141"/>
  <c r="E1445" i="141"/>
  <c r="E1454" i="141"/>
  <c r="E1460" i="141"/>
  <c r="E1462" i="141"/>
  <c r="E1464" i="141"/>
  <c r="E1469" i="141"/>
  <c r="F1403" i="141"/>
  <c r="F1417" i="141"/>
  <c r="F1425" i="141"/>
  <c r="F1431" i="141"/>
  <c r="F1435" i="141"/>
  <c r="F1445" i="141"/>
  <c r="F1454" i="141"/>
  <c r="F1460" i="141"/>
  <c r="F1462" i="141"/>
  <c r="F1464" i="141"/>
  <c r="F1469" i="141"/>
  <c r="G1403" i="141"/>
  <c r="G1417" i="141"/>
  <c r="G1425" i="141"/>
  <c r="G1431" i="141"/>
  <c r="G1435" i="141"/>
  <c r="G1445" i="141"/>
  <c r="G1454" i="141"/>
  <c r="G1460" i="141"/>
  <c r="G1462" i="141"/>
  <c r="G1464" i="141"/>
  <c r="G1469" i="141"/>
  <c r="H1403" i="141"/>
  <c r="H1417" i="141"/>
  <c r="H1425" i="141"/>
  <c r="H1431" i="141"/>
  <c r="H1435" i="141"/>
  <c r="H1445" i="141"/>
  <c r="H1454" i="141"/>
  <c r="H1460" i="141"/>
  <c r="H1462" i="141"/>
  <c r="H1464" i="141"/>
  <c r="H1469" i="141"/>
  <c r="I1403" i="141"/>
  <c r="I1417" i="141"/>
  <c r="I1425" i="141"/>
  <c r="I1431" i="141"/>
  <c r="I1435" i="141"/>
  <c r="I1445" i="141"/>
  <c r="I1454" i="141"/>
  <c r="I1460" i="141"/>
  <c r="I1462" i="141"/>
  <c r="I1464" i="141"/>
  <c r="I1469" i="141"/>
  <c r="J1403" i="141"/>
  <c r="J1417" i="141"/>
  <c r="J1425" i="141"/>
  <c r="J1431" i="141"/>
  <c r="J1435" i="141"/>
  <c r="J1445" i="141"/>
  <c r="J1454" i="141"/>
  <c r="J1460" i="141"/>
  <c r="J1462" i="141"/>
  <c r="J1464" i="141"/>
  <c r="J1469" i="141"/>
  <c r="K1403" i="141"/>
  <c r="K1417" i="141"/>
  <c r="K1425" i="141"/>
  <c r="K1431" i="141"/>
  <c r="K1435" i="141"/>
  <c r="K1445" i="141"/>
  <c r="K1454" i="141"/>
  <c r="K1460" i="141"/>
  <c r="K1462" i="141"/>
  <c r="K1464" i="141"/>
  <c r="K1469" i="141"/>
  <c r="L1403" i="141"/>
  <c r="L1417" i="141"/>
  <c r="L1425" i="141"/>
  <c r="L1431" i="141"/>
  <c r="L1435" i="141"/>
  <c r="L1445" i="141"/>
  <c r="L1454" i="141"/>
  <c r="L1460" i="141"/>
  <c r="L1462" i="141"/>
  <c r="L1464" i="141"/>
  <c r="L1469" i="141"/>
  <c r="M1403" i="141"/>
  <c r="M1417" i="141"/>
  <c r="M1425" i="141"/>
  <c r="M1431" i="141"/>
  <c r="M1435" i="141"/>
  <c r="M1445" i="141"/>
  <c r="M1454" i="141"/>
  <c r="M1460" i="141"/>
  <c r="H61" i="129"/>
  <c r="M1462" i="141"/>
  <c r="H63" i="129"/>
  <c r="M1464" i="141"/>
  <c r="M1469" i="141"/>
  <c r="N1403" i="141"/>
  <c r="N1417" i="141"/>
  <c r="N1425" i="141"/>
  <c r="N1431" i="141"/>
  <c r="N1435" i="141"/>
  <c r="N1445" i="141"/>
  <c r="N1454" i="141"/>
  <c r="N1460" i="141"/>
  <c r="N1462" i="141"/>
  <c r="N1464" i="141"/>
  <c r="N1469" i="141"/>
  <c r="C1326" i="141"/>
  <c r="C1340" i="141"/>
  <c r="C1348" i="141"/>
  <c r="C1354" i="141"/>
  <c r="C1358" i="141"/>
  <c r="C1368" i="141"/>
  <c r="C1377" i="141"/>
  <c r="C1383" i="141"/>
  <c r="C1385" i="141"/>
  <c r="C1387" i="141"/>
  <c r="C1392" i="141"/>
  <c r="D1326" i="141"/>
  <c r="D1340" i="141"/>
  <c r="D1348" i="141"/>
  <c r="D1354" i="141"/>
  <c r="D1358" i="141"/>
  <c r="D1368" i="141"/>
  <c r="D1377" i="141"/>
  <c r="D1383" i="141"/>
  <c r="D1385" i="141"/>
  <c r="D1387" i="141"/>
  <c r="D1392" i="141"/>
  <c r="E1326" i="141"/>
  <c r="E1340" i="141"/>
  <c r="E1348" i="141"/>
  <c r="E1354" i="141"/>
  <c r="E1358" i="141"/>
  <c r="E1368" i="141"/>
  <c r="E1377" i="141"/>
  <c r="E1383" i="141"/>
  <c r="E1385" i="141"/>
  <c r="E1387" i="141"/>
  <c r="E1392" i="141"/>
  <c r="F1326" i="141"/>
  <c r="F1340" i="141"/>
  <c r="F1348" i="141"/>
  <c r="F1354" i="141"/>
  <c r="F1358" i="141"/>
  <c r="F1368" i="141"/>
  <c r="F1377" i="141"/>
  <c r="F1383" i="141"/>
  <c r="F1385" i="141"/>
  <c r="F1387" i="141"/>
  <c r="F1392" i="141"/>
  <c r="G1326" i="141"/>
  <c r="G1340" i="141"/>
  <c r="G1348" i="141"/>
  <c r="G1354" i="141"/>
  <c r="G1358" i="141"/>
  <c r="G1368" i="141"/>
  <c r="G1377" i="141"/>
  <c r="G1383" i="141"/>
  <c r="G1385" i="141"/>
  <c r="G1387" i="141"/>
  <c r="G1392" i="141"/>
  <c r="H1326" i="141"/>
  <c r="H1340" i="141"/>
  <c r="H1348" i="141"/>
  <c r="H1354" i="141"/>
  <c r="H1358" i="141"/>
  <c r="H1368" i="141"/>
  <c r="H1377" i="141"/>
  <c r="H1383" i="141"/>
  <c r="H1385" i="141"/>
  <c r="H1387" i="141"/>
  <c r="H1392" i="141"/>
  <c r="I1326" i="141"/>
  <c r="I1340" i="141"/>
  <c r="I1348" i="141"/>
  <c r="I1354" i="141"/>
  <c r="I1358" i="141"/>
  <c r="I1368" i="141"/>
  <c r="I1377" i="141"/>
  <c r="I1383" i="141"/>
  <c r="I1385" i="141"/>
  <c r="I1387" i="141"/>
  <c r="I1392" i="141"/>
  <c r="J1326" i="141"/>
  <c r="J1340" i="141"/>
  <c r="J1348" i="141"/>
  <c r="J1354" i="141"/>
  <c r="J1358" i="141"/>
  <c r="J1368" i="141"/>
  <c r="J1377" i="141"/>
  <c r="J1383" i="141"/>
  <c r="J1385" i="141"/>
  <c r="J1387" i="141"/>
  <c r="J1392" i="141"/>
  <c r="K1326" i="141"/>
  <c r="K1340" i="141"/>
  <c r="K1348" i="141"/>
  <c r="K1354" i="141"/>
  <c r="K1358" i="141"/>
  <c r="K1368" i="141"/>
  <c r="K1377" i="141"/>
  <c r="K1383" i="141"/>
  <c r="K1385" i="141"/>
  <c r="K1387" i="141"/>
  <c r="K1392" i="141"/>
  <c r="L1326" i="141"/>
  <c r="L1340" i="141"/>
  <c r="L1348" i="141"/>
  <c r="L1354" i="141"/>
  <c r="L1358" i="141"/>
  <c r="L1368" i="141"/>
  <c r="L1377" i="141"/>
  <c r="L1383" i="141"/>
  <c r="L1385" i="141"/>
  <c r="L1387" i="141"/>
  <c r="L1392" i="141"/>
  <c r="M1326" i="141"/>
  <c r="M1340" i="141"/>
  <c r="M1348" i="141"/>
  <c r="M1354" i="141"/>
  <c r="M1358" i="141"/>
  <c r="M1368" i="141"/>
  <c r="M1377" i="141"/>
  <c r="M1383" i="141"/>
  <c r="I61" i="129"/>
  <c r="M1385" i="141"/>
  <c r="I63" i="129"/>
  <c r="M1387" i="141"/>
  <c r="M1392" i="141"/>
  <c r="N1326" i="141"/>
  <c r="N1340" i="141"/>
  <c r="N1348" i="141"/>
  <c r="N1354" i="141"/>
  <c r="N1358" i="141"/>
  <c r="N1368" i="141"/>
  <c r="N1377" i="141"/>
  <c r="N1383" i="141"/>
  <c r="N1385" i="141"/>
  <c r="N1387" i="141"/>
  <c r="N1392" i="141"/>
  <c r="C1249" i="141"/>
  <c r="C1263" i="141"/>
  <c r="C1271" i="141"/>
  <c r="C1277" i="141"/>
  <c r="C1281" i="141"/>
  <c r="C1291" i="141"/>
  <c r="C1300" i="141"/>
  <c r="C1306" i="141"/>
  <c r="C1308" i="141"/>
  <c r="C1310" i="141"/>
  <c r="C1315" i="141"/>
  <c r="D1249" i="141"/>
  <c r="D1263" i="141"/>
  <c r="D1271" i="141"/>
  <c r="D1277" i="141"/>
  <c r="D1281" i="141"/>
  <c r="D1291" i="141"/>
  <c r="D1300" i="141"/>
  <c r="D1306" i="141"/>
  <c r="D1308" i="141"/>
  <c r="D1310" i="141"/>
  <c r="D1315" i="141"/>
  <c r="E1249" i="141"/>
  <c r="E1263" i="141"/>
  <c r="E1271" i="141"/>
  <c r="E1277" i="141"/>
  <c r="E1281" i="141"/>
  <c r="E1291" i="141"/>
  <c r="E1300" i="141"/>
  <c r="E1306" i="141"/>
  <c r="E1308" i="141"/>
  <c r="E1310" i="141"/>
  <c r="E1315" i="141"/>
  <c r="F1249" i="141"/>
  <c r="F1263" i="141"/>
  <c r="F1271" i="141"/>
  <c r="F1277" i="141"/>
  <c r="F1281" i="141"/>
  <c r="F1291" i="141"/>
  <c r="F1300" i="141"/>
  <c r="F1306" i="141"/>
  <c r="F1308" i="141"/>
  <c r="F1310" i="141"/>
  <c r="F1315" i="141"/>
  <c r="G1249" i="141"/>
  <c r="G1263" i="141"/>
  <c r="G1271" i="141"/>
  <c r="G1277" i="141"/>
  <c r="G1281" i="141"/>
  <c r="G1291" i="141"/>
  <c r="G1300" i="141"/>
  <c r="G1306" i="141"/>
  <c r="G1308" i="141"/>
  <c r="G1310" i="141"/>
  <c r="G1315" i="141"/>
  <c r="H1249" i="141"/>
  <c r="H1263" i="141"/>
  <c r="H1271" i="141"/>
  <c r="H1277" i="141"/>
  <c r="H1281" i="141"/>
  <c r="H1291" i="141"/>
  <c r="H1300" i="141"/>
  <c r="H1306" i="141"/>
  <c r="H1308" i="141"/>
  <c r="H1310" i="141"/>
  <c r="H1315" i="141"/>
  <c r="I1249" i="141"/>
  <c r="I1263" i="141"/>
  <c r="I1271" i="141"/>
  <c r="I1277" i="141"/>
  <c r="I1281" i="141"/>
  <c r="I1291" i="141"/>
  <c r="I1300" i="141"/>
  <c r="I1306" i="141"/>
  <c r="I1308" i="141"/>
  <c r="I1310" i="141"/>
  <c r="I1315" i="141"/>
  <c r="J1249" i="141"/>
  <c r="J1263" i="141"/>
  <c r="J1271" i="141"/>
  <c r="J1277" i="141"/>
  <c r="J1281" i="141"/>
  <c r="J1291" i="141"/>
  <c r="J1300" i="141"/>
  <c r="J1306" i="141"/>
  <c r="J1308" i="141"/>
  <c r="J1310" i="141"/>
  <c r="J1315" i="141"/>
  <c r="K1249" i="141"/>
  <c r="K1263" i="141"/>
  <c r="K1271" i="141"/>
  <c r="K1277" i="141"/>
  <c r="K1281" i="141"/>
  <c r="K1291" i="141"/>
  <c r="K1300" i="141"/>
  <c r="K1306" i="141"/>
  <c r="K1308" i="141"/>
  <c r="K1310" i="141"/>
  <c r="K1315" i="141"/>
  <c r="L1249" i="141"/>
  <c r="L1263" i="141"/>
  <c r="L1271" i="141"/>
  <c r="L1277" i="141"/>
  <c r="L1281" i="141"/>
  <c r="L1291" i="141"/>
  <c r="L1300" i="141"/>
  <c r="L1306" i="141"/>
  <c r="L1308" i="141"/>
  <c r="L1310" i="141"/>
  <c r="L1315" i="141"/>
  <c r="M1249" i="141"/>
  <c r="M1263" i="141"/>
  <c r="M1271" i="141"/>
  <c r="M1277" i="141"/>
  <c r="M1281" i="141"/>
  <c r="M1291" i="141"/>
  <c r="M1300" i="141"/>
  <c r="M1306" i="141"/>
  <c r="J61" i="129"/>
  <c r="M1308" i="141"/>
  <c r="J63" i="129"/>
  <c r="M1310" i="141"/>
  <c r="M1315" i="141"/>
  <c r="N1249" i="141"/>
  <c r="N1263" i="141"/>
  <c r="N1271" i="141"/>
  <c r="N1277" i="141"/>
  <c r="N1281" i="141"/>
  <c r="N1291" i="141"/>
  <c r="N1300" i="141"/>
  <c r="N1306" i="141"/>
  <c r="N1308" i="141"/>
  <c r="N1310" i="141"/>
  <c r="N1315" i="141"/>
  <c r="C1171" i="141"/>
  <c r="C1185" i="141"/>
  <c r="C1193" i="141"/>
  <c r="C1199" i="141"/>
  <c r="C1203" i="141"/>
  <c r="C1213" i="141"/>
  <c r="C1222" i="141"/>
  <c r="C1228" i="141"/>
  <c r="C1230" i="141"/>
  <c r="C1232" i="141"/>
  <c r="C1237" i="141"/>
  <c r="D1171" i="141"/>
  <c r="D1185" i="141"/>
  <c r="D1193" i="141"/>
  <c r="D1199" i="141"/>
  <c r="D1203" i="141"/>
  <c r="D1213" i="141"/>
  <c r="D1222" i="141"/>
  <c r="D1228" i="141"/>
  <c r="D1230" i="141"/>
  <c r="D1232" i="141"/>
  <c r="D1237" i="141"/>
  <c r="E1171" i="141"/>
  <c r="E1185" i="141"/>
  <c r="E1193" i="141"/>
  <c r="E1199" i="141"/>
  <c r="E1203" i="141"/>
  <c r="E1213" i="141"/>
  <c r="E1222" i="141"/>
  <c r="E1228" i="141"/>
  <c r="E1230" i="141"/>
  <c r="E1232" i="141"/>
  <c r="E1237" i="141"/>
  <c r="F1171" i="141"/>
  <c r="F1185" i="141"/>
  <c r="F1193" i="141"/>
  <c r="F1199" i="141"/>
  <c r="F1203" i="141"/>
  <c r="F1213" i="141"/>
  <c r="F1222" i="141"/>
  <c r="F1228" i="141"/>
  <c r="F1230" i="141"/>
  <c r="F1232" i="141"/>
  <c r="F1237" i="141"/>
  <c r="G1171" i="141"/>
  <c r="G1185" i="141"/>
  <c r="G1193" i="141"/>
  <c r="G1199" i="141"/>
  <c r="G1203" i="141"/>
  <c r="G1213" i="141"/>
  <c r="G1222" i="141"/>
  <c r="G1228" i="141"/>
  <c r="G1230" i="141"/>
  <c r="G1232" i="141"/>
  <c r="G1237" i="141"/>
  <c r="H1171" i="141"/>
  <c r="H1185" i="141"/>
  <c r="H1193" i="141"/>
  <c r="H1199" i="141"/>
  <c r="H1203" i="141"/>
  <c r="H1213" i="141"/>
  <c r="H1222" i="141"/>
  <c r="H1228" i="141"/>
  <c r="H1230" i="141"/>
  <c r="H1232" i="141"/>
  <c r="H1237" i="141"/>
  <c r="I1171" i="141"/>
  <c r="I1185" i="141"/>
  <c r="I1193" i="141"/>
  <c r="I1199" i="141"/>
  <c r="I1203" i="141"/>
  <c r="I1213" i="141"/>
  <c r="I1222" i="141"/>
  <c r="I1228" i="141"/>
  <c r="I1230" i="141"/>
  <c r="I1232" i="141"/>
  <c r="I1237" i="141"/>
  <c r="J1171" i="141"/>
  <c r="J1185" i="141"/>
  <c r="J1193" i="141"/>
  <c r="J1199" i="141"/>
  <c r="J1203" i="141"/>
  <c r="J1213" i="141"/>
  <c r="J1222" i="141"/>
  <c r="J1228" i="141"/>
  <c r="J1230" i="141"/>
  <c r="J1232" i="141"/>
  <c r="J1237" i="141"/>
  <c r="K1171" i="141"/>
  <c r="K1185" i="141"/>
  <c r="K1193" i="141"/>
  <c r="K1199" i="141"/>
  <c r="K1203" i="141"/>
  <c r="K1213" i="141"/>
  <c r="K1222" i="141"/>
  <c r="K1228" i="141"/>
  <c r="K1230" i="141"/>
  <c r="K1232" i="141"/>
  <c r="K1237" i="141"/>
  <c r="L1171" i="141"/>
  <c r="L1185" i="141"/>
  <c r="L1193" i="141"/>
  <c r="L1199" i="141"/>
  <c r="L1203" i="141"/>
  <c r="L1213" i="141"/>
  <c r="L1222" i="141"/>
  <c r="L1228" i="141"/>
  <c r="L1230" i="141"/>
  <c r="L1232" i="141"/>
  <c r="L1237" i="141"/>
  <c r="M1171" i="141"/>
  <c r="M1185" i="141"/>
  <c r="M1193" i="141"/>
  <c r="M1199" i="141"/>
  <c r="M1203" i="141"/>
  <c r="M1213" i="141"/>
  <c r="M1222" i="141"/>
  <c r="M1228" i="141"/>
  <c r="K61" i="129"/>
  <c r="M1230" i="141"/>
  <c r="K63" i="129"/>
  <c r="M1232" i="141"/>
  <c r="M1237" i="141"/>
  <c r="N1171" i="141"/>
  <c r="N1185" i="141"/>
  <c r="N1193" i="141"/>
  <c r="N1199" i="141"/>
  <c r="N1203" i="141"/>
  <c r="N1213" i="141"/>
  <c r="N1222" i="141"/>
  <c r="N1228" i="141"/>
  <c r="N1230" i="141"/>
  <c r="N1232" i="141"/>
  <c r="N1237" i="141"/>
  <c r="C1094" i="141"/>
  <c r="C1108" i="141"/>
  <c r="C1116" i="141"/>
  <c r="C1122" i="141"/>
  <c r="C1126" i="141"/>
  <c r="C1136" i="141"/>
  <c r="C1145" i="141"/>
  <c r="C1151" i="141"/>
  <c r="C1153" i="141"/>
  <c r="C1155" i="141"/>
  <c r="C1160" i="141"/>
  <c r="D1094" i="141"/>
  <c r="D1108" i="141"/>
  <c r="D1116" i="141"/>
  <c r="D1122" i="141"/>
  <c r="D1126" i="141"/>
  <c r="D1136" i="141"/>
  <c r="D1145" i="141"/>
  <c r="D1151" i="141"/>
  <c r="D1153" i="141"/>
  <c r="D1155" i="141"/>
  <c r="D1160" i="141"/>
  <c r="E1094" i="141"/>
  <c r="E1108" i="141"/>
  <c r="E1116" i="141"/>
  <c r="E1122" i="141"/>
  <c r="E1126" i="141"/>
  <c r="E1136" i="141"/>
  <c r="E1145" i="141"/>
  <c r="E1151" i="141"/>
  <c r="E1153" i="141"/>
  <c r="E1155" i="141"/>
  <c r="E1160" i="141"/>
  <c r="F1094" i="141"/>
  <c r="F1108" i="141"/>
  <c r="F1116" i="141"/>
  <c r="F1122" i="141"/>
  <c r="F1126" i="141"/>
  <c r="F1136" i="141"/>
  <c r="F1145" i="141"/>
  <c r="F1151" i="141"/>
  <c r="F1153" i="141"/>
  <c r="F1155" i="141"/>
  <c r="F1160" i="141"/>
  <c r="G1094" i="141"/>
  <c r="G1108" i="141"/>
  <c r="G1116" i="141"/>
  <c r="G1122" i="141"/>
  <c r="G1126" i="141"/>
  <c r="G1136" i="141"/>
  <c r="G1145" i="141"/>
  <c r="G1151" i="141"/>
  <c r="G1153" i="141"/>
  <c r="G1155" i="141"/>
  <c r="G1160" i="141"/>
  <c r="H1094" i="141"/>
  <c r="H1108" i="141"/>
  <c r="H1116" i="141"/>
  <c r="H1122" i="141"/>
  <c r="H1126" i="141"/>
  <c r="H1136" i="141"/>
  <c r="H1145" i="141"/>
  <c r="H1151" i="141"/>
  <c r="H1153" i="141"/>
  <c r="H1155" i="141"/>
  <c r="H1160" i="141"/>
  <c r="I1094" i="141"/>
  <c r="I1108" i="141"/>
  <c r="I1116" i="141"/>
  <c r="I1122" i="141"/>
  <c r="I1126" i="141"/>
  <c r="I1136" i="141"/>
  <c r="I1145" i="141"/>
  <c r="I1151" i="141"/>
  <c r="I1153" i="141"/>
  <c r="I1155" i="141"/>
  <c r="I1160" i="141"/>
  <c r="J1094" i="141"/>
  <c r="J1108" i="141"/>
  <c r="J1116" i="141"/>
  <c r="J1122" i="141"/>
  <c r="J1126" i="141"/>
  <c r="J1136" i="141"/>
  <c r="J1145" i="141"/>
  <c r="J1151" i="141"/>
  <c r="J1153" i="141"/>
  <c r="J1155" i="141"/>
  <c r="J1160" i="141"/>
  <c r="K1094" i="141"/>
  <c r="K1108" i="141"/>
  <c r="K1116" i="141"/>
  <c r="K1122" i="141"/>
  <c r="K1126" i="141"/>
  <c r="K1136" i="141"/>
  <c r="K1145" i="141"/>
  <c r="K1151" i="141"/>
  <c r="K1153" i="141"/>
  <c r="K1155" i="141"/>
  <c r="K1160" i="141"/>
  <c r="L1094" i="141"/>
  <c r="L1108" i="141"/>
  <c r="L1116" i="141"/>
  <c r="L1122" i="141"/>
  <c r="L1126" i="141"/>
  <c r="L1136" i="141"/>
  <c r="L1145" i="141"/>
  <c r="L1151" i="141"/>
  <c r="L1153" i="141"/>
  <c r="L1155" i="141"/>
  <c r="L1160" i="141"/>
  <c r="M1094" i="141"/>
  <c r="M1108" i="141"/>
  <c r="M1116" i="141"/>
  <c r="M1122" i="141"/>
  <c r="M1126" i="141"/>
  <c r="M1136" i="141"/>
  <c r="M1145" i="141"/>
  <c r="M1151" i="141"/>
  <c r="L61" i="129"/>
  <c r="M1153" i="141"/>
  <c r="L63" i="129"/>
  <c r="M1155" i="141"/>
  <c r="M1160" i="141"/>
  <c r="N1094" i="141"/>
  <c r="N1108" i="141"/>
  <c r="N1116" i="141"/>
  <c r="N1122" i="141"/>
  <c r="N1126" i="141"/>
  <c r="N1136" i="141"/>
  <c r="N1145" i="141"/>
  <c r="N1151" i="141"/>
  <c r="N1153" i="141"/>
  <c r="N1155" i="141"/>
  <c r="N1160" i="141"/>
  <c r="C1017" i="141"/>
  <c r="C1031" i="141"/>
  <c r="C1039" i="141"/>
  <c r="C1045" i="141"/>
  <c r="C1049" i="141"/>
  <c r="C1059" i="141"/>
  <c r="C1068" i="141"/>
  <c r="C1074" i="141"/>
  <c r="C1076" i="141"/>
  <c r="C1078" i="141"/>
  <c r="C1083" i="141"/>
  <c r="D1017" i="141"/>
  <c r="D1031" i="141"/>
  <c r="D1039" i="141"/>
  <c r="D1045" i="141"/>
  <c r="D1049" i="141"/>
  <c r="D1059" i="141"/>
  <c r="D1068" i="141"/>
  <c r="D1074" i="141"/>
  <c r="D1076" i="141"/>
  <c r="D1078" i="141"/>
  <c r="D1083" i="141"/>
  <c r="E1017" i="141"/>
  <c r="E1031" i="141"/>
  <c r="E1039" i="141"/>
  <c r="E1045" i="141"/>
  <c r="E1049" i="141"/>
  <c r="E1059" i="141"/>
  <c r="E1068" i="141"/>
  <c r="E1074" i="141"/>
  <c r="E1076" i="141"/>
  <c r="E1078" i="141"/>
  <c r="E1083" i="141"/>
  <c r="F1017" i="141"/>
  <c r="F1031" i="141"/>
  <c r="F1039" i="141"/>
  <c r="F1045" i="141"/>
  <c r="F1049" i="141"/>
  <c r="F1059" i="141"/>
  <c r="F1068" i="141"/>
  <c r="F1074" i="141"/>
  <c r="F1076" i="141"/>
  <c r="F1078" i="141"/>
  <c r="F1083" i="141"/>
  <c r="G1017" i="141"/>
  <c r="G1031" i="141"/>
  <c r="G1039" i="141"/>
  <c r="G1045" i="141"/>
  <c r="G1049" i="141"/>
  <c r="G1059" i="141"/>
  <c r="G1068" i="141"/>
  <c r="G1074" i="141"/>
  <c r="G1076" i="141"/>
  <c r="G1078" i="141"/>
  <c r="G1083" i="141"/>
  <c r="H1017" i="141"/>
  <c r="H1031" i="141"/>
  <c r="H1039" i="141"/>
  <c r="H1045" i="141"/>
  <c r="H1049" i="141"/>
  <c r="H1059" i="141"/>
  <c r="H1068" i="141"/>
  <c r="H1074" i="141"/>
  <c r="H1076" i="141"/>
  <c r="H1078" i="141"/>
  <c r="H1083" i="141"/>
  <c r="I1017" i="141"/>
  <c r="I1031" i="141"/>
  <c r="I1039" i="141"/>
  <c r="I1045" i="141"/>
  <c r="I1049" i="141"/>
  <c r="I1059" i="141"/>
  <c r="I1068" i="141"/>
  <c r="I1074" i="141"/>
  <c r="I1076" i="141"/>
  <c r="I1078" i="141"/>
  <c r="I1083" i="141"/>
  <c r="J1017" i="141"/>
  <c r="J1031" i="141"/>
  <c r="J1039" i="141"/>
  <c r="J1045" i="141"/>
  <c r="J1049" i="141"/>
  <c r="J1059" i="141"/>
  <c r="J1071" i="141"/>
  <c r="J1074" i="141"/>
  <c r="J1076" i="141"/>
  <c r="J1078" i="141"/>
  <c r="J1083" i="141"/>
  <c r="K1017" i="141"/>
  <c r="K1031" i="141"/>
  <c r="K1039" i="141"/>
  <c r="K1045" i="141"/>
  <c r="K1049" i="141"/>
  <c r="K1059" i="141"/>
  <c r="K1071" i="141"/>
  <c r="K1068" i="141"/>
  <c r="K1074" i="141"/>
  <c r="K1076" i="141"/>
  <c r="K1078" i="141"/>
  <c r="K1083" i="141"/>
  <c r="L1017" i="141"/>
  <c r="L1031" i="141"/>
  <c r="L1039" i="141"/>
  <c r="L1045" i="141"/>
  <c r="L1049" i="141"/>
  <c r="L1059" i="141"/>
  <c r="L1071" i="141"/>
  <c r="L1068" i="141"/>
  <c r="L1074" i="141"/>
  <c r="L1076" i="141"/>
  <c r="L1078" i="141"/>
  <c r="L1083" i="141"/>
  <c r="M1017" i="141"/>
  <c r="M1031" i="141"/>
  <c r="M1039" i="141"/>
  <c r="M1045" i="141"/>
  <c r="M1049" i="141"/>
  <c r="M1059" i="141"/>
  <c r="M1071" i="141"/>
  <c r="M1068" i="141"/>
  <c r="M1074" i="141"/>
  <c r="M61" i="129"/>
  <c r="M1076" i="141"/>
  <c r="M63" i="129"/>
  <c r="M1078" i="141"/>
  <c r="M1083" i="141"/>
  <c r="N1017" i="141"/>
  <c r="N1031" i="141"/>
  <c r="N1039" i="141"/>
  <c r="N1045" i="141"/>
  <c r="N1049" i="141"/>
  <c r="N1059" i="141"/>
  <c r="N1071" i="141"/>
  <c r="N1068" i="141"/>
  <c r="N1074" i="141"/>
  <c r="N1076" i="141"/>
  <c r="N1078" i="141"/>
  <c r="N1083" i="141"/>
  <c r="C940" i="141"/>
  <c r="C954" i="141"/>
  <c r="C962" i="141"/>
  <c r="C968" i="141"/>
  <c r="C972" i="141"/>
  <c r="C982" i="141"/>
  <c r="C994" i="141"/>
  <c r="C997" i="141"/>
  <c r="C999" i="141"/>
  <c r="C1001" i="141"/>
  <c r="C1006" i="141"/>
  <c r="D940" i="141"/>
  <c r="D954" i="141"/>
  <c r="D962" i="141"/>
  <c r="D968" i="141"/>
  <c r="D972" i="141"/>
  <c r="D982" i="141"/>
  <c r="D994" i="141"/>
  <c r="D997" i="141"/>
  <c r="D999" i="141"/>
  <c r="D1001" i="141"/>
  <c r="D1006" i="141"/>
  <c r="E940" i="141"/>
  <c r="E954" i="141"/>
  <c r="E962" i="141"/>
  <c r="E968" i="141"/>
  <c r="E972" i="141"/>
  <c r="E982" i="141"/>
  <c r="E994" i="141"/>
  <c r="E991" i="141"/>
  <c r="E997" i="141"/>
  <c r="E999" i="141"/>
  <c r="E1001" i="141"/>
  <c r="E1006" i="141"/>
  <c r="F940" i="141"/>
  <c r="F954" i="141"/>
  <c r="F962" i="141"/>
  <c r="F968" i="141"/>
  <c r="F972" i="141"/>
  <c r="F982" i="141"/>
  <c r="F994" i="141"/>
  <c r="F991" i="141"/>
  <c r="F997" i="141"/>
  <c r="F999" i="141"/>
  <c r="F1001" i="141"/>
  <c r="F1006" i="141"/>
  <c r="G940" i="141"/>
  <c r="G954" i="141"/>
  <c r="G962" i="141"/>
  <c r="G968" i="141"/>
  <c r="G972" i="141"/>
  <c r="G982" i="141"/>
  <c r="G994" i="141"/>
  <c r="G991" i="141"/>
  <c r="G997" i="141"/>
  <c r="G999" i="141"/>
  <c r="G1001" i="141"/>
  <c r="G1006" i="141"/>
  <c r="H940" i="141"/>
  <c r="H954" i="141"/>
  <c r="H962" i="141"/>
  <c r="H968" i="141"/>
  <c r="H972" i="141"/>
  <c r="H982" i="141"/>
  <c r="H994" i="141"/>
  <c r="H991" i="141"/>
  <c r="H997" i="141"/>
  <c r="H999" i="141"/>
  <c r="H1001" i="141"/>
  <c r="H1006" i="141"/>
  <c r="I940" i="141"/>
  <c r="I954" i="141"/>
  <c r="I962" i="141"/>
  <c r="I968" i="141"/>
  <c r="I972" i="141"/>
  <c r="I982" i="141"/>
  <c r="I994" i="141"/>
  <c r="I991" i="141"/>
  <c r="I997" i="141"/>
  <c r="I999" i="141"/>
  <c r="I1001" i="141"/>
  <c r="I1006" i="141"/>
  <c r="J940" i="141"/>
  <c r="J954" i="141"/>
  <c r="J962" i="141"/>
  <c r="J968" i="141"/>
  <c r="J972" i="141"/>
  <c r="J982" i="141"/>
  <c r="J993" i="141"/>
  <c r="J994" i="141"/>
  <c r="J997" i="141"/>
  <c r="J999" i="141"/>
  <c r="J1001" i="141"/>
  <c r="J1006" i="141"/>
  <c r="K940" i="141"/>
  <c r="K954" i="141"/>
  <c r="K962" i="141"/>
  <c r="K968" i="141"/>
  <c r="K972" i="141"/>
  <c r="K982" i="141"/>
  <c r="K993" i="141"/>
  <c r="K994" i="141"/>
  <c r="K997" i="141"/>
  <c r="K999" i="141"/>
  <c r="K1001" i="141"/>
  <c r="K1006" i="141"/>
  <c r="L940" i="141"/>
  <c r="L954" i="141"/>
  <c r="L962" i="141"/>
  <c r="L968" i="141"/>
  <c r="L972" i="141"/>
  <c r="L982" i="141"/>
  <c r="L994" i="141"/>
  <c r="L991" i="141"/>
  <c r="L997" i="141"/>
  <c r="L999" i="141"/>
  <c r="L1001" i="141"/>
  <c r="L1006" i="141"/>
  <c r="M940" i="141"/>
  <c r="M954" i="141"/>
  <c r="M962" i="141"/>
  <c r="M968" i="141"/>
  <c r="M972" i="141"/>
  <c r="M982" i="141"/>
  <c r="M994" i="141"/>
  <c r="M997" i="141"/>
  <c r="N61" i="129"/>
  <c r="M999" i="141"/>
  <c r="N63" i="129"/>
  <c r="M1001" i="141"/>
  <c r="M1006" i="141"/>
  <c r="N940" i="141"/>
  <c r="N954" i="141"/>
  <c r="N962" i="141"/>
  <c r="N968" i="141"/>
  <c r="N972" i="141"/>
  <c r="N982" i="141"/>
  <c r="N993" i="141"/>
  <c r="N994" i="141"/>
  <c r="N997" i="141"/>
  <c r="N999" i="141"/>
  <c r="N1001" i="141"/>
  <c r="N1006" i="141"/>
  <c r="C866" i="141"/>
  <c r="C878" i="141"/>
  <c r="B17" i="137"/>
  <c r="C17" i="137"/>
  <c r="G17" i="137"/>
  <c r="C886" i="141"/>
  <c r="B18" i="137"/>
  <c r="C18" i="137"/>
  <c r="D18" i="137"/>
  <c r="E18" i="137"/>
  <c r="F18" i="137"/>
  <c r="G18" i="137"/>
  <c r="H18" i="137"/>
  <c r="I18" i="137"/>
  <c r="J18" i="137"/>
  <c r="K18" i="137"/>
  <c r="L18" i="137"/>
  <c r="C892" i="141"/>
  <c r="B19" i="137"/>
  <c r="C19" i="137"/>
  <c r="D19" i="137"/>
  <c r="E19" i="137"/>
  <c r="F19" i="137"/>
  <c r="G19" i="137"/>
  <c r="H19" i="137"/>
  <c r="I19" i="137"/>
  <c r="J19" i="137"/>
  <c r="K19" i="137"/>
  <c r="L19" i="137"/>
  <c r="C896" i="141"/>
  <c r="B20" i="137"/>
  <c r="C20" i="137"/>
  <c r="D20" i="137"/>
  <c r="E20" i="137"/>
  <c r="F20" i="137"/>
  <c r="G20" i="137"/>
  <c r="H20" i="137"/>
  <c r="I20" i="137"/>
  <c r="J20" i="137"/>
  <c r="K20" i="137"/>
  <c r="L20" i="137"/>
  <c r="C906" i="141"/>
  <c r="B21" i="137"/>
  <c r="C21" i="137"/>
  <c r="D21" i="137"/>
  <c r="E21" i="137"/>
  <c r="F21" i="137"/>
  <c r="G21" i="137"/>
  <c r="H21" i="137"/>
  <c r="I21" i="137"/>
  <c r="J21" i="137"/>
  <c r="K21" i="137"/>
  <c r="L21" i="137"/>
  <c r="C917" i="141"/>
  <c r="C918" i="141"/>
  <c r="C921" i="141"/>
  <c r="C923" i="141"/>
  <c r="C924" i="141"/>
  <c r="C925" i="141"/>
  <c r="C930" i="141"/>
  <c r="D866" i="141"/>
  <c r="D864" i="141"/>
  <c r="D878" i="141"/>
  <c r="D886" i="141"/>
  <c r="D892" i="141"/>
  <c r="D896" i="141"/>
  <c r="D906" i="141"/>
  <c r="D918" i="141"/>
  <c r="D915" i="141"/>
  <c r="D921" i="141"/>
  <c r="D923" i="141"/>
  <c r="D924" i="141"/>
  <c r="D925" i="141"/>
  <c r="D930" i="141"/>
  <c r="E866" i="141"/>
  <c r="E864" i="141"/>
  <c r="E882" i="141"/>
  <c r="E878" i="141"/>
  <c r="E886" i="141"/>
  <c r="E892" i="141"/>
  <c r="E896" i="141"/>
  <c r="E906" i="141"/>
  <c r="E918" i="141"/>
  <c r="E915" i="141"/>
  <c r="E921" i="141"/>
  <c r="E923" i="141"/>
  <c r="E924" i="141"/>
  <c r="E925" i="141"/>
  <c r="E930" i="141"/>
  <c r="F866" i="141"/>
  <c r="F864" i="141"/>
  <c r="F878" i="141"/>
  <c r="F886" i="141"/>
  <c r="F892" i="141"/>
  <c r="F896" i="141"/>
  <c r="F906" i="141"/>
  <c r="F917" i="141"/>
  <c r="F918" i="141"/>
  <c r="F921" i="141"/>
  <c r="F923" i="141"/>
  <c r="F924" i="141"/>
  <c r="F925" i="141"/>
  <c r="F930" i="141"/>
  <c r="G866" i="141"/>
  <c r="G864" i="141"/>
  <c r="G878" i="141"/>
  <c r="G886" i="141"/>
  <c r="G892" i="141"/>
  <c r="G896" i="141"/>
  <c r="G906" i="141"/>
  <c r="G918" i="141"/>
  <c r="G915" i="141"/>
  <c r="G921" i="141"/>
  <c r="G923" i="141"/>
  <c r="G924" i="141"/>
  <c r="G925" i="141"/>
  <c r="G930" i="141"/>
  <c r="H866" i="141"/>
  <c r="H864" i="141"/>
  <c r="H878" i="141"/>
  <c r="H886" i="141"/>
  <c r="H892" i="141"/>
  <c r="H896" i="141"/>
  <c r="H906" i="141"/>
  <c r="H917" i="141"/>
  <c r="H918" i="141"/>
  <c r="H921" i="141"/>
  <c r="H923" i="141"/>
  <c r="H924" i="141"/>
  <c r="H928" i="141"/>
  <c r="H930" i="141"/>
  <c r="I866" i="141"/>
  <c r="I864" i="141"/>
  <c r="I878" i="141"/>
  <c r="I886" i="141"/>
  <c r="I892" i="141"/>
  <c r="I896" i="141"/>
  <c r="I906" i="141"/>
  <c r="I917" i="141"/>
  <c r="I918" i="141"/>
  <c r="I921" i="141"/>
  <c r="I923" i="141"/>
  <c r="I924" i="141"/>
  <c r="I925" i="141"/>
  <c r="I930" i="141"/>
  <c r="J866" i="141"/>
  <c r="J864" i="141"/>
  <c r="J878" i="141"/>
  <c r="J886" i="141"/>
  <c r="J892" i="141"/>
  <c r="J896" i="141"/>
  <c r="J906" i="141"/>
  <c r="J917" i="141"/>
  <c r="J918" i="141"/>
  <c r="J921" i="141"/>
  <c r="J923" i="141"/>
  <c r="J924" i="141"/>
  <c r="J925" i="141"/>
  <c r="J930" i="141"/>
  <c r="K866" i="141"/>
  <c r="K878" i="141"/>
  <c r="K886" i="141"/>
  <c r="K892" i="141"/>
  <c r="K896" i="141"/>
  <c r="K906" i="141"/>
  <c r="K917" i="141"/>
  <c r="K918" i="141"/>
  <c r="K921" i="141"/>
  <c r="K923" i="141"/>
  <c r="K924" i="141"/>
  <c r="K925" i="141"/>
  <c r="K930" i="141"/>
  <c r="L866" i="141"/>
  <c r="L864" i="141"/>
  <c r="L878" i="141"/>
  <c r="L886" i="141"/>
  <c r="L892" i="141"/>
  <c r="L896" i="141"/>
  <c r="L906" i="141"/>
  <c r="L918" i="141"/>
  <c r="L915" i="141"/>
  <c r="L921" i="141"/>
  <c r="L923" i="141"/>
  <c r="L924" i="141"/>
  <c r="L925" i="141"/>
  <c r="L930" i="141"/>
  <c r="M866" i="141"/>
  <c r="M864" i="141"/>
  <c r="M878" i="141"/>
  <c r="M886" i="141"/>
  <c r="M892" i="141"/>
  <c r="M896" i="141"/>
  <c r="M906" i="141"/>
  <c r="M918" i="141"/>
  <c r="M921" i="141"/>
  <c r="O61" i="129"/>
  <c r="M923" i="141"/>
  <c r="O63" i="129"/>
  <c r="M924" i="141"/>
  <c r="O64" i="129"/>
  <c r="M925" i="141"/>
  <c r="M930" i="141"/>
  <c r="N866" i="141"/>
  <c r="N864" i="141"/>
  <c r="N878" i="141"/>
  <c r="N886" i="141"/>
  <c r="N892" i="141"/>
  <c r="N896" i="141"/>
  <c r="N906" i="141"/>
  <c r="N918" i="141"/>
  <c r="N915" i="141"/>
  <c r="N921" i="141"/>
  <c r="N923" i="141"/>
  <c r="N924" i="141"/>
  <c r="N925" i="141"/>
  <c r="N930" i="141"/>
  <c r="C789" i="141"/>
  <c r="C787" i="141"/>
  <c r="C801" i="141"/>
  <c r="C809" i="141"/>
  <c r="C815" i="141"/>
  <c r="C819" i="141"/>
  <c r="C829" i="141"/>
  <c r="C841" i="141"/>
  <c r="C838" i="141"/>
  <c r="P102" i="60"/>
  <c r="C846" i="141"/>
  <c r="C848" i="141"/>
  <c r="C853" i="141"/>
  <c r="D789" i="141"/>
  <c r="D787" i="141"/>
  <c r="D801" i="141"/>
  <c r="D809" i="141"/>
  <c r="D815" i="141"/>
  <c r="D819" i="141"/>
  <c r="D829" i="141"/>
  <c r="D841" i="141"/>
  <c r="D838" i="141"/>
  <c r="D846" i="141"/>
  <c r="D848" i="141"/>
  <c r="D853" i="141"/>
  <c r="E789" i="141"/>
  <c r="E787" i="141"/>
  <c r="E801" i="141"/>
  <c r="E809" i="141"/>
  <c r="E815" i="141"/>
  <c r="E819" i="141"/>
  <c r="E829" i="141"/>
  <c r="E841" i="141"/>
  <c r="E838" i="141"/>
  <c r="E846" i="141"/>
  <c r="E848" i="141"/>
  <c r="E853" i="141"/>
  <c r="F789" i="141"/>
  <c r="F787" i="141"/>
  <c r="F801" i="141"/>
  <c r="F809" i="141"/>
  <c r="F815" i="141"/>
  <c r="F819" i="141"/>
  <c r="F837" i="141"/>
  <c r="F829" i="141"/>
  <c r="F841" i="141"/>
  <c r="F838" i="141"/>
  <c r="F846" i="141"/>
  <c r="F848" i="141"/>
  <c r="F853" i="141"/>
  <c r="G789" i="141"/>
  <c r="G787" i="141"/>
  <c r="G801" i="141"/>
  <c r="G809" i="141"/>
  <c r="G815" i="141"/>
  <c r="G819" i="141"/>
  <c r="G829" i="141"/>
  <c r="G840" i="141"/>
  <c r="G841" i="141"/>
  <c r="G846" i="141"/>
  <c r="G848" i="141"/>
  <c r="G853" i="141"/>
  <c r="H789" i="141"/>
  <c r="H800" i="141"/>
  <c r="O800" i="141"/>
  <c r="H801" i="141"/>
  <c r="H809" i="141"/>
  <c r="H815" i="141"/>
  <c r="H819" i="141"/>
  <c r="H829" i="141"/>
  <c r="H841" i="141"/>
  <c r="H838" i="141"/>
  <c r="H846" i="141"/>
  <c r="H848" i="141"/>
  <c r="H853" i="141"/>
  <c r="I789" i="141"/>
  <c r="I787" i="141"/>
  <c r="I803" i="141"/>
  <c r="I809" i="141"/>
  <c r="I815" i="141"/>
  <c r="I825" i="141"/>
  <c r="I819" i="141"/>
  <c r="I829" i="141"/>
  <c r="I838" i="141"/>
  <c r="I846" i="141"/>
  <c r="I848" i="141"/>
  <c r="I853" i="141"/>
  <c r="J787" i="141"/>
  <c r="J803" i="141"/>
  <c r="J801" i="141"/>
  <c r="J809" i="141"/>
  <c r="J815" i="141"/>
  <c r="J819" i="141"/>
  <c r="J829" i="141"/>
  <c r="J840" i="141"/>
  <c r="J846" i="141"/>
  <c r="J848" i="141"/>
  <c r="J853" i="141"/>
  <c r="K787" i="141"/>
  <c r="K803" i="141"/>
  <c r="K801" i="141"/>
  <c r="K809" i="141"/>
  <c r="K815" i="141"/>
  <c r="K819" i="141"/>
  <c r="K829" i="141"/>
  <c r="K840" i="141"/>
  <c r="K838" i="141"/>
  <c r="K846" i="141"/>
  <c r="K848" i="141"/>
  <c r="K853" i="141"/>
  <c r="L787" i="141"/>
  <c r="L803" i="141"/>
  <c r="L801" i="141"/>
  <c r="L809" i="141"/>
  <c r="L815" i="141"/>
  <c r="L819" i="141"/>
  <c r="L829" i="141"/>
  <c r="L840" i="141"/>
  <c r="L841" i="141"/>
  <c r="L846" i="141"/>
  <c r="L848" i="141"/>
  <c r="L853" i="141"/>
  <c r="M787" i="141"/>
  <c r="M803" i="141"/>
  <c r="M809" i="141"/>
  <c r="M815" i="141"/>
  <c r="M819" i="141"/>
  <c r="M829" i="141"/>
  <c r="M840" i="141"/>
  <c r="M838" i="141"/>
  <c r="M846" i="141"/>
  <c r="P63" i="129"/>
  <c r="M848" i="141"/>
  <c r="M853" i="141"/>
  <c r="N787" i="141"/>
  <c r="N803" i="141"/>
  <c r="N801" i="141"/>
  <c r="N809" i="141"/>
  <c r="N815" i="141"/>
  <c r="N819" i="141"/>
  <c r="N829" i="141"/>
  <c r="N840" i="141"/>
  <c r="N838" i="141"/>
  <c r="N846" i="141"/>
  <c r="N848" i="141"/>
  <c r="N853" i="141"/>
  <c r="C710" i="141"/>
  <c r="C726" i="141"/>
  <c r="C724" i="141"/>
  <c r="C732" i="141"/>
  <c r="C738" i="141"/>
  <c r="C742" i="141"/>
  <c r="C752" i="141"/>
  <c r="C763" i="141"/>
  <c r="C761" i="141"/>
  <c r="C767" i="141"/>
  <c r="C770" i="141"/>
  <c r="C771" i="141"/>
  <c r="C776" i="141"/>
  <c r="D710" i="141"/>
  <c r="D726" i="141"/>
  <c r="D727" i="141"/>
  <c r="D732" i="141"/>
  <c r="D738" i="141"/>
  <c r="D742" i="141"/>
  <c r="D752" i="141"/>
  <c r="D763" i="141"/>
  <c r="D761" i="141"/>
  <c r="D767" i="141"/>
  <c r="D770" i="141"/>
  <c r="D771" i="141"/>
  <c r="D776" i="141"/>
  <c r="E710" i="141"/>
  <c r="E726" i="141"/>
  <c r="E727" i="141"/>
  <c r="E732" i="141"/>
  <c r="E738" i="141"/>
  <c r="E742" i="141"/>
  <c r="E752" i="141"/>
  <c r="E763" i="141"/>
  <c r="E761" i="141"/>
  <c r="E767" i="141"/>
  <c r="E770" i="141"/>
  <c r="E771" i="141"/>
  <c r="E776" i="141"/>
  <c r="F710" i="141"/>
  <c r="F726" i="141"/>
  <c r="F727" i="141"/>
  <c r="F732" i="141"/>
  <c r="F738" i="141"/>
  <c r="F742" i="141"/>
  <c r="F752" i="141"/>
  <c r="F763" i="141"/>
  <c r="F761" i="141"/>
  <c r="F767" i="141"/>
  <c r="F770" i="141"/>
  <c r="F771" i="141"/>
  <c r="F776" i="141"/>
  <c r="G710" i="141"/>
  <c r="G726" i="141"/>
  <c r="G727" i="141"/>
  <c r="G732" i="141"/>
  <c r="G738" i="141"/>
  <c r="G742" i="141"/>
  <c r="G752" i="141"/>
  <c r="G763" i="141"/>
  <c r="G761" i="141"/>
  <c r="G767" i="141"/>
  <c r="G770" i="141"/>
  <c r="G771" i="141"/>
  <c r="G776" i="141"/>
  <c r="H710" i="141"/>
  <c r="H726" i="141"/>
  <c r="H727" i="141"/>
  <c r="H732" i="141"/>
  <c r="H738" i="141"/>
  <c r="H742" i="141"/>
  <c r="H752" i="141"/>
  <c r="H761" i="141"/>
  <c r="H767" i="141"/>
  <c r="H770" i="141"/>
  <c r="H771" i="141"/>
  <c r="H776" i="141"/>
  <c r="I710" i="141"/>
  <c r="I726" i="141"/>
  <c r="I727" i="141"/>
  <c r="I732" i="141"/>
  <c r="I738" i="141"/>
  <c r="I742" i="141"/>
  <c r="I752" i="141"/>
  <c r="I761" i="141"/>
  <c r="I767" i="141"/>
  <c r="I770" i="141"/>
  <c r="I771" i="141"/>
  <c r="I776" i="141"/>
  <c r="J710" i="141"/>
  <c r="J726" i="141"/>
  <c r="J727" i="141"/>
  <c r="J732" i="141"/>
  <c r="J738" i="141"/>
  <c r="J742" i="141"/>
  <c r="J752" i="141"/>
  <c r="J764" i="141"/>
  <c r="J761" i="141"/>
  <c r="J767" i="141"/>
  <c r="J770" i="141"/>
  <c r="J771" i="141"/>
  <c r="J776" i="141"/>
  <c r="K710" i="141"/>
  <c r="K726" i="141"/>
  <c r="K727" i="141"/>
  <c r="K735" i="141"/>
  <c r="K738" i="141"/>
  <c r="K742" i="141"/>
  <c r="K752" i="141"/>
  <c r="K763" i="141"/>
  <c r="K764" i="141"/>
  <c r="K767" i="141"/>
  <c r="K770" i="141"/>
  <c r="K771" i="141"/>
  <c r="K776" i="141"/>
  <c r="L710" i="141"/>
  <c r="L726" i="141"/>
  <c r="L727" i="141"/>
  <c r="L735" i="141"/>
  <c r="L732" i="141"/>
  <c r="L738" i="141"/>
  <c r="L742" i="141"/>
  <c r="L752" i="141"/>
  <c r="L763" i="141"/>
  <c r="L761" i="141"/>
  <c r="L767" i="141"/>
  <c r="L770" i="141"/>
  <c r="L771" i="141"/>
  <c r="L776" i="141"/>
  <c r="M710" i="141"/>
  <c r="M726" i="141"/>
  <c r="M727" i="141"/>
  <c r="Q21" i="129"/>
  <c r="M735" i="141"/>
  <c r="M738" i="141"/>
  <c r="M742" i="141"/>
  <c r="M752" i="141"/>
  <c r="M763" i="141"/>
  <c r="M767" i="141"/>
  <c r="Q61" i="129"/>
  <c r="M770" i="141"/>
  <c r="Q64" i="129"/>
  <c r="M771" i="141"/>
  <c r="M776" i="141"/>
  <c r="N710" i="141"/>
  <c r="N726" i="141"/>
  <c r="N727" i="141"/>
  <c r="N735" i="141"/>
  <c r="N732" i="141"/>
  <c r="N738" i="141"/>
  <c r="N751" i="141"/>
  <c r="O751" i="141"/>
  <c r="R47" i="35"/>
  <c r="N752" i="141"/>
  <c r="N763" i="141"/>
  <c r="N761" i="141"/>
  <c r="N767" i="141"/>
  <c r="N770" i="141"/>
  <c r="N771" i="141"/>
  <c r="N776" i="141"/>
  <c r="C633" i="141"/>
  <c r="C649" i="141"/>
  <c r="C647" i="141"/>
  <c r="C655" i="141"/>
  <c r="C661" i="141"/>
  <c r="C681" i="141"/>
  <c r="C665" i="141"/>
  <c r="C686" i="141"/>
  <c r="C701" i="141"/>
  <c r="C699" i="141"/>
  <c r="C694" i="141"/>
  <c r="C690" i="141"/>
  <c r="C693" i="141"/>
  <c r="D633" i="141"/>
  <c r="D649" i="141"/>
  <c r="D650" i="141"/>
  <c r="D655" i="141"/>
  <c r="D661" i="141"/>
  <c r="D681" i="141"/>
  <c r="D675" i="141"/>
  <c r="D665" i="141"/>
  <c r="D686" i="141"/>
  <c r="D684" i="141"/>
  <c r="D699" i="141"/>
  <c r="D694" i="141"/>
  <c r="D690" i="141"/>
  <c r="D693" i="141"/>
  <c r="E633" i="141"/>
  <c r="E649" i="141"/>
  <c r="E650" i="141"/>
  <c r="E655" i="141"/>
  <c r="E661" i="141"/>
  <c r="E675" i="141"/>
  <c r="E665" i="141"/>
  <c r="E686" i="141"/>
  <c r="E684" i="141"/>
  <c r="E699" i="141"/>
  <c r="E694" i="141"/>
  <c r="E690" i="141"/>
  <c r="E693" i="141"/>
  <c r="F633" i="141"/>
  <c r="F649" i="141"/>
  <c r="F650" i="141"/>
  <c r="F655" i="141"/>
  <c r="F661" i="141"/>
  <c r="F675" i="141"/>
  <c r="F665" i="141"/>
  <c r="F686" i="141"/>
  <c r="F687" i="141"/>
  <c r="F701" i="141"/>
  <c r="F694" i="141"/>
  <c r="F690" i="141"/>
  <c r="F693" i="141"/>
  <c r="G633" i="141"/>
  <c r="G649" i="141"/>
  <c r="G650" i="141"/>
  <c r="G655" i="141"/>
  <c r="G661" i="141"/>
  <c r="G675" i="141"/>
  <c r="G665" i="141"/>
  <c r="G686" i="141"/>
  <c r="G684" i="141"/>
  <c r="G699" i="141"/>
  <c r="G694" i="141"/>
  <c r="G690" i="141"/>
  <c r="G693" i="141"/>
  <c r="H633" i="141"/>
  <c r="H649" i="141"/>
  <c r="H650" i="141"/>
  <c r="H655" i="141"/>
  <c r="H661" i="141"/>
  <c r="H675" i="141"/>
  <c r="H665" i="141"/>
  <c r="H686" i="141"/>
  <c r="H684" i="141"/>
  <c r="H699" i="141"/>
  <c r="H694" i="141"/>
  <c r="H690" i="141"/>
  <c r="H693" i="141"/>
  <c r="I633" i="141"/>
  <c r="I649" i="141"/>
  <c r="I650" i="141"/>
  <c r="I651" i="141"/>
  <c r="O651" i="141"/>
  <c r="S24" i="35"/>
  <c r="Q22" i="136"/>
  <c r="R22" i="136"/>
  <c r="I655" i="141"/>
  <c r="I661" i="141"/>
  <c r="I675" i="141"/>
  <c r="I665" i="141"/>
  <c r="I686" i="141"/>
  <c r="I687" i="141"/>
  <c r="I699" i="141"/>
  <c r="I694" i="141"/>
  <c r="I690" i="141"/>
  <c r="I693" i="141"/>
  <c r="J633" i="141"/>
  <c r="J649" i="141"/>
  <c r="J650" i="141"/>
  <c r="J655" i="141"/>
  <c r="J661" i="141"/>
  <c r="J675" i="141"/>
  <c r="J665" i="141"/>
  <c r="J684" i="141"/>
  <c r="J699" i="141"/>
  <c r="J694" i="141"/>
  <c r="J690" i="141"/>
  <c r="J693" i="141"/>
  <c r="K633" i="141"/>
  <c r="K649" i="141"/>
  <c r="K650" i="141"/>
  <c r="K658" i="141"/>
  <c r="K655" i="141"/>
  <c r="K661" i="141"/>
  <c r="K675" i="141"/>
  <c r="K665" i="141"/>
  <c r="K686" i="141"/>
  <c r="K684" i="141"/>
  <c r="K699" i="141"/>
  <c r="K694" i="141"/>
  <c r="K690" i="141"/>
  <c r="K693" i="141"/>
  <c r="L633" i="141"/>
  <c r="L649" i="141"/>
  <c r="L650" i="141"/>
  <c r="L655" i="141"/>
  <c r="L661" i="141"/>
  <c r="L675" i="141"/>
  <c r="L665" i="141"/>
  <c r="L684" i="141"/>
  <c r="L699" i="141"/>
  <c r="L694" i="141"/>
  <c r="L690" i="141"/>
  <c r="L693" i="141"/>
  <c r="M633" i="141"/>
  <c r="M649" i="141"/>
  <c r="M650" i="141"/>
  <c r="M655" i="141"/>
  <c r="M661" i="141"/>
  <c r="M675" i="141"/>
  <c r="M665" i="141"/>
  <c r="M686" i="141"/>
  <c r="M684" i="141"/>
  <c r="M699" i="141"/>
  <c r="M694" i="141"/>
  <c r="M690" i="141"/>
  <c r="M693" i="141"/>
  <c r="N633" i="141"/>
  <c r="N649" i="141"/>
  <c r="N650" i="141"/>
  <c r="N658" i="141"/>
  <c r="N655" i="141"/>
  <c r="N661" i="141"/>
  <c r="N675" i="141"/>
  <c r="N665" i="141"/>
  <c r="N684" i="141"/>
  <c r="N699" i="141"/>
  <c r="N694" i="141"/>
  <c r="N690" i="141"/>
  <c r="N693" i="141"/>
  <c r="C556" i="141"/>
  <c r="C572" i="141"/>
  <c r="C573" i="141"/>
  <c r="C580" i="141"/>
  <c r="C581" i="141"/>
  <c r="C582" i="141"/>
  <c r="C583" i="141"/>
  <c r="C586" i="141"/>
  <c r="C587" i="141"/>
  <c r="C600" i="141"/>
  <c r="C601" i="141"/>
  <c r="C602" i="141"/>
  <c r="C603" i="141"/>
  <c r="C604" i="141"/>
  <c r="C606" i="141"/>
  <c r="C588" i="141"/>
  <c r="BS7" i="47"/>
  <c r="BS8" i="47"/>
  <c r="BS10" i="47"/>
  <c r="C610" i="141"/>
  <c r="C622" i="141"/>
  <c r="C613" i="141"/>
  <c r="C614" i="141"/>
  <c r="C616" i="141"/>
  <c r="C619" i="141"/>
  <c r="C620" i="141"/>
  <c r="C621" i="141"/>
  <c r="D556" i="141"/>
  <c r="D572" i="141"/>
  <c r="D573" i="141"/>
  <c r="D580" i="141"/>
  <c r="D581" i="141"/>
  <c r="D582" i="141"/>
  <c r="D583" i="141"/>
  <c r="D586" i="141"/>
  <c r="D587" i="141"/>
  <c r="D600" i="141"/>
  <c r="D601" i="141"/>
  <c r="D602" i="141"/>
  <c r="D603" i="141"/>
  <c r="D604" i="141"/>
  <c r="D606" i="141"/>
  <c r="D588" i="141"/>
  <c r="D609" i="141"/>
  <c r="D610" i="141"/>
  <c r="D622" i="141"/>
  <c r="D613" i="141"/>
  <c r="D614" i="141"/>
  <c r="D616" i="141"/>
  <c r="D619" i="141"/>
  <c r="D620" i="141"/>
  <c r="D621" i="141"/>
  <c r="E556" i="141"/>
  <c r="E572" i="141"/>
  <c r="E573" i="141"/>
  <c r="BT63" i="45"/>
  <c r="E604" i="141"/>
  <c r="E588" i="141"/>
  <c r="E622" i="141"/>
  <c r="E613" i="141"/>
  <c r="E616" i="141"/>
  <c r="F556" i="141"/>
  <c r="F572" i="141"/>
  <c r="F573" i="141"/>
  <c r="BT91" i="61"/>
  <c r="F588" i="141"/>
  <c r="F622" i="141"/>
  <c r="F613" i="141"/>
  <c r="F616" i="141"/>
  <c r="G556" i="141"/>
  <c r="G572" i="141"/>
  <c r="G573" i="141"/>
  <c r="BT103" i="44"/>
  <c r="G600" i="141"/>
  <c r="G588" i="141"/>
  <c r="G622" i="141"/>
  <c r="G613" i="141"/>
  <c r="G616" i="141"/>
  <c r="H556" i="141"/>
  <c r="H572" i="141"/>
  <c r="H573" i="141"/>
  <c r="BT119" i="50"/>
  <c r="H583" i="141"/>
  <c r="H588" i="141"/>
  <c r="BS82" i="50"/>
  <c r="BS119" i="50"/>
  <c r="H622" i="141"/>
  <c r="H613" i="141"/>
  <c r="H616" i="141"/>
  <c r="I556" i="141"/>
  <c r="I572" i="141"/>
  <c r="I573" i="141"/>
  <c r="BT107" i="51"/>
  <c r="I580" i="141"/>
  <c r="I588" i="141"/>
  <c r="BS28" i="51"/>
  <c r="I622" i="141"/>
  <c r="I613" i="141"/>
  <c r="I616" i="141"/>
  <c r="J556" i="141"/>
  <c r="J572" i="141"/>
  <c r="J573" i="141"/>
  <c r="BT100" i="52"/>
  <c r="J602" i="141"/>
  <c r="J588" i="141"/>
  <c r="J622" i="141"/>
  <c r="J613" i="141"/>
  <c r="J616" i="141"/>
  <c r="K556" i="141"/>
  <c r="K572" i="141"/>
  <c r="K573" i="141"/>
  <c r="BT100" i="55"/>
  <c r="K597" i="141"/>
  <c r="K588" i="141"/>
  <c r="BS6" i="55"/>
  <c r="BS7" i="55"/>
  <c r="BS8" i="55"/>
  <c r="K622" i="141"/>
  <c r="K613" i="141"/>
  <c r="K616" i="141"/>
  <c r="BS69" i="55"/>
  <c r="L556" i="141"/>
  <c r="L572" i="141"/>
  <c r="L573" i="141"/>
  <c r="BT97" i="54"/>
  <c r="L580" i="141"/>
  <c r="L588" i="141"/>
  <c r="L622" i="141"/>
  <c r="L613" i="141"/>
  <c r="L616" i="141"/>
  <c r="M556" i="141"/>
  <c r="M572" i="141"/>
  <c r="M573" i="141"/>
  <c r="BT95" i="53"/>
  <c r="M604" i="141"/>
  <c r="M588" i="141"/>
  <c r="M622" i="141"/>
  <c r="M613" i="141"/>
  <c r="M616" i="141"/>
  <c r="N556" i="141"/>
  <c r="N572" i="141"/>
  <c r="N573" i="141"/>
  <c r="BT111" i="49"/>
  <c r="N588" i="141"/>
  <c r="N622" i="141"/>
  <c r="N613" i="141"/>
  <c r="N616" i="141"/>
  <c r="C480" i="141"/>
  <c r="C496" i="141"/>
  <c r="C504" i="141"/>
  <c r="C505" i="141"/>
  <c r="C506" i="141"/>
  <c r="C507" i="141"/>
  <c r="C510" i="141"/>
  <c r="C511" i="141"/>
  <c r="C524" i="141"/>
  <c r="C525" i="141"/>
  <c r="C526" i="141"/>
  <c r="C527" i="141"/>
  <c r="C528" i="141"/>
  <c r="C529" i="141"/>
  <c r="C530" i="141"/>
  <c r="C517" i="141"/>
  <c r="C512" i="141"/>
  <c r="BW7" i="47"/>
  <c r="BW8" i="47"/>
  <c r="C534" i="141"/>
  <c r="C546" i="141"/>
  <c r="C543" i="141"/>
  <c r="C544" i="141"/>
  <c r="C545" i="141"/>
  <c r="C537" i="141"/>
  <c r="C538" i="141"/>
  <c r="C540" i="141"/>
  <c r="D480" i="141"/>
  <c r="D496" i="141"/>
  <c r="D494" i="141"/>
  <c r="D504" i="141"/>
  <c r="D505" i="141"/>
  <c r="D506" i="141"/>
  <c r="D507" i="141"/>
  <c r="D510" i="141"/>
  <c r="D511" i="141"/>
  <c r="D524" i="141"/>
  <c r="D525" i="141"/>
  <c r="D526" i="141"/>
  <c r="D527" i="141"/>
  <c r="D528" i="141"/>
  <c r="D529" i="141"/>
  <c r="D530" i="141"/>
  <c r="D512" i="141"/>
  <c r="D533" i="141"/>
  <c r="D534" i="141"/>
  <c r="D546" i="141"/>
  <c r="D543" i="141"/>
  <c r="D544" i="141"/>
  <c r="D545" i="141"/>
  <c r="D537" i="141"/>
  <c r="D538" i="141"/>
  <c r="D540" i="141"/>
  <c r="E480" i="141"/>
  <c r="E496" i="141"/>
  <c r="E494" i="141"/>
  <c r="BX63" i="45"/>
  <c r="E538" i="141"/>
  <c r="E512" i="141"/>
  <c r="E546" i="141"/>
  <c r="E537" i="141"/>
  <c r="E540" i="141"/>
  <c r="F480" i="141"/>
  <c r="F496" i="141"/>
  <c r="F494" i="141"/>
  <c r="BX91" i="61"/>
  <c r="F510" i="141"/>
  <c r="F512" i="141"/>
  <c r="F546" i="141"/>
  <c r="F537" i="141"/>
  <c r="F540" i="141"/>
  <c r="G480" i="141"/>
  <c r="G496" i="141"/>
  <c r="G494" i="141"/>
  <c r="BX103" i="44"/>
  <c r="G525" i="141"/>
  <c r="G512" i="141"/>
  <c r="G546" i="141"/>
  <c r="G540" i="141"/>
  <c r="H480" i="141"/>
  <c r="H496" i="141"/>
  <c r="H498" i="141"/>
  <c r="BX119" i="50"/>
  <c r="H525" i="141"/>
  <c r="H512" i="141"/>
  <c r="BW14" i="50"/>
  <c r="H546" i="141"/>
  <c r="H537" i="141"/>
  <c r="H540" i="141"/>
  <c r="I480" i="141"/>
  <c r="I496" i="141"/>
  <c r="I494" i="141"/>
  <c r="I525" i="141"/>
  <c r="I512" i="141"/>
  <c r="I546" i="141"/>
  <c r="I537" i="141"/>
  <c r="I540" i="141"/>
  <c r="J480" i="141"/>
  <c r="J496" i="141"/>
  <c r="J497" i="141"/>
  <c r="BX93" i="52"/>
  <c r="J525" i="141"/>
  <c r="J512" i="141"/>
  <c r="J546" i="141"/>
  <c r="J537" i="141"/>
  <c r="J540" i="141"/>
  <c r="K482" i="141"/>
  <c r="BX100" i="55"/>
  <c r="K467" i="141"/>
  <c r="K496" i="141"/>
  <c r="K497" i="141"/>
  <c r="K512" i="141"/>
  <c r="K546" i="141"/>
  <c r="K537" i="141"/>
  <c r="K540" i="141"/>
  <c r="L482" i="141"/>
  <c r="L411" i="141"/>
  <c r="L488" i="141"/>
  <c r="BX111" i="54"/>
  <c r="L511" i="141"/>
  <c r="L496" i="141"/>
  <c r="L515" i="141"/>
  <c r="O515" i="141"/>
  <c r="L516" i="141"/>
  <c r="L518" i="141"/>
  <c r="L546" i="141"/>
  <c r="L537" i="141"/>
  <c r="L540" i="141"/>
  <c r="I3" i="148"/>
  <c r="B358" i="148"/>
  <c r="C358" i="148"/>
  <c r="M411" i="141"/>
  <c r="M488" i="141"/>
  <c r="BX100" i="53"/>
  <c r="M504" i="141"/>
  <c r="M496" i="141"/>
  <c r="M494" i="141"/>
  <c r="M516" i="141"/>
  <c r="M518" i="141"/>
  <c r="M546" i="141"/>
  <c r="M537" i="141"/>
  <c r="M540" i="141"/>
  <c r="N411" i="141"/>
  <c r="N488" i="141"/>
  <c r="BX109" i="49"/>
  <c r="N538" i="141"/>
  <c r="N496" i="141"/>
  <c r="N494" i="141"/>
  <c r="N516" i="141"/>
  <c r="N518" i="141"/>
  <c r="BW7" i="49"/>
  <c r="N546" i="141"/>
  <c r="N537" i="141"/>
  <c r="N540" i="141"/>
  <c r="C411" i="141"/>
  <c r="C416" i="141"/>
  <c r="C419" i="141"/>
  <c r="C420" i="141"/>
  <c r="C427" i="141"/>
  <c r="C428" i="141"/>
  <c r="C429" i="141"/>
  <c r="C430" i="141"/>
  <c r="C433" i="141"/>
  <c r="E9" i="149"/>
  <c r="E38" i="149"/>
  <c r="C434" i="141"/>
  <c r="C447" i="141"/>
  <c r="C448" i="141"/>
  <c r="C449" i="141"/>
  <c r="C450" i="141"/>
  <c r="C451" i="141"/>
  <c r="C452" i="141"/>
  <c r="C453" i="141"/>
  <c r="C439" i="141"/>
  <c r="C441" i="141"/>
  <c r="CA9" i="47"/>
  <c r="C456" i="141"/>
  <c r="C457" i="141"/>
  <c r="C469" i="141"/>
  <c r="C460" i="141"/>
  <c r="C461" i="141"/>
  <c r="C463" i="141"/>
  <c r="D411" i="141"/>
  <c r="D416" i="141"/>
  <c r="D419" i="141"/>
  <c r="D420" i="141"/>
  <c r="D427" i="141"/>
  <c r="D428" i="141"/>
  <c r="D429" i="141"/>
  <c r="D430" i="141"/>
  <c r="D433" i="141"/>
  <c r="F9" i="149"/>
  <c r="D434" i="141"/>
  <c r="D447" i="141"/>
  <c r="D448" i="141"/>
  <c r="D449" i="141"/>
  <c r="D450" i="141"/>
  <c r="D451" i="141"/>
  <c r="D452" i="141"/>
  <c r="D453" i="141"/>
  <c r="D439" i="141"/>
  <c r="D441" i="141"/>
  <c r="CA10" i="46"/>
  <c r="D456" i="141"/>
  <c r="D457" i="141"/>
  <c r="D469" i="141"/>
  <c r="D460" i="141"/>
  <c r="D461" i="141"/>
  <c r="D463" i="141"/>
  <c r="E411" i="141"/>
  <c r="CB66" i="45"/>
  <c r="E449" i="141"/>
  <c r="E419" i="141"/>
  <c r="E420" i="141"/>
  <c r="E423" i="141"/>
  <c r="E439" i="141"/>
  <c r="E441" i="141"/>
  <c r="CA8" i="45"/>
  <c r="E469" i="141"/>
  <c r="E460" i="141"/>
  <c r="E463" i="141"/>
  <c r="F411" i="141"/>
  <c r="CB91" i="61"/>
  <c r="F427" i="141"/>
  <c r="F419" i="141"/>
  <c r="F420" i="141"/>
  <c r="F439" i="141"/>
  <c r="F441" i="141"/>
  <c r="CA7" i="61"/>
  <c r="F469" i="141"/>
  <c r="F460" i="141"/>
  <c r="F463" i="141"/>
  <c r="G411" i="141"/>
  <c r="G419" i="141"/>
  <c r="G420" i="141"/>
  <c r="CB100" i="44"/>
  <c r="G461" i="141"/>
  <c r="G439" i="141"/>
  <c r="G441" i="141"/>
  <c r="G469" i="141"/>
  <c r="G460" i="141"/>
  <c r="G463" i="141"/>
  <c r="I411" i="141"/>
  <c r="CB103" i="51"/>
  <c r="I416" i="141"/>
  <c r="I419" i="141"/>
  <c r="I420" i="141"/>
  <c r="I439" i="141"/>
  <c r="I441" i="141"/>
  <c r="I469" i="141"/>
  <c r="I460" i="141"/>
  <c r="I463" i="141"/>
  <c r="J411" i="141"/>
  <c r="J439" i="141"/>
  <c r="J441" i="141"/>
  <c r="J469" i="141"/>
  <c r="J460" i="141"/>
  <c r="J463" i="141"/>
  <c r="K411" i="141"/>
  <c r="K439" i="141"/>
  <c r="K441" i="141"/>
  <c r="K469" i="141"/>
  <c r="K460" i="141"/>
  <c r="K463" i="141"/>
  <c r="L439" i="141"/>
  <c r="L469" i="141"/>
  <c r="L460" i="141"/>
  <c r="L463" i="141"/>
  <c r="M439" i="141"/>
  <c r="M441" i="141"/>
  <c r="M469" i="141"/>
  <c r="M460" i="141"/>
  <c r="M463" i="141"/>
  <c r="N439" i="141"/>
  <c r="N441" i="141"/>
  <c r="N469" i="141"/>
  <c r="N460" i="141"/>
  <c r="N463" i="141"/>
  <c r="H411" i="141"/>
  <c r="H419" i="141"/>
  <c r="H420" i="141"/>
  <c r="CB119" i="50"/>
  <c r="H430" i="141"/>
  <c r="H439" i="141"/>
  <c r="H441" i="141"/>
  <c r="H469" i="141"/>
  <c r="H460" i="141"/>
  <c r="H463" i="141"/>
  <c r="AB25" i="60"/>
  <c r="AB60" i="60"/>
  <c r="AB91" i="60"/>
  <c r="AB112" i="60"/>
  <c r="AB85" i="60"/>
  <c r="AB116" i="60"/>
  <c r="AB10" i="60"/>
  <c r="AB119" i="60"/>
  <c r="AA10" i="60"/>
  <c r="AA23" i="60"/>
  <c r="AA24" i="60"/>
  <c r="AA25" i="60"/>
  <c r="AA19" i="60"/>
  <c r="AA13" i="60"/>
  <c r="AA119" i="60"/>
  <c r="AA116" i="60"/>
  <c r="AA112" i="60"/>
  <c r="AB113" i="60"/>
  <c r="AA60" i="60"/>
  <c r="AA62" i="60"/>
  <c r="AA85" i="60"/>
  <c r="AA88" i="60"/>
  <c r="AA91" i="60"/>
  <c r="AB59" i="60"/>
  <c r="AB52" i="60"/>
  <c r="AA52" i="60"/>
  <c r="AB49" i="60"/>
  <c r="AB47" i="60"/>
  <c r="AB46" i="60"/>
  <c r="AB44" i="60"/>
  <c r="AB43" i="60"/>
  <c r="K165" i="60"/>
  <c r="L165" i="60"/>
  <c r="K174" i="60"/>
  <c r="L174" i="60"/>
  <c r="K173" i="60"/>
  <c r="L173" i="60"/>
  <c r="K172" i="60"/>
  <c r="L172" i="60"/>
  <c r="K171" i="60"/>
  <c r="L171" i="60"/>
  <c r="K170" i="60"/>
  <c r="L170" i="60"/>
  <c r="K169" i="60"/>
  <c r="L169" i="60"/>
  <c r="K168" i="60"/>
  <c r="L168" i="60"/>
  <c r="K167" i="60"/>
  <c r="L167" i="60"/>
  <c r="K166" i="60"/>
  <c r="L166" i="60"/>
  <c r="CA103" i="51"/>
  <c r="CA105" i="51"/>
  <c r="AH38" i="60"/>
  <c r="CA14" i="50"/>
  <c r="CA119" i="50"/>
  <c r="CA121" i="50"/>
  <c r="N174" i="60"/>
  <c r="N173" i="60"/>
  <c r="N172" i="60"/>
  <c r="N171" i="60"/>
  <c r="N170" i="60"/>
  <c r="N169" i="60"/>
  <c r="N168" i="60"/>
  <c r="N167" i="60"/>
  <c r="N166" i="60"/>
  <c r="N165" i="60"/>
  <c r="N164" i="60"/>
  <c r="P176" i="60"/>
  <c r="F36" i="150"/>
  <c r="C36" i="150"/>
  <c r="B36" i="150"/>
  <c r="F35" i="150"/>
  <c r="C35" i="150"/>
  <c r="B35" i="150"/>
  <c r="F34" i="150"/>
  <c r="C34" i="150"/>
  <c r="B34" i="150"/>
  <c r="F33" i="150"/>
  <c r="C33" i="150"/>
  <c r="B33" i="150"/>
  <c r="F32" i="150"/>
  <c r="C32" i="150"/>
  <c r="B32" i="150"/>
  <c r="F31" i="150"/>
  <c r="C31" i="150"/>
  <c r="B31" i="150"/>
  <c r="F30" i="150"/>
  <c r="C30" i="150"/>
  <c r="B30" i="150"/>
  <c r="F29" i="150"/>
  <c r="C29" i="150"/>
  <c r="B29" i="150"/>
  <c r="F28" i="150"/>
  <c r="C28" i="150"/>
  <c r="B28" i="150"/>
  <c r="F27" i="150"/>
  <c r="C27" i="150"/>
  <c r="B27" i="150"/>
  <c r="F26" i="150"/>
  <c r="C26" i="150"/>
  <c r="B26" i="150"/>
  <c r="F25" i="150"/>
  <c r="C25" i="150"/>
  <c r="B25" i="150"/>
  <c r="J16" i="150"/>
  <c r="K16" i="150"/>
  <c r="J15" i="150"/>
  <c r="K15" i="150"/>
  <c r="J14" i="150"/>
  <c r="K14" i="150"/>
  <c r="J13" i="150"/>
  <c r="K13" i="150"/>
  <c r="J12" i="150"/>
  <c r="K12" i="150"/>
  <c r="J11" i="150"/>
  <c r="K11" i="150"/>
  <c r="J10" i="150"/>
  <c r="K10" i="150"/>
  <c r="J9" i="150"/>
  <c r="K9" i="150"/>
  <c r="J8" i="150"/>
  <c r="K8" i="150"/>
  <c r="J7" i="150"/>
  <c r="K7" i="150"/>
  <c r="J6" i="150"/>
  <c r="K6" i="150"/>
  <c r="J5" i="150"/>
  <c r="K5" i="150"/>
  <c r="J4" i="150"/>
  <c r="K4" i="150"/>
  <c r="CA100" i="44"/>
  <c r="B27" i="149"/>
  <c r="E4" i="149"/>
  <c r="P3" i="149"/>
  <c r="O3" i="149"/>
  <c r="N3" i="149"/>
  <c r="M3" i="149"/>
  <c r="L3" i="149"/>
  <c r="K3" i="149"/>
  <c r="J3" i="149"/>
  <c r="U428" i="141"/>
  <c r="U429" i="141"/>
  <c r="S415" i="141"/>
  <c r="S414" i="141"/>
  <c r="E33" i="149"/>
  <c r="D33" i="149"/>
  <c r="C33" i="149"/>
  <c r="B33" i="149"/>
  <c r="D468" i="141"/>
  <c r="D467" i="141"/>
  <c r="D466" i="141"/>
  <c r="P2" i="149"/>
  <c r="O2" i="149"/>
  <c r="O33" i="149"/>
  <c r="N2" i="149"/>
  <c r="N33" i="149"/>
  <c r="M2" i="149"/>
  <c r="M33" i="149"/>
  <c r="L2" i="149"/>
  <c r="L33" i="149"/>
  <c r="K2" i="149"/>
  <c r="K33" i="149"/>
  <c r="J2" i="149"/>
  <c r="J33" i="149"/>
  <c r="I2" i="149"/>
  <c r="I4" i="149"/>
  <c r="H2" i="149"/>
  <c r="G2" i="149"/>
  <c r="G33" i="149"/>
  <c r="F2" i="149"/>
  <c r="F33" i="149"/>
  <c r="U10" i="137"/>
  <c r="AP63" i="136"/>
  <c r="AR63" i="136"/>
  <c r="C468" i="141"/>
  <c r="C467" i="141"/>
  <c r="C466" i="141"/>
  <c r="U28" i="18"/>
  <c r="T31" i="60"/>
  <c r="T32" i="60"/>
  <c r="T25" i="60"/>
  <c r="T21" i="60"/>
  <c r="T19" i="60"/>
  <c r="T13" i="60"/>
  <c r="BW100" i="53"/>
  <c r="BW111" i="54"/>
  <c r="AB86" i="35"/>
  <c r="T86" i="35"/>
  <c r="BW100" i="55"/>
  <c r="K162" i="60"/>
  <c r="L162" i="60"/>
  <c r="K163" i="60"/>
  <c r="L163" i="60"/>
  <c r="K164" i="60"/>
  <c r="L164" i="60"/>
  <c r="AQ58" i="136"/>
  <c r="AQ57" i="136"/>
  <c r="O26" i="148"/>
  <c r="O25" i="148"/>
  <c r="P24" i="148"/>
  <c r="Q21" i="148"/>
  <c r="R21" i="148"/>
  <c r="S21" i="148"/>
  <c r="Q20" i="148"/>
  <c r="R20" i="148"/>
  <c r="Q19" i="148"/>
  <c r="R19" i="148"/>
  <c r="S19" i="148"/>
  <c r="G144" i="136"/>
  <c r="G139" i="136"/>
  <c r="G140" i="136"/>
  <c r="G136" i="136"/>
  <c r="AR59" i="136"/>
  <c r="AP56" i="136"/>
  <c r="AR56" i="136"/>
  <c r="AY55" i="136"/>
  <c r="L12" i="148"/>
  <c r="M12" i="148"/>
  <c r="AR54" i="136"/>
  <c r="F136" i="136"/>
  <c r="F139" i="136"/>
  <c r="F140" i="136"/>
  <c r="D136" i="136"/>
  <c r="AJ4" i="136"/>
  <c r="AJ6" i="136"/>
  <c r="AJ7" i="136"/>
  <c r="F144" i="136"/>
  <c r="P130" i="136"/>
  <c r="O129" i="136"/>
  <c r="O130" i="136"/>
  <c r="D233" i="136"/>
  <c r="W43" i="136"/>
  <c r="AR66" i="136"/>
  <c r="AR65" i="136"/>
  <c r="AP58" i="136"/>
  <c r="AP55" i="136"/>
  <c r="AR55" i="136"/>
  <c r="AO48" i="136"/>
  <c r="AQ64" i="136"/>
  <c r="AQ67" i="136"/>
  <c r="AQ71" i="136"/>
  <c r="AO59" i="136"/>
  <c r="BW93" i="52"/>
  <c r="E144" i="136"/>
  <c r="E139" i="136"/>
  <c r="E140" i="136"/>
  <c r="BW103" i="44"/>
  <c r="T119" i="60"/>
  <c r="T91" i="60"/>
  <c r="T16" i="18"/>
  <c r="T85" i="60"/>
  <c r="U86" i="60"/>
  <c r="T60" i="60"/>
  <c r="T3" i="137"/>
  <c r="T59" i="60"/>
  <c r="T52" i="60"/>
  <c r="T28" i="18"/>
  <c r="T49" i="60"/>
  <c r="T47" i="60"/>
  <c r="T44" i="60"/>
  <c r="T43" i="60"/>
  <c r="T10" i="60"/>
  <c r="BW91" i="61"/>
  <c r="BW93" i="61"/>
  <c r="S75" i="60"/>
  <c r="S73" i="60"/>
  <c r="S85" i="60"/>
  <c r="S71" i="60"/>
  <c r="S69" i="60"/>
  <c r="S45" i="60"/>
  <c r="S52" i="60"/>
  <c r="S10" i="137"/>
  <c r="S49" i="60"/>
  <c r="S47" i="60"/>
  <c r="S44" i="60"/>
  <c r="S43" i="60"/>
  <c r="S25" i="60"/>
  <c r="S24" i="60"/>
  <c r="S23" i="60"/>
  <c r="S19" i="60"/>
  <c r="S13" i="60"/>
  <c r="S11" i="60"/>
  <c r="S10" i="60"/>
  <c r="U10" i="60"/>
  <c r="AA113" i="60"/>
  <c r="AA59" i="60"/>
  <c r="AA49" i="60"/>
  <c r="AA47" i="60"/>
  <c r="AA46" i="60"/>
  <c r="AA44" i="60"/>
  <c r="AA43" i="60"/>
  <c r="BW63" i="45"/>
  <c r="BW65" i="45"/>
  <c r="N5" i="148"/>
  <c r="N7" i="148"/>
  <c r="M5" i="148"/>
  <c r="M7" i="148"/>
  <c r="M4" i="148"/>
  <c r="N6" i="148"/>
  <c r="AB16" i="35"/>
  <c r="C144" i="136"/>
  <c r="D144" i="136"/>
  <c r="H129" i="136"/>
  <c r="H130" i="136"/>
  <c r="H131" i="136"/>
  <c r="H132" i="136"/>
  <c r="H133" i="136"/>
  <c r="H134" i="136"/>
  <c r="D139" i="136"/>
  <c r="D140" i="136"/>
  <c r="C139" i="136"/>
  <c r="C140" i="136"/>
  <c r="AP64" i="136"/>
  <c r="AB57" i="35"/>
  <c r="AB34" i="35"/>
  <c r="AB28" i="35"/>
  <c r="O624" i="141"/>
  <c r="T74" i="35"/>
  <c r="O625" i="141"/>
  <c r="W47" i="136"/>
  <c r="AQ46" i="136"/>
  <c r="AO66" i="136"/>
  <c r="AO65" i="136"/>
  <c r="AO64" i="136"/>
  <c r="AO63" i="136"/>
  <c r="AO58" i="136"/>
  <c r="AO55" i="136"/>
  <c r="D240" i="136"/>
  <c r="D238" i="136"/>
  <c r="D239" i="136"/>
  <c r="AN66" i="136"/>
  <c r="AN65" i="136"/>
  <c r="AN64" i="136"/>
  <c r="AN63" i="136"/>
  <c r="AN59" i="136"/>
  <c r="AN58" i="136"/>
  <c r="AN55" i="136"/>
  <c r="AM13" i="136"/>
  <c r="AM12" i="136"/>
  <c r="AM11" i="136"/>
  <c r="AM10" i="136"/>
  <c r="AM66" i="136"/>
  <c r="AM65" i="136"/>
  <c r="AM64" i="136"/>
  <c r="AM63" i="136"/>
  <c r="AM59" i="136"/>
  <c r="AM58" i="136"/>
  <c r="AL66" i="136"/>
  <c r="AL65" i="136"/>
  <c r="AL64" i="136"/>
  <c r="AL63" i="136"/>
  <c r="AL59" i="136"/>
  <c r="AL58" i="136"/>
  <c r="AL55" i="136"/>
  <c r="W7" i="136"/>
  <c r="X7" i="136"/>
  <c r="W5" i="136"/>
  <c r="X5" i="136"/>
  <c r="AZ69" i="136"/>
  <c r="AR62" i="136"/>
  <c r="Z23" i="60"/>
  <c r="AE23" i="60"/>
  <c r="Z19" i="60"/>
  <c r="AE19" i="60"/>
  <c r="AE31" i="60"/>
  <c r="AD29" i="60"/>
  <c r="AE20" i="60"/>
  <c r="AE18" i="60"/>
  <c r="AE17" i="60"/>
  <c r="AE16" i="60"/>
  <c r="AD20" i="60"/>
  <c r="AD18" i="60"/>
  <c r="AD16" i="60"/>
  <c r="AE22" i="60"/>
  <c r="AE15" i="60"/>
  <c r="AE14" i="60"/>
  <c r="AD22" i="60"/>
  <c r="AD14" i="60"/>
  <c r="AE34" i="60"/>
  <c r="AD34" i="60"/>
  <c r="Z24" i="60"/>
  <c r="AE24" i="60"/>
  <c r="Z25" i="60"/>
  <c r="AE25" i="60"/>
  <c r="AE12" i="60"/>
  <c r="AD12" i="60"/>
  <c r="AE79" i="60"/>
  <c r="AE78" i="60"/>
  <c r="AE45" i="60"/>
  <c r="AE42" i="60"/>
  <c r="AD79" i="60"/>
  <c r="AD42" i="60"/>
  <c r="Z11" i="60"/>
  <c r="Z10" i="60"/>
  <c r="BS102" i="49"/>
  <c r="BS111" i="49"/>
  <c r="Z119" i="60"/>
  <c r="Z116" i="60"/>
  <c r="Z113" i="60"/>
  <c r="Z91" i="60"/>
  <c r="Z85" i="60"/>
  <c r="Z60" i="60"/>
  <c r="Z62" i="60"/>
  <c r="Z52" i="60"/>
  <c r="Z49" i="60"/>
  <c r="Z47" i="60"/>
  <c r="Z46" i="60"/>
  <c r="Z44" i="60"/>
  <c r="Z43" i="60"/>
  <c r="BS69" i="51"/>
  <c r="AF14" i="136"/>
  <c r="AE13" i="136"/>
  <c r="AF13" i="136"/>
  <c r="AE12" i="136"/>
  <c r="AF12" i="136"/>
  <c r="AE11" i="136"/>
  <c r="AF11" i="136"/>
  <c r="AE7" i="136"/>
  <c r="AF7" i="136"/>
  <c r="AE6" i="136"/>
  <c r="AD65" i="136"/>
  <c r="V102" i="136"/>
  <c r="Z38" i="136"/>
  <c r="BS6" i="61"/>
  <c r="BS9" i="61"/>
  <c r="C3" i="136"/>
  <c r="C18" i="136"/>
  <c r="C26" i="136"/>
  <c r="C32" i="136"/>
  <c r="C36" i="136"/>
  <c r="C46" i="136"/>
  <c r="C58" i="136"/>
  <c r="C65" i="136"/>
  <c r="C72" i="136"/>
  <c r="C76" i="136"/>
  <c r="AC79" i="60"/>
  <c r="AC78" i="60"/>
  <c r="AC45" i="60"/>
  <c r="AC42" i="60"/>
  <c r="AC34" i="60"/>
  <c r="R52" i="60"/>
  <c r="R28" i="18"/>
  <c r="AK64" i="136"/>
  <c r="AJ64" i="136"/>
  <c r="AI64" i="136"/>
  <c r="AH64" i="136"/>
  <c r="AG64" i="136"/>
  <c r="AF64" i="136"/>
  <c r="AE64" i="136"/>
  <c r="AD64" i="136"/>
  <c r="AC64" i="136"/>
  <c r="AB64" i="136"/>
  <c r="AA64" i="136"/>
  <c r="Z64" i="136"/>
  <c r="Y64" i="136"/>
  <c r="X64" i="136"/>
  <c r="W64" i="136"/>
  <c r="AK58" i="136"/>
  <c r="AK55" i="136"/>
  <c r="AK59" i="136"/>
  <c r="AK63" i="136"/>
  <c r="AK65" i="136"/>
  <c r="AK66" i="136"/>
  <c r="W18" i="136"/>
  <c r="X18" i="136"/>
  <c r="AM82" i="136"/>
  <c r="AJ58" i="136"/>
  <c r="AJ55" i="136"/>
  <c r="AJ59" i="136"/>
  <c r="AJ63" i="136"/>
  <c r="AJ65" i="136"/>
  <c r="AJ66" i="136"/>
  <c r="AI58" i="136"/>
  <c r="AI59" i="136"/>
  <c r="AI63" i="136"/>
  <c r="AI65" i="136"/>
  <c r="AI66" i="136"/>
  <c r="AH58" i="136"/>
  <c r="AH55" i="136"/>
  <c r="AH59" i="136"/>
  <c r="AH63" i="136"/>
  <c r="AH65" i="136"/>
  <c r="AH66" i="136"/>
  <c r="AG58" i="136"/>
  <c r="AG55" i="136"/>
  <c r="AG59" i="136"/>
  <c r="AG63" i="136"/>
  <c r="AG65" i="136"/>
  <c r="AG66" i="136"/>
  <c r="AF58" i="136"/>
  <c r="AF59" i="136"/>
  <c r="AF63" i="136"/>
  <c r="AF65" i="136"/>
  <c r="AF66" i="136"/>
  <c r="AE58" i="136"/>
  <c r="AE59" i="136"/>
  <c r="AE63" i="136"/>
  <c r="AE65" i="136"/>
  <c r="AE66" i="136"/>
  <c r="AD58" i="136"/>
  <c r="AD55" i="136"/>
  <c r="AD63" i="136"/>
  <c r="AD66" i="136"/>
  <c r="AD59" i="136"/>
  <c r="AC58" i="136"/>
  <c r="AC59" i="136"/>
  <c r="AC63" i="136"/>
  <c r="AC65" i="136"/>
  <c r="AC66" i="136"/>
  <c r="AB58" i="136"/>
  <c r="AB59" i="136"/>
  <c r="AB63" i="136"/>
  <c r="AB65" i="136"/>
  <c r="AB66" i="136"/>
  <c r="AA58" i="136"/>
  <c r="AA59" i="136"/>
  <c r="AA63" i="136"/>
  <c r="AA65" i="136"/>
  <c r="AA66" i="136"/>
  <c r="Z58" i="136"/>
  <c r="Z55" i="136"/>
  <c r="Z59" i="136"/>
  <c r="Z63" i="136"/>
  <c r="Z65" i="136"/>
  <c r="Z66" i="136"/>
  <c r="Y58" i="136"/>
  <c r="Y59" i="136"/>
  <c r="Y63" i="136"/>
  <c r="Y65" i="136"/>
  <c r="Y66" i="136"/>
  <c r="X58" i="136"/>
  <c r="X59" i="136"/>
  <c r="X63" i="136"/>
  <c r="X65" i="136"/>
  <c r="X66" i="136"/>
  <c r="W58" i="136"/>
  <c r="W59" i="136"/>
  <c r="W63" i="136"/>
  <c r="W65" i="136"/>
  <c r="W66" i="136"/>
  <c r="X3" i="136"/>
  <c r="X4" i="136"/>
  <c r="X11" i="136"/>
  <c r="X12" i="136"/>
  <c r="AA73" i="136"/>
  <c r="W14" i="136"/>
  <c r="X14" i="136"/>
  <c r="AO75" i="136"/>
  <c r="W15" i="136"/>
  <c r="W13" i="136"/>
  <c r="Z37" i="136"/>
  <c r="Z36" i="136"/>
  <c r="Z35" i="136"/>
  <c r="Z34" i="136"/>
  <c r="Z33" i="136"/>
  <c r="Z32" i="136"/>
  <c r="X16" i="136"/>
  <c r="Q62" i="136"/>
  <c r="Q68" i="136"/>
  <c r="C123" i="136"/>
  <c r="C127" i="136"/>
  <c r="O3" i="136"/>
  <c r="O18" i="136"/>
  <c r="O58" i="136"/>
  <c r="O26" i="136"/>
  <c r="O32" i="136"/>
  <c r="O36" i="136"/>
  <c r="O46" i="136"/>
  <c r="O65" i="136"/>
  <c r="O76" i="136"/>
  <c r="O90" i="136"/>
  <c r="O79" i="136"/>
  <c r="BS95" i="53"/>
  <c r="BS97" i="54"/>
  <c r="BS100" i="52"/>
  <c r="BS63" i="45"/>
  <c r="BS65" i="45"/>
  <c r="BS103" i="44"/>
  <c r="BO119" i="50"/>
  <c r="BP119" i="50"/>
  <c r="BO63" i="45"/>
  <c r="BP63" i="45"/>
  <c r="X21" i="60"/>
  <c r="X60" i="60"/>
  <c r="X64" i="60"/>
  <c r="X66" i="60"/>
  <c r="X91" i="60"/>
  <c r="W16" i="18"/>
  <c r="L62" i="129"/>
  <c r="L64" i="129"/>
  <c r="L7" i="129"/>
  <c r="L8" i="129"/>
  <c r="L9" i="129"/>
  <c r="L10" i="129"/>
  <c r="L11" i="129"/>
  <c r="L12" i="129"/>
  <c r="L13" i="129"/>
  <c r="L14" i="129"/>
  <c r="L15" i="129"/>
  <c r="L16" i="129"/>
  <c r="L17" i="129"/>
  <c r="L20" i="129"/>
  <c r="L21" i="129"/>
  <c r="L22" i="129"/>
  <c r="L23" i="129"/>
  <c r="L24" i="129"/>
  <c r="L25" i="129"/>
  <c r="L28" i="129"/>
  <c r="L29" i="129"/>
  <c r="L30" i="129"/>
  <c r="L31" i="129"/>
  <c r="L34" i="129"/>
  <c r="L35" i="129"/>
  <c r="L38" i="129"/>
  <c r="L39" i="129"/>
  <c r="L40" i="129"/>
  <c r="L41" i="129"/>
  <c r="L42" i="129"/>
  <c r="L43" i="129"/>
  <c r="L44" i="129"/>
  <c r="L45" i="129"/>
  <c r="L48" i="129"/>
  <c r="L49" i="129"/>
  <c r="L50" i="129"/>
  <c r="L51" i="129"/>
  <c r="L52" i="129"/>
  <c r="L53" i="129"/>
  <c r="L54" i="129"/>
  <c r="L57" i="129"/>
  <c r="L58" i="129"/>
  <c r="L67" i="129"/>
  <c r="L68" i="129"/>
  <c r="L69" i="129"/>
  <c r="L72" i="129"/>
  <c r="L73" i="129"/>
  <c r="X85" i="60"/>
  <c r="X116" i="60"/>
  <c r="X117" i="60"/>
  <c r="X130" i="60"/>
  <c r="X10" i="60"/>
  <c r="X13" i="60"/>
  <c r="X119" i="60"/>
  <c r="V10" i="60"/>
  <c r="V13" i="60"/>
  <c r="V119" i="60"/>
  <c r="V116" i="60"/>
  <c r="X113" i="60"/>
  <c r="V60" i="60"/>
  <c r="V85" i="60"/>
  <c r="V89" i="60"/>
  <c r="V20" i="18"/>
  <c r="V22" i="18"/>
  <c r="V91" i="60"/>
  <c r="X81" i="60"/>
  <c r="X80" i="60"/>
  <c r="X49" i="60"/>
  <c r="X47" i="60"/>
  <c r="X46" i="60"/>
  <c r="X44" i="60"/>
  <c r="X43" i="60"/>
  <c r="U119" i="60"/>
  <c r="B91" i="60"/>
  <c r="B8" i="137"/>
  <c r="B80" i="60"/>
  <c r="B79" i="60"/>
  <c r="B81" i="60"/>
  <c r="B53" i="60"/>
  <c r="B60" i="60"/>
  <c r="D91" i="60"/>
  <c r="D80" i="60"/>
  <c r="D79" i="60"/>
  <c r="D81" i="60"/>
  <c r="D53" i="60"/>
  <c r="D60" i="60"/>
  <c r="E91" i="60"/>
  <c r="E8" i="137"/>
  <c r="E80" i="60"/>
  <c r="E79" i="60"/>
  <c r="E81" i="60"/>
  <c r="E53" i="60"/>
  <c r="E60" i="60"/>
  <c r="F91" i="60"/>
  <c r="F8" i="137"/>
  <c r="F80" i="60"/>
  <c r="F79" i="60"/>
  <c r="F81" i="60"/>
  <c r="F53" i="60"/>
  <c r="F60" i="60"/>
  <c r="F64" i="60"/>
  <c r="F66" i="60"/>
  <c r="G91" i="60"/>
  <c r="G16" i="18"/>
  <c r="G80" i="60"/>
  <c r="G81" i="60"/>
  <c r="G53" i="60"/>
  <c r="G60" i="60"/>
  <c r="H91" i="60"/>
  <c r="H92" i="60"/>
  <c r="H80" i="60"/>
  <c r="H81" i="60"/>
  <c r="H53" i="60"/>
  <c r="H60" i="60"/>
  <c r="I91" i="60"/>
  <c r="I80" i="60"/>
  <c r="I81" i="60"/>
  <c r="I53" i="60"/>
  <c r="I60" i="60"/>
  <c r="I64" i="60"/>
  <c r="I131" i="60"/>
  <c r="J91" i="60"/>
  <c r="J80" i="60"/>
  <c r="J81" i="60"/>
  <c r="J53" i="60"/>
  <c r="J60" i="60"/>
  <c r="K91" i="60"/>
  <c r="K53" i="60"/>
  <c r="K60" i="60"/>
  <c r="L91" i="60"/>
  <c r="L16" i="18"/>
  <c r="L53" i="60"/>
  <c r="L60" i="60"/>
  <c r="M91" i="60"/>
  <c r="M8" i="137"/>
  <c r="M53" i="60"/>
  <c r="M60" i="60"/>
  <c r="N91" i="60"/>
  <c r="N53" i="60"/>
  <c r="N60" i="60"/>
  <c r="O91" i="60"/>
  <c r="O53" i="60"/>
  <c r="O60" i="60"/>
  <c r="P53" i="60"/>
  <c r="P60" i="60"/>
  <c r="Q91" i="60"/>
  <c r="C91" i="60"/>
  <c r="C16" i="18"/>
  <c r="C17" i="18"/>
  <c r="C19" i="18"/>
  <c r="C21" i="18"/>
  <c r="C80" i="60"/>
  <c r="C79" i="60"/>
  <c r="C81" i="60"/>
  <c r="C53" i="60"/>
  <c r="C60" i="60"/>
  <c r="C64" i="60"/>
  <c r="U60" i="60"/>
  <c r="U91" i="60"/>
  <c r="V81" i="60"/>
  <c r="V80" i="60"/>
  <c r="V49" i="60"/>
  <c r="V47" i="60"/>
  <c r="V44" i="60"/>
  <c r="V43" i="60"/>
  <c r="V34" i="60"/>
  <c r="V32" i="60"/>
  <c r="U49" i="60"/>
  <c r="U47" i="60"/>
  <c r="U46" i="60"/>
  <c r="U44" i="60"/>
  <c r="U43" i="60"/>
  <c r="S91" i="60"/>
  <c r="S16" i="18"/>
  <c r="R60" i="60"/>
  <c r="R64" i="60"/>
  <c r="R131" i="60"/>
  <c r="O10" i="60"/>
  <c r="O21" i="60"/>
  <c r="O13" i="60"/>
  <c r="N10" i="60"/>
  <c r="N21" i="60"/>
  <c r="N19" i="60"/>
  <c r="N13" i="60"/>
  <c r="S119" i="60"/>
  <c r="O615" i="141"/>
  <c r="O596" i="141"/>
  <c r="U46" i="35"/>
  <c r="O595" i="141"/>
  <c r="T45" i="35"/>
  <c r="O594" i="141"/>
  <c r="O593" i="141"/>
  <c r="O592" i="141"/>
  <c r="T42" i="35"/>
  <c r="O591" i="141"/>
  <c r="U41" i="35"/>
  <c r="O590" i="141"/>
  <c r="U40" i="35"/>
  <c r="O577" i="141"/>
  <c r="T27" i="35"/>
  <c r="O576" i="141"/>
  <c r="O575" i="141"/>
  <c r="O574" i="141"/>
  <c r="U24" i="35"/>
  <c r="O569" i="141"/>
  <c r="U19" i="35"/>
  <c r="O568" i="141"/>
  <c r="O567" i="141"/>
  <c r="U17" i="35"/>
  <c r="O566" i="141"/>
  <c r="U16" i="35"/>
  <c r="O565" i="141"/>
  <c r="T15" i="35"/>
  <c r="O564" i="141"/>
  <c r="U14" i="35"/>
  <c r="O563" i="141"/>
  <c r="AB13" i="35"/>
  <c r="O562" i="141"/>
  <c r="O561" i="141"/>
  <c r="U11" i="35"/>
  <c r="O560" i="141"/>
  <c r="U10" i="35"/>
  <c r="O559" i="141"/>
  <c r="AA9" i="35"/>
  <c r="O558" i="141"/>
  <c r="BS14" i="47"/>
  <c r="BS15" i="47"/>
  <c r="O696" i="141"/>
  <c r="AB69" i="35"/>
  <c r="O657" i="141"/>
  <c r="S30" i="35"/>
  <c r="O659" i="141"/>
  <c r="S32" i="35"/>
  <c r="O660" i="141"/>
  <c r="S33" i="35"/>
  <c r="O691" i="141"/>
  <c r="S64" i="35"/>
  <c r="O692" i="141"/>
  <c r="S65" i="35"/>
  <c r="O641" i="141"/>
  <c r="S14" i="35"/>
  <c r="Q12" i="136"/>
  <c r="O642" i="141"/>
  <c r="S15" i="35"/>
  <c r="O643" i="141"/>
  <c r="S16" i="35"/>
  <c r="Q14" i="136"/>
  <c r="O644" i="141"/>
  <c r="O645" i="141"/>
  <c r="S18" i="35"/>
  <c r="Q16" i="136"/>
  <c r="O646" i="141"/>
  <c r="O635" i="141"/>
  <c r="S8" i="35"/>
  <c r="O652" i="141"/>
  <c r="S25" i="35"/>
  <c r="Q23" i="136"/>
  <c r="R23" i="136"/>
  <c r="O653" i="141"/>
  <c r="S26" i="35"/>
  <c r="O654" i="141"/>
  <c r="S27" i="35"/>
  <c r="Q25" i="136"/>
  <c r="R25" i="136"/>
  <c r="O663" i="141"/>
  <c r="S36" i="35"/>
  <c r="O664" i="141"/>
  <c r="S37" i="35"/>
  <c r="O667" i="141"/>
  <c r="O668" i="141"/>
  <c r="S41" i="35"/>
  <c r="Q39" i="136"/>
  <c r="O669" i="141"/>
  <c r="S42" i="35"/>
  <c r="O670" i="141"/>
  <c r="O671" i="141"/>
  <c r="S44" i="35"/>
  <c r="Q42" i="136"/>
  <c r="O672" i="141"/>
  <c r="S45" i="35"/>
  <c r="O673" i="141"/>
  <c r="S46" i="35"/>
  <c r="O674" i="141"/>
  <c r="S47" i="35"/>
  <c r="Q45" i="136"/>
  <c r="O677" i="141"/>
  <c r="S50" i="35"/>
  <c r="O678" i="141"/>
  <c r="S51" i="35"/>
  <c r="Q49" i="136"/>
  <c r="O679" i="141"/>
  <c r="S52" i="35"/>
  <c r="Q50" i="136"/>
  <c r="O680" i="141"/>
  <c r="S53" i="35"/>
  <c r="Q51" i="136"/>
  <c r="O682" i="141"/>
  <c r="S55" i="35"/>
  <c r="Q53" i="136"/>
  <c r="O683" i="141"/>
  <c r="S56" i="35"/>
  <c r="Q54" i="136"/>
  <c r="O697" i="141"/>
  <c r="S70" i="35"/>
  <c r="O698" i="141"/>
  <c r="S71" i="35"/>
  <c r="O702" i="141"/>
  <c r="S75" i="35"/>
  <c r="BO92" i="49"/>
  <c r="BO93" i="49"/>
  <c r="BO94" i="49"/>
  <c r="BP125" i="49"/>
  <c r="BO95" i="53"/>
  <c r="BP95" i="53"/>
  <c r="R91" i="60"/>
  <c r="R8" i="137"/>
  <c r="R85" i="60"/>
  <c r="R70" i="129"/>
  <c r="R65" i="129"/>
  <c r="R59" i="129"/>
  <c r="C20" i="129"/>
  <c r="D20" i="129"/>
  <c r="E20" i="129"/>
  <c r="F20" i="129"/>
  <c r="G20" i="129"/>
  <c r="H20" i="129"/>
  <c r="I20" i="129"/>
  <c r="J20" i="129"/>
  <c r="K20" i="129"/>
  <c r="M20" i="129"/>
  <c r="N20" i="129"/>
  <c r="O20" i="129"/>
  <c r="C21" i="129"/>
  <c r="D21" i="129"/>
  <c r="E21" i="129"/>
  <c r="F21" i="129"/>
  <c r="G21" i="129"/>
  <c r="H21" i="129"/>
  <c r="I21" i="129"/>
  <c r="J21" i="129"/>
  <c r="K21" i="129"/>
  <c r="M21" i="129"/>
  <c r="N21" i="129"/>
  <c r="O21" i="129"/>
  <c r="P21" i="129"/>
  <c r="C22" i="129"/>
  <c r="D22" i="129"/>
  <c r="E22" i="129"/>
  <c r="F22" i="129"/>
  <c r="G22" i="129"/>
  <c r="H22" i="129"/>
  <c r="I22" i="129"/>
  <c r="J22" i="129"/>
  <c r="K22" i="129"/>
  <c r="M22" i="129"/>
  <c r="N22" i="129"/>
  <c r="O22" i="129"/>
  <c r="P22" i="129"/>
  <c r="Q22" i="129"/>
  <c r="C23" i="129"/>
  <c r="D23" i="129"/>
  <c r="E23" i="129"/>
  <c r="F23" i="129"/>
  <c r="G23" i="129"/>
  <c r="H23" i="129"/>
  <c r="I23" i="129"/>
  <c r="J23" i="129"/>
  <c r="K23" i="129"/>
  <c r="M23" i="129"/>
  <c r="N23" i="129"/>
  <c r="O23" i="129"/>
  <c r="P23" i="129"/>
  <c r="Q23" i="129"/>
  <c r="C24" i="129"/>
  <c r="D24" i="129"/>
  <c r="E24" i="129"/>
  <c r="F24" i="129"/>
  <c r="G24" i="129"/>
  <c r="H24" i="129"/>
  <c r="I24" i="129"/>
  <c r="J24" i="129"/>
  <c r="K24" i="129"/>
  <c r="M24" i="129"/>
  <c r="N24" i="129"/>
  <c r="O24" i="129"/>
  <c r="P24" i="129"/>
  <c r="Q24" i="129"/>
  <c r="C25" i="129"/>
  <c r="D25" i="129"/>
  <c r="E25" i="129"/>
  <c r="F25" i="129"/>
  <c r="G25" i="129"/>
  <c r="H25" i="129"/>
  <c r="I25" i="129"/>
  <c r="J25" i="129"/>
  <c r="K25" i="129"/>
  <c r="M25" i="129"/>
  <c r="N25" i="129"/>
  <c r="O25" i="129"/>
  <c r="P25" i="129"/>
  <c r="Q25" i="129"/>
  <c r="BP108" i="54"/>
  <c r="BO108" i="54"/>
  <c r="BO33" i="52"/>
  <c r="BO100" i="52"/>
  <c r="BP100" i="52"/>
  <c r="W42" i="136"/>
  <c r="S65" i="136"/>
  <c r="P65" i="136"/>
  <c r="N65" i="136"/>
  <c r="M65" i="136"/>
  <c r="L65" i="136"/>
  <c r="F65" i="136"/>
  <c r="E65" i="136"/>
  <c r="D65" i="136"/>
  <c r="O108" i="136"/>
  <c r="P108" i="136"/>
  <c r="D118" i="136"/>
  <c r="N117" i="136"/>
  <c r="D117" i="136"/>
  <c r="D116" i="136"/>
  <c r="C101" i="136"/>
  <c r="D100" i="136"/>
  <c r="C100" i="136"/>
  <c r="P106" i="136"/>
  <c r="P109" i="136"/>
  <c r="P110" i="136"/>
  <c r="P90" i="136"/>
  <c r="P79" i="136"/>
  <c r="P76" i="136"/>
  <c r="P58" i="136"/>
  <c r="P46" i="136"/>
  <c r="P36" i="136"/>
  <c r="P32" i="136"/>
  <c r="P26" i="136"/>
  <c r="P18" i="136"/>
  <c r="P3" i="136"/>
  <c r="BL103" i="44"/>
  <c r="BK103" i="44"/>
  <c r="BL91" i="61"/>
  <c r="BK91" i="61"/>
  <c r="AV25" i="60"/>
  <c r="B81" i="35"/>
  <c r="BL63" i="45"/>
  <c r="BK63" i="45"/>
  <c r="BO12" i="55"/>
  <c r="BO5" i="55"/>
  <c r="BO6" i="55"/>
  <c r="BO7" i="55"/>
  <c r="BP100" i="55"/>
  <c r="BP107" i="51"/>
  <c r="BO107" i="51"/>
  <c r="BL119" i="50"/>
  <c r="BK11" i="50"/>
  <c r="BK119" i="50"/>
  <c r="S34" i="60"/>
  <c r="BK10" i="46"/>
  <c r="P6" i="129"/>
  <c r="R21" i="60"/>
  <c r="R134" i="60"/>
  <c r="R10" i="60"/>
  <c r="R13" i="60"/>
  <c r="R119" i="60"/>
  <c r="Q10" i="60"/>
  <c r="Q21" i="60"/>
  <c r="Q13" i="60"/>
  <c r="E152" i="60"/>
  <c r="Q119" i="60"/>
  <c r="Q52" i="60"/>
  <c r="Q10" i="137"/>
  <c r="R49" i="60"/>
  <c r="R47" i="60"/>
  <c r="R46" i="60"/>
  <c r="R44" i="60"/>
  <c r="R43" i="60"/>
  <c r="BK125" i="49"/>
  <c r="BL125" i="49"/>
  <c r="BK6" i="55"/>
  <c r="BK51" i="53"/>
  <c r="BK95" i="53"/>
  <c r="BL95" i="53"/>
  <c r="S90" i="136"/>
  <c r="S3" i="136"/>
  <c r="S18" i="136"/>
  <c r="S26" i="136"/>
  <c r="S32" i="136"/>
  <c r="S36" i="136"/>
  <c r="S46" i="136"/>
  <c r="S58" i="136"/>
  <c r="N3" i="136"/>
  <c r="N18" i="136"/>
  <c r="N26" i="136"/>
  <c r="N32" i="136"/>
  <c r="N36" i="136"/>
  <c r="N46" i="136"/>
  <c r="N58" i="136"/>
  <c r="N76" i="136"/>
  <c r="N80" i="136"/>
  <c r="N79" i="136"/>
  <c r="H3" i="136"/>
  <c r="H18" i="136"/>
  <c r="H26" i="136"/>
  <c r="H32" i="136"/>
  <c r="H36" i="136"/>
  <c r="H46" i="136"/>
  <c r="H60" i="136"/>
  <c r="J60" i="136"/>
  <c r="K60" i="136"/>
  <c r="H61" i="136"/>
  <c r="H62" i="136"/>
  <c r="G68" i="136"/>
  <c r="BK37" i="54"/>
  <c r="BK109" i="54"/>
  <c r="BL109" i="54"/>
  <c r="BK5" i="55"/>
  <c r="BK7" i="55"/>
  <c r="BL94" i="55"/>
  <c r="BK98" i="52"/>
  <c r="BK107" i="51"/>
  <c r="BL107" i="51"/>
  <c r="BG11" i="50"/>
  <c r="BG119" i="50"/>
  <c r="Q76" i="136"/>
  <c r="Q90" i="136"/>
  <c r="Q79" i="136"/>
  <c r="BL98" i="52"/>
  <c r="BH119" i="50"/>
  <c r="O106" i="136"/>
  <c r="M106" i="136"/>
  <c r="M109" i="136"/>
  <c r="M110" i="136"/>
  <c r="N106" i="136"/>
  <c r="N109" i="136"/>
  <c r="N110" i="136"/>
  <c r="BG103" i="44"/>
  <c r="BH103" i="44"/>
  <c r="E60" i="136"/>
  <c r="E58" i="136"/>
  <c r="N90" i="136"/>
  <c r="C90" i="136"/>
  <c r="C79" i="136"/>
  <c r="M3" i="136"/>
  <c r="M18" i="136"/>
  <c r="M58" i="136"/>
  <c r="M76" i="136"/>
  <c r="M88" i="136"/>
  <c r="M89" i="136"/>
  <c r="E3" i="136"/>
  <c r="E18" i="136"/>
  <c r="E76" i="136"/>
  <c r="E88" i="136"/>
  <c r="E89" i="136"/>
  <c r="D3" i="136"/>
  <c r="D18" i="136"/>
  <c r="D58" i="136"/>
  <c r="D76" i="136"/>
  <c r="D88" i="136"/>
  <c r="D89" i="136"/>
  <c r="P10" i="60"/>
  <c r="P21" i="60"/>
  <c r="P13" i="60"/>
  <c r="F88" i="136"/>
  <c r="F89" i="136"/>
  <c r="O932" i="141"/>
  <c r="O933" i="141"/>
  <c r="P75" i="35"/>
  <c r="Z75" i="35"/>
  <c r="O929" i="141"/>
  <c r="O845" i="141"/>
  <c r="Q64" i="35"/>
  <c r="O847" i="141"/>
  <c r="Q66" i="35"/>
  <c r="O795" i="141"/>
  <c r="Q14" i="35"/>
  <c r="O796" i="141"/>
  <c r="Q15" i="35"/>
  <c r="O797" i="141"/>
  <c r="Q16" i="35"/>
  <c r="O798" i="141"/>
  <c r="Q17" i="35"/>
  <c r="O799" i="141"/>
  <c r="Q18" i="35"/>
  <c r="O804" i="141"/>
  <c r="Q23" i="35"/>
  <c r="O805" i="141"/>
  <c r="Q24" i="35"/>
  <c r="O806" i="141"/>
  <c r="Q25" i="35"/>
  <c r="O807" i="141"/>
  <c r="Q26" i="35"/>
  <c r="O808" i="141"/>
  <c r="Q27" i="35"/>
  <c r="O811" i="141"/>
  <c r="O812" i="141"/>
  <c r="Q31" i="35"/>
  <c r="O813" i="141"/>
  <c r="O814" i="141"/>
  <c r="Q33" i="35"/>
  <c r="O817" i="141"/>
  <c r="Q36" i="35"/>
  <c r="O818" i="141"/>
  <c r="Q37" i="35"/>
  <c r="O821" i="141"/>
  <c r="Q40" i="35"/>
  <c r="O822" i="141"/>
  <c r="O823" i="141"/>
  <c r="Q42" i="35"/>
  <c r="O824" i="141"/>
  <c r="Q43" i="35"/>
  <c r="O826" i="141"/>
  <c r="Q45" i="35"/>
  <c r="O827" i="141"/>
  <c r="O828" i="141"/>
  <c r="Q47" i="35"/>
  <c r="O831" i="141"/>
  <c r="O832" i="141"/>
  <c r="Q51" i="35"/>
  <c r="O833" i="141"/>
  <c r="Q52" i="35"/>
  <c r="O834" i="141"/>
  <c r="O835" i="141"/>
  <c r="O836" i="141"/>
  <c r="O850" i="141"/>
  <c r="Q69" i="35"/>
  <c r="O851" i="141"/>
  <c r="Q70" i="35"/>
  <c r="O852" i="141"/>
  <c r="Q71" i="35"/>
  <c r="O855" i="141"/>
  <c r="Q74" i="35"/>
  <c r="O856" i="141"/>
  <c r="Q75" i="35"/>
  <c r="P78" i="60"/>
  <c r="P80" i="60"/>
  <c r="P81" i="60"/>
  <c r="O80" i="60"/>
  <c r="O81" i="60"/>
  <c r="N80" i="60"/>
  <c r="N81" i="60"/>
  <c r="M80" i="60"/>
  <c r="M81" i="60"/>
  <c r="L80" i="60"/>
  <c r="L81" i="60"/>
  <c r="K80" i="60"/>
  <c r="K81" i="60"/>
  <c r="P59" i="60"/>
  <c r="O59" i="60"/>
  <c r="N59" i="60"/>
  <c r="M59" i="60"/>
  <c r="L59" i="60"/>
  <c r="K59" i="60"/>
  <c r="J59" i="60"/>
  <c r="I59" i="60"/>
  <c r="H59" i="60"/>
  <c r="G59" i="60"/>
  <c r="F59" i="60"/>
  <c r="E59" i="60"/>
  <c r="D59" i="60"/>
  <c r="C59" i="60"/>
  <c r="B59" i="60"/>
  <c r="P52" i="60"/>
  <c r="P28" i="18"/>
  <c r="BG82" i="61"/>
  <c r="BH82" i="61"/>
  <c r="O1627" i="141"/>
  <c r="G75" i="35"/>
  <c r="O1626" i="141"/>
  <c r="G74" i="35"/>
  <c r="O1623" i="141"/>
  <c r="O1622" i="141"/>
  <c r="O1621" i="141"/>
  <c r="G69" i="35"/>
  <c r="O1618" i="141"/>
  <c r="O1616" i="141"/>
  <c r="G64" i="35"/>
  <c r="O1612" i="141"/>
  <c r="O1611" i="141"/>
  <c r="G59" i="35"/>
  <c r="O1608" i="141"/>
  <c r="G56" i="35"/>
  <c r="O1607" i="141"/>
  <c r="O1606" i="141"/>
  <c r="G54" i="35"/>
  <c r="O1605" i="141"/>
  <c r="O1604" i="141"/>
  <c r="O1603" i="141"/>
  <c r="O1602" i="141"/>
  <c r="G50" i="35"/>
  <c r="O1599" i="141"/>
  <c r="G47" i="35"/>
  <c r="O1598" i="141"/>
  <c r="O1597" i="141"/>
  <c r="G45" i="35"/>
  <c r="O1596" i="141"/>
  <c r="G44" i="35"/>
  <c r="O1595" i="141"/>
  <c r="G43" i="35"/>
  <c r="O1594" i="141"/>
  <c r="O1593" i="141"/>
  <c r="O1592" i="141"/>
  <c r="O1589" i="141"/>
  <c r="G37" i="142"/>
  <c r="O1588" i="141"/>
  <c r="O1585" i="141"/>
  <c r="O1584" i="141"/>
  <c r="G32" i="35"/>
  <c r="O1583" i="141"/>
  <c r="G31" i="35"/>
  <c r="O1582" i="141"/>
  <c r="O1579" i="141"/>
  <c r="G27" i="35"/>
  <c r="O1578" i="141"/>
  <c r="O1577" i="141"/>
  <c r="O1576" i="141"/>
  <c r="G24" i="35"/>
  <c r="O1575" i="141"/>
  <c r="G23" i="35"/>
  <c r="O1574" i="141"/>
  <c r="O1571" i="141"/>
  <c r="O1570" i="141"/>
  <c r="G18" i="35"/>
  <c r="O1569" i="141"/>
  <c r="G17" i="35"/>
  <c r="O1568" i="141"/>
  <c r="G16" i="35"/>
  <c r="O1567" i="141"/>
  <c r="G15" i="35"/>
  <c r="O1566" i="141"/>
  <c r="O1565" i="141"/>
  <c r="O1564" i="141"/>
  <c r="G12" i="35"/>
  <c r="O1563" i="141"/>
  <c r="G11" i="35"/>
  <c r="O1562" i="141"/>
  <c r="G10" i="35"/>
  <c r="O1561" i="141"/>
  <c r="G9" i="35"/>
  <c r="O718" i="141"/>
  <c r="R14" i="35"/>
  <c r="O719" i="141"/>
  <c r="R15" i="35"/>
  <c r="O720" i="141"/>
  <c r="O721" i="141"/>
  <c r="R17" i="35"/>
  <c r="O722" i="141"/>
  <c r="R18" i="35"/>
  <c r="O723" i="141"/>
  <c r="R19" i="35"/>
  <c r="O712" i="141"/>
  <c r="R8" i="35"/>
  <c r="O728" i="141"/>
  <c r="R24" i="35"/>
  <c r="O729" i="141"/>
  <c r="R25" i="35"/>
  <c r="O730" i="141"/>
  <c r="R26" i="35"/>
  <c r="O731" i="141"/>
  <c r="R27" i="35"/>
  <c r="O734" i="141"/>
  <c r="R30" i="35"/>
  <c r="O736" i="141"/>
  <c r="R32" i="35"/>
  <c r="O737" i="141"/>
  <c r="R33" i="35"/>
  <c r="O740" i="141"/>
  <c r="R36" i="35"/>
  <c r="O741" i="141"/>
  <c r="R37" i="35"/>
  <c r="O744" i="141"/>
  <c r="R40" i="35"/>
  <c r="O745" i="141"/>
  <c r="R41" i="35"/>
  <c r="O746" i="141"/>
  <c r="R42" i="35"/>
  <c r="O747" i="141"/>
  <c r="R43" i="35"/>
  <c r="O748" i="141"/>
  <c r="R44" i="35"/>
  <c r="O749" i="141"/>
  <c r="R45" i="35"/>
  <c r="O750" i="141"/>
  <c r="R46" i="35"/>
  <c r="O754" i="141"/>
  <c r="R50" i="35"/>
  <c r="O755" i="141"/>
  <c r="R51" i="35"/>
  <c r="O756" i="141"/>
  <c r="R52" i="35"/>
  <c r="O757" i="141"/>
  <c r="O758" i="141"/>
  <c r="R54" i="35"/>
  <c r="O759" i="141"/>
  <c r="R55" i="35"/>
  <c r="O760" i="141"/>
  <c r="R56" i="35"/>
  <c r="O768" i="141"/>
  <c r="R64" i="35"/>
  <c r="O773" i="141"/>
  <c r="R69" i="35"/>
  <c r="O774" i="141"/>
  <c r="R70" i="35"/>
  <c r="O775" i="141"/>
  <c r="O778" i="141"/>
  <c r="R74" i="35"/>
  <c r="O779" i="141"/>
  <c r="O872" i="141"/>
  <c r="P14" i="35"/>
  <c r="O873" i="141"/>
  <c r="P15" i="35"/>
  <c r="O874" i="141"/>
  <c r="P16" i="35"/>
  <c r="O875" i="141"/>
  <c r="P17" i="35"/>
  <c r="O876" i="141"/>
  <c r="P18" i="35"/>
  <c r="O877" i="141"/>
  <c r="P19" i="35"/>
  <c r="O880" i="141"/>
  <c r="P22" i="35"/>
  <c r="O881" i="141"/>
  <c r="P23" i="35"/>
  <c r="O883" i="141"/>
  <c r="P25" i="35"/>
  <c r="Z25" i="35"/>
  <c r="O884" i="141"/>
  <c r="P26" i="35"/>
  <c r="Z26" i="35"/>
  <c r="O885" i="141"/>
  <c r="O888" i="141"/>
  <c r="P30" i="35"/>
  <c r="Z30" i="35"/>
  <c r="O889" i="141"/>
  <c r="O890" i="141"/>
  <c r="P32" i="35"/>
  <c r="O891" i="141"/>
  <c r="P33" i="35"/>
  <c r="O894" i="141"/>
  <c r="P36" i="35"/>
  <c r="O895" i="141"/>
  <c r="P37" i="35"/>
  <c r="O898" i="141"/>
  <c r="P40" i="35"/>
  <c r="O899" i="141"/>
  <c r="O900" i="141"/>
  <c r="O901" i="141"/>
  <c r="P43" i="35"/>
  <c r="O902" i="141"/>
  <c r="P44" i="35"/>
  <c r="O903" i="141"/>
  <c r="P45" i="35"/>
  <c r="Z45" i="35"/>
  <c r="O904" i="141"/>
  <c r="O905" i="141"/>
  <c r="P47" i="35"/>
  <c r="O908" i="141"/>
  <c r="P50" i="35"/>
  <c r="O909" i="141"/>
  <c r="P51" i="35"/>
  <c r="O910" i="141"/>
  <c r="O911" i="141"/>
  <c r="P53" i="35"/>
  <c r="O912" i="141"/>
  <c r="O913" i="141"/>
  <c r="P55" i="35"/>
  <c r="O914" i="141"/>
  <c r="P56" i="35"/>
  <c r="Z56" i="35"/>
  <c r="O922" i="141"/>
  <c r="P64" i="35"/>
  <c r="O927" i="141"/>
  <c r="P69" i="35"/>
  <c r="O948" i="141"/>
  <c r="O949" i="141"/>
  <c r="O950" i="141"/>
  <c r="O951" i="141"/>
  <c r="O17" i="35"/>
  <c r="O952" i="141"/>
  <c r="O18" i="35"/>
  <c r="O953" i="141"/>
  <c r="O942" i="141"/>
  <c r="O8" i="35"/>
  <c r="O956" i="141"/>
  <c r="O22" i="35"/>
  <c r="O957" i="141"/>
  <c r="O958" i="141"/>
  <c r="O24" i="35"/>
  <c r="O959" i="141"/>
  <c r="O25" i="35"/>
  <c r="O960" i="141"/>
  <c r="O961" i="141"/>
  <c r="O964" i="141"/>
  <c r="O30" i="35"/>
  <c r="O965" i="141"/>
  <c r="O31" i="35"/>
  <c r="O966" i="141"/>
  <c r="O967" i="141"/>
  <c r="O33" i="35"/>
  <c r="O970" i="141"/>
  <c r="O971" i="141"/>
  <c r="O37" i="35"/>
  <c r="O974" i="141"/>
  <c r="O40" i="35"/>
  <c r="O975" i="141"/>
  <c r="O976" i="141"/>
  <c r="O977" i="141"/>
  <c r="O978" i="141"/>
  <c r="O979" i="141"/>
  <c r="O980" i="141"/>
  <c r="O46" i="35"/>
  <c r="O981" i="141"/>
  <c r="O47" i="35"/>
  <c r="O984" i="141"/>
  <c r="O985" i="141"/>
  <c r="O51" i="35"/>
  <c r="O986" i="141"/>
  <c r="O52" i="35"/>
  <c r="O987" i="141"/>
  <c r="O53" i="35"/>
  <c r="O988" i="141"/>
  <c r="O54" i="35"/>
  <c r="O989" i="141"/>
  <c r="O990" i="141"/>
  <c r="O56" i="35"/>
  <c r="O998" i="141"/>
  <c r="O64" i="35"/>
  <c r="O1000" i="141"/>
  <c r="O66" i="35"/>
  <c r="O1003" i="141"/>
  <c r="O69" i="35"/>
  <c r="O1004" i="141"/>
  <c r="O70" i="35"/>
  <c r="O1005" i="141"/>
  <c r="O1008" i="141"/>
  <c r="O1009" i="141"/>
  <c r="O75" i="35"/>
  <c r="O1025" i="141"/>
  <c r="N14" i="35"/>
  <c r="O1026" i="141"/>
  <c r="N15" i="35"/>
  <c r="O1027" i="141"/>
  <c r="N16" i="35"/>
  <c r="O1028" i="141"/>
  <c r="O1029" i="141"/>
  <c r="N18" i="35"/>
  <c r="O1030" i="141"/>
  <c r="N19" i="35"/>
  <c r="O1019" i="141"/>
  <c r="N8" i="35"/>
  <c r="O1033" i="141"/>
  <c r="N22" i="35"/>
  <c r="O1034" i="141"/>
  <c r="N23" i="35"/>
  <c r="O1035" i="141"/>
  <c r="N24" i="35"/>
  <c r="O1036" i="141"/>
  <c r="N25" i="35"/>
  <c r="O1037" i="141"/>
  <c r="N26" i="35"/>
  <c r="O1038" i="141"/>
  <c r="O1041" i="141"/>
  <c r="N30" i="35"/>
  <c r="O1042" i="141"/>
  <c r="N31" i="35"/>
  <c r="O1043" i="141"/>
  <c r="N32" i="35"/>
  <c r="O1044" i="141"/>
  <c r="N33" i="35"/>
  <c r="O1047" i="141"/>
  <c r="N36" i="35"/>
  <c r="O1048" i="141"/>
  <c r="N37" i="35"/>
  <c r="O1051" i="141"/>
  <c r="N40" i="35"/>
  <c r="O1052" i="141"/>
  <c r="N41" i="35"/>
  <c r="O1053" i="141"/>
  <c r="N42" i="35"/>
  <c r="O1054" i="141"/>
  <c r="O1055" i="141"/>
  <c r="N44" i="35"/>
  <c r="O1056" i="141"/>
  <c r="N45" i="35"/>
  <c r="O1057" i="141"/>
  <c r="N46" i="35"/>
  <c r="O1058" i="141"/>
  <c r="N47" i="142"/>
  <c r="O1061" i="141"/>
  <c r="N50" i="35"/>
  <c r="O1062" i="141"/>
  <c r="N51" i="35"/>
  <c r="O1063" i="141"/>
  <c r="N52" i="35"/>
  <c r="O1064" i="141"/>
  <c r="N53" i="35"/>
  <c r="O1065" i="141"/>
  <c r="O1066" i="141"/>
  <c r="O1067" i="141"/>
  <c r="N56" i="35"/>
  <c r="O1070" i="141"/>
  <c r="N59" i="35"/>
  <c r="O1075" i="141"/>
  <c r="N64" i="35"/>
  <c r="O1077" i="141"/>
  <c r="N66" i="35"/>
  <c r="O1080" i="141"/>
  <c r="N69" i="35"/>
  <c r="O1081" i="141"/>
  <c r="O1082" i="141"/>
  <c r="O1085" i="141"/>
  <c r="O1086" i="141"/>
  <c r="N75" i="35"/>
  <c r="O1102" i="141"/>
  <c r="M14" i="35"/>
  <c r="O1103" i="141"/>
  <c r="M15" i="35"/>
  <c r="O1104" i="141"/>
  <c r="M16" i="35"/>
  <c r="O1105" i="141"/>
  <c r="M17" i="35"/>
  <c r="O1106" i="141"/>
  <c r="M18" i="35"/>
  <c r="O1107" i="141"/>
  <c r="M19" i="35"/>
  <c r="O1096" i="141"/>
  <c r="O1110" i="141"/>
  <c r="M22" i="35"/>
  <c r="O1111" i="141"/>
  <c r="M23" i="35"/>
  <c r="O1112" i="141"/>
  <c r="M24" i="35"/>
  <c r="O1113" i="141"/>
  <c r="O1114" i="141"/>
  <c r="M26" i="35"/>
  <c r="O1115" i="141"/>
  <c r="M27" i="35"/>
  <c r="O1118" i="141"/>
  <c r="M30" i="35"/>
  <c r="O1119" i="141"/>
  <c r="M31" i="35"/>
  <c r="O1120" i="141"/>
  <c r="M32" i="35"/>
  <c r="O1121" i="141"/>
  <c r="O1124" i="141"/>
  <c r="O1125" i="141"/>
  <c r="M37" i="35"/>
  <c r="O1128" i="141"/>
  <c r="O1129" i="141"/>
  <c r="O1130" i="141"/>
  <c r="M42" i="35"/>
  <c r="O1131" i="141"/>
  <c r="M43" i="35"/>
  <c r="O1132" i="141"/>
  <c r="M44" i="35"/>
  <c r="O1133" i="141"/>
  <c r="O1134" i="141"/>
  <c r="M46" i="35"/>
  <c r="O1135" i="141"/>
  <c r="M47" i="35"/>
  <c r="O1138" i="141"/>
  <c r="M50" i="35"/>
  <c r="O1139" i="141"/>
  <c r="O1140" i="141"/>
  <c r="O1141" i="141"/>
  <c r="M53" i="35"/>
  <c r="O1142" i="141"/>
  <c r="M54" i="35"/>
  <c r="O1143" i="141"/>
  <c r="M55" i="35"/>
  <c r="O1144" i="141"/>
  <c r="M56" i="35"/>
  <c r="O1147" i="141"/>
  <c r="M59" i="35"/>
  <c r="O1148" i="141"/>
  <c r="O1152" i="141"/>
  <c r="O1154" i="141"/>
  <c r="M66" i="35"/>
  <c r="O1157" i="141"/>
  <c r="O1158" i="141"/>
  <c r="M70" i="35"/>
  <c r="O1159" i="141"/>
  <c r="O1162" i="141"/>
  <c r="M74" i="142"/>
  <c r="O1163" i="141"/>
  <c r="M75" i="35"/>
  <c r="O1179" i="141"/>
  <c r="L14" i="35"/>
  <c r="O1180" i="141"/>
  <c r="L15" i="35"/>
  <c r="O1181" i="141"/>
  <c r="L16" i="35"/>
  <c r="O1182" i="141"/>
  <c r="L17" i="35"/>
  <c r="O1183" i="141"/>
  <c r="O1184" i="141"/>
  <c r="O1173" i="141"/>
  <c r="O1187" i="141"/>
  <c r="O1188" i="141"/>
  <c r="L23" i="35"/>
  <c r="O1189" i="141"/>
  <c r="O1190" i="141"/>
  <c r="L25" i="35"/>
  <c r="O1191" i="141"/>
  <c r="L26" i="35"/>
  <c r="O1192" i="141"/>
  <c r="L27" i="35"/>
  <c r="O1195" i="141"/>
  <c r="L30" i="35"/>
  <c r="O1196" i="141"/>
  <c r="L31" i="35"/>
  <c r="O1197" i="141"/>
  <c r="O1198" i="141"/>
  <c r="O1201" i="141"/>
  <c r="O1202" i="141"/>
  <c r="L37" i="35"/>
  <c r="O1205" i="141"/>
  <c r="L40" i="35"/>
  <c r="O1206" i="141"/>
  <c r="L41" i="35"/>
  <c r="O1207" i="141"/>
  <c r="L42" i="35"/>
  <c r="O1208" i="141"/>
  <c r="L43" i="35"/>
  <c r="O1209" i="141"/>
  <c r="L44" i="35"/>
  <c r="O1210" i="141"/>
  <c r="L45" i="35"/>
  <c r="O1211" i="141"/>
  <c r="O1212" i="141"/>
  <c r="L47" i="35"/>
  <c r="O1215" i="141"/>
  <c r="L50" i="35"/>
  <c r="O1216" i="141"/>
  <c r="L51" i="35"/>
  <c r="O1217" i="141"/>
  <c r="L52" i="35"/>
  <c r="O1218" i="141"/>
  <c r="L53" i="35"/>
  <c r="O1219" i="141"/>
  <c r="L54" i="35"/>
  <c r="O1220" i="141"/>
  <c r="L55" i="35"/>
  <c r="O1221" i="141"/>
  <c r="L56" i="35"/>
  <c r="O1224" i="141"/>
  <c r="L59" i="35"/>
  <c r="O1225" i="141"/>
  <c r="L60" i="35"/>
  <c r="O1229" i="141"/>
  <c r="O1231" i="141"/>
  <c r="L66" i="35"/>
  <c r="O1234" i="141"/>
  <c r="O1235" i="141"/>
  <c r="L70" i="35"/>
  <c r="O1236" i="141"/>
  <c r="L71" i="35"/>
  <c r="O1239" i="141"/>
  <c r="L74" i="35"/>
  <c r="O1240" i="141"/>
  <c r="O1257" i="141"/>
  <c r="O1258" i="141"/>
  <c r="K15" i="35"/>
  <c r="O1259" i="141"/>
  <c r="O1260" i="141"/>
  <c r="K17" i="35"/>
  <c r="O1261" i="141"/>
  <c r="O1262" i="141"/>
  <c r="K19" i="35"/>
  <c r="O1251" i="141"/>
  <c r="K8" i="35"/>
  <c r="O1265" i="141"/>
  <c r="K22" i="35"/>
  <c r="O1266" i="141"/>
  <c r="K23" i="35"/>
  <c r="O1267" i="141"/>
  <c r="O1268" i="141"/>
  <c r="K25" i="35"/>
  <c r="O1269" i="141"/>
  <c r="K26" i="35"/>
  <c r="O1270" i="141"/>
  <c r="K27" i="35"/>
  <c r="O1273" i="141"/>
  <c r="K30" i="35"/>
  <c r="O1274" i="141"/>
  <c r="K31" i="35"/>
  <c r="O1275" i="141"/>
  <c r="O1276" i="141"/>
  <c r="O1279" i="141"/>
  <c r="O1280" i="141"/>
  <c r="K37" i="142"/>
  <c r="O1283" i="141"/>
  <c r="K40" i="35"/>
  <c r="O1284" i="141"/>
  <c r="K41" i="35"/>
  <c r="O1285" i="141"/>
  <c r="O1286" i="141"/>
  <c r="O1287" i="141"/>
  <c r="O1288" i="141"/>
  <c r="K45" i="35"/>
  <c r="O1289" i="141"/>
  <c r="K46" i="35"/>
  <c r="O1290" i="141"/>
  <c r="K47" i="35"/>
  <c r="O1293" i="141"/>
  <c r="K50" i="142"/>
  <c r="O1294" i="141"/>
  <c r="K51" i="35"/>
  <c r="O1295" i="141"/>
  <c r="K52" i="35"/>
  <c r="O1296" i="141"/>
  <c r="O1297" i="141"/>
  <c r="K54" i="35"/>
  <c r="O1298" i="141"/>
  <c r="K55" i="35"/>
  <c r="O1299" i="141"/>
  <c r="O1302" i="141"/>
  <c r="K59" i="35"/>
  <c r="O1303" i="141"/>
  <c r="K60" i="35"/>
  <c r="O1307" i="141"/>
  <c r="K64" i="35"/>
  <c r="O1309" i="141"/>
  <c r="K66" i="35"/>
  <c r="O1312" i="141"/>
  <c r="K69" i="35"/>
  <c r="O1313" i="141"/>
  <c r="O1314" i="141"/>
  <c r="K71" i="35"/>
  <c r="O1317" i="141"/>
  <c r="K74" i="35"/>
  <c r="O1318" i="141"/>
  <c r="O1334" i="141"/>
  <c r="O1335" i="141"/>
  <c r="J15" i="35"/>
  <c r="O1336" i="141"/>
  <c r="J16" i="35"/>
  <c r="O1337" i="141"/>
  <c r="J17" i="35"/>
  <c r="O1338" i="141"/>
  <c r="J18" i="35"/>
  <c r="O1339" i="141"/>
  <c r="J19" i="35"/>
  <c r="O1328" i="141"/>
  <c r="J8" i="35"/>
  <c r="O1342" i="141"/>
  <c r="J22" i="35"/>
  <c r="O1343" i="141"/>
  <c r="J23" i="35"/>
  <c r="O1344" i="141"/>
  <c r="O1345" i="141"/>
  <c r="J25" i="35"/>
  <c r="O1346" i="141"/>
  <c r="O1347" i="141"/>
  <c r="J27" i="35"/>
  <c r="O1350" i="141"/>
  <c r="O1351" i="141"/>
  <c r="O1352" i="141"/>
  <c r="J32" i="35"/>
  <c r="O1353" i="141"/>
  <c r="J33" i="35"/>
  <c r="O1356" i="141"/>
  <c r="O1357" i="141"/>
  <c r="J37" i="35"/>
  <c r="O1360" i="141"/>
  <c r="O1361" i="141"/>
  <c r="O1362" i="141"/>
  <c r="J42" i="142"/>
  <c r="O1363" i="141"/>
  <c r="J43" i="35"/>
  <c r="O1364" i="141"/>
  <c r="J44" i="35"/>
  <c r="O1365" i="141"/>
  <c r="O1366" i="141"/>
  <c r="J46" i="35"/>
  <c r="O1367" i="141"/>
  <c r="O1370" i="141"/>
  <c r="O1371" i="141"/>
  <c r="J51" i="35"/>
  <c r="O1372" i="141"/>
  <c r="J52" i="35"/>
  <c r="O1373" i="141"/>
  <c r="O1374" i="141"/>
  <c r="J54" i="35"/>
  <c r="O1375" i="141"/>
  <c r="J55" i="35"/>
  <c r="O1376" i="141"/>
  <c r="O1379" i="141"/>
  <c r="J59" i="35"/>
  <c r="O1380" i="141"/>
  <c r="J60" i="35"/>
  <c r="J57" i="35"/>
  <c r="O1384" i="141"/>
  <c r="J64" i="35"/>
  <c r="O1386" i="141"/>
  <c r="J66" i="35"/>
  <c r="O1389" i="141"/>
  <c r="O1390" i="141"/>
  <c r="O1391" i="141"/>
  <c r="O1394" i="141"/>
  <c r="J74" i="142"/>
  <c r="O1395" i="141"/>
  <c r="J75" i="35"/>
  <c r="O1411" i="141"/>
  <c r="O1412" i="141"/>
  <c r="I15" i="35"/>
  <c r="O1413" i="141"/>
  <c r="I16" i="35"/>
  <c r="O1414" i="141"/>
  <c r="I17" i="35"/>
  <c r="O1415" i="141"/>
  <c r="I18" i="35"/>
  <c r="O1416" i="141"/>
  <c r="O1405" i="141"/>
  <c r="I8" i="35"/>
  <c r="O1419" i="141"/>
  <c r="O1420" i="141"/>
  <c r="I23" i="35"/>
  <c r="O1421" i="141"/>
  <c r="O1422" i="141"/>
  <c r="I25" i="35"/>
  <c r="O1423" i="141"/>
  <c r="I26" i="35"/>
  <c r="O1424" i="141"/>
  <c r="I27" i="35"/>
  <c r="O1427" i="141"/>
  <c r="O1428" i="141"/>
  <c r="I31" i="35"/>
  <c r="O1429" i="141"/>
  <c r="O1430" i="141"/>
  <c r="I33" i="35"/>
  <c r="O1433" i="141"/>
  <c r="I36" i="35"/>
  <c r="O1434" i="141"/>
  <c r="O1437" i="141"/>
  <c r="I40" i="35"/>
  <c r="O1438" i="141"/>
  <c r="I41" i="35"/>
  <c r="O1439" i="141"/>
  <c r="O1440" i="141"/>
  <c r="I43" i="142"/>
  <c r="O1441" i="141"/>
  <c r="I44" i="35"/>
  <c r="O1442" i="141"/>
  <c r="O1443" i="141"/>
  <c r="I46" i="35"/>
  <c r="O1444" i="141"/>
  <c r="I47" i="35"/>
  <c r="O1447" i="141"/>
  <c r="O1448" i="141"/>
  <c r="I51" i="35"/>
  <c r="O1449" i="141"/>
  <c r="I52" i="35"/>
  <c r="O1450" i="141"/>
  <c r="I53" i="35"/>
  <c r="O1451" i="141"/>
  <c r="I54" i="35"/>
  <c r="O1452" i="141"/>
  <c r="I55" i="35"/>
  <c r="O1453" i="141"/>
  <c r="O1456" i="141"/>
  <c r="O1457" i="141"/>
  <c r="O1461" i="141"/>
  <c r="I64" i="35"/>
  <c r="O1463" i="141"/>
  <c r="I66" i="35"/>
  <c r="O1466" i="141"/>
  <c r="O1467" i="141"/>
  <c r="I70" i="35"/>
  <c r="O1468" i="141"/>
  <c r="I71" i="35"/>
  <c r="O1471" i="141"/>
  <c r="O1472" i="141"/>
  <c r="I75" i="142"/>
  <c r="O1488" i="141"/>
  <c r="O1489" i="141"/>
  <c r="O1490" i="141"/>
  <c r="H16" i="35"/>
  <c r="O1491" i="141"/>
  <c r="H17" i="35"/>
  <c r="O1492" i="141"/>
  <c r="O1493" i="141"/>
  <c r="H19" i="35"/>
  <c r="O1496" i="141"/>
  <c r="H22" i="35"/>
  <c r="O1497" i="141"/>
  <c r="H23" i="35"/>
  <c r="O1498" i="141"/>
  <c r="O1499" i="141"/>
  <c r="H25" i="35"/>
  <c r="O1500" i="141"/>
  <c r="O1501" i="141"/>
  <c r="H27" i="35"/>
  <c r="O1504" i="141"/>
  <c r="H30" i="35"/>
  <c r="O1505" i="141"/>
  <c r="H31" i="35"/>
  <c r="O1506" i="141"/>
  <c r="H32" i="35"/>
  <c r="O1507" i="141"/>
  <c r="O1510" i="141"/>
  <c r="H36" i="142"/>
  <c r="O1511" i="141"/>
  <c r="O1514" i="141"/>
  <c r="H40" i="35"/>
  <c r="O1515" i="141"/>
  <c r="H41" i="35"/>
  <c r="O1516" i="141"/>
  <c r="H42" i="35"/>
  <c r="O1517" i="141"/>
  <c r="O1518" i="141"/>
  <c r="O1519" i="141"/>
  <c r="O1520" i="141"/>
  <c r="H46" i="35"/>
  <c r="O1521" i="141"/>
  <c r="H47" i="142"/>
  <c r="O1524" i="141"/>
  <c r="H50" i="35"/>
  <c r="O1525" i="141"/>
  <c r="O1526" i="141"/>
  <c r="H52" i="35"/>
  <c r="O1527" i="141"/>
  <c r="H53" i="35"/>
  <c r="O1528" i="141"/>
  <c r="H54" i="35"/>
  <c r="O1529" i="141"/>
  <c r="H55" i="35"/>
  <c r="O1530" i="141"/>
  <c r="H56" i="35"/>
  <c r="O1533" i="141"/>
  <c r="O1534" i="141"/>
  <c r="H60" i="35"/>
  <c r="O1538" i="141"/>
  <c r="H64" i="142"/>
  <c r="O1540" i="141"/>
  <c r="H66" i="35"/>
  <c r="O1543" i="141"/>
  <c r="O1544" i="141"/>
  <c r="O1545" i="141"/>
  <c r="H71" i="35"/>
  <c r="O1548" i="141"/>
  <c r="O1549" i="141"/>
  <c r="H75" i="35"/>
  <c r="O1644" i="141"/>
  <c r="F14" i="35"/>
  <c r="O1645" i="141"/>
  <c r="F15" i="35"/>
  <c r="O1646" i="141"/>
  <c r="F16" i="35"/>
  <c r="O1647" i="141"/>
  <c r="F17" i="35"/>
  <c r="O1648" i="141"/>
  <c r="F18" i="35"/>
  <c r="O1649" i="141"/>
  <c r="O1652" i="141"/>
  <c r="O1653" i="141"/>
  <c r="O1654" i="141"/>
  <c r="F24" i="142"/>
  <c r="O1655" i="141"/>
  <c r="F25" i="35"/>
  <c r="O1656" i="141"/>
  <c r="O1657" i="141"/>
  <c r="F27" i="35"/>
  <c r="O1660" i="141"/>
  <c r="F30" i="35"/>
  <c r="O1661" i="141"/>
  <c r="F31" i="35"/>
  <c r="O1662" i="141"/>
  <c r="F32" i="35"/>
  <c r="O1663" i="141"/>
  <c r="F33" i="35"/>
  <c r="O1666" i="141"/>
  <c r="O1667" i="141"/>
  <c r="O1670" i="141"/>
  <c r="O1671" i="141"/>
  <c r="F41" i="35"/>
  <c r="O1672" i="141"/>
  <c r="F42" i="35"/>
  <c r="O1673" i="141"/>
  <c r="F43" i="35"/>
  <c r="O1674" i="141"/>
  <c r="O1675" i="141"/>
  <c r="O1676" i="141"/>
  <c r="F46" i="35"/>
  <c r="O1677" i="141"/>
  <c r="O1680" i="141"/>
  <c r="O1681" i="141"/>
  <c r="F51" i="142"/>
  <c r="O1682" i="141"/>
  <c r="F52" i="35"/>
  <c r="O1683" i="141"/>
  <c r="F53" i="35"/>
  <c r="O1684" i="141"/>
  <c r="F54" i="35"/>
  <c r="O1685" i="141"/>
  <c r="O1686" i="141"/>
  <c r="F56" i="35"/>
  <c r="O1689" i="141"/>
  <c r="F59" i="35"/>
  <c r="O1690" i="141"/>
  <c r="F60" i="35"/>
  <c r="O1694" i="141"/>
  <c r="O1696" i="141"/>
  <c r="F66" i="35"/>
  <c r="O1699" i="141"/>
  <c r="F69" i="35"/>
  <c r="O1700" i="141"/>
  <c r="O1701" i="141"/>
  <c r="O1704" i="141"/>
  <c r="F74" i="35"/>
  <c r="O1705" i="141"/>
  <c r="O1722" i="141"/>
  <c r="O1723" i="141"/>
  <c r="E15" i="35"/>
  <c r="O1724" i="141"/>
  <c r="O1725" i="141"/>
  <c r="E17" i="35"/>
  <c r="O1726" i="141"/>
  <c r="E18" i="35"/>
  <c r="O1727" i="141"/>
  <c r="E19" i="35"/>
  <c r="O1730" i="141"/>
  <c r="O1731" i="141"/>
  <c r="E23" i="35"/>
  <c r="O1732" i="141"/>
  <c r="E24" i="35"/>
  <c r="O1733" i="141"/>
  <c r="E25" i="35"/>
  <c r="O1734" i="141"/>
  <c r="E26" i="35"/>
  <c r="O1735" i="141"/>
  <c r="O1738" i="141"/>
  <c r="E30" i="35"/>
  <c r="O1739" i="141"/>
  <c r="E31" i="35"/>
  <c r="O1740" i="141"/>
  <c r="E32" i="35"/>
  <c r="O1741" i="141"/>
  <c r="E33" i="35"/>
  <c r="O1744" i="141"/>
  <c r="E36" i="35"/>
  <c r="O1745" i="141"/>
  <c r="E37" i="35"/>
  <c r="O1748" i="141"/>
  <c r="E40" i="35"/>
  <c r="O1749" i="141"/>
  <c r="E41" i="35"/>
  <c r="O1750" i="141"/>
  <c r="E42" i="35"/>
  <c r="O1751" i="141"/>
  <c r="O1752" i="141"/>
  <c r="E44" i="35"/>
  <c r="O1753" i="141"/>
  <c r="E45" i="35"/>
  <c r="O1754" i="141"/>
  <c r="E46" i="35"/>
  <c r="O1755" i="141"/>
  <c r="E47" i="35"/>
  <c r="O1758" i="141"/>
  <c r="E50" i="35"/>
  <c r="O1759" i="141"/>
  <c r="O1760" i="141"/>
  <c r="E52" i="35"/>
  <c r="O1761" i="141"/>
  <c r="O1762" i="141"/>
  <c r="E54" i="35"/>
  <c r="O1763" i="141"/>
  <c r="E55" i="35"/>
  <c r="O1764" i="141"/>
  <c r="E56" i="35"/>
  <c r="O1767" i="141"/>
  <c r="E59" i="142"/>
  <c r="O1768" i="141"/>
  <c r="E60" i="35"/>
  <c r="O1772" i="141"/>
  <c r="E64" i="35"/>
  <c r="O1774" i="141"/>
  <c r="O1777" i="141"/>
  <c r="O1778" i="141"/>
  <c r="E70" i="35"/>
  <c r="O1779" i="141"/>
  <c r="E71" i="35"/>
  <c r="O1782" i="141"/>
  <c r="E74" i="35"/>
  <c r="O1783" i="141"/>
  <c r="E75" i="142"/>
  <c r="O1799" i="141"/>
  <c r="D14" i="142"/>
  <c r="O1800" i="141"/>
  <c r="D15" i="35"/>
  <c r="O1801" i="141"/>
  <c r="D16" i="35"/>
  <c r="O1802" i="141"/>
  <c r="O1803" i="141"/>
  <c r="O1804" i="141"/>
  <c r="O1793" i="141"/>
  <c r="D8" i="35"/>
  <c r="O1807" i="141"/>
  <c r="D22" i="35"/>
  <c r="O1808" i="141"/>
  <c r="O1809" i="141"/>
  <c r="D24" i="35"/>
  <c r="O1810" i="141"/>
  <c r="D25" i="142"/>
  <c r="O1811" i="141"/>
  <c r="D26" i="35"/>
  <c r="O1812" i="141"/>
  <c r="D27" i="35"/>
  <c r="O1815" i="141"/>
  <c r="D30" i="35"/>
  <c r="O1816" i="141"/>
  <c r="D31" i="35"/>
  <c r="O1817" i="141"/>
  <c r="D32" i="35"/>
  <c r="O1818" i="141"/>
  <c r="O1821" i="141"/>
  <c r="O1822" i="141"/>
  <c r="O1825" i="141"/>
  <c r="D40" i="35"/>
  <c r="O1826" i="141"/>
  <c r="D41" i="35"/>
  <c r="O1827" i="141"/>
  <c r="D42" i="35"/>
  <c r="O1828" i="141"/>
  <c r="O1829" i="141"/>
  <c r="D44" i="142"/>
  <c r="O1830" i="141"/>
  <c r="D45" i="35"/>
  <c r="O1831" i="141"/>
  <c r="D46" i="35"/>
  <c r="O1832" i="141"/>
  <c r="D47" i="35"/>
  <c r="O1835" i="141"/>
  <c r="D50" i="35"/>
  <c r="O1836" i="141"/>
  <c r="O1837" i="141"/>
  <c r="D52" i="35"/>
  <c r="O1838" i="141"/>
  <c r="O1839" i="141"/>
  <c r="D54" i="35"/>
  <c r="O1840" i="141"/>
  <c r="O1841" i="141"/>
  <c r="D56" i="35"/>
  <c r="O1844" i="141"/>
  <c r="O1845" i="141"/>
  <c r="D60" i="35"/>
  <c r="C1848" i="141"/>
  <c r="D1848" i="141"/>
  <c r="E1848" i="141"/>
  <c r="F1848" i="141"/>
  <c r="G1848" i="141"/>
  <c r="H1848" i="141"/>
  <c r="I1848" i="141"/>
  <c r="J1848" i="141"/>
  <c r="K1848" i="141"/>
  <c r="L1848" i="141"/>
  <c r="M1848" i="141"/>
  <c r="N1848" i="141"/>
  <c r="O1849" i="141"/>
  <c r="D64" i="35"/>
  <c r="C1850" i="141"/>
  <c r="D1850" i="141"/>
  <c r="E1850" i="141"/>
  <c r="F1850" i="141"/>
  <c r="G1850" i="141"/>
  <c r="H1850" i="141"/>
  <c r="I1850" i="141"/>
  <c r="J1850" i="141"/>
  <c r="K1850" i="141"/>
  <c r="L1850" i="141"/>
  <c r="M1850" i="141"/>
  <c r="C63" i="129"/>
  <c r="N1850" i="141"/>
  <c r="O1851" i="141"/>
  <c r="O1854" i="141"/>
  <c r="D69" i="35"/>
  <c r="O1855" i="141"/>
  <c r="D70" i="35"/>
  <c r="O1856" i="141"/>
  <c r="D71" i="35"/>
  <c r="O1859" i="141"/>
  <c r="O1860" i="141"/>
  <c r="D75" i="35"/>
  <c r="O1876" i="141"/>
  <c r="C14" i="35"/>
  <c r="O1877" i="141"/>
  <c r="O1878" i="141"/>
  <c r="C16" i="35"/>
  <c r="O1879" i="141"/>
  <c r="C17" i="35"/>
  <c r="O1880" i="141"/>
  <c r="C18" i="35"/>
  <c r="O1881" i="141"/>
  <c r="C19" i="35"/>
  <c r="O1870" i="141"/>
  <c r="C8" i="35"/>
  <c r="O1884" i="141"/>
  <c r="C22" i="35"/>
  <c r="O1885" i="141"/>
  <c r="C23" i="35"/>
  <c r="O1886" i="141"/>
  <c r="O1887" i="141"/>
  <c r="O1888" i="141"/>
  <c r="C26" i="35"/>
  <c r="O1889" i="141"/>
  <c r="C27" i="35"/>
  <c r="O1892" i="141"/>
  <c r="O1893" i="141"/>
  <c r="C31" i="142"/>
  <c r="O1894" i="141"/>
  <c r="C32" i="35"/>
  <c r="O1895" i="141"/>
  <c r="C33" i="35"/>
  <c r="O1898" i="141"/>
  <c r="C36" i="35"/>
  <c r="O1899" i="141"/>
  <c r="C37" i="35"/>
  <c r="O1902" i="141"/>
  <c r="C40" i="35"/>
  <c r="O1903" i="141"/>
  <c r="C41" i="35"/>
  <c r="O1904" i="141"/>
  <c r="C42" i="35"/>
  <c r="O1905" i="141"/>
  <c r="C43" i="35"/>
  <c r="O1906" i="141"/>
  <c r="C44" i="35"/>
  <c r="O1907" i="141"/>
  <c r="C45" i="35"/>
  <c r="O1908" i="141"/>
  <c r="O1909" i="141"/>
  <c r="C47" i="35"/>
  <c r="O1912" i="141"/>
  <c r="C50" i="35"/>
  <c r="O1913" i="141"/>
  <c r="C51" i="35"/>
  <c r="O1914" i="141"/>
  <c r="C52" i="35"/>
  <c r="O1915" i="141"/>
  <c r="C53" i="35"/>
  <c r="O1916" i="141"/>
  <c r="C54" i="35"/>
  <c r="O1917" i="141"/>
  <c r="C55" i="35"/>
  <c r="O1918" i="141"/>
  <c r="C56" i="35"/>
  <c r="O1921" i="141"/>
  <c r="C59" i="35"/>
  <c r="O1922" i="141"/>
  <c r="O1926" i="141"/>
  <c r="C64" i="35"/>
  <c r="O1928" i="141"/>
  <c r="C66" i="35"/>
  <c r="O1931" i="141"/>
  <c r="O1932" i="141"/>
  <c r="O1933" i="141"/>
  <c r="C71" i="35"/>
  <c r="O1936" i="141"/>
  <c r="O1937" i="141"/>
  <c r="C75" i="35"/>
  <c r="O1333" i="141"/>
  <c r="O1332" i="141"/>
  <c r="J12" i="35"/>
  <c r="O1331" i="141"/>
  <c r="J11" i="35"/>
  <c r="O1330" i="141"/>
  <c r="J10" i="35"/>
  <c r="O1329" i="141"/>
  <c r="O1256" i="141"/>
  <c r="O1255" i="141"/>
  <c r="K12" i="35"/>
  <c r="O1254" i="141"/>
  <c r="O1253" i="141"/>
  <c r="K10" i="35"/>
  <c r="O1252" i="141"/>
  <c r="O1178" i="141"/>
  <c r="L13" i="35"/>
  <c r="O1177" i="141"/>
  <c r="L12" i="35"/>
  <c r="O1176" i="141"/>
  <c r="L11" i="35"/>
  <c r="O1175" i="141"/>
  <c r="L10" i="35"/>
  <c r="O1174" i="141"/>
  <c r="L9" i="35"/>
  <c r="O1101" i="141"/>
  <c r="M13" i="35"/>
  <c r="O1100" i="141"/>
  <c r="M12" i="35"/>
  <c r="O1099" i="141"/>
  <c r="O1098" i="141"/>
  <c r="M10" i="35"/>
  <c r="O1097" i="141"/>
  <c r="M9" i="35"/>
  <c r="O1024" i="141"/>
  <c r="N13" i="35"/>
  <c r="O1023" i="141"/>
  <c r="N12" i="35"/>
  <c r="O1022" i="141"/>
  <c r="O1021" i="141"/>
  <c r="N10" i="35"/>
  <c r="O1020" i="141"/>
  <c r="N9" i="35"/>
  <c r="O947" i="141"/>
  <c r="O13" i="35"/>
  <c r="O946" i="141"/>
  <c r="O12" i="35"/>
  <c r="O945" i="141"/>
  <c r="O11" i="35"/>
  <c r="O944" i="141"/>
  <c r="O10" i="35"/>
  <c r="O943" i="141"/>
  <c r="O9" i="35"/>
  <c r="O871" i="141"/>
  <c r="P13" i="35"/>
  <c r="O870" i="141"/>
  <c r="P12" i="35"/>
  <c r="O869" i="141"/>
  <c r="P11" i="35"/>
  <c r="O868" i="141"/>
  <c r="P10" i="35"/>
  <c r="O867" i="141"/>
  <c r="P9" i="35"/>
  <c r="O794" i="141"/>
  <c r="O793" i="141"/>
  <c r="Q12" i="35"/>
  <c r="O792" i="141"/>
  <c r="Q11" i="35"/>
  <c r="O791" i="141"/>
  <c r="Q10" i="35"/>
  <c r="O790" i="141"/>
  <c r="Q9" i="35"/>
  <c r="O717" i="141"/>
  <c r="R13" i="35"/>
  <c r="O716" i="141"/>
  <c r="O715" i="141"/>
  <c r="R11" i="35"/>
  <c r="O714" i="141"/>
  <c r="R10" i="35"/>
  <c r="O713" i="141"/>
  <c r="R9" i="35"/>
  <c r="O1410" i="141"/>
  <c r="O1409" i="141"/>
  <c r="I12" i="35"/>
  <c r="O1408" i="141"/>
  <c r="I11" i="35"/>
  <c r="O1407" i="141"/>
  <c r="I10" i="35"/>
  <c r="O1406" i="141"/>
  <c r="I9" i="35"/>
  <c r="O1487" i="141"/>
  <c r="H13" i="35"/>
  <c r="O1486" i="141"/>
  <c r="H12" i="35"/>
  <c r="O1485" i="141"/>
  <c r="H11" i="35"/>
  <c r="O1484" i="141"/>
  <c r="H10" i="35"/>
  <c r="O1483" i="141"/>
  <c r="O1643" i="141"/>
  <c r="F13" i="35"/>
  <c r="O1642" i="141"/>
  <c r="F12" i="35"/>
  <c r="O1641" i="141"/>
  <c r="F11" i="35"/>
  <c r="O1640" i="141"/>
  <c r="F10" i="35"/>
  <c r="O1639" i="141"/>
  <c r="F9" i="35"/>
  <c r="O1798" i="141"/>
  <c r="O1797" i="141"/>
  <c r="O1796" i="141"/>
  <c r="D11" i="35"/>
  <c r="O1795" i="141"/>
  <c r="O1794" i="141"/>
  <c r="O1721" i="141"/>
  <c r="E13" i="35"/>
  <c r="O1720" i="141"/>
  <c r="E12" i="35"/>
  <c r="O1719" i="141"/>
  <c r="O1718" i="141"/>
  <c r="E10" i="35"/>
  <c r="O1717" i="141"/>
  <c r="O1875" i="141"/>
  <c r="C13" i="35"/>
  <c r="O1874" i="141"/>
  <c r="C12" i="35"/>
  <c r="O1873" i="141"/>
  <c r="C11" i="35"/>
  <c r="O1872" i="141"/>
  <c r="C10" i="35"/>
  <c r="O1871" i="141"/>
  <c r="B81" i="142"/>
  <c r="B22" i="137"/>
  <c r="C22" i="137"/>
  <c r="D22" i="137"/>
  <c r="E22" i="137"/>
  <c r="F22" i="137"/>
  <c r="G22" i="137"/>
  <c r="H22" i="137"/>
  <c r="I22" i="137"/>
  <c r="J22" i="137"/>
  <c r="K22" i="137"/>
  <c r="L22" i="137"/>
  <c r="BG63" i="45"/>
  <c r="BH63" i="45"/>
  <c r="C6" i="129"/>
  <c r="D7" i="129"/>
  <c r="D8" i="129"/>
  <c r="D9" i="129"/>
  <c r="D10" i="129"/>
  <c r="D11" i="129"/>
  <c r="E7" i="129"/>
  <c r="E8" i="129"/>
  <c r="E9" i="129"/>
  <c r="E10" i="129"/>
  <c r="E11" i="129"/>
  <c r="F7" i="129"/>
  <c r="F8" i="129"/>
  <c r="F9" i="129"/>
  <c r="F10" i="129"/>
  <c r="F11" i="129"/>
  <c r="G7" i="129"/>
  <c r="G8" i="129"/>
  <c r="G9" i="129"/>
  <c r="G10" i="129"/>
  <c r="G11" i="129"/>
  <c r="H7" i="129"/>
  <c r="H8" i="129"/>
  <c r="H9" i="129"/>
  <c r="H10" i="129"/>
  <c r="H11" i="129"/>
  <c r="I7" i="129"/>
  <c r="I8" i="129"/>
  <c r="I9" i="129"/>
  <c r="I10" i="129"/>
  <c r="I11" i="129"/>
  <c r="J7" i="129"/>
  <c r="J8" i="129"/>
  <c r="J9" i="129"/>
  <c r="J10" i="129"/>
  <c r="J11" i="129"/>
  <c r="K7" i="129"/>
  <c r="K8" i="129"/>
  <c r="K9" i="129"/>
  <c r="K10" i="129"/>
  <c r="K11" i="129"/>
  <c r="M7" i="129"/>
  <c r="M8" i="129"/>
  <c r="M9" i="129"/>
  <c r="M10" i="129"/>
  <c r="M11" i="129"/>
  <c r="N7" i="129"/>
  <c r="N8" i="129"/>
  <c r="N9" i="129"/>
  <c r="N10" i="129"/>
  <c r="N11" i="129"/>
  <c r="O7" i="129"/>
  <c r="O8" i="129"/>
  <c r="O9" i="129"/>
  <c r="O10" i="129"/>
  <c r="O11" i="129"/>
  <c r="P7" i="129"/>
  <c r="P8" i="129"/>
  <c r="P9" i="129"/>
  <c r="P10" i="129"/>
  <c r="P11" i="129"/>
  <c r="Q6" i="129"/>
  <c r="Q12" i="129"/>
  <c r="Q13" i="129"/>
  <c r="Q14" i="129"/>
  <c r="Q15" i="129"/>
  <c r="Q16" i="129"/>
  <c r="Q17" i="129"/>
  <c r="C12" i="129"/>
  <c r="C13" i="129"/>
  <c r="C14" i="129"/>
  <c r="C15" i="129"/>
  <c r="C16" i="129"/>
  <c r="C17" i="129"/>
  <c r="D12" i="129"/>
  <c r="E12" i="129"/>
  <c r="F12" i="129"/>
  <c r="G12" i="129"/>
  <c r="H12" i="129"/>
  <c r="I12" i="129"/>
  <c r="J12" i="129"/>
  <c r="K12" i="129"/>
  <c r="M12" i="129"/>
  <c r="N12" i="129"/>
  <c r="O12" i="129"/>
  <c r="P12" i="129"/>
  <c r="D13" i="129"/>
  <c r="E13" i="129"/>
  <c r="F13" i="129"/>
  <c r="G13" i="129"/>
  <c r="H13" i="129"/>
  <c r="I13" i="129"/>
  <c r="J13" i="129"/>
  <c r="K13" i="129"/>
  <c r="M13" i="129"/>
  <c r="N13" i="129"/>
  <c r="O13" i="129"/>
  <c r="P13" i="129"/>
  <c r="D14" i="129"/>
  <c r="E14" i="129"/>
  <c r="F14" i="129"/>
  <c r="G14" i="129"/>
  <c r="H14" i="129"/>
  <c r="I14" i="129"/>
  <c r="J14" i="129"/>
  <c r="K14" i="129"/>
  <c r="M14" i="129"/>
  <c r="N14" i="129"/>
  <c r="O14" i="129"/>
  <c r="P14" i="129"/>
  <c r="D15" i="129"/>
  <c r="E15" i="129"/>
  <c r="F15" i="129"/>
  <c r="G15" i="129"/>
  <c r="H15" i="129"/>
  <c r="I15" i="129"/>
  <c r="J15" i="129"/>
  <c r="K15" i="129"/>
  <c r="M15" i="129"/>
  <c r="N15" i="129"/>
  <c r="O15" i="129"/>
  <c r="P15" i="129"/>
  <c r="D16" i="129"/>
  <c r="E16" i="129"/>
  <c r="F16" i="129"/>
  <c r="G16" i="129"/>
  <c r="H16" i="129"/>
  <c r="I16" i="129"/>
  <c r="J16" i="129"/>
  <c r="K16" i="129"/>
  <c r="M16" i="129"/>
  <c r="N16" i="129"/>
  <c r="O16" i="129"/>
  <c r="P16" i="129"/>
  <c r="D17" i="129"/>
  <c r="E17" i="129"/>
  <c r="F17" i="129"/>
  <c r="G17" i="129"/>
  <c r="H17" i="129"/>
  <c r="I17" i="129"/>
  <c r="J17" i="129"/>
  <c r="K17" i="129"/>
  <c r="M17" i="129"/>
  <c r="N17" i="129"/>
  <c r="O17" i="129"/>
  <c r="P17" i="129"/>
  <c r="C28" i="129"/>
  <c r="C29" i="129"/>
  <c r="C30" i="129"/>
  <c r="C31" i="129"/>
  <c r="D28" i="129"/>
  <c r="D29" i="129"/>
  <c r="D30" i="129"/>
  <c r="D31" i="129"/>
  <c r="E28" i="129"/>
  <c r="E29" i="129"/>
  <c r="E30" i="129"/>
  <c r="E31" i="129"/>
  <c r="F28" i="129"/>
  <c r="F29" i="129"/>
  <c r="F30" i="129"/>
  <c r="F31" i="129"/>
  <c r="G28" i="129"/>
  <c r="G29" i="129"/>
  <c r="G30" i="129"/>
  <c r="G31" i="129"/>
  <c r="H28" i="129"/>
  <c r="H29" i="129"/>
  <c r="H30" i="129"/>
  <c r="H31" i="129"/>
  <c r="I28" i="129"/>
  <c r="I29" i="129"/>
  <c r="I30" i="129"/>
  <c r="I31" i="129"/>
  <c r="J28" i="129"/>
  <c r="J29" i="129"/>
  <c r="J30" i="129"/>
  <c r="J31" i="129"/>
  <c r="K28" i="129"/>
  <c r="K29" i="129"/>
  <c r="K30" i="129"/>
  <c r="K31" i="129"/>
  <c r="M28" i="129"/>
  <c r="M29" i="129"/>
  <c r="M30" i="129"/>
  <c r="M31" i="129"/>
  <c r="C34" i="129"/>
  <c r="C35" i="129"/>
  <c r="C32" i="129"/>
  <c r="D34" i="129"/>
  <c r="D35" i="129"/>
  <c r="E34" i="129"/>
  <c r="E35" i="129"/>
  <c r="F34" i="129"/>
  <c r="F35" i="129"/>
  <c r="G34" i="129"/>
  <c r="G35" i="129"/>
  <c r="H34" i="129"/>
  <c r="H35" i="129"/>
  <c r="I34" i="129"/>
  <c r="I35" i="129"/>
  <c r="J34" i="129"/>
  <c r="J35" i="129"/>
  <c r="K34" i="129"/>
  <c r="K35" i="129"/>
  <c r="M34" i="129"/>
  <c r="M35" i="129"/>
  <c r="C38" i="129"/>
  <c r="C39" i="129"/>
  <c r="C40" i="129"/>
  <c r="C41" i="129"/>
  <c r="C42" i="129"/>
  <c r="C43" i="129"/>
  <c r="C44" i="129"/>
  <c r="C45" i="129"/>
  <c r="D38" i="129"/>
  <c r="D39" i="129"/>
  <c r="D40" i="129"/>
  <c r="D41" i="129"/>
  <c r="D42" i="129"/>
  <c r="D43" i="129"/>
  <c r="D44" i="129"/>
  <c r="D45" i="129"/>
  <c r="E38" i="129"/>
  <c r="E39" i="129"/>
  <c r="E40" i="129"/>
  <c r="E41" i="129"/>
  <c r="E42" i="129"/>
  <c r="E43" i="129"/>
  <c r="E44" i="129"/>
  <c r="E45" i="129"/>
  <c r="F38" i="129"/>
  <c r="F39" i="129"/>
  <c r="F40" i="129"/>
  <c r="F41" i="129"/>
  <c r="F42" i="129"/>
  <c r="F43" i="129"/>
  <c r="F44" i="129"/>
  <c r="F45" i="129"/>
  <c r="G38" i="129"/>
  <c r="G39" i="129"/>
  <c r="G40" i="129"/>
  <c r="G41" i="129"/>
  <c r="G42" i="129"/>
  <c r="G43" i="129"/>
  <c r="G44" i="129"/>
  <c r="G45" i="129"/>
  <c r="H38" i="129"/>
  <c r="H39" i="129"/>
  <c r="H40" i="129"/>
  <c r="H41" i="129"/>
  <c r="H42" i="129"/>
  <c r="H43" i="129"/>
  <c r="H44" i="129"/>
  <c r="H45" i="129"/>
  <c r="I38" i="129"/>
  <c r="I39" i="129"/>
  <c r="I40" i="129"/>
  <c r="I41" i="129"/>
  <c r="I42" i="129"/>
  <c r="I43" i="129"/>
  <c r="I44" i="129"/>
  <c r="I45" i="129"/>
  <c r="J38" i="129"/>
  <c r="J39" i="129"/>
  <c r="J40" i="129"/>
  <c r="J41" i="129"/>
  <c r="J42" i="129"/>
  <c r="J43" i="129"/>
  <c r="J44" i="129"/>
  <c r="J45" i="129"/>
  <c r="K38" i="129"/>
  <c r="K39" i="129"/>
  <c r="K40" i="129"/>
  <c r="K41" i="129"/>
  <c r="K42" i="129"/>
  <c r="K43" i="129"/>
  <c r="K44" i="129"/>
  <c r="K45" i="129"/>
  <c r="M38" i="129"/>
  <c r="M39" i="129"/>
  <c r="M40" i="129"/>
  <c r="M41" i="129"/>
  <c r="M42" i="129"/>
  <c r="M43" i="129"/>
  <c r="M44" i="129"/>
  <c r="M45" i="129"/>
  <c r="C48" i="129"/>
  <c r="D48" i="129"/>
  <c r="E48" i="129"/>
  <c r="F48" i="129"/>
  <c r="G48" i="129"/>
  <c r="H48" i="129"/>
  <c r="I48" i="129"/>
  <c r="J48" i="129"/>
  <c r="K48" i="129"/>
  <c r="M48" i="129"/>
  <c r="N48" i="129"/>
  <c r="O48" i="129"/>
  <c r="P48" i="129"/>
  <c r="Q48" i="129"/>
  <c r="C49" i="129"/>
  <c r="D49" i="129"/>
  <c r="E49" i="129"/>
  <c r="F49" i="129"/>
  <c r="G49" i="129"/>
  <c r="H49" i="129"/>
  <c r="I49" i="129"/>
  <c r="J49" i="129"/>
  <c r="K49" i="129"/>
  <c r="M49" i="129"/>
  <c r="N49" i="129"/>
  <c r="O49" i="129"/>
  <c r="P49" i="129"/>
  <c r="Q49" i="129"/>
  <c r="C50" i="129"/>
  <c r="D50" i="129"/>
  <c r="E50" i="129"/>
  <c r="F50" i="129"/>
  <c r="G50" i="129"/>
  <c r="H50" i="129"/>
  <c r="I50" i="129"/>
  <c r="J50" i="129"/>
  <c r="K50" i="129"/>
  <c r="M50" i="129"/>
  <c r="N50" i="129"/>
  <c r="O50" i="129"/>
  <c r="P50" i="129"/>
  <c r="Q50" i="129"/>
  <c r="C51" i="129"/>
  <c r="D51" i="129"/>
  <c r="E51" i="129"/>
  <c r="F51" i="129"/>
  <c r="G51" i="129"/>
  <c r="H51" i="129"/>
  <c r="I51" i="129"/>
  <c r="J51" i="129"/>
  <c r="K51" i="129"/>
  <c r="M51" i="129"/>
  <c r="N51" i="129"/>
  <c r="O51" i="129"/>
  <c r="P51" i="129"/>
  <c r="Q51" i="129"/>
  <c r="C52" i="129"/>
  <c r="D52" i="129"/>
  <c r="E52" i="129"/>
  <c r="F52" i="129"/>
  <c r="G52" i="129"/>
  <c r="H52" i="129"/>
  <c r="I52" i="129"/>
  <c r="J52" i="129"/>
  <c r="K52" i="129"/>
  <c r="M52" i="129"/>
  <c r="N52" i="129"/>
  <c r="O52" i="129"/>
  <c r="P52" i="129"/>
  <c r="C53" i="129"/>
  <c r="D53" i="129"/>
  <c r="E53" i="129"/>
  <c r="F53" i="129"/>
  <c r="G53" i="129"/>
  <c r="H53" i="129"/>
  <c r="I53" i="129"/>
  <c r="J53" i="129"/>
  <c r="K53" i="129"/>
  <c r="M53" i="129"/>
  <c r="N53" i="129"/>
  <c r="O53" i="129"/>
  <c r="P53" i="129"/>
  <c r="Q53" i="129"/>
  <c r="C54" i="129"/>
  <c r="D54" i="129"/>
  <c r="E54" i="129"/>
  <c r="F54" i="129"/>
  <c r="G54" i="129"/>
  <c r="H54" i="129"/>
  <c r="I54" i="129"/>
  <c r="J54" i="129"/>
  <c r="K54" i="129"/>
  <c r="M54" i="129"/>
  <c r="N54" i="129"/>
  <c r="O54" i="129"/>
  <c r="P54" i="129"/>
  <c r="Q54" i="129"/>
  <c r="C57" i="129"/>
  <c r="D57" i="129"/>
  <c r="E57" i="129"/>
  <c r="F57" i="129"/>
  <c r="G57" i="129"/>
  <c r="H57" i="129"/>
  <c r="I57" i="129"/>
  <c r="J57" i="129"/>
  <c r="K57" i="129"/>
  <c r="M57" i="129"/>
  <c r="N57" i="129"/>
  <c r="O57" i="129"/>
  <c r="C58" i="129"/>
  <c r="D58" i="129"/>
  <c r="E58" i="129"/>
  <c r="F58" i="129"/>
  <c r="G58" i="129"/>
  <c r="H58" i="129"/>
  <c r="I58" i="129"/>
  <c r="J58" i="129"/>
  <c r="K58" i="129"/>
  <c r="P58" i="129"/>
  <c r="Q58" i="129"/>
  <c r="C62" i="129"/>
  <c r="D62" i="129"/>
  <c r="E62" i="129"/>
  <c r="F62" i="129"/>
  <c r="G62" i="129"/>
  <c r="H62" i="129"/>
  <c r="I62" i="129"/>
  <c r="J62" i="129"/>
  <c r="K62" i="129"/>
  <c r="M62" i="129"/>
  <c r="N62" i="129"/>
  <c r="O62" i="129"/>
  <c r="P62" i="129"/>
  <c r="Q62" i="129"/>
  <c r="C64" i="129"/>
  <c r="D64" i="129"/>
  <c r="E64" i="129"/>
  <c r="F64" i="129"/>
  <c r="G64" i="129"/>
  <c r="H64" i="129"/>
  <c r="I64" i="129"/>
  <c r="J64" i="129"/>
  <c r="K64" i="129"/>
  <c r="M64" i="129"/>
  <c r="N64" i="129"/>
  <c r="P64" i="129"/>
  <c r="C67" i="129"/>
  <c r="D67" i="129"/>
  <c r="E67" i="129"/>
  <c r="F67" i="129"/>
  <c r="G67" i="129"/>
  <c r="H67" i="129"/>
  <c r="I67" i="129"/>
  <c r="J67" i="129"/>
  <c r="K67" i="129"/>
  <c r="M67" i="129"/>
  <c r="N67" i="129"/>
  <c r="O67" i="129"/>
  <c r="P67" i="129"/>
  <c r="Q67" i="129"/>
  <c r="C68" i="129"/>
  <c r="D68" i="129"/>
  <c r="E68" i="129"/>
  <c r="F68" i="129"/>
  <c r="G68" i="129"/>
  <c r="H68" i="129"/>
  <c r="I68" i="129"/>
  <c r="J68" i="129"/>
  <c r="K68" i="129"/>
  <c r="M68" i="129"/>
  <c r="N68" i="129"/>
  <c r="O68" i="129"/>
  <c r="P68" i="129"/>
  <c r="Q68" i="129"/>
  <c r="C69" i="129"/>
  <c r="D69" i="129"/>
  <c r="E69" i="129"/>
  <c r="F69" i="129"/>
  <c r="G69" i="129"/>
  <c r="H69" i="129"/>
  <c r="I69" i="129"/>
  <c r="J69" i="129"/>
  <c r="K69" i="129"/>
  <c r="M69" i="129"/>
  <c r="N69" i="129"/>
  <c r="O69" i="129"/>
  <c r="P69" i="129"/>
  <c r="Q69" i="129"/>
  <c r="C72" i="129"/>
  <c r="C73" i="129"/>
  <c r="D72" i="129"/>
  <c r="E72" i="129"/>
  <c r="F72" i="129"/>
  <c r="G72" i="129"/>
  <c r="H72" i="129"/>
  <c r="I72" i="129"/>
  <c r="J72" i="129"/>
  <c r="K72" i="129"/>
  <c r="M72" i="129"/>
  <c r="N72" i="129"/>
  <c r="O72" i="129"/>
  <c r="P72" i="129"/>
  <c r="Q72" i="129"/>
  <c r="D73" i="129"/>
  <c r="E73" i="129"/>
  <c r="F73" i="129"/>
  <c r="G73" i="129"/>
  <c r="H73" i="129"/>
  <c r="I73" i="129"/>
  <c r="J73" i="129"/>
  <c r="K73" i="129"/>
  <c r="M73" i="129"/>
  <c r="N73" i="129"/>
  <c r="O73" i="129"/>
  <c r="P73" i="129"/>
  <c r="Q73" i="129"/>
  <c r="N45" i="129"/>
  <c r="O45" i="129"/>
  <c r="P45" i="129"/>
  <c r="Q45" i="129"/>
  <c r="N44" i="129"/>
  <c r="O44" i="129"/>
  <c r="P44" i="129"/>
  <c r="Q44" i="129"/>
  <c r="N43" i="129"/>
  <c r="O43" i="129"/>
  <c r="P43" i="129"/>
  <c r="Q43" i="129"/>
  <c r="N42" i="129"/>
  <c r="O42" i="129"/>
  <c r="P42" i="129"/>
  <c r="Q42" i="129"/>
  <c r="N41" i="129"/>
  <c r="O41" i="129"/>
  <c r="P41" i="129"/>
  <c r="Q41" i="129"/>
  <c r="N40" i="129"/>
  <c r="O40" i="129"/>
  <c r="P40" i="129"/>
  <c r="Q40" i="129"/>
  <c r="N39" i="129"/>
  <c r="O39" i="129"/>
  <c r="P39" i="129"/>
  <c r="Q39" i="129"/>
  <c r="N38" i="129"/>
  <c r="O38" i="129"/>
  <c r="P38" i="129"/>
  <c r="Q38" i="129"/>
  <c r="N35" i="129"/>
  <c r="O35" i="129"/>
  <c r="P35" i="129"/>
  <c r="Q35" i="129"/>
  <c r="N34" i="129"/>
  <c r="O34" i="129"/>
  <c r="P34" i="129"/>
  <c r="Q34" i="129"/>
  <c r="N31" i="129"/>
  <c r="O31" i="129"/>
  <c r="P31" i="129"/>
  <c r="Q31" i="129"/>
  <c r="N30" i="129"/>
  <c r="O30" i="129"/>
  <c r="P30" i="129"/>
  <c r="Q30" i="129"/>
  <c r="N29" i="129"/>
  <c r="O29" i="129"/>
  <c r="P29" i="129"/>
  <c r="N28" i="129"/>
  <c r="O28" i="129"/>
  <c r="P28" i="129"/>
  <c r="Q28" i="129"/>
  <c r="C11" i="129"/>
  <c r="Q11" i="129"/>
  <c r="C10" i="129"/>
  <c r="Q10" i="129"/>
  <c r="C9" i="129"/>
  <c r="Q9" i="129"/>
  <c r="C8" i="129"/>
  <c r="Q8" i="129"/>
  <c r="C7" i="129"/>
  <c r="Q7" i="129"/>
  <c r="N1791" i="141"/>
  <c r="N1805" i="141"/>
  <c r="N1813" i="141"/>
  <c r="N1819" i="141"/>
  <c r="N1823" i="141"/>
  <c r="N1833" i="141"/>
  <c r="N1842" i="141"/>
  <c r="N1852" i="141"/>
  <c r="N1857" i="141"/>
  <c r="M1791" i="141"/>
  <c r="M1805" i="141"/>
  <c r="M1813" i="141"/>
  <c r="M1819" i="141"/>
  <c r="M1823" i="141"/>
  <c r="M1833" i="141"/>
  <c r="M1842" i="141"/>
  <c r="M1852" i="141"/>
  <c r="M1857" i="141"/>
  <c r="L1791" i="141"/>
  <c r="L1805" i="141"/>
  <c r="L1813" i="141"/>
  <c r="L1819" i="141"/>
  <c r="L1823" i="141"/>
  <c r="L1833" i="141"/>
  <c r="L1842" i="141"/>
  <c r="L1852" i="141"/>
  <c r="L1857" i="141"/>
  <c r="K1791" i="141"/>
  <c r="K1805" i="141"/>
  <c r="K1813" i="141"/>
  <c r="K1819" i="141"/>
  <c r="K1823" i="141"/>
  <c r="K1833" i="141"/>
  <c r="K1842" i="141"/>
  <c r="K1852" i="141"/>
  <c r="K1857" i="141"/>
  <c r="J1791" i="141"/>
  <c r="J1805" i="141"/>
  <c r="J1813" i="141"/>
  <c r="J1819" i="141"/>
  <c r="J1823" i="141"/>
  <c r="J1833" i="141"/>
  <c r="J1842" i="141"/>
  <c r="J1852" i="141"/>
  <c r="J1857" i="141"/>
  <c r="I1791" i="141"/>
  <c r="I1805" i="141"/>
  <c r="I1813" i="141"/>
  <c r="I1819" i="141"/>
  <c r="I1823" i="141"/>
  <c r="I1833" i="141"/>
  <c r="I1842" i="141"/>
  <c r="I1852" i="141"/>
  <c r="I1857" i="141"/>
  <c r="H1791" i="141"/>
  <c r="H1805" i="141"/>
  <c r="H1813" i="141"/>
  <c r="H1819" i="141"/>
  <c r="H1823" i="141"/>
  <c r="H1833" i="141"/>
  <c r="H1842" i="141"/>
  <c r="H1852" i="141"/>
  <c r="H1857" i="141"/>
  <c r="G1791" i="141"/>
  <c r="G1805" i="141"/>
  <c r="G1813" i="141"/>
  <c r="G1819" i="141"/>
  <c r="G1823" i="141"/>
  <c r="G1833" i="141"/>
  <c r="G1842" i="141"/>
  <c r="G1852" i="141"/>
  <c r="G1857" i="141"/>
  <c r="F1791" i="141"/>
  <c r="F1805" i="141"/>
  <c r="F1813" i="141"/>
  <c r="F1819" i="141"/>
  <c r="F1823" i="141"/>
  <c r="F1833" i="141"/>
  <c r="F1842" i="141"/>
  <c r="F1852" i="141"/>
  <c r="F1857" i="141"/>
  <c r="E1791" i="141"/>
  <c r="E1805" i="141"/>
  <c r="E1813" i="141"/>
  <c r="E1819" i="141"/>
  <c r="E1823" i="141"/>
  <c r="E1833" i="141"/>
  <c r="E1842" i="141"/>
  <c r="E1852" i="141"/>
  <c r="E1857" i="141"/>
  <c r="D1791" i="141"/>
  <c r="D1805" i="141"/>
  <c r="D1813" i="141"/>
  <c r="D1819" i="141"/>
  <c r="D1823" i="141"/>
  <c r="D1833" i="141"/>
  <c r="D1842" i="141"/>
  <c r="D1852" i="141"/>
  <c r="D1857" i="141"/>
  <c r="C1791" i="141"/>
  <c r="C1805" i="141"/>
  <c r="C1813" i="141"/>
  <c r="C1819" i="141"/>
  <c r="C1823" i="141"/>
  <c r="C1833" i="141"/>
  <c r="C1842" i="141"/>
  <c r="C1852" i="141"/>
  <c r="C1857" i="141"/>
  <c r="C5" i="141"/>
  <c r="C21" i="141"/>
  <c r="C19" i="141"/>
  <c r="C27" i="141"/>
  <c r="C33" i="141"/>
  <c r="C47" i="141"/>
  <c r="C37" i="141"/>
  <c r="C58" i="141"/>
  <c r="C56" i="141"/>
  <c r="C71" i="141"/>
  <c r="D5" i="141"/>
  <c r="D21" i="141"/>
  <c r="D22" i="141"/>
  <c r="D27" i="141"/>
  <c r="D33" i="141"/>
  <c r="D47" i="141"/>
  <c r="D37" i="141"/>
  <c r="D58" i="141"/>
  <c r="D71" i="141"/>
  <c r="D66" i="141"/>
  <c r="E5" i="141"/>
  <c r="E21" i="141"/>
  <c r="E22" i="141"/>
  <c r="E27" i="141"/>
  <c r="E33" i="141"/>
  <c r="E47" i="141"/>
  <c r="E37" i="141"/>
  <c r="E58" i="141"/>
  <c r="E56" i="141"/>
  <c r="E71" i="141"/>
  <c r="F5" i="141"/>
  <c r="F21" i="141"/>
  <c r="F22" i="141"/>
  <c r="F27" i="141"/>
  <c r="F33" i="141"/>
  <c r="F55" i="141"/>
  <c r="F37" i="141"/>
  <c r="F58" i="141"/>
  <c r="F56" i="141"/>
  <c r="F71" i="141"/>
  <c r="F66" i="141"/>
  <c r="G5" i="141"/>
  <c r="G21" i="141"/>
  <c r="G22" i="141"/>
  <c r="G27" i="141"/>
  <c r="G33" i="141"/>
  <c r="G47" i="141"/>
  <c r="G37" i="141"/>
  <c r="G58" i="141"/>
  <c r="G56" i="141"/>
  <c r="G71" i="141"/>
  <c r="G66" i="141"/>
  <c r="H5" i="141"/>
  <c r="H21" i="141"/>
  <c r="H22" i="141"/>
  <c r="H27" i="141"/>
  <c r="H33" i="141"/>
  <c r="H47" i="141"/>
  <c r="H37" i="141"/>
  <c r="H56" i="141"/>
  <c r="H71" i="141"/>
  <c r="H66" i="141"/>
  <c r="I5" i="141"/>
  <c r="I21" i="141"/>
  <c r="I22" i="141"/>
  <c r="I27" i="141"/>
  <c r="I33" i="141"/>
  <c r="I47" i="141"/>
  <c r="I37" i="141"/>
  <c r="I56" i="141"/>
  <c r="I71" i="141"/>
  <c r="I66" i="141"/>
  <c r="J5" i="141"/>
  <c r="J21" i="141"/>
  <c r="J19" i="141"/>
  <c r="J27" i="141"/>
  <c r="J33" i="141"/>
  <c r="J47" i="141"/>
  <c r="J37" i="141"/>
  <c r="J58" i="141"/>
  <c r="J56" i="141"/>
  <c r="J71" i="141"/>
  <c r="J66" i="141"/>
  <c r="K5" i="141"/>
  <c r="K21" i="141"/>
  <c r="K19" i="141"/>
  <c r="K27" i="141"/>
  <c r="K33" i="141"/>
  <c r="K47" i="141"/>
  <c r="K37" i="141"/>
  <c r="K58" i="141"/>
  <c r="K56" i="141"/>
  <c r="K71" i="141"/>
  <c r="K66" i="141"/>
  <c r="L5" i="141"/>
  <c r="L21" i="141"/>
  <c r="L19" i="141"/>
  <c r="L27" i="141"/>
  <c r="L33" i="141"/>
  <c r="L47" i="141"/>
  <c r="L37" i="141"/>
  <c r="L58" i="141"/>
  <c r="L56" i="141"/>
  <c r="L71" i="141"/>
  <c r="M5" i="141"/>
  <c r="M21" i="141"/>
  <c r="M27" i="141"/>
  <c r="M33" i="141"/>
  <c r="M47" i="141"/>
  <c r="M37" i="141"/>
  <c r="M58" i="141"/>
  <c r="M56" i="141"/>
  <c r="M71" i="141"/>
  <c r="M66" i="141"/>
  <c r="N5" i="141"/>
  <c r="N21" i="141"/>
  <c r="N19" i="141"/>
  <c r="N27" i="141"/>
  <c r="N33" i="141"/>
  <c r="N47" i="141"/>
  <c r="N37" i="141"/>
  <c r="N58" i="141"/>
  <c r="N56" i="141"/>
  <c r="N71" i="141"/>
  <c r="N66" i="141"/>
  <c r="O74" i="141"/>
  <c r="O73" i="141"/>
  <c r="O70" i="141"/>
  <c r="O69" i="141"/>
  <c r="C68" i="141"/>
  <c r="C66" i="141"/>
  <c r="D68" i="141"/>
  <c r="E68" i="141"/>
  <c r="F68" i="141"/>
  <c r="G68" i="141"/>
  <c r="H68" i="141"/>
  <c r="I68" i="141"/>
  <c r="J68" i="141"/>
  <c r="K68" i="141"/>
  <c r="L68" i="141"/>
  <c r="M68" i="141"/>
  <c r="N68" i="141"/>
  <c r="N65" i="141"/>
  <c r="M65" i="141"/>
  <c r="L65" i="141"/>
  <c r="K65" i="141"/>
  <c r="J65" i="141"/>
  <c r="I65" i="141"/>
  <c r="H65" i="141"/>
  <c r="G65" i="141"/>
  <c r="F65" i="141"/>
  <c r="E65" i="141"/>
  <c r="D65" i="141"/>
  <c r="C65" i="141"/>
  <c r="O64" i="141"/>
  <c r="O63" i="141"/>
  <c r="N62" i="141"/>
  <c r="M62" i="141"/>
  <c r="L62" i="141"/>
  <c r="K62" i="141"/>
  <c r="J62" i="141"/>
  <c r="I62" i="141"/>
  <c r="H62" i="141"/>
  <c r="G62" i="141"/>
  <c r="F62" i="141"/>
  <c r="E62" i="141"/>
  <c r="D62" i="141"/>
  <c r="C62" i="141"/>
  <c r="O59" i="141"/>
  <c r="O54" i="141"/>
  <c r="O53" i="141"/>
  <c r="O52" i="141"/>
  <c r="O51" i="141"/>
  <c r="O50" i="141"/>
  <c r="O49" i="141"/>
  <c r="O46" i="141"/>
  <c r="O45" i="141"/>
  <c r="O44" i="141"/>
  <c r="O43" i="141"/>
  <c r="O42" i="141"/>
  <c r="O41" i="141"/>
  <c r="O40" i="141"/>
  <c r="O39" i="141"/>
  <c r="O36" i="141"/>
  <c r="O35" i="141"/>
  <c r="O32" i="141"/>
  <c r="O31" i="141"/>
  <c r="O30" i="141"/>
  <c r="O29" i="141"/>
  <c r="O26" i="141"/>
  <c r="O25" i="141"/>
  <c r="O24" i="141"/>
  <c r="O23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C96" i="141"/>
  <c r="C94" i="141"/>
  <c r="C102" i="141"/>
  <c r="C108" i="141"/>
  <c r="C122" i="141"/>
  <c r="C112" i="141"/>
  <c r="C133" i="141"/>
  <c r="C146" i="141"/>
  <c r="D96" i="141"/>
  <c r="D97" i="141"/>
  <c r="D102" i="141"/>
  <c r="D108" i="141"/>
  <c r="D122" i="141"/>
  <c r="D112" i="141"/>
  <c r="D133" i="141"/>
  <c r="D131" i="141"/>
  <c r="D146" i="141"/>
  <c r="D141" i="141"/>
  <c r="E96" i="141"/>
  <c r="E97" i="141"/>
  <c r="E102" i="141"/>
  <c r="E108" i="141"/>
  <c r="E122" i="141"/>
  <c r="E112" i="141"/>
  <c r="E133" i="141"/>
  <c r="E131" i="141"/>
  <c r="E146" i="141"/>
  <c r="E141" i="141"/>
  <c r="F96" i="141"/>
  <c r="F97" i="141"/>
  <c r="F102" i="141"/>
  <c r="F108" i="141"/>
  <c r="F130" i="141"/>
  <c r="F122" i="141"/>
  <c r="F112" i="141"/>
  <c r="F133" i="141"/>
  <c r="F131" i="141"/>
  <c r="F146" i="141"/>
  <c r="F141" i="141"/>
  <c r="G96" i="141"/>
  <c r="G97" i="141"/>
  <c r="G102" i="141"/>
  <c r="G108" i="141"/>
  <c r="G122" i="141"/>
  <c r="G112" i="141"/>
  <c r="G133" i="141"/>
  <c r="G131" i="141"/>
  <c r="G146" i="141"/>
  <c r="G141" i="141"/>
  <c r="H96" i="141"/>
  <c r="H97" i="141"/>
  <c r="H102" i="141"/>
  <c r="H108" i="141"/>
  <c r="H122" i="141"/>
  <c r="H112" i="141"/>
  <c r="H131" i="141"/>
  <c r="H146" i="141"/>
  <c r="H141" i="141"/>
  <c r="I96" i="141"/>
  <c r="I97" i="141"/>
  <c r="I102" i="141"/>
  <c r="I108" i="141"/>
  <c r="I122" i="141"/>
  <c r="I112" i="141"/>
  <c r="I131" i="141"/>
  <c r="I146" i="141"/>
  <c r="I141" i="141"/>
  <c r="J96" i="141"/>
  <c r="J94" i="141"/>
  <c r="J102" i="141"/>
  <c r="J108" i="141"/>
  <c r="J122" i="141"/>
  <c r="J112" i="141"/>
  <c r="J133" i="141"/>
  <c r="J131" i="141"/>
  <c r="J146" i="141"/>
  <c r="J141" i="141"/>
  <c r="K96" i="141"/>
  <c r="K94" i="141"/>
  <c r="K102" i="141"/>
  <c r="K108" i="141"/>
  <c r="K122" i="141"/>
  <c r="K112" i="141"/>
  <c r="K133" i="141"/>
  <c r="K131" i="141"/>
  <c r="K146" i="141"/>
  <c r="K141" i="141"/>
  <c r="L96" i="141"/>
  <c r="L94" i="141"/>
  <c r="L102" i="141"/>
  <c r="L108" i="141"/>
  <c r="L122" i="141"/>
  <c r="L112" i="141"/>
  <c r="L133" i="141"/>
  <c r="L131" i="141"/>
  <c r="L146" i="141"/>
  <c r="L141" i="141"/>
  <c r="M96" i="141"/>
  <c r="M94" i="141"/>
  <c r="M102" i="141"/>
  <c r="M108" i="141"/>
  <c r="M122" i="141"/>
  <c r="M112" i="141"/>
  <c r="M133" i="141"/>
  <c r="M131" i="141"/>
  <c r="M146" i="141"/>
  <c r="M141" i="141"/>
  <c r="N96" i="141"/>
  <c r="N94" i="141"/>
  <c r="N102" i="141"/>
  <c r="N108" i="141"/>
  <c r="R84" i="141" s="1"/>
  <c r="N122" i="141"/>
  <c r="R86" i="141" s="1"/>
  <c r="N112" i="141"/>
  <c r="R85" i="141" s="1"/>
  <c r="N133" i="141"/>
  <c r="N131" i="141"/>
  <c r="R87" i="141" s="1"/>
  <c r="N146" i="141"/>
  <c r="N141" i="141"/>
  <c r="O149" i="141"/>
  <c r="O148" i="141"/>
  <c r="O145" i="141"/>
  <c r="O144" i="141"/>
  <c r="C143" i="141"/>
  <c r="C141" i="141"/>
  <c r="D143" i="141"/>
  <c r="E143" i="141"/>
  <c r="F143" i="141"/>
  <c r="G143" i="141"/>
  <c r="H143" i="141"/>
  <c r="I143" i="141"/>
  <c r="J143" i="141"/>
  <c r="K143" i="141"/>
  <c r="L143" i="141"/>
  <c r="M143" i="141"/>
  <c r="N143" i="141"/>
  <c r="N140" i="141"/>
  <c r="M140" i="141"/>
  <c r="L140" i="141"/>
  <c r="K140" i="141"/>
  <c r="J140" i="141"/>
  <c r="I140" i="141"/>
  <c r="H140" i="141"/>
  <c r="G140" i="141"/>
  <c r="F140" i="141"/>
  <c r="E140" i="141"/>
  <c r="D140" i="141"/>
  <c r="C140" i="141"/>
  <c r="O139" i="141"/>
  <c r="O138" i="141"/>
  <c r="N137" i="141"/>
  <c r="M137" i="141"/>
  <c r="L137" i="141"/>
  <c r="K137" i="141"/>
  <c r="J137" i="141"/>
  <c r="I137" i="141"/>
  <c r="H137" i="141"/>
  <c r="G137" i="141"/>
  <c r="F137" i="141"/>
  <c r="E137" i="141"/>
  <c r="D137" i="141"/>
  <c r="C137" i="141"/>
  <c r="O134" i="141"/>
  <c r="O129" i="141"/>
  <c r="O128" i="141"/>
  <c r="O127" i="141"/>
  <c r="O126" i="141"/>
  <c r="O125" i="141"/>
  <c r="O124" i="141"/>
  <c r="O121" i="141"/>
  <c r="O120" i="141"/>
  <c r="O119" i="141"/>
  <c r="O118" i="141"/>
  <c r="O117" i="141"/>
  <c r="O116" i="141"/>
  <c r="O115" i="141"/>
  <c r="O114" i="141"/>
  <c r="O111" i="141"/>
  <c r="O110" i="141"/>
  <c r="O107" i="141"/>
  <c r="O106" i="141"/>
  <c r="O105" i="141"/>
  <c r="O104" i="141"/>
  <c r="O101" i="141"/>
  <c r="O100" i="141"/>
  <c r="O99" i="141"/>
  <c r="O98" i="141"/>
  <c r="O93" i="141"/>
  <c r="O92" i="141"/>
  <c r="O91" i="141"/>
  <c r="O90" i="141"/>
  <c r="O89" i="141"/>
  <c r="O88" i="141"/>
  <c r="O87" i="141"/>
  <c r="O86" i="141"/>
  <c r="O85" i="141"/>
  <c r="O84" i="141"/>
  <c r="O82" i="141"/>
  <c r="C171" i="141"/>
  <c r="C179" i="141"/>
  <c r="C185" i="141"/>
  <c r="C199" i="141"/>
  <c r="C189" i="141"/>
  <c r="C208" i="141"/>
  <c r="C223" i="141"/>
  <c r="D179" i="141"/>
  <c r="D185" i="141"/>
  <c r="D199" i="141"/>
  <c r="D189" i="141"/>
  <c r="D208" i="141"/>
  <c r="D223" i="141"/>
  <c r="D218" i="141"/>
  <c r="E189" i="141"/>
  <c r="E223" i="141"/>
  <c r="E218" i="141"/>
  <c r="F185" i="141"/>
  <c r="F189" i="141"/>
  <c r="F223" i="141"/>
  <c r="F218" i="141"/>
  <c r="G179" i="141"/>
  <c r="G185" i="141"/>
  <c r="G189" i="141"/>
  <c r="G223" i="141"/>
  <c r="G218" i="141"/>
  <c r="H189" i="141"/>
  <c r="H223" i="141"/>
  <c r="H218" i="141"/>
  <c r="I189" i="141"/>
  <c r="I223" i="141"/>
  <c r="I218" i="141"/>
  <c r="J171" i="141"/>
  <c r="J189" i="141"/>
  <c r="J223" i="141"/>
  <c r="J218" i="141"/>
  <c r="K171" i="141"/>
  <c r="K189" i="141"/>
  <c r="K223" i="141"/>
  <c r="K218" i="141"/>
  <c r="L171" i="141"/>
  <c r="L179" i="141"/>
  <c r="L185" i="141"/>
  <c r="L199" i="141"/>
  <c r="L189" i="141"/>
  <c r="L210" i="141"/>
  <c r="L223" i="141"/>
  <c r="L218" i="141"/>
  <c r="M171" i="141"/>
  <c r="M199" i="141"/>
  <c r="M189" i="141"/>
  <c r="M210" i="141"/>
  <c r="M223" i="141"/>
  <c r="M218" i="141"/>
  <c r="N171" i="141"/>
  <c r="N199" i="141"/>
  <c r="N189" i="141"/>
  <c r="N210" i="141"/>
  <c r="N223" i="141"/>
  <c r="N218" i="141"/>
  <c r="O226" i="141"/>
  <c r="O225" i="141"/>
  <c r="O222" i="141"/>
  <c r="O221" i="141"/>
  <c r="C218" i="141"/>
  <c r="N217" i="141"/>
  <c r="M217" i="141"/>
  <c r="L217" i="141"/>
  <c r="K217" i="141"/>
  <c r="J217" i="141"/>
  <c r="I217" i="141"/>
  <c r="H217" i="141"/>
  <c r="G217" i="141"/>
  <c r="F217" i="141"/>
  <c r="E217" i="141"/>
  <c r="D217" i="141"/>
  <c r="C217" i="141"/>
  <c r="O216" i="141"/>
  <c r="N214" i="141"/>
  <c r="M214" i="141"/>
  <c r="L214" i="141"/>
  <c r="K214" i="141"/>
  <c r="J214" i="141"/>
  <c r="I214" i="141"/>
  <c r="H214" i="141"/>
  <c r="G214" i="141"/>
  <c r="F214" i="141"/>
  <c r="E214" i="141"/>
  <c r="D214" i="141"/>
  <c r="C214" i="141"/>
  <c r="O198" i="141"/>
  <c r="O197" i="141"/>
  <c r="O196" i="141"/>
  <c r="O195" i="141"/>
  <c r="O194" i="141"/>
  <c r="O193" i="141"/>
  <c r="O192" i="141"/>
  <c r="O191" i="141"/>
  <c r="O178" i="141"/>
  <c r="O177" i="141"/>
  <c r="O176" i="141"/>
  <c r="O175" i="141"/>
  <c r="O169" i="141"/>
  <c r="O168" i="141"/>
  <c r="O167" i="141"/>
  <c r="O166" i="141"/>
  <c r="O165" i="141"/>
  <c r="O164" i="141"/>
  <c r="O163" i="141"/>
  <c r="O162" i="141"/>
  <c r="C248" i="141"/>
  <c r="C256" i="141"/>
  <c r="C262" i="141"/>
  <c r="C266" i="141"/>
  <c r="C293" i="141"/>
  <c r="C308" i="141"/>
  <c r="D262" i="141"/>
  <c r="D276" i="141"/>
  <c r="D266" i="141"/>
  <c r="D293" i="141"/>
  <c r="D308" i="141"/>
  <c r="D303" i="141"/>
  <c r="E266" i="141"/>
  <c r="E308" i="141"/>
  <c r="E303" i="141"/>
  <c r="F266" i="141"/>
  <c r="F308" i="141"/>
  <c r="F303" i="141"/>
  <c r="G266" i="141"/>
  <c r="G308" i="141"/>
  <c r="G303" i="141"/>
  <c r="H266" i="141"/>
  <c r="H308" i="141"/>
  <c r="H303" i="141"/>
  <c r="I266" i="141"/>
  <c r="I308" i="141"/>
  <c r="I303" i="141"/>
  <c r="J248" i="141"/>
  <c r="J266" i="141"/>
  <c r="J308" i="141"/>
  <c r="J303" i="141"/>
  <c r="K266" i="141"/>
  <c r="K308" i="141"/>
  <c r="K303" i="141"/>
  <c r="L266" i="141"/>
  <c r="L308" i="141"/>
  <c r="L303" i="141"/>
  <c r="M266" i="141"/>
  <c r="M308" i="141"/>
  <c r="M303" i="141"/>
  <c r="N256" i="141"/>
  <c r="N262" i="141"/>
  <c r="N276" i="141"/>
  <c r="N266" i="141"/>
  <c r="N308" i="141"/>
  <c r="N303" i="141"/>
  <c r="O311" i="141"/>
  <c r="O310" i="141"/>
  <c r="O307" i="141"/>
  <c r="O306" i="141"/>
  <c r="C303" i="141"/>
  <c r="N302" i="141"/>
  <c r="M302" i="141"/>
  <c r="L302" i="141"/>
  <c r="K302" i="141"/>
  <c r="J302" i="141"/>
  <c r="I302" i="141"/>
  <c r="H302" i="141"/>
  <c r="G302" i="141"/>
  <c r="F302" i="141"/>
  <c r="E302" i="141"/>
  <c r="D302" i="141"/>
  <c r="C302" i="141"/>
  <c r="O301" i="141"/>
  <c r="N299" i="141"/>
  <c r="M299" i="141"/>
  <c r="L299" i="141"/>
  <c r="K299" i="141"/>
  <c r="J299" i="141"/>
  <c r="I299" i="141"/>
  <c r="H299" i="141"/>
  <c r="G299" i="141"/>
  <c r="F299" i="141"/>
  <c r="E299" i="141"/>
  <c r="D299" i="141"/>
  <c r="C299" i="141"/>
  <c r="O275" i="141"/>
  <c r="O274" i="141"/>
  <c r="O273" i="141"/>
  <c r="O272" i="141"/>
  <c r="O271" i="141"/>
  <c r="O270" i="141"/>
  <c r="O269" i="141"/>
  <c r="O268" i="141"/>
  <c r="O253" i="141"/>
  <c r="O252" i="141"/>
  <c r="O246" i="141"/>
  <c r="O245" i="141"/>
  <c r="O244" i="141"/>
  <c r="O243" i="141"/>
  <c r="O242" i="141"/>
  <c r="O241" i="141"/>
  <c r="O240" i="141"/>
  <c r="O239" i="141"/>
  <c r="C350" i="141"/>
  <c r="C392" i="141"/>
  <c r="D350" i="141"/>
  <c r="D392" i="141"/>
  <c r="E392" i="141"/>
  <c r="F392" i="141"/>
  <c r="G350" i="141"/>
  <c r="G392" i="141"/>
  <c r="H350" i="141"/>
  <c r="H392" i="141"/>
  <c r="I350" i="141"/>
  <c r="I392" i="141"/>
  <c r="J332" i="141"/>
  <c r="J350" i="141"/>
  <c r="J392" i="141"/>
  <c r="K332" i="141"/>
  <c r="K350" i="141"/>
  <c r="K392" i="141"/>
  <c r="L332" i="141"/>
  <c r="L350" i="141"/>
  <c r="L392" i="141"/>
  <c r="M332" i="141"/>
  <c r="M350" i="141"/>
  <c r="M392" i="141"/>
  <c r="N332" i="141"/>
  <c r="N350" i="141"/>
  <c r="N392" i="141"/>
  <c r="O395" i="141"/>
  <c r="O394" i="141"/>
  <c r="O391" i="141"/>
  <c r="O390" i="141"/>
  <c r="N386" i="141"/>
  <c r="U72" i="129"/>
  <c r="U70" i="129"/>
  <c r="M386" i="141"/>
  <c r="L386" i="141"/>
  <c r="K386" i="141"/>
  <c r="J386" i="141"/>
  <c r="I386" i="141"/>
  <c r="H386" i="141"/>
  <c r="G386" i="141"/>
  <c r="F386" i="141"/>
  <c r="E386" i="141"/>
  <c r="D386" i="141"/>
  <c r="C386" i="141"/>
  <c r="O384" i="141"/>
  <c r="N383" i="141"/>
  <c r="M383" i="141"/>
  <c r="L383" i="141"/>
  <c r="K383" i="141"/>
  <c r="J383" i="141"/>
  <c r="I383" i="141"/>
  <c r="H383" i="141"/>
  <c r="G383" i="141"/>
  <c r="F383" i="141"/>
  <c r="E383" i="141"/>
  <c r="D383" i="141"/>
  <c r="C383" i="141"/>
  <c r="O358" i="141"/>
  <c r="V44" i="129"/>
  <c r="O357" i="141"/>
  <c r="V43" i="129"/>
  <c r="O356" i="141"/>
  <c r="V42" i="129"/>
  <c r="O355" i="141"/>
  <c r="V41" i="129"/>
  <c r="O354" i="141"/>
  <c r="V40" i="129"/>
  <c r="O353" i="141"/>
  <c r="V39" i="129"/>
  <c r="O352" i="141"/>
  <c r="V38" i="129"/>
  <c r="O339" i="141"/>
  <c r="V25" i="129"/>
  <c r="O338" i="141"/>
  <c r="V24" i="129"/>
  <c r="O337" i="141"/>
  <c r="V23" i="129"/>
  <c r="O336" i="141"/>
  <c r="V22" i="129"/>
  <c r="O330" i="141"/>
  <c r="V16" i="129"/>
  <c r="O329" i="141"/>
  <c r="V15" i="129"/>
  <c r="O328" i="141"/>
  <c r="V14" i="129"/>
  <c r="O327" i="141"/>
  <c r="V13" i="129"/>
  <c r="O325" i="141"/>
  <c r="V11" i="129"/>
  <c r="O324" i="141"/>
  <c r="V10" i="129"/>
  <c r="O323" i="141"/>
  <c r="V9" i="129"/>
  <c r="O472" i="141"/>
  <c r="O471" i="141"/>
  <c r="O462" i="141"/>
  <c r="U63" i="129"/>
  <c r="O444" i="141"/>
  <c r="U45" i="129"/>
  <c r="O443" i="141"/>
  <c r="U44" i="129"/>
  <c r="O442" i="141"/>
  <c r="U43" i="129"/>
  <c r="O440" i="141"/>
  <c r="U41" i="129"/>
  <c r="O438" i="141"/>
  <c r="U39" i="129"/>
  <c r="O437" i="141"/>
  <c r="U38" i="129"/>
  <c r="O424" i="141"/>
  <c r="U25" i="129"/>
  <c r="O422" i="141"/>
  <c r="U23" i="129"/>
  <c r="O421" i="141"/>
  <c r="U22" i="129"/>
  <c r="O415" i="141"/>
  <c r="U16" i="129"/>
  <c r="O414" i="141"/>
  <c r="U15" i="129"/>
  <c r="O413" i="141"/>
  <c r="U14" i="129"/>
  <c r="O412" i="141"/>
  <c r="U13" i="129"/>
  <c r="O410" i="141"/>
  <c r="U11" i="129"/>
  <c r="O409" i="141"/>
  <c r="U10" i="129"/>
  <c r="O408" i="141"/>
  <c r="U9" i="129"/>
  <c r="O549" i="141"/>
  <c r="O548" i="141"/>
  <c r="O539" i="141"/>
  <c r="O521" i="141"/>
  <c r="O520" i="141"/>
  <c r="O519" i="141"/>
  <c r="O514" i="141"/>
  <c r="O501" i="141"/>
  <c r="O500" i="141"/>
  <c r="O499" i="141"/>
  <c r="O492" i="141"/>
  <c r="O491" i="141"/>
  <c r="O490" i="141"/>
  <c r="O489" i="141"/>
  <c r="O487" i="141"/>
  <c r="O486" i="141"/>
  <c r="O485" i="141"/>
  <c r="O640" i="141"/>
  <c r="S13" i="35"/>
  <c r="O639" i="141"/>
  <c r="S12" i="35"/>
  <c r="O638" i="141"/>
  <c r="S11" i="35"/>
  <c r="Q9" i="136"/>
  <c r="O637" i="141"/>
  <c r="S10" i="35"/>
  <c r="Q8" i="136"/>
  <c r="O636" i="141"/>
  <c r="S9" i="35"/>
  <c r="C1938" i="141"/>
  <c r="D1938" i="141"/>
  <c r="E1938" i="141"/>
  <c r="F1938" i="141"/>
  <c r="G1938" i="141"/>
  <c r="H1938" i="141"/>
  <c r="G52" i="60"/>
  <c r="G10" i="137"/>
  <c r="B52" i="60"/>
  <c r="B28" i="18"/>
  <c r="C52" i="60"/>
  <c r="D52" i="60"/>
  <c r="E52" i="60"/>
  <c r="E10" i="137"/>
  <c r="F52" i="60"/>
  <c r="H52" i="60"/>
  <c r="I52" i="60"/>
  <c r="I28" i="18"/>
  <c r="J52" i="60"/>
  <c r="K52" i="60"/>
  <c r="K28" i="18"/>
  <c r="L52" i="60"/>
  <c r="M52" i="60"/>
  <c r="N28" i="18"/>
  <c r="O52" i="60"/>
  <c r="O10" i="137"/>
  <c r="N10" i="137"/>
  <c r="C14" i="18"/>
  <c r="D4" i="126"/>
  <c r="F4" i="126"/>
  <c r="D5" i="126"/>
  <c r="F5" i="126"/>
  <c r="D3" i="126"/>
  <c r="F3" i="126"/>
  <c r="D7" i="126"/>
  <c r="F7" i="126"/>
  <c r="D6" i="126"/>
  <c r="F6" i="126"/>
  <c r="B2" i="126"/>
  <c r="F2" i="126"/>
  <c r="BH44" i="49"/>
  <c r="BH41" i="49"/>
  <c r="BH40" i="49"/>
  <c r="BH42" i="49"/>
  <c r="BH38" i="49"/>
  <c r="BH37" i="49"/>
  <c r="BH36" i="49"/>
  <c r="BH30" i="49"/>
  <c r="BH29" i="49"/>
  <c r="BH28" i="49"/>
  <c r="BH27" i="49"/>
  <c r="BH39" i="49"/>
  <c r="BG26" i="49"/>
  <c r="BG108" i="49"/>
  <c r="BC66" i="61"/>
  <c r="BC65" i="61"/>
  <c r="BG86" i="53"/>
  <c r="BH86" i="53"/>
  <c r="L33" i="137"/>
  <c r="L34" i="137"/>
  <c r="D16" i="137"/>
  <c r="E16" i="137"/>
  <c r="F16" i="137"/>
  <c r="G16" i="137"/>
  <c r="H16" i="137"/>
  <c r="I16" i="137"/>
  <c r="J16" i="137"/>
  <c r="K16" i="137"/>
  <c r="L16" i="137"/>
  <c r="L28" i="137"/>
  <c r="K33" i="137"/>
  <c r="K34" i="137"/>
  <c r="K28" i="137"/>
  <c r="J33" i="137"/>
  <c r="J34" i="137"/>
  <c r="J28" i="137"/>
  <c r="I33" i="137"/>
  <c r="I34" i="137"/>
  <c r="I28" i="137"/>
  <c r="H33" i="137"/>
  <c r="H34" i="137"/>
  <c r="H28" i="137"/>
  <c r="G33" i="137"/>
  <c r="G34" i="137"/>
  <c r="G28" i="137"/>
  <c r="F33" i="137"/>
  <c r="F34" i="137"/>
  <c r="F28" i="137"/>
  <c r="E33" i="137"/>
  <c r="E34" i="137"/>
  <c r="E28" i="137"/>
  <c r="D33" i="137"/>
  <c r="D34" i="137"/>
  <c r="D28" i="137"/>
  <c r="C33" i="137"/>
  <c r="C34" i="137"/>
  <c r="B33" i="137"/>
  <c r="B34" i="137"/>
  <c r="BG34" i="54"/>
  <c r="BG39" i="54"/>
  <c r="BG38" i="54"/>
  <c r="BG37" i="54"/>
  <c r="BG36" i="54"/>
  <c r="BG40" i="54"/>
  <c r="BH109" i="54"/>
  <c r="BG89" i="55"/>
  <c r="BH89" i="55"/>
  <c r="H16" i="133"/>
  <c r="H22" i="133"/>
  <c r="F16" i="133"/>
  <c r="F22" i="133"/>
  <c r="F37" i="133"/>
  <c r="F44" i="133"/>
  <c r="F43" i="133"/>
  <c r="F42" i="133"/>
  <c r="F41" i="133"/>
  <c r="F40" i="133"/>
  <c r="F39" i="133"/>
  <c r="F38" i="133"/>
  <c r="H13" i="133"/>
  <c r="J13" i="133"/>
  <c r="J14" i="133"/>
  <c r="L14" i="133"/>
  <c r="J15" i="133"/>
  <c r="L15" i="133"/>
  <c r="J16" i="133"/>
  <c r="J20" i="133"/>
  <c r="J21" i="133"/>
  <c r="J22" i="133"/>
  <c r="L22" i="133"/>
  <c r="E46" i="28"/>
  <c r="E31" i="28"/>
  <c r="E30" i="28"/>
  <c r="E73" i="28"/>
  <c r="E88" i="28"/>
  <c r="E38" i="28"/>
  <c r="E74" i="28"/>
  <c r="E75" i="28"/>
  <c r="E76" i="28"/>
  <c r="E77" i="28"/>
  <c r="E78" i="28"/>
  <c r="E70" i="28"/>
  <c r="E35" i="28"/>
  <c r="E36" i="28"/>
  <c r="E37" i="28"/>
  <c r="E39" i="28"/>
  <c r="G13" i="133"/>
  <c r="G14" i="133"/>
  <c r="G15" i="133"/>
  <c r="G16" i="133"/>
  <c r="H14" i="133"/>
  <c r="H15" i="133"/>
  <c r="F13" i="133"/>
  <c r="F14" i="133"/>
  <c r="F15" i="133"/>
  <c r="H20" i="133"/>
  <c r="G20" i="133"/>
  <c r="G21" i="133"/>
  <c r="G22" i="133"/>
  <c r="H21" i="133"/>
  <c r="I22" i="133"/>
  <c r="F20" i="133"/>
  <c r="F21" i="133"/>
  <c r="B39" i="28"/>
  <c r="B37" i="28"/>
  <c r="B35" i="28"/>
  <c r="B36" i="28"/>
  <c r="B32" i="28"/>
  <c r="B74" i="28"/>
  <c r="B88" i="28"/>
  <c r="B38" i="28"/>
  <c r="B78" i="28"/>
  <c r="B79" i="28"/>
  <c r="B80" i="28"/>
  <c r="B81" i="28"/>
  <c r="B75" i="28"/>
  <c r="B76" i="28"/>
  <c r="B77" i="28"/>
  <c r="B82" i="28"/>
  <c r="B83" i="28"/>
  <c r="B84" i="28"/>
  <c r="B85" i="28"/>
  <c r="B86" i="28"/>
  <c r="B87" i="28"/>
  <c r="BG107" i="51"/>
  <c r="BH107" i="51"/>
  <c r="L61" i="136"/>
  <c r="K61" i="136"/>
  <c r="J61" i="136"/>
  <c r="I61" i="136"/>
  <c r="G61" i="136"/>
  <c r="F61" i="136"/>
  <c r="F58" i="136"/>
  <c r="L79" i="136"/>
  <c r="K79" i="136"/>
  <c r="J79" i="136"/>
  <c r="I79" i="136"/>
  <c r="H79" i="136"/>
  <c r="G79" i="136"/>
  <c r="F3" i="136"/>
  <c r="F76" i="136"/>
  <c r="G3" i="136"/>
  <c r="G18" i="136"/>
  <c r="G26" i="136"/>
  <c r="G32" i="136"/>
  <c r="G36" i="136"/>
  <c r="G46" i="136"/>
  <c r="G60" i="136"/>
  <c r="G62" i="136"/>
  <c r="I62" i="136"/>
  <c r="G63" i="136"/>
  <c r="G64" i="136"/>
  <c r="G72" i="136"/>
  <c r="G76" i="136"/>
  <c r="H72" i="136"/>
  <c r="H76" i="136"/>
  <c r="I3" i="136"/>
  <c r="I18" i="136"/>
  <c r="I26" i="136"/>
  <c r="I32" i="136"/>
  <c r="I36" i="136"/>
  <c r="I46" i="136"/>
  <c r="I72" i="136"/>
  <c r="I76" i="136"/>
  <c r="J6" i="136"/>
  <c r="J12" i="136"/>
  <c r="J14" i="136"/>
  <c r="J15" i="136"/>
  <c r="J17" i="136"/>
  <c r="J18" i="136"/>
  <c r="J26" i="136"/>
  <c r="J32" i="136"/>
  <c r="J36" i="136"/>
  <c r="J46" i="136"/>
  <c r="J63" i="136"/>
  <c r="K63" i="136"/>
  <c r="J64" i="136"/>
  <c r="K64" i="136"/>
  <c r="J67" i="136"/>
  <c r="K67" i="136"/>
  <c r="J72" i="136"/>
  <c r="J76" i="136"/>
  <c r="K18" i="136"/>
  <c r="K26" i="136"/>
  <c r="K32" i="136"/>
  <c r="K36" i="136"/>
  <c r="K46" i="136"/>
  <c r="K72" i="136"/>
  <c r="K76" i="136"/>
  <c r="BC103" i="44"/>
  <c r="BD103" i="44"/>
  <c r="BC74" i="61"/>
  <c r="K17" i="136"/>
  <c r="K15" i="136"/>
  <c r="K14" i="136"/>
  <c r="K12" i="136"/>
  <c r="K6" i="136"/>
  <c r="M21" i="60"/>
  <c r="M134" i="60"/>
  <c r="M10" i="60"/>
  <c r="M19" i="60"/>
  <c r="M20" i="60"/>
  <c r="L21" i="60"/>
  <c r="L10" i="60"/>
  <c r="L13" i="60"/>
  <c r="K21" i="60"/>
  <c r="K10" i="60"/>
  <c r="K13" i="60"/>
  <c r="J21" i="60"/>
  <c r="J134" i="60"/>
  <c r="J10" i="60"/>
  <c r="J13" i="60"/>
  <c r="I21" i="60"/>
  <c r="I10" i="60"/>
  <c r="I13" i="60"/>
  <c r="H21" i="60"/>
  <c r="H10" i="60"/>
  <c r="H13" i="60"/>
  <c r="G21" i="60"/>
  <c r="E150" i="60"/>
  <c r="G10" i="60"/>
  <c r="G13" i="60"/>
  <c r="F21" i="60"/>
  <c r="F10" i="60"/>
  <c r="F13" i="60"/>
  <c r="E21" i="60"/>
  <c r="E10" i="60"/>
  <c r="E13" i="60"/>
  <c r="D21" i="60"/>
  <c r="D10" i="60"/>
  <c r="D13" i="60"/>
  <c r="C21" i="60"/>
  <c r="C134" i="60"/>
  <c r="C10" i="60"/>
  <c r="C13" i="60"/>
  <c r="B21" i="60"/>
  <c r="B10" i="60"/>
  <c r="B13" i="60"/>
  <c r="F6" i="136"/>
  <c r="BG98" i="52"/>
  <c r="BH98" i="52"/>
  <c r="BD82" i="61"/>
  <c r="BC63" i="45"/>
  <c r="BD63" i="45"/>
  <c r="BC124" i="50"/>
  <c r="BD124" i="50"/>
  <c r="BC53" i="46"/>
  <c r="BC62" i="46"/>
  <c r="BD62" i="46"/>
  <c r="BC22" i="46"/>
  <c r="P119" i="60"/>
  <c r="Q85" i="60"/>
  <c r="Q49" i="60"/>
  <c r="Q47" i="60"/>
  <c r="Q46" i="60"/>
  <c r="Q44" i="60"/>
  <c r="Q43" i="60"/>
  <c r="BC108" i="49"/>
  <c r="BD108" i="49"/>
  <c r="BD67" i="53"/>
  <c r="BD58" i="53"/>
  <c r="BD57" i="53"/>
  <c r="BD66" i="53"/>
  <c r="BD34" i="53"/>
  <c r="BD35" i="53"/>
  <c r="BD36" i="53"/>
  <c r="BD37" i="53"/>
  <c r="BD38" i="53"/>
  <c r="BD39" i="53"/>
  <c r="BD40" i="53"/>
  <c r="BD41" i="53"/>
  <c r="BD42" i="53"/>
  <c r="BD43" i="53"/>
  <c r="BD44" i="53"/>
  <c r="BD45" i="53"/>
  <c r="BD46" i="53"/>
  <c r="BD47" i="53"/>
  <c r="BD48" i="53"/>
  <c r="BD49" i="53"/>
  <c r="BD50" i="53"/>
  <c r="BD51" i="53"/>
  <c r="BD52" i="53"/>
  <c r="BD53" i="53"/>
  <c r="BD54" i="53"/>
  <c r="BD55" i="53"/>
  <c r="BD56" i="53"/>
  <c r="BD59" i="53"/>
  <c r="BD60" i="53"/>
  <c r="BD61" i="53"/>
  <c r="BD62" i="53"/>
  <c r="BD63" i="53"/>
  <c r="BD64" i="53"/>
  <c r="BD65" i="53"/>
  <c r="BC24" i="53"/>
  <c r="BC86" i="53"/>
  <c r="BD68" i="53"/>
  <c r="O119" i="60"/>
  <c r="P49" i="60"/>
  <c r="P47" i="60"/>
  <c r="P46" i="60"/>
  <c r="P44" i="60"/>
  <c r="P43" i="60"/>
  <c r="J19" i="133"/>
  <c r="K19" i="133"/>
  <c r="N19" i="133"/>
  <c r="J18" i="133"/>
  <c r="G19" i="133"/>
  <c r="H19" i="133"/>
  <c r="G18" i="133"/>
  <c r="H18" i="133"/>
  <c r="F19" i="133"/>
  <c r="F18" i="133"/>
  <c r="BC59" i="54"/>
  <c r="BC109" i="54"/>
  <c r="BD109" i="54"/>
  <c r="BC89" i="55"/>
  <c r="BD89" i="55"/>
  <c r="BC98" i="52"/>
  <c r="BD98" i="52"/>
  <c r="E20" i="126"/>
  <c r="F20" i="126"/>
  <c r="D25" i="126"/>
  <c r="E25" i="126"/>
  <c r="C23" i="126"/>
  <c r="F23" i="126"/>
  <c r="E32" i="126"/>
  <c r="F32" i="126"/>
  <c r="E34" i="126"/>
  <c r="F34" i="126"/>
  <c r="E22" i="126"/>
  <c r="F22" i="126"/>
  <c r="BC87" i="51"/>
  <c r="BD87" i="51"/>
  <c r="AY66" i="50"/>
  <c r="AY97" i="50"/>
  <c r="AZ97" i="50"/>
  <c r="AY24" i="44"/>
  <c r="AY103" i="44"/>
  <c r="AY105" i="44"/>
  <c r="AZ103" i="44"/>
  <c r="AY82" i="61"/>
  <c r="AZ82" i="61"/>
  <c r="AY77" i="45"/>
  <c r="AZ77" i="45"/>
  <c r="AU64" i="45"/>
  <c r="D58" i="28"/>
  <c r="S65" i="28"/>
  <c r="T65" i="28"/>
  <c r="S64" i="28"/>
  <c r="T64" i="28"/>
  <c r="S63" i="28"/>
  <c r="T63" i="28"/>
  <c r="S62" i="28"/>
  <c r="T62" i="28"/>
  <c r="S61" i="28"/>
  <c r="T61" i="28"/>
  <c r="S60" i="28"/>
  <c r="T60" i="28"/>
  <c r="S59" i="28"/>
  <c r="T59" i="28"/>
  <c r="S58" i="28"/>
  <c r="T58" i="28"/>
  <c r="S57" i="28"/>
  <c r="T57" i="28"/>
  <c r="S56" i="28"/>
  <c r="T56" i="28"/>
  <c r="S55" i="28"/>
  <c r="T55" i="28"/>
  <c r="S54" i="28"/>
  <c r="T54" i="28"/>
  <c r="S53" i="28"/>
  <c r="T53" i="28"/>
  <c r="C80" i="28"/>
  <c r="D37" i="28"/>
  <c r="C36" i="28"/>
  <c r="C35" i="28"/>
  <c r="C37" i="28"/>
  <c r="C73" i="28"/>
  <c r="C88" i="28"/>
  <c r="C38" i="28"/>
  <c r="C79" i="28"/>
  <c r="C74" i="28"/>
  <c r="C75" i="28"/>
  <c r="C76" i="28"/>
  <c r="C39" i="28"/>
  <c r="D78" i="28"/>
  <c r="D77" i="28"/>
  <c r="D76" i="28"/>
  <c r="D75" i="28"/>
  <c r="D74" i="28"/>
  <c r="D73" i="28"/>
  <c r="D88" i="28"/>
  <c r="D38" i="28"/>
  <c r="D48" i="28"/>
  <c r="D47" i="28"/>
  <c r="D39" i="28"/>
  <c r="K168" i="28"/>
  <c r="L168" i="28"/>
  <c r="L167" i="28"/>
  <c r="L166" i="28"/>
  <c r="L165" i="28"/>
  <c r="K167" i="28"/>
  <c r="K166" i="28"/>
  <c r="K165" i="28"/>
  <c r="N119" i="60"/>
  <c r="O49" i="60"/>
  <c r="O47" i="60"/>
  <c r="O46" i="60"/>
  <c r="O44" i="60"/>
  <c r="O43" i="60"/>
  <c r="H119" i="60"/>
  <c r="G119" i="60"/>
  <c r="N47" i="60"/>
  <c r="N44" i="60"/>
  <c r="N43" i="60"/>
  <c r="N46" i="60"/>
  <c r="N49" i="60"/>
  <c r="M119" i="60"/>
  <c r="AZ108" i="49"/>
  <c r="AY108" i="49"/>
  <c r="AY43" i="53"/>
  <c r="AY86" i="53"/>
  <c r="AZ86" i="53"/>
  <c r="AY40" i="54"/>
  <c r="AY88" i="54"/>
  <c r="AZ88" i="54"/>
  <c r="L164" i="28"/>
  <c r="L163" i="28"/>
  <c r="K164" i="28"/>
  <c r="K163" i="28"/>
  <c r="K162" i="28"/>
  <c r="L162" i="28"/>
  <c r="AY89" i="55"/>
  <c r="AZ89" i="55"/>
  <c r="AY87" i="51"/>
  <c r="AZ87" i="51"/>
  <c r="B66" i="28"/>
  <c r="L161" i="28"/>
  <c r="L160" i="28"/>
  <c r="L159" i="28"/>
  <c r="L158" i="28"/>
  <c r="K161" i="28"/>
  <c r="K160" i="28"/>
  <c r="K159" i="28"/>
  <c r="K158" i="28"/>
  <c r="K157" i="28"/>
  <c r="K156" i="28"/>
  <c r="L157" i="28"/>
  <c r="L156" i="28"/>
  <c r="E33" i="126"/>
  <c r="F33" i="126"/>
  <c r="E31" i="126"/>
  <c r="F31" i="126"/>
  <c r="E30" i="126"/>
  <c r="F30" i="126"/>
  <c r="E29" i="126"/>
  <c r="F29" i="126"/>
  <c r="J29" i="126"/>
  <c r="E28" i="126"/>
  <c r="D28" i="126"/>
  <c r="E27" i="126"/>
  <c r="F27" i="126"/>
  <c r="E26" i="126"/>
  <c r="E24" i="126"/>
  <c r="F24" i="126"/>
  <c r="E21" i="126"/>
  <c r="F21" i="126"/>
  <c r="C36" i="126"/>
  <c r="D26" i="126"/>
  <c r="AU97" i="50"/>
  <c r="AV97" i="50"/>
  <c r="AY98" i="52"/>
  <c r="AZ98" i="52"/>
  <c r="AV100" i="44"/>
  <c r="AU100" i="44"/>
  <c r="AU102" i="44"/>
  <c r="AV48" i="61"/>
  <c r="AV47" i="61"/>
  <c r="AV53" i="61"/>
  <c r="AV52" i="61"/>
  <c r="AV54" i="61"/>
  <c r="AV51" i="61"/>
  <c r="AV50" i="61"/>
  <c r="AV49" i="61"/>
  <c r="AV46" i="61"/>
  <c r="AV45" i="61"/>
  <c r="AV44" i="61"/>
  <c r="AV43" i="61"/>
  <c r="AV42" i="61"/>
  <c r="AV41" i="61"/>
  <c r="AV40" i="61"/>
  <c r="AV39" i="61"/>
  <c r="AV38" i="61"/>
  <c r="AV37" i="61"/>
  <c r="AV36" i="61"/>
  <c r="AV35" i="61"/>
  <c r="AV34" i="61"/>
  <c r="AV33" i="61"/>
  <c r="AV32" i="61"/>
  <c r="AV31" i="61"/>
  <c r="AV30" i="61"/>
  <c r="AV29" i="61"/>
  <c r="AV28" i="61"/>
  <c r="AV20" i="61"/>
  <c r="AU27" i="61"/>
  <c r="AV27" i="61"/>
  <c r="AV26" i="61"/>
  <c r="AV25" i="61"/>
  <c r="AV24" i="61"/>
  <c r="AV23" i="61"/>
  <c r="AV22" i="61"/>
  <c r="AV21" i="61"/>
  <c r="AV19" i="61"/>
  <c r="AU18" i="61"/>
  <c r="AV18" i="61"/>
  <c r="AV17" i="61"/>
  <c r="AU11" i="61"/>
  <c r="AV16" i="61"/>
  <c r="AV15" i="61"/>
  <c r="AV64" i="45"/>
  <c r="T52" i="28"/>
  <c r="T51" i="28"/>
  <c r="T50" i="28"/>
  <c r="T49" i="28"/>
  <c r="T48" i="28"/>
  <c r="T47" i="28"/>
  <c r="S52" i="28"/>
  <c r="S51" i="28"/>
  <c r="S50" i="28"/>
  <c r="S49" i="28"/>
  <c r="S48" i="28"/>
  <c r="S47" i="28"/>
  <c r="L155" i="28"/>
  <c r="L154" i="28"/>
  <c r="L153" i="28"/>
  <c r="L152" i="28"/>
  <c r="L151" i="28"/>
  <c r="K155" i="28"/>
  <c r="K154" i="28"/>
  <c r="K153" i="28"/>
  <c r="K152" i="28"/>
  <c r="K151" i="28"/>
  <c r="AV108" i="49"/>
  <c r="AU108" i="49"/>
  <c r="AV86" i="53"/>
  <c r="AU86" i="53"/>
  <c r="AU17" i="54"/>
  <c r="AU95" i="54"/>
  <c r="AV95" i="54"/>
  <c r="AU89" i="55"/>
  <c r="AV89" i="55"/>
  <c r="AU98" i="52"/>
  <c r="AV98" i="52"/>
  <c r="D57" i="28"/>
  <c r="B65" i="28"/>
  <c r="T46" i="28"/>
  <c r="S46" i="28"/>
  <c r="S45" i="28"/>
  <c r="T45" i="28"/>
  <c r="S44" i="28"/>
  <c r="T44" i="28"/>
  <c r="S43" i="28"/>
  <c r="T43" i="28"/>
  <c r="L150" i="28"/>
  <c r="L149" i="28"/>
  <c r="L148" i="28"/>
  <c r="L147" i="28"/>
  <c r="K150" i="28"/>
  <c r="K149" i="28"/>
  <c r="K148" i="28"/>
  <c r="K147" i="28"/>
  <c r="K146" i="28"/>
  <c r="L146" i="28"/>
  <c r="AU84" i="51"/>
  <c r="AV84" i="51"/>
  <c r="AQ97" i="50"/>
  <c r="AR97" i="50"/>
  <c r="S14" i="125"/>
  <c r="S11" i="125"/>
  <c r="Q14" i="125"/>
  <c r="Q11" i="125"/>
  <c r="Q12" i="125"/>
  <c r="M44" i="60"/>
  <c r="M47" i="60"/>
  <c r="K47" i="60"/>
  <c r="J47" i="60"/>
  <c r="I47" i="60"/>
  <c r="H47" i="60"/>
  <c r="G47" i="60"/>
  <c r="F47" i="60"/>
  <c r="E47" i="60"/>
  <c r="D47" i="60"/>
  <c r="C47" i="60"/>
  <c r="L47" i="60"/>
  <c r="K44" i="60"/>
  <c r="J44" i="60"/>
  <c r="I44" i="60"/>
  <c r="H44" i="60"/>
  <c r="G44" i="60"/>
  <c r="F44" i="60"/>
  <c r="E44" i="60"/>
  <c r="D44" i="60"/>
  <c r="C44" i="60"/>
  <c r="B44" i="60"/>
  <c r="L44" i="60"/>
  <c r="AQ11" i="44"/>
  <c r="AQ94" i="44"/>
  <c r="AR94" i="44"/>
  <c r="AR78" i="61"/>
  <c r="AQ78" i="61"/>
  <c r="C80" i="126"/>
  <c r="C79" i="126"/>
  <c r="C73" i="126"/>
  <c r="C66" i="126"/>
  <c r="C59" i="126"/>
  <c r="C52" i="126"/>
  <c r="C45" i="126"/>
  <c r="C72" i="126"/>
  <c r="C65" i="126"/>
  <c r="C58" i="126"/>
  <c r="C51" i="126"/>
  <c r="C44" i="126"/>
  <c r="I50" i="126"/>
  <c r="J43" i="126"/>
  <c r="I43" i="126"/>
  <c r="C37" i="126"/>
  <c r="C12" i="125"/>
  <c r="C14" i="125"/>
  <c r="C15" i="125"/>
  <c r="I52" i="125"/>
  <c r="H52" i="125"/>
  <c r="G52" i="125"/>
  <c r="F52" i="125"/>
  <c r="F56" i="125"/>
  <c r="E52" i="125"/>
  <c r="E56" i="125"/>
  <c r="D52" i="125"/>
  <c r="C52" i="125"/>
  <c r="AR62" i="45"/>
  <c r="AQ62" i="45"/>
  <c r="S42" i="28"/>
  <c r="T42" i="28"/>
  <c r="H15" i="125"/>
  <c r="G15" i="125"/>
  <c r="F15" i="125"/>
  <c r="E15" i="125"/>
  <c r="D15" i="125"/>
  <c r="T14" i="125"/>
  <c r="T11" i="125"/>
  <c r="T12" i="125"/>
  <c r="R14" i="125"/>
  <c r="P14" i="125"/>
  <c r="P11" i="125"/>
  <c r="O14" i="125"/>
  <c r="O31" i="125"/>
  <c r="N14" i="125"/>
  <c r="N11" i="125"/>
  <c r="N12" i="125"/>
  <c r="M14" i="125"/>
  <c r="L14" i="125"/>
  <c r="K14" i="125"/>
  <c r="H14" i="125"/>
  <c r="H12" i="125"/>
  <c r="R11" i="125"/>
  <c r="G14" i="125"/>
  <c r="F14" i="125"/>
  <c r="F12" i="125"/>
  <c r="E14" i="125"/>
  <c r="D14" i="125"/>
  <c r="D12" i="125"/>
  <c r="L11" i="125"/>
  <c r="G12" i="125"/>
  <c r="E12" i="125"/>
  <c r="O11" i="125"/>
  <c r="M11" i="125"/>
  <c r="K11" i="125"/>
  <c r="K12" i="125"/>
  <c r="H13" i="124"/>
  <c r="H11" i="124"/>
  <c r="N27" i="124"/>
  <c r="L27" i="124"/>
  <c r="J27" i="124"/>
  <c r="H27" i="124"/>
  <c r="H10" i="124"/>
  <c r="H9" i="124"/>
  <c r="D23" i="124"/>
  <c r="D28" i="124"/>
  <c r="D56" i="28"/>
  <c r="D36" i="28"/>
  <c r="D35" i="28"/>
  <c r="B64" i="28"/>
  <c r="L145" i="28"/>
  <c r="L144" i="28"/>
  <c r="L143" i="28"/>
  <c r="K145" i="28"/>
  <c r="K144" i="28"/>
  <c r="K143" i="28"/>
  <c r="K142" i="28"/>
  <c r="L142" i="28"/>
  <c r="T41" i="28"/>
  <c r="T40" i="28"/>
  <c r="T39" i="28"/>
  <c r="T38" i="28"/>
  <c r="S41" i="28"/>
  <c r="S40" i="28"/>
  <c r="S39" i="28"/>
  <c r="S38" i="28"/>
  <c r="S37" i="28"/>
  <c r="S36" i="28"/>
  <c r="S35" i="28"/>
  <c r="S34" i="28"/>
  <c r="T37" i="28"/>
  <c r="T36" i="28"/>
  <c r="T35" i="28"/>
  <c r="T34" i="28"/>
  <c r="AU62" i="47"/>
  <c r="AR108" i="49"/>
  <c r="AQ108" i="49"/>
  <c r="AQ110" i="49"/>
  <c r="AE108" i="49"/>
  <c r="AF108" i="49"/>
  <c r="AI108" i="49"/>
  <c r="AJ108" i="49"/>
  <c r="L141" i="28"/>
  <c r="L140" i="28"/>
  <c r="L139" i="28"/>
  <c r="L138" i="28"/>
  <c r="K141" i="28"/>
  <c r="K140" i="28"/>
  <c r="K139" i="28"/>
  <c r="K138" i="28"/>
  <c r="K137" i="28"/>
  <c r="L137" i="28"/>
  <c r="AR86" i="53"/>
  <c r="AQ86" i="53"/>
  <c r="AR58" i="54"/>
  <c r="AQ58" i="54"/>
  <c r="AQ42" i="55"/>
  <c r="AQ89" i="55"/>
  <c r="AR89" i="55"/>
  <c r="AR98" i="52"/>
  <c r="AQ98" i="52"/>
  <c r="AR84" i="51"/>
  <c r="AQ84" i="51"/>
  <c r="L136" i="28"/>
  <c r="K136" i="28"/>
  <c r="K135" i="28"/>
  <c r="K134" i="28"/>
  <c r="L135" i="28"/>
  <c r="S33" i="28"/>
  <c r="T33" i="28"/>
  <c r="S32" i="28"/>
  <c r="T32" i="28"/>
  <c r="AN97" i="50"/>
  <c r="AM97" i="50"/>
  <c r="S97" i="50"/>
  <c r="T97" i="50"/>
  <c r="W97" i="50"/>
  <c r="X97" i="50"/>
  <c r="AA97" i="50"/>
  <c r="AB97" i="50"/>
  <c r="AE97" i="50"/>
  <c r="AF97" i="50"/>
  <c r="AN98" i="44"/>
  <c r="AM98" i="44"/>
  <c r="AN78" i="61"/>
  <c r="AM78" i="61"/>
  <c r="S31" i="28"/>
  <c r="T31" i="28"/>
  <c r="L134" i="28"/>
  <c r="S30" i="28"/>
  <c r="T30" i="28"/>
  <c r="K133" i="28"/>
  <c r="L133" i="28"/>
  <c r="AN61" i="45"/>
  <c r="AM61" i="45"/>
  <c r="S29" i="28"/>
  <c r="T29" i="28"/>
  <c r="K132" i="28"/>
  <c r="L132" i="28"/>
  <c r="S28" i="28"/>
  <c r="T28" i="28"/>
  <c r="K131" i="28"/>
  <c r="L131" i="28"/>
  <c r="S27" i="28"/>
  <c r="AN108" i="49"/>
  <c r="AM108" i="49"/>
  <c r="T27" i="28"/>
  <c r="K130" i="28"/>
  <c r="L130" i="28"/>
  <c r="AN86" i="53"/>
  <c r="AM86" i="53"/>
  <c r="S26" i="28"/>
  <c r="T26" i="28"/>
  <c r="D55" i="28"/>
  <c r="K129" i="28"/>
  <c r="L129" i="28"/>
  <c r="K128" i="28"/>
  <c r="L128" i="28"/>
  <c r="S25" i="28"/>
  <c r="T25" i="28"/>
  <c r="AN58" i="54"/>
  <c r="AM58" i="54"/>
  <c r="T24" i="28"/>
  <c r="T23" i="28"/>
  <c r="S24" i="28"/>
  <c r="S23" i="28"/>
  <c r="AN89" i="55"/>
  <c r="AM89" i="55"/>
  <c r="K127" i="28"/>
  <c r="L127" i="28"/>
  <c r="AN98" i="52"/>
  <c r="AM98" i="52"/>
  <c r="K126" i="28"/>
  <c r="L126" i="28"/>
  <c r="AN84" i="51"/>
  <c r="AM84" i="51"/>
  <c r="S22" i="28"/>
  <c r="T22" i="28"/>
  <c r="K125" i="28"/>
  <c r="L125" i="28"/>
  <c r="AJ97" i="50"/>
  <c r="AI97" i="50"/>
  <c r="S21" i="28"/>
  <c r="T21" i="28"/>
  <c r="AE62" i="61"/>
  <c r="AE78" i="61"/>
  <c r="AF78" i="61"/>
  <c r="AE22" i="44"/>
  <c r="AE54" i="44"/>
  <c r="AF98" i="44"/>
  <c r="AI51" i="44"/>
  <c r="AI98" i="44"/>
  <c r="AJ98" i="44"/>
  <c r="D54" i="28"/>
  <c r="B63" i="28"/>
  <c r="S20" i="28"/>
  <c r="T20" i="28"/>
  <c r="K124" i="28"/>
  <c r="L124" i="28"/>
  <c r="K123" i="28"/>
  <c r="L123" i="28"/>
  <c r="AJ78" i="61"/>
  <c r="AI78" i="61"/>
  <c r="S19" i="28"/>
  <c r="T19" i="28"/>
  <c r="L122" i="28"/>
  <c r="L121" i="28"/>
  <c r="K122" i="28"/>
  <c r="S18" i="28"/>
  <c r="S17" i="28"/>
  <c r="T18" i="28"/>
  <c r="AJ56" i="45"/>
  <c r="AI56" i="45"/>
  <c r="K121" i="28"/>
  <c r="T17" i="28"/>
  <c r="AN56" i="47"/>
  <c r="AN55" i="47"/>
  <c r="AN54" i="47"/>
  <c r="AN16" i="47"/>
  <c r="AN48" i="47"/>
  <c r="S16" i="28"/>
  <c r="T16" i="28"/>
  <c r="K120" i="28"/>
  <c r="L120" i="28"/>
  <c r="AN53" i="47"/>
  <c r="AN52" i="47"/>
  <c r="AN51" i="47"/>
  <c r="AN50" i="47"/>
  <c r="AN49" i="47"/>
  <c r="AN47" i="47"/>
  <c r="AN46" i="47"/>
  <c r="AN45" i="47"/>
  <c r="AN44" i="47"/>
  <c r="AN43" i="47"/>
  <c r="AN42" i="47"/>
  <c r="AN41" i="47"/>
  <c r="AN40" i="47"/>
  <c r="AN39" i="47"/>
  <c r="AN38" i="47"/>
  <c r="AN37" i="47"/>
  <c r="AN36" i="47"/>
  <c r="AN35" i="47"/>
  <c r="AN34" i="47"/>
  <c r="AN33" i="47"/>
  <c r="AN32" i="47"/>
  <c r="AN31" i="47"/>
  <c r="AN30" i="47"/>
  <c r="AN29" i="47"/>
  <c r="AN28" i="47"/>
  <c r="AN27" i="47"/>
  <c r="AN26" i="47"/>
  <c r="AN25" i="47"/>
  <c r="AN24" i="47"/>
  <c r="AN23" i="47"/>
  <c r="AN22" i="47"/>
  <c r="AN21" i="47"/>
  <c r="AN20" i="47"/>
  <c r="AN19" i="47"/>
  <c r="AN18" i="47"/>
  <c r="AN17" i="47"/>
  <c r="AN15" i="47"/>
  <c r="AN14" i="47"/>
  <c r="AN13" i="47"/>
  <c r="AN12" i="47"/>
  <c r="AN11" i="47"/>
  <c r="AN10" i="47"/>
  <c r="AN9" i="47"/>
  <c r="K119" i="28"/>
  <c r="L119" i="28"/>
  <c r="C62" i="28"/>
  <c r="T15" i="28"/>
  <c r="S15" i="28"/>
  <c r="S14" i="28"/>
  <c r="T14" i="28"/>
  <c r="K118" i="28"/>
  <c r="L118" i="28"/>
  <c r="AJ86" i="53"/>
  <c r="AI86" i="53"/>
  <c r="K117" i="28"/>
  <c r="L117" i="28"/>
  <c r="S13" i="28"/>
  <c r="T13" i="28"/>
  <c r="AJ58" i="54"/>
  <c r="AI58" i="54"/>
  <c r="K116" i="28"/>
  <c r="K115" i="28"/>
  <c r="L116" i="28"/>
  <c r="C31" i="28"/>
  <c r="C30" i="28"/>
  <c r="AJ89" i="55"/>
  <c r="AI89" i="55"/>
  <c r="S12" i="28"/>
  <c r="T12" i="28"/>
  <c r="O107" i="28"/>
  <c r="P107" i="28"/>
  <c r="L115" i="28"/>
  <c r="AJ98" i="52"/>
  <c r="AI98" i="52"/>
  <c r="S11" i="28"/>
  <c r="T11" i="28"/>
  <c r="O64" i="28"/>
  <c r="K101" i="28"/>
  <c r="O106" i="28"/>
  <c r="P106" i="28"/>
  <c r="L114" i="28"/>
  <c r="K114" i="28"/>
  <c r="S10" i="28"/>
  <c r="T10" i="28"/>
  <c r="O105" i="28"/>
  <c r="P105" i="28"/>
  <c r="AJ84" i="51"/>
  <c r="AI84" i="51"/>
  <c r="AI86" i="51"/>
  <c r="K113" i="28"/>
  <c r="L113" i="28"/>
  <c r="S9" i="28"/>
  <c r="T9" i="28"/>
  <c r="O104" i="28"/>
  <c r="P104" i="28"/>
  <c r="T8" i="28"/>
  <c r="S8" i="28"/>
  <c r="O103" i="28"/>
  <c r="P103" i="28"/>
  <c r="B62" i="28"/>
  <c r="K112" i="28"/>
  <c r="K111" i="28"/>
  <c r="L112" i="28"/>
  <c r="L111" i="28"/>
  <c r="D31" i="28"/>
  <c r="D30" i="28"/>
  <c r="O102" i="28"/>
  <c r="P102" i="28"/>
  <c r="T7" i="28"/>
  <c r="S7" i="28"/>
  <c r="K110" i="28"/>
  <c r="L110" i="28"/>
  <c r="AF56" i="45"/>
  <c r="AE56" i="45"/>
  <c r="T6" i="28"/>
  <c r="T5" i="28"/>
  <c r="S6" i="28"/>
  <c r="O101" i="28"/>
  <c r="P101" i="28"/>
  <c r="K109" i="28"/>
  <c r="L109" i="28"/>
  <c r="P100" i="28"/>
  <c r="O100" i="28"/>
  <c r="K108" i="28"/>
  <c r="L108" i="28"/>
  <c r="I49" i="60"/>
  <c r="K107" i="28"/>
  <c r="L107" i="28"/>
  <c r="S5" i="28"/>
  <c r="P99" i="28"/>
  <c r="O99" i="28"/>
  <c r="D46" i="28"/>
  <c r="P98" i="28"/>
  <c r="O98" i="28"/>
  <c r="P97" i="28"/>
  <c r="O97" i="28"/>
  <c r="L106" i="28"/>
  <c r="L105" i="28"/>
  <c r="K106" i="28"/>
  <c r="K105" i="28"/>
  <c r="AE86" i="53"/>
  <c r="AF86" i="53"/>
  <c r="AF58" i="54"/>
  <c r="AE58" i="54"/>
  <c r="O96" i="28"/>
  <c r="P96" i="28"/>
  <c r="K84" i="28"/>
  <c r="K104" i="28"/>
  <c r="L104" i="28"/>
  <c r="AF89" i="55"/>
  <c r="AE89" i="55"/>
  <c r="C61" i="28"/>
  <c r="O95" i="28"/>
  <c r="P95" i="28"/>
  <c r="K103" i="28"/>
  <c r="L103" i="28"/>
  <c r="AF98" i="52"/>
  <c r="AE98" i="52"/>
  <c r="O94" i="28"/>
  <c r="P94" i="28"/>
  <c r="K102" i="28"/>
  <c r="L102" i="28"/>
  <c r="P93" i="28"/>
  <c r="O93" i="28"/>
  <c r="AF84" i="51"/>
  <c r="AE84" i="51"/>
  <c r="L101" i="28"/>
  <c r="P92" i="28"/>
  <c r="O92" i="28"/>
  <c r="AB97" i="44"/>
  <c r="AA97" i="44"/>
  <c r="P91" i="28"/>
  <c r="O91" i="28"/>
  <c r="AB78" i="61"/>
  <c r="AA78" i="61"/>
  <c r="P90" i="28"/>
  <c r="O90" i="28"/>
  <c r="K100" i="28"/>
  <c r="K99" i="28"/>
  <c r="B61" i="28"/>
  <c r="L100" i="28"/>
  <c r="L99" i="28"/>
  <c r="K98" i="28"/>
  <c r="L98" i="28"/>
  <c r="AB56" i="45"/>
  <c r="AA56" i="45"/>
  <c r="O89" i="28"/>
  <c r="P89" i="28"/>
  <c r="K97" i="28"/>
  <c r="L97" i="28"/>
  <c r="I46" i="60"/>
  <c r="I43" i="60"/>
  <c r="K96" i="28"/>
  <c r="L96" i="28"/>
  <c r="L95" i="28"/>
  <c r="C54" i="28"/>
  <c r="C55" i="28"/>
  <c r="C56" i="28"/>
  <c r="C57" i="28"/>
  <c r="C58" i="28"/>
  <c r="C59" i="28"/>
  <c r="C60" i="28"/>
  <c r="B54" i="28"/>
  <c r="B55" i="28"/>
  <c r="B56" i="28"/>
  <c r="B57" i="28"/>
  <c r="B58" i="28"/>
  <c r="B59" i="28"/>
  <c r="B60" i="28"/>
  <c r="O88" i="28"/>
  <c r="O87" i="28"/>
  <c r="P88" i="28"/>
  <c r="P87" i="28"/>
  <c r="AA108" i="49"/>
  <c r="AB108" i="49"/>
  <c r="O86" i="28"/>
  <c r="P86" i="28"/>
  <c r="L94" i="28"/>
  <c r="AA86" i="53"/>
  <c r="AB86" i="53"/>
  <c r="AA88" i="53"/>
  <c r="O85" i="28"/>
  <c r="P85" i="28"/>
  <c r="L93" i="28"/>
  <c r="AA58" i="54"/>
  <c r="AB58" i="54"/>
  <c r="O84" i="28"/>
  <c r="P84" i="28"/>
  <c r="L92" i="28"/>
  <c r="AA89" i="55"/>
  <c r="AB89" i="55"/>
  <c r="AA91" i="55"/>
  <c r="L91" i="28"/>
  <c r="O83" i="28"/>
  <c r="P83" i="28"/>
  <c r="S108" i="49"/>
  <c r="T108" i="49"/>
  <c r="C108" i="49"/>
  <c r="D108" i="49"/>
  <c r="G108" i="49"/>
  <c r="H108" i="49"/>
  <c r="K108" i="49"/>
  <c r="L108" i="49"/>
  <c r="O108" i="49"/>
  <c r="P108" i="49"/>
  <c r="W108" i="49"/>
  <c r="X108" i="49"/>
  <c r="C86" i="53"/>
  <c r="D86" i="53"/>
  <c r="G86" i="53"/>
  <c r="H86" i="53"/>
  <c r="K86" i="53"/>
  <c r="L86" i="53"/>
  <c r="O86" i="53"/>
  <c r="P86" i="53"/>
  <c r="S86" i="53"/>
  <c r="T86" i="53"/>
  <c r="W86" i="53"/>
  <c r="X86" i="53"/>
  <c r="P5" i="54"/>
  <c r="P6" i="54"/>
  <c r="P7" i="54"/>
  <c r="P8" i="54"/>
  <c r="P9" i="54"/>
  <c r="P10" i="54"/>
  <c r="P11" i="54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P34" i="54"/>
  <c r="P36" i="54"/>
  <c r="P37" i="54"/>
  <c r="P38" i="54"/>
  <c r="P39" i="54"/>
  <c r="P40" i="54"/>
  <c r="P41" i="54"/>
  <c r="P42" i="54"/>
  <c r="P43" i="54"/>
  <c r="P44" i="54"/>
  <c r="P45" i="54"/>
  <c r="P46" i="54"/>
  <c r="P47" i="54"/>
  <c r="P48" i="54"/>
  <c r="P49" i="54"/>
  <c r="P50" i="54"/>
  <c r="P51" i="54"/>
  <c r="P52" i="54"/>
  <c r="P53" i="54"/>
  <c r="P54" i="54"/>
  <c r="P55" i="54"/>
  <c r="P56" i="54"/>
  <c r="P57" i="54"/>
  <c r="C80" i="54"/>
  <c r="D80" i="54"/>
  <c r="G80" i="54"/>
  <c r="H80" i="54"/>
  <c r="K80" i="54"/>
  <c r="L80" i="54"/>
  <c r="O80" i="54"/>
  <c r="S58" i="54"/>
  <c r="T58" i="54"/>
  <c r="W58" i="54"/>
  <c r="X58" i="54"/>
  <c r="W60" i="54"/>
  <c r="C89" i="55"/>
  <c r="D89" i="55"/>
  <c r="G89" i="55"/>
  <c r="H89" i="55"/>
  <c r="K89" i="55"/>
  <c r="L89" i="55"/>
  <c r="O89" i="55"/>
  <c r="P89" i="55"/>
  <c r="S89" i="55"/>
  <c r="T89" i="55"/>
  <c r="W89" i="55"/>
  <c r="X89" i="55"/>
  <c r="C98" i="52"/>
  <c r="D98" i="52"/>
  <c r="G98" i="52"/>
  <c r="H98" i="52"/>
  <c r="K98" i="52"/>
  <c r="L98" i="52"/>
  <c r="O98" i="52"/>
  <c r="P98" i="52"/>
  <c r="S98" i="52"/>
  <c r="T98" i="52"/>
  <c r="W98" i="52"/>
  <c r="X98" i="52"/>
  <c r="AA98" i="52"/>
  <c r="AB98" i="52"/>
  <c r="W39" i="51"/>
  <c r="W84" i="51"/>
  <c r="X84" i="51"/>
  <c r="C84" i="51"/>
  <c r="D84" i="51"/>
  <c r="C86" i="51"/>
  <c r="G84" i="51"/>
  <c r="H84" i="51"/>
  <c r="K84" i="51"/>
  <c r="L84" i="51"/>
  <c r="O84" i="51"/>
  <c r="P84" i="51"/>
  <c r="S84" i="51"/>
  <c r="T84" i="51"/>
  <c r="AA84" i="51"/>
  <c r="AB84" i="51"/>
  <c r="AA86" i="51"/>
  <c r="C97" i="50"/>
  <c r="D97" i="50"/>
  <c r="G97" i="50"/>
  <c r="H97" i="50"/>
  <c r="K97" i="50"/>
  <c r="L97" i="50"/>
  <c r="O97" i="50"/>
  <c r="P97" i="50"/>
  <c r="O19" i="44"/>
  <c r="O124" i="44"/>
  <c r="C89" i="44"/>
  <c r="D89" i="44"/>
  <c r="G89" i="44"/>
  <c r="H89" i="44"/>
  <c r="K89" i="44"/>
  <c r="L89" i="44"/>
  <c r="S97" i="44"/>
  <c r="T97" i="44"/>
  <c r="W97" i="44"/>
  <c r="X97" i="44"/>
  <c r="P124" i="44"/>
  <c r="C78" i="61"/>
  <c r="D78" i="61"/>
  <c r="G78" i="61"/>
  <c r="H78" i="61"/>
  <c r="K78" i="61"/>
  <c r="L78" i="61"/>
  <c r="O78" i="61"/>
  <c r="P78" i="61"/>
  <c r="S78" i="61"/>
  <c r="T78" i="61"/>
  <c r="W78" i="61"/>
  <c r="X78" i="61"/>
  <c r="S15" i="45"/>
  <c r="S23" i="45"/>
  <c r="S97" i="45"/>
  <c r="C71" i="45"/>
  <c r="D71" i="45"/>
  <c r="G71" i="45"/>
  <c r="H71" i="45"/>
  <c r="K71" i="45"/>
  <c r="L71" i="45"/>
  <c r="O71" i="45"/>
  <c r="P71" i="45"/>
  <c r="W56" i="45"/>
  <c r="X56" i="45"/>
  <c r="T97" i="45"/>
  <c r="C57" i="46"/>
  <c r="D57" i="46"/>
  <c r="G57" i="46"/>
  <c r="H57" i="46"/>
  <c r="AA7" i="47"/>
  <c r="AB7" i="47"/>
  <c r="AA8" i="47"/>
  <c r="AB8" i="47"/>
  <c r="AA9" i="47"/>
  <c r="AB9" i="47"/>
  <c r="AA10" i="47"/>
  <c r="AB10" i="47"/>
  <c r="AB11" i="47"/>
  <c r="AB12" i="47"/>
  <c r="AA15" i="47"/>
  <c r="AB15" i="47"/>
  <c r="AB16" i="47"/>
  <c r="AB17" i="47"/>
  <c r="AB18" i="47"/>
  <c r="AB19" i="47"/>
  <c r="AB20" i="47"/>
  <c r="AB21" i="47"/>
  <c r="AB22" i="47"/>
  <c r="AB23" i="47"/>
  <c r="AB24" i="47"/>
  <c r="AB26" i="47"/>
  <c r="AB27" i="47"/>
  <c r="AB28" i="47"/>
  <c r="AB30" i="47"/>
  <c r="AB31" i="47"/>
  <c r="AB32" i="47"/>
  <c r="AB33" i="47"/>
  <c r="AB35" i="47"/>
  <c r="AB36" i="47"/>
  <c r="AB39" i="47"/>
  <c r="AB40" i="47"/>
  <c r="W20" i="47"/>
  <c r="W21" i="47"/>
  <c r="W22" i="47"/>
  <c r="W23" i="47"/>
  <c r="W24" i="47"/>
  <c r="W25" i="47"/>
  <c r="W26" i="47"/>
  <c r="W27" i="47"/>
  <c r="W28" i="47"/>
  <c r="W29" i="47"/>
  <c r="W30" i="47"/>
  <c r="W31" i="47"/>
  <c r="W32" i="47"/>
  <c r="W33" i="47"/>
  <c r="W34" i="47"/>
  <c r="W35" i="47"/>
  <c r="W36" i="47"/>
  <c r="W37" i="47"/>
  <c r="W38" i="47"/>
  <c r="W39" i="47"/>
  <c r="W40" i="47"/>
  <c r="W41" i="47"/>
  <c r="W42" i="47"/>
  <c r="W43" i="47"/>
  <c r="W44" i="47"/>
  <c r="W45" i="47"/>
  <c r="W46" i="47"/>
  <c r="W47" i="47"/>
  <c r="W48" i="47"/>
  <c r="W49" i="47"/>
  <c r="W50" i="47"/>
  <c r="W51" i="47"/>
  <c r="W52" i="47"/>
  <c r="W53" i="47"/>
  <c r="W54" i="47"/>
  <c r="W55" i="47"/>
  <c r="W56" i="47"/>
  <c r="W57" i="47"/>
  <c r="W59" i="47"/>
  <c r="W60" i="47"/>
  <c r="W61" i="47"/>
  <c r="W62" i="47"/>
  <c r="W63" i="47"/>
  <c r="W65" i="47"/>
  <c r="W66" i="47"/>
  <c r="G71" i="47"/>
  <c r="H71" i="47"/>
  <c r="K71" i="47"/>
  <c r="L71" i="47"/>
  <c r="O71" i="47"/>
  <c r="P71" i="47"/>
  <c r="F119" i="60"/>
  <c r="E119" i="60"/>
  <c r="D119" i="60"/>
  <c r="K5" i="28"/>
  <c r="L5" i="28"/>
  <c r="O5" i="28"/>
  <c r="P5" i="28"/>
  <c r="K6" i="28"/>
  <c r="L6" i="28"/>
  <c r="O6" i="28"/>
  <c r="P6" i="28"/>
  <c r="K7" i="28"/>
  <c r="L7" i="28"/>
  <c r="O7" i="28"/>
  <c r="P7" i="28"/>
  <c r="K8" i="28"/>
  <c r="L8" i="28"/>
  <c r="O8" i="28"/>
  <c r="P8" i="28"/>
  <c r="B31" i="28"/>
  <c r="B30" i="28"/>
  <c r="K9" i="28"/>
  <c r="L9" i="28"/>
  <c r="O9" i="28"/>
  <c r="P9" i="28"/>
  <c r="K10" i="28"/>
  <c r="L10" i="28"/>
  <c r="O10" i="28"/>
  <c r="P10" i="28"/>
  <c r="K11" i="28"/>
  <c r="L11" i="28"/>
  <c r="O11" i="28"/>
  <c r="P11" i="28"/>
  <c r="K12" i="28"/>
  <c r="L12" i="28"/>
  <c r="O12" i="28"/>
  <c r="P12" i="28"/>
  <c r="K13" i="28"/>
  <c r="L13" i="28"/>
  <c r="O13" i="28"/>
  <c r="P13" i="28"/>
  <c r="K14" i="28"/>
  <c r="L14" i="28"/>
  <c r="O14" i="28"/>
  <c r="P14" i="28"/>
  <c r="K15" i="28"/>
  <c r="L15" i="28"/>
  <c r="O15" i="28"/>
  <c r="P15" i="28"/>
  <c r="K16" i="28"/>
  <c r="L16" i="28"/>
  <c r="O16" i="28"/>
  <c r="P16" i="28"/>
  <c r="K17" i="28"/>
  <c r="L17" i="28"/>
  <c r="O17" i="28"/>
  <c r="P17" i="28"/>
  <c r="K18" i="28"/>
  <c r="L18" i="28"/>
  <c r="O18" i="28"/>
  <c r="P18" i="28"/>
  <c r="K19" i="28"/>
  <c r="L19" i="28"/>
  <c r="O19" i="28"/>
  <c r="P19" i="28"/>
  <c r="K20" i="28"/>
  <c r="L20" i="28"/>
  <c r="O20" i="28"/>
  <c r="P20" i="28"/>
  <c r="K21" i="28"/>
  <c r="L21" i="28"/>
  <c r="O21" i="28"/>
  <c r="P21" i="28"/>
  <c r="K22" i="28"/>
  <c r="L22" i="28"/>
  <c r="O22" i="28"/>
  <c r="P22" i="28"/>
  <c r="K23" i="28"/>
  <c r="L23" i="28"/>
  <c r="O23" i="28"/>
  <c r="P23" i="28"/>
  <c r="K24" i="28"/>
  <c r="L24" i="28"/>
  <c r="O24" i="28"/>
  <c r="P24" i="28"/>
  <c r="K25" i="28"/>
  <c r="L25" i="28"/>
  <c r="O25" i="28"/>
  <c r="P25" i="28"/>
  <c r="K26" i="28"/>
  <c r="L26" i="28"/>
  <c r="O26" i="28"/>
  <c r="P26" i="28"/>
  <c r="K27" i="28"/>
  <c r="L27" i="28"/>
  <c r="O27" i="28"/>
  <c r="P27" i="28"/>
  <c r="K28" i="28"/>
  <c r="L28" i="28"/>
  <c r="O28" i="28"/>
  <c r="P28" i="28"/>
  <c r="K29" i="28"/>
  <c r="L29" i="28"/>
  <c r="O29" i="28"/>
  <c r="P29" i="28"/>
  <c r="K30" i="28"/>
  <c r="L30" i="28"/>
  <c r="O30" i="28"/>
  <c r="P30" i="28"/>
  <c r="K31" i="28"/>
  <c r="L31" i="28"/>
  <c r="O31" i="28"/>
  <c r="P31" i="28"/>
  <c r="K32" i="28"/>
  <c r="L32" i="28"/>
  <c r="O32" i="28"/>
  <c r="P32" i="28"/>
  <c r="K33" i="28"/>
  <c r="L33" i="28"/>
  <c r="O33" i="28"/>
  <c r="P33" i="28"/>
  <c r="K34" i="28"/>
  <c r="L34" i="28"/>
  <c r="O34" i="28"/>
  <c r="P34" i="28"/>
  <c r="K35" i="28"/>
  <c r="L35" i="28"/>
  <c r="O35" i="28"/>
  <c r="P35" i="28"/>
  <c r="K36" i="28"/>
  <c r="L36" i="28"/>
  <c r="O36" i="28"/>
  <c r="P36" i="28"/>
  <c r="K37" i="28"/>
  <c r="L37" i="28"/>
  <c r="O37" i="28"/>
  <c r="P37" i="28"/>
  <c r="K38" i="28"/>
  <c r="L38" i="28"/>
  <c r="O38" i="28"/>
  <c r="P38" i="28"/>
  <c r="K39" i="28"/>
  <c r="L39" i="28"/>
  <c r="O39" i="28"/>
  <c r="P39" i="28"/>
  <c r="K40" i="28"/>
  <c r="L40" i="28"/>
  <c r="O40" i="28"/>
  <c r="P40" i="28"/>
  <c r="K41" i="28"/>
  <c r="L41" i="28"/>
  <c r="O41" i="28"/>
  <c r="P41" i="28"/>
  <c r="K42" i="28"/>
  <c r="L42" i="28"/>
  <c r="O42" i="28"/>
  <c r="P42" i="28"/>
  <c r="K43" i="28"/>
  <c r="L43" i="28"/>
  <c r="O43" i="28"/>
  <c r="P43" i="28"/>
  <c r="K44" i="28"/>
  <c r="L44" i="28"/>
  <c r="O44" i="28"/>
  <c r="P44" i="28"/>
  <c r="K45" i="28"/>
  <c r="L45" i="28"/>
  <c r="O45" i="28"/>
  <c r="P45" i="28"/>
  <c r="K46" i="28"/>
  <c r="L46" i="28"/>
  <c r="O46" i="28"/>
  <c r="P46" i="28"/>
  <c r="K47" i="28"/>
  <c r="L47" i="28"/>
  <c r="O47" i="28"/>
  <c r="P47" i="28"/>
  <c r="K48" i="28"/>
  <c r="L48" i="28"/>
  <c r="O48" i="28"/>
  <c r="P48" i="28"/>
  <c r="K49" i="28"/>
  <c r="L49" i="28"/>
  <c r="O49" i="28"/>
  <c r="P49" i="28"/>
  <c r="K50" i="28"/>
  <c r="L50" i="28"/>
  <c r="O50" i="28"/>
  <c r="P50" i="28"/>
  <c r="K51" i="28"/>
  <c r="L51" i="28"/>
  <c r="O51" i="28"/>
  <c r="P51" i="28"/>
  <c r="K52" i="28"/>
  <c r="L52" i="28"/>
  <c r="O52" i="28"/>
  <c r="P52" i="28"/>
  <c r="K53" i="28"/>
  <c r="L53" i="28"/>
  <c r="O53" i="28"/>
  <c r="P53" i="28"/>
  <c r="K54" i="28"/>
  <c r="L54" i="28"/>
  <c r="O54" i="28"/>
  <c r="P54" i="28"/>
  <c r="K55" i="28"/>
  <c r="L55" i="28"/>
  <c r="O55" i="28"/>
  <c r="P55" i="28"/>
  <c r="K56" i="28"/>
  <c r="L56" i="28"/>
  <c r="O56" i="28"/>
  <c r="P56" i="28"/>
  <c r="K57" i="28"/>
  <c r="L57" i="28"/>
  <c r="O57" i="28"/>
  <c r="P57" i="28"/>
  <c r="K58" i="28"/>
  <c r="L58" i="28"/>
  <c r="O58" i="28"/>
  <c r="P58" i="28"/>
  <c r="K59" i="28"/>
  <c r="L59" i="28"/>
  <c r="O59" i="28"/>
  <c r="P59" i="28"/>
  <c r="K60" i="28"/>
  <c r="L60" i="28"/>
  <c r="O60" i="28"/>
  <c r="P60" i="28"/>
  <c r="K61" i="28"/>
  <c r="L61" i="28"/>
  <c r="O61" i="28"/>
  <c r="P61" i="28"/>
  <c r="K62" i="28"/>
  <c r="L62" i="28"/>
  <c r="O62" i="28"/>
  <c r="P62" i="28"/>
  <c r="K63" i="28"/>
  <c r="L63" i="28"/>
  <c r="O63" i="28"/>
  <c r="P63" i="28"/>
  <c r="K64" i="28"/>
  <c r="L64" i="28"/>
  <c r="P64" i="28"/>
  <c r="K65" i="28"/>
  <c r="L65" i="28"/>
  <c r="O65" i="28"/>
  <c r="P65" i="28"/>
  <c r="K66" i="28"/>
  <c r="L66" i="28"/>
  <c r="O66" i="28"/>
  <c r="P66" i="28"/>
  <c r="K67" i="28"/>
  <c r="L67" i="28"/>
  <c r="O67" i="28"/>
  <c r="P67" i="28"/>
  <c r="K68" i="28"/>
  <c r="L68" i="28"/>
  <c r="O68" i="28"/>
  <c r="P68" i="28"/>
  <c r="K69" i="28"/>
  <c r="L69" i="28"/>
  <c r="O69" i="28"/>
  <c r="P69" i="28"/>
  <c r="K70" i="28"/>
  <c r="L70" i="28"/>
  <c r="O70" i="28"/>
  <c r="P70" i="28"/>
  <c r="K71" i="28"/>
  <c r="L71" i="28"/>
  <c r="O71" i="28"/>
  <c r="P71" i="28"/>
  <c r="K72" i="28"/>
  <c r="L72" i="28"/>
  <c r="O72" i="28"/>
  <c r="P72" i="28"/>
  <c r="K73" i="28"/>
  <c r="L73" i="28"/>
  <c r="O73" i="28"/>
  <c r="P73" i="28"/>
  <c r="K74" i="28"/>
  <c r="L74" i="28"/>
  <c r="O74" i="28"/>
  <c r="P74" i="28"/>
  <c r="K75" i="28"/>
  <c r="L75" i="28"/>
  <c r="O75" i="28"/>
  <c r="P75" i="28"/>
  <c r="K76" i="28"/>
  <c r="L76" i="28"/>
  <c r="O76" i="28"/>
  <c r="P76" i="28"/>
  <c r="K77" i="28"/>
  <c r="L77" i="28"/>
  <c r="O77" i="28"/>
  <c r="P77" i="28"/>
  <c r="K78" i="28"/>
  <c r="L78" i="28"/>
  <c r="O78" i="28"/>
  <c r="P78" i="28"/>
  <c r="K79" i="28"/>
  <c r="L79" i="28"/>
  <c r="O79" i="28"/>
  <c r="P79" i="28"/>
  <c r="K80" i="28"/>
  <c r="L80" i="28"/>
  <c r="O80" i="28"/>
  <c r="P80" i="28"/>
  <c r="K81" i="28"/>
  <c r="L81" i="28"/>
  <c r="O81" i="28"/>
  <c r="P81" i="28"/>
  <c r="K82" i="28"/>
  <c r="L82" i="28"/>
  <c r="O82" i="28"/>
  <c r="P82" i="28"/>
  <c r="K83" i="28"/>
  <c r="L83" i="28"/>
  <c r="L84" i="28"/>
  <c r="K85" i="28"/>
  <c r="L85" i="28"/>
  <c r="K86" i="28"/>
  <c r="L86" i="28"/>
  <c r="K87" i="28"/>
  <c r="L87" i="28"/>
  <c r="K88" i="28"/>
  <c r="L88" i="28"/>
  <c r="K89" i="28"/>
  <c r="L89" i="28"/>
  <c r="K90" i="28"/>
  <c r="L90" i="28"/>
  <c r="K91" i="28"/>
  <c r="K92" i="28"/>
  <c r="K93" i="28"/>
  <c r="K94" i="28"/>
  <c r="K95" i="28"/>
  <c r="B43" i="60"/>
  <c r="C43" i="60"/>
  <c r="D43" i="60"/>
  <c r="E43" i="60"/>
  <c r="F43" i="60"/>
  <c r="G43" i="60"/>
  <c r="H43" i="60"/>
  <c r="J43" i="60"/>
  <c r="K43" i="60"/>
  <c r="L43" i="60"/>
  <c r="M43" i="60"/>
  <c r="B46" i="60"/>
  <c r="C46" i="60"/>
  <c r="D46" i="60"/>
  <c r="E46" i="60"/>
  <c r="F46" i="60"/>
  <c r="G46" i="60"/>
  <c r="H46" i="60"/>
  <c r="J46" i="60"/>
  <c r="K46" i="60"/>
  <c r="L46" i="60"/>
  <c r="M46" i="60"/>
  <c r="C49" i="60"/>
  <c r="D49" i="60"/>
  <c r="E49" i="60"/>
  <c r="F49" i="60"/>
  <c r="G49" i="60"/>
  <c r="H49" i="60"/>
  <c r="J49" i="60"/>
  <c r="K49" i="60"/>
  <c r="L49" i="60"/>
  <c r="M49" i="60"/>
  <c r="B119" i="60"/>
  <c r="C119" i="60"/>
  <c r="I119" i="60"/>
  <c r="J119" i="60"/>
  <c r="K119" i="60"/>
  <c r="L119" i="60"/>
  <c r="Y60" i="129"/>
  <c r="Y66" i="129"/>
  <c r="C78" i="28"/>
  <c r="Y56" i="129"/>
  <c r="C77" i="28"/>
  <c r="X6" i="136"/>
  <c r="S32" i="60"/>
  <c r="S31" i="60"/>
  <c r="O605" i="141"/>
  <c r="AB55" i="35"/>
  <c r="AB48" i="35"/>
  <c r="M35" i="150"/>
  <c r="CE128" i="50"/>
  <c r="CE130" i="50"/>
  <c r="H379" i="141"/>
  <c r="H380" i="141"/>
  <c r="H376" i="141"/>
  <c r="H375" i="141"/>
  <c r="H374" i="141"/>
  <c r="H372" i="141"/>
  <c r="H371" i="141"/>
  <c r="H368" i="141"/>
  <c r="H366" i="141"/>
  <c r="H365" i="141"/>
  <c r="H364" i="141"/>
  <c r="H363" i="141"/>
  <c r="H362" i="141"/>
  <c r="H342" i="141"/>
  <c r="CE102" i="44"/>
  <c r="CE112" i="51"/>
  <c r="D346" i="141"/>
  <c r="F342" i="141"/>
  <c r="F348" i="141"/>
  <c r="F375" i="141"/>
  <c r="F364" i="141"/>
  <c r="F365" i="141"/>
  <c r="F366" i="141"/>
  <c r="F368" i="141"/>
  <c r="F371" i="141"/>
  <c r="F343" i="141"/>
  <c r="F372" i="141"/>
  <c r="F344" i="141"/>
  <c r="F345" i="141"/>
  <c r="F374" i="141"/>
  <c r="F349" i="141"/>
  <c r="F376" i="141"/>
  <c r="F362" i="141"/>
  <c r="F363" i="141"/>
  <c r="AL108" i="60"/>
  <c r="AN108" i="60"/>
  <c r="AO108" i="60"/>
  <c r="D340" i="141"/>
  <c r="D377" i="141"/>
  <c r="D369" i="141"/>
  <c r="E348" i="141"/>
  <c r="E364" i="141"/>
  <c r="E375" i="141"/>
  <c r="E376" i="141"/>
  <c r="E379" i="141"/>
  <c r="E342" i="141"/>
  <c r="E343" i="141"/>
  <c r="E344" i="141"/>
  <c r="E345" i="141"/>
  <c r="E349" i="141"/>
  <c r="E362" i="141"/>
  <c r="E363" i="141"/>
  <c r="E380" i="141"/>
  <c r="E365" i="141"/>
  <c r="E366" i="141"/>
  <c r="O367" i="141"/>
  <c r="V53" i="129"/>
  <c r="E368" i="141"/>
  <c r="E371" i="141"/>
  <c r="E372" i="141"/>
  <c r="AF75" i="136"/>
  <c r="T12" i="35"/>
  <c r="Q28" i="18"/>
  <c r="O837" i="141"/>
  <c r="U9" i="35"/>
  <c r="AB9" i="35"/>
  <c r="T9" i="35"/>
  <c r="C369" i="141"/>
  <c r="AA13" i="35"/>
  <c r="AE29" i="136"/>
  <c r="AF29" i="136"/>
  <c r="M58" i="129"/>
  <c r="V21" i="60"/>
  <c r="O1927" i="141"/>
  <c r="C65" i="35"/>
  <c r="CA102" i="55"/>
  <c r="BS105" i="44"/>
  <c r="T40" i="35"/>
  <c r="AA40" i="35"/>
  <c r="AB10" i="35"/>
  <c r="T14" i="35"/>
  <c r="AA14" i="35"/>
  <c r="U27" i="35"/>
  <c r="C377" i="141"/>
  <c r="C346" i="141"/>
  <c r="C340" i="141"/>
  <c r="S72" i="136"/>
  <c r="S76" i="136"/>
  <c r="O825" i="141"/>
  <c r="Q44" i="35"/>
  <c r="T18" i="35"/>
  <c r="O24" i="142"/>
  <c r="O16" i="18"/>
  <c r="G8" i="137"/>
  <c r="H32" i="142"/>
  <c r="CA120" i="49"/>
  <c r="N448" i="141"/>
  <c r="N449" i="141"/>
  <c r="N450" i="141"/>
  <c r="N451" i="141"/>
  <c r="N427" i="141"/>
  <c r="N453" i="141"/>
  <c r="N428" i="141"/>
  <c r="N456" i="141"/>
  <c r="N429" i="141"/>
  <c r="N457" i="141"/>
  <c r="N430" i="141"/>
  <c r="N461" i="141"/>
  <c r="N433" i="141"/>
  <c r="P9" i="149"/>
  <c r="N466" i="141"/>
  <c r="N434" i="141"/>
  <c r="N467" i="141"/>
  <c r="N447" i="141"/>
  <c r="BW104" i="51"/>
  <c r="D332" i="141"/>
  <c r="L55" i="129"/>
  <c r="K434" i="141"/>
  <c r="O516" i="141"/>
  <c r="G17" i="142"/>
  <c r="O658" i="141"/>
  <c r="S31" i="35"/>
  <c r="H17" i="137"/>
  <c r="AH60" i="136"/>
  <c r="AN82" i="136"/>
  <c r="E17" i="137"/>
  <c r="J75" i="142"/>
  <c r="J72" i="142"/>
  <c r="U18" i="35"/>
  <c r="I17" i="137"/>
  <c r="AK73" i="136"/>
  <c r="J62" i="60"/>
  <c r="AL82" i="136"/>
  <c r="X73" i="136"/>
  <c r="O882" i="141"/>
  <c r="P24" i="35"/>
  <c r="Z24" i="35"/>
  <c r="D17" i="137"/>
  <c r="I332" i="141"/>
  <c r="O497" i="141"/>
  <c r="AR64" i="136"/>
  <c r="M801" i="141"/>
  <c r="P20" i="129"/>
  <c r="C991" i="141"/>
  <c r="O1615" i="141"/>
  <c r="G63" i="35"/>
  <c r="C675" i="141"/>
  <c r="O846" i="141"/>
  <c r="Q65" i="35"/>
  <c r="U44" i="35"/>
  <c r="T44" i="35"/>
  <c r="J620" i="141"/>
  <c r="G844" i="141"/>
  <c r="G842" i="141"/>
  <c r="P91" i="60"/>
  <c r="P8" i="137"/>
  <c r="B25" i="137"/>
  <c r="C25" i="137"/>
  <c r="D25" i="137"/>
  <c r="E25" i="137"/>
  <c r="F25" i="137"/>
  <c r="G25" i="137"/>
  <c r="H25" i="137"/>
  <c r="I25" i="137"/>
  <c r="J25" i="137"/>
  <c r="K25" i="137"/>
  <c r="L25" i="137"/>
  <c r="H925" i="141"/>
  <c r="O928" i="141"/>
  <c r="P70" i="35"/>
  <c r="F1769" i="141"/>
  <c r="F1784" i="141"/>
  <c r="D5" i="18"/>
  <c r="F30" i="142"/>
  <c r="J23" i="142"/>
  <c r="K70" i="35"/>
  <c r="K70" i="142"/>
  <c r="L51" i="142"/>
  <c r="M915" i="141"/>
  <c r="O58" i="129"/>
  <c r="C864" i="141"/>
  <c r="B16" i="137"/>
  <c r="C16" i="137"/>
  <c r="O50" i="35"/>
  <c r="Q43" i="136"/>
  <c r="F26" i="35"/>
  <c r="F26" i="142"/>
  <c r="K15" i="142"/>
  <c r="O71" i="35"/>
  <c r="G40" i="35"/>
  <c r="O597" i="141"/>
  <c r="J64" i="60"/>
  <c r="K55" i="142"/>
  <c r="J36" i="35"/>
  <c r="J34" i="35"/>
  <c r="O1354" i="141"/>
  <c r="BG84" i="61"/>
  <c r="D23" i="35"/>
  <c r="D23" i="142"/>
  <c r="I42" i="35"/>
  <c r="L8" i="35"/>
  <c r="AF6" i="136"/>
  <c r="G74" i="142"/>
  <c r="L16" i="133"/>
  <c r="K17" i="142"/>
  <c r="R62" i="60"/>
  <c r="O1560" i="141"/>
  <c r="G8" i="35"/>
  <c r="F56" i="142"/>
  <c r="H52" i="142"/>
  <c r="AI55" i="136"/>
  <c r="O1045" i="141"/>
  <c r="E456" i="141"/>
  <c r="BW113" i="54"/>
  <c r="BS107" i="51"/>
  <c r="BS109" i="51"/>
  <c r="S28" i="18"/>
  <c r="AC10" i="60"/>
  <c r="H61" i="60"/>
  <c r="S27" i="60"/>
  <c r="H75" i="142"/>
  <c r="O815" i="141"/>
  <c r="F11" i="142"/>
  <c r="I44" i="142"/>
  <c r="O1742" i="141"/>
  <c r="P12" i="142"/>
  <c r="AD73" i="136"/>
  <c r="AP73" i="136"/>
  <c r="AF73" i="136"/>
  <c r="X55" i="136"/>
  <c r="X60" i="136"/>
  <c r="X61" i="136"/>
  <c r="D50" i="142"/>
  <c r="I51" i="142"/>
  <c r="F25" i="142"/>
  <c r="K30" i="142"/>
  <c r="E54" i="125"/>
  <c r="E55" i="125"/>
  <c r="E58" i="125"/>
  <c r="F13" i="142"/>
  <c r="C66" i="142"/>
  <c r="M16" i="18"/>
  <c r="F16" i="18"/>
  <c r="G92" i="60"/>
  <c r="B16" i="18"/>
  <c r="H62" i="60"/>
  <c r="H64" i="60"/>
  <c r="H66" i="60"/>
  <c r="I46" i="142"/>
  <c r="I12" i="142"/>
  <c r="F52" i="142"/>
  <c r="F14" i="142"/>
  <c r="K17" i="137"/>
  <c r="J17" i="137"/>
  <c r="F17" i="137"/>
  <c r="L17" i="137"/>
  <c r="AF55" i="136"/>
  <c r="AF60" i="136"/>
  <c r="AF61" i="136"/>
  <c r="O1076" i="141"/>
  <c r="N65" i="35"/>
  <c r="N1714" i="141"/>
  <c r="O1716" i="141"/>
  <c r="O1771" i="141"/>
  <c r="E63" i="142"/>
  <c r="C18" i="142"/>
  <c r="K31" i="142"/>
  <c r="O74" i="35"/>
  <c r="C1480" i="141"/>
  <c r="C1636" i="141"/>
  <c r="I1923" i="141"/>
  <c r="I1938" i="141"/>
  <c r="B8" i="18"/>
  <c r="O1925" i="141"/>
  <c r="G28" i="18"/>
  <c r="E332" i="141"/>
  <c r="D59" i="35"/>
  <c r="D57" i="35"/>
  <c r="O1842" i="141"/>
  <c r="F44" i="35"/>
  <c r="F44" i="142"/>
  <c r="H18" i="35"/>
  <c r="H18" i="142"/>
  <c r="O16" i="35"/>
  <c r="O16" i="142"/>
  <c r="K3" i="137"/>
  <c r="J1068" i="141"/>
  <c r="K11" i="35"/>
  <c r="K11" i="142"/>
  <c r="C69" i="35"/>
  <c r="J74" i="35"/>
  <c r="J72" i="35"/>
  <c r="H16" i="18"/>
  <c r="T8" i="137"/>
  <c r="R12" i="125"/>
  <c r="F42" i="142"/>
  <c r="F24" i="35"/>
  <c r="H70" i="35"/>
  <c r="O69" i="142"/>
  <c r="P10" i="137"/>
  <c r="Q56" i="60"/>
  <c r="O109" i="136"/>
  <c r="O112" i="136"/>
  <c r="K23" i="142"/>
  <c r="H40" i="142"/>
  <c r="G3" i="137"/>
  <c r="B153" i="148"/>
  <c r="C153" i="148"/>
  <c r="G110" i="49"/>
  <c r="O12" i="125"/>
  <c r="F332" i="141"/>
  <c r="F55" i="35"/>
  <c r="H15" i="35"/>
  <c r="J70" i="35"/>
  <c r="K43" i="35"/>
  <c r="K43" i="142"/>
  <c r="D8" i="142"/>
  <c r="F54" i="142"/>
  <c r="F40" i="35"/>
  <c r="F22" i="35"/>
  <c r="K56" i="142"/>
  <c r="L33" i="35"/>
  <c r="L18" i="35"/>
  <c r="M60" i="35"/>
  <c r="H60" i="142"/>
  <c r="M453" i="141"/>
  <c r="F70" i="142"/>
  <c r="F50" i="142"/>
  <c r="M427" i="141"/>
  <c r="H332" i="141"/>
  <c r="M428" i="141"/>
  <c r="M429" i="141"/>
  <c r="M430" i="141"/>
  <c r="M434" i="141"/>
  <c r="M456" i="141"/>
  <c r="M433" i="141"/>
  <c r="M447" i="141"/>
  <c r="M457" i="141"/>
  <c r="M448" i="141"/>
  <c r="M461" i="141"/>
  <c r="M458" i="141"/>
  <c r="M449" i="141"/>
  <c r="M466" i="141"/>
  <c r="M450" i="141"/>
  <c r="M467" i="141"/>
  <c r="M451" i="141"/>
  <c r="J580" i="141"/>
  <c r="M769" i="141"/>
  <c r="Q63" i="129"/>
  <c r="M1769" i="141"/>
  <c r="M1784" i="141"/>
  <c r="D12" i="18"/>
  <c r="BC105" i="44"/>
  <c r="K52" i="142"/>
  <c r="O53" i="142"/>
  <c r="B49" i="148"/>
  <c r="C49" i="148"/>
  <c r="B327" i="148"/>
  <c r="C327" i="148"/>
  <c r="B334" i="148"/>
  <c r="C334" i="148"/>
  <c r="B196" i="148"/>
  <c r="C196" i="148"/>
  <c r="B194" i="148"/>
  <c r="C194" i="148"/>
  <c r="B72" i="148"/>
  <c r="C72" i="148"/>
  <c r="C1691" i="141"/>
  <c r="O1896" i="141"/>
  <c r="B10" i="137"/>
  <c r="B228" i="148"/>
  <c r="C228" i="148"/>
  <c r="B195" i="148"/>
  <c r="C195" i="148"/>
  <c r="B238" i="148"/>
  <c r="C238" i="148"/>
  <c r="B190" i="148"/>
  <c r="C190" i="148"/>
  <c r="N583" i="141"/>
  <c r="B326" i="148"/>
  <c r="B353" i="148"/>
  <c r="C353" i="148"/>
  <c r="B227" i="148"/>
  <c r="C227" i="148"/>
  <c r="B59" i="148"/>
  <c r="C59" i="148"/>
  <c r="B110" i="148"/>
  <c r="C110" i="148"/>
  <c r="B361" i="148"/>
  <c r="C361" i="148"/>
  <c r="B315" i="148"/>
  <c r="C315" i="148"/>
  <c r="B259" i="148"/>
  <c r="B282" i="148"/>
  <c r="C282" i="148"/>
  <c r="B106" i="148"/>
  <c r="C106" i="148"/>
  <c r="L27" i="142"/>
  <c r="O892" i="141"/>
  <c r="O32" i="129"/>
  <c r="B311" i="148"/>
  <c r="C311" i="148"/>
  <c r="B318" i="148"/>
  <c r="C318" i="148"/>
  <c r="B285" i="148"/>
  <c r="C285" i="148"/>
  <c r="B180" i="148"/>
  <c r="C180" i="148"/>
  <c r="B95" i="148"/>
  <c r="C95" i="148"/>
  <c r="B102" i="148"/>
  <c r="B109" i="148"/>
  <c r="B73" i="148"/>
  <c r="C73" i="148"/>
  <c r="B307" i="148"/>
  <c r="C307" i="148"/>
  <c r="B274" i="148"/>
  <c r="C274" i="148"/>
  <c r="B168" i="148"/>
  <c r="B154" i="148"/>
  <c r="C154" i="148"/>
  <c r="B103" i="148"/>
  <c r="C103" i="148"/>
  <c r="C72" i="35"/>
  <c r="I66" i="60"/>
  <c r="R83" i="60"/>
  <c r="H42" i="142"/>
  <c r="B265" i="148"/>
  <c r="C265" i="148"/>
  <c r="B223" i="148"/>
  <c r="C223" i="148"/>
  <c r="B179" i="148"/>
  <c r="C179" i="148"/>
  <c r="B150" i="148"/>
  <c r="C150" i="148"/>
  <c r="B87" i="148"/>
  <c r="B46" i="148"/>
  <c r="C46" i="148"/>
  <c r="R66" i="60"/>
  <c r="F16" i="142"/>
  <c r="B216" i="148"/>
  <c r="C216" i="148"/>
  <c r="B225" i="148"/>
  <c r="C225" i="148"/>
  <c r="B262" i="148"/>
  <c r="C262" i="148"/>
  <c r="B185" i="148"/>
  <c r="C185" i="148"/>
  <c r="B92" i="148"/>
  <c r="C92" i="148"/>
  <c r="K70" i="129"/>
  <c r="B37" i="148"/>
  <c r="C37" i="148"/>
  <c r="B44" i="148"/>
  <c r="C44" i="148"/>
  <c r="B253" i="148"/>
  <c r="C253" i="148"/>
  <c r="B162" i="148"/>
  <c r="B206" i="148"/>
  <c r="B164" i="148"/>
  <c r="B108" i="148"/>
  <c r="C108" i="148"/>
  <c r="B64" i="148"/>
  <c r="C64" i="148"/>
  <c r="B295" i="148"/>
  <c r="B247" i="148"/>
  <c r="C247" i="148"/>
  <c r="B156" i="148"/>
  <c r="C156" i="148"/>
  <c r="S416" i="141"/>
  <c r="S417" i="141"/>
  <c r="M1923" i="141"/>
  <c r="M1938" i="141"/>
  <c r="B12" i="18"/>
  <c r="R27" i="18"/>
  <c r="K74" i="142"/>
  <c r="I17" i="142"/>
  <c r="U56" i="60"/>
  <c r="B370" i="148"/>
  <c r="B332" i="148"/>
  <c r="B221" i="148"/>
  <c r="C221" i="148"/>
  <c r="B250" i="148"/>
  <c r="B124" i="148"/>
  <c r="C124" i="148"/>
  <c r="B104" i="148"/>
  <c r="N51" i="142"/>
  <c r="N25" i="142"/>
  <c r="N23" i="142"/>
  <c r="N22" i="142"/>
  <c r="N30" i="142"/>
  <c r="D1458" i="141"/>
  <c r="K435" i="141"/>
  <c r="M7" i="149"/>
  <c r="F1149" i="141"/>
  <c r="F1164" i="141"/>
  <c r="L5" i="18"/>
  <c r="E1149" i="141"/>
  <c r="E1164" i="141"/>
  <c r="L4" i="18"/>
  <c r="F1226" i="141"/>
  <c r="BS100" i="55"/>
  <c r="BS102" i="55"/>
  <c r="B85" i="60"/>
  <c r="B89" i="60"/>
  <c r="B20" i="18"/>
  <c r="B22" i="18"/>
  <c r="H586" i="141"/>
  <c r="O687" i="141"/>
  <c r="S60" i="35"/>
  <c r="Q60" i="136"/>
  <c r="K1691" i="141"/>
  <c r="C570" i="141"/>
  <c r="C1226" i="141"/>
  <c r="C1241" i="141"/>
  <c r="K2" i="18"/>
  <c r="AY89" i="51"/>
  <c r="P4" i="129"/>
  <c r="J538" i="141"/>
  <c r="L85" i="60"/>
  <c r="M76" i="142"/>
  <c r="O488" i="141"/>
  <c r="F461" i="141"/>
  <c r="F458" i="141"/>
  <c r="O335" i="141"/>
  <c r="V21" i="129"/>
  <c r="Z86" i="60"/>
  <c r="L1613" i="141"/>
  <c r="L1628" i="141"/>
  <c r="F11" i="18"/>
  <c r="E34" i="35"/>
  <c r="AB7" i="129"/>
  <c r="Q34" i="35"/>
  <c r="L586" i="141"/>
  <c r="N1691" i="141"/>
  <c r="N1706" i="141"/>
  <c r="K14" i="35"/>
  <c r="M33" i="35"/>
  <c r="Q30" i="35"/>
  <c r="H68" i="136"/>
  <c r="I68" i="136"/>
  <c r="I65" i="136"/>
  <c r="G65" i="136"/>
  <c r="S43" i="35"/>
  <c r="Q41" i="136"/>
  <c r="S17" i="35"/>
  <c r="T8" i="35"/>
  <c r="U8" i="35"/>
  <c r="T65" i="35"/>
  <c r="U65" i="35"/>
  <c r="L75" i="35"/>
  <c r="L75" i="142"/>
  <c r="Q72" i="35"/>
  <c r="U27" i="60"/>
  <c r="U28" i="60"/>
  <c r="U26" i="60"/>
  <c r="U38" i="60"/>
  <c r="U125" i="60"/>
  <c r="I22" i="35"/>
  <c r="I22" i="142"/>
  <c r="J50" i="35"/>
  <c r="G36" i="35"/>
  <c r="C61" i="129"/>
  <c r="D44" i="35"/>
  <c r="H44" i="35"/>
  <c r="H26" i="142"/>
  <c r="H26" i="35"/>
  <c r="I74" i="35"/>
  <c r="I74" i="142"/>
  <c r="J47" i="35"/>
  <c r="J47" i="142"/>
  <c r="J31" i="142"/>
  <c r="J31" i="35"/>
  <c r="K56" i="35"/>
  <c r="K42" i="35"/>
  <c r="K42" i="142"/>
  <c r="G19" i="35"/>
  <c r="S60" i="60"/>
  <c r="S3" i="137"/>
  <c r="AD45" i="60"/>
  <c r="C31" i="35"/>
  <c r="K1846" i="141"/>
  <c r="D43" i="35"/>
  <c r="F70" i="35"/>
  <c r="F50" i="35"/>
  <c r="H59" i="35"/>
  <c r="H57" i="35"/>
  <c r="O1531" i="141"/>
  <c r="H59" i="142"/>
  <c r="H43" i="35"/>
  <c r="I71" i="142"/>
  <c r="G22" i="35"/>
  <c r="K13" i="35"/>
  <c r="K13" i="142"/>
  <c r="C30" i="142"/>
  <c r="C15" i="35"/>
  <c r="O27" i="35"/>
  <c r="O27" i="142"/>
  <c r="O15" i="35"/>
  <c r="O15" i="142"/>
  <c r="P46" i="35"/>
  <c r="Z46" i="35"/>
  <c r="AB75" i="35"/>
  <c r="AB72" i="35"/>
  <c r="T75" i="35"/>
  <c r="AA75" i="35"/>
  <c r="O26" i="35"/>
  <c r="O26" i="142"/>
  <c r="O14" i="35"/>
  <c r="AA7" i="129"/>
  <c r="O43" i="35"/>
  <c r="O43" i="142"/>
  <c r="Q19" i="35"/>
  <c r="Q19" i="142"/>
  <c r="X13" i="136"/>
  <c r="AB55" i="136"/>
  <c r="AB60" i="136"/>
  <c r="AB61" i="136"/>
  <c r="C332" i="141"/>
  <c r="O334" i="141"/>
  <c r="V20" i="129"/>
  <c r="G332" i="141"/>
  <c r="C34" i="35"/>
  <c r="J69" i="35"/>
  <c r="I8" i="142"/>
  <c r="O42" i="35"/>
  <c r="J11" i="142"/>
  <c r="J33" i="142"/>
  <c r="J51" i="142"/>
  <c r="G9" i="142"/>
  <c r="G50" i="142"/>
  <c r="G16" i="142"/>
  <c r="G47" i="142"/>
  <c r="F61" i="60"/>
  <c r="G64" i="142"/>
  <c r="G44" i="142"/>
  <c r="G45" i="142"/>
  <c r="C70" i="142"/>
  <c r="C52" i="142"/>
  <c r="C37" i="142"/>
  <c r="B134" i="60"/>
  <c r="C50" i="142"/>
  <c r="C40" i="142"/>
  <c r="C23" i="142"/>
  <c r="C69" i="142"/>
  <c r="C53" i="142"/>
  <c r="C56" i="142"/>
  <c r="C14" i="142"/>
  <c r="V27" i="60"/>
  <c r="C494" i="141"/>
  <c r="O389" i="141"/>
  <c r="K14" i="142"/>
  <c r="N50" i="142"/>
  <c r="U6" i="137"/>
  <c r="V86" i="60"/>
  <c r="N41" i="142"/>
  <c r="N26" i="142"/>
  <c r="N37" i="142"/>
  <c r="M3" i="137"/>
  <c r="N36" i="142"/>
  <c r="N45" i="142"/>
  <c r="N70" i="35"/>
  <c r="N70" i="142"/>
  <c r="AB9" i="129"/>
  <c r="N69" i="142"/>
  <c r="BS99" i="54"/>
  <c r="AA118" i="60"/>
  <c r="N619" i="141"/>
  <c r="J604" i="141"/>
  <c r="L619" i="141"/>
  <c r="I614" i="141"/>
  <c r="O789" i="141"/>
  <c r="Q8" i="35"/>
  <c r="N610" i="141"/>
  <c r="J619" i="141"/>
  <c r="O841" i="141"/>
  <c r="Q60" i="35"/>
  <c r="L609" i="141"/>
  <c r="J587" i="141"/>
  <c r="D995" i="141"/>
  <c r="I610" i="141"/>
  <c r="K724" i="141"/>
  <c r="E1072" i="141"/>
  <c r="E1087" i="141"/>
  <c r="M4" i="18"/>
  <c r="E1226" i="141"/>
  <c r="E1241" i="141"/>
  <c r="K4" i="18"/>
  <c r="P57" i="129"/>
  <c r="P55" i="129"/>
  <c r="L603" i="141"/>
  <c r="D1691" i="141"/>
  <c r="D1706" i="141"/>
  <c r="E3" i="18"/>
  <c r="M33" i="142"/>
  <c r="M16" i="142"/>
  <c r="L3" i="137"/>
  <c r="M66" i="142"/>
  <c r="M23" i="142"/>
  <c r="M43" i="142"/>
  <c r="M13" i="142"/>
  <c r="M46" i="142"/>
  <c r="M22" i="142"/>
  <c r="M60" i="142"/>
  <c r="L62" i="60"/>
  <c r="L64" i="60"/>
  <c r="AD23" i="60"/>
  <c r="AM60" i="136"/>
  <c r="AM61" i="136"/>
  <c r="J494" i="141"/>
  <c r="I604" i="141"/>
  <c r="H995" i="141"/>
  <c r="H1010" i="141"/>
  <c r="N7" i="18"/>
  <c r="F1381" i="141"/>
  <c r="I587" i="141"/>
  <c r="H606" i="141"/>
  <c r="H604" i="141"/>
  <c r="H468" i="141"/>
  <c r="L4" i="149"/>
  <c r="M544" i="141"/>
  <c r="L545" i="141"/>
  <c r="H582" i="141"/>
  <c r="I1535" i="141"/>
  <c r="I1613" i="141"/>
  <c r="I1628" i="141"/>
  <c r="F8" i="18"/>
  <c r="H1613" i="141"/>
  <c r="M6" i="148"/>
  <c r="H467" i="141"/>
  <c r="F528" i="141"/>
  <c r="I619" i="141"/>
  <c r="H581" i="141"/>
  <c r="G570" i="141"/>
  <c r="L1072" i="141"/>
  <c r="L1087" i="141"/>
  <c r="M11" i="18"/>
  <c r="I506" i="141"/>
  <c r="F527" i="141"/>
  <c r="H619" i="141"/>
  <c r="H580" i="141"/>
  <c r="AD19" i="60"/>
  <c r="I461" i="141"/>
  <c r="I458" i="141"/>
  <c r="M524" i="141"/>
  <c r="F505" i="141"/>
  <c r="H614" i="141"/>
  <c r="H611" i="141"/>
  <c r="F724" i="141"/>
  <c r="D724" i="141"/>
  <c r="J1923" i="141"/>
  <c r="J1938" i="141"/>
  <c r="B9" i="18"/>
  <c r="F504" i="141"/>
  <c r="H787" i="141"/>
  <c r="P34" i="35"/>
  <c r="H461" i="141"/>
  <c r="D570" i="141"/>
  <c r="Q24" i="136"/>
  <c r="R24" i="136"/>
  <c r="Q44" i="136"/>
  <c r="E18" i="142"/>
  <c r="E22" i="142"/>
  <c r="E13" i="142"/>
  <c r="D64" i="60"/>
  <c r="D27" i="18"/>
  <c r="E74" i="142"/>
  <c r="E61" i="60"/>
  <c r="E60" i="142"/>
  <c r="E47" i="142"/>
  <c r="E50" i="142"/>
  <c r="E46" i="142"/>
  <c r="E40" i="142"/>
  <c r="D3" i="137"/>
  <c r="E54" i="142"/>
  <c r="E70" i="142"/>
  <c r="T56" i="60"/>
  <c r="H450" i="141"/>
  <c r="E461" i="141"/>
  <c r="E458" i="141"/>
  <c r="M530" i="141"/>
  <c r="L510" i="141"/>
  <c r="L508" i="141"/>
  <c r="B9" i="149"/>
  <c r="B38" i="149"/>
  <c r="I545" i="141"/>
  <c r="N614" i="141"/>
  <c r="N611" i="141"/>
  <c r="H610" i="141"/>
  <c r="D607" i="141"/>
  <c r="C915" i="141"/>
  <c r="F1535" i="141"/>
  <c r="E1613" i="141"/>
  <c r="U75" i="35"/>
  <c r="H433" i="141"/>
  <c r="J9" i="149"/>
  <c r="J38" i="149"/>
  <c r="C454" i="141"/>
  <c r="E10" i="149"/>
  <c r="E39" i="149"/>
  <c r="M528" i="141"/>
  <c r="B16" i="148"/>
  <c r="C16" i="148"/>
  <c r="L507" i="141"/>
  <c r="I544" i="141"/>
  <c r="H609" i="141"/>
  <c r="K1149" i="141"/>
  <c r="K1164" i="141"/>
  <c r="L10" i="18"/>
  <c r="K1226" i="141"/>
  <c r="K1241" i="141"/>
  <c r="K10" i="18"/>
  <c r="H428" i="141"/>
  <c r="C435" i="141"/>
  <c r="E7" i="149"/>
  <c r="E36" i="149"/>
  <c r="M526" i="141"/>
  <c r="B17" i="148"/>
  <c r="C17" i="148"/>
  <c r="H543" i="141"/>
  <c r="O622" i="141"/>
  <c r="D417" i="141"/>
  <c r="M506" i="141"/>
  <c r="I526" i="141"/>
  <c r="N1149" i="141"/>
  <c r="N1164" i="141"/>
  <c r="L13" i="18"/>
  <c r="M1381" i="141"/>
  <c r="M1458" i="141"/>
  <c r="B21" i="148"/>
  <c r="C21" i="148"/>
  <c r="L538" i="141"/>
  <c r="L535" i="141"/>
  <c r="I524" i="141"/>
  <c r="N606" i="141"/>
  <c r="L611" i="141"/>
  <c r="H602" i="141"/>
  <c r="C995" i="141"/>
  <c r="E452" i="141"/>
  <c r="M493" i="141"/>
  <c r="I511" i="141"/>
  <c r="H504" i="141"/>
  <c r="H621" i="141"/>
  <c r="H600" i="141"/>
  <c r="F995" i="141"/>
  <c r="AO60" i="136"/>
  <c r="AO61" i="136"/>
  <c r="E450" i="141"/>
  <c r="F55" i="129"/>
  <c r="BW102" i="53"/>
  <c r="G4" i="149"/>
  <c r="E448" i="141"/>
  <c r="I505" i="141"/>
  <c r="E534" i="141"/>
  <c r="D611" i="141"/>
  <c r="J915" i="141"/>
  <c r="N1613" i="141"/>
  <c r="L1769" i="141"/>
  <c r="K1923" i="141"/>
  <c r="K1938" i="141"/>
  <c r="B10" i="18"/>
  <c r="BW109" i="49"/>
  <c r="E468" i="141"/>
  <c r="H453" i="141"/>
  <c r="E447" i="141"/>
  <c r="M534" i="141"/>
  <c r="E467" i="141"/>
  <c r="E430" i="141"/>
  <c r="C458" i="141"/>
  <c r="B13" i="148"/>
  <c r="C13" i="148"/>
  <c r="I538" i="141"/>
  <c r="E529" i="141"/>
  <c r="F647" i="141"/>
  <c r="E647" i="141"/>
  <c r="N995" i="141"/>
  <c r="J991" i="141"/>
  <c r="H1072" i="141"/>
  <c r="H1087" i="141"/>
  <c r="M7" i="18"/>
  <c r="Z89" i="60"/>
  <c r="E466" i="141"/>
  <c r="H451" i="141"/>
  <c r="E428" i="141"/>
  <c r="K494" i="141"/>
  <c r="E528" i="141"/>
  <c r="G688" i="141"/>
  <c r="L724" i="141"/>
  <c r="I1226" i="141"/>
  <c r="I1241" i="141"/>
  <c r="K8" i="18"/>
  <c r="H1304" i="141"/>
  <c r="H1458" i="141"/>
  <c r="D1613" i="141"/>
  <c r="I69" i="35"/>
  <c r="I67" i="35"/>
  <c r="I69" i="142"/>
  <c r="N17" i="35"/>
  <c r="AA15" i="35"/>
  <c r="F33" i="142"/>
  <c r="M25" i="35"/>
  <c r="M25" i="142"/>
  <c r="O1108" i="141"/>
  <c r="C25" i="35"/>
  <c r="C25" i="142"/>
  <c r="R16" i="35"/>
  <c r="Q30" i="136"/>
  <c r="R30" i="136"/>
  <c r="M36" i="35"/>
  <c r="M34" i="35"/>
  <c r="M36" i="142"/>
  <c r="G62" i="60"/>
  <c r="D150" i="60"/>
  <c r="G64" i="60"/>
  <c r="G66" i="60"/>
  <c r="N64" i="60"/>
  <c r="N3" i="137"/>
  <c r="O75" i="142"/>
  <c r="B64" i="60"/>
  <c r="B27" i="18"/>
  <c r="C10" i="142"/>
  <c r="B3" i="137"/>
  <c r="C41" i="142"/>
  <c r="M28" i="18"/>
  <c r="E64" i="60"/>
  <c r="E27" i="18"/>
  <c r="T10" i="137"/>
  <c r="L524" i="141"/>
  <c r="I527" i="141"/>
  <c r="H545" i="141"/>
  <c r="F529" i="141"/>
  <c r="F583" i="141"/>
  <c r="K449" i="141"/>
  <c r="L448" i="141"/>
  <c r="I33" i="149"/>
  <c r="H544" i="141"/>
  <c r="H505" i="141"/>
  <c r="F582" i="141"/>
  <c r="C584" i="141"/>
  <c r="N724" i="141"/>
  <c r="N991" i="141"/>
  <c r="M1613" i="141"/>
  <c r="M1628" i="141"/>
  <c r="F12" i="18"/>
  <c r="L1691" i="141"/>
  <c r="H1769" i="141"/>
  <c r="H1784" i="141"/>
  <c r="D7" i="18"/>
  <c r="G1769" i="141"/>
  <c r="G1784" i="141"/>
  <c r="D6" i="18"/>
  <c r="K450" i="141"/>
  <c r="L449" i="141"/>
  <c r="K451" i="141"/>
  <c r="L450" i="141"/>
  <c r="L602" i="141"/>
  <c r="K570" i="141"/>
  <c r="I609" i="141"/>
  <c r="H620" i="141"/>
  <c r="H603" i="141"/>
  <c r="I1072" i="141"/>
  <c r="I1087" i="141"/>
  <c r="M8" i="18"/>
  <c r="G1304" i="141"/>
  <c r="G1381" i="141"/>
  <c r="C1535" i="141"/>
  <c r="I1769" i="141"/>
  <c r="I1784" i="141"/>
  <c r="D8" i="18"/>
  <c r="L451" i="141"/>
  <c r="AB56" i="60"/>
  <c r="H447" i="141"/>
  <c r="M533" i="141"/>
  <c r="H534" i="141"/>
  <c r="C541" i="141"/>
  <c r="C609" i="141"/>
  <c r="C607" i="141"/>
  <c r="J724" i="141"/>
  <c r="H724" i="141"/>
  <c r="K427" i="141"/>
  <c r="K453" i="141"/>
  <c r="CA91" i="61"/>
  <c r="I456" i="141"/>
  <c r="I606" i="141"/>
  <c r="H601" i="141"/>
  <c r="H844" i="141"/>
  <c r="H842" i="141"/>
  <c r="J1381" i="141"/>
  <c r="I1458" i="141"/>
  <c r="E1535" i="141"/>
  <c r="K1769" i="141"/>
  <c r="Q60" i="60"/>
  <c r="Q61" i="60"/>
  <c r="K428" i="141"/>
  <c r="K456" i="141"/>
  <c r="L427" i="141"/>
  <c r="L453" i="141"/>
  <c r="Z88" i="60"/>
  <c r="T62" i="60"/>
  <c r="H429" i="141"/>
  <c r="M512" i="141"/>
  <c r="C7" i="149"/>
  <c r="C36" i="149"/>
  <c r="K429" i="141"/>
  <c r="K457" i="141"/>
  <c r="L428" i="141"/>
  <c r="L456" i="141"/>
  <c r="C85" i="60"/>
  <c r="H530" i="141"/>
  <c r="E504" i="141"/>
  <c r="I620" i="141"/>
  <c r="I602" i="141"/>
  <c r="H587" i="141"/>
  <c r="D598" i="141"/>
  <c r="N647" i="141"/>
  <c r="J647" i="141"/>
  <c r="L1149" i="141"/>
  <c r="L1164" i="141"/>
  <c r="L11" i="18"/>
  <c r="L1226" i="141"/>
  <c r="L1241" i="141"/>
  <c r="K11" i="18"/>
  <c r="K1304" i="141"/>
  <c r="G1535" i="141"/>
  <c r="K430" i="141"/>
  <c r="K461" i="141"/>
  <c r="K458" i="141"/>
  <c r="L429" i="141"/>
  <c r="L457" i="141"/>
  <c r="Z13" i="60"/>
  <c r="Z27" i="60"/>
  <c r="J4" i="149"/>
  <c r="I467" i="141"/>
  <c r="N435" i="141"/>
  <c r="P7" i="149"/>
  <c r="P36" i="149"/>
  <c r="I534" i="141"/>
  <c r="H529" i="141"/>
  <c r="G537" i="141"/>
  <c r="F543" i="141"/>
  <c r="F541" i="141"/>
  <c r="G610" i="141"/>
  <c r="K844" i="141"/>
  <c r="K842" i="141"/>
  <c r="N1072" i="141"/>
  <c r="N1087" i="141"/>
  <c r="M13" i="18"/>
  <c r="N1226" i="141"/>
  <c r="N1241" i="141"/>
  <c r="K13" i="18"/>
  <c r="M1226" i="141"/>
  <c r="M1241" i="141"/>
  <c r="K12" i="18"/>
  <c r="M1304" i="141"/>
  <c r="M1319" i="141"/>
  <c r="J12" i="18"/>
  <c r="L1304" i="141"/>
  <c r="H1535" i="141"/>
  <c r="G1613" i="141"/>
  <c r="C1769" i="141"/>
  <c r="C1784" i="141"/>
  <c r="D2" i="18"/>
  <c r="K433" i="141"/>
  <c r="K416" i="141"/>
  <c r="L430" i="141"/>
  <c r="L461" i="141"/>
  <c r="Z47" i="35"/>
  <c r="T134" i="60"/>
  <c r="I466" i="141"/>
  <c r="AB27" i="60"/>
  <c r="I451" i="141"/>
  <c r="H528" i="141"/>
  <c r="G543" i="141"/>
  <c r="I583" i="141"/>
  <c r="H915" i="141"/>
  <c r="L433" i="141"/>
  <c r="N9" i="149"/>
  <c r="N38" i="149"/>
  <c r="L466" i="141"/>
  <c r="P25" i="148"/>
  <c r="H417" i="141"/>
  <c r="I434" i="141"/>
  <c r="L530" i="141"/>
  <c r="I530" i="141"/>
  <c r="H538" i="141"/>
  <c r="H535" i="141"/>
  <c r="H527" i="141"/>
  <c r="G604" i="141"/>
  <c r="F606" i="141"/>
  <c r="N688" i="141"/>
  <c r="L688" i="141"/>
  <c r="K688" i="141"/>
  <c r="J688" i="141"/>
  <c r="I688" i="141"/>
  <c r="J995" i="141"/>
  <c r="I995" i="141"/>
  <c r="I1010" i="141"/>
  <c r="N8" i="18"/>
  <c r="C1072" i="141"/>
  <c r="C1087" i="141"/>
  <c r="M2" i="18"/>
  <c r="N1381" i="141"/>
  <c r="N1458" i="141"/>
  <c r="K1535" i="141"/>
  <c r="J1535" i="141"/>
  <c r="F1691" i="141"/>
  <c r="K447" i="141"/>
  <c r="L434" i="141"/>
  <c r="L467" i="141"/>
  <c r="P4" i="149"/>
  <c r="H435" i="141"/>
  <c r="J7" i="149"/>
  <c r="J36" i="149"/>
  <c r="I430" i="141"/>
  <c r="D458" i="141"/>
  <c r="M538" i="141"/>
  <c r="M535" i="141"/>
  <c r="M511" i="141"/>
  <c r="L525" i="141"/>
  <c r="I528" i="141"/>
  <c r="H526" i="141"/>
  <c r="F530" i="141"/>
  <c r="G581" i="141"/>
  <c r="C611" i="141"/>
  <c r="C598" i="141"/>
  <c r="L919" i="141"/>
  <c r="L995" i="141"/>
  <c r="L1010" i="141"/>
  <c r="N11" i="18"/>
  <c r="D1149" i="141"/>
  <c r="D1164" i="141"/>
  <c r="L3" i="18"/>
  <c r="D1381" i="141"/>
  <c r="C1458" i="141"/>
  <c r="L1535" i="141"/>
  <c r="G1691" i="141"/>
  <c r="G1706" i="141"/>
  <c r="E6" i="18"/>
  <c r="L447" i="141"/>
  <c r="CA113" i="54"/>
  <c r="Q13" i="136"/>
  <c r="Z15" i="35"/>
  <c r="P64" i="60"/>
  <c r="Q45" i="142"/>
  <c r="Q51" i="142"/>
  <c r="Q37" i="142"/>
  <c r="Q12" i="142"/>
  <c r="Q31" i="142"/>
  <c r="Q53" i="142"/>
  <c r="Q36" i="142"/>
  <c r="Q11" i="142"/>
  <c r="Q16" i="142"/>
  <c r="Q74" i="142"/>
  <c r="P134" i="60"/>
  <c r="Q75" i="142"/>
  <c r="Q52" i="142"/>
  <c r="Q25" i="142"/>
  <c r="P3" i="137"/>
  <c r="Q30" i="142"/>
  <c r="Q69" i="142"/>
  <c r="P61" i="60"/>
  <c r="P62" i="60"/>
  <c r="Q17" i="142"/>
  <c r="Q33" i="142"/>
  <c r="Q23" i="142"/>
  <c r="Q18" i="142"/>
  <c r="Q15" i="142"/>
  <c r="Q47" i="142"/>
  <c r="Q14" i="142"/>
  <c r="O64" i="60"/>
  <c r="O27" i="18"/>
  <c r="P13" i="142"/>
  <c r="P9" i="142"/>
  <c r="O61" i="60"/>
  <c r="P17" i="142"/>
  <c r="O62" i="60"/>
  <c r="P22" i="142"/>
  <c r="P23" i="142"/>
  <c r="O134" i="60"/>
  <c r="P32" i="142"/>
  <c r="O3" i="137"/>
  <c r="P69" i="142"/>
  <c r="P36" i="142"/>
  <c r="P71" i="142"/>
  <c r="P40" i="142"/>
  <c r="P64" i="142"/>
  <c r="P33" i="142"/>
  <c r="P50" i="142"/>
  <c r="P37" i="142"/>
  <c r="P14" i="142"/>
  <c r="P46" i="142"/>
  <c r="AC60" i="60"/>
  <c r="P51" i="142"/>
  <c r="P19" i="142"/>
  <c r="P47" i="142"/>
  <c r="P16" i="142"/>
  <c r="P18" i="142"/>
  <c r="B32" i="137"/>
  <c r="C32" i="137"/>
  <c r="P45" i="142"/>
  <c r="Z37" i="35"/>
  <c r="Q35" i="136"/>
  <c r="S34" i="35"/>
  <c r="Z82" i="136"/>
  <c r="X82" i="136"/>
  <c r="AK82" i="136"/>
  <c r="Y82" i="136"/>
  <c r="AC82" i="136"/>
  <c r="AA82" i="136"/>
  <c r="AI82" i="136"/>
  <c r="AG82" i="136"/>
  <c r="AD82" i="136"/>
  <c r="AB82" i="136"/>
  <c r="AQ82" i="136"/>
  <c r="AR82" i="136"/>
  <c r="AE82" i="136"/>
  <c r="AH82" i="136"/>
  <c r="AJ82" i="136"/>
  <c r="AF82" i="136"/>
  <c r="W82" i="136"/>
  <c r="Q28" i="136"/>
  <c r="R28" i="136"/>
  <c r="U74" i="35"/>
  <c r="D244" i="136"/>
  <c r="Z92" i="60"/>
  <c r="Z21" i="60"/>
  <c r="Z134" i="60"/>
  <c r="AM55" i="136"/>
  <c r="AN60" i="136"/>
  <c r="AN61" i="136"/>
  <c r="BA69" i="136"/>
  <c r="AZ70" i="136"/>
  <c r="AQ68" i="136"/>
  <c r="T46" i="60"/>
  <c r="CA66" i="45"/>
  <c r="CA68" i="45"/>
  <c r="E457" i="141"/>
  <c r="E433" i="141"/>
  <c r="G9" i="149"/>
  <c r="G38" i="149"/>
  <c r="L512" i="141"/>
  <c r="B7" i="149"/>
  <c r="B36" i="149"/>
  <c r="I529" i="141"/>
  <c r="G510" i="141"/>
  <c r="F533" i="141"/>
  <c r="F507" i="141"/>
  <c r="D535" i="141"/>
  <c r="G587" i="141"/>
  <c r="D617" i="141"/>
  <c r="I769" i="141"/>
  <c r="F919" i="141"/>
  <c r="G1072" i="141"/>
  <c r="G1087" i="141"/>
  <c r="M6" i="18"/>
  <c r="F1072" i="141"/>
  <c r="F1087" i="141"/>
  <c r="M5" i="18"/>
  <c r="K1613" i="141"/>
  <c r="K1628" i="141"/>
  <c r="F10" i="18"/>
  <c r="E1691" i="141"/>
  <c r="E1706" i="141"/>
  <c r="E4" i="18"/>
  <c r="E1769" i="141"/>
  <c r="E1784" i="141"/>
  <c r="D4" i="18"/>
  <c r="S46" i="60"/>
  <c r="T64" i="60"/>
  <c r="T66" i="60"/>
  <c r="L587" i="141"/>
  <c r="I603" i="141"/>
  <c r="I570" i="141"/>
  <c r="G586" i="141"/>
  <c r="I647" i="141"/>
  <c r="H769" i="141"/>
  <c r="H765" i="141"/>
  <c r="M919" i="141"/>
  <c r="I1381" i="141"/>
  <c r="I1396" i="141"/>
  <c r="I8" i="18"/>
  <c r="E1458" i="141"/>
  <c r="H1691" i="141"/>
  <c r="H1706" i="141"/>
  <c r="E7" i="18"/>
  <c r="J1769" i="141"/>
  <c r="J1784" i="141"/>
  <c r="D9" i="18"/>
  <c r="N4" i="149"/>
  <c r="H456" i="141"/>
  <c r="H454" i="141"/>
  <c r="J10" i="149"/>
  <c r="J39" i="149"/>
  <c r="I450" i="141"/>
  <c r="E427" i="141"/>
  <c r="I601" i="141"/>
  <c r="G583" i="141"/>
  <c r="F570" i="141"/>
  <c r="F915" i="141"/>
  <c r="D919" i="141"/>
  <c r="J1072" i="141"/>
  <c r="G1149" i="141"/>
  <c r="G1164" i="141"/>
  <c r="L6" i="18"/>
  <c r="N1304" i="141"/>
  <c r="N1319" i="141"/>
  <c r="J13" i="18"/>
  <c r="K1381" i="141"/>
  <c r="F1458" i="141"/>
  <c r="J1691" i="141"/>
  <c r="J1706" i="141"/>
  <c r="E9" i="18"/>
  <c r="I448" i="141"/>
  <c r="D508" i="141"/>
  <c r="I600" i="141"/>
  <c r="G609" i="141"/>
  <c r="G582" i="141"/>
  <c r="F610" i="141"/>
  <c r="F688" i="141"/>
  <c r="L769" i="141"/>
  <c r="C919" i="141"/>
  <c r="K995" i="141"/>
  <c r="K1072" i="141"/>
  <c r="K1087" i="141"/>
  <c r="M10" i="18"/>
  <c r="I1149" i="141"/>
  <c r="I1164" i="141"/>
  <c r="L8" i="18"/>
  <c r="H1149" i="141"/>
  <c r="H1164" i="141"/>
  <c r="L7" i="18"/>
  <c r="D1226" i="141"/>
  <c r="D1241" i="141"/>
  <c r="K3" i="18"/>
  <c r="L1381" i="141"/>
  <c r="G1458" i="141"/>
  <c r="M1691" i="141"/>
  <c r="M1706" i="141"/>
  <c r="E12" i="18"/>
  <c r="P33" i="149"/>
  <c r="O4" i="149"/>
  <c r="D531" i="141"/>
  <c r="I586" i="141"/>
  <c r="H570" i="141"/>
  <c r="G606" i="141"/>
  <c r="G580" i="141"/>
  <c r="M844" i="141"/>
  <c r="M842" i="141"/>
  <c r="M995" i="141"/>
  <c r="K991" i="141"/>
  <c r="G995" i="141"/>
  <c r="E995" i="141"/>
  <c r="E1010" i="141"/>
  <c r="N4" i="18"/>
  <c r="M1072" i="141"/>
  <c r="M1087" i="141"/>
  <c r="M12" i="18"/>
  <c r="J1149" i="141"/>
  <c r="J1164" i="141"/>
  <c r="L9" i="18"/>
  <c r="H1226" i="141"/>
  <c r="H1241" i="141"/>
  <c r="K7" i="18"/>
  <c r="G1226" i="141"/>
  <c r="G1241" i="141"/>
  <c r="K6" i="18"/>
  <c r="D1304" i="141"/>
  <c r="C1304" i="141"/>
  <c r="K1458" i="141"/>
  <c r="K1473" i="141"/>
  <c r="H10" i="18"/>
  <c r="J1458" i="141"/>
  <c r="C1613" i="141"/>
  <c r="F38" i="149"/>
  <c r="E451" i="141"/>
  <c r="E416" i="141"/>
  <c r="H511" i="141"/>
  <c r="G534" i="141"/>
  <c r="F526" i="141"/>
  <c r="P26" i="148"/>
  <c r="Q26" i="148"/>
  <c r="L435" i="141"/>
  <c r="N7" i="149"/>
  <c r="N36" i="149"/>
  <c r="G453" i="141"/>
  <c r="L493" i="141"/>
  <c r="I504" i="141"/>
  <c r="H506" i="141"/>
  <c r="F525" i="141"/>
  <c r="D502" i="141"/>
  <c r="L610" i="141"/>
  <c r="I582" i="141"/>
  <c r="G621" i="141"/>
  <c r="G603" i="141"/>
  <c r="M647" i="141"/>
  <c r="E688" i="141"/>
  <c r="G838" i="141"/>
  <c r="M1149" i="141"/>
  <c r="M1164" i="141"/>
  <c r="L12" i="18"/>
  <c r="J1226" i="141"/>
  <c r="J1241" i="141"/>
  <c r="K9" i="18"/>
  <c r="F1613" i="141"/>
  <c r="F4" i="149"/>
  <c r="AB21" i="60"/>
  <c r="AB28" i="60"/>
  <c r="AB26" i="60"/>
  <c r="AB38" i="60"/>
  <c r="AB125" i="60"/>
  <c r="J435" i="141"/>
  <c r="L7" i="149"/>
  <c r="L36" i="149"/>
  <c r="G528" i="141"/>
  <c r="F524" i="141"/>
  <c r="I581" i="141"/>
  <c r="G619" i="141"/>
  <c r="G602" i="141"/>
  <c r="I919" i="141"/>
  <c r="C1381" i="141"/>
  <c r="L533" i="141"/>
  <c r="G524" i="141"/>
  <c r="F511" i="141"/>
  <c r="I621" i="141"/>
  <c r="G601" i="141"/>
  <c r="F586" i="141"/>
  <c r="J769" i="141"/>
  <c r="J765" i="141"/>
  <c r="L1923" i="141"/>
  <c r="L1938" i="141"/>
  <c r="B11" i="18"/>
  <c r="AP57" i="136"/>
  <c r="AR57" i="136"/>
  <c r="AA89" i="60"/>
  <c r="G511" i="141"/>
  <c r="F534" i="141"/>
  <c r="C502" i="141"/>
  <c r="G614" i="141"/>
  <c r="G611" i="141"/>
  <c r="N769" i="141"/>
  <c r="D1072" i="141"/>
  <c r="D1087" i="141"/>
  <c r="J1304" i="141"/>
  <c r="I1304" i="141"/>
  <c r="E1381" i="141"/>
  <c r="J1613" i="141"/>
  <c r="J1628" i="141"/>
  <c r="F9" i="18"/>
  <c r="N1769" i="141"/>
  <c r="D1769" i="141"/>
  <c r="D1784" i="141"/>
  <c r="D3" i="18"/>
  <c r="N1923" i="141"/>
  <c r="N1938" i="141"/>
  <c r="B13" i="18"/>
  <c r="J27" i="126"/>
  <c r="Q27" i="126"/>
  <c r="G27" i="126"/>
  <c r="C48" i="28"/>
  <c r="C47" i="28"/>
  <c r="C43" i="28"/>
  <c r="D15" i="126"/>
  <c r="E15" i="126"/>
  <c r="L26" i="124"/>
  <c r="L28" i="124"/>
  <c r="D29" i="124"/>
  <c r="N26" i="124"/>
  <c r="N28" i="124"/>
  <c r="H26" i="124"/>
  <c r="H28" i="124"/>
  <c r="J26" i="124"/>
  <c r="J28" i="124"/>
  <c r="Z33" i="35"/>
  <c r="Q31" i="136"/>
  <c r="R31" i="136"/>
  <c r="BS91" i="61"/>
  <c r="AA61" i="60"/>
  <c r="AA64" i="60"/>
  <c r="AB114" i="60"/>
  <c r="Z64" i="60"/>
  <c r="Z117" i="60"/>
  <c r="Z130" i="60"/>
  <c r="AD11" i="60"/>
  <c r="H427" i="141"/>
  <c r="I447" i="141"/>
  <c r="F430" i="141"/>
  <c r="C431" i="141"/>
  <c r="AR58" i="136"/>
  <c r="I457" i="141"/>
  <c r="I449" i="141"/>
  <c r="I468" i="141"/>
  <c r="AE11" i="60"/>
  <c r="AB118" i="60"/>
  <c r="H449" i="141"/>
  <c r="I433" i="141"/>
  <c r="K9" i="149"/>
  <c r="K38" i="149"/>
  <c r="E429" i="141"/>
  <c r="E453" i="141"/>
  <c r="H448" i="141"/>
  <c r="G457" i="141"/>
  <c r="E434" i="141"/>
  <c r="AQ60" i="136"/>
  <c r="AQ61" i="136"/>
  <c r="I429" i="141"/>
  <c r="N526" i="141"/>
  <c r="H434" i="141"/>
  <c r="I453" i="141"/>
  <c r="I428" i="141"/>
  <c r="I427" i="141"/>
  <c r="M527" i="141"/>
  <c r="M543" i="141"/>
  <c r="M505" i="141"/>
  <c r="M529" i="141"/>
  <c r="M545" i="141"/>
  <c r="M507" i="141"/>
  <c r="M510" i="141"/>
  <c r="M525" i="141"/>
  <c r="L506" i="141"/>
  <c r="K533" i="141"/>
  <c r="E526" i="141"/>
  <c r="E544" i="141"/>
  <c r="L544" i="141"/>
  <c r="L529" i="141"/>
  <c r="L505" i="141"/>
  <c r="G533" i="141"/>
  <c r="E527" i="141"/>
  <c r="N586" i="141"/>
  <c r="N587" i="141"/>
  <c r="N600" i="141"/>
  <c r="N580" i="141"/>
  <c r="N582" i="141"/>
  <c r="L543" i="141"/>
  <c r="L528" i="141"/>
  <c r="L504" i="141"/>
  <c r="J533" i="141"/>
  <c r="J510" i="141"/>
  <c r="I533" i="141"/>
  <c r="I510" i="141"/>
  <c r="H510" i="141"/>
  <c r="G507" i="141"/>
  <c r="E545" i="141"/>
  <c r="E525" i="141"/>
  <c r="L527" i="141"/>
  <c r="G506" i="141"/>
  <c r="E543" i="141"/>
  <c r="E524" i="141"/>
  <c r="L526" i="141"/>
  <c r="I507" i="141"/>
  <c r="H507" i="141"/>
  <c r="G530" i="141"/>
  <c r="G505" i="141"/>
  <c r="G538" i="141"/>
  <c r="G529" i="141"/>
  <c r="G504" i="141"/>
  <c r="E511" i="141"/>
  <c r="E510" i="141"/>
  <c r="G526" i="141"/>
  <c r="E533" i="141"/>
  <c r="G544" i="141"/>
  <c r="N602" i="141"/>
  <c r="M570" i="141"/>
  <c r="I543" i="141"/>
  <c r="E530" i="141"/>
  <c r="L601" i="141"/>
  <c r="L844" i="141"/>
  <c r="L842" i="141"/>
  <c r="L600" i="141"/>
  <c r="F587" i="141"/>
  <c r="I844" i="141"/>
  <c r="I842" i="141"/>
  <c r="D844" i="141"/>
  <c r="D842" i="141"/>
  <c r="F769" i="141"/>
  <c r="D769" i="141"/>
  <c r="N844" i="141"/>
  <c r="N842" i="141"/>
  <c r="F844" i="141"/>
  <c r="F842" i="141"/>
  <c r="C844" i="141"/>
  <c r="L583" i="141"/>
  <c r="L582" i="141"/>
  <c r="K587" i="141"/>
  <c r="F619" i="141"/>
  <c r="F604" i="141"/>
  <c r="F580" i="141"/>
  <c r="L606" i="141"/>
  <c r="L581" i="141"/>
  <c r="L621" i="141"/>
  <c r="L617" i="141"/>
  <c r="L604" i="141"/>
  <c r="J844" i="141"/>
  <c r="J842" i="141"/>
  <c r="E844" i="141"/>
  <c r="E842" i="141"/>
  <c r="E857" i="141"/>
  <c r="P4" i="18"/>
  <c r="K769" i="141"/>
  <c r="K765" i="141"/>
  <c r="G769" i="141"/>
  <c r="G765" i="141"/>
  <c r="E769" i="141"/>
  <c r="E765" i="141"/>
  <c r="C769" i="141"/>
  <c r="C765" i="141"/>
  <c r="E346" i="141"/>
  <c r="Q44" i="142"/>
  <c r="O655" i="141"/>
  <c r="Q29" i="136"/>
  <c r="R29" i="136"/>
  <c r="N431" i="141"/>
  <c r="N65" i="142"/>
  <c r="J65" i="60"/>
  <c r="Q92" i="60"/>
  <c r="U47" i="35"/>
  <c r="T47" i="35"/>
  <c r="AA47" i="35"/>
  <c r="G8" i="142"/>
  <c r="H65" i="136"/>
  <c r="Q65" i="142"/>
  <c r="AD91" i="60"/>
  <c r="P16" i="18"/>
  <c r="O9" i="149"/>
  <c r="O38" i="149"/>
  <c r="E8" i="35"/>
  <c r="D131" i="60"/>
  <c r="M9" i="149"/>
  <c r="K454" i="141"/>
  <c r="M10" i="149"/>
  <c r="J68" i="136"/>
  <c r="E13" i="18"/>
  <c r="I342" i="141"/>
  <c r="I376" i="141"/>
  <c r="I375" i="141"/>
  <c r="I374" i="141"/>
  <c r="I372" i="141"/>
  <c r="I371" i="141"/>
  <c r="I368" i="141"/>
  <c r="I366" i="141"/>
  <c r="I365" i="141"/>
  <c r="I364" i="141"/>
  <c r="I363" i="141"/>
  <c r="I362" i="141"/>
  <c r="I349" i="141"/>
  <c r="I348" i="141"/>
  <c r="I345" i="141"/>
  <c r="I344" i="141"/>
  <c r="I343" i="141"/>
  <c r="H349" i="141"/>
  <c r="H348" i="141"/>
  <c r="H345" i="141"/>
  <c r="H344" i="141"/>
  <c r="H343" i="141"/>
  <c r="CM239" i="53"/>
  <c r="CM118" i="49"/>
  <c r="CN118" i="49"/>
  <c r="CN19" i="53"/>
  <c r="CN14" i="53"/>
  <c r="CN13" i="53"/>
  <c r="CN12" i="53"/>
  <c r="CN15" i="53"/>
  <c r="CN16" i="53"/>
  <c r="CN17" i="53"/>
  <c r="CN18" i="53"/>
  <c r="L300" i="141"/>
  <c r="L296" i="141"/>
  <c r="K300" i="141"/>
  <c r="K296" i="141"/>
  <c r="K215" i="141"/>
  <c r="K211" i="141"/>
  <c r="K210" i="141"/>
  <c r="K207" i="141"/>
  <c r="K205" i="141"/>
  <c r="K204" i="141"/>
  <c r="K203" i="141"/>
  <c r="K202" i="141"/>
  <c r="K201" i="141"/>
  <c r="K188" i="141"/>
  <c r="K187" i="141"/>
  <c r="K184" i="141"/>
  <c r="K183" i="141"/>
  <c r="K182" i="141"/>
  <c r="K170" i="141"/>
  <c r="E215" i="141"/>
  <c r="E170" i="141"/>
  <c r="F170" i="141"/>
  <c r="N211" i="141"/>
  <c r="N208" i="141"/>
  <c r="M211" i="141"/>
  <c r="M208" i="141"/>
  <c r="L211" i="141"/>
  <c r="L208" i="141"/>
  <c r="J211" i="141"/>
  <c r="G170" i="141"/>
  <c r="G207" i="141"/>
  <c r="G205" i="141"/>
  <c r="G204" i="141"/>
  <c r="G203" i="141"/>
  <c r="G202" i="141"/>
  <c r="G201" i="141"/>
  <c r="G199" i="141"/>
  <c r="CM104" i="55"/>
  <c r="K208" i="141"/>
  <c r="K199" i="141"/>
  <c r="K185" i="141"/>
  <c r="K179" i="141"/>
  <c r="CN17" i="52"/>
  <c r="CN16" i="52"/>
  <c r="CN15" i="52"/>
  <c r="I290" i="141"/>
  <c r="I300" i="141"/>
  <c r="I296" i="141"/>
  <c r="I292" i="141"/>
  <c r="I291" i="141"/>
  <c r="I288" i="141"/>
  <c r="CN21" i="51"/>
  <c r="CN19" i="51"/>
  <c r="CN13" i="51"/>
  <c r="CN12" i="51"/>
  <c r="CN10" i="51"/>
  <c r="CN11" i="51"/>
  <c r="CN14" i="51"/>
  <c r="CN15" i="51"/>
  <c r="CN16" i="51"/>
  <c r="CN18" i="51"/>
  <c r="CN20" i="51"/>
  <c r="CN22" i="51"/>
  <c r="N7" i="162"/>
  <c r="CM15" i="50"/>
  <c r="D23" i="162"/>
  <c r="D25" i="162"/>
  <c r="D28" i="162"/>
  <c r="D27" i="162"/>
  <c r="N14" i="162"/>
  <c r="CN17" i="50"/>
  <c r="H292" i="141"/>
  <c r="H300" i="141"/>
  <c r="H296" i="141"/>
  <c r="CF18" i="52"/>
  <c r="CN14" i="52"/>
  <c r="CM29" i="52"/>
  <c r="G292" i="141"/>
  <c r="G300" i="141"/>
  <c r="G296" i="141"/>
  <c r="F215" i="141"/>
  <c r="F211" i="141"/>
  <c r="F210" i="141"/>
  <c r="O215" i="141"/>
  <c r="F208" i="141"/>
  <c r="F207" i="141"/>
  <c r="F205" i="141"/>
  <c r="F204" i="141"/>
  <c r="F203" i="141"/>
  <c r="F202" i="141"/>
  <c r="F201" i="141"/>
  <c r="F199" i="141"/>
  <c r="F184" i="141"/>
  <c r="F183" i="141"/>
  <c r="F182" i="141"/>
  <c r="F179" i="141"/>
  <c r="F291" i="141"/>
  <c r="F300" i="141"/>
  <c r="F296" i="141"/>
  <c r="F292" i="141"/>
  <c r="F290" i="141"/>
  <c r="F288" i="141"/>
  <c r="W28" i="60"/>
  <c r="W26" i="60"/>
  <c r="W27" i="60"/>
  <c r="W89" i="60"/>
  <c r="W88" i="60"/>
  <c r="W86" i="60"/>
  <c r="AC91" i="60"/>
  <c r="V62" i="60"/>
  <c r="D153" i="60"/>
  <c r="N176" i="60"/>
  <c r="AA27" i="60"/>
  <c r="E211" i="141"/>
  <c r="E210" i="141"/>
  <c r="E208" i="141"/>
  <c r="E207" i="141"/>
  <c r="O206" i="141"/>
  <c r="E205" i="141"/>
  <c r="E204" i="141"/>
  <c r="E203" i="141"/>
  <c r="E202" i="141"/>
  <c r="E201" i="141"/>
  <c r="E184" i="141"/>
  <c r="E183" i="141"/>
  <c r="E182" i="141"/>
  <c r="E181" i="141"/>
  <c r="E292" i="141"/>
  <c r="E300" i="141"/>
  <c r="E296" i="141"/>
  <c r="E188" i="141"/>
  <c r="E187" i="141"/>
  <c r="D256" i="141"/>
  <c r="D285" i="141"/>
  <c r="D15" i="162"/>
  <c r="B15" i="162"/>
  <c r="B29" i="162"/>
  <c r="B30" i="162"/>
  <c r="G15" i="162"/>
  <c r="C284" i="141"/>
  <c r="C276" i="141"/>
  <c r="C285" i="141"/>
  <c r="K110" i="49"/>
  <c r="CI102" i="55"/>
  <c r="E287" i="141"/>
  <c r="G287" i="141"/>
  <c r="I287" i="141"/>
  <c r="I285" i="141"/>
  <c r="F346" i="141"/>
  <c r="E288" i="141"/>
  <c r="G288" i="141"/>
  <c r="E290" i="141"/>
  <c r="G290" i="141"/>
  <c r="CI78" i="50"/>
  <c r="CI137" i="50"/>
  <c r="CI139" i="50"/>
  <c r="E291" i="141"/>
  <c r="G291" i="141"/>
  <c r="AM80" i="61"/>
  <c r="R31" i="125"/>
  <c r="AQ99" i="50"/>
  <c r="F28" i="126"/>
  <c r="Q28" i="126"/>
  <c r="C381" i="141"/>
  <c r="M381" i="141"/>
  <c r="D212" i="141"/>
  <c r="N212" i="141"/>
  <c r="M59" i="129"/>
  <c r="AA44" i="35"/>
  <c r="N366" i="141"/>
  <c r="CI103" i="44"/>
  <c r="F287" i="141"/>
  <c r="F285" i="141"/>
  <c r="H287" i="141"/>
  <c r="CI131" i="54"/>
  <c r="H10" i="142"/>
  <c r="H288" i="141"/>
  <c r="Q62" i="60"/>
  <c r="R74" i="129"/>
  <c r="H290" i="141"/>
  <c r="S74" i="129"/>
  <c r="H291" i="141"/>
  <c r="L7" i="162"/>
  <c r="CI11" i="53"/>
  <c r="CJ12" i="53"/>
  <c r="L295" i="141"/>
  <c r="L292" i="141"/>
  <c r="L291" i="141"/>
  <c r="L290" i="141"/>
  <c r="L288" i="141"/>
  <c r="L287" i="141"/>
  <c r="L285" i="141"/>
  <c r="L284" i="141"/>
  <c r="L283" i="141"/>
  <c r="L282" i="141"/>
  <c r="L281" i="141"/>
  <c r="L280" i="141"/>
  <c r="L279" i="141"/>
  <c r="L278" i="141"/>
  <c r="L265" i="141"/>
  <c r="L264" i="141"/>
  <c r="L262" i="141"/>
  <c r="L261" i="141"/>
  <c r="L260" i="141"/>
  <c r="L259" i="141"/>
  <c r="L258" i="141"/>
  <c r="L248" i="141"/>
  <c r="L331" i="141"/>
  <c r="K292" i="141"/>
  <c r="K291" i="141"/>
  <c r="K290" i="141"/>
  <c r="O289" i="141"/>
  <c r="K288" i="141"/>
  <c r="K287" i="141"/>
  <c r="J381" i="141"/>
  <c r="L212" i="141"/>
  <c r="F171" i="141"/>
  <c r="N135" i="141"/>
  <c r="R88" i="141" s="1"/>
  <c r="O55" i="129"/>
  <c r="F46" i="129"/>
  <c r="K32" i="129"/>
  <c r="D67" i="35"/>
  <c r="O1122" i="141"/>
  <c r="L17" i="142"/>
  <c r="I15" i="142"/>
  <c r="C464" i="141"/>
  <c r="C417" i="141"/>
  <c r="K247" i="141"/>
  <c r="O247" i="141"/>
  <c r="K295" i="141"/>
  <c r="K293" i="141"/>
  <c r="K284" i="141"/>
  <c r="K283" i="141"/>
  <c r="K282" i="141"/>
  <c r="K281" i="141"/>
  <c r="K280" i="141"/>
  <c r="K279" i="141"/>
  <c r="K278" i="141"/>
  <c r="K265" i="141"/>
  <c r="K264" i="141"/>
  <c r="K262" i="141"/>
  <c r="K261" i="141"/>
  <c r="K260" i="141"/>
  <c r="K259" i="141"/>
  <c r="K258" i="141"/>
  <c r="K255" i="141"/>
  <c r="K254" i="141"/>
  <c r="CM142" i="50"/>
  <c r="I255" i="141"/>
  <c r="I254" i="141"/>
  <c r="I295" i="141"/>
  <c r="I284" i="141"/>
  <c r="I283" i="141"/>
  <c r="I282" i="141"/>
  <c r="I281" i="141"/>
  <c r="I280" i="141"/>
  <c r="I279" i="141"/>
  <c r="I278" i="141"/>
  <c r="I265" i="141"/>
  <c r="I264" i="141"/>
  <c r="I262" i="141"/>
  <c r="I261" i="141"/>
  <c r="I260" i="141"/>
  <c r="I259" i="141"/>
  <c r="I258" i="141"/>
  <c r="I256" i="141"/>
  <c r="CI17" i="52"/>
  <c r="J14" i="162"/>
  <c r="V18" i="129"/>
  <c r="R45" i="142"/>
  <c r="E33" i="142"/>
  <c r="J46" i="142"/>
  <c r="O1813" i="141"/>
  <c r="X134" i="60"/>
  <c r="C1846" i="141"/>
  <c r="C1861" i="141"/>
  <c r="C102" i="136"/>
  <c r="BW105" i="44"/>
  <c r="R26" i="142"/>
  <c r="E508" i="141"/>
  <c r="P10" i="142"/>
  <c r="E31" i="142"/>
  <c r="U92" i="60"/>
  <c r="W92" i="60"/>
  <c r="F457" i="141"/>
  <c r="O1145" i="141"/>
  <c r="M112" i="136"/>
  <c r="I11" i="142"/>
  <c r="I56" i="60"/>
  <c r="H134" i="60"/>
  <c r="G55" i="129"/>
  <c r="I32" i="129"/>
  <c r="D32" i="129"/>
  <c r="L1846" i="141"/>
  <c r="D51" i="142"/>
  <c r="N331" i="141"/>
  <c r="CI11" i="47"/>
  <c r="R50" i="142"/>
  <c r="I53" i="142"/>
  <c r="T55" i="35"/>
  <c r="Q24" i="142"/>
  <c r="X61" i="60"/>
  <c r="N529" i="141"/>
  <c r="I43" i="35"/>
  <c r="N365" i="141"/>
  <c r="CJ14" i="52"/>
  <c r="AU80" i="61"/>
  <c r="R36" i="142"/>
  <c r="P26" i="142"/>
  <c r="F434" i="141"/>
  <c r="R25" i="142"/>
  <c r="N545" i="141"/>
  <c r="N33" i="142"/>
  <c r="H12" i="142"/>
  <c r="F51" i="35"/>
  <c r="G212" i="141"/>
  <c r="F135" i="141"/>
  <c r="CJ15" i="52"/>
  <c r="L70" i="142"/>
  <c r="N511" i="141"/>
  <c r="BW111" i="49"/>
  <c r="M27" i="142"/>
  <c r="I41" i="142"/>
  <c r="P75" i="142"/>
  <c r="R56" i="142"/>
  <c r="N530" i="141"/>
  <c r="Q64" i="142"/>
  <c r="Q42" i="142"/>
  <c r="L464" i="141"/>
  <c r="L425" i="141"/>
  <c r="N8" i="149"/>
  <c r="N37" i="149"/>
  <c r="M531" i="141"/>
  <c r="C10" i="149"/>
  <c r="C39" i="149"/>
  <c r="N507" i="141"/>
  <c r="M12" i="142"/>
  <c r="C59" i="142"/>
  <c r="J12" i="142"/>
  <c r="B142" i="148"/>
  <c r="C142" i="148"/>
  <c r="B47" i="148"/>
  <c r="C47" i="148"/>
  <c r="I23" i="142"/>
  <c r="I10" i="137"/>
  <c r="Q40" i="142"/>
  <c r="Z60" i="136"/>
  <c r="C1149" i="141"/>
  <c r="C1164" i="141"/>
  <c r="L2" i="18"/>
  <c r="L14" i="18"/>
  <c r="CE120" i="49"/>
  <c r="W24" i="18"/>
  <c r="F428" i="141"/>
  <c r="P44" i="142"/>
  <c r="CA93" i="61"/>
  <c r="E19" i="142"/>
  <c r="H458" i="141"/>
  <c r="N510" i="141"/>
  <c r="J19" i="142"/>
  <c r="AE91" i="60"/>
  <c r="R27" i="60"/>
  <c r="CI112" i="51"/>
  <c r="N342" i="141"/>
  <c r="W27" i="18"/>
  <c r="R51" i="142"/>
  <c r="U15" i="35"/>
  <c r="L12" i="142"/>
  <c r="F74" i="142"/>
  <c r="AB77" i="35"/>
  <c r="N25" i="133"/>
  <c r="CI10" i="52"/>
  <c r="CI159" i="52"/>
  <c r="CJ12" i="52"/>
  <c r="H377" i="141"/>
  <c r="O99" i="50"/>
  <c r="H295" i="141"/>
  <c r="H284" i="141"/>
  <c r="H282" i="141"/>
  <c r="H281" i="141"/>
  <c r="H280" i="141"/>
  <c r="H279" i="141"/>
  <c r="H278" i="141"/>
  <c r="H265" i="141"/>
  <c r="H264" i="141"/>
  <c r="H261" i="141"/>
  <c r="H260" i="141"/>
  <c r="H259" i="141"/>
  <c r="H258" i="141"/>
  <c r="H255" i="141"/>
  <c r="H248" i="141"/>
  <c r="C91" i="44"/>
  <c r="AA99" i="44"/>
  <c r="G295" i="141"/>
  <c r="G293" i="141"/>
  <c r="G284" i="141"/>
  <c r="G282" i="141"/>
  <c r="G281" i="141"/>
  <c r="G280" i="141"/>
  <c r="G279" i="141"/>
  <c r="G278" i="141"/>
  <c r="G265" i="141"/>
  <c r="G264" i="141"/>
  <c r="G261" i="141"/>
  <c r="G260" i="141"/>
  <c r="G259" i="141"/>
  <c r="G258" i="141"/>
  <c r="G256" i="141"/>
  <c r="G255" i="141"/>
  <c r="G254" i="141"/>
  <c r="F295" i="141"/>
  <c r="F284" i="141"/>
  <c r="F282" i="141"/>
  <c r="F281" i="141"/>
  <c r="F280" i="141"/>
  <c r="F279" i="141"/>
  <c r="F278" i="141"/>
  <c r="F265" i="141"/>
  <c r="F264" i="141"/>
  <c r="F261" i="141"/>
  <c r="F260" i="141"/>
  <c r="F259" i="141"/>
  <c r="F255" i="141"/>
  <c r="F248" i="141"/>
  <c r="F258" i="141"/>
  <c r="O73" i="45"/>
  <c r="K73" i="45"/>
  <c r="E295" i="141"/>
  <c r="E284" i="141"/>
  <c r="E282" i="141"/>
  <c r="E281" i="141"/>
  <c r="E280" i="141"/>
  <c r="E279" i="141"/>
  <c r="E278" i="141"/>
  <c r="E265" i="141"/>
  <c r="E264" i="141"/>
  <c r="E261" i="141"/>
  <c r="E260" i="141"/>
  <c r="E259" i="141"/>
  <c r="E258" i="141"/>
  <c r="E255" i="141"/>
  <c r="E254" i="141"/>
  <c r="O36" i="129"/>
  <c r="J65" i="129"/>
  <c r="Q46" i="129"/>
  <c r="G32" i="129"/>
  <c r="J6" i="129"/>
  <c r="E36" i="129"/>
  <c r="R70" i="142"/>
  <c r="E61" i="125"/>
  <c r="R10" i="142"/>
  <c r="R55" i="142"/>
  <c r="R18" i="142"/>
  <c r="H27" i="18"/>
  <c r="O65" i="60"/>
  <c r="D56" i="142"/>
  <c r="C110" i="49"/>
  <c r="AI88" i="53"/>
  <c r="AE80" i="61"/>
  <c r="AM86" i="51"/>
  <c r="AM110" i="49"/>
  <c r="S99" i="50"/>
  <c r="AQ64" i="45"/>
  <c r="C31" i="125"/>
  <c r="AQ96" i="44"/>
  <c r="J62" i="136"/>
  <c r="K62" i="136"/>
  <c r="K58" i="136"/>
  <c r="H23" i="133"/>
  <c r="L1458" i="141"/>
  <c r="L1473" i="141"/>
  <c r="H11" i="18"/>
  <c r="N1535" i="141"/>
  <c r="N1550" i="141"/>
  <c r="G13" i="18"/>
  <c r="Q64" i="60"/>
  <c r="Q66" i="60"/>
  <c r="R32" i="142"/>
  <c r="R61" i="60"/>
  <c r="R14" i="142"/>
  <c r="M59" i="142"/>
  <c r="I55" i="142"/>
  <c r="N464" i="141"/>
  <c r="AA60" i="54"/>
  <c r="AA110" i="49"/>
  <c r="AA80" i="61"/>
  <c r="I13" i="133"/>
  <c r="N343" i="141"/>
  <c r="N368" i="141"/>
  <c r="K10" i="137"/>
  <c r="S99" i="45"/>
  <c r="G80" i="61"/>
  <c r="G99" i="50"/>
  <c r="K86" i="51"/>
  <c r="G91" i="55"/>
  <c r="AE60" i="54"/>
  <c r="AE58" i="45"/>
  <c r="AI110" i="49"/>
  <c r="N344" i="141"/>
  <c r="N371" i="141"/>
  <c r="J85" i="60"/>
  <c r="K76" i="142"/>
  <c r="O359" i="141"/>
  <c r="N345" i="141"/>
  <c r="N372" i="141"/>
  <c r="N348" i="141"/>
  <c r="N374" i="141"/>
  <c r="R16" i="142"/>
  <c r="R71" i="142"/>
  <c r="D152" i="60"/>
  <c r="F152" i="60"/>
  <c r="O1237" i="141"/>
  <c r="I42" i="142"/>
  <c r="X87" i="60"/>
  <c r="N349" i="141"/>
  <c r="N375" i="141"/>
  <c r="I25" i="142"/>
  <c r="L24" i="142"/>
  <c r="N362" i="141"/>
  <c r="N376" i="141"/>
  <c r="F7" i="162"/>
  <c r="C22" i="162"/>
  <c r="R27" i="142"/>
  <c r="R17" i="142"/>
  <c r="E531" i="141"/>
  <c r="I454" i="141"/>
  <c r="K10" i="149"/>
  <c r="K39" i="149"/>
  <c r="C33" i="142"/>
  <c r="K57" i="35"/>
  <c r="M70" i="142"/>
  <c r="D241" i="136"/>
  <c r="N363" i="141"/>
  <c r="N379" i="141"/>
  <c r="N377" i="141"/>
  <c r="F10" i="162"/>
  <c r="C25" i="162"/>
  <c r="I72" i="142"/>
  <c r="H135" i="141"/>
  <c r="K60" i="141"/>
  <c r="E72" i="142"/>
  <c r="BG121" i="50"/>
  <c r="L32" i="129"/>
  <c r="X9" i="129"/>
  <c r="Y9" i="129"/>
  <c r="N364" i="141"/>
  <c r="E28" i="35"/>
  <c r="G72" i="35"/>
  <c r="AA45" i="35"/>
  <c r="G30" i="142"/>
  <c r="J42" i="35"/>
  <c r="E56" i="142"/>
  <c r="G59" i="142"/>
  <c r="G60" i="142"/>
  <c r="G19" i="142"/>
  <c r="M1846" i="141"/>
  <c r="BS121" i="50"/>
  <c r="U45" i="35"/>
  <c r="D52" i="142"/>
  <c r="E55" i="129"/>
  <c r="H32" i="129"/>
  <c r="AA74" i="35"/>
  <c r="P27" i="60"/>
  <c r="N131" i="60"/>
  <c r="N66" i="60"/>
  <c r="L87" i="60"/>
  <c r="P61" i="129"/>
  <c r="P59" i="129"/>
  <c r="L6" i="137"/>
  <c r="M765" i="141"/>
  <c r="N1784" i="141"/>
  <c r="D13" i="18"/>
  <c r="E10" i="142"/>
  <c r="L61" i="60"/>
  <c r="M15" i="142"/>
  <c r="M47" i="142"/>
  <c r="G23" i="142"/>
  <c r="G32" i="142"/>
  <c r="K19" i="142"/>
  <c r="D25" i="35"/>
  <c r="D20" i="35"/>
  <c r="AB45" i="35"/>
  <c r="AB38" i="35"/>
  <c r="O661" i="141"/>
  <c r="G73" i="47"/>
  <c r="W80" i="61"/>
  <c r="C80" i="61"/>
  <c r="B27" i="60"/>
  <c r="E171" i="141"/>
  <c r="O108" i="141"/>
  <c r="R87" i="60"/>
  <c r="E63" i="35"/>
  <c r="G131" i="60"/>
  <c r="G541" i="141"/>
  <c r="M42" i="142"/>
  <c r="M9" i="142"/>
  <c r="M53" i="142"/>
  <c r="O1039" i="141"/>
  <c r="G31" i="142"/>
  <c r="G10" i="142"/>
  <c r="AA35" i="129"/>
  <c r="N425" i="141"/>
  <c r="P8" i="149"/>
  <c r="P37" i="149"/>
  <c r="CA102" i="53"/>
  <c r="F25" i="126"/>
  <c r="L25" i="126"/>
  <c r="G248" i="141"/>
  <c r="D55" i="129"/>
  <c r="M32" i="129"/>
  <c r="G22" i="142"/>
  <c r="G36" i="142"/>
  <c r="G34" i="142"/>
  <c r="BK127" i="49"/>
  <c r="O54" i="142"/>
  <c r="G61" i="60"/>
  <c r="I1706" i="141"/>
  <c r="E8" i="18"/>
  <c r="N27" i="18"/>
  <c r="O31" i="18"/>
  <c r="C1706" i="141"/>
  <c r="E2" i="18"/>
  <c r="D66" i="60"/>
  <c r="G65" i="60"/>
  <c r="L89" i="60"/>
  <c r="L88" i="60"/>
  <c r="M19" i="142"/>
  <c r="M37" i="142"/>
  <c r="M34" i="142"/>
  <c r="M54" i="142"/>
  <c r="F27" i="18"/>
  <c r="C54" i="142"/>
  <c r="C42" i="142"/>
  <c r="G15" i="142"/>
  <c r="G56" i="142"/>
  <c r="H57" i="142"/>
  <c r="F18" i="142"/>
  <c r="G18" i="142"/>
  <c r="AD78" i="60"/>
  <c r="AQ75" i="136"/>
  <c r="E350" i="141"/>
  <c r="F19" i="141"/>
  <c r="C55" i="129"/>
  <c r="I1846" i="141"/>
  <c r="O968" i="141"/>
  <c r="O1586" i="141"/>
  <c r="N85" i="60"/>
  <c r="N6" i="137"/>
  <c r="G85" i="60"/>
  <c r="G109" i="60"/>
  <c r="G18" i="18"/>
  <c r="H79" i="35"/>
  <c r="S21" i="60"/>
  <c r="S28" i="60"/>
  <c r="S26" i="60"/>
  <c r="O999" i="141"/>
  <c r="O65" i="142"/>
  <c r="G27" i="18"/>
  <c r="G63" i="142"/>
  <c r="O64" i="142"/>
  <c r="E55" i="142"/>
  <c r="M44" i="142"/>
  <c r="M50" i="142"/>
  <c r="D151" i="60"/>
  <c r="T19" i="35"/>
  <c r="AA19" i="35"/>
  <c r="F131" i="60"/>
  <c r="G43" i="142"/>
  <c r="F62" i="60"/>
  <c r="R3" i="137"/>
  <c r="AA75" i="136"/>
  <c r="F134" i="60"/>
  <c r="G40" i="142"/>
  <c r="AC21" i="60"/>
  <c r="N44" i="142"/>
  <c r="E12" i="142"/>
  <c r="T92" i="60"/>
  <c r="N535" i="141"/>
  <c r="D15" i="161"/>
  <c r="E30" i="142"/>
  <c r="M26" i="142"/>
  <c r="M14" i="142"/>
  <c r="G27" i="142"/>
  <c r="F3" i="137"/>
  <c r="O1392" i="141"/>
  <c r="K45" i="142"/>
  <c r="K431" i="141"/>
  <c r="E369" i="141"/>
  <c r="F340" i="141"/>
  <c r="G38" i="133"/>
  <c r="I297" i="141"/>
  <c r="I171" i="141"/>
  <c r="F60" i="141"/>
  <c r="J46" i="129"/>
  <c r="X7" i="129"/>
  <c r="Y7" i="129"/>
  <c r="N1846" i="141"/>
  <c r="N1861" i="141"/>
  <c r="D1846" i="141"/>
  <c r="E57" i="142"/>
  <c r="U31" i="60"/>
  <c r="V31" i="60"/>
  <c r="O1868" i="141"/>
  <c r="O1464" i="141"/>
  <c r="V88" i="60"/>
  <c r="E48" i="28"/>
  <c r="E47" i="28"/>
  <c r="E43" i="28"/>
  <c r="Q15" i="136"/>
  <c r="Z17" i="35"/>
  <c r="H131" i="60"/>
  <c r="H65" i="60"/>
  <c r="I65" i="60"/>
  <c r="S6" i="137"/>
  <c r="S88" i="60"/>
  <c r="Q29" i="126"/>
  <c r="L445" i="141"/>
  <c r="N12" i="149"/>
  <c r="N41" i="149"/>
  <c r="G29" i="126"/>
  <c r="S89" i="60"/>
  <c r="S20" i="18"/>
  <c r="S22" i="18"/>
  <c r="S61" i="60"/>
  <c r="C131" i="60"/>
  <c r="D65" i="60"/>
  <c r="C27" i="18"/>
  <c r="D31" i="18"/>
  <c r="C66" i="60"/>
  <c r="C6" i="137"/>
  <c r="C87" i="60"/>
  <c r="D76" i="142"/>
  <c r="T61" i="60"/>
  <c r="AD60" i="60"/>
  <c r="S62" i="60"/>
  <c r="S64" i="60"/>
  <c r="T77" i="35"/>
  <c r="AV80" i="61"/>
  <c r="AU82" i="61"/>
  <c r="O308" i="141"/>
  <c r="O303" i="141"/>
  <c r="G1010" i="141"/>
  <c r="N6" i="18"/>
  <c r="R9" i="142"/>
  <c r="R54" i="142"/>
  <c r="P43" i="142"/>
  <c r="P56" i="142"/>
  <c r="H524" i="141"/>
  <c r="H522" i="141"/>
  <c r="C44" i="142"/>
  <c r="O1017" i="141"/>
  <c r="J1010" i="141"/>
  <c r="N9" i="18"/>
  <c r="E44" i="142"/>
  <c r="E45" i="142"/>
  <c r="E25" i="142"/>
  <c r="D61" i="60"/>
  <c r="D62" i="60"/>
  <c r="M10" i="142"/>
  <c r="M18" i="142"/>
  <c r="M32" i="142"/>
  <c r="Z118" i="60"/>
  <c r="N42" i="142"/>
  <c r="N64" i="142"/>
  <c r="C75" i="142"/>
  <c r="G24" i="142"/>
  <c r="I62" i="60"/>
  <c r="O42" i="142"/>
  <c r="O1780" i="141"/>
  <c r="D14" i="35"/>
  <c r="K59" i="142"/>
  <c r="L72" i="35"/>
  <c r="O1116" i="141"/>
  <c r="N24" i="142"/>
  <c r="N9" i="142"/>
  <c r="B350" i="148"/>
  <c r="C350" i="148"/>
  <c r="B264" i="148"/>
  <c r="C264" i="148"/>
  <c r="B362" i="148"/>
  <c r="C362" i="148"/>
  <c r="B281" i="148"/>
  <c r="C281" i="148"/>
  <c r="B310" i="148"/>
  <c r="C310" i="148"/>
  <c r="B197" i="148"/>
  <c r="C197" i="148"/>
  <c r="B345" i="148"/>
  <c r="C345" i="148"/>
  <c r="B132" i="148"/>
  <c r="C132" i="148"/>
  <c r="B305" i="148"/>
  <c r="C305" i="148"/>
  <c r="B50" i="148"/>
  <c r="C50" i="148"/>
  <c r="B67" i="148"/>
  <c r="C67" i="148"/>
  <c r="H47" i="35"/>
  <c r="B224" i="148"/>
  <c r="C224" i="148"/>
  <c r="J61" i="60"/>
  <c r="T17" i="35"/>
  <c r="D31" i="142"/>
  <c r="K64" i="142"/>
  <c r="D45" i="142"/>
  <c r="O517" i="141"/>
  <c r="T69" i="35"/>
  <c r="D64" i="142"/>
  <c r="O1695" i="141"/>
  <c r="H30" i="142"/>
  <c r="P55" i="142"/>
  <c r="D55" i="142"/>
  <c r="H43" i="142"/>
  <c r="N508" i="141"/>
  <c r="D9" i="149"/>
  <c r="D38" i="149"/>
  <c r="Q10" i="142"/>
  <c r="N17" i="142"/>
  <c r="H607" i="141"/>
  <c r="E64" i="142"/>
  <c r="E24" i="142"/>
  <c r="E41" i="142"/>
  <c r="E32" i="142"/>
  <c r="L41" i="142"/>
  <c r="N40" i="142"/>
  <c r="N15" i="142"/>
  <c r="C26" i="142"/>
  <c r="G12" i="142"/>
  <c r="J18" i="142"/>
  <c r="N19" i="142"/>
  <c r="E75" i="35"/>
  <c r="E72" i="35"/>
  <c r="D26" i="142"/>
  <c r="O1300" i="141"/>
  <c r="AB35" i="129"/>
  <c r="N61" i="60"/>
  <c r="M64" i="60"/>
  <c r="M131" i="60"/>
  <c r="J25" i="142"/>
  <c r="J17" i="142"/>
  <c r="B189" i="148"/>
  <c r="C189" i="148"/>
  <c r="H36" i="35"/>
  <c r="R10" i="137"/>
  <c r="E16" i="18"/>
  <c r="AA16" i="35"/>
  <c r="D60" i="142"/>
  <c r="D71" i="142"/>
  <c r="D11" i="142"/>
  <c r="T41" i="35"/>
  <c r="AE10" i="60"/>
  <c r="F381" i="141"/>
  <c r="N32" i="129"/>
  <c r="K59" i="129"/>
  <c r="P92" i="60"/>
  <c r="B27" i="137"/>
  <c r="C27" i="137"/>
  <c r="D27" i="137"/>
  <c r="E27" i="137"/>
  <c r="F27" i="137"/>
  <c r="G27" i="137"/>
  <c r="H27" i="137"/>
  <c r="I27" i="137"/>
  <c r="J27" i="137"/>
  <c r="K27" i="137"/>
  <c r="L27" i="137"/>
  <c r="H445" i="141"/>
  <c r="J12" i="149"/>
  <c r="J41" i="149"/>
  <c r="AA34" i="35"/>
  <c r="Q9" i="142"/>
  <c r="C1550" i="141"/>
  <c r="G2" i="18"/>
  <c r="N6" i="35"/>
  <c r="E42" i="142"/>
  <c r="E71" i="142"/>
  <c r="E15" i="142"/>
  <c r="M61" i="60"/>
  <c r="M75" i="142"/>
  <c r="M72" i="142"/>
  <c r="M30" i="142"/>
  <c r="N14" i="142"/>
  <c r="N59" i="142"/>
  <c r="C61" i="60"/>
  <c r="G69" i="142"/>
  <c r="J55" i="142"/>
  <c r="J8" i="142"/>
  <c r="N18" i="142"/>
  <c r="D43" i="142"/>
  <c r="O1805" i="141"/>
  <c r="J32" i="142"/>
  <c r="N52" i="142"/>
  <c r="N31" i="142"/>
  <c r="I70" i="142"/>
  <c r="I67" i="142"/>
  <c r="O1910" i="141"/>
  <c r="M425" i="141"/>
  <c r="O8" i="149"/>
  <c r="O37" i="149"/>
  <c r="C27" i="142"/>
  <c r="B97" i="148"/>
  <c r="C97" i="148"/>
  <c r="O70" i="142"/>
  <c r="V64" i="60"/>
  <c r="X65" i="60"/>
  <c r="AP60" i="136"/>
  <c r="AR60" i="136"/>
  <c r="L24" i="35"/>
  <c r="Z18" i="35"/>
  <c r="O33" i="142"/>
  <c r="X89" i="60"/>
  <c r="D15" i="142"/>
  <c r="H19" i="142"/>
  <c r="J64" i="142"/>
  <c r="D32" i="142"/>
  <c r="U42" i="35"/>
  <c r="K297" i="141"/>
  <c r="G297" i="141"/>
  <c r="J212" i="141"/>
  <c r="F94" i="141"/>
  <c r="AA31" i="129"/>
  <c r="F65" i="129"/>
  <c r="J59" i="129"/>
  <c r="K55" i="129"/>
  <c r="H71" i="142"/>
  <c r="N27" i="60"/>
  <c r="E37" i="142"/>
  <c r="D134" i="60"/>
  <c r="E36" i="142"/>
  <c r="M55" i="142"/>
  <c r="J16" i="142"/>
  <c r="N10" i="142"/>
  <c r="N75" i="142"/>
  <c r="J36" i="142"/>
  <c r="J27" i="142"/>
  <c r="J66" i="142"/>
  <c r="H44" i="142"/>
  <c r="I27" i="18"/>
  <c r="I31" i="18"/>
  <c r="L40" i="142"/>
  <c r="F1241" i="141"/>
  <c r="K5" i="18"/>
  <c r="K14" i="18"/>
  <c r="N12" i="142"/>
  <c r="B147" i="148"/>
  <c r="O8" i="142"/>
  <c r="B321" i="148"/>
  <c r="C321" i="148"/>
  <c r="D30" i="142"/>
  <c r="H56" i="142"/>
  <c r="B243" i="148"/>
  <c r="C243" i="148"/>
  <c r="D46" i="142"/>
  <c r="B289" i="148"/>
  <c r="C289" i="148"/>
  <c r="J70" i="142"/>
  <c r="O1638" i="141"/>
  <c r="F8" i="35"/>
  <c r="X131" i="60"/>
  <c r="D40" i="142"/>
  <c r="G56" i="60"/>
  <c r="J135" i="141"/>
  <c r="G94" i="141"/>
  <c r="D42" i="142"/>
  <c r="D27" i="142"/>
  <c r="K50" i="35"/>
  <c r="K37" i="35"/>
  <c r="K647" i="141"/>
  <c r="G647" i="141"/>
  <c r="C688" i="141"/>
  <c r="P34" i="142"/>
  <c r="F9" i="142"/>
  <c r="K60" i="142"/>
  <c r="I10" i="142"/>
  <c r="O469" i="141"/>
  <c r="M65" i="129"/>
  <c r="BO109" i="51"/>
  <c r="BO97" i="53"/>
  <c r="O1693" i="141"/>
  <c r="Z43" i="35"/>
  <c r="BK93" i="61"/>
  <c r="P30" i="142"/>
  <c r="O1882" i="141"/>
  <c r="M31" i="142"/>
  <c r="N47" i="35"/>
  <c r="N56" i="142"/>
  <c r="N13" i="142"/>
  <c r="N32" i="142"/>
  <c r="C74" i="142"/>
  <c r="C72" i="142"/>
  <c r="I3" i="137"/>
  <c r="J60" i="142"/>
  <c r="J50" i="142"/>
  <c r="G37" i="35"/>
  <c r="G34" i="35"/>
  <c r="I52" i="142"/>
  <c r="I40" i="142"/>
  <c r="O1213" i="141"/>
  <c r="N53" i="142"/>
  <c r="X86" i="60"/>
  <c r="E8" i="142"/>
  <c r="O1326" i="141"/>
  <c r="Z61" i="60"/>
  <c r="H66" i="142"/>
  <c r="H22" i="142"/>
  <c r="AL60" i="136"/>
  <c r="AL61" i="136"/>
  <c r="O993" i="141"/>
  <c r="O59" i="35"/>
  <c r="F32" i="142"/>
  <c r="Z90" i="60"/>
  <c r="E23" i="142"/>
  <c r="E26" i="142"/>
  <c r="E17" i="142"/>
  <c r="M56" i="142"/>
  <c r="M17" i="142"/>
  <c r="M62" i="60"/>
  <c r="N66" i="142"/>
  <c r="I61" i="60"/>
  <c r="J15" i="142"/>
  <c r="D59" i="142"/>
  <c r="O9" i="142"/>
  <c r="C16" i="142"/>
  <c r="O1934" i="141"/>
  <c r="M57" i="35"/>
  <c r="J37" i="142"/>
  <c r="D70" i="142"/>
  <c r="D74" i="142"/>
  <c r="I9" i="142"/>
  <c r="R56" i="60"/>
  <c r="J54" i="142"/>
  <c r="O74" i="142"/>
  <c r="O72" i="142"/>
  <c r="J60" i="141"/>
  <c r="AB45" i="129"/>
  <c r="O45" i="142"/>
  <c r="H431" i="141"/>
  <c r="P15" i="142"/>
  <c r="N46" i="142"/>
  <c r="N8" i="142"/>
  <c r="G11" i="142"/>
  <c r="J43" i="142"/>
  <c r="D16" i="142"/>
  <c r="K8" i="142"/>
  <c r="F46" i="142"/>
  <c r="C3" i="137"/>
  <c r="C5" i="137"/>
  <c r="K46" i="142"/>
  <c r="AM88" i="53"/>
  <c r="E31" i="125"/>
  <c r="BC110" i="49"/>
  <c r="E28" i="60"/>
  <c r="E26" i="60"/>
  <c r="E38" i="60"/>
  <c r="E125" i="60"/>
  <c r="L135" i="141"/>
  <c r="J69" i="142"/>
  <c r="M92" i="60"/>
  <c r="F85" i="60"/>
  <c r="G76" i="142"/>
  <c r="X109" i="60"/>
  <c r="W18" i="18"/>
  <c r="D22" i="142"/>
  <c r="T46" i="35"/>
  <c r="L11" i="142"/>
  <c r="W8" i="136"/>
  <c r="X8" i="136"/>
  <c r="D47" i="142"/>
  <c r="T24" i="35"/>
  <c r="AA24" i="35"/>
  <c r="M13" i="60"/>
  <c r="M27" i="60"/>
  <c r="H212" i="141"/>
  <c r="E60" i="141"/>
  <c r="I59" i="129"/>
  <c r="BS11" i="47"/>
  <c r="O556" i="141"/>
  <c r="E535" i="141"/>
  <c r="D59" i="129"/>
  <c r="F15" i="142"/>
  <c r="H25" i="142"/>
  <c r="E92" i="60"/>
  <c r="I27" i="142"/>
  <c r="T16" i="35"/>
  <c r="AA10" i="35"/>
  <c r="K67" i="35"/>
  <c r="O1151" i="141"/>
  <c r="M63" i="35"/>
  <c r="O1153" i="141"/>
  <c r="O1617" i="141"/>
  <c r="G65" i="142"/>
  <c r="L541" i="141"/>
  <c r="B11" i="149"/>
  <c r="B40" i="149"/>
  <c r="N703" i="141"/>
  <c r="R13" i="18"/>
  <c r="C65" i="142"/>
  <c r="F531" i="141"/>
  <c r="L50" i="142"/>
  <c r="H11" i="142"/>
  <c r="T10" i="35"/>
  <c r="M55" i="129"/>
  <c r="H171" i="141"/>
  <c r="E94" i="141"/>
  <c r="O33" i="141"/>
  <c r="E19" i="141"/>
  <c r="E75" i="141"/>
  <c r="D19" i="141"/>
  <c r="M70" i="129"/>
  <c r="P65" i="129"/>
  <c r="E65" i="129"/>
  <c r="M26" i="129"/>
  <c r="J26" i="129"/>
  <c r="E26" i="129"/>
  <c r="J1846" i="141"/>
  <c r="J1861" i="141"/>
  <c r="L59" i="142"/>
  <c r="O59" i="129"/>
  <c r="O918" i="141"/>
  <c r="P60" i="35"/>
  <c r="Z60" i="35"/>
  <c r="CE130" i="54"/>
  <c r="C76" i="142"/>
  <c r="F69" i="136"/>
  <c r="D92" i="60"/>
  <c r="AD60" i="136"/>
  <c r="AD61" i="136"/>
  <c r="F508" i="141"/>
  <c r="E331" i="141"/>
  <c r="L1706" i="141"/>
  <c r="E11" i="18"/>
  <c r="L431" i="141"/>
  <c r="K80" i="61"/>
  <c r="K99" i="50"/>
  <c r="O86" i="51"/>
  <c r="AA58" i="45"/>
  <c r="D70" i="28"/>
  <c r="AM63" i="45"/>
  <c r="AQ88" i="53"/>
  <c r="T31" i="125"/>
  <c r="AU86" i="51"/>
  <c r="AU99" i="50"/>
  <c r="E90" i="136"/>
  <c r="E79" i="136"/>
  <c r="G345" i="141"/>
  <c r="F331" i="141"/>
  <c r="H31" i="142"/>
  <c r="I64" i="142"/>
  <c r="I47" i="142"/>
  <c r="O130" i="141"/>
  <c r="O122" i="141"/>
  <c r="S56" i="60"/>
  <c r="C212" i="141"/>
  <c r="H94" i="141"/>
  <c r="G19" i="141"/>
  <c r="Q32" i="129"/>
  <c r="O65" i="129"/>
  <c r="D65" i="129"/>
  <c r="H65" i="129"/>
  <c r="G1846" i="141"/>
  <c r="G1861" i="141"/>
  <c r="G362" i="141"/>
  <c r="I379" i="141"/>
  <c r="G331" i="141"/>
  <c r="Z87" i="60"/>
  <c r="M502" i="141"/>
  <c r="H617" i="141"/>
  <c r="H584" i="141"/>
  <c r="I33" i="142"/>
  <c r="O1310" i="141"/>
  <c r="L44" i="142"/>
  <c r="N34" i="35"/>
  <c r="I380" i="141"/>
  <c r="F297" i="141"/>
  <c r="E212" i="141"/>
  <c r="K212" i="141"/>
  <c r="D135" i="141"/>
  <c r="L60" i="141"/>
  <c r="D70" i="129"/>
  <c r="Q65" i="129"/>
  <c r="F59" i="129"/>
  <c r="C15" i="142"/>
  <c r="X88" i="60"/>
  <c r="X62" i="60"/>
  <c r="O46" i="142"/>
  <c r="D171" i="141"/>
  <c r="I60" i="141"/>
  <c r="I65" i="129"/>
  <c r="AA42" i="35"/>
  <c r="E570" i="141"/>
  <c r="I684" i="141"/>
  <c r="I703" i="141"/>
  <c r="R8" i="18"/>
  <c r="H688" i="141"/>
  <c r="CE102" i="53"/>
  <c r="H31" i="125"/>
  <c r="C37" i="125"/>
  <c r="AC13" i="60"/>
  <c r="M331" i="141"/>
  <c r="M380" i="141"/>
  <c r="M379" i="141"/>
  <c r="M376" i="141"/>
  <c r="M375" i="141"/>
  <c r="M374" i="141"/>
  <c r="M372" i="141"/>
  <c r="M371" i="141"/>
  <c r="M368" i="141"/>
  <c r="M366" i="141"/>
  <c r="M365" i="141"/>
  <c r="M364" i="141"/>
  <c r="M363" i="141"/>
  <c r="M362" i="141"/>
  <c r="M345" i="141"/>
  <c r="M344" i="141"/>
  <c r="M343" i="141"/>
  <c r="M349" i="141"/>
  <c r="M348" i="141"/>
  <c r="M342" i="141"/>
  <c r="K380" i="141"/>
  <c r="K379" i="141"/>
  <c r="L380" i="141"/>
  <c r="L379" i="141"/>
  <c r="L376" i="141"/>
  <c r="L375" i="141"/>
  <c r="L374" i="141"/>
  <c r="L372" i="141"/>
  <c r="L371" i="141"/>
  <c r="L368" i="141"/>
  <c r="L366" i="141"/>
  <c r="L365" i="141"/>
  <c r="L364" i="141"/>
  <c r="L363" i="141"/>
  <c r="L362" i="141"/>
  <c r="L360" i="141"/>
  <c r="L349" i="141"/>
  <c r="L348" i="141"/>
  <c r="L345" i="141"/>
  <c r="L344" i="141"/>
  <c r="L343" i="141"/>
  <c r="L342" i="141"/>
  <c r="L454" i="141"/>
  <c r="N10" i="149"/>
  <c r="N39" i="149"/>
  <c r="K376" i="141"/>
  <c r="K375" i="141"/>
  <c r="K374" i="141"/>
  <c r="K372" i="141"/>
  <c r="K371" i="141"/>
  <c r="K368" i="141"/>
  <c r="K366" i="141"/>
  <c r="K365" i="141"/>
  <c r="K364" i="141"/>
  <c r="K363" i="141"/>
  <c r="K362" i="141"/>
  <c r="K349" i="141"/>
  <c r="K348" i="141"/>
  <c r="K345" i="141"/>
  <c r="K344" i="141"/>
  <c r="K343" i="141"/>
  <c r="K342" i="141"/>
  <c r="K445" i="141"/>
  <c r="M12" i="149"/>
  <c r="K91" i="55"/>
  <c r="AY91" i="55"/>
  <c r="J25" i="126"/>
  <c r="G25" i="126"/>
  <c r="I25" i="126"/>
  <c r="N31" i="126"/>
  <c r="M454" i="141"/>
  <c r="O10" i="149"/>
  <c r="O39" i="149"/>
  <c r="F54" i="125"/>
  <c r="B28" i="60"/>
  <c r="B26" i="60"/>
  <c r="B38" i="60"/>
  <c r="B125" i="60"/>
  <c r="Q88" i="60"/>
  <c r="J58" i="136"/>
  <c r="O332" i="141"/>
  <c r="L381" i="141"/>
  <c r="O251" i="141"/>
  <c r="O173" i="141"/>
  <c r="O26" i="129"/>
  <c r="I70" i="129"/>
  <c r="Q4" i="129"/>
  <c r="O6" i="129"/>
  <c r="O4" i="129"/>
  <c r="M6" i="129"/>
  <c r="M4" i="129"/>
  <c r="F6" i="129"/>
  <c r="D6" i="129"/>
  <c r="M20" i="35"/>
  <c r="R34" i="35"/>
  <c r="R28" i="60"/>
  <c r="R26" i="60"/>
  <c r="BO100" i="55"/>
  <c r="BO102" i="55"/>
  <c r="BK105" i="44"/>
  <c r="K18" i="129"/>
  <c r="O18" i="129"/>
  <c r="D18" i="129"/>
  <c r="BO125" i="49"/>
  <c r="BO127" i="49"/>
  <c r="I417" i="141"/>
  <c r="G417" i="141"/>
  <c r="D435" i="141"/>
  <c r="F7" i="149"/>
  <c r="F36" i="149"/>
  <c r="D425" i="141"/>
  <c r="C535" i="141"/>
  <c r="C522" i="141"/>
  <c r="O573" i="141"/>
  <c r="U23" i="35"/>
  <c r="H59" i="129"/>
  <c r="F48" i="35"/>
  <c r="O67" i="35"/>
  <c r="O1071" i="141"/>
  <c r="F506" i="141"/>
  <c r="F502" i="141"/>
  <c r="P28" i="60"/>
  <c r="P26" i="60"/>
  <c r="P38" i="60"/>
  <c r="P125" i="60"/>
  <c r="K47" i="142"/>
  <c r="S92" i="60"/>
  <c r="J22" i="142"/>
  <c r="D51" i="35"/>
  <c r="J59" i="142"/>
  <c r="F23" i="133"/>
  <c r="O1823" i="141"/>
  <c r="E11" i="161"/>
  <c r="L8" i="137"/>
  <c r="O1736" i="141"/>
  <c r="S8" i="137"/>
  <c r="L71" i="142"/>
  <c r="H27" i="142"/>
  <c r="E27" i="60"/>
  <c r="O546" i="141"/>
  <c r="J70" i="129"/>
  <c r="F32" i="129"/>
  <c r="F90" i="136"/>
  <c r="F79" i="136"/>
  <c r="D85" i="60"/>
  <c r="X118" i="60"/>
  <c r="BO65" i="45"/>
  <c r="Q60" i="142"/>
  <c r="I531" i="141"/>
  <c r="D77" i="35"/>
  <c r="G28" i="126"/>
  <c r="K1010" i="141"/>
  <c r="N10" i="18"/>
  <c r="G584" i="141"/>
  <c r="G508" i="141"/>
  <c r="L109" i="60"/>
  <c r="L18" i="18"/>
  <c r="M79" i="35"/>
  <c r="F10" i="142"/>
  <c r="X75" i="136"/>
  <c r="AE75" i="136"/>
  <c r="L27" i="60"/>
  <c r="H19" i="141"/>
  <c r="H75" i="141"/>
  <c r="P70" i="129"/>
  <c r="J32" i="129"/>
  <c r="BK65" i="45"/>
  <c r="I26" i="142"/>
  <c r="Q36" i="129"/>
  <c r="I55" i="129"/>
  <c r="H85" i="60"/>
  <c r="H87" i="60"/>
  <c r="F1010" i="141"/>
  <c r="N5" i="18"/>
  <c r="L522" i="141"/>
  <c r="B12" i="149"/>
  <c r="B41" i="149"/>
  <c r="C65" i="60"/>
  <c r="T72" i="35"/>
  <c r="J28" i="126"/>
  <c r="Z109" i="60"/>
  <c r="Z34" i="35"/>
  <c r="C109" i="60"/>
  <c r="B131" i="60"/>
  <c r="Z28" i="60"/>
  <c r="Z26" i="60"/>
  <c r="Z129" i="60"/>
  <c r="I607" i="141"/>
  <c r="L1784" i="141"/>
  <c r="D11" i="18"/>
  <c r="O1006" i="141"/>
  <c r="O1001" i="141"/>
  <c r="AB75" i="136"/>
  <c r="BC126" i="50"/>
  <c r="G41" i="133"/>
  <c r="Q70" i="129"/>
  <c r="F70" i="129"/>
  <c r="H26" i="129"/>
  <c r="BG65" i="45"/>
  <c r="F1706" i="141"/>
  <c r="E5" i="18"/>
  <c r="Z131" i="60"/>
  <c r="AD13" i="60"/>
  <c r="L607" i="141"/>
  <c r="K1784" i="141"/>
  <c r="D10" i="18"/>
  <c r="D15" i="18"/>
  <c r="C92" i="60"/>
  <c r="O72" i="35"/>
  <c r="D24" i="142"/>
  <c r="H54" i="142"/>
  <c r="J10" i="142"/>
  <c r="O764" i="141"/>
  <c r="R60" i="35"/>
  <c r="AP75" i="136"/>
  <c r="D297" i="141"/>
  <c r="K12" i="142"/>
  <c r="F55" i="142"/>
  <c r="Z55" i="35"/>
  <c r="F684" i="141"/>
  <c r="F14" i="161"/>
  <c r="AA8" i="35"/>
  <c r="C89" i="60"/>
  <c r="AE13" i="60"/>
  <c r="H508" i="141"/>
  <c r="U6" i="35"/>
  <c r="H578" i="141"/>
  <c r="C8" i="137"/>
  <c r="I18" i="142"/>
  <c r="L57" i="35"/>
  <c r="K22" i="133"/>
  <c r="D41" i="142"/>
  <c r="BC65" i="45"/>
  <c r="I15" i="133"/>
  <c r="E297" i="141"/>
  <c r="D94" i="141"/>
  <c r="M90" i="136"/>
  <c r="M79" i="136"/>
  <c r="E85" i="60"/>
  <c r="E89" i="60"/>
  <c r="X28" i="60"/>
  <c r="X26" i="60"/>
  <c r="L26" i="129"/>
  <c r="C533" i="141"/>
  <c r="C508" i="141"/>
  <c r="CE102" i="55"/>
  <c r="O1377" i="141"/>
  <c r="L56" i="60"/>
  <c r="F80" i="136"/>
  <c r="G23" i="133"/>
  <c r="G44" i="133"/>
  <c r="D578" i="141"/>
  <c r="P66" i="60"/>
  <c r="P131" i="60"/>
  <c r="P27" i="18"/>
  <c r="P31" i="18"/>
  <c r="M3" i="18"/>
  <c r="P65" i="60"/>
  <c r="O769" i="141"/>
  <c r="R65" i="142"/>
  <c r="G502" i="141"/>
  <c r="O537" i="141"/>
  <c r="G535" i="141"/>
  <c r="C295" i="148"/>
  <c r="C259" i="148"/>
  <c r="O1923" i="141"/>
  <c r="C63" i="35"/>
  <c r="C61" i="35"/>
  <c r="C109" i="148"/>
  <c r="C168" i="148"/>
  <c r="C164" i="148"/>
  <c r="O787" i="141"/>
  <c r="Q8" i="142"/>
  <c r="Q6" i="142"/>
  <c r="C147" i="148"/>
  <c r="C102" i="148"/>
  <c r="I541" i="141"/>
  <c r="I598" i="141"/>
  <c r="J40" i="35"/>
  <c r="J40" i="142"/>
  <c r="J24" i="35"/>
  <c r="O1340" i="141"/>
  <c r="J24" i="142"/>
  <c r="G70" i="142"/>
  <c r="G70" i="35"/>
  <c r="O1619" i="141"/>
  <c r="Q54" i="35"/>
  <c r="Q54" i="142"/>
  <c r="Q41" i="35"/>
  <c r="AA41" i="35"/>
  <c r="Q41" i="142"/>
  <c r="P71" i="35"/>
  <c r="B26" i="137"/>
  <c r="C26" i="137"/>
  <c r="D26" i="137"/>
  <c r="E26" i="137"/>
  <c r="F26" i="137"/>
  <c r="G26" i="137"/>
  <c r="H26" i="137"/>
  <c r="I26" i="137"/>
  <c r="J26" i="137"/>
  <c r="K26" i="137"/>
  <c r="L26" i="137"/>
  <c r="V16" i="18"/>
  <c r="V92" i="60"/>
  <c r="D9" i="35"/>
  <c r="D9" i="142"/>
  <c r="H9" i="35"/>
  <c r="H9" i="142"/>
  <c r="E69" i="35"/>
  <c r="E67" i="35"/>
  <c r="O1775" i="141"/>
  <c r="E51" i="35"/>
  <c r="E51" i="142"/>
  <c r="I60" i="35"/>
  <c r="I60" i="142"/>
  <c r="I19" i="35"/>
  <c r="I19" i="142"/>
  <c r="G13" i="35"/>
  <c r="G13" i="142"/>
  <c r="G41" i="35"/>
  <c r="G41" i="142"/>
  <c r="G53" i="35"/>
  <c r="G53" i="142"/>
  <c r="G71" i="35"/>
  <c r="G71" i="142"/>
  <c r="S40" i="35"/>
  <c r="S38" i="35"/>
  <c r="O665" i="141"/>
  <c r="U64" i="60"/>
  <c r="U88" i="60"/>
  <c r="U3" i="137"/>
  <c r="U61" i="60"/>
  <c r="N92" i="60"/>
  <c r="N16" i="18"/>
  <c r="N8" i="137"/>
  <c r="J8" i="137"/>
  <c r="J16" i="18"/>
  <c r="F601" i="141"/>
  <c r="F581" i="141"/>
  <c r="F578" i="141"/>
  <c r="F602" i="141"/>
  <c r="J30" i="126"/>
  <c r="Q30" i="126"/>
  <c r="X8" i="129"/>
  <c r="Y8" i="129"/>
  <c r="AB8" i="129"/>
  <c r="X31" i="129"/>
  <c r="Y31" i="129"/>
  <c r="AB31" i="129"/>
  <c r="AA72" i="129"/>
  <c r="E66" i="35"/>
  <c r="E66" i="142"/>
  <c r="H74" i="142"/>
  <c r="H72" i="142"/>
  <c r="O1546" i="141"/>
  <c r="H74" i="35"/>
  <c r="H72" i="35"/>
  <c r="L46" i="35"/>
  <c r="L38" i="35"/>
  <c r="L46" i="142"/>
  <c r="L19" i="35"/>
  <c r="L6" i="35"/>
  <c r="L19" i="142"/>
  <c r="M69" i="35"/>
  <c r="M69" i="142"/>
  <c r="M51" i="35"/>
  <c r="M51" i="142"/>
  <c r="M40" i="35"/>
  <c r="M40" i="142"/>
  <c r="N55" i="35"/>
  <c r="N55" i="142"/>
  <c r="N43" i="35"/>
  <c r="N43" i="142"/>
  <c r="N27" i="35"/>
  <c r="N20" i="35"/>
  <c r="N27" i="142"/>
  <c r="O44" i="35"/>
  <c r="O44" i="142"/>
  <c r="P52" i="35"/>
  <c r="Z52" i="35"/>
  <c r="P52" i="142"/>
  <c r="P41" i="35"/>
  <c r="Z41" i="35"/>
  <c r="P41" i="142"/>
  <c r="G14" i="35"/>
  <c r="G6" i="35"/>
  <c r="G14" i="142"/>
  <c r="G26" i="142"/>
  <c r="G26" i="35"/>
  <c r="G42" i="35"/>
  <c r="G42" i="142"/>
  <c r="AB86" i="60"/>
  <c r="AA86" i="60"/>
  <c r="F450" i="141"/>
  <c r="F456" i="141"/>
  <c r="F447" i="141"/>
  <c r="F453" i="141"/>
  <c r="O419" i="141"/>
  <c r="U20" i="129"/>
  <c r="N505" i="141"/>
  <c r="N524" i="141"/>
  <c r="N504" i="141"/>
  <c r="N506" i="141"/>
  <c r="B306" i="148"/>
  <c r="B291" i="148"/>
  <c r="C291" i="148"/>
  <c r="B90" i="148"/>
  <c r="C90" i="148"/>
  <c r="B163" i="148"/>
  <c r="C163" i="148"/>
  <c r="B61" i="148"/>
  <c r="B219" i="148"/>
  <c r="B118" i="148"/>
  <c r="B340" i="148"/>
  <c r="B267" i="148"/>
  <c r="C267" i="148"/>
  <c r="B140" i="148"/>
  <c r="C140" i="148"/>
  <c r="B365" i="148"/>
  <c r="C365" i="148"/>
  <c r="B244" i="148"/>
  <c r="C244" i="148"/>
  <c r="B186" i="148"/>
  <c r="B35" i="148"/>
  <c r="C35" i="148"/>
  <c r="B322" i="148"/>
  <c r="C322" i="148"/>
  <c r="B184" i="148"/>
  <c r="C184" i="148"/>
  <c r="B113" i="148"/>
  <c r="B273" i="148"/>
  <c r="B226" i="148"/>
  <c r="B27" i="148"/>
  <c r="E27" i="148"/>
  <c r="B280" i="148"/>
  <c r="C280" i="148"/>
  <c r="B222" i="148"/>
  <c r="C222" i="148"/>
  <c r="B105" i="148"/>
  <c r="B45" i="148"/>
  <c r="B235" i="148"/>
  <c r="C235" i="148"/>
  <c r="B120" i="148"/>
  <c r="B302" i="148"/>
  <c r="C302" i="148"/>
  <c r="B212" i="148"/>
  <c r="B79" i="148"/>
  <c r="C79" i="148"/>
  <c r="B351" i="148"/>
  <c r="B283" i="148"/>
  <c r="B111" i="148"/>
  <c r="C111" i="148"/>
  <c r="B347" i="148"/>
  <c r="C347" i="148"/>
  <c r="B279" i="148"/>
  <c r="C279" i="148"/>
  <c r="B112" i="148"/>
  <c r="C112" i="148"/>
  <c r="B331" i="148"/>
  <c r="B157" i="148"/>
  <c r="C157" i="148"/>
  <c r="B80" i="148"/>
  <c r="C80" i="148"/>
  <c r="B12" i="148"/>
  <c r="C12" i="148"/>
  <c r="B15" i="148"/>
  <c r="C15" i="148"/>
  <c r="B148" i="148"/>
  <c r="C148" i="148"/>
  <c r="B214" i="148"/>
  <c r="C214" i="148"/>
  <c r="B266" i="148"/>
  <c r="C266" i="148"/>
  <c r="B276" i="148"/>
  <c r="C276" i="148"/>
  <c r="B343" i="148"/>
  <c r="C343" i="148"/>
  <c r="B256" i="148"/>
  <c r="B121" i="148"/>
  <c r="B346" i="148"/>
  <c r="C346" i="148"/>
  <c r="B290" i="148"/>
  <c r="B139" i="148"/>
  <c r="B367" i="148"/>
  <c r="C367" i="148"/>
  <c r="B263" i="148"/>
  <c r="C263" i="148"/>
  <c r="B138" i="148"/>
  <c r="C138" i="148"/>
  <c r="B25" i="148"/>
  <c r="B349" i="148"/>
  <c r="B187" i="148"/>
  <c r="C187" i="148"/>
  <c r="B74" i="148"/>
  <c r="B38" i="148"/>
  <c r="B232" i="148"/>
  <c r="C232" i="148"/>
  <c r="B176" i="148"/>
  <c r="B269" i="148"/>
  <c r="B68" i="148"/>
  <c r="B369" i="148"/>
  <c r="C369" i="148"/>
  <c r="B242" i="148"/>
  <c r="C242" i="148"/>
  <c r="B123" i="148"/>
  <c r="C123" i="148"/>
  <c r="B329" i="148"/>
  <c r="B215" i="148"/>
  <c r="C215" i="148"/>
  <c r="B86" i="148"/>
  <c r="B355" i="148"/>
  <c r="C355" i="148"/>
  <c r="B220" i="148"/>
  <c r="C220" i="148"/>
  <c r="B155" i="148"/>
  <c r="C155" i="148"/>
  <c r="B344" i="148"/>
  <c r="C344" i="148"/>
  <c r="B240" i="148"/>
  <c r="B151" i="148"/>
  <c r="C151" i="148"/>
  <c r="B338" i="148"/>
  <c r="B200" i="148"/>
  <c r="B76" i="148"/>
  <c r="C76" i="148"/>
  <c r="B11" i="148"/>
  <c r="B58" i="148"/>
  <c r="C58" i="148"/>
  <c r="B364" i="148"/>
  <c r="C364" i="148"/>
  <c r="B271" i="148"/>
  <c r="C271" i="148"/>
  <c r="B144" i="148"/>
  <c r="C144" i="148"/>
  <c r="B324" i="148"/>
  <c r="C324" i="148"/>
  <c r="B213" i="148"/>
  <c r="C213" i="148"/>
  <c r="B71" i="148"/>
  <c r="C71" i="148"/>
  <c r="B320" i="148"/>
  <c r="C320" i="148"/>
  <c r="B286" i="148"/>
  <c r="C286" i="148"/>
  <c r="B141" i="148"/>
  <c r="C141" i="148"/>
  <c r="B300" i="148"/>
  <c r="C300" i="148"/>
  <c r="B230" i="148"/>
  <c r="B52" i="148"/>
  <c r="C52" i="148"/>
  <c r="B237" i="148"/>
  <c r="C237" i="148"/>
  <c r="B130" i="148"/>
  <c r="C130" i="148"/>
  <c r="B65" i="148"/>
  <c r="B231" i="148"/>
  <c r="B175" i="148"/>
  <c r="B30" i="148"/>
  <c r="B352" i="148"/>
  <c r="B270" i="148"/>
  <c r="B177" i="148"/>
  <c r="C177" i="148"/>
  <c r="B93" i="148"/>
  <c r="C93" i="148"/>
  <c r="B339" i="148"/>
  <c r="B258" i="148"/>
  <c r="C258" i="148"/>
  <c r="B88" i="148"/>
  <c r="B336" i="148"/>
  <c r="B254" i="148"/>
  <c r="C254" i="148"/>
  <c r="B84" i="148"/>
  <c r="B301" i="148"/>
  <c r="B203" i="148"/>
  <c r="C203" i="148"/>
  <c r="B77" i="148"/>
  <c r="C77" i="148"/>
  <c r="I2" i="148"/>
  <c r="E168" i="148"/>
  <c r="B83" i="148"/>
  <c r="C83" i="148"/>
  <c r="B328" i="148"/>
  <c r="B294" i="148"/>
  <c r="C294" i="148"/>
  <c r="B143" i="148"/>
  <c r="C143" i="148"/>
  <c r="B323" i="148"/>
  <c r="B172" i="148"/>
  <c r="B43" i="148"/>
  <c r="C43" i="148"/>
  <c r="B209" i="148"/>
  <c r="C209" i="148"/>
  <c r="B136" i="148"/>
  <c r="B217" i="148"/>
  <c r="C217" i="148"/>
  <c r="B182" i="148"/>
  <c r="B348" i="148"/>
  <c r="C348" i="148"/>
  <c r="B255" i="148"/>
  <c r="C255" i="148"/>
  <c r="B133" i="148"/>
  <c r="C133" i="148"/>
  <c r="B48" i="148"/>
  <c r="B236" i="148"/>
  <c r="B126" i="148"/>
  <c r="B304" i="148"/>
  <c r="B193" i="148"/>
  <c r="C193" i="148"/>
  <c r="B167" i="148"/>
  <c r="C167" i="148"/>
  <c r="B69" i="148"/>
  <c r="B297" i="148"/>
  <c r="C297" i="148"/>
  <c r="B210" i="148"/>
  <c r="C210" i="148"/>
  <c r="B36" i="148"/>
  <c r="C36" i="148"/>
  <c r="B277" i="148"/>
  <c r="C277" i="148"/>
  <c r="B181" i="148"/>
  <c r="C181" i="148"/>
  <c r="B75" i="148"/>
  <c r="B335" i="148"/>
  <c r="B173" i="148"/>
  <c r="C173" i="148"/>
  <c r="B63" i="148"/>
  <c r="C63" i="148"/>
  <c r="B317" i="148"/>
  <c r="C317" i="148"/>
  <c r="B160" i="148"/>
  <c r="B81" i="148"/>
  <c r="C81" i="148"/>
  <c r="B40" i="148"/>
  <c r="C40" i="148"/>
  <c r="B241" i="148"/>
  <c r="B298" i="148"/>
  <c r="B249" i="148"/>
  <c r="C249" i="148"/>
  <c r="B55" i="148"/>
  <c r="C55" i="148"/>
  <c r="B330" i="148"/>
  <c r="B192" i="148"/>
  <c r="C192" i="148"/>
  <c r="B39" i="148"/>
  <c r="C39" i="148"/>
  <c r="B319" i="148"/>
  <c r="B171" i="148"/>
  <c r="C171" i="148"/>
  <c r="B135" i="148"/>
  <c r="C135" i="148"/>
  <c r="B70" i="148"/>
  <c r="B233" i="148"/>
  <c r="C233" i="148"/>
  <c r="B134" i="148"/>
  <c r="B357" i="148"/>
  <c r="C357" i="148"/>
  <c r="B278" i="148"/>
  <c r="B128" i="148"/>
  <c r="E128" i="148"/>
  <c r="B360" i="148"/>
  <c r="B251" i="148"/>
  <c r="B129" i="148"/>
  <c r="B303" i="148"/>
  <c r="B158" i="148"/>
  <c r="B100" i="148"/>
  <c r="B53" i="148"/>
  <c r="C53" i="148"/>
  <c r="B257" i="148"/>
  <c r="C257" i="148"/>
  <c r="B165" i="148"/>
  <c r="C165" i="148"/>
  <c r="B28" i="148"/>
  <c r="C28" i="148"/>
  <c r="B293" i="148"/>
  <c r="B208" i="148"/>
  <c r="B82" i="148"/>
  <c r="C82" i="148"/>
  <c r="B342" i="148"/>
  <c r="C342" i="148"/>
  <c r="B204" i="148"/>
  <c r="C204" i="148"/>
  <c r="B78" i="148"/>
  <c r="C78" i="148"/>
  <c r="B248" i="148"/>
  <c r="C248" i="148"/>
  <c r="B198" i="148"/>
  <c r="C198" i="148"/>
  <c r="B22" i="148"/>
  <c r="C22" i="148"/>
  <c r="B19" i="148"/>
  <c r="C19" i="148"/>
  <c r="B23" i="148"/>
  <c r="O498" i="141"/>
  <c r="H494" i="141"/>
  <c r="C73" i="45"/>
  <c r="K91" i="44"/>
  <c r="K82" i="54"/>
  <c r="S88" i="53"/>
  <c r="S110" i="49"/>
  <c r="D56" i="125"/>
  <c r="D54" i="125"/>
  <c r="O28" i="18"/>
  <c r="O56" i="60"/>
  <c r="D28" i="18"/>
  <c r="D10" i="137"/>
  <c r="Q7" i="136"/>
  <c r="Z9" i="35"/>
  <c r="C60" i="35"/>
  <c r="C57" i="35"/>
  <c r="C60" i="142"/>
  <c r="C57" i="142"/>
  <c r="F1846" i="141"/>
  <c r="F1861" i="141"/>
  <c r="O1850" i="141"/>
  <c r="D55" i="35"/>
  <c r="O1833" i="141"/>
  <c r="D17" i="35"/>
  <c r="D17" i="142"/>
  <c r="F614" i="141"/>
  <c r="F611" i="141"/>
  <c r="N525" i="141"/>
  <c r="N543" i="141"/>
  <c r="F600" i="141"/>
  <c r="N570" i="141"/>
  <c r="F538" i="141"/>
  <c r="F535" i="141"/>
  <c r="B24" i="148"/>
  <c r="C24" i="148"/>
  <c r="M57" i="142"/>
  <c r="N534" i="141"/>
  <c r="B34" i="148"/>
  <c r="C34" i="148"/>
  <c r="B85" i="148"/>
  <c r="B288" i="148"/>
  <c r="C288" i="148"/>
  <c r="B211" i="148"/>
  <c r="C211" i="148"/>
  <c r="B272" i="148"/>
  <c r="B101" i="148"/>
  <c r="B299" i="148"/>
  <c r="C299" i="148"/>
  <c r="B98" i="148"/>
  <c r="B341" i="148"/>
  <c r="C341" i="148"/>
  <c r="B127" i="148"/>
  <c r="B312" i="148"/>
  <c r="B99" i="148"/>
  <c r="B316" i="148"/>
  <c r="C316" i="148"/>
  <c r="B234" i="148"/>
  <c r="B62" i="148"/>
  <c r="B252" i="148"/>
  <c r="C252" i="148"/>
  <c r="B152" i="148"/>
  <c r="B42" i="148"/>
  <c r="AA17" i="35"/>
  <c r="B146" i="148"/>
  <c r="O1590" i="141"/>
  <c r="B119" i="148"/>
  <c r="O1848" i="141"/>
  <c r="AB17" i="35"/>
  <c r="N109" i="60"/>
  <c r="N18" i="18"/>
  <c r="O79" i="35"/>
  <c r="R74" i="142"/>
  <c r="Q89" i="60"/>
  <c r="Q20" i="18"/>
  <c r="Q22" i="18"/>
  <c r="R69" i="142"/>
  <c r="R67" i="142"/>
  <c r="R44" i="142"/>
  <c r="R8" i="142"/>
  <c r="R46" i="142"/>
  <c r="R30" i="142"/>
  <c r="R40" i="142"/>
  <c r="R37" i="142"/>
  <c r="R34" i="142"/>
  <c r="F429" i="141"/>
  <c r="F425" i="141"/>
  <c r="N528" i="141"/>
  <c r="F448" i="141"/>
  <c r="F603" i="141"/>
  <c r="F449" i="141"/>
  <c r="O710" i="141"/>
  <c r="B26" i="148"/>
  <c r="C26" i="148"/>
  <c r="X35" i="129"/>
  <c r="Y35" i="129"/>
  <c r="N493" i="141"/>
  <c r="B145" i="148"/>
  <c r="B32" i="148"/>
  <c r="B125" i="148"/>
  <c r="B66" i="148"/>
  <c r="C66" i="148"/>
  <c r="B268" i="148"/>
  <c r="C268" i="148"/>
  <c r="B292" i="148"/>
  <c r="B94" i="148"/>
  <c r="C94" i="148"/>
  <c r="B337" i="148"/>
  <c r="C337" i="148"/>
  <c r="B91" i="148"/>
  <c r="B314" i="148"/>
  <c r="C314" i="148"/>
  <c r="B183" i="148"/>
  <c r="C183" i="148"/>
  <c r="B131" i="148"/>
  <c r="B363" i="148"/>
  <c r="C363" i="148"/>
  <c r="B191" i="148"/>
  <c r="C191" i="148"/>
  <c r="B41" i="148"/>
  <c r="C41" i="148"/>
  <c r="B246" i="148"/>
  <c r="B199" i="148"/>
  <c r="C199" i="148"/>
  <c r="O17" i="142"/>
  <c r="BG109" i="54"/>
  <c r="B87" i="60"/>
  <c r="R52" i="142"/>
  <c r="Q3" i="137"/>
  <c r="R76" i="142"/>
  <c r="R42" i="142"/>
  <c r="R11" i="142"/>
  <c r="F8" i="142"/>
  <c r="P111" i="136"/>
  <c r="N87" i="60"/>
  <c r="O76" i="142"/>
  <c r="E522" i="141"/>
  <c r="M508" i="141"/>
  <c r="C9" i="149"/>
  <c r="C38" i="149"/>
  <c r="G617" i="141"/>
  <c r="K4" i="149"/>
  <c r="F433" i="141"/>
  <c r="H9" i="149"/>
  <c r="H38" i="149"/>
  <c r="Q72" i="142"/>
  <c r="O1031" i="141"/>
  <c r="O27" i="60"/>
  <c r="J535" i="141"/>
  <c r="N16" i="142"/>
  <c r="B239" i="148"/>
  <c r="B202" i="148"/>
  <c r="P56" i="60"/>
  <c r="B296" i="148"/>
  <c r="B159" i="148"/>
  <c r="C159" i="148"/>
  <c r="B354" i="148"/>
  <c r="B174" i="148"/>
  <c r="B33" i="148"/>
  <c r="B107" i="148"/>
  <c r="C107" i="148"/>
  <c r="B308" i="148"/>
  <c r="B169" i="148"/>
  <c r="B137" i="148"/>
  <c r="B57" i="148"/>
  <c r="B188" i="148"/>
  <c r="B309" i="148"/>
  <c r="C309" i="148"/>
  <c r="B149" i="148"/>
  <c r="C149" i="148"/>
  <c r="B96" i="148"/>
  <c r="U62" i="60"/>
  <c r="B261" i="148"/>
  <c r="I584" i="141"/>
  <c r="R19" i="142"/>
  <c r="R43" i="142"/>
  <c r="AE60" i="60"/>
  <c r="R13" i="142"/>
  <c r="E108" i="148"/>
  <c r="O1558" i="141"/>
  <c r="E541" i="141"/>
  <c r="E431" i="141"/>
  <c r="I464" i="141"/>
  <c r="K11" i="149"/>
  <c r="K40" i="149"/>
  <c r="B14" i="148"/>
  <c r="B18" i="148"/>
  <c r="N533" i="141"/>
  <c r="O28" i="60"/>
  <c r="O26" i="60"/>
  <c r="O38" i="60"/>
  <c r="N34" i="142"/>
  <c r="U89" i="60"/>
  <c r="B275" i="148"/>
  <c r="B161" i="148"/>
  <c r="C161" i="148"/>
  <c r="B54" i="148"/>
  <c r="B116" i="148"/>
  <c r="C116" i="148"/>
  <c r="B359" i="148"/>
  <c r="B218" i="148"/>
  <c r="B356" i="148"/>
  <c r="C356" i="148"/>
  <c r="B170" i="148"/>
  <c r="C170" i="148"/>
  <c r="B51" i="148"/>
  <c r="C51" i="148"/>
  <c r="B284" i="148"/>
  <c r="C284" i="148"/>
  <c r="B20" i="148"/>
  <c r="C20" i="148"/>
  <c r="B229" i="148"/>
  <c r="B60" i="148"/>
  <c r="V61" i="60"/>
  <c r="P112" i="136"/>
  <c r="P113" i="136"/>
  <c r="B333" i="148"/>
  <c r="C333" i="148"/>
  <c r="U134" i="60"/>
  <c r="R64" i="142"/>
  <c r="R15" i="142"/>
  <c r="R24" i="142"/>
  <c r="R33" i="142"/>
  <c r="Q134" i="60"/>
  <c r="F451" i="141"/>
  <c r="F609" i="141"/>
  <c r="F607" i="141"/>
  <c r="F621" i="141"/>
  <c r="F617" i="141"/>
  <c r="B31" i="148"/>
  <c r="F8" i="149"/>
  <c r="F37" i="149"/>
  <c r="M24" i="142"/>
  <c r="N527" i="141"/>
  <c r="N544" i="141"/>
  <c r="O1049" i="141"/>
  <c r="B260" i="148"/>
  <c r="B207" i="148"/>
  <c r="B89" i="148"/>
  <c r="B325" i="148"/>
  <c r="C325" i="148"/>
  <c r="B114" i="148"/>
  <c r="B366" i="148"/>
  <c r="B178" i="148"/>
  <c r="C178" i="148"/>
  <c r="B201" i="148"/>
  <c r="C201" i="148"/>
  <c r="B205" i="148"/>
  <c r="C205" i="148"/>
  <c r="B117" i="148"/>
  <c r="B245" i="148"/>
  <c r="B115" i="148"/>
  <c r="C115" i="148"/>
  <c r="B56" i="148"/>
  <c r="C56" i="148"/>
  <c r="B29" i="148"/>
  <c r="B313" i="148"/>
  <c r="B368" i="148"/>
  <c r="K15" i="133"/>
  <c r="D69" i="142"/>
  <c r="J32" i="126"/>
  <c r="Q32" i="126"/>
  <c r="R71" i="35"/>
  <c r="R67" i="35"/>
  <c r="O771" i="141"/>
  <c r="AH61" i="136"/>
  <c r="E59" i="35"/>
  <c r="E57" i="35"/>
  <c r="O1765" i="141"/>
  <c r="Q50" i="35"/>
  <c r="Q50" i="142"/>
  <c r="AE60" i="136"/>
  <c r="AE61" i="136"/>
  <c r="AE55" i="136"/>
  <c r="AE62" i="136"/>
  <c r="AE67" i="136"/>
  <c r="AE68" i="136"/>
  <c r="N584" i="141"/>
  <c r="BS93" i="61"/>
  <c r="U72" i="35"/>
  <c r="R6" i="35"/>
  <c r="I611" i="141"/>
  <c r="D54" i="142"/>
  <c r="O853" i="141"/>
  <c r="F28" i="35"/>
  <c r="BK97" i="53"/>
  <c r="AL75" i="136"/>
  <c r="AJ75" i="136"/>
  <c r="W75" i="136"/>
  <c r="AM75" i="136"/>
  <c r="AG75" i="136"/>
  <c r="AI75" i="136"/>
  <c r="AN75" i="136"/>
  <c r="AD75" i="136"/>
  <c r="Z75" i="136"/>
  <c r="H56" i="125"/>
  <c r="H54" i="125"/>
  <c r="D248" i="141"/>
  <c r="H64" i="35"/>
  <c r="G46" i="35"/>
  <c r="G46" i="142"/>
  <c r="G60" i="35"/>
  <c r="G57" i="35"/>
  <c r="O1609" i="141"/>
  <c r="Z70" i="35"/>
  <c r="AB12" i="35"/>
  <c r="U12" i="35"/>
  <c r="AA12" i="35"/>
  <c r="L9" i="142"/>
  <c r="K62" i="60"/>
  <c r="L65" i="129"/>
  <c r="AA8" i="129"/>
  <c r="F212" i="141"/>
  <c r="E135" i="141"/>
  <c r="P26" i="129"/>
  <c r="M46" i="129"/>
  <c r="J36" i="129"/>
  <c r="D36" i="35"/>
  <c r="D36" i="142"/>
  <c r="H425" i="141"/>
  <c r="J8" i="149"/>
  <c r="J37" i="149"/>
  <c r="L480" i="141"/>
  <c r="B6" i="149"/>
  <c r="B35" i="149"/>
  <c r="C1010" i="141"/>
  <c r="N2" i="18"/>
  <c r="N31" i="125"/>
  <c r="O1919" i="141"/>
  <c r="H18" i="129"/>
  <c r="J1087" i="141"/>
  <c r="M9" i="18"/>
  <c r="H541" i="141"/>
  <c r="Z10" i="35"/>
  <c r="J17" i="133"/>
  <c r="K16" i="133"/>
  <c r="O70" i="129"/>
  <c r="I13" i="35"/>
  <c r="I13" i="142"/>
  <c r="J14" i="35"/>
  <c r="J14" i="142"/>
  <c r="K32" i="35"/>
  <c r="K32" i="142"/>
  <c r="Z61" i="136"/>
  <c r="G28" i="60"/>
  <c r="G26" i="60"/>
  <c r="G38" i="60"/>
  <c r="G125" i="60"/>
  <c r="J3" i="136"/>
  <c r="G58" i="136"/>
  <c r="G69" i="136"/>
  <c r="G77" i="136"/>
  <c r="G83" i="136"/>
  <c r="G84" i="136"/>
  <c r="G85" i="136"/>
  <c r="G86" i="136"/>
  <c r="O102" i="141"/>
  <c r="R83" i="141" s="1"/>
  <c r="C135" i="141"/>
  <c r="M135" i="141"/>
  <c r="I135" i="141"/>
  <c r="O146" i="141"/>
  <c r="O141" i="141"/>
  <c r="G60" i="141"/>
  <c r="C75" i="141"/>
  <c r="N26" i="129"/>
  <c r="P32" i="129"/>
  <c r="X41" i="129"/>
  <c r="Y41" i="129"/>
  <c r="AB73" i="129"/>
  <c r="AB72" i="129"/>
  <c r="N59" i="129"/>
  <c r="AA62" i="129"/>
  <c r="O46" i="129"/>
  <c r="AB54" i="129"/>
  <c r="AA52" i="129"/>
  <c r="P46" i="129"/>
  <c r="AB50" i="129"/>
  <c r="N46" i="129"/>
  <c r="G46" i="129"/>
  <c r="M36" i="129"/>
  <c r="K36" i="129"/>
  <c r="I36" i="129"/>
  <c r="I26" i="129"/>
  <c r="F4" i="129"/>
  <c r="G6" i="129"/>
  <c r="E6" i="129"/>
  <c r="Z53" i="35"/>
  <c r="AA27" i="35"/>
  <c r="D90" i="136"/>
  <c r="D79" i="136"/>
  <c r="BG105" i="44"/>
  <c r="BK109" i="51"/>
  <c r="P69" i="136"/>
  <c r="P77" i="136"/>
  <c r="P82" i="136"/>
  <c r="N18" i="129"/>
  <c r="C18" i="129"/>
  <c r="J18" i="129"/>
  <c r="M18" i="129"/>
  <c r="O69" i="136"/>
  <c r="O77" i="136"/>
  <c r="O82" i="136"/>
  <c r="AG60" i="136"/>
  <c r="AG61" i="136"/>
  <c r="AI60" i="136"/>
  <c r="AI61" i="136"/>
  <c r="G458" i="141"/>
  <c r="F417" i="141"/>
  <c r="D431" i="141"/>
  <c r="D541" i="141"/>
  <c r="D522" i="141"/>
  <c r="D550" i="141"/>
  <c r="T3" i="18"/>
  <c r="C531" i="141"/>
  <c r="D584" i="141"/>
  <c r="C617" i="141"/>
  <c r="C578" i="141"/>
  <c r="L647" i="141"/>
  <c r="L703" i="141"/>
  <c r="R11" i="18"/>
  <c r="G1628" i="141"/>
  <c r="F6" i="18"/>
  <c r="M464" i="141"/>
  <c r="O11" i="149"/>
  <c r="O40" i="149"/>
  <c r="AK60" i="136"/>
  <c r="AK61" i="136"/>
  <c r="I36" i="142"/>
  <c r="AJ60" i="136"/>
  <c r="AJ61" i="136"/>
  <c r="D31" i="125"/>
  <c r="H381" i="141"/>
  <c r="O392" i="141"/>
  <c r="O387" i="141"/>
  <c r="V73" i="129"/>
  <c r="E248" i="141"/>
  <c r="O954" i="141"/>
  <c r="O85" i="60"/>
  <c r="K88" i="53"/>
  <c r="AA99" i="50"/>
  <c r="AE110" i="49"/>
  <c r="F31" i="125"/>
  <c r="AU91" i="55"/>
  <c r="E1846" i="141"/>
  <c r="O1819" i="141"/>
  <c r="H919" i="141"/>
  <c r="H934" i="141"/>
  <c r="O7" i="18"/>
  <c r="AQ80" i="61"/>
  <c r="H27" i="133"/>
  <c r="G33" i="133"/>
  <c r="H34" i="133"/>
  <c r="H60" i="141"/>
  <c r="D60" i="141"/>
  <c r="K3" i="136"/>
  <c r="AE8" i="136"/>
  <c r="C15" i="161"/>
  <c r="F13" i="161"/>
  <c r="G135" i="141"/>
  <c r="AA45" i="129"/>
  <c r="G70" i="129"/>
  <c r="H6" i="129"/>
  <c r="N454" i="141"/>
  <c r="P10" i="149"/>
  <c r="P39" i="149"/>
  <c r="W86" i="51"/>
  <c r="C88" i="53"/>
  <c r="AU88" i="53"/>
  <c r="I19" i="133"/>
  <c r="I14" i="133"/>
  <c r="BG91" i="55"/>
  <c r="BG88" i="53"/>
  <c r="BH108" i="49"/>
  <c r="BG110" i="49"/>
  <c r="G381" i="141"/>
  <c r="O189" i="141"/>
  <c r="S163" i="141" s="1"/>
  <c r="I212" i="141"/>
  <c r="Z11" i="35"/>
  <c r="F57" i="35"/>
  <c r="M85" i="60"/>
  <c r="D464" i="141"/>
  <c r="F11" i="149"/>
  <c r="F40" i="149"/>
  <c r="U430" i="141"/>
  <c r="U431" i="141"/>
  <c r="C445" i="141"/>
  <c r="E12" i="149"/>
  <c r="E41" i="149"/>
  <c r="C425" i="141"/>
  <c r="E8" i="149"/>
  <c r="E37" i="149"/>
  <c r="O540" i="141"/>
  <c r="L570" i="141"/>
  <c r="G724" i="141"/>
  <c r="D765" i="141"/>
  <c r="D780" i="141"/>
  <c r="Q3" i="18"/>
  <c r="H857" i="141"/>
  <c r="P7" i="18"/>
  <c r="G857" i="141"/>
  <c r="P6" i="18"/>
  <c r="N919" i="141"/>
  <c r="K915" i="141"/>
  <c r="J919" i="141"/>
  <c r="J934" i="141"/>
  <c r="O9" i="18"/>
  <c r="G919" i="141"/>
  <c r="G934" i="141"/>
  <c r="O6" i="18"/>
  <c r="L22" i="35"/>
  <c r="O1185" i="141"/>
  <c r="O32" i="35"/>
  <c r="O28" i="35"/>
  <c r="O962" i="141"/>
  <c r="BW119" i="50"/>
  <c r="BW121" i="50"/>
  <c r="H533" i="141"/>
  <c r="H531" i="141"/>
  <c r="C65" i="129"/>
  <c r="X69" i="129"/>
  <c r="AB69" i="129"/>
  <c r="AA42" i="129"/>
  <c r="X42" i="129"/>
  <c r="Y42" i="129"/>
  <c r="AB42" i="129"/>
  <c r="C36" i="129"/>
  <c r="AA17" i="129"/>
  <c r="AB17" i="129"/>
  <c r="X14" i="129"/>
  <c r="Y14" i="129"/>
  <c r="AA14" i="129"/>
  <c r="AB14" i="129"/>
  <c r="I4" i="129"/>
  <c r="I6" i="129"/>
  <c r="E53" i="35"/>
  <c r="E53" i="142"/>
  <c r="O1756" i="141"/>
  <c r="R75" i="35"/>
  <c r="R72" i="35"/>
  <c r="O776" i="141"/>
  <c r="R75" i="142"/>
  <c r="X22" i="129"/>
  <c r="Y22" i="129"/>
  <c r="AB22" i="129"/>
  <c r="AA22" i="129"/>
  <c r="G18" i="129"/>
  <c r="I16" i="18"/>
  <c r="I8" i="137"/>
  <c r="O220" i="141"/>
  <c r="O420" i="141"/>
  <c r="U21" i="129"/>
  <c r="K506" i="141"/>
  <c r="M610" i="141"/>
  <c r="K703" i="141"/>
  <c r="R10" i="18"/>
  <c r="M621" i="141"/>
  <c r="L458" i="141"/>
  <c r="N11" i="149"/>
  <c r="N40" i="149"/>
  <c r="E507" i="141"/>
  <c r="C270" i="148"/>
  <c r="N11" i="35"/>
  <c r="N11" i="142"/>
  <c r="H69" i="35"/>
  <c r="H67" i="35"/>
  <c r="H69" i="142"/>
  <c r="O1541" i="141"/>
  <c r="K16" i="35"/>
  <c r="O1249" i="141"/>
  <c r="M71" i="35"/>
  <c r="M71" i="142"/>
  <c r="R53" i="35"/>
  <c r="R48" i="35"/>
  <c r="R53" i="142"/>
  <c r="T6" i="137"/>
  <c r="T89" i="60"/>
  <c r="T90" i="60"/>
  <c r="T88" i="60"/>
  <c r="U77" i="35"/>
  <c r="K619" i="141"/>
  <c r="K582" i="141"/>
  <c r="K601" i="141"/>
  <c r="K600" i="141"/>
  <c r="K603" i="141"/>
  <c r="K580" i="141"/>
  <c r="K583" i="141"/>
  <c r="K602" i="141"/>
  <c r="K620" i="141"/>
  <c r="K614" i="141"/>
  <c r="K611" i="141"/>
  <c r="K609" i="141"/>
  <c r="K606" i="141"/>
  <c r="K610" i="141"/>
  <c r="I19" i="141"/>
  <c r="I75" i="141"/>
  <c r="O22" i="141"/>
  <c r="E66" i="141"/>
  <c r="T28" i="60"/>
  <c r="T26" i="60"/>
  <c r="T27" i="60"/>
  <c r="O690" i="141"/>
  <c r="S63" i="35"/>
  <c r="Q63" i="136"/>
  <c r="M688" i="141"/>
  <c r="M703" i="141"/>
  <c r="R12" i="18"/>
  <c r="O649" i="141"/>
  <c r="D647" i="141"/>
  <c r="AA41" i="129"/>
  <c r="K504" i="141"/>
  <c r="K530" i="141"/>
  <c r="Q27" i="142"/>
  <c r="N609" i="141"/>
  <c r="N607" i="141"/>
  <c r="M582" i="141"/>
  <c r="AB52" i="129"/>
  <c r="O752" i="141"/>
  <c r="C86" i="148"/>
  <c r="O613" i="141"/>
  <c r="N742" i="141"/>
  <c r="Q11" i="136"/>
  <c r="Z13" i="35"/>
  <c r="L36" i="35"/>
  <c r="L34" i="35"/>
  <c r="O1199" i="141"/>
  <c r="L36" i="142"/>
  <c r="O572" i="141"/>
  <c r="AB22" i="35"/>
  <c r="AB20" i="35"/>
  <c r="J570" i="141"/>
  <c r="M761" i="141"/>
  <c r="Q57" i="129"/>
  <c r="AA66" i="60"/>
  <c r="AA131" i="60"/>
  <c r="AA87" i="60"/>
  <c r="AA65" i="60"/>
  <c r="AA83" i="60"/>
  <c r="AA117" i="60"/>
  <c r="AA130" i="60"/>
  <c r="V28" i="60"/>
  <c r="V26" i="60"/>
  <c r="V134" i="60"/>
  <c r="O96" i="141"/>
  <c r="I94" i="141"/>
  <c r="D56" i="141"/>
  <c r="D75" i="141"/>
  <c r="O58" i="141"/>
  <c r="O56" i="141"/>
  <c r="AB64" i="129"/>
  <c r="AA64" i="129"/>
  <c r="X64" i="129"/>
  <c r="AB16" i="129"/>
  <c r="AA16" i="129"/>
  <c r="R12" i="35"/>
  <c r="R12" i="142"/>
  <c r="O1522" i="141"/>
  <c r="H51" i="35"/>
  <c r="H48" i="35"/>
  <c r="P42" i="35"/>
  <c r="Z42" i="35"/>
  <c r="P42" i="142"/>
  <c r="O1600" i="141"/>
  <c r="G52" i="35"/>
  <c r="G52" i="142"/>
  <c r="AB24" i="129"/>
  <c r="X24" i="129"/>
  <c r="Y24" i="129"/>
  <c r="I18" i="129"/>
  <c r="G451" i="141"/>
  <c r="G456" i="141"/>
  <c r="G454" i="141"/>
  <c r="I10" i="149"/>
  <c r="I39" i="149"/>
  <c r="G429" i="141"/>
  <c r="G467" i="141"/>
  <c r="G430" i="141"/>
  <c r="G450" i="141"/>
  <c r="G433" i="141"/>
  <c r="G427" i="141"/>
  <c r="G447" i="141"/>
  <c r="G466" i="141"/>
  <c r="G468" i="141"/>
  <c r="G449" i="141"/>
  <c r="G428" i="141"/>
  <c r="K604" i="141"/>
  <c r="K525" i="141"/>
  <c r="P11" i="142"/>
  <c r="Q66" i="142"/>
  <c r="C250" i="148"/>
  <c r="E250" i="148"/>
  <c r="C332" i="148"/>
  <c r="E195" i="148"/>
  <c r="E327" i="148"/>
  <c r="E367" i="148"/>
  <c r="E190" i="148"/>
  <c r="E353" i="148"/>
  <c r="E271" i="148"/>
  <c r="E16" i="148"/>
  <c r="E355" i="148"/>
  <c r="E216" i="148"/>
  <c r="O110" i="136"/>
  <c r="O111" i="136"/>
  <c r="D12" i="35"/>
  <c r="D12" i="142"/>
  <c r="F45" i="35"/>
  <c r="F45" i="142"/>
  <c r="P54" i="35"/>
  <c r="P54" i="142"/>
  <c r="L494" i="141"/>
  <c r="O496" i="141"/>
  <c r="T87" i="60"/>
  <c r="K65" i="129"/>
  <c r="X67" i="129"/>
  <c r="AA54" i="129"/>
  <c r="D46" i="129"/>
  <c r="X54" i="129"/>
  <c r="Y54" i="129"/>
  <c r="X49" i="129"/>
  <c r="Y49" i="129"/>
  <c r="AA49" i="129"/>
  <c r="C46" i="129"/>
  <c r="AB49" i="129"/>
  <c r="AB44" i="129"/>
  <c r="AA44" i="129"/>
  <c r="X44" i="129"/>
  <c r="Y44" i="129"/>
  <c r="X28" i="129"/>
  <c r="Y28" i="129"/>
  <c r="D26" i="129"/>
  <c r="AA28" i="129"/>
  <c r="AA12" i="129"/>
  <c r="J4" i="129"/>
  <c r="X12" i="129"/>
  <c r="Y12" i="129"/>
  <c r="AB12" i="129"/>
  <c r="H37" i="35"/>
  <c r="H34" i="35"/>
  <c r="O1508" i="141"/>
  <c r="F6" i="137"/>
  <c r="F89" i="60"/>
  <c r="F20" i="18"/>
  <c r="F22" i="18"/>
  <c r="F109" i="60"/>
  <c r="F18" i="18"/>
  <c r="G79" i="35"/>
  <c r="W60" i="136"/>
  <c r="W61" i="136"/>
  <c r="W55" i="136"/>
  <c r="W62" i="136"/>
  <c r="W67" i="136"/>
  <c r="W68" i="136"/>
  <c r="O423" i="141"/>
  <c r="U24" i="129"/>
  <c r="E417" i="141"/>
  <c r="O693" i="141"/>
  <c r="S66" i="35"/>
  <c r="D688" i="141"/>
  <c r="K621" i="141"/>
  <c r="K543" i="141"/>
  <c r="F522" i="141"/>
  <c r="T109" i="60"/>
  <c r="T131" i="60"/>
  <c r="T83" i="60"/>
  <c r="Q70" i="142"/>
  <c r="CA102" i="44"/>
  <c r="G4" i="129"/>
  <c r="C104" i="148"/>
  <c r="C370" i="148"/>
  <c r="AJ62" i="136"/>
  <c r="AJ67" i="136"/>
  <c r="AJ68" i="136"/>
  <c r="Z62" i="136"/>
  <c r="Z67" i="136"/>
  <c r="Z68" i="136"/>
  <c r="AH62" i="136"/>
  <c r="AH67" i="136"/>
  <c r="AH68" i="136"/>
  <c r="AL62" i="136"/>
  <c r="AL67" i="136"/>
  <c r="AL68" i="136"/>
  <c r="AG62" i="136"/>
  <c r="AG67" i="136"/>
  <c r="AG68" i="136"/>
  <c r="AN62" i="136"/>
  <c r="AN67" i="136"/>
  <c r="AN68" i="136"/>
  <c r="AD62" i="136"/>
  <c r="AD67" i="136"/>
  <c r="AD68" i="136"/>
  <c r="AO62" i="136"/>
  <c r="AO67" i="136"/>
  <c r="AO68" i="136"/>
  <c r="R38" i="35"/>
  <c r="K732" i="141"/>
  <c r="O735" i="141"/>
  <c r="I801" i="141"/>
  <c r="I857" i="141"/>
  <c r="P8" i="18"/>
  <c r="O803" i="141"/>
  <c r="L66" i="141"/>
  <c r="L75" i="141"/>
  <c r="AB43" i="129"/>
  <c r="AA43" i="129"/>
  <c r="X43" i="129"/>
  <c r="Y43" i="129"/>
  <c r="AA53" i="129"/>
  <c r="H46" i="129"/>
  <c r="F36" i="129"/>
  <c r="AA38" i="129"/>
  <c r="E14" i="35"/>
  <c r="E14" i="142"/>
  <c r="H24" i="35"/>
  <c r="H20" i="35"/>
  <c r="H24" i="142"/>
  <c r="O1494" i="141"/>
  <c r="M52" i="35"/>
  <c r="O1136" i="141"/>
  <c r="M52" i="142"/>
  <c r="AA25" i="129"/>
  <c r="X25" i="129"/>
  <c r="Y25" i="129"/>
  <c r="E18" i="129"/>
  <c r="R89" i="60"/>
  <c r="S90" i="60"/>
  <c r="R109" i="60"/>
  <c r="R18" i="18"/>
  <c r="S79" i="35"/>
  <c r="R6" i="137"/>
  <c r="S77" i="35"/>
  <c r="R88" i="60"/>
  <c r="X15" i="136"/>
  <c r="AE77" i="136"/>
  <c r="W17" i="136"/>
  <c r="X17" i="136"/>
  <c r="O650" i="141"/>
  <c r="S23" i="35"/>
  <c r="Z23" i="35"/>
  <c r="H647" i="141"/>
  <c r="O1687" i="141"/>
  <c r="F59" i="142"/>
  <c r="P27" i="35"/>
  <c r="P20" i="35"/>
  <c r="P27" i="142"/>
  <c r="O878" i="141"/>
  <c r="G66" i="35"/>
  <c r="G66" i="142"/>
  <c r="H4" i="149"/>
  <c r="H33" i="149"/>
  <c r="K493" i="141"/>
  <c r="K466" i="141"/>
  <c r="K527" i="141"/>
  <c r="K511" i="141"/>
  <c r="K468" i="141"/>
  <c r="K545" i="141"/>
  <c r="K544" i="141"/>
  <c r="K505" i="141"/>
  <c r="BW102" i="55"/>
  <c r="K534" i="141"/>
  <c r="K531" i="141"/>
  <c r="K529" i="141"/>
  <c r="L534" i="141"/>
  <c r="L531" i="141"/>
  <c r="B10" i="149"/>
  <c r="B39" i="149"/>
  <c r="K526" i="141"/>
  <c r="K524" i="141"/>
  <c r="K528" i="141"/>
  <c r="K507" i="141"/>
  <c r="K538" i="141"/>
  <c r="K535" i="141"/>
  <c r="D857" i="141"/>
  <c r="P3" i="18"/>
  <c r="E32" i="129"/>
  <c r="AB34" i="129"/>
  <c r="AA34" i="129"/>
  <c r="X15" i="129"/>
  <c r="Y15" i="129"/>
  <c r="AA15" i="129"/>
  <c r="AB15" i="129"/>
  <c r="E9" i="35"/>
  <c r="E9" i="142"/>
  <c r="X10" i="129"/>
  <c r="Y10" i="129"/>
  <c r="AA10" i="129"/>
  <c r="AB10" i="129"/>
  <c r="E587" i="141"/>
  <c r="E621" i="141"/>
  <c r="E602" i="141"/>
  <c r="E505" i="141"/>
  <c r="E620" i="141"/>
  <c r="E603" i="141"/>
  <c r="E619" i="141"/>
  <c r="E614" i="141"/>
  <c r="E611" i="141"/>
  <c r="E581" i="141"/>
  <c r="E606" i="141"/>
  <c r="E600" i="141"/>
  <c r="E609" i="141"/>
  <c r="E582" i="141"/>
  <c r="E580" i="141"/>
  <c r="E610" i="141"/>
  <c r="E583" i="141"/>
  <c r="E586" i="141"/>
  <c r="E506" i="141"/>
  <c r="AV58" i="136"/>
  <c r="AV59" i="136"/>
  <c r="AV60" i="136"/>
  <c r="X34" i="129"/>
  <c r="R41" i="142"/>
  <c r="O742" i="141"/>
  <c r="P53" i="142"/>
  <c r="Q43" i="142"/>
  <c r="K581" i="141"/>
  <c r="E601" i="141"/>
  <c r="AA69" i="129"/>
  <c r="J56" i="60"/>
  <c r="J28" i="18"/>
  <c r="J10" i="137"/>
  <c r="Z56" i="60"/>
  <c r="AA56" i="60"/>
  <c r="O518" i="141"/>
  <c r="N512" i="141"/>
  <c r="D7" i="149"/>
  <c r="D36" i="149"/>
  <c r="M586" i="141"/>
  <c r="M606" i="141"/>
  <c r="M602" i="141"/>
  <c r="M601" i="141"/>
  <c r="M600" i="141"/>
  <c r="M603" i="141"/>
  <c r="M580" i="141"/>
  <c r="M587" i="141"/>
  <c r="M609" i="141"/>
  <c r="M614" i="141"/>
  <c r="M611" i="141"/>
  <c r="M619" i="141"/>
  <c r="M581" i="141"/>
  <c r="Q56" i="142"/>
  <c r="Q56" i="35"/>
  <c r="P36" i="129"/>
  <c r="AB41" i="129"/>
  <c r="G65" i="129"/>
  <c r="AA68" i="129"/>
  <c r="I46" i="129"/>
  <c r="X50" i="129"/>
  <c r="Y50" i="129"/>
  <c r="AA30" i="129"/>
  <c r="X30" i="129"/>
  <c r="Y30" i="129"/>
  <c r="X13" i="129"/>
  <c r="Y13" i="129"/>
  <c r="AB13" i="129"/>
  <c r="AA13" i="129"/>
  <c r="M41" i="35"/>
  <c r="M41" i="142"/>
  <c r="E76" i="142"/>
  <c r="E77" i="35"/>
  <c r="Y55" i="136"/>
  <c r="Y62" i="136"/>
  <c r="Y67" i="136"/>
  <c r="Y68" i="136"/>
  <c r="Y60" i="136"/>
  <c r="Y61" i="136"/>
  <c r="G434" i="141"/>
  <c r="K586" i="141"/>
  <c r="K584" i="141"/>
  <c r="G448" i="141"/>
  <c r="T27" i="18"/>
  <c r="R47" i="142"/>
  <c r="E93" i="148"/>
  <c r="E141" i="148"/>
  <c r="K510" i="141"/>
  <c r="AA90" i="60"/>
  <c r="AB25" i="129"/>
  <c r="R86" i="60"/>
  <c r="AB38" i="129"/>
  <c r="D1861" i="141"/>
  <c r="K1861" i="141"/>
  <c r="L1861" i="141"/>
  <c r="X68" i="129"/>
  <c r="AB62" i="129"/>
  <c r="AB53" i="129"/>
  <c r="X52" i="129"/>
  <c r="Y52" i="129"/>
  <c r="AA50" i="129"/>
  <c r="AA48" i="129"/>
  <c r="H36" i="129"/>
  <c r="G36" i="129"/>
  <c r="X40" i="129"/>
  <c r="F26" i="129"/>
  <c r="AB30" i="129"/>
  <c r="X17" i="129"/>
  <c r="Y17" i="129"/>
  <c r="D4" i="129"/>
  <c r="H4" i="129"/>
  <c r="K6" i="129"/>
  <c r="K4" i="129"/>
  <c r="E4" i="129"/>
  <c r="E185" i="148"/>
  <c r="B109" i="60"/>
  <c r="B18" i="18"/>
  <c r="C79" i="35"/>
  <c r="G531" i="141"/>
  <c r="I578" i="141"/>
  <c r="O452" i="141"/>
  <c r="U53" i="129"/>
  <c r="D38" i="35"/>
  <c r="C86" i="60"/>
  <c r="G522" i="141"/>
  <c r="H502" i="141"/>
  <c r="L502" i="141"/>
  <c r="R26" i="136"/>
  <c r="C162" i="148"/>
  <c r="J780" i="141"/>
  <c r="Q9" i="18"/>
  <c r="P70" i="142"/>
  <c r="P67" i="142"/>
  <c r="I535" i="141"/>
  <c r="M445" i="141"/>
  <c r="O12" i="149"/>
  <c r="O41" i="149"/>
  <c r="G31" i="18"/>
  <c r="F857" i="141"/>
  <c r="P5" i="18"/>
  <c r="I425" i="141"/>
  <c r="K8" i="149"/>
  <c r="K37" i="149"/>
  <c r="E703" i="141"/>
  <c r="R4" i="18"/>
  <c r="E65" i="60"/>
  <c r="AB62" i="136"/>
  <c r="AB67" i="136"/>
  <c r="AB68" i="136"/>
  <c r="B6" i="137"/>
  <c r="M541" i="141"/>
  <c r="C11" i="149"/>
  <c r="C40" i="149"/>
  <c r="G578" i="141"/>
  <c r="Q34" i="142"/>
  <c r="J703" i="141"/>
  <c r="R9" i="18"/>
  <c r="H10" i="137"/>
  <c r="H28" i="18"/>
  <c r="D18" i="35"/>
  <c r="D18" i="142"/>
  <c r="Q16" i="18"/>
  <c r="R16" i="18"/>
  <c r="L16" i="142"/>
  <c r="L43" i="142"/>
  <c r="L25" i="142"/>
  <c r="L31" i="142"/>
  <c r="L42" i="142"/>
  <c r="L47" i="142"/>
  <c r="L26" i="142"/>
  <c r="L66" i="142"/>
  <c r="N603" i="141"/>
  <c r="N604" i="141"/>
  <c r="T13" i="35"/>
  <c r="U13" i="35"/>
  <c r="K16" i="18"/>
  <c r="K92" i="60"/>
  <c r="C46" i="142"/>
  <c r="C43" i="142"/>
  <c r="C11" i="142"/>
  <c r="C64" i="142"/>
  <c r="C22" i="142"/>
  <c r="AE73" i="136"/>
  <c r="AN73" i="136"/>
  <c r="AO73" i="136"/>
  <c r="W73" i="136"/>
  <c r="AH73" i="136"/>
  <c r="AI73" i="136"/>
  <c r="F416" i="141"/>
  <c r="O416" i="141"/>
  <c r="U17" i="129"/>
  <c r="F468" i="141"/>
  <c r="O844" i="141"/>
  <c r="G703" i="141"/>
  <c r="R6" i="18"/>
  <c r="O1658" i="141"/>
  <c r="E52" i="142"/>
  <c r="E69" i="142"/>
  <c r="N621" i="141"/>
  <c r="N617" i="141"/>
  <c r="AA9" i="129"/>
  <c r="C51" i="142"/>
  <c r="C55" i="142"/>
  <c r="G54" i="142"/>
  <c r="O896" i="141"/>
  <c r="L23" i="142"/>
  <c r="F467" i="141"/>
  <c r="L14" i="142"/>
  <c r="C45" i="142"/>
  <c r="G134" i="60"/>
  <c r="L54" i="142"/>
  <c r="AB73" i="136"/>
  <c r="L15" i="142"/>
  <c r="L92" i="60"/>
  <c r="L56" i="142"/>
  <c r="E340" i="141"/>
  <c r="E28" i="18"/>
  <c r="E56" i="60"/>
  <c r="C30" i="35"/>
  <c r="C28" i="35"/>
  <c r="O1890" i="141"/>
  <c r="G55" i="142"/>
  <c r="G55" i="35"/>
  <c r="Q53" i="35"/>
  <c r="O829" i="141"/>
  <c r="P25" i="142"/>
  <c r="L584" i="141"/>
  <c r="AM62" i="136"/>
  <c r="AM67" i="136"/>
  <c r="AM68" i="136"/>
  <c r="X62" i="129"/>
  <c r="Y62" i="129"/>
  <c r="AA67" i="129"/>
  <c r="F17" i="142"/>
  <c r="M1861" i="141"/>
  <c r="K1706" i="141"/>
  <c r="E10" i="18"/>
  <c r="N581" i="141"/>
  <c r="N578" i="141"/>
  <c r="N601" i="141"/>
  <c r="C26" i="129"/>
  <c r="O1171" i="141"/>
  <c r="H466" i="141"/>
  <c r="H464" i="141"/>
  <c r="J11" i="149"/>
  <c r="J40" i="149"/>
  <c r="AG73" i="136"/>
  <c r="L30" i="142"/>
  <c r="AK62" i="136"/>
  <c r="AK67" i="136"/>
  <c r="AK68" i="136"/>
  <c r="L37" i="142"/>
  <c r="Q8" i="137"/>
  <c r="O1222" i="141"/>
  <c r="L13" i="142"/>
  <c r="O41" i="35"/>
  <c r="O41" i="142"/>
  <c r="S69" i="35"/>
  <c r="U69" i="35"/>
  <c r="N28" i="60"/>
  <c r="F53" i="142"/>
  <c r="F48" i="142"/>
  <c r="F60" i="142"/>
  <c r="F66" i="142"/>
  <c r="E3" i="137"/>
  <c r="E134" i="60"/>
  <c r="F75" i="142"/>
  <c r="F72" i="142"/>
  <c r="F69" i="142"/>
  <c r="F27" i="142"/>
  <c r="F934" i="141"/>
  <c r="O5" i="18"/>
  <c r="O921" i="141"/>
  <c r="P63" i="35"/>
  <c r="M991" i="141"/>
  <c r="M1010" i="141"/>
  <c r="N12" i="18"/>
  <c r="N58" i="129"/>
  <c r="N55" i="129"/>
  <c r="L765" i="141"/>
  <c r="L780" i="141"/>
  <c r="L934" i="141"/>
  <c r="O11" i="18"/>
  <c r="G598" i="141"/>
  <c r="I431" i="141"/>
  <c r="H598" i="141"/>
  <c r="AB48" i="129"/>
  <c r="X53" i="129"/>
  <c r="Y53" i="129"/>
  <c r="AB67" i="129"/>
  <c r="C59" i="129"/>
  <c r="AA40" i="129"/>
  <c r="H58" i="136"/>
  <c r="H69" i="136"/>
  <c r="Z73" i="136"/>
  <c r="L19" i="133"/>
  <c r="R92" i="60"/>
  <c r="AC73" i="136"/>
  <c r="C71" i="142"/>
  <c r="C67" i="142"/>
  <c r="L52" i="142"/>
  <c r="N458" i="141"/>
  <c r="U8" i="137"/>
  <c r="U16" i="18"/>
  <c r="O51" i="142"/>
  <c r="O40" i="142"/>
  <c r="O14" i="142"/>
  <c r="O18" i="142"/>
  <c r="O50" i="142"/>
  <c r="O763" i="141"/>
  <c r="G780" i="141"/>
  <c r="Q6" i="18"/>
  <c r="I765" i="141"/>
  <c r="I522" i="141"/>
  <c r="X48" i="129"/>
  <c r="Y48" i="129"/>
  <c r="O1678" i="141"/>
  <c r="K25" i="142"/>
  <c r="O1791" i="141"/>
  <c r="E59" i="129"/>
  <c r="L18" i="142"/>
  <c r="K64" i="60"/>
  <c r="K65" i="60"/>
  <c r="C17" i="142"/>
  <c r="C63" i="142"/>
  <c r="L74" i="142"/>
  <c r="L72" i="142"/>
  <c r="AI62" i="136"/>
  <c r="AI67" i="136"/>
  <c r="AI68" i="136"/>
  <c r="C13" i="142"/>
  <c r="AQ73" i="136"/>
  <c r="AR73" i="136"/>
  <c r="AJ73" i="136"/>
  <c r="AA24" i="129"/>
  <c r="BS113" i="49"/>
  <c r="O1228" i="141"/>
  <c r="AB40" i="129"/>
  <c r="C47" i="142"/>
  <c r="C36" i="142"/>
  <c r="C34" i="142"/>
  <c r="C19" i="142"/>
  <c r="AB68" i="129"/>
  <c r="O1203" i="141"/>
  <c r="L45" i="142"/>
  <c r="C8" i="142"/>
  <c r="F43" i="142"/>
  <c r="L10" i="142"/>
  <c r="G30" i="126"/>
  <c r="L53" i="142"/>
  <c r="P18" i="129"/>
  <c r="F31" i="142"/>
  <c r="M12" i="125"/>
  <c r="M31" i="125"/>
  <c r="G31" i="125"/>
  <c r="C38" i="125"/>
  <c r="D10" i="35"/>
  <c r="D10" i="142"/>
  <c r="C24" i="35"/>
  <c r="C20" i="35"/>
  <c r="C24" i="142"/>
  <c r="O1668" i="141"/>
  <c r="F36" i="35"/>
  <c r="F36" i="142"/>
  <c r="K75" i="35"/>
  <c r="K72" i="35"/>
  <c r="O1315" i="141"/>
  <c r="K75" i="142"/>
  <c r="K72" i="142"/>
  <c r="L578" i="141"/>
  <c r="O994" i="141"/>
  <c r="D991" i="141"/>
  <c r="D1010" i="141"/>
  <c r="O997" i="141"/>
  <c r="X72" i="129"/>
  <c r="L33" i="142"/>
  <c r="K134" i="60"/>
  <c r="C32" i="142"/>
  <c r="C28" i="142"/>
  <c r="AL73" i="136"/>
  <c r="N112" i="136"/>
  <c r="O113" i="136"/>
  <c r="F466" i="141"/>
  <c r="K8" i="137"/>
  <c r="L60" i="142"/>
  <c r="AE21" i="136"/>
  <c r="AF21" i="136"/>
  <c r="AM73" i="136"/>
  <c r="O112" i="141"/>
  <c r="K135" i="141"/>
  <c r="O143" i="141"/>
  <c r="J75" i="141"/>
  <c r="C12" i="142"/>
  <c r="O1714" i="141"/>
  <c r="I56" i="35"/>
  <c r="I56" i="142"/>
  <c r="L48" i="35"/>
  <c r="F699" i="141"/>
  <c r="F703" i="141"/>
  <c r="R5" i="18"/>
  <c r="O701" i="141"/>
  <c r="O681" i="141"/>
  <c r="P24" i="142"/>
  <c r="S91" i="55"/>
  <c r="L8" i="142"/>
  <c r="F18" i="129"/>
  <c r="K27" i="142"/>
  <c r="D360" i="141"/>
  <c r="O326" i="141"/>
  <c r="V12" i="129"/>
  <c r="E13" i="161"/>
  <c r="O588" i="141"/>
  <c r="P38" i="149"/>
  <c r="G59" i="46"/>
  <c r="O80" i="61"/>
  <c r="S86" i="51"/>
  <c r="O91" i="55"/>
  <c r="S60" i="54"/>
  <c r="G88" i="53"/>
  <c r="B70" i="28"/>
  <c r="AI91" i="55"/>
  <c r="AE98" i="44"/>
  <c r="AE100" i="44"/>
  <c r="AM91" i="55"/>
  <c r="W99" i="50"/>
  <c r="I20" i="133"/>
  <c r="I248" i="141"/>
  <c r="X27" i="60"/>
  <c r="E14" i="161"/>
  <c r="L297" i="141"/>
  <c r="H297" i="141"/>
  <c r="O73" i="47"/>
  <c r="C59" i="46"/>
  <c r="W88" i="53"/>
  <c r="AU110" i="49"/>
  <c r="I18" i="133"/>
  <c r="BC82" i="61"/>
  <c r="BC84" i="61"/>
  <c r="N70" i="129"/>
  <c r="C70" i="129"/>
  <c r="G26" i="129"/>
  <c r="O738" i="141"/>
  <c r="E360" i="141"/>
  <c r="E377" i="141"/>
  <c r="F369" i="141"/>
  <c r="K73" i="47"/>
  <c r="G91" i="44"/>
  <c r="O37" i="141"/>
  <c r="N60" i="141"/>
  <c r="N75" i="141"/>
  <c r="O1417" i="141"/>
  <c r="Z44" i="35"/>
  <c r="Z32" i="35"/>
  <c r="I85" i="60"/>
  <c r="I89" i="60"/>
  <c r="X23" i="129"/>
  <c r="Y23" i="129"/>
  <c r="C69" i="136"/>
  <c r="C77" i="136"/>
  <c r="C82" i="136"/>
  <c r="AA21" i="60"/>
  <c r="AA28" i="60"/>
  <c r="AA26" i="60"/>
  <c r="M435" i="141"/>
  <c r="O7" i="149"/>
  <c r="O36" i="149"/>
  <c r="G435" i="141"/>
  <c r="I7" i="149"/>
  <c r="I36" i="149"/>
  <c r="F435" i="141"/>
  <c r="H7" i="149"/>
  <c r="H36" i="149"/>
  <c r="D454" i="141"/>
  <c r="F10" i="149"/>
  <c r="F39" i="149"/>
  <c r="D445" i="141"/>
  <c r="F12" i="149"/>
  <c r="F41" i="149"/>
  <c r="C780" i="141"/>
  <c r="Q2" i="18"/>
  <c r="M857" i="141"/>
  <c r="P12" i="18"/>
  <c r="L838" i="141"/>
  <c r="L857" i="141"/>
  <c r="P11" i="18"/>
  <c r="D934" i="141"/>
  <c r="O3" i="18"/>
  <c r="L59" i="129"/>
  <c r="D1628" i="141"/>
  <c r="F3" i="18"/>
  <c r="L1319" i="141"/>
  <c r="J11" i="18"/>
  <c r="H1319" i="141"/>
  <c r="J7" i="18"/>
  <c r="N1396" i="141"/>
  <c r="I13" i="18"/>
  <c r="J1396" i="141"/>
  <c r="I9" i="18"/>
  <c r="O1383" i="141"/>
  <c r="J63" i="35"/>
  <c r="H1381" i="141"/>
  <c r="H1396" i="141"/>
  <c r="I7" i="18"/>
  <c r="N1473" i="141"/>
  <c r="H13" i="18"/>
  <c r="M1473" i="141"/>
  <c r="H12" i="18"/>
  <c r="O1462" i="141"/>
  <c r="I65" i="35"/>
  <c r="G1473" i="141"/>
  <c r="H6" i="18"/>
  <c r="G59" i="129"/>
  <c r="I1550" i="141"/>
  <c r="G8" i="18"/>
  <c r="H1550" i="141"/>
  <c r="G7" i="18"/>
  <c r="F1550" i="141"/>
  <c r="G5" i="18"/>
  <c r="F1628" i="141"/>
  <c r="F5" i="18"/>
  <c r="CE96" i="61"/>
  <c r="AF62" i="136"/>
  <c r="AF67" i="136"/>
  <c r="AF68" i="136"/>
  <c r="X62" i="136"/>
  <c r="X67" i="136"/>
  <c r="X68" i="136"/>
  <c r="N445" i="141"/>
  <c r="P12" i="149"/>
  <c r="P41" i="149"/>
  <c r="C99" i="50"/>
  <c r="G86" i="51"/>
  <c r="G82" i="54"/>
  <c r="O88" i="53"/>
  <c r="O110" i="49"/>
  <c r="AY110" i="49"/>
  <c r="D28" i="60"/>
  <c r="I58" i="136"/>
  <c r="I69" i="136"/>
  <c r="I77" i="136"/>
  <c r="I21" i="133"/>
  <c r="G42" i="133"/>
  <c r="E381" i="141"/>
  <c r="C297" i="141"/>
  <c r="CE27" i="52"/>
  <c r="F11" i="161"/>
  <c r="F6" i="161"/>
  <c r="E6" i="161"/>
  <c r="F9" i="161"/>
  <c r="F10" i="161"/>
  <c r="I346" i="141"/>
  <c r="N54" i="35"/>
  <c r="N54" i="142"/>
  <c r="X39" i="129"/>
  <c r="L36" i="129"/>
  <c r="AB39" i="129"/>
  <c r="AB62" i="60"/>
  <c r="AB61" i="60"/>
  <c r="L18" i="133"/>
  <c r="K18" i="133"/>
  <c r="N18" i="133"/>
  <c r="Q13" i="35"/>
  <c r="Q13" i="142"/>
  <c r="F64" i="142"/>
  <c r="F64" i="35"/>
  <c r="M45" i="35"/>
  <c r="O1126" i="141"/>
  <c r="M45" i="142"/>
  <c r="S19" i="35"/>
  <c r="O633" i="141"/>
  <c r="AA55" i="136"/>
  <c r="AA62" i="136"/>
  <c r="AA67" i="136"/>
  <c r="AA68" i="136"/>
  <c r="AA60" i="136"/>
  <c r="AA61" i="136"/>
  <c r="AC55" i="136"/>
  <c r="AC62" i="136"/>
  <c r="AC67" i="136"/>
  <c r="AC68" i="136"/>
  <c r="AC60" i="136"/>
  <c r="AC61" i="136"/>
  <c r="AB92" i="60"/>
  <c r="AA92" i="60"/>
  <c r="C684" i="141"/>
  <c r="O686" i="141"/>
  <c r="Q20" i="129"/>
  <c r="M724" i="141"/>
  <c r="I724" i="141"/>
  <c r="O727" i="141"/>
  <c r="K1480" i="141"/>
  <c r="K1550" i="141"/>
  <c r="G10" i="18"/>
  <c r="O1482" i="141"/>
  <c r="O1480" i="141"/>
  <c r="O1539" i="141"/>
  <c r="H65" i="35"/>
  <c r="M77" i="35"/>
  <c r="AB134" i="60"/>
  <c r="K761" i="141"/>
  <c r="C1319" i="141"/>
  <c r="J2" i="18"/>
  <c r="G1550" i="141"/>
  <c r="G6" i="18"/>
  <c r="I1473" i="141"/>
  <c r="H8" i="18"/>
  <c r="M36" i="149"/>
  <c r="Q21" i="126"/>
  <c r="J21" i="126"/>
  <c r="G21" i="126"/>
  <c r="BC91" i="55"/>
  <c r="G27" i="60"/>
  <c r="I16" i="133"/>
  <c r="G17" i="133"/>
  <c r="L20" i="133"/>
  <c r="K20" i="133"/>
  <c r="N20" i="133"/>
  <c r="N23" i="133"/>
  <c r="F37" i="35"/>
  <c r="O1664" i="141"/>
  <c r="I14" i="35"/>
  <c r="O1403" i="141"/>
  <c r="O411" i="141"/>
  <c r="U12" i="129"/>
  <c r="E435" i="141"/>
  <c r="G7" i="149"/>
  <c r="G36" i="149"/>
  <c r="O439" i="141"/>
  <c r="U40" i="129"/>
  <c r="H1628" i="141"/>
  <c r="F7" i="18"/>
  <c r="BD24" i="53"/>
  <c r="BD86" i="53"/>
  <c r="BC88" i="53"/>
  <c r="D11" i="126"/>
  <c r="E11" i="126"/>
  <c r="D14" i="126"/>
  <c r="E14" i="126"/>
  <c r="D12" i="126"/>
  <c r="E12" i="126"/>
  <c r="C131" i="141"/>
  <c r="O133" i="141"/>
  <c r="O131" i="141"/>
  <c r="M19" i="141"/>
  <c r="M75" i="141"/>
  <c r="O21" i="141"/>
  <c r="E27" i="35"/>
  <c r="E27" i="142"/>
  <c r="Q40" i="136"/>
  <c r="K864" i="141"/>
  <c r="O866" i="141"/>
  <c r="E1473" i="141"/>
  <c r="H4" i="18"/>
  <c r="O1537" i="141"/>
  <c r="H63" i="142"/>
  <c r="I340" i="141"/>
  <c r="AB88" i="60"/>
  <c r="I1319" i="141"/>
  <c r="J8" i="18"/>
  <c r="E919" i="141"/>
  <c r="E934" i="141"/>
  <c r="O4" i="18"/>
  <c r="Q109" i="60"/>
  <c r="Q18" i="18"/>
  <c r="R79" i="35"/>
  <c r="L66" i="60"/>
  <c r="E60" i="125"/>
  <c r="E318" i="148"/>
  <c r="G6" i="137"/>
  <c r="D1319" i="141"/>
  <c r="J3" i="18"/>
  <c r="K1319" i="141"/>
  <c r="J10" i="18"/>
  <c r="D1535" i="141"/>
  <c r="D1550" i="141"/>
  <c r="G3" i="18"/>
  <c r="G54" i="125"/>
  <c r="G61" i="125"/>
  <c r="G56" i="125"/>
  <c r="Q24" i="126"/>
  <c r="G24" i="126"/>
  <c r="J24" i="126"/>
  <c r="J33" i="126"/>
  <c r="Q33" i="126"/>
  <c r="G33" i="126"/>
  <c r="O33" i="126"/>
  <c r="J34" i="126"/>
  <c r="Q34" i="126"/>
  <c r="J27" i="60"/>
  <c r="J28" i="60"/>
  <c r="J26" i="60"/>
  <c r="J38" i="60"/>
  <c r="J125" i="60"/>
  <c r="D53" i="35"/>
  <c r="D53" i="142"/>
  <c r="E43" i="35"/>
  <c r="E38" i="35"/>
  <c r="E43" i="142"/>
  <c r="O1746" i="141"/>
  <c r="F47" i="35"/>
  <c r="F38" i="35"/>
  <c r="F47" i="142"/>
  <c r="I37" i="35"/>
  <c r="I34" i="35"/>
  <c r="I37" i="142"/>
  <c r="O1431" i="141"/>
  <c r="N71" i="35"/>
  <c r="N67" i="35"/>
  <c r="N71" i="142"/>
  <c r="N67" i="142"/>
  <c r="F1304" i="141"/>
  <c r="F1319" i="141"/>
  <c r="J5" i="18"/>
  <c r="O1306" i="141"/>
  <c r="Q27" i="18"/>
  <c r="L27" i="18"/>
  <c r="C1396" i="141"/>
  <c r="L1550" i="141"/>
  <c r="G11" i="18"/>
  <c r="K857" i="141"/>
  <c r="P10" i="18"/>
  <c r="G1396" i="141"/>
  <c r="I6" i="18"/>
  <c r="O56" i="142"/>
  <c r="I66" i="142"/>
  <c r="O1059" i="141"/>
  <c r="S12" i="125"/>
  <c r="S31" i="125"/>
  <c r="Q10" i="136"/>
  <c r="Z12" i="35"/>
  <c r="J30" i="35"/>
  <c r="J28" i="35"/>
  <c r="O1348" i="141"/>
  <c r="J30" i="142"/>
  <c r="AA51" i="129"/>
  <c r="AB51" i="129"/>
  <c r="X51" i="129"/>
  <c r="P31" i="142"/>
  <c r="P28" i="142"/>
  <c r="P31" i="35"/>
  <c r="O886" i="141"/>
  <c r="C8" i="149"/>
  <c r="C37" i="149"/>
  <c r="N857" i="141"/>
  <c r="P13" i="18"/>
  <c r="N765" i="141"/>
  <c r="AP67" i="136"/>
  <c r="M1535" i="141"/>
  <c r="M1550" i="141"/>
  <c r="G12" i="18"/>
  <c r="M1396" i="141"/>
  <c r="I12" i="18"/>
  <c r="AA39" i="129"/>
  <c r="O906" i="141"/>
  <c r="P12" i="125"/>
  <c r="P31" i="125"/>
  <c r="X11" i="129"/>
  <c r="Y11" i="129"/>
  <c r="AB11" i="129"/>
  <c r="H346" i="141"/>
  <c r="O19" i="35"/>
  <c r="O6" i="35"/>
  <c r="O940" i="141"/>
  <c r="Q87" i="60"/>
  <c r="AA109" i="60"/>
  <c r="AA110" i="60"/>
  <c r="AB61" i="129"/>
  <c r="I445" i="141"/>
  <c r="K12" i="149"/>
  <c r="K41" i="149"/>
  <c r="E445" i="141"/>
  <c r="G12" i="149"/>
  <c r="G41" i="149"/>
  <c r="AB89" i="60"/>
  <c r="C1473" i="141"/>
  <c r="H2" i="18"/>
  <c r="M4" i="149"/>
  <c r="I14" i="142"/>
  <c r="J44" i="142"/>
  <c r="F37" i="142"/>
  <c r="D66" i="35"/>
  <c r="D66" i="142"/>
  <c r="G25" i="35"/>
  <c r="G25" i="142"/>
  <c r="Q32" i="35"/>
  <c r="Q28" i="35"/>
  <c r="O809" i="141"/>
  <c r="Q32" i="142"/>
  <c r="Q28" i="142"/>
  <c r="O726" i="141"/>
  <c r="E724" i="141"/>
  <c r="E780" i="141"/>
  <c r="Q4" i="18"/>
  <c r="L131" i="60"/>
  <c r="Q131" i="60"/>
  <c r="Q26" i="136"/>
  <c r="C25" i="18"/>
  <c r="C113" i="60"/>
  <c r="H76" i="142"/>
  <c r="B15" i="18"/>
  <c r="B17" i="18"/>
  <c r="Q71" i="142"/>
  <c r="O1572" i="141"/>
  <c r="AB23" i="129"/>
  <c r="I24" i="142"/>
  <c r="L70" i="129"/>
  <c r="X73" i="129"/>
  <c r="AA21" i="129"/>
  <c r="AB21" i="129"/>
  <c r="X21" i="129"/>
  <c r="Y21" i="129"/>
  <c r="J838" i="141"/>
  <c r="J857" i="141"/>
  <c r="P9" i="18"/>
  <c r="O840" i="141"/>
  <c r="F765" i="141"/>
  <c r="F780" i="141"/>
  <c r="Q5" i="18"/>
  <c r="AB64" i="60"/>
  <c r="AB83" i="60"/>
  <c r="I24" i="35"/>
  <c r="I20" i="35"/>
  <c r="J56" i="35"/>
  <c r="J56" i="142"/>
  <c r="L18" i="129"/>
  <c r="AA23" i="129"/>
  <c r="O441" i="141"/>
  <c r="U42" i="129"/>
  <c r="I435" i="141"/>
  <c r="K7" i="149"/>
  <c r="K36" i="149"/>
  <c r="AA11" i="129"/>
  <c r="E16" i="35"/>
  <c r="E16" i="142"/>
  <c r="F23" i="35"/>
  <c r="F20" i="35"/>
  <c r="F23" i="142"/>
  <c r="O1650" i="141"/>
  <c r="I50" i="35"/>
  <c r="O1445" i="141"/>
  <c r="I50" i="142"/>
  <c r="L64" i="35"/>
  <c r="L64" i="142"/>
  <c r="O924" i="141"/>
  <c r="K919" i="141"/>
  <c r="O917" i="141"/>
  <c r="I915" i="141"/>
  <c r="I934" i="141"/>
  <c r="O8" i="18"/>
  <c r="O1308" i="141"/>
  <c r="E1304" i="141"/>
  <c r="E1319" i="141"/>
  <c r="J4" i="18"/>
  <c r="M39" i="149"/>
  <c r="M38" i="149"/>
  <c r="M41" i="149"/>
  <c r="C1628" i="141"/>
  <c r="O848" i="141"/>
  <c r="F360" i="141"/>
  <c r="D1396" i="141"/>
  <c r="I3" i="18"/>
  <c r="G607" i="141"/>
  <c r="L598" i="141"/>
  <c r="H1473" i="141"/>
  <c r="H7" i="18"/>
  <c r="I54" i="125"/>
  <c r="I56" i="125"/>
  <c r="AY84" i="61"/>
  <c r="H3" i="137"/>
  <c r="I54" i="142"/>
  <c r="I31" i="142"/>
  <c r="I16" i="142"/>
  <c r="D8" i="137"/>
  <c r="D16" i="18"/>
  <c r="AH75" i="136"/>
  <c r="AK75" i="136"/>
  <c r="AE23" i="136"/>
  <c r="AF23" i="136"/>
  <c r="AC75" i="136"/>
  <c r="Y75" i="136"/>
  <c r="O616" i="141"/>
  <c r="O923" i="141"/>
  <c r="P65" i="35"/>
  <c r="AA132" i="60"/>
  <c r="F1473" i="141"/>
  <c r="H5" i="18"/>
  <c r="D1473" i="141"/>
  <c r="H3" i="18"/>
  <c r="W110" i="49"/>
  <c r="G30" i="35"/>
  <c r="O1580" i="141"/>
  <c r="L46" i="129"/>
  <c r="M583" i="141"/>
  <c r="BS97" i="53"/>
  <c r="E1396" i="141"/>
  <c r="I4" i="18"/>
  <c r="K1396" i="141"/>
  <c r="I10" i="18"/>
  <c r="J1550" i="141"/>
  <c r="G9" i="18"/>
  <c r="E1550" i="141"/>
  <c r="G4" i="18"/>
  <c r="G1319" i="141"/>
  <c r="J6" i="18"/>
  <c r="N1010" i="141"/>
  <c r="N13" i="18"/>
  <c r="N1628" i="141"/>
  <c r="F13" i="18"/>
  <c r="E1628" i="141"/>
  <c r="F4" i="18"/>
  <c r="S86" i="60"/>
  <c r="T86" i="60"/>
  <c r="F75" i="35"/>
  <c r="F72" i="35"/>
  <c r="O1702" i="141"/>
  <c r="Q48" i="136"/>
  <c r="Z50" i="35"/>
  <c r="O8" i="137"/>
  <c r="O92" i="60"/>
  <c r="B166" i="148"/>
  <c r="B122" i="148"/>
  <c r="B287" i="148"/>
  <c r="O1385" i="141"/>
  <c r="AA65" i="35"/>
  <c r="D37" i="35"/>
  <c r="D37" i="142"/>
  <c r="Q34" i="136"/>
  <c r="Q32" i="136"/>
  <c r="Z36" i="35"/>
  <c r="U43" i="35"/>
  <c r="T43" i="35"/>
  <c r="H8" i="137"/>
  <c r="I92" i="60"/>
  <c r="E62" i="60"/>
  <c r="F41" i="142"/>
  <c r="F22" i="142"/>
  <c r="V24" i="18"/>
  <c r="V26" i="18"/>
  <c r="J1319" i="141"/>
  <c r="J9" i="18"/>
  <c r="J1473" i="141"/>
  <c r="H9" i="18"/>
  <c r="J6" i="35"/>
  <c r="U55" i="35"/>
  <c r="W91" i="55"/>
  <c r="C91" i="55"/>
  <c r="P80" i="54"/>
  <c r="O82" i="54"/>
  <c r="AE88" i="53"/>
  <c r="AI58" i="45"/>
  <c r="AI80" i="61"/>
  <c r="O266" i="141"/>
  <c r="AB18" i="35"/>
  <c r="AB6" i="35"/>
  <c r="AB83" i="35"/>
  <c r="AA18" i="35"/>
  <c r="C934" i="141"/>
  <c r="O2" i="18"/>
  <c r="F1396" i="141"/>
  <c r="I5" i="18"/>
  <c r="O126" i="44"/>
  <c r="O305" i="141"/>
  <c r="C48" i="35"/>
  <c r="O767" i="141"/>
  <c r="O1074" i="141"/>
  <c r="O1773" i="141"/>
  <c r="X132" i="60"/>
  <c r="N934" i="141"/>
  <c r="O13" i="18"/>
  <c r="K381" i="141"/>
  <c r="G75" i="141"/>
  <c r="AP82" i="136"/>
  <c r="AO82" i="136"/>
  <c r="L1396" i="141"/>
  <c r="I11" i="18"/>
  <c r="E464" i="141"/>
  <c r="G11" i="149"/>
  <c r="G40" i="149"/>
  <c r="I502" i="141"/>
  <c r="D13" i="126"/>
  <c r="E13" i="126"/>
  <c r="O36" i="35"/>
  <c r="O34" i="35"/>
  <c r="O36" i="142"/>
  <c r="Q64" i="136"/>
  <c r="Z64" i="35"/>
  <c r="AB11" i="35"/>
  <c r="T11" i="35"/>
  <c r="U25" i="35"/>
  <c r="T25" i="35"/>
  <c r="AA25" i="35"/>
  <c r="M732" i="141"/>
  <c r="Q29" i="129"/>
  <c r="G32" i="126"/>
  <c r="O97" i="141"/>
  <c r="O5" i="141"/>
  <c r="O27" i="141"/>
  <c r="C60" i="141"/>
  <c r="M60" i="141"/>
  <c r="O68" i="141"/>
  <c r="O71" i="141"/>
  <c r="O66" i="141"/>
  <c r="K75" i="141"/>
  <c r="M28" i="35"/>
  <c r="F92" i="60"/>
  <c r="Y73" i="136"/>
  <c r="G39" i="133"/>
  <c r="D381" i="141"/>
  <c r="F12" i="142"/>
  <c r="L55" i="142"/>
  <c r="AM99" i="50"/>
  <c r="K31" i="125"/>
  <c r="AY99" i="50"/>
  <c r="H28" i="133"/>
  <c r="E69" i="136"/>
  <c r="E77" i="136"/>
  <c r="E82" i="136"/>
  <c r="X92" i="60"/>
  <c r="G342" i="141"/>
  <c r="F379" i="141"/>
  <c r="F377" i="141"/>
  <c r="W58" i="45"/>
  <c r="AI99" i="50"/>
  <c r="AE99" i="50"/>
  <c r="AQ86" i="51"/>
  <c r="AY88" i="53"/>
  <c r="BG109" i="51"/>
  <c r="F17" i="133"/>
  <c r="I381" i="141"/>
  <c r="E1861" i="141"/>
  <c r="N36" i="129"/>
  <c r="H70" i="129"/>
  <c r="N65" i="129"/>
  <c r="H55" i="129"/>
  <c r="J55" i="129"/>
  <c r="K46" i="129"/>
  <c r="E46" i="129"/>
  <c r="D36" i="129"/>
  <c r="K26" i="129"/>
  <c r="X16" i="129"/>
  <c r="Y16" i="129"/>
  <c r="N6" i="129"/>
  <c r="N4" i="129"/>
  <c r="H1846" i="141"/>
  <c r="H1861" i="141"/>
  <c r="G343" i="141"/>
  <c r="M212" i="141"/>
  <c r="O223" i="141"/>
  <c r="S167" i="141" s="1"/>
  <c r="O218" i="141"/>
  <c r="F40" i="142"/>
  <c r="Z51" i="35"/>
  <c r="O770" i="141"/>
  <c r="G344" i="141"/>
  <c r="AY79" i="45"/>
  <c r="C6" i="35"/>
  <c r="D69" i="136"/>
  <c r="D77" i="136"/>
  <c r="M69" i="136"/>
  <c r="M77" i="136"/>
  <c r="BK94" i="55"/>
  <c r="BK96" i="55"/>
  <c r="N69" i="136"/>
  <c r="N77" i="136"/>
  <c r="N82" i="136"/>
  <c r="S69" i="136"/>
  <c r="S77" i="136"/>
  <c r="BK121" i="50"/>
  <c r="G371" i="141"/>
  <c r="S99" i="44"/>
  <c r="H14" i="124"/>
  <c r="Q31" i="125"/>
  <c r="AU66" i="45"/>
  <c r="F26" i="126"/>
  <c r="D27" i="60"/>
  <c r="J52" i="142"/>
  <c r="K69" i="142"/>
  <c r="K85" i="60"/>
  <c r="BO121" i="50"/>
  <c r="G379" i="141"/>
  <c r="CF16" i="52"/>
  <c r="CF17" i="52"/>
  <c r="J603" i="141"/>
  <c r="CF12" i="52"/>
  <c r="J609" i="141"/>
  <c r="J601" i="141"/>
  <c r="K425" i="141"/>
  <c r="M8" i="149"/>
  <c r="M37" i="149"/>
  <c r="C360" i="141"/>
  <c r="CE23" i="52"/>
  <c r="J534" i="141"/>
  <c r="CE19" i="52"/>
  <c r="J545" i="141"/>
  <c r="J504" i="141"/>
  <c r="J505" i="141"/>
  <c r="J527" i="141"/>
  <c r="J529" i="141"/>
  <c r="BW95" i="52"/>
  <c r="J507" i="141"/>
  <c r="J528" i="141"/>
  <c r="J526" i="141"/>
  <c r="J511" i="141"/>
  <c r="J506" i="141"/>
  <c r="J524" i="141"/>
  <c r="J530" i="141"/>
  <c r="C30" i="137"/>
  <c r="D32" i="137"/>
  <c r="C306" i="148"/>
  <c r="N248" i="141"/>
  <c r="O250" i="141"/>
  <c r="O55" i="141"/>
  <c r="O47" i="141"/>
  <c r="F47" i="141"/>
  <c r="AI100" i="44"/>
  <c r="J22" i="126"/>
  <c r="Q22" i="126"/>
  <c r="G22" i="126"/>
  <c r="C27" i="60"/>
  <c r="C28" i="60"/>
  <c r="F28" i="60"/>
  <c r="F27" i="60"/>
  <c r="I134" i="60"/>
  <c r="I28" i="60"/>
  <c r="C28" i="18"/>
  <c r="D56" i="60"/>
  <c r="C10" i="137"/>
  <c r="C56" i="60"/>
  <c r="C9" i="35"/>
  <c r="C9" i="142"/>
  <c r="M11" i="35"/>
  <c r="M11" i="142"/>
  <c r="K9" i="142"/>
  <c r="K9" i="35"/>
  <c r="J13" i="35"/>
  <c r="J13" i="142"/>
  <c r="H33" i="35"/>
  <c r="H28" i="35"/>
  <c r="H33" i="142"/>
  <c r="O1502" i="141"/>
  <c r="H14" i="35"/>
  <c r="H14" i="142"/>
  <c r="I59" i="35"/>
  <c r="O1454" i="141"/>
  <c r="I59" i="142"/>
  <c r="I45" i="35"/>
  <c r="I45" i="142"/>
  <c r="O1435" i="141"/>
  <c r="I32" i="35"/>
  <c r="O1425" i="141"/>
  <c r="I32" i="142"/>
  <c r="J71" i="35"/>
  <c r="J67" i="35"/>
  <c r="J71" i="142"/>
  <c r="O1387" i="141"/>
  <c r="J53" i="35"/>
  <c r="O1368" i="141"/>
  <c r="J53" i="142"/>
  <c r="J41" i="35"/>
  <c r="J41" i="142"/>
  <c r="O1358" i="141"/>
  <c r="K53" i="35"/>
  <c r="K53" i="142"/>
  <c r="O1291" i="141"/>
  <c r="O1281" i="141"/>
  <c r="K44" i="35"/>
  <c r="K38" i="35"/>
  <c r="K44" i="142"/>
  <c r="K33" i="35"/>
  <c r="O1271" i="141"/>
  <c r="K33" i="142"/>
  <c r="K28" i="142"/>
  <c r="M8" i="35"/>
  <c r="M6" i="35"/>
  <c r="O1094" i="141"/>
  <c r="M8" i="142"/>
  <c r="Q55" i="35"/>
  <c r="AA55" i="35"/>
  <c r="Q55" i="142"/>
  <c r="Q46" i="35"/>
  <c r="O819" i="141"/>
  <c r="Q46" i="142"/>
  <c r="AE9" i="136"/>
  <c r="AF9" i="136"/>
  <c r="AF8" i="136"/>
  <c r="H31" i="18"/>
  <c r="B48" i="28"/>
  <c r="B47" i="28"/>
  <c r="B43" i="28"/>
  <c r="L21" i="133"/>
  <c r="K21" i="133"/>
  <c r="J23" i="133"/>
  <c r="L28" i="18"/>
  <c r="L10" i="137"/>
  <c r="K36" i="35"/>
  <c r="K36" i="142"/>
  <c r="K34" i="142"/>
  <c r="O1277" i="141"/>
  <c r="F77" i="35"/>
  <c r="E87" i="60"/>
  <c r="E129" i="60"/>
  <c r="G20" i="126"/>
  <c r="Q20" i="126"/>
  <c r="J20" i="126"/>
  <c r="E151" i="60"/>
  <c r="F151" i="60"/>
  <c r="L28" i="60"/>
  <c r="L134" i="60"/>
  <c r="P74" i="35"/>
  <c r="O930" i="141"/>
  <c r="Z38" i="60"/>
  <c r="Z125" i="60"/>
  <c r="F65" i="60"/>
  <c r="Q6" i="35"/>
  <c r="C351" i="148"/>
  <c r="E351" i="148"/>
  <c r="N74" i="35"/>
  <c r="N72" i="35"/>
  <c r="O1083" i="141"/>
  <c r="O1078" i="141"/>
  <c r="AA61" i="129"/>
  <c r="X61" i="129"/>
  <c r="Y61" i="129"/>
  <c r="AQ83" i="136"/>
  <c r="E131" i="60"/>
  <c r="E11" i="35"/>
  <c r="E11" i="142"/>
  <c r="E66" i="60"/>
  <c r="K24" i="35"/>
  <c r="K20" i="35"/>
  <c r="K24" i="142"/>
  <c r="O1263" i="141"/>
  <c r="Q27" i="60"/>
  <c r="Q28" i="60"/>
  <c r="Q26" i="60"/>
  <c r="AE21" i="60"/>
  <c r="I617" i="141"/>
  <c r="N74" i="142"/>
  <c r="C842" i="141"/>
  <c r="C857" i="141"/>
  <c r="P2" i="18"/>
  <c r="AD21" i="60"/>
  <c r="P74" i="142"/>
  <c r="P72" i="142"/>
  <c r="I508" i="141"/>
  <c r="F71" i="35"/>
  <c r="F67" i="35"/>
  <c r="F71" i="142"/>
  <c r="O1697" i="141"/>
  <c r="F19" i="35"/>
  <c r="F6" i="35"/>
  <c r="F19" i="142"/>
  <c r="H45" i="35"/>
  <c r="H38" i="35"/>
  <c r="O1512" i="141"/>
  <c r="M64" i="35"/>
  <c r="M64" i="142"/>
  <c r="G51" i="35"/>
  <c r="G51" i="142"/>
  <c r="E11" i="149"/>
  <c r="E40" i="149"/>
  <c r="N28" i="35"/>
  <c r="E454" i="141"/>
  <c r="G10" i="149"/>
  <c r="G39" i="149"/>
  <c r="F77" i="136"/>
  <c r="H45" i="142"/>
  <c r="M522" i="141"/>
  <c r="C12" i="149"/>
  <c r="C41" i="149"/>
  <c r="H780" i="141"/>
  <c r="Q7" i="18"/>
  <c r="G34" i="126"/>
  <c r="N56" i="60"/>
  <c r="M10" i="137"/>
  <c r="O1624" i="141"/>
  <c r="G75" i="142"/>
  <c r="G72" i="142"/>
  <c r="N134" i="60"/>
  <c r="O10" i="142"/>
  <c r="O52" i="142"/>
  <c r="O47" i="142"/>
  <c r="O37" i="142"/>
  <c r="O25" i="142"/>
  <c r="O13" i="142"/>
  <c r="O31" i="142"/>
  <c r="O22" i="142"/>
  <c r="O11" i="142"/>
  <c r="O12" i="142"/>
  <c r="O66" i="142"/>
  <c r="O32" i="142"/>
  <c r="O71" i="142"/>
  <c r="O67" i="142"/>
  <c r="O30" i="142"/>
  <c r="N62" i="60"/>
  <c r="O19" i="142"/>
  <c r="N381" i="141"/>
  <c r="C46" i="35"/>
  <c r="C38" i="35"/>
  <c r="O1900" i="141"/>
  <c r="D19" i="35"/>
  <c r="D19" i="142"/>
  <c r="E22" i="35"/>
  <c r="O1728" i="141"/>
  <c r="I30" i="35"/>
  <c r="I30" i="142"/>
  <c r="L69" i="35"/>
  <c r="L67" i="35"/>
  <c r="O1232" i="141"/>
  <c r="L69" i="142"/>
  <c r="G33" i="35"/>
  <c r="G33" i="142"/>
  <c r="S28" i="35"/>
  <c r="O1636" i="141"/>
  <c r="Q6" i="137"/>
  <c r="AE85" i="60"/>
  <c r="F150" i="60"/>
  <c r="C70" i="35"/>
  <c r="C67" i="35"/>
  <c r="O1929" i="141"/>
  <c r="K18" i="35"/>
  <c r="K18" i="142"/>
  <c r="H28" i="60"/>
  <c r="H27" i="60"/>
  <c r="K28" i="60"/>
  <c r="K27" i="60"/>
  <c r="E70" i="129"/>
  <c r="AA73" i="129"/>
  <c r="X38" i="129"/>
  <c r="AB28" i="129"/>
  <c r="C4" i="129"/>
  <c r="J9" i="35"/>
  <c r="J9" i="142"/>
  <c r="G171" i="141"/>
  <c r="O174" i="141"/>
  <c r="J45" i="35"/>
  <c r="J45" i="142"/>
  <c r="AA69" i="35"/>
  <c r="L12" i="125"/>
  <c r="L31" i="125"/>
  <c r="C54" i="125"/>
  <c r="C56" i="125"/>
  <c r="K13" i="133"/>
  <c r="L13" i="133"/>
  <c r="L17" i="133"/>
  <c r="F10" i="137"/>
  <c r="F28" i="18"/>
  <c r="D13" i="35"/>
  <c r="D13" i="142"/>
  <c r="O1193" i="141"/>
  <c r="L32" i="142"/>
  <c r="L32" i="35"/>
  <c r="L28" i="35"/>
  <c r="M74" i="35"/>
  <c r="M72" i="35"/>
  <c r="O1160" i="141"/>
  <c r="O1155" i="141"/>
  <c r="O972" i="141"/>
  <c r="O45" i="35"/>
  <c r="O23" i="35"/>
  <c r="O20" i="35"/>
  <c r="O23" i="142"/>
  <c r="Q67" i="35"/>
  <c r="O55" i="35"/>
  <c r="O48" i="35"/>
  <c r="O55" i="142"/>
  <c r="O982" i="141"/>
  <c r="H16" i="142"/>
  <c r="H53" i="142"/>
  <c r="H23" i="142"/>
  <c r="H17" i="142"/>
  <c r="H13" i="142"/>
  <c r="H55" i="142"/>
  <c r="H37" i="142"/>
  <c r="H34" i="142"/>
  <c r="H70" i="142"/>
  <c r="H41" i="142"/>
  <c r="H15" i="142"/>
  <c r="H51" i="142"/>
  <c r="H46" i="142"/>
  <c r="H50" i="142"/>
  <c r="K26" i="142"/>
  <c r="K71" i="142"/>
  <c r="D74" i="35"/>
  <c r="D72" i="35"/>
  <c r="O1857" i="141"/>
  <c r="O1852" i="141"/>
  <c r="D33" i="35"/>
  <c r="D28" i="35"/>
  <c r="D33" i="142"/>
  <c r="X45" i="129"/>
  <c r="Y45" i="129"/>
  <c r="L6" i="129"/>
  <c r="K10" i="142"/>
  <c r="K41" i="142"/>
  <c r="J3" i="137"/>
  <c r="K61" i="60"/>
  <c r="AD10" i="60"/>
  <c r="AE4" i="136"/>
  <c r="K22" i="142"/>
  <c r="Q26" i="142"/>
  <c r="K56" i="60"/>
  <c r="H369" i="141"/>
  <c r="BC21" i="46"/>
  <c r="B41" i="28"/>
  <c r="B44" i="28"/>
  <c r="K14" i="133"/>
  <c r="J92" i="60"/>
  <c r="K51" i="142"/>
  <c r="K66" i="142"/>
  <c r="AB6" i="47"/>
  <c r="S80" i="61"/>
  <c r="W99" i="44"/>
  <c r="C82" i="54"/>
  <c r="AE91" i="55"/>
  <c r="E41" i="28"/>
  <c r="E44" i="28"/>
  <c r="O383" i="141"/>
  <c r="V69" i="129"/>
  <c r="I75" i="35"/>
  <c r="I72" i="35"/>
  <c r="O1469" i="141"/>
  <c r="P85" i="60"/>
  <c r="AA11" i="35"/>
  <c r="I1861" i="141"/>
  <c r="D41" i="28"/>
  <c r="D44" i="28"/>
  <c r="Z16" i="35"/>
  <c r="K54" i="142"/>
  <c r="I27" i="60"/>
  <c r="G40" i="133"/>
  <c r="K40" i="142"/>
  <c r="K16" i="142"/>
  <c r="G73" i="45"/>
  <c r="J26" i="35"/>
  <c r="J26" i="142"/>
  <c r="S80" i="136"/>
  <c r="S79" i="136"/>
  <c r="U26" i="35"/>
  <c r="T26" i="35"/>
  <c r="AA26" i="35"/>
  <c r="D75" i="142"/>
  <c r="C62" i="60"/>
  <c r="AQ91" i="55"/>
  <c r="G366" i="141"/>
  <c r="C70" i="28"/>
  <c r="AE86" i="51"/>
  <c r="H17" i="133"/>
  <c r="O1230" i="141"/>
  <c r="O1460" i="141"/>
  <c r="I63" i="35"/>
  <c r="G374" i="141"/>
  <c r="H360" i="141"/>
  <c r="AM100" i="44"/>
  <c r="C41" i="28"/>
  <c r="C44" i="28"/>
  <c r="BC89" i="51"/>
  <c r="G349" i="141"/>
  <c r="G363" i="141"/>
  <c r="G364" i="141"/>
  <c r="J543" i="141"/>
  <c r="AM100" i="52"/>
  <c r="BS106" i="52"/>
  <c r="J582" i="141"/>
  <c r="J453" i="141"/>
  <c r="J461" i="141"/>
  <c r="J458" i="141"/>
  <c r="J449" i="141"/>
  <c r="J434" i="141"/>
  <c r="CA105" i="52"/>
  <c r="J467" i="141"/>
  <c r="J456" i="141"/>
  <c r="J466" i="141"/>
  <c r="J433" i="141"/>
  <c r="L9" i="149"/>
  <c r="L38" i="149"/>
  <c r="J451" i="141"/>
  <c r="J447" i="141"/>
  <c r="K100" i="52"/>
  <c r="J610" i="141"/>
  <c r="BK100" i="52"/>
  <c r="G100" i="52"/>
  <c r="AI100" i="52"/>
  <c r="J428" i="141"/>
  <c r="O428" i="141"/>
  <c r="U29" i="129"/>
  <c r="J457" i="141"/>
  <c r="O457" i="141"/>
  <c r="U58" i="129"/>
  <c r="J427" i="141"/>
  <c r="J468" i="141"/>
  <c r="J429" i="141"/>
  <c r="J430" i="141"/>
  <c r="J448" i="141"/>
  <c r="BC100" i="52"/>
  <c r="C100" i="52"/>
  <c r="AU100" i="52"/>
  <c r="AE100" i="52"/>
  <c r="BO106" i="52"/>
  <c r="BG100" i="52"/>
  <c r="AA100" i="52"/>
  <c r="J586" i="141"/>
  <c r="J606" i="141"/>
  <c r="AY100" i="52"/>
  <c r="S100" i="52"/>
  <c r="O100" i="52"/>
  <c r="AQ100" i="52"/>
  <c r="J621" i="141"/>
  <c r="J544" i="141"/>
  <c r="W100" i="52"/>
  <c r="J583" i="141"/>
  <c r="J600" i="141"/>
  <c r="J614" i="141"/>
  <c r="I360" i="141"/>
  <c r="I369" i="141"/>
  <c r="H340" i="141"/>
  <c r="K68" i="136"/>
  <c r="K65" i="136"/>
  <c r="J65" i="136"/>
  <c r="E31" i="18"/>
  <c r="F31" i="18"/>
  <c r="G23" i="126"/>
  <c r="Q23" i="126"/>
  <c r="X63" i="129"/>
  <c r="Q59" i="129"/>
  <c r="AB63" i="129"/>
  <c r="AA63" i="129"/>
  <c r="M431" i="141"/>
  <c r="J66" i="60"/>
  <c r="J131" i="60"/>
  <c r="J87" i="60"/>
  <c r="J27" i="18"/>
  <c r="F584" i="141"/>
  <c r="E109" i="60"/>
  <c r="E6" i="137"/>
  <c r="F86" i="60"/>
  <c r="B14" i="18"/>
  <c r="C87" i="148"/>
  <c r="E425" i="141"/>
  <c r="Z83" i="60"/>
  <c r="Z66" i="60"/>
  <c r="Z65" i="60"/>
  <c r="E63" i="148"/>
  <c r="C206" i="148"/>
  <c r="L20" i="18"/>
  <c r="L22" i="18"/>
  <c r="R65" i="60"/>
  <c r="R77" i="35"/>
  <c r="O66" i="60"/>
  <c r="O131" i="60"/>
  <c r="M934" i="141"/>
  <c r="C326" i="148"/>
  <c r="E326" i="148"/>
  <c r="Q31" i="126"/>
  <c r="G31" i="126"/>
  <c r="J31" i="126"/>
  <c r="D43" i="28"/>
  <c r="O386" i="141"/>
  <c r="V72" i="129"/>
  <c r="M56" i="60"/>
  <c r="L22" i="142"/>
  <c r="G43" i="133"/>
  <c r="F56" i="60"/>
  <c r="Z14" i="35"/>
  <c r="H56" i="60"/>
  <c r="G375" i="141"/>
  <c r="G376" i="141"/>
  <c r="G365" i="141"/>
  <c r="G380" i="141"/>
  <c r="G368" i="141"/>
  <c r="G348" i="141"/>
  <c r="CN239" i="53"/>
  <c r="CM241" i="53"/>
  <c r="N184" i="141"/>
  <c r="N183" i="141"/>
  <c r="N182" i="141"/>
  <c r="N181" i="141"/>
  <c r="N179" i="141"/>
  <c r="N188" i="141"/>
  <c r="N187" i="141"/>
  <c r="N185" i="141"/>
  <c r="CM120" i="49"/>
  <c r="M184" i="141"/>
  <c r="M183" i="141"/>
  <c r="M182" i="141"/>
  <c r="M181" i="141"/>
  <c r="M179" i="141"/>
  <c r="M188" i="141"/>
  <c r="M187" i="141"/>
  <c r="M185" i="141"/>
  <c r="CN110" i="51"/>
  <c r="I170" i="141"/>
  <c r="I184" i="141"/>
  <c r="I183" i="141"/>
  <c r="I182" i="141"/>
  <c r="I188" i="141"/>
  <c r="I187" i="141"/>
  <c r="I185" i="141"/>
  <c r="N15" i="162"/>
  <c r="L14" i="162"/>
  <c r="D22" i="162"/>
  <c r="CJ21" i="52"/>
  <c r="CN23" i="52"/>
  <c r="CN21" i="52"/>
  <c r="CN22" i="52"/>
  <c r="W38" i="60"/>
  <c r="X129" i="60"/>
  <c r="X38" i="60"/>
  <c r="E179" i="141"/>
  <c r="E199" i="141"/>
  <c r="E185" i="141"/>
  <c r="J15" i="162"/>
  <c r="P60" i="142"/>
  <c r="B24" i="137"/>
  <c r="C24" i="137"/>
  <c r="D24" i="137"/>
  <c r="E24" i="137"/>
  <c r="F24" i="137"/>
  <c r="G24" i="137"/>
  <c r="H24" i="137"/>
  <c r="I24" i="137"/>
  <c r="J24" i="137"/>
  <c r="K24" i="137"/>
  <c r="L24" i="137"/>
  <c r="Q65" i="60"/>
  <c r="K248" i="141"/>
  <c r="L256" i="141"/>
  <c r="L377" i="141"/>
  <c r="I293" i="141"/>
  <c r="K256" i="141"/>
  <c r="H285" i="141"/>
  <c r="G77" i="35"/>
  <c r="E197" i="148"/>
  <c r="J57" i="142"/>
  <c r="K377" i="141"/>
  <c r="I83" i="136"/>
  <c r="I84" i="136"/>
  <c r="O1691" i="141"/>
  <c r="I276" i="141"/>
  <c r="E306" i="148"/>
  <c r="H256" i="141"/>
  <c r="L276" i="141"/>
  <c r="G285" i="141"/>
  <c r="E6" i="35"/>
  <c r="F262" i="141"/>
  <c r="E285" i="141"/>
  <c r="F76" i="142"/>
  <c r="U38" i="35"/>
  <c r="C27" i="148"/>
  <c r="P40" i="60"/>
  <c r="E293" i="141"/>
  <c r="H293" i="141"/>
  <c r="K276" i="141"/>
  <c r="L293" i="141"/>
  <c r="CJ19" i="53"/>
  <c r="CJ18" i="53"/>
  <c r="CJ17" i="53"/>
  <c r="CJ16" i="53"/>
  <c r="CJ15" i="53"/>
  <c r="CJ14" i="53"/>
  <c r="CJ13" i="53"/>
  <c r="CJ102" i="53"/>
  <c r="CI102" i="53"/>
  <c r="CI104" i="53"/>
  <c r="K285" i="141"/>
  <c r="U36" i="129"/>
  <c r="G57" i="142"/>
  <c r="F11" i="162"/>
  <c r="C26" i="162"/>
  <c r="F8" i="162"/>
  <c r="C23" i="162"/>
  <c r="CJ18" i="52"/>
  <c r="M28" i="142"/>
  <c r="E262" i="148"/>
  <c r="E179" i="148"/>
  <c r="E142" i="148"/>
  <c r="E154" i="148"/>
  <c r="N340" i="141"/>
  <c r="C128" i="148"/>
  <c r="K28" i="35"/>
  <c r="K22" i="126"/>
  <c r="P22" i="126"/>
  <c r="M82" i="136"/>
  <c r="J28" i="142"/>
  <c r="N48" i="35"/>
  <c r="U14" i="137"/>
  <c r="E22" i="148"/>
  <c r="E315" i="148"/>
  <c r="E20" i="148"/>
  <c r="E124" i="148"/>
  <c r="E64" i="148"/>
  <c r="E37" i="148"/>
  <c r="D626" i="141"/>
  <c r="S3" i="18"/>
  <c r="E335" i="148"/>
  <c r="E304" i="148"/>
  <c r="E270" i="148"/>
  <c r="M48" i="142"/>
  <c r="Q25" i="126"/>
  <c r="K360" i="141"/>
  <c r="E28" i="142"/>
  <c r="F276" i="141"/>
  <c r="E116" i="148"/>
  <c r="E247" i="148"/>
  <c r="E217" i="148"/>
  <c r="E59" i="148"/>
  <c r="E21" i="148"/>
  <c r="E238" i="148"/>
  <c r="F15" i="161"/>
  <c r="E86" i="148"/>
  <c r="S66" i="60"/>
  <c r="E194" i="148"/>
  <c r="O538" i="141"/>
  <c r="O449" i="141"/>
  <c r="U50" i="129"/>
  <c r="F75" i="141"/>
  <c r="O75" i="141"/>
  <c r="E73" i="148"/>
  <c r="O510" i="141"/>
  <c r="P48" i="35"/>
  <c r="E350" i="148"/>
  <c r="E148" i="148"/>
  <c r="E214" i="148"/>
  <c r="E280" i="148"/>
  <c r="E291" i="148"/>
  <c r="E289" i="148"/>
  <c r="S109" i="60"/>
  <c r="S18" i="18"/>
  <c r="T79" i="35"/>
  <c r="H262" i="141"/>
  <c r="E157" i="148"/>
  <c r="D28" i="142"/>
  <c r="E51" i="148"/>
  <c r="G24" i="133"/>
  <c r="G26" i="133"/>
  <c r="O991" i="141"/>
  <c r="H626" i="141"/>
  <c r="S7" i="18"/>
  <c r="E52" i="148"/>
  <c r="E264" i="148"/>
  <c r="T110" i="60"/>
  <c r="E224" i="148"/>
  <c r="E28" i="148"/>
  <c r="E334" i="148"/>
  <c r="E24" i="148"/>
  <c r="E110" i="148"/>
  <c r="E253" i="148"/>
  <c r="U18" i="129"/>
  <c r="N369" i="141"/>
  <c r="F256" i="141"/>
  <c r="E19" i="148"/>
  <c r="E72" i="148"/>
  <c r="J20" i="35"/>
  <c r="I38" i="35"/>
  <c r="V70" i="129"/>
  <c r="D34" i="35"/>
  <c r="E87" i="148"/>
  <c r="R65" i="35"/>
  <c r="E95" i="148"/>
  <c r="E106" i="148"/>
  <c r="E177" i="148"/>
  <c r="E153" i="148"/>
  <c r="E192" i="148"/>
  <c r="E209" i="148"/>
  <c r="E225" i="148"/>
  <c r="E56" i="148"/>
  <c r="P83" i="136"/>
  <c r="P84" i="136"/>
  <c r="P85" i="136"/>
  <c r="X90" i="60"/>
  <c r="W20" i="18"/>
  <c r="W22" i="18"/>
  <c r="G262" i="141"/>
  <c r="H276" i="141"/>
  <c r="CJ11" i="52"/>
  <c r="CJ20" i="52"/>
  <c r="CJ19" i="52"/>
  <c r="M20" i="142"/>
  <c r="E140" i="148"/>
  <c r="K464" i="141"/>
  <c r="M11" i="149"/>
  <c r="M40" i="149"/>
  <c r="E370" i="148"/>
  <c r="E155" i="148"/>
  <c r="L20" i="35"/>
  <c r="N65" i="60"/>
  <c r="E265" i="148"/>
  <c r="E317" i="148"/>
  <c r="E167" i="148"/>
  <c r="E321" i="148"/>
  <c r="E311" i="148"/>
  <c r="E48" i="35"/>
  <c r="E196" i="148"/>
  <c r="E206" i="148"/>
  <c r="M23" i="126"/>
  <c r="X125" i="60"/>
  <c r="E162" i="148"/>
  <c r="E285" i="148"/>
  <c r="E358" i="148"/>
  <c r="E223" i="148"/>
  <c r="E49" i="148"/>
  <c r="E97" i="148"/>
  <c r="E282" i="148"/>
  <c r="E332" i="148"/>
  <c r="E249" i="148"/>
  <c r="F454" i="141"/>
  <c r="H10" i="149"/>
  <c r="H39" i="149"/>
  <c r="N28" i="142"/>
  <c r="F293" i="141"/>
  <c r="G276" i="141"/>
  <c r="O350" i="141"/>
  <c r="V45" i="129"/>
  <c r="V36" i="129"/>
  <c r="E256" i="141"/>
  <c r="E262" i="141"/>
  <c r="E276" i="141"/>
  <c r="C304" i="148"/>
  <c r="N20" i="142"/>
  <c r="AR75" i="136"/>
  <c r="C335" i="148"/>
  <c r="L15" i="18"/>
  <c r="E79" i="148"/>
  <c r="F87" i="60"/>
  <c r="E12" i="148"/>
  <c r="E80" i="148"/>
  <c r="J109" i="60"/>
  <c r="J18" i="18"/>
  <c r="K79" i="35"/>
  <c r="J6" i="137"/>
  <c r="I38" i="142"/>
  <c r="N38" i="142"/>
  <c r="G28" i="142"/>
  <c r="D34" i="142"/>
  <c r="E55" i="148"/>
  <c r="M27" i="18"/>
  <c r="N31" i="18"/>
  <c r="F28" i="142"/>
  <c r="E257" i="148"/>
  <c r="E346" i="148"/>
  <c r="N38" i="35"/>
  <c r="C31" i="18"/>
  <c r="J88" i="60"/>
  <c r="E267" i="148"/>
  <c r="G6" i="142"/>
  <c r="M65" i="60"/>
  <c r="E300" i="148"/>
  <c r="H77" i="35"/>
  <c r="E198" i="148"/>
  <c r="N541" i="141"/>
  <c r="D11" i="149"/>
  <c r="D40" i="149"/>
  <c r="J34" i="142"/>
  <c r="J89" i="60"/>
  <c r="J20" i="18"/>
  <c r="J22" i="18"/>
  <c r="N360" i="141"/>
  <c r="H24" i="133"/>
  <c r="J20" i="142"/>
  <c r="E38" i="142"/>
  <c r="O1149" i="141"/>
  <c r="CF28" i="52"/>
  <c r="F12" i="162"/>
  <c r="D72" i="142"/>
  <c r="Z27" i="35"/>
  <c r="L67" i="142"/>
  <c r="K34" i="35"/>
  <c r="O59" i="142"/>
  <c r="K48" i="35"/>
  <c r="J76" i="142"/>
  <c r="G87" i="60"/>
  <c r="G86" i="60"/>
  <c r="E203" i="148"/>
  <c r="E314" i="148"/>
  <c r="E232" i="148"/>
  <c r="D67" i="142"/>
  <c r="O512" i="141"/>
  <c r="K15" i="18"/>
  <c r="G89" i="60"/>
  <c r="M66" i="60"/>
  <c r="E58" i="148"/>
  <c r="O65" i="35"/>
  <c r="N346" i="141"/>
  <c r="I33" i="126"/>
  <c r="E333" i="148"/>
  <c r="E248" i="148"/>
  <c r="K77" i="35"/>
  <c r="O1164" i="141"/>
  <c r="H28" i="142"/>
  <c r="I22" i="126"/>
  <c r="O529" i="141"/>
  <c r="F24" i="133"/>
  <c r="F26" i="133"/>
  <c r="K34" i="126"/>
  <c r="P34" i="126"/>
  <c r="P11" i="149"/>
  <c r="P40" i="149"/>
  <c r="E325" i="148"/>
  <c r="E53" i="148"/>
  <c r="E357" i="148"/>
  <c r="Z110" i="60"/>
  <c r="D57" i="142"/>
  <c r="C626" i="141"/>
  <c r="S2" i="18"/>
  <c r="S38" i="60"/>
  <c r="S125" i="60"/>
  <c r="S129" i="60"/>
  <c r="J6" i="142"/>
  <c r="P129" i="60"/>
  <c r="K32" i="126"/>
  <c r="P32" i="126"/>
  <c r="O450" i="141"/>
  <c r="U51" i="129"/>
  <c r="E15" i="18"/>
  <c r="E17" i="18"/>
  <c r="E347" i="148"/>
  <c r="K69" i="136"/>
  <c r="K77" i="136"/>
  <c r="Q21" i="136"/>
  <c r="R21" i="136"/>
  <c r="O19" i="141"/>
  <c r="AD125" i="60"/>
  <c r="S134" i="60"/>
  <c r="O77" i="35"/>
  <c r="X70" i="129"/>
  <c r="E67" i="142"/>
  <c r="M63" i="142"/>
  <c r="N89" i="60"/>
  <c r="N20" i="18"/>
  <c r="N22" i="18"/>
  <c r="W9" i="136"/>
  <c r="X9" i="136"/>
  <c r="E284" i="148"/>
  <c r="K21" i="126"/>
  <c r="P21" i="126"/>
  <c r="N88" i="60"/>
  <c r="N72" i="142"/>
  <c r="T6" i="35"/>
  <c r="T83" i="35"/>
  <c r="V117" i="60"/>
  <c r="V130" i="60"/>
  <c r="O1613" i="141"/>
  <c r="D20" i="142"/>
  <c r="S65" i="60"/>
  <c r="K369" i="141"/>
  <c r="M369" i="141"/>
  <c r="V87" i="60"/>
  <c r="V27" i="18"/>
  <c r="W31" i="18"/>
  <c r="V66" i="60"/>
  <c r="V131" i="60"/>
  <c r="I27" i="126"/>
  <c r="O434" i="141"/>
  <c r="U35" i="129"/>
  <c r="F6" i="142"/>
  <c r="N48" i="142"/>
  <c r="K27" i="126"/>
  <c r="P27" i="126"/>
  <c r="E348" i="148"/>
  <c r="E45" i="148"/>
  <c r="S27" i="18"/>
  <c r="S31" i="18"/>
  <c r="L346" i="141"/>
  <c r="I377" i="141"/>
  <c r="K57" i="142"/>
  <c r="K20" i="126"/>
  <c r="P20" i="126"/>
  <c r="E83" i="148"/>
  <c r="E48" i="142"/>
  <c r="E310" i="148"/>
  <c r="E144" i="148"/>
  <c r="E356" i="148"/>
  <c r="S83" i="60"/>
  <c r="K28" i="126"/>
  <c r="P28" i="126"/>
  <c r="M360" i="141"/>
  <c r="E20" i="142"/>
  <c r="E36" i="148"/>
  <c r="E222" i="148"/>
  <c r="E191" i="148"/>
  <c r="I29" i="126"/>
  <c r="E86" i="60"/>
  <c r="F65" i="142"/>
  <c r="F65" i="35"/>
  <c r="I32" i="126"/>
  <c r="P38" i="142"/>
  <c r="E344" i="148"/>
  <c r="E295" i="148"/>
  <c r="D38" i="142"/>
  <c r="F63" i="35"/>
  <c r="P38" i="35"/>
  <c r="O171" i="141"/>
  <c r="S160" i="141" s="1"/>
  <c r="J67" i="142"/>
  <c r="K31" i="126"/>
  <c r="P31" i="126"/>
  <c r="M6" i="142"/>
  <c r="G14" i="137"/>
  <c r="I20" i="142"/>
  <c r="H86" i="60"/>
  <c r="K33" i="126"/>
  <c r="P33" i="126"/>
  <c r="T65" i="60"/>
  <c r="K25" i="126"/>
  <c r="P25" i="126"/>
  <c r="E47" i="148"/>
  <c r="N6" i="142"/>
  <c r="S131" i="60"/>
  <c r="I28" i="126"/>
  <c r="F63" i="142"/>
  <c r="E34" i="142"/>
  <c r="O34" i="142"/>
  <c r="I20" i="126"/>
  <c r="I57" i="35"/>
  <c r="K6" i="142"/>
  <c r="E20" i="35"/>
  <c r="E130" i="148"/>
  <c r="D48" i="142"/>
  <c r="K24" i="126"/>
  <c r="P24" i="126"/>
  <c r="C703" i="141"/>
  <c r="R2" i="18"/>
  <c r="I86" i="60"/>
  <c r="I30" i="126"/>
  <c r="S61" i="35"/>
  <c r="Q61" i="136"/>
  <c r="Q58" i="136"/>
  <c r="K30" i="126"/>
  <c r="P30" i="126"/>
  <c r="M617" i="141"/>
  <c r="I34" i="126"/>
  <c r="G129" i="60"/>
  <c r="O1304" i="141"/>
  <c r="K29" i="126"/>
  <c r="P29" i="126"/>
  <c r="E14" i="18"/>
  <c r="J24" i="133"/>
  <c r="H29" i="133"/>
  <c r="H30" i="133"/>
  <c r="I24" i="126"/>
  <c r="I21" i="126"/>
  <c r="Q48" i="35"/>
  <c r="E237" i="148"/>
  <c r="E34" i="148"/>
  <c r="E111" i="148"/>
  <c r="E41" i="148"/>
  <c r="E263" i="148"/>
  <c r="V109" i="60"/>
  <c r="V18" i="18"/>
  <c r="S87" i="60"/>
  <c r="AP61" i="136"/>
  <c r="AR61" i="136"/>
  <c r="D242" i="136"/>
  <c r="D243" i="136"/>
  <c r="C7" i="137"/>
  <c r="C9" i="137"/>
  <c r="C12" i="137"/>
  <c r="O6" i="142"/>
  <c r="D87" i="60"/>
  <c r="D89" i="60"/>
  <c r="D20" i="18"/>
  <c r="D22" i="18"/>
  <c r="K346" i="141"/>
  <c r="O543" i="141"/>
  <c r="C45" i="148"/>
  <c r="AB65" i="129"/>
  <c r="D6" i="137"/>
  <c r="P14" i="137"/>
  <c r="E240" i="148"/>
  <c r="M65" i="142"/>
  <c r="M61" i="142"/>
  <c r="M65" i="35"/>
  <c r="G20" i="142"/>
  <c r="Q31" i="18"/>
  <c r="I17" i="133"/>
  <c r="O580" i="141"/>
  <c r="T30" i="35"/>
  <c r="AA30" i="35"/>
  <c r="E215" i="148"/>
  <c r="D86" i="60"/>
  <c r="G65" i="35"/>
  <c r="G61" i="35"/>
  <c r="M377" i="141"/>
  <c r="E316" i="148"/>
  <c r="D109" i="60"/>
  <c r="D18" i="18"/>
  <c r="E79" i="35"/>
  <c r="O212" i="141"/>
  <c r="O129" i="60"/>
  <c r="D82" i="136"/>
  <c r="D83" i="136"/>
  <c r="D84" i="136"/>
  <c r="D85" i="136"/>
  <c r="D86" i="136"/>
  <c r="M28" i="60"/>
  <c r="M14" i="137"/>
  <c r="E26" i="148"/>
  <c r="O525" i="141"/>
  <c r="M67" i="35"/>
  <c r="U22" i="35"/>
  <c r="G48" i="35"/>
  <c r="M61" i="35"/>
  <c r="O545" i="141"/>
  <c r="L57" i="142"/>
  <c r="E309" i="148"/>
  <c r="H703" i="141"/>
  <c r="R7" i="18"/>
  <c r="E337" i="148"/>
  <c r="R48" i="142"/>
  <c r="E132" i="148"/>
  <c r="O1087" i="141"/>
  <c r="L340" i="141"/>
  <c r="E159" i="148"/>
  <c r="H67" i="142"/>
  <c r="E163" i="148"/>
  <c r="F110" i="60"/>
  <c r="O60" i="141"/>
  <c r="M780" i="141"/>
  <c r="Q12" i="18"/>
  <c r="I65" i="142"/>
  <c r="M15" i="18"/>
  <c r="M112" i="60"/>
  <c r="M4" i="137"/>
  <c r="M5" i="137"/>
  <c r="D14" i="18"/>
  <c r="K340" i="141"/>
  <c r="M340" i="141"/>
  <c r="R60" i="142"/>
  <c r="O1846" i="141"/>
  <c r="G110" i="60"/>
  <c r="E199" i="148"/>
  <c r="L369" i="141"/>
  <c r="M346" i="141"/>
  <c r="B8" i="149"/>
  <c r="B37" i="149"/>
  <c r="K522" i="141"/>
  <c r="I6" i="35"/>
  <c r="M38" i="35"/>
  <c r="Z40" i="35"/>
  <c r="C61" i="142"/>
  <c r="E193" i="148"/>
  <c r="E82" i="148"/>
  <c r="E77" i="148"/>
  <c r="E279" i="148"/>
  <c r="T23" i="35"/>
  <c r="AA23" i="35"/>
  <c r="G67" i="142"/>
  <c r="F61" i="125"/>
  <c r="F55" i="125"/>
  <c r="F58" i="125"/>
  <c r="F60" i="125"/>
  <c r="AB59" i="129"/>
  <c r="AI77" i="136"/>
  <c r="AA46" i="129"/>
  <c r="Q38" i="136"/>
  <c r="Q36" i="136"/>
  <c r="E171" i="148"/>
  <c r="K508" i="141"/>
  <c r="E170" i="148"/>
  <c r="E94" i="148"/>
  <c r="E165" i="148"/>
  <c r="C20" i="18"/>
  <c r="C22" i="18"/>
  <c r="C90" i="60"/>
  <c r="R38" i="60"/>
  <c r="AC38" i="60"/>
  <c r="R129" i="60"/>
  <c r="E242" i="148"/>
  <c r="AD77" i="136"/>
  <c r="AB131" i="60"/>
  <c r="AA134" i="60"/>
  <c r="O530" i="141"/>
  <c r="I109" i="60"/>
  <c r="I18" i="18"/>
  <c r="J79" i="35"/>
  <c r="D48" i="35"/>
  <c r="P20" i="142"/>
  <c r="E266" i="148"/>
  <c r="E35" i="148"/>
  <c r="E15" i="148"/>
  <c r="AA58" i="129"/>
  <c r="E205" i="148"/>
  <c r="E90" i="148"/>
  <c r="E39" i="148"/>
  <c r="C240" i="148"/>
  <c r="K502" i="141"/>
  <c r="C550" i="141"/>
  <c r="T2" i="18"/>
  <c r="E17" i="148"/>
  <c r="B129" i="60"/>
  <c r="H109" i="60"/>
  <c r="H89" i="60"/>
  <c r="H20" i="18"/>
  <c r="H22" i="18"/>
  <c r="H6" i="137"/>
  <c r="AC77" i="136"/>
  <c r="E213" i="148"/>
  <c r="E258" i="148"/>
  <c r="O430" i="141"/>
  <c r="U31" i="129"/>
  <c r="AE25" i="136"/>
  <c r="AF25" i="136"/>
  <c r="K20" i="142"/>
  <c r="AM77" i="136"/>
  <c r="C36" i="125"/>
  <c r="G48" i="142"/>
  <c r="M14" i="18"/>
  <c r="M83" i="136"/>
  <c r="M84" i="136"/>
  <c r="M85" i="136"/>
  <c r="M86" i="136"/>
  <c r="E83" i="136"/>
  <c r="E84" i="136"/>
  <c r="E85" i="136"/>
  <c r="E86" i="136"/>
  <c r="I87" i="60"/>
  <c r="I88" i="60"/>
  <c r="E15" i="161"/>
  <c r="L38" i="142"/>
  <c r="E183" i="148"/>
  <c r="E294" i="148"/>
  <c r="E151" i="148"/>
  <c r="I77" i="35"/>
  <c r="E43" i="148"/>
  <c r="G38" i="142"/>
  <c r="I57" i="142"/>
  <c r="Z77" i="136"/>
  <c r="O602" i="141"/>
  <c r="U52" i="35"/>
  <c r="E255" i="148"/>
  <c r="C18" i="18"/>
  <c r="D79" i="35"/>
  <c r="Y77" i="136"/>
  <c r="J63" i="142"/>
  <c r="I780" i="141"/>
  <c r="Q8" i="18"/>
  <c r="H550" i="141"/>
  <c r="T7" i="18"/>
  <c r="G61" i="142"/>
  <c r="E149" i="148"/>
  <c r="E107" i="148"/>
  <c r="E364" i="148"/>
  <c r="E252" i="148"/>
  <c r="E173" i="148"/>
  <c r="E103" i="148"/>
  <c r="N60" i="35"/>
  <c r="N57" i="35"/>
  <c r="O1068" i="141"/>
  <c r="N60" i="142"/>
  <c r="N57" i="142"/>
  <c r="I76" i="142"/>
  <c r="E161" i="148"/>
  <c r="AL77" i="136"/>
  <c r="X77" i="136"/>
  <c r="D6" i="35"/>
  <c r="F82" i="136"/>
  <c r="F83" i="136"/>
  <c r="F84" i="136"/>
  <c r="F85" i="136"/>
  <c r="F86" i="136"/>
  <c r="AB66" i="60"/>
  <c r="G55" i="125"/>
  <c r="G58" i="125"/>
  <c r="G60" i="125"/>
  <c r="I23" i="133"/>
  <c r="O135" i="141"/>
  <c r="O604" i="141"/>
  <c r="U54" i="35"/>
  <c r="E178" i="148"/>
  <c r="K578" i="141"/>
  <c r="E211" i="148"/>
  <c r="E297" i="148"/>
  <c r="E220" i="148"/>
  <c r="M74" i="129"/>
  <c r="E137" i="148"/>
  <c r="E189" i="148"/>
  <c r="F598" i="141"/>
  <c r="F626" i="141"/>
  <c r="S5" i="18"/>
  <c r="C132" i="60"/>
  <c r="F431" i="141"/>
  <c r="E210" i="148"/>
  <c r="E324" i="148"/>
  <c r="G28" i="35"/>
  <c r="O526" i="141"/>
  <c r="E201" i="148"/>
  <c r="E276" i="148"/>
  <c r="O494" i="141"/>
  <c r="E138" i="148"/>
  <c r="R6" i="142"/>
  <c r="H8" i="149"/>
  <c r="H37" i="149"/>
  <c r="F550" i="141"/>
  <c r="T5" i="18"/>
  <c r="E259" i="148"/>
  <c r="C329" i="148"/>
  <c r="E329" i="148"/>
  <c r="C229" i="148"/>
  <c r="E229" i="148"/>
  <c r="C308" i="148"/>
  <c r="E308" i="148"/>
  <c r="C145" i="148"/>
  <c r="E145" i="148"/>
  <c r="C359" i="148"/>
  <c r="E359" i="148"/>
  <c r="L65" i="35"/>
  <c r="O1226" i="141"/>
  <c r="O1241" i="141"/>
  <c r="E302" i="148"/>
  <c r="O448" i="141"/>
  <c r="U49" i="129"/>
  <c r="C169" i="148"/>
  <c r="E169" i="148"/>
  <c r="C131" i="148"/>
  <c r="E131" i="148"/>
  <c r="G626" i="141"/>
  <c r="S6" i="18"/>
  <c r="M86" i="60"/>
  <c r="M88" i="60"/>
  <c r="M89" i="60"/>
  <c r="M90" i="60"/>
  <c r="M6" i="137"/>
  <c r="N86" i="60"/>
  <c r="M87" i="60"/>
  <c r="N76" i="142"/>
  <c r="N77" i="35"/>
  <c r="O38" i="35"/>
  <c r="E184" i="148"/>
  <c r="N780" i="141"/>
  <c r="Q13" i="18"/>
  <c r="C57" i="148"/>
  <c r="E57" i="148"/>
  <c r="C236" i="148"/>
  <c r="E236" i="148"/>
  <c r="C74" i="148"/>
  <c r="E74" i="148"/>
  <c r="C113" i="148"/>
  <c r="E113" i="148"/>
  <c r="C125" i="148"/>
  <c r="E125" i="148"/>
  <c r="C98" i="148"/>
  <c r="E98" i="148"/>
  <c r="C70" i="148"/>
  <c r="E70" i="148"/>
  <c r="C323" i="148"/>
  <c r="E323" i="148"/>
  <c r="C175" i="148"/>
  <c r="E175" i="148"/>
  <c r="C120" i="148"/>
  <c r="E120" i="148"/>
  <c r="E363" i="148"/>
  <c r="C54" i="148"/>
  <c r="E54" i="148"/>
  <c r="C32" i="148"/>
  <c r="E32" i="148"/>
  <c r="I85" i="136"/>
  <c r="I86" i="136"/>
  <c r="E254" i="148"/>
  <c r="CF22" i="52"/>
  <c r="CE10" i="52"/>
  <c r="O48" i="142"/>
  <c r="O533" i="141"/>
  <c r="O528" i="141"/>
  <c r="I48" i="35"/>
  <c r="N598" i="141"/>
  <c r="N626" i="141"/>
  <c r="S13" i="18"/>
  <c r="E204" i="148"/>
  <c r="E181" i="148"/>
  <c r="E341" i="148"/>
  <c r="Q55" i="129"/>
  <c r="AA57" i="129"/>
  <c r="C18" i="148"/>
  <c r="E18" i="148"/>
  <c r="C172" i="148"/>
  <c r="E172" i="148"/>
  <c r="C118" i="148"/>
  <c r="E118" i="148"/>
  <c r="C241" i="148"/>
  <c r="E241" i="148"/>
  <c r="C48" i="148"/>
  <c r="E48" i="148"/>
  <c r="C200" i="148"/>
  <c r="E200" i="148"/>
  <c r="J74" i="129"/>
  <c r="G80" i="136"/>
  <c r="G82" i="136"/>
  <c r="L28" i="142"/>
  <c r="I63" i="142"/>
  <c r="O28" i="142"/>
  <c r="J69" i="136"/>
  <c r="J77" i="136"/>
  <c r="I2" i="18"/>
  <c r="I15" i="18"/>
  <c r="O1396" i="141"/>
  <c r="O74" i="129"/>
  <c r="P74" i="129"/>
  <c r="AA77" i="136"/>
  <c r="AP77" i="136"/>
  <c r="AG77" i="136"/>
  <c r="AF77" i="136"/>
  <c r="G464" i="141"/>
  <c r="I11" i="149"/>
  <c r="I40" i="149"/>
  <c r="M67" i="142"/>
  <c r="C298" i="148"/>
  <c r="E298" i="148"/>
  <c r="C245" i="148"/>
  <c r="E245" i="148"/>
  <c r="E256" i="148"/>
  <c r="C256" i="148"/>
  <c r="C219" i="148"/>
  <c r="E219" i="148"/>
  <c r="U66" i="60"/>
  <c r="U129" i="60"/>
  <c r="U131" i="60"/>
  <c r="V65" i="60"/>
  <c r="U109" i="60"/>
  <c r="U110" i="60"/>
  <c r="U87" i="60"/>
  <c r="U27" i="18"/>
  <c r="U65" i="60"/>
  <c r="C60" i="148"/>
  <c r="E60" i="148"/>
  <c r="C239" i="148"/>
  <c r="E239" i="148"/>
  <c r="C152" i="148"/>
  <c r="E152" i="148"/>
  <c r="L65" i="142"/>
  <c r="O581" i="141"/>
  <c r="U31" i="35"/>
  <c r="G20" i="35"/>
  <c r="J14" i="18"/>
  <c r="M48" i="35"/>
  <c r="E66" i="148"/>
  <c r="E299" i="148"/>
  <c r="G445" i="141"/>
  <c r="I12" i="149"/>
  <c r="I41" i="149"/>
  <c r="D703" i="141"/>
  <c r="R3" i="18"/>
  <c r="X16" i="18"/>
  <c r="W112" i="60"/>
  <c r="C207" i="148"/>
  <c r="E207" i="148"/>
  <c r="C30" i="148"/>
  <c r="E30" i="148"/>
  <c r="C121" i="148"/>
  <c r="E121" i="148"/>
  <c r="C260" i="148"/>
  <c r="E260" i="148"/>
  <c r="C14" i="148"/>
  <c r="E14" i="148"/>
  <c r="C331" i="148"/>
  <c r="E331" i="148"/>
  <c r="P76" i="142"/>
  <c r="O6" i="137"/>
  <c r="B30" i="137"/>
  <c r="O86" i="60"/>
  <c r="O109" i="60"/>
  <c r="AC109" i="60"/>
  <c r="P77" i="35"/>
  <c r="O89" i="60"/>
  <c r="O87" i="60"/>
  <c r="O88" i="60"/>
  <c r="AC85" i="60"/>
  <c r="J508" i="141"/>
  <c r="O511" i="141"/>
  <c r="O1072" i="141"/>
  <c r="Q48" i="142"/>
  <c r="I20" i="18"/>
  <c r="I22" i="18"/>
  <c r="M109" i="60"/>
  <c r="N110" i="60"/>
  <c r="E187" i="148"/>
  <c r="E115" i="148"/>
  <c r="E277" i="148"/>
  <c r="E78" i="148"/>
  <c r="H61" i="125"/>
  <c r="H55" i="125"/>
  <c r="H58" i="125"/>
  <c r="H60" i="125"/>
  <c r="C100" i="148"/>
  <c r="E100" i="148"/>
  <c r="C84" i="148"/>
  <c r="E84" i="148"/>
  <c r="C202" i="148"/>
  <c r="E202" i="148"/>
  <c r="C42" i="148"/>
  <c r="E42" i="148"/>
  <c r="C158" i="148"/>
  <c r="E158" i="148"/>
  <c r="E286" i="148"/>
  <c r="E76" i="148"/>
  <c r="C117" i="148"/>
  <c r="E117" i="148"/>
  <c r="N74" i="129"/>
  <c r="C137" i="148"/>
  <c r="C30" i="18"/>
  <c r="B112" i="60"/>
  <c r="B4" i="137"/>
  <c r="B5" i="137"/>
  <c r="B7" i="137"/>
  <c r="B9" i="137"/>
  <c r="B12" i="137"/>
  <c r="K480" i="141"/>
  <c r="O493" i="141"/>
  <c r="E233" i="148"/>
  <c r="E320" i="148"/>
  <c r="K607" i="141"/>
  <c r="K617" i="141"/>
  <c r="C146" i="148"/>
  <c r="E146" i="148"/>
  <c r="C127" i="148"/>
  <c r="E127" i="148"/>
  <c r="C134" i="148"/>
  <c r="E134" i="148"/>
  <c r="C75" i="148"/>
  <c r="E75" i="148"/>
  <c r="C126" i="148"/>
  <c r="E126" i="148"/>
  <c r="C301" i="148"/>
  <c r="E301" i="148"/>
  <c r="C352" i="148"/>
  <c r="E352" i="148"/>
  <c r="D11" i="148"/>
  <c r="I11" i="148"/>
  <c r="K11" i="148"/>
  <c r="C11" i="148"/>
  <c r="E11" i="148"/>
  <c r="C38" i="148"/>
  <c r="E38" i="148"/>
  <c r="C212" i="148"/>
  <c r="E212" i="148"/>
  <c r="C273" i="148"/>
  <c r="E273" i="148"/>
  <c r="C340" i="148"/>
  <c r="E340" i="148"/>
  <c r="N522" i="141"/>
  <c r="D12" i="149"/>
  <c r="D41" i="149"/>
  <c r="G38" i="35"/>
  <c r="C303" i="148"/>
  <c r="E303" i="148"/>
  <c r="C336" i="148"/>
  <c r="E336" i="148"/>
  <c r="C231" i="148"/>
  <c r="E231" i="148"/>
  <c r="C338" i="148"/>
  <c r="E338" i="148"/>
  <c r="C349" i="148"/>
  <c r="E349" i="148"/>
  <c r="C61" i="148"/>
  <c r="E61" i="148"/>
  <c r="O429" i="141"/>
  <c r="U30" i="129"/>
  <c r="O453" i="141"/>
  <c r="U54" i="129"/>
  <c r="D6" i="142"/>
  <c r="I626" i="141"/>
  <c r="S8" i="18"/>
  <c r="AB109" i="60"/>
  <c r="AB110" i="60"/>
  <c r="E6" i="142"/>
  <c r="K780" i="141"/>
  <c r="Q10" i="18"/>
  <c r="C38" i="142"/>
  <c r="AB26" i="129"/>
  <c r="AB58" i="129"/>
  <c r="AB46" i="129"/>
  <c r="AB70" i="129"/>
  <c r="C275" i="148"/>
  <c r="E275" i="148"/>
  <c r="C261" i="148"/>
  <c r="E261" i="148"/>
  <c r="C101" i="148"/>
  <c r="E101" i="148"/>
  <c r="C129" i="148"/>
  <c r="E129" i="148"/>
  <c r="C88" i="148"/>
  <c r="E88" i="148"/>
  <c r="C65" i="148"/>
  <c r="E65" i="148"/>
  <c r="C25" i="148"/>
  <c r="E25" i="148"/>
  <c r="F445" i="141"/>
  <c r="H12" i="149"/>
  <c r="H41" i="149"/>
  <c r="E164" i="148"/>
  <c r="E243" i="148"/>
  <c r="L550" i="141"/>
  <c r="B13" i="149"/>
  <c r="B42" i="149"/>
  <c r="C33" i="148"/>
  <c r="E33" i="148"/>
  <c r="C91" i="148"/>
  <c r="E91" i="148"/>
  <c r="C62" i="148"/>
  <c r="E62" i="148"/>
  <c r="C272" i="148"/>
  <c r="E272" i="148"/>
  <c r="C208" i="148"/>
  <c r="E208" i="148"/>
  <c r="C251" i="148"/>
  <c r="E251" i="148"/>
  <c r="E319" i="148"/>
  <c r="C319" i="148"/>
  <c r="C160" i="148"/>
  <c r="E160" i="148"/>
  <c r="C328" i="148"/>
  <c r="E328" i="148"/>
  <c r="C105" i="148"/>
  <c r="E105" i="148"/>
  <c r="C186" i="148"/>
  <c r="E186" i="148"/>
  <c r="G67" i="35"/>
  <c r="E102" i="148"/>
  <c r="O587" i="141"/>
  <c r="T37" i="35"/>
  <c r="AA37" i="35"/>
  <c r="E598" i="141"/>
  <c r="E584" i="141"/>
  <c r="O619" i="141"/>
  <c r="E342" i="148"/>
  <c r="E133" i="148"/>
  <c r="E235" i="148"/>
  <c r="E71" i="148"/>
  <c r="E343" i="148"/>
  <c r="E368" i="148"/>
  <c r="C368" i="148"/>
  <c r="C366" i="148"/>
  <c r="E366" i="148"/>
  <c r="U20" i="18"/>
  <c r="U22" i="18"/>
  <c r="V90" i="60"/>
  <c r="C96" i="148"/>
  <c r="E96" i="148"/>
  <c r="C174" i="148"/>
  <c r="E174" i="148"/>
  <c r="D63" i="35"/>
  <c r="D63" i="142"/>
  <c r="C234" i="148"/>
  <c r="E234" i="148"/>
  <c r="C23" i="148"/>
  <c r="E23" i="148"/>
  <c r="E293" i="148"/>
  <c r="C293" i="148"/>
  <c r="C360" i="148"/>
  <c r="E360" i="148"/>
  <c r="E69" i="148"/>
  <c r="C69" i="148"/>
  <c r="C182" i="148"/>
  <c r="E182" i="148"/>
  <c r="C339" i="148"/>
  <c r="E339" i="148"/>
  <c r="C68" i="148"/>
  <c r="E68" i="148"/>
  <c r="O527" i="141"/>
  <c r="E578" i="141"/>
  <c r="E40" i="148"/>
  <c r="E322" i="148"/>
  <c r="C313" i="148"/>
  <c r="E313" i="148"/>
  <c r="C114" i="148"/>
  <c r="E114" i="148"/>
  <c r="C31" i="148"/>
  <c r="E31" i="148"/>
  <c r="C354" i="148"/>
  <c r="E354" i="148"/>
  <c r="D65" i="35"/>
  <c r="D65" i="142"/>
  <c r="D61" i="125"/>
  <c r="D55" i="125"/>
  <c r="D58" i="125"/>
  <c r="D60" i="125"/>
  <c r="E361" i="148"/>
  <c r="E227" i="148"/>
  <c r="E46" i="148"/>
  <c r="E305" i="148"/>
  <c r="E281" i="148"/>
  <c r="E50" i="148"/>
  <c r="E228" i="148"/>
  <c r="E307" i="148"/>
  <c r="E67" i="148"/>
  <c r="E92" i="148"/>
  <c r="E221" i="148"/>
  <c r="E13" i="148"/>
  <c r="C269" i="148"/>
  <c r="E269" i="148"/>
  <c r="C283" i="148"/>
  <c r="E283" i="148"/>
  <c r="E147" i="148"/>
  <c r="L20" i="142"/>
  <c r="AB129" i="60"/>
  <c r="S82" i="136"/>
  <c r="S83" i="136"/>
  <c r="S84" i="136"/>
  <c r="S85" i="136"/>
  <c r="S92" i="136"/>
  <c r="K74" i="129"/>
  <c r="AB117" i="60"/>
  <c r="AB130" i="60"/>
  <c r="O505" i="141"/>
  <c r="C6" i="142"/>
  <c r="G550" i="141"/>
  <c r="T6" i="18"/>
  <c r="F74" i="129"/>
  <c r="M598" i="141"/>
  <c r="Q38" i="142"/>
  <c r="E112" i="148"/>
  <c r="E123" i="148"/>
  <c r="O417" i="141"/>
  <c r="R72" i="142"/>
  <c r="C29" i="148"/>
  <c r="E29" i="148"/>
  <c r="C246" i="148"/>
  <c r="E246" i="148"/>
  <c r="C292" i="148"/>
  <c r="E292" i="148"/>
  <c r="C119" i="148"/>
  <c r="E119" i="148"/>
  <c r="C99" i="148"/>
  <c r="E99" i="148"/>
  <c r="C85" i="148"/>
  <c r="E85" i="148"/>
  <c r="C278" i="148"/>
  <c r="E278" i="148"/>
  <c r="C330" i="148"/>
  <c r="E330" i="148"/>
  <c r="E136" i="148"/>
  <c r="C136" i="148"/>
  <c r="C230" i="148"/>
  <c r="E230" i="148"/>
  <c r="C176" i="148"/>
  <c r="E176" i="148"/>
  <c r="C139" i="148"/>
  <c r="E139" i="148"/>
  <c r="N502" i="141"/>
  <c r="D8" i="149"/>
  <c r="D37" i="149"/>
  <c r="O601" i="141"/>
  <c r="T51" i="35"/>
  <c r="AA51" i="35"/>
  <c r="F34" i="142"/>
  <c r="G74" i="129"/>
  <c r="AB65" i="60"/>
  <c r="M38" i="142"/>
  <c r="H33" i="126"/>
  <c r="O456" i="141"/>
  <c r="AA70" i="129"/>
  <c r="L23" i="133"/>
  <c r="L24" i="133"/>
  <c r="L26" i="133"/>
  <c r="O524" i="141"/>
  <c r="O609" i="141"/>
  <c r="T59" i="35"/>
  <c r="O467" i="141"/>
  <c r="U68" i="129"/>
  <c r="E74" i="129"/>
  <c r="AC26" i="60"/>
  <c r="AB87" i="60"/>
  <c r="I34" i="142"/>
  <c r="Z63" i="35"/>
  <c r="E135" i="148"/>
  <c r="E288" i="148"/>
  <c r="R38" i="142"/>
  <c r="P48" i="142"/>
  <c r="E104" i="148"/>
  <c r="E156" i="148"/>
  <c r="E44" i="148"/>
  <c r="E180" i="148"/>
  <c r="E81" i="148"/>
  <c r="E369" i="148"/>
  <c r="E365" i="148"/>
  <c r="E362" i="148"/>
  <c r="E244" i="148"/>
  <c r="E150" i="148"/>
  <c r="E274" i="148"/>
  <c r="E268" i="148"/>
  <c r="E143" i="148"/>
  <c r="C89" i="148"/>
  <c r="E89" i="148"/>
  <c r="C218" i="148"/>
  <c r="E218" i="148"/>
  <c r="N531" i="141"/>
  <c r="D10" i="149"/>
  <c r="D39" i="149"/>
  <c r="E188" i="148"/>
  <c r="C188" i="148"/>
  <c r="C296" i="148"/>
  <c r="E296" i="148"/>
  <c r="C312" i="148"/>
  <c r="E312" i="148"/>
  <c r="C290" i="148"/>
  <c r="E290" i="148"/>
  <c r="C226" i="148"/>
  <c r="E226" i="148"/>
  <c r="Z71" i="35"/>
  <c r="P67" i="35"/>
  <c r="E345" i="148"/>
  <c r="E109" i="148"/>
  <c r="N83" i="136"/>
  <c r="N84" i="136"/>
  <c r="N85" i="136"/>
  <c r="O83" i="136"/>
  <c r="O84" i="136"/>
  <c r="O85" i="136"/>
  <c r="O93" i="136"/>
  <c r="N71" i="136"/>
  <c r="H71" i="136"/>
  <c r="H77" i="136"/>
  <c r="H83" i="136"/>
  <c r="H84" i="136"/>
  <c r="H85" i="136"/>
  <c r="H86" i="136"/>
  <c r="E71" i="136"/>
  <c r="F71" i="136"/>
  <c r="C71" i="136"/>
  <c r="G71" i="136"/>
  <c r="M71" i="136"/>
  <c r="O71" i="136"/>
  <c r="D71" i="136"/>
  <c r="N3" i="18"/>
  <c r="N15" i="18"/>
  <c r="N112" i="60"/>
  <c r="O1010" i="141"/>
  <c r="E25" i="18"/>
  <c r="E113" i="60"/>
  <c r="E19" i="18"/>
  <c r="E21" i="18"/>
  <c r="K131" i="60"/>
  <c r="K27" i="18"/>
  <c r="L31" i="18"/>
  <c r="K66" i="60"/>
  <c r="S22" i="35"/>
  <c r="O647" i="141"/>
  <c r="L48" i="142"/>
  <c r="S54" i="35"/>
  <c r="O675" i="141"/>
  <c r="O761" i="141"/>
  <c r="R59" i="142"/>
  <c r="R59" i="35"/>
  <c r="R57" i="35"/>
  <c r="Q63" i="35"/>
  <c r="Q61" i="35"/>
  <c r="Q63" i="142"/>
  <c r="Q61" i="142"/>
  <c r="V129" i="60"/>
  <c r="V38" i="60"/>
  <c r="O570" i="141"/>
  <c r="T22" i="35"/>
  <c r="O1473" i="141"/>
  <c r="C20" i="142"/>
  <c r="K598" i="141"/>
  <c r="O381" i="141"/>
  <c r="V67" i="129"/>
  <c r="G20" i="18"/>
  <c r="G22" i="18"/>
  <c r="H48" i="142"/>
  <c r="I71" i="136"/>
  <c r="O603" i="141"/>
  <c r="T53" i="35"/>
  <c r="AA53" i="35"/>
  <c r="AA36" i="129"/>
  <c r="D26" i="60"/>
  <c r="E14" i="137"/>
  <c r="S74" i="35"/>
  <c r="S72" i="35"/>
  <c r="O699" i="141"/>
  <c r="O694" i="141"/>
  <c r="O688" i="141"/>
  <c r="O60" i="142"/>
  <c r="O57" i="142"/>
  <c r="O60" i="35"/>
  <c r="O57" i="35"/>
  <c r="E502" i="141"/>
  <c r="E550" i="141"/>
  <c r="T4" i="18"/>
  <c r="R20" i="18"/>
  <c r="R22" i="18"/>
  <c r="R90" i="60"/>
  <c r="G431" i="141"/>
  <c r="I9" i="149"/>
  <c r="I38" i="149"/>
  <c r="L34" i="142"/>
  <c r="O504" i="141"/>
  <c r="F464" i="141"/>
  <c r="H11" i="149"/>
  <c r="H40" i="149"/>
  <c r="O610" i="141"/>
  <c r="U60" i="35"/>
  <c r="O1458" i="141"/>
  <c r="U20" i="35"/>
  <c r="G8" i="149"/>
  <c r="G37" i="149"/>
  <c r="J129" i="60"/>
  <c r="AA59" i="129"/>
  <c r="H20" i="142"/>
  <c r="F67" i="142"/>
  <c r="K23" i="133"/>
  <c r="E112" i="60"/>
  <c r="E4" i="137"/>
  <c r="E5" i="137"/>
  <c r="E7" i="137"/>
  <c r="E9" i="137"/>
  <c r="E12" i="137"/>
  <c r="O534" i="141"/>
  <c r="F20" i="142"/>
  <c r="O842" i="141"/>
  <c r="G14" i="18"/>
  <c r="L63" i="35"/>
  <c r="L63" i="142"/>
  <c r="Q22" i="35"/>
  <c r="Q20" i="35"/>
  <c r="O801" i="141"/>
  <c r="Q22" i="142"/>
  <c r="Q20" i="142"/>
  <c r="T18" i="18"/>
  <c r="O63" i="35"/>
  <c r="O63" i="142"/>
  <c r="O61" i="142"/>
  <c r="E617" i="141"/>
  <c r="O606" i="141"/>
  <c r="T56" i="35"/>
  <c r="AA56" i="35"/>
  <c r="O447" i="141"/>
  <c r="U48" i="129"/>
  <c r="H65" i="142"/>
  <c r="H61" i="142"/>
  <c r="O1319" i="141"/>
  <c r="O507" i="141"/>
  <c r="G340" i="141"/>
  <c r="I550" i="141"/>
  <c r="T8" i="18"/>
  <c r="M578" i="141"/>
  <c r="J86" i="60"/>
  <c r="I6" i="137"/>
  <c r="J77" i="35"/>
  <c r="O995" i="141"/>
  <c r="C48" i="142"/>
  <c r="E607" i="141"/>
  <c r="G425" i="141"/>
  <c r="I8" i="149"/>
  <c r="I37" i="149"/>
  <c r="T129" i="60"/>
  <c r="T38" i="60"/>
  <c r="T20" i="18"/>
  <c r="T22" i="18"/>
  <c r="U90" i="60"/>
  <c r="W90" i="60"/>
  <c r="K83" i="136"/>
  <c r="K84" i="136"/>
  <c r="AB57" i="129"/>
  <c r="C74" i="129"/>
  <c r="J38" i="35"/>
  <c r="O94" i="141"/>
  <c r="R82" i="141" s="1"/>
  <c r="Q67" i="142"/>
  <c r="X57" i="129"/>
  <c r="N26" i="60"/>
  <c r="S14" i="137"/>
  <c r="T14" i="137"/>
  <c r="O14" i="137"/>
  <c r="R14" i="137"/>
  <c r="Q14" i="137"/>
  <c r="M584" i="141"/>
  <c r="R31" i="35"/>
  <c r="R28" i="35"/>
  <c r="R31" i="142"/>
  <c r="R28" i="142"/>
  <c r="O732" i="141"/>
  <c r="K541" i="141"/>
  <c r="I74" i="129"/>
  <c r="L626" i="141"/>
  <c r="S11" i="18"/>
  <c r="F34" i="35"/>
  <c r="O582" i="141"/>
  <c r="T32" i="35"/>
  <c r="AA32" i="35"/>
  <c r="AA26" i="129"/>
  <c r="O620" i="141"/>
  <c r="T70" i="35"/>
  <c r="AA70" i="35"/>
  <c r="K6" i="35"/>
  <c r="P65" i="142"/>
  <c r="H74" i="129"/>
  <c r="L65" i="60"/>
  <c r="B16" i="149"/>
  <c r="B29" i="149"/>
  <c r="P63" i="142"/>
  <c r="L6" i="142"/>
  <c r="AA65" i="129"/>
  <c r="C110" i="60"/>
  <c r="Y34" i="129"/>
  <c r="X32" i="129"/>
  <c r="Y32" i="129"/>
  <c r="AB32" i="129"/>
  <c r="AA32" i="129"/>
  <c r="F57" i="142"/>
  <c r="AQ77" i="136"/>
  <c r="AK77" i="136"/>
  <c r="AB77" i="136"/>
  <c r="AH77" i="136"/>
  <c r="AO77" i="136"/>
  <c r="AN77" i="136"/>
  <c r="W77" i="136"/>
  <c r="AJ77" i="136"/>
  <c r="M607" i="141"/>
  <c r="H15" i="18"/>
  <c r="H112" i="60"/>
  <c r="H4" i="137"/>
  <c r="H5" i="137"/>
  <c r="U63" i="35"/>
  <c r="T63" i="35"/>
  <c r="I61" i="35"/>
  <c r="G90" i="60"/>
  <c r="O451" i="141"/>
  <c r="U52" i="129"/>
  <c r="O427" i="141"/>
  <c r="U28" i="129"/>
  <c r="O466" i="141"/>
  <c r="U67" i="129"/>
  <c r="O1938" i="141"/>
  <c r="O38" i="142"/>
  <c r="AB18" i="129"/>
  <c r="Z69" i="35"/>
  <c r="S67" i="35"/>
  <c r="X58" i="129"/>
  <c r="Y58" i="129"/>
  <c r="X65" i="129"/>
  <c r="Y65" i="129"/>
  <c r="P8" i="142"/>
  <c r="P6" i="142"/>
  <c r="O864" i="141"/>
  <c r="P8" i="35"/>
  <c r="S71" i="136"/>
  <c r="J48" i="142"/>
  <c r="P71" i="136"/>
  <c r="K89" i="60"/>
  <c r="L77" i="35"/>
  <c r="K6" i="137"/>
  <c r="K86" i="60"/>
  <c r="L86" i="60"/>
  <c r="L76" i="142"/>
  <c r="K109" i="60"/>
  <c r="K88" i="60"/>
  <c r="K87" i="60"/>
  <c r="R63" i="35"/>
  <c r="R63" i="142"/>
  <c r="AB132" i="60"/>
  <c r="AB90" i="60"/>
  <c r="O1769" i="141"/>
  <c r="O1784" i="141"/>
  <c r="E65" i="35"/>
  <c r="E61" i="35"/>
  <c r="E65" i="142"/>
  <c r="E61" i="142"/>
  <c r="S59" i="35"/>
  <c r="O684" i="141"/>
  <c r="N63" i="35"/>
  <c r="N61" i="35"/>
  <c r="N63" i="142"/>
  <c r="N61" i="142"/>
  <c r="C76" i="35"/>
  <c r="C80" i="35"/>
  <c r="R110" i="60"/>
  <c r="G15" i="18"/>
  <c r="Z38" i="35"/>
  <c r="AA38" i="35"/>
  <c r="P66" i="35"/>
  <c r="Z66" i="35"/>
  <c r="P66" i="142"/>
  <c r="AE109" i="60"/>
  <c r="J48" i="35"/>
  <c r="J65" i="142"/>
  <c r="J65" i="35"/>
  <c r="J61" i="35"/>
  <c r="I48" i="142"/>
  <c r="O838" i="141"/>
  <c r="Q59" i="35"/>
  <c r="Q57" i="35"/>
  <c r="Q59" i="142"/>
  <c r="Q57" i="142"/>
  <c r="P28" i="35"/>
  <c r="AA28" i="35"/>
  <c r="Z31" i="35"/>
  <c r="K63" i="35"/>
  <c r="K63" i="142"/>
  <c r="AA18" i="129"/>
  <c r="H8" i="142"/>
  <c r="H6" i="142"/>
  <c r="H8" i="35"/>
  <c r="H6" i="35"/>
  <c r="O765" i="141"/>
  <c r="H14" i="18"/>
  <c r="R31" i="18"/>
  <c r="R66" i="35"/>
  <c r="R66" i="142"/>
  <c r="Q26" i="129"/>
  <c r="X29" i="129"/>
  <c r="AB29" i="129"/>
  <c r="AA29" i="129"/>
  <c r="AA43" i="35"/>
  <c r="T38" i="35"/>
  <c r="C287" i="148"/>
  <c r="E287" i="148"/>
  <c r="I61" i="125"/>
  <c r="I55" i="125"/>
  <c r="I58" i="125"/>
  <c r="I60" i="125"/>
  <c r="O1861" i="141"/>
  <c r="O20" i="142"/>
  <c r="K38" i="142"/>
  <c r="K48" i="142"/>
  <c r="K67" i="142"/>
  <c r="X28" i="18"/>
  <c r="I28" i="142"/>
  <c r="O1381" i="141"/>
  <c r="P14" i="18"/>
  <c r="H42" i="126"/>
  <c r="F42" i="126"/>
  <c r="G26" i="126"/>
  <c r="I26" i="126"/>
  <c r="I42" i="126"/>
  <c r="J42" i="126"/>
  <c r="J44" i="126"/>
  <c r="E42" i="126"/>
  <c r="J26" i="126"/>
  <c r="K26" i="126"/>
  <c r="P26" i="126"/>
  <c r="D42" i="126"/>
  <c r="Q26" i="126"/>
  <c r="G42" i="126"/>
  <c r="C122" i="148"/>
  <c r="E122" i="148"/>
  <c r="K65" i="142"/>
  <c r="K65" i="35"/>
  <c r="Y51" i="129"/>
  <c r="X46" i="129"/>
  <c r="Y46" i="129"/>
  <c r="O435" i="141"/>
  <c r="R23" i="35"/>
  <c r="R23" i="142"/>
  <c r="O1706" i="141"/>
  <c r="I28" i="35"/>
  <c r="F38" i="142"/>
  <c r="D74" i="129"/>
  <c r="AB36" i="129"/>
  <c r="E166" i="148"/>
  <c r="C166" i="148"/>
  <c r="Z16" i="18"/>
  <c r="AB16" i="18"/>
  <c r="J15" i="18"/>
  <c r="K30" i="18"/>
  <c r="P59" i="142"/>
  <c r="P57" i="142"/>
  <c r="P59" i="35"/>
  <c r="P57" i="35"/>
  <c r="B23" i="137"/>
  <c r="O915" i="141"/>
  <c r="R22" i="35"/>
  <c r="R22" i="142"/>
  <c r="O724" i="141"/>
  <c r="AA16" i="18"/>
  <c r="AN5" i="136"/>
  <c r="AR67" i="136"/>
  <c r="AP68" i="136"/>
  <c r="T66" i="35"/>
  <c r="AA66" i="35"/>
  <c r="AB66" i="35"/>
  <c r="AB61" i="35"/>
  <c r="AD6" i="35"/>
  <c r="U66" i="35"/>
  <c r="F2" i="18"/>
  <c r="O1628" i="141"/>
  <c r="K934" i="141"/>
  <c r="O10" i="18"/>
  <c r="I6" i="142"/>
  <c r="H63" i="35"/>
  <c r="H61" i="35"/>
  <c r="O1535" i="141"/>
  <c r="O1550" i="141"/>
  <c r="AB20" i="129"/>
  <c r="Q18" i="129"/>
  <c r="AA20" i="129"/>
  <c r="X20" i="129"/>
  <c r="Q17" i="136"/>
  <c r="Q3" i="136"/>
  <c r="Z19" i="35"/>
  <c r="S6" i="35"/>
  <c r="J531" i="141"/>
  <c r="CF26" i="52"/>
  <c r="CF30" i="52"/>
  <c r="CF29" i="52"/>
  <c r="CF21" i="52"/>
  <c r="CF20" i="52"/>
  <c r="CF24" i="52"/>
  <c r="CF25" i="52"/>
  <c r="U32" i="35"/>
  <c r="J522" i="141"/>
  <c r="J502" i="141"/>
  <c r="O506" i="141"/>
  <c r="D42" i="28"/>
  <c r="D49" i="28"/>
  <c r="D50" i="28"/>
  <c r="D51" i="28"/>
  <c r="B42" i="28"/>
  <c r="E42" i="28"/>
  <c r="B49" i="28"/>
  <c r="B50" i="28"/>
  <c r="B51" i="28"/>
  <c r="E51" i="28"/>
  <c r="E49" i="28"/>
  <c r="E50" i="28"/>
  <c r="P72" i="35"/>
  <c r="Y38" i="129"/>
  <c r="X36" i="129"/>
  <c r="Y36" i="129"/>
  <c r="J38" i="142"/>
  <c r="AA38" i="60"/>
  <c r="AA129" i="60"/>
  <c r="L14" i="137"/>
  <c r="L26" i="60"/>
  <c r="C49" i="28"/>
  <c r="C50" i="28"/>
  <c r="AF4" i="136"/>
  <c r="AE10" i="136"/>
  <c r="C55" i="125"/>
  <c r="C58" i="125"/>
  <c r="C60" i="125"/>
  <c r="C61" i="125"/>
  <c r="AD27" i="60"/>
  <c r="AE27" i="60"/>
  <c r="N14" i="18"/>
  <c r="J578" i="141"/>
  <c r="C42" i="28"/>
  <c r="L4" i="129"/>
  <c r="L74" i="129"/>
  <c r="AA6" i="129"/>
  <c r="AA4" i="129"/>
  <c r="AB6" i="129"/>
  <c r="AB4" i="129"/>
  <c r="X6" i="129"/>
  <c r="H38" i="142"/>
  <c r="Q38" i="60"/>
  <c r="Q129" i="60"/>
  <c r="O925" i="141"/>
  <c r="O919" i="141"/>
  <c r="B28" i="137"/>
  <c r="C28" i="137"/>
  <c r="P39" i="60"/>
  <c r="P15" i="18"/>
  <c r="P17" i="18"/>
  <c r="C51" i="28"/>
  <c r="K26" i="60"/>
  <c r="K14" i="137"/>
  <c r="Z65" i="35"/>
  <c r="AA46" i="35"/>
  <c r="Q38" i="35"/>
  <c r="AA28" i="18"/>
  <c r="AB28" i="18"/>
  <c r="Z28" i="18"/>
  <c r="C26" i="60"/>
  <c r="D14" i="137"/>
  <c r="C14" i="137"/>
  <c r="I26" i="60"/>
  <c r="I14" i="137"/>
  <c r="AE28" i="60"/>
  <c r="J14" i="137"/>
  <c r="AD28" i="60"/>
  <c r="P6" i="137"/>
  <c r="P89" i="60"/>
  <c r="Q86" i="60"/>
  <c r="Q76" i="142"/>
  <c r="P86" i="60"/>
  <c r="P87" i="60"/>
  <c r="P109" i="60"/>
  <c r="AD85" i="60"/>
  <c r="Q77" i="35"/>
  <c r="P88" i="60"/>
  <c r="N13" i="133"/>
  <c r="N17" i="133"/>
  <c r="N24" i="133"/>
  <c r="N26" i="133"/>
  <c r="K17" i="133"/>
  <c r="H26" i="60"/>
  <c r="H14" i="137"/>
  <c r="F26" i="60"/>
  <c r="F14" i="137"/>
  <c r="O125" i="60"/>
  <c r="H26" i="133"/>
  <c r="D30" i="137"/>
  <c r="E32" i="137"/>
  <c r="O461" i="141"/>
  <c r="U62" i="129"/>
  <c r="J454" i="141"/>
  <c r="L10" i="149"/>
  <c r="L39" i="149"/>
  <c r="J607" i="141"/>
  <c r="J464" i="141"/>
  <c r="L11" i="149"/>
  <c r="L40" i="149"/>
  <c r="J431" i="141"/>
  <c r="O433" i="141"/>
  <c r="O468" i="141"/>
  <c r="U69" i="129"/>
  <c r="J425" i="141"/>
  <c r="L8" i="149"/>
  <c r="L37" i="149"/>
  <c r="J445" i="141"/>
  <c r="L12" i="149"/>
  <c r="L41" i="149"/>
  <c r="O586" i="141"/>
  <c r="J584" i="141"/>
  <c r="J611" i="141"/>
  <c r="O614" i="141"/>
  <c r="J598" i="141"/>
  <c r="O600" i="141"/>
  <c r="O621" i="141"/>
  <c r="J617" i="141"/>
  <c r="O544" i="141"/>
  <c r="J541" i="141"/>
  <c r="O583" i="141"/>
  <c r="L17" i="18"/>
  <c r="L30" i="18"/>
  <c r="L112" i="60"/>
  <c r="Z127" i="60"/>
  <c r="Z126" i="60"/>
  <c r="H31" i="126"/>
  <c r="I31" i="126"/>
  <c r="J31" i="18"/>
  <c r="H23" i="126"/>
  <c r="H20" i="126"/>
  <c r="H28" i="126"/>
  <c r="H21" i="126"/>
  <c r="H30" i="126"/>
  <c r="H32" i="126"/>
  <c r="H24" i="126"/>
  <c r="H34" i="126"/>
  <c r="H25" i="126"/>
  <c r="H27" i="126"/>
  <c r="H22" i="126"/>
  <c r="H29" i="126"/>
  <c r="I23" i="126"/>
  <c r="O12" i="18"/>
  <c r="D17" i="18"/>
  <c r="E30" i="18"/>
  <c r="D30" i="18"/>
  <c r="D112" i="60"/>
  <c r="G346" i="141"/>
  <c r="P93" i="136"/>
  <c r="P86" i="136"/>
  <c r="E18" i="18"/>
  <c r="F79" i="35"/>
  <c r="Y63" i="129"/>
  <c r="X59" i="129"/>
  <c r="G369" i="141"/>
  <c r="B25" i="18"/>
  <c r="B19" i="18"/>
  <c r="E20" i="18"/>
  <c r="F90" i="60"/>
  <c r="G377" i="141"/>
  <c r="Q11" i="18"/>
  <c r="W10" i="136"/>
  <c r="G360" i="141"/>
  <c r="K112" i="60"/>
  <c r="K17" i="18"/>
  <c r="I211" i="141"/>
  <c r="I210" i="141"/>
  <c r="I208" i="141"/>
  <c r="I207" i="141"/>
  <c r="I205" i="141"/>
  <c r="I204" i="141"/>
  <c r="I203" i="141"/>
  <c r="I202" i="141"/>
  <c r="I201" i="141"/>
  <c r="I199" i="141"/>
  <c r="I181" i="141"/>
  <c r="I179" i="141"/>
  <c r="CM112" i="51"/>
  <c r="L15" i="162"/>
  <c r="CN27" i="52"/>
  <c r="CN26" i="52"/>
  <c r="CN18" i="52"/>
  <c r="CN24" i="52"/>
  <c r="CN13" i="52"/>
  <c r="M300" i="141"/>
  <c r="M296" i="141"/>
  <c r="M284" i="141"/>
  <c r="W132" i="60"/>
  <c r="W125" i="60"/>
  <c r="X40" i="60"/>
  <c r="X39" i="60"/>
  <c r="F14" i="162"/>
  <c r="S188" i="141" s="1"/>
  <c r="T188" i="141" s="1"/>
  <c r="C27" i="162"/>
  <c r="M292" i="141"/>
  <c r="M278" i="141"/>
  <c r="M259" i="141"/>
  <c r="M283" i="141"/>
  <c r="U26" i="129"/>
  <c r="M260" i="141"/>
  <c r="Z39" i="60"/>
  <c r="M261" i="141"/>
  <c r="M287" i="141"/>
  <c r="M264" i="141"/>
  <c r="M288" i="141"/>
  <c r="M265" i="141"/>
  <c r="M291" i="141"/>
  <c r="AR77" i="136"/>
  <c r="M31" i="18"/>
  <c r="M279" i="141"/>
  <c r="M290" i="141"/>
  <c r="I24" i="133"/>
  <c r="M254" i="141"/>
  <c r="M280" i="141"/>
  <c r="M295" i="141"/>
  <c r="Z6" i="18"/>
  <c r="Z40" i="60"/>
  <c r="M255" i="141"/>
  <c r="O255" i="141"/>
  <c r="M281" i="141"/>
  <c r="M258" i="141"/>
  <c r="M256" i="141"/>
  <c r="M282" i="141"/>
  <c r="X7" i="18"/>
  <c r="F61" i="35"/>
  <c r="F76" i="35"/>
  <c r="F80" i="35"/>
  <c r="S110" i="60"/>
  <c r="M26" i="60"/>
  <c r="L61" i="35"/>
  <c r="L76" i="35"/>
  <c r="J90" i="60"/>
  <c r="CF19" i="52"/>
  <c r="CJ23" i="52"/>
  <c r="CJ13" i="52"/>
  <c r="CJ22" i="52"/>
  <c r="CJ17" i="52"/>
  <c r="CJ24" i="52"/>
  <c r="CJ16" i="52"/>
  <c r="N14" i="137"/>
  <c r="V31" i="18"/>
  <c r="Z7" i="18"/>
  <c r="U30" i="35"/>
  <c r="U37" i="35"/>
  <c r="O531" i="141"/>
  <c r="O508" i="141"/>
  <c r="O431" i="141"/>
  <c r="U34" i="129"/>
  <c r="U32" i="129"/>
  <c r="U46" i="129"/>
  <c r="O454" i="141"/>
  <c r="U57" i="129"/>
  <c r="U55" i="129"/>
  <c r="X55" i="129"/>
  <c r="Y55" i="129"/>
  <c r="AB7" i="18"/>
  <c r="Z8" i="18"/>
  <c r="R57" i="142"/>
  <c r="T31" i="18"/>
  <c r="AA55" i="129"/>
  <c r="AA74" i="129"/>
  <c r="H25" i="133"/>
  <c r="U51" i="35"/>
  <c r="K85" i="136"/>
  <c r="K86" i="136"/>
  <c r="O61" i="35"/>
  <c r="O76" i="35"/>
  <c r="O80" i="35"/>
  <c r="B5" i="149"/>
  <c r="B34" i="149"/>
  <c r="O541" i="141"/>
  <c r="O535" i="141"/>
  <c r="G25" i="133"/>
  <c r="AB8" i="18"/>
  <c r="AA8" i="18"/>
  <c r="D61" i="142"/>
  <c r="F61" i="142"/>
  <c r="F77" i="142"/>
  <c r="F78" i="142"/>
  <c r="X110" i="60"/>
  <c r="C13" i="137"/>
  <c r="C116" i="60"/>
  <c r="C117" i="60"/>
  <c r="C130" i="60"/>
  <c r="C23" i="18"/>
  <c r="C24" i="18"/>
  <c r="E110" i="60"/>
  <c r="E90" i="60"/>
  <c r="L61" i="142"/>
  <c r="L77" i="142"/>
  <c r="L78" i="142"/>
  <c r="M7" i="137"/>
  <c r="M9" i="137"/>
  <c r="M12" i="137"/>
  <c r="E76" i="35"/>
  <c r="E80" i="35"/>
  <c r="I61" i="142"/>
  <c r="I77" i="142"/>
  <c r="I78" i="142"/>
  <c r="M76" i="35"/>
  <c r="M80" i="35"/>
  <c r="D110" i="60"/>
  <c r="M77" i="142"/>
  <c r="M78" i="142"/>
  <c r="M17" i="18"/>
  <c r="M19" i="18"/>
  <c r="M21" i="18"/>
  <c r="M20" i="18"/>
  <c r="M22" i="18"/>
  <c r="D90" i="60"/>
  <c r="M30" i="18"/>
  <c r="O522" i="141"/>
  <c r="D77" i="142"/>
  <c r="D78" i="142"/>
  <c r="U59" i="35"/>
  <c r="Z74" i="35"/>
  <c r="AA7" i="18"/>
  <c r="E77" i="142"/>
  <c r="E78" i="142"/>
  <c r="X3" i="18"/>
  <c r="G77" i="142"/>
  <c r="G78" i="142"/>
  <c r="G76" i="35"/>
  <c r="B132" i="60"/>
  <c r="I76" i="35"/>
  <c r="J61" i="142"/>
  <c r="J77" i="142"/>
  <c r="J78" i="142"/>
  <c r="C114" i="60"/>
  <c r="P112" i="60"/>
  <c r="P4" i="137"/>
  <c r="P5" i="137"/>
  <c r="P7" i="137"/>
  <c r="P9" i="137"/>
  <c r="P12" i="137"/>
  <c r="J110" i="60"/>
  <c r="AA59" i="35"/>
  <c r="N77" i="142"/>
  <c r="N78" i="142"/>
  <c r="K550" i="141"/>
  <c r="T10" i="18"/>
  <c r="T54" i="35"/>
  <c r="AA54" i="35"/>
  <c r="X8" i="18"/>
  <c r="N76" i="35"/>
  <c r="T488" i="141"/>
  <c r="R15" i="18"/>
  <c r="R17" i="18"/>
  <c r="H18" i="18"/>
  <c r="I79" i="35"/>
  <c r="H110" i="60"/>
  <c r="M110" i="60"/>
  <c r="M25" i="18"/>
  <c r="M113" i="60"/>
  <c r="O703" i="141"/>
  <c r="R125" i="60"/>
  <c r="S40" i="60"/>
  <c r="S39" i="60"/>
  <c r="T20" i="35"/>
  <c r="O425" i="141"/>
  <c r="I14" i="18"/>
  <c r="H76" i="35"/>
  <c r="H80" i="35"/>
  <c r="H90" i="60"/>
  <c r="Q74" i="129"/>
  <c r="AB6" i="18"/>
  <c r="D61" i="35"/>
  <c r="D76" i="35"/>
  <c r="O857" i="141"/>
  <c r="M18" i="18"/>
  <c r="N79" i="35"/>
  <c r="AA3" i="18"/>
  <c r="F93" i="136"/>
  <c r="K626" i="141"/>
  <c r="S10" i="18"/>
  <c r="U56" i="35"/>
  <c r="AB55" i="129"/>
  <c r="AB74" i="129"/>
  <c r="AB3" i="18"/>
  <c r="H7" i="137"/>
  <c r="H9" i="137"/>
  <c r="H12" i="137"/>
  <c r="H13" i="137"/>
  <c r="Q14" i="18"/>
  <c r="P289" i="141"/>
  <c r="R14" i="18"/>
  <c r="Z3" i="18"/>
  <c r="M132" i="60"/>
  <c r="N90" i="60"/>
  <c r="T52" i="35"/>
  <c r="AA52" i="35"/>
  <c r="I90" i="60"/>
  <c r="O445" i="141"/>
  <c r="I17" i="18"/>
  <c r="I25" i="18"/>
  <c r="I113" i="60"/>
  <c r="I112" i="60"/>
  <c r="I114" i="60"/>
  <c r="O607" i="141"/>
  <c r="P613" i="141"/>
  <c r="P61" i="35"/>
  <c r="Z61" i="35"/>
  <c r="R20" i="35"/>
  <c r="R61" i="35"/>
  <c r="R61" i="142"/>
  <c r="T60" i="35"/>
  <c r="AA60" i="35"/>
  <c r="U18" i="18"/>
  <c r="V110" i="60"/>
  <c r="E626" i="141"/>
  <c r="S4" i="18"/>
  <c r="X4" i="18"/>
  <c r="O20" i="18"/>
  <c r="O22" i="18"/>
  <c r="O90" i="60"/>
  <c r="T11" i="18"/>
  <c r="O86" i="136"/>
  <c r="AA6" i="18"/>
  <c r="U31" i="18"/>
  <c r="R20" i="142"/>
  <c r="X6" i="18"/>
  <c r="F11" i="148"/>
  <c r="O18" i="18"/>
  <c r="P79" i="35"/>
  <c r="O110" i="60"/>
  <c r="P61" i="142"/>
  <c r="P77" i="142"/>
  <c r="P78" i="142"/>
  <c r="U57" i="35"/>
  <c r="O502" i="141"/>
  <c r="T31" i="35"/>
  <c r="AA31" i="35"/>
  <c r="E116" i="60"/>
  <c r="E117" i="60"/>
  <c r="E130" i="60"/>
  <c r="E23" i="18"/>
  <c r="E26" i="18"/>
  <c r="E13" i="137"/>
  <c r="Q76" i="35"/>
  <c r="N30" i="18"/>
  <c r="H132" i="60"/>
  <c r="N17" i="18"/>
  <c r="N25" i="18"/>
  <c r="N113" i="60"/>
  <c r="K24" i="133"/>
  <c r="K26" i="133"/>
  <c r="U53" i="35"/>
  <c r="I30" i="18"/>
  <c r="O780" i="141"/>
  <c r="Q67" i="136"/>
  <c r="Q65" i="136"/>
  <c r="Z67" i="35"/>
  <c r="AA67" i="35"/>
  <c r="U70" i="35"/>
  <c r="AB70" i="35"/>
  <c r="AA22" i="35"/>
  <c r="Q52" i="136"/>
  <c r="S48" i="35"/>
  <c r="Z54" i="35"/>
  <c r="N38" i="60"/>
  <c r="N129" i="60"/>
  <c r="C77" i="142"/>
  <c r="C78" i="142"/>
  <c r="H17" i="18"/>
  <c r="H19" i="18"/>
  <c r="H21" i="18"/>
  <c r="T40" i="60"/>
  <c r="T39" i="60"/>
  <c r="U39" i="60"/>
  <c r="T125" i="60"/>
  <c r="U40" i="60"/>
  <c r="Z27" i="18"/>
  <c r="O464" i="141"/>
  <c r="O458" i="141"/>
  <c r="S93" i="136"/>
  <c r="S91" i="136"/>
  <c r="Y67" i="129"/>
  <c r="Z28" i="35"/>
  <c r="V125" i="60"/>
  <c r="V40" i="60"/>
  <c r="V39" i="60"/>
  <c r="AB27" i="18"/>
  <c r="X27" i="18"/>
  <c r="J83" i="136"/>
  <c r="J84" i="136"/>
  <c r="J85" i="136"/>
  <c r="J86" i="136"/>
  <c r="Q77" i="142"/>
  <c r="Q78" i="142"/>
  <c r="M626" i="141"/>
  <c r="S12" i="18"/>
  <c r="E132" i="60"/>
  <c r="O77" i="142"/>
  <c r="O78" i="142"/>
  <c r="Q20" i="136"/>
  <c r="Z22" i="35"/>
  <c r="S20" i="35"/>
  <c r="AA27" i="18"/>
  <c r="K61" i="35"/>
  <c r="K76" i="35"/>
  <c r="L78" i="35"/>
  <c r="K31" i="18"/>
  <c r="S86" i="136"/>
  <c r="K61" i="142"/>
  <c r="K77" i="142"/>
  <c r="K78" i="142"/>
  <c r="J76" i="35"/>
  <c r="J80" i="35"/>
  <c r="AA63" i="35"/>
  <c r="D38" i="60"/>
  <c r="D129" i="60"/>
  <c r="N86" i="136"/>
  <c r="N93" i="136"/>
  <c r="Y29" i="129"/>
  <c r="X26" i="129"/>
  <c r="Y26" i="129"/>
  <c r="E44" i="126"/>
  <c r="E49" i="126"/>
  <c r="S57" i="35"/>
  <c r="AA57" i="35"/>
  <c r="Z59" i="35"/>
  <c r="K18" i="18"/>
  <c r="L79" i="35"/>
  <c r="L80" i="35"/>
  <c r="K110" i="60"/>
  <c r="L110" i="60"/>
  <c r="J17" i="18"/>
  <c r="J112" i="60"/>
  <c r="M129" i="60"/>
  <c r="M38" i="60"/>
  <c r="H77" i="142"/>
  <c r="H78" i="142"/>
  <c r="Y20" i="129"/>
  <c r="X18" i="129"/>
  <c r="I44" i="126"/>
  <c r="I49" i="126"/>
  <c r="I51" i="126"/>
  <c r="G112" i="60"/>
  <c r="G17" i="18"/>
  <c r="Z8" i="35"/>
  <c r="P6" i="35"/>
  <c r="AA6" i="35"/>
  <c r="J30" i="18"/>
  <c r="Z2" i="18"/>
  <c r="F14" i="18"/>
  <c r="AB2" i="18"/>
  <c r="F15" i="18"/>
  <c r="G30" i="18"/>
  <c r="X2" i="18"/>
  <c r="F49" i="126"/>
  <c r="F44" i="126"/>
  <c r="AA2" i="18"/>
  <c r="AN22" i="136"/>
  <c r="AR68" i="136"/>
  <c r="H44" i="126"/>
  <c r="H49" i="126"/>
  <c r="O934" i="141"/>
  <c r="B31" i="137"/>
  <c r="B35" i="137"/>
  <c r="G49" i="126"/>
  <c r="G44" i="126"/>
  <c r="K20" i="18"/>
  <c r="K22" i="18"/>
  <c r="L90" i="60"/>
  <c r="K90" i="60"/>
  <c r="H26" i="126"/>
  <c r="C23" i="137"/>
  <c r="B29" i="137"/>
  <c r="H30" i="18"/>
  <c r="D44" i="126"/>
  <c r="D49" i="126"/>
  <c r="CF23" i="52"/>
  <c r="CF11" i="52"/>
  <c r="CE160" i="52"/>
  <c r="CF27" i="52"/>
  <c r="CF32" i="52"/>
  <c r="CF15" i="52"/>
  <c r="CF31" i="52"/>
  <c r="J550" i="141"/>
  <c r="T9" i="18"/>
  <c r="Z72" i="35"/>
  <c r="AA72" i="35"/>
  <c r="P126" i="60"/>
  <c r="P127" i="60"/>
  <c r="Y6" i="129"/>
  <c r="X4" i="129"/>
  <c r="Y4" i="129"/>
  <c r="P110" i="60"/>
  <c r="P18" i="18"/>
  <c r="Q79" i="35"/>
  <c r="Q110" i="60"/>
  <c r="AD109" i="60"/>
  <c r="AA125" i="60"/>
  <c r="AB39" i="60"/>
  <c r="AA40" i="60"/>
  <c r="AB40" i="60"/>
  <c r="AA39" i="60"/>
  <c r="K38" i="60"/>
  <c r="K129" i="60"/>
  <c r="Z4" i="18"/>
  <c r="P20" i="18"/>
  <c r="P22" i="18"/>
  <c r="Q90" i="60"/>
  <c r="P90" i="60"/>
  <c r="H38" i="60"/>
  <c r="H129" i="60"/>
  <c r="F38" i="60"/>
  <c r="F129" i="60"/>
  <c r="I38" i="60"/>
  <c r="I129" i="60"/>
  <c r="AD26" i="60"/>
  <c r="AE26" i="60"/>
  <c r="C38" i="60"/>
  <c r="C129" i="60"/>
  <c r="AF10" i="136"/>
  <c r="AE15" i="136"/>
  <c r="L129" i="60"/>
  <c r="L38" i="60"/>
  <c r="E30" i="137"/>
  <c r="F32" i="137"/>
  <c r="Q125" i="60"/>
  <c r="Q40" i="60"/>
  <c r="Q39" i="60"/>
  <c r="R39" i="60"/>
  <c r="R40" i="60"/>
  <c r="U36" i="35"/>
  <c r="U34" i="35"/>
  <c r="T36" i="35"/>
  <c r="AA36" i="35"/>
  <c r="J626" i="141"/>
  <c r="S9" i="18"/>
  <c r="T50" i="35"/>
  <c r="U50" i="35"/>
  <c r="O598" i="141"/>
  <c r="U64" i="35"/>
  <c r="U61" i="35"/>
  <c r="T64" i="35"/>
  <c r="U33" i="35"/>
  <c r="U28" i="35"/>
  <c r="T33" i="35"/>
  <c r="O578" i="141"/>
  <c r="U71" i="35"/>
  <c r="AB71" i="35"/>
  <c r="T71" i="35"/>
  <c r="O617" i="141"/>
  <c r="O611" i="141"/>
  <c r="P1621" i="141"/>
  <c r="P598" i="141"/>
  <c r="P1528" i="141"/>
  <c r="P1855" i="141"/>
  <c r="P658" i="141"/>
  <c r="P64" i="141"/>
  <c r="P1682" i="141"/>
  <c r="P587" i="141"/>
  <c r="H1707" i="141"/>
  <c r="P1500" i="141"/>
  <c r="P71" i="141"/>
  <c r="P956" i="141"/>
  <c r="P1342" i="141"/>
  <c r="P89" i="141"/>
  <c r="P311" i="141"/>
  <c r="P543" i="141"/>
  <c r="P1865" i="141"/>
  <c r="P834" i="141"/>
  <c r="P1149" i="141"/>
  <c r="P726" i="141"/>
  <c r="P1492" i="141"/>
  <c r="P5" i="141"/>
  <c r="P1146" i="141"/>
  <c r="P486" i="141"/>
  <c r="P1048" i="141"/>
  <c r="P1909" i="141"/>
  <c r="P1377" i="141"/>
  <c r="C1862" i="141"/>
  <c r="P420" i="141"/>
  <c r="P94" i="141"/>
  <c r="P1286" i="141"/>
  <c r="P785" i="141"/>
  <c r="P493" i="141"/>
  <c r="P1180" i="141"/>
  <c r="P32" i="141"/>
  <c r="P616" i="141"/>
  <c r="P1525" i="141"/>
  <c r="P902" i="141"/>
  <c r="P66" i="141"/>
  <c r="P26" i="141"/>
  <c r="P471" i="141"/>
  <c r="N1011" i="141"/>
  <c r="P556" i="141"/>
  <c r="P310" i="141"/>
  <c r="P1102" i="141"/>
  <c r="P1943" i="141"/>
  <c r="P1700" i="141"/>
  <c r="P11" i="141"/>
  <c r="G551" i="141"/>
  <c r="M1320" i="141"/>
  <c r="P1306" i="141"/>
  <c r="P1197" i="141"/>
  <c r="P897" i="141"/>
  <c r="P987" i="141"/>
  <c r="P1506" i="141"/>
  <c r="D1088" i="141"/>
  <c r="E935" i="141"/>
  <c r="P563" i="141"/>
  <c r="P1212" i="141"/>
  <c r="P1919" i="141"/>
  <c r="P328" i="141"/>
  <c r="L1939" i="141"/>
  <c r="P1445" i="141"/>
  <c r="P930" i="141"/>
  <c r="P1475" i="141"/>
  <c r="G1629" i="141"/>
  <c r="P938" i="141"/>
  <c r="L1" i="141"/>
  <c r="P1469" i="141"/>
  <c r="I1629" i="141"/>
  <c r="P1198" i="141"/>
  <c r="E1165" i="141"/>
  <c r="M1088" i="141"/>
  <c r="P1182" i="141"/>
  <c r="P1651" i="141"/>
  <c r="K1397" i="141"/>
  <c r="P1632" i="141"/>
  <c r="P442" i="141"/>
  <c r="O1011" i="141"/>
  <c r="P522" i="141"/>
  <c r="K19" i="18"/>
  <c r="K21" i="18"/>
  <c r="K25" i="18"/>
  <c r="K113" i="60"/>
  <c r="D114" i="60"/>
  <c r="D132" i="60"/>
  <c r="D4" i="137"/>
  <c r="D5" i="137"/>
  <c r="D7" i="137"/>
  <c r="D9" i="137"/>
  <c r="D12" i="137"/>
  <c r="E114" i="60"/>
  <c r="E22" i="18"/>
  <c r="Q15" i="18"/>
  <c r="B21" i="18"/>
  <c r="K132" i="60"/>
  <c r="K114" i="60"/>
  <c r="K4" i="137"/>
  <c r="K5" i="137"/>
  <c r="K7" i="137"/>
  <c r="K9" i="137"/>
  <c r="K12" i="137"/>
  <c r="D25" i="18"/>
  <c r="D113" i="60"/>
  <c r="D19" i="18"/>
  <c r="D21" i="18"/>
  <c r="L114" i="60"/>
  <c r="L4" i="137"/>
  <c r="L5" i="137"/>
  <c r="L7" i="137"/>
  <c r="L9" i="137"/>
  <c r="L12" i="137"/>
  <c r="L132" i="60"/>
  <c r="M114" i="60"/>
  <c r="P19" i="18"/>
  <c r="P21" i="18"/>
  <c r="P25" i="18"/>
  <c r="P113" i="60"/>
  <c r="X10" i="136"/>
  <c r="W19" i="136"/>
  <c r="X19" i="136"/>
  <c r="Y59" i="129"/>
  <c r="O14" i="18"/>
  <c r="O15" i="18"/>
  <c r="L19" i="18"/>
  <c r="L21" i="18"/>
  <c r="L25" i="18"/>
  <c r="L113" i="60"/>
  <c r="N132" i="60"/>
  <c r="N4" i="137"/>
  <c r="N5" i="137"/>
  <c r="N7" i="137"/>
  <c r="N9" i="137"/>
  <c r="N12" i="137"/>
  <c r="N114" i="60"/>
  <c r="B113" i="60"/>
  <c r="B116" i="60"/>
  <c r="B13" i="137"/>
  <c r="B23" i="18"/>
  <c r="X5" i="18"/>
  <c r="Z5" i="18"/>
  <c r="AA5" i="18"/>
  <c r="AB5" i="18"/>
  <c r="M262" i="141"/>
  <c r="M297" i="141"/>
  <c r="W40" i="60"/>
  <c r="W39" i="60"/>
  <c r="M78" i="35"/>
  <c r="F15" i="162"/>
  <c r="C29" i="162"/>
  <c r="C30" i="162"/>
  <c r="H1397" i="141"/>
  <c r="P1148" i="141"/>
  <c r="P461" i="141"/>
  <c r="P115" i="141"/>
  <c r="L1551" i="141"/>
  <c r="P724" i="141"/>
  <c r="P1026" i="141"/>
  <c r="P1243" i="141"/>
  <c r="P350" i="141"/>
  <c r="O1629" i="141"/>
  <c r="P1414" i="141"/>
  <c r="P1646" i="141"/>
  <c r="P1023" i="141"/>
  <c r="P954" i="141"/>
  <c r="M248" i="141"/>
  <c r="O254" i="141"/>
  <c r="O248" i="141"/>
  <c r="P248" i="141"/>
  <c r="M285" i="141"/>
  <c r="P508" i="141"/>
  <c r="P1061" i="141"/>
  <c r="P1145" i="141"/>
  <c r="P1216" i="141"/>
  <c r="P145" i="141"/>
  <c r="P1697" i="141"/>
  <c r="P1728" i="141"/>
  <c r="P533" i="141"/>
  <c r="J1320" i="141"/>
  <c r="P1054" i="141"/>
  <c r="P1087" i="141"/>
  <c r="P413" i="141"/>
  <c r="I1242" i="141"/>
  <c r="P138" i="141"/>
  <c r="L1320" i="141"/>
  <c r="P1382" i="141"/>
  <c r="C1242" i="141"/>
  <c r="P620" i="141"/>
  <c r="P43" i="141"/>
  <c r="J1088" i="141"/>
  <c r="P162" i="141"/>
  <c r="P953" i="141"/>
  <c r="P1754" i="141"/>
  <c r="P887" i="141"/>
  <c r="P817" i="141"/>
  <c r="P1551" i="141"/>
  <c r="P656" i="141"/>
  <c r="P1398" i="141"/>
  <c r="P898" i="141"/>
  <c r="P391" i="141"/>
  <c r="P1227" i="141"/>
  <c r="P1803" i="141"/>
  <c r="P1760" i="141"/>
  <c r="P1652" i="141"/>
  <c r="P303" i="141"/>
  <c r="P1833" i="141"/>
  <c r="P1747" i="141"/>
  <c r="P334" i="141"/>
  <c r="P422" i="141"/>
  <c r="P1785" i="141"/>
  <c r="AB4" i="18"/>
  <c r="Z10" i="18"/>
  <c r="P1088" i="141"/>
  <c r="P1135" i="141"/>
  <c r="P988" i="141"/>
  <c r="J858" i="141"/>
  <c r="P1320" i="141"/>
  <c r="K1785" i="141"/>
  <c r="P1886" i="141"/>
  <c r="P1044" i="141"/>
  <c r="P512" i="141"/>
  <c r="C935" i="141"/>
  <c r="P653" i="141"/>
  <c r="O1" i="141"/>
  <c r="P1838" i="141"/>
  <c r="P212" i="141"/>
  <c r="P450" i="141"/>
  <c r="P1726" i="141"/>
  <c r="P90" i="141"/>
  <c r="D1629" i="141"/>
  <c r="P608" i="141"/>
  <c r="P1141" i="141"/>
  <c r="P1734" i="141"/>
  <c r="P534" i="141"/>
  <c r="P905" i="141"/>
  <c r="D1165" i="141"/>
  <c r="P444" i="141"/>
  <c r="P669" i="141"/>
  <c r="P515" i="141"/>
  <c r="P1453" i="141"/>
  <c r="P1703" i="141"/>
  <c r="P1498" i="141"/>
  <c r="P25" i="141"/>
  <c r="P684" i="141"/>
  <c r="P415" i="141"/>
  <c r="P1201" i="141"/>
  <c r="G1707" i="141"/>
  <c r="P1277" i="141"/>
  <c r="P644" i="141"/>
  <c r="P1645" i="141"/>
  <c r="I132" i="60"/>
  <c r="P75" i="141"/>
  <c r="H1088" i="141"/>
  <c r="P447" i="141"/>
  <c r="P572" i="141"/>
  <c r="N935" i="141"/>
  <c r="P1274" i="141"/>
  <c r="P438" i="141"/>
  <c r="P1215" i="141"/>
  <c r="P1060" i="141"/>
  <c r="P1058" i="141"/>
  <c r="P1121" i="141"/>
  <c r="P1230" i="141"/>
  <c r="P1392" i="141"/>
  <c r="P131" i="141"/>
  <c r="P1824" i="141"/>
  <c r="P381" i="141"/>
  <c r="P449" i="141"/>
  <c r="P1402" i="141"/>
  <c r="G1474" i="141"/>
  <c r="P1043" i="141"/>
  <c r="P1783" i="141"/>
  <c r="C627" i="141"/>
  <c r="H858" i="141"/>
  <c r="P1457" i="141"/>
  <c r="P1537" i="141"/>
  <c r="P1524" i="141"/>
  <c r="J935" i="141"/>
  <c r="P931" i="141"/>
  <c r="P1396" i="141"/>
  <c r="P923" i="141"/>
  <c r="P890" i="141"/>
  <c r="P881" i="141"/>
  <c r="P1575" i="141"/>
  <c r="H1551" i="141"/>
  <c r="P852" i="141"/>
  <c r="P1449" i="141"/>
  <c r="P240" i="141"/>
  <c r="E1088" i="141"/>
  <c r="P519" i="141"/>
  <c r="P1712" i="141"/>
  <c r="I4" i="137"/>
  <c r="I5" i="137"/>
  <c r="I7" i="137"/>
  <c r="I9" i="137"/>
  <c r="I12" i="137"/>
  <c r="M276" i="141"/>
  <c r="P468" i="141"/>
  <c r="P35" i="141"/>
  <c r="P544" i="141"/>
  <c r="P775" i="141"/>
  <c r="P807" i="141"/>
  <c r="P433" i="141"/>
  <c r="P966" i="141"/>
  <c r="L704" i="141"/>
  <c r="P1236" i="141"/>
  <c r="P627" i="141"/>
  <c r="P1827" i="141"/>
  <c r="P41" i="141"/>
  <c r="P253" i="141"/>
  <c r="P1513" i="141"/>
  <c r="P1047" i="141"/>
  <c r="P423" i="141"/>
  <c r="P1444" i="141"/>
  <c r="P1389" i="141"/>
  <c r="P189" i="141"/>
  <c r="P121" i="141"/>
  <c r="P742" i="141"/>
  <c r="P1591" i="141"/>
  <c r="P1011" i="141"/>
  <c r="P1069" i="141"/>
  <c r="P1421" i="141"/>
  <c r="P889" i="141"/>
  <c r="P984" i="141"/>
  <c r="P985" i="141"/>
  <c r="P527" i="141"/>
  <c r="P754" i="141"/>
  <c r="P1336" i="141"/>
  <c r="P1459" i="141"/>
  <c r="P106" i="141"/>
  <c r="M1551" i="141"/>
  <c r="P1128" i="141"/>
  <c r="P1839" i="141"/>
  <c r="P1601" i="141"/>
  <c r="P1931" i="141"/>
  <c r="I1011" i="141"/>
  <c r="K1165" i="141"/>
  <c r="P1312" i="141"/>
  <c r="P1015" i="141"/>
  <c r="P1644" i="141"/>
  <c r="I1939" i="141"/>
  <c r="P1345" i="141"/>
  <c r="P980" i="141"/>
  <c r="P1727" i="141"/>
  <c r="P812" i="141"/>
  <c r="P1890" i="141"/>
  <c r="P883" i="141"/>
  <c r="C1397" i="141"/>
  <c r="P675" i="141"/>
  <c r="P784" i="141"/>
  <c r="M293" i="141"/>
  <c r="P425" i="141"/>
  <c r="H78" i="35"/>
  <c r="P535" i="141"/>
  <c r="CJ159" i="52"/>
  <c r="C26" i="18"/>
  <c r="F78" i="35"/>
  <c r="AA10" i="18"/>
  <c r="B14" i="149"/>
  <c r="B28" i="149"/>
  <c r="AB11" i="18"/>
  <c r="Z11" i="18"/>
  <c r="C31" i="137"/>
  <c r="C35" i="137"/>
  <c r="O858" i="141"/>
  <c r="P863" i="141"/>
  <c r="P1039" i="141"/>
  <c r="P1348" i="141"/>
  <c r="P1848" i="141"/>
  <c r="P1731" i="141"/>
  <c r="P603" i="141"/>
  <c r="P1144" i="141"/>
  <c r="F1862" i="141"/>
  <c r="P171" i="141"/>
  <c r="P650" i="141"/>
  <c r="P1676" i="141"/>
  <c r="P1358" i="141"/>
  <c r="P216" i="141"/>
  <c r="P1295" i="141"/>
  <c r="P339" i="141"/>
  <c r="P677" i="141"/>
  <c r="P1678" i="141"/>
  <c r="P1736" i="141"/>
  <c r="P802" i="141"/>
  <c r="P781" i="141"/>
  <c r="P1508" i="141"/>
  <c r="P144" i="141"/>
  <c r="P1204" i="141"/>
  <c r="P960" i="141"/>
  <c r="P1050" i="141"/>
  <c r="P916" i="141"/>
  <c r="P758" i="141"/>
  <c r="P1300" i="141"/>
  <c r="P1701" i="141"/>
  <c r="P690" i="141"/>
  <c r="P567" i="141"/>
  <c r="P119" i="141"/>
  <c r="P86" i="141"/>
  <c r="P443" i="141"/>
  <c r="P338" i="141"/>
  <c r="P829" i="141"/>
  <c r="P352" i="141"/>
  <c r="P1925" i="141"/>
  <c r="P1817" i="141"/>
  <c r="D551" i="141"/>
  <c r="P306" i="141"/>
  <c r="P1666" i="141"/>
  <c r="P1491" i="141"/>
  <c r="P562" i="141"/>
  <c r="P910" i="141"/>
  <c r="P823" i="141"/>
  <c r="P1108" i="141"/>
  <c r="P820" i="141"/>
  <c r="P1443" i="141"/>
  <c r="P165" i="141"/>
  <c r="I704" i="141"/>
  <c r="P1744" i="141"/>
  <c r="P1189" i="141"/>
  <c r="P1614" i="141"/>
  <c r="P1450" i="141"/>
  <c r="P630" i="141"/>
  <c r="P1503" i="141"/>
  <c r="P1569" i="141"/>
  <c r="P1786" i="141"/>
  <c r="P1109" i="141"/>
  <c r="D1785" i="141"/>
  <c r="P1366" i="141"/>
  <c r="H1862" i="141"/>
  <c r="P607" i="141"/>
  <c r="P1748" i="141"/>
  <c r="P1225" i="141"/>
  <c r="P1241" i="141"/>
  <c r="P756" i="141"/>
  <c r="P1113" i="141"/>
  <c r="P1912" i="141"/>
  <c r="P1238" i="141"/>
  <c r="P1847" i="141"/>
  <c r="P1628" i="141"/>
  <c r="P909" i="141"/>
  <c r="P12" i="141"/>
  <c r="P1124" i="141"/>
  <c r="P725" i="141"/>
  <c r="P58" i="141"/>
  <c r="P693" i="141"/>
  <c r="P1724" i="141"/>
  <c r="P1458" i="141"/>
  <c r="P1527" i="141"/>
  <c r="P100" i="141"/>
  <c r="P489" i="141"/>
  <c r="P1512" i="141"/>
  <c r="P967" i="141"/>
  <c r="P1894" i="141"/>
  <c r="P419" i="141"/>
  <c r="I1320" i="141"/>
  <c r="P782" i="141"/>
  <c r="P1456" i="141"/>
  <c r="P1758" i="141"/>
  <c r="P1370" i="141"/>
  <c r="P1627" i="141"/>
  <c r="P487" i="141"/>
  <c r="P1854" i="141"/>
  <c r="P1699" i="141"/>
  <c r="P193" i="141"/>
  <c r="P1202" i="141"/>
  <c r="P1588" i="141"/>
  <c r="P395" i="141"/>
  <c r="P130" i="141"/>
  <c r="P1831" i="141"/>
  <c r="P1372" i="141"/>
  <c r="P384" i="141"/>
  <c r="P1454" i="141"/>
  <c r="K704" i="141"/>
  <c r="P1332" i="141"/>
  <c r="P117" i="141"/>
  <c r="P1828" i="141"/>
  <c r="O1862" i="141"/>
  <c r="P911" i="141"/>
  <c r="P919" i="141"/>
  <c r="P1100" i="141"/>
  <c r="N1474" i="141"/>
  <c r="P149" i="141"/>
  <c r="P239" i="141"/>
  <c r="P1662" i="141"/>
  <c r="E1707" i="141"/>
  <c r="F1397" i="141"/>
  <c r="P1376" i="141"/>
  <c r="P964" i="141"/>
  <c r="P1478" i="141"/>
  <c r="P14" i="141"/>
  <c r="P1073" i="141"/>
  <c r="P1502" i="141"/>
  <c r="P1111" i="141"/>
  <c r="P99" i="141"/>
  <c r="P1323" i="141"/>
  <c r="M1242" i="141"/>
  <c r="F1551" i="141"/>
  <c r="D1320" i="141"/>
  <c r="G1785" i="141"/>
  <c r="P970" i="141"/>
  <c r="P628" i="141"/>
  <c r="P1600" i="141"/>
  <c r="P935" i="141"/>
  <c r="P1834" i="141"/>
  <c r="P1086" i="141"/>
  <c r="P900" i="141"/>
  <c r="P1385" i="141"/>
  <c r="P801" i="141"/>
  <c r="P1821" i="141"/>
  <c r="P1759" i="141"/>
  <c r="P780" i="141"/>
  <c r="P1114" i="141"/>
  <c r="P1914" i="141"/>
  <c r="P548" i="141"/>
  <c r="P743" i="141"/>
  <c r="P254" i="141"/>
  <c r="P1929" i="141"/>
  <c r="P1648" i="141"/>
  <c r="P1126" i="141"/>
  <c r="P1522" i="141"/>
  <c r="P1570" i="141"/>
  <c r="P1266" i="141"/>
  <c r="P1851" i="141"/>
  <c r="P1927" i="141"/>
  <c r="P1615" i="141"/>
  <c r="P1310" i="141"/>
  <c r="P1797" i="141"/>
  <c r="P1497" i="141"/>
  <c r="P1695" i="141"/>
  <c r="P1157" i="141"/>
  <c r="P994" i="141"/>
  <c r="P1006" i="141"/>
  <c r="P596" i="141"/>
  <c r="P1186" i="141"/>
  <c r="P819" i="141"/>
  <c r="P882" i="141"/>
  <c r="D1862" i="141"/>
  <c r="P1151" i="141"/>
  <c r="P1905" i="141"/>
  <c r="P529" i="141"/>
  <c r="P1341" i="141"/>
  <c r="P1877" i="141"/>
  <c r="P832" i="141"/>
  <c r="P874" i="141"/>
  <c r="P1590" i="141"/>
  <c r="P1105" i="141"/>
  <c r="P1194" i="141"/>
  <c r="P1369" i="141"/>
  <c r="P1829" i="141"/>
  <c r="P1470" i="141"/>
  <c r="P530" i="141"/>
  <c r="P1653" i="141"/>
  <c r="P814" i="141"/>
  <c r="P1688" i="141"/>
  <c r="P1032" i="141"/>
  <c r="P1813" i="141"/>
  <c r="P824" i="141"/>
  <c r="P815" i="141"/>
  <c r="P416" i="141"/>
  <c r="G1088" i="141"/>
  <c r="E1474" i="141"/>
  <c r="P454" i="141"/>
  <c r="P915" i="141"/>
  <c r="P950" i="141"/>
  <c r="P1742" i="141"/>
  <c r="P1658" i="141"/>
  <c r="P1080" i="141"/>
  <c r="P1550" i="141"/>
  <c r="P452" i="141"/>
  <c r="P857" i="141"/>
  <c r="P1068" i="141"/>
  <c r="P1911" i="141"/>
  <c r="P1139" i="141"/>
  <c r="P1768" i="141"/>
  <c r="P1160" i="141"/>
  <c r="P1033" i="141"/>
  <c r="P722" i="141"/>
  <c r="P1599" i="141"/>
  <c r="N1862" i="141"/>
  <c r="P687" i="141"/>
  <c r="P1351" i="141"/>
  <c r="P1802" i="141"/>
  <c r="P1185" i="141"/>
  <c r="P1127" i="141"/>
  <c r="P793" i="141"/>
  <c r="H1474" i="141"/>
  <c r="P1001" i="141"/>
  <c r="P649" i="141"/>
  <c r="P51" i="141"/>
  <c r="P1629" i="141"/>
  <c r="P173" i="141"/>
  <c r="P1895" i="141"/>
  <c r="P492" i="141"/>
  <c r="H1011" i="141"/>
  <c r="P1053" i="141"/>
  <c r="P516" i="141"/>
  <c r="P1070" i="141"/>
  <c r="K1" i="141"/>
  <c r="P251" i="141"/>
  <c r="P1265" i="141"/>
  <c r="P387" i="141"/>
  <c r="P1014" i="141"/>
  <c r="P1374" i="141"/>
  <c r="L935" i="141"/>
  <c r="P643" i="141"/>
  <c r="P1199" i="141"/>
  <c r="P1935" i="141"/>
  <c r="P1674" i="141"/>
  <c r="L1165" i="141"/>
  <c r="N704" i="141"/>
  <c r="P1373" i="141"/>
  <c r="P599" i="141"/>
  <c r="P1750" i="141"/>
  <c r="P870" i="141"/>
  <c r="P1516" i="141"/>
  <c r="P997" i="141"/>
  <c r="P664" i="141"/>
  <c r="P451" i="141"/>
  <c r="M1397" i="141"/>
  <c r="P124" i="141"/>
  <c r="F1165" i="141"/>
  <c r="P876" i="141"/>
  <c r="P777" i="141"/>
  <c r="F704" i="141"/>
  <c r="P694" i="141"/>
  <c r="P164" i="141"/>
  <c r="P467" i="141"/>
  <c r="O1397" i="141"/>
  <c r="P268" i="141"/>
  <c r="I1" i="141"/>
  <c r="P1390" i="141"/>
  <c r="P42" i="141"/>
  <c r="P226" i="141"/>
  <c r="P744" i="141"/>
  <c r="P1276" i="141"/>
  <c r="P570" i="141"/>
  <c r="P139" i="141"/>
  <c r="P1757" i="141"/>
  <c r="P54" i="141"/>
  <c r="P308" i="141"/>
  <c r="P1412" i="141"/>
  <c r="P1489" i="141"/>
  <c r="P561" i="141"/>
  <c r="P800" i="141"/>
  <c r="P1611" i="141"/>
  <c r="H1785" i="141"/>
  <c r="P1395" i="141"/>
  <c r="P269" i="141"/>
  <c r="P1195" i="141"/>
  <c r="P733" i="141"/>
  <c r="P1416" i="141"/>
  <c r="P946" i="141"/>
  <c r="P1779" i="141"/>
  <c r="P648" i="141"/>
  <c r="P496" i="141"/>
  <c r="P1297" i="141"/>
  <c r="J1011" i="141"/>
  <c r="P128" i="141"/>
  <c r="P1246" i="141"/>
  <c r="P1409" i="141"/>
  <c r="M1707" i="141"/>
  <c r="K1320" i="141"/>
  <c r="P1262" i="141"/>
  <c r="P1179" i="141"/>
  <c r="N1785" i="141"/>
  <c r="P104" i="141"/>
  <c r="P1546" i="141"/>
  <c r="P1217" i="141"/>
  <c r="P1789" i="141"/>
  <c r="P853" i="141"/>
  <c r="P878" i="141"/>
  <c r="P63" i="141"/>
  <c r="P1649" i="141"/>
  <c r="P663" i="141"/>
  <c r="P1526" i="141"/>
  <c r="P1437" i="141"/>
  <c r="P833" i="141"/>
  <c r="P1766" i="141"/>
  <c r="P1222" i="141"/>
  <c r="P1874" i="141"/>
  <c r="P146" i="141"/>
  <c r="P97" i="141"/>
  <c r="P1012" i="141"/>
  <c r="P1386" i="141"/>
  <c r="I1785" i="141"/>
  <c r="P1822" i="141"/>
  <c r="P472" i="141"/>
  <c r="P1630" i="141"/>
  <c r="G1551" i="141"/>
  <c r="P1659" i="141"/>
  <c r="P1290" i="141"/>
  <c r="P1063" i="141"/>
  <c r="P901" i="141"/>
  <c r="P1263" i="141"/>
  <c r="P575" i="141"/>
  <c r="P1507" i="141"/>
  <c r="P1428" i="141"/>
  <c r="P647" i="141"/>
  <c r="P1801" i="141"/>
  <c r="P9" i="141"/>
  <c r="P1209" i="141"/>
  <c r="P448" i="141"/>
  <c r="P1273" i="141"/>
  <c r="N1242" i="141"/>
  <c r="P583" i="141"/>
  <c r="P1381" i="141"/>
  <c r="P798" i="141"/>
  <c r="P21" i="141"/>
  <c r="P1908" i="141"/>
  <c r="P394" i="141"/>
  <c r="P1285" i="141"/>
  <c r="D1242" i="141"/>
  <c r="P610" i="141"/>
  <c r="P689" i="141"/>
  <c r="P1429" i="141"/>
  <c r="P766" i="141"/>
  <c r="N1320" i="141"/>
  <c r="P1150" i="141"/>
  <c r="P1586" i="141"/>
  <c r="P1656" i="141"/>
  <c r="P1025" i="141"/>
  <c r="F858" i="141"/>
  <c r="P850" i="141"/>
  <c r="P1062" i="141"/>
  <c r="E1629" i="141"/>
  <c r="P307" i="141"/>
  <c r="P813" i="141"/>
  <c r="P174" i="141"/>
  <c r="P469" i="141"/>
  <c r="P1740" i="141"/>
  <c r="P1280" i="141"/>
  <c r="P168" i="141"/>
  <c r="P1294" i="141"/>
  <c r="P367" i="141"/>
  <c r="P569" i="141"/>
  <c r="P1037" i="141"/>
  <c r="P1711" i="141"/>
  <c r="P1226" i="141"/>
  <c r="P1598" i="141"/>
  <c r="P1857" i="141"/>
  <c r="P13" i="141"/>
  <c r="P753" i="141"/>
  <c r="M1011" i="141"/>
  <c r="P728" i="141"/>
  <c r="P244" i="141"/>
  <c r="P1161" i="141"/>
  <c r="P1594" i="141"/>
  <c r="P390" i="141"/>
  <c r="P1523" i="141"/>
  <c r="P1435" i="141"/>
  <c r="P746" i="141"/>
  <c r="P1057" i="141"/>
  <c r="P1809" i="141"/>
  <c r="P1942" i="141"/>
  <c r="P1552" i="141"/>
  <c r="I1397" i="141"/>
  <c r="P1819" i="141"/>
  <c r="P37" i="141"/>
  <c r="P1136" i="141"/>
  <c r="P163" i="141"/>
  <c r="D1551" i="141"/>
  <c r="P963" i="141"/>
  <c r="P1468" i="141"/>
  <c r="P1291" i="141"/>
  <c r="P1258" i="141"/>
  <c r="P1536" i="141"/>
  <c r="P1055" i="141"/>
  <c r="P621" i="141"/>
  <c r="P1893" i="141"/>
  <c r="P1083" i="141"/>
  <c r="P358" i="141"/>
  <c r="P1193" i="141"/>
  <c r="P1208" i="141"/>
  <c r="P1691" i="141"/>
  <c r="P528" i="141"/>
  <c r="P1533" i="141"/>
  <c r="P74" i="141"/>
  <c r="P1242" i="141"/>
  <c r="P1836" i="141"/>
  <c r="P842" i="141"/>
  <c r="P1183" i="141"/>
  <c r="F1320" i="141"/>
  <c r="P50" i="141"/>
  <c r="P105" i="141"/>
  <c r="P497" i="141"/>
  <c r="P1845" i="141"/>
  <c r="P1120" i="141"/>
  <c r="P1881" i="141"/>
  <c r="P178" i="141"/>
  <c r="P31" i="141"/>
  <c r="D935" i="141"/>
  <c r="P22" i="141"/>
  <c r="P1504" i="141"/>
  <c r="P685" i="141"/>
  <c r="P143" i="141"/>
  <c r="M1785" i="141"/>
  <c r="P1391" i="141"/>
  <c r="P1520" i="141"/>
  <c r="P1778" i="141"/>
  <c r="P1364" i="141"/>
  <c r="P1104" i="141"/>
  <c r="P708" i="141"/>
  <c r="P1071" i="141"/>
  <c r="K858" i="141"/>
  <c r="P1296" i="141"/>
  <c r="P1283" i="141"/>
  <c r="P1781" i="141"/>
  <c r="P1730" i="141"/>
  <c r="P1784" i="141"/>
  <c r="P1567" i="141"/>
  <c r="P1042" i="141"/>
  <c r="P85" i="141"/>
  <c r="P1706" i="141"/>
  <c r="P1843" i="141"/>
  <c r="P1863" i="141"/>
  <c r="P114" i="141"/>
  <c r="P1818" i="141"/>
  <c r="E1" i="141"/>
  <c r="P703" i="141"/>
  <c r="P1860" i="141"/>
  <c r="P1423" i="141"/>
  <c r="P747" i="141"/>
  <c r="P1004" i="141"/>
  <c r="P894" i="141"/>
  <c r="P841" i="141"/>
  <c r="P1572" i="141"/>
  <c r="N1707" i="141"/>
  <c r="P1257" i="141"/>
  <c r="P329" i="141"/>
  <c r="P1235" i="141"/>
  <c r="P1430" i="141"/>
  <c r="P1916" i="141"/>
  <c r="P457" i="141"/>
  <c r="P385" i="141"/>
  <c r="P1356" i="141"/>
  <c r="P1268" i="141"/>
  <c r="P246" i="141"/>
  <c r="P965" i="141"/>
  <c r="P1810" i="141"/>
  <c r="I1707" i="141"/>
  <c r="C1551" i="141"/>
  <c r="P1301" i="141"/>
  <c r="P412" i="141"/>
  <c r="P1920" i="141"/>
  <c r="P873" i="141"/>
  <c r="P977" i="141"/>
  <c r="P586" i="141"/>
  <c r="P1684" i="141"/>
  <c r="E1785" i="141"/>
  <c r="P411" i="141"/>
  <c r="G935" i="141"/>
  <c r="P1339" i="141"/>
  <c r="P626" i="141"/>
  <c r="P357" i="141"/>
  <c r="P925" i="141"/>
  <c r="P1287" i="141"/>
  <c r="P574" i="141"/>
  <c r="E704" i="141"/>
  <c r="P796" i="141"/>
  <c r="I1165" i="141"/>
  <c r="P273" i="141"/>
  <c r="P674" i="141"/>
  <c r="P27" i="141"/>
  <c r="P1902" i="141"/>
  <c r="P1944" i="141"/>
  <c r="I551" i="141"/>
  <c r="P1545" i="141"/>
  <c r="E551" i="141"/>
  <c r="P429" i="141"/>
  <c r="M935" i="141"/>
  <c r="P414" i="141"/>
  <c r="P1858" i="141"/>
  <c r="K935" i="141"/>
  <c r="P952" i="141"/>
  <c r="E1320" i="141"/>
  <c r="P972" i="141"/>
  <c r="P1680" i="141"/>
  <c r="C1629" i="141"/>
  <c r="P166" i="141"/>
  <c r="P1568" i="141"/>
  <c r="P920" i="141"/>
  <c r="P859" i="141"/>
  <c r="P1401" i="141"/>
  <c r="P1633" i="141"/>
  <c r="P1592" i="141"/>
  <c r="P107" i="141"/>
  <c r="P1660" i="141"/>
  <c r="P1462" i="141"/>
  <c r="O1474" i="141"/>
  <c r="P18" i="141"/>
  <c r="P1367" i="141"/>
  <c r="P704" i="141"/>
  <c r="C1320" i="141"/>
  <c r="P520" i="141"/>
  <c r="P1576" i="141"/>
  <c r="P1137" i="141"/>
  <c r="P1765" i="141"/>
  <c r="P1892" i="141"/>
  <c r="P933" i="141"/>
  <c r="I627" i="141"/>
  <c r="P1618" i="141"/>
  <c r="P1281" i="141"/>
  <c r="P854" i="141"/>
  <c r="P1539" i="141"/>
  <c r="P1762" i="141"/>
  <c r="P538" i="141"/>
  <c r="J704" i="141"/>
  <c r="P1624" i="141"/>
  <c r="P1811" i="141"/>
  <c r="P1315" i="141"/>
  <c r="P242" i="141"/>
  <c r="P1608" i="141"/>
  <c r="P847" i="141"/>
  <c r="P1739" i="141"/>
  <c r="P141" i="141"/>
  <c r="P718" i="141"/>
  <c r="P1213" i="141"/>
  <c r="P1885" i="141"/>
  <c r="P906" i="141"/>
  <c r="P355" i="141"/>
  <c r="P1318" i="141"/>
  <c r="P880" i="141"/>
  <c r="P698" i="141"/>
  <c r="P1720" i="141"/>
  <c r="P921" i="141"/>
  <c r="P1777" i="141"/>
  <c r="P1309" i="141"/>
  <c r="P1292" i="141"/>
  <c r="P135" i="141"/>
  <c r="P1669" i="141"/>
  <c r="O1939" i="141"/>
  <c r="P1093" i="141"/>
  <c r="P1425" i="141"/>
  <c r="P1673" i="141"/>
  <c r="P1107" i="141"/>
  <c r="P1923" i="141"/>
  <c r="P886" i="141"/>
  <c r="P1321" i="141"/>
  <c r="P1378" i="141"/>
  <c r="P498" i="141"/>
  <c r="P1190" i="141"/>
  <c r="P1934" i="141"/>
  <c r="P1334" i="141"/>
  <c r="P1910" i="141"/>
  <c r="P737" i="141"/>
  <c r="H1165" i="141"/>
  <c r="P92" i="141"/>
  <c r="H1939" i="141"/>
  <c r="P491" i="141"/>
  <c r="P39" i="141"/>
  <c r="P1585" i="141"/>
  <c r="P804" i="141"/>
  <c r="P1737" i="141"/>
  <c r="P1003" i="141"/>
  <c r="P861" i="141"/>
  <c r="P670" i="141"/>
  <c r="G1242" i="141"/>
  <c r="P1574" i="141"/>
  <c r="P716" i="141"/>
  <c r="P734" i="141"/>
  <c r="P1540" i="141"/>
  <c r="P1081" i="141"/>
  <c r="P646" i="141"/>
  <c r="P70" i="141"/>
  <c r="P1495" i="141"/>
  <c r="P576" i="141"/>
  <c r="P435" i="141"/>
  <c r="P1383" i="141"/>
  <c r="P976" i="141"/>
  <c r="P1702" i="141"/>
  <c r="F1785" i="141"/>
  <c r="P1686" i="141"/>
  <c r="P40" i="141"/>
  <c r="P1732" i="141"/>
  <c r="P46" i="141"/>
  <c r="P417" i="141"/>
  <c r="P755" i="141"/>
  <c r="P73" i="141"/>
  <c r="P1463" i="141"/>
  <c r="P877" i="141"/>
  <c r="P959" i="141"/>
  <c r="P1725" i="141"/>
  <c r="P84" i="141"/>
  <c r="P1921" i="141"/>
  <c r="P453" i="141"/>
  <c r="P958" i="141"/>
  <c r="P835" i="141"/>
  <c r="P1305" i="141"/>
  <c r="P955" i="141"/>
  <c r="P1188" i="141"/>
  <c r="P87" i="141"/>
  <c r="D704" i="141"/>
  <c r="G1320" i="141"/>
  <c r="P1612" i="141"/>
  <c r="P1581" i="141"/>
  <c r="P1427" i="141"/>
  <c r="P888" i="141"/>
  <c r="M1939" i="141"/>
  <c r="G1165" i="141"/>
  <c r="C1088" i="141"/>
  <c r="D1474" i="141"/>
  <c r="P971" i="141"/>
  <c r="P1605" i="141"/>
  <c r="P1049" i="141"/>
  <c r="P1106" i="141"/>
  <c r="P1663" i="141"/>
  <c r="P1072" i="141"/>
  <c r="P1647" i="141"/>
  <c r="P1138" i="141"/>
  <c r="G1939" i="141"/>
  <c r="P795" i="141"/>
  <c r="P936" i="141"/>
  <c r="P1338" i="141"/>
  <c r="P1359" i="141"/>
  <c r="P1240" i="141"/>
  <c r="P702" i="141"/>
  <c r="P176" i="141"/>
  <c r="P1924" i="141"/>
  <c r="P721" i="141"/>
  <c r="P1467" i="141"/>
  <c r="P1510" i="141"/>
  <c r="P1518" i="141"/>
  <c r="P993" i="141"/>
  <c r="I1474" i="141"/>
  <c r="P738" i="141"/>
  <c r="P1937" i="141"/>
  <c r="P732" i="141"/>
  <c r="P948" i="141"/>
  <c r="P1913" i="141"/>
  <c r="P996" i="141"/>
  <c r="F1242" i="141"/>
  <c r="P353" i="141"/>
  <c r="P1891" i="141"/>
  <c r="P1142" i="141"/>
  <c r="P951" i="141"/>
  <c r="P177" i="141"/>
  <c r="P592" i="141"/>
  <c r="P594" i="141"/>
  <c r="P410" i="141"/>
  <c r="P1007" i="141"/>
  <c r="H1" i="141"/>
  <c r="K1242" i="141"/>
  <c r="P1308" i="141"/>
  <c r="P1255" i="141"/>
  <c r="P929" i="141"/>
  <c r="P681" i="141"/>
  <c r="P255" i="141"/>
  <c r="P700" i="141"/>
  <c r="P588" i="141"/>
  <c r="P192" i="141"/>
  <c r="P1898" i="141"/>
  <c r="P1710" i="141"/>
  <c r="P1939" i="141"/>
  <c r="P1352" i="141"/>
  <c r="J1165" i="141"/>
  <c r="P301" i="141"/>
  <c r="P526" i="141"/>
  <c r="P441" i="141"/>
  <c r="J1785" i="141"/>
  <c r="P560" i="141"/>
  <c r="J1474" i="141"/>
  <c r="P275" i="141"/>
  <c r="F1011" i="141"/>
  <c r="C1939" i="141"/>
  <c r="P1116" i="141"/>
  <c r="P657" i="141"/>
  <c r="D1" i="141"/>
  <c r="P1314" i="141"/>
  <c r="P1184" i="141"/>
  <c r="P428" i="141"/>
  <c r="P356" i="141"/>
  <c r="P968" i="141"/>
  <c r="P1316" i="141"/>
  <c r="P504" i="141"/>
  <c r="P510" i="141"/>
  <c r="P914" i="141"/>
  <c r="G704" i="141"/>
  <c r="O1320" i="141"/>
  <c r="P434" i="141"/>
  <c r="P1464" i="141"/>
  <c r="P676" i="141"/>
  <c r="P1566" i="141"/>
  <c r="P1122" i="141"/>
  <c r="P1534" i="141"/>
  <c r="P1267" i="141"/>
  <c r="P245" i="141"/>
  <c r="P1051" i="141"/>
  <c r="P59" i="141"/>
  <c r="P848" i="141"/>
  <c r="P241" i="141"/>
  <c r="P1350" i="141"/>
  <c r="P818" i="141"/>
  <c r="P1271" i="141"/>
  <c r="P1774" i="141"/>
  <c r="P206" i="141"/>
  <c r="M1862" i="141"/>
  <c r="P846" i="141"/>
  <c r="P641" i="141"/>
  <c r="P1745" i="141"/>
  <c r="E1011" i="141"/>
  <c r="O1088" i="141"/>
  <c r="P1196" i="141"/>
  <c r="P274" i="141"/>
  <c r="P1814" i="141"/>
  <c r="P1211" i="141"/>
  <c r="P917" i="141"/>
  <c r="F1088" i="141"/>
  <c r="P225" i="141"/>
  <c r="P24" i="141"/>
  <c r="P1883" i="141"/>
  <c r="P1879" i="141"/>
  <c r="P659" i="141"/>
  <c r="K1707" i="141"/>
  <c r="P831" i="141"/>
  <c r="H704" i="141"/>
  <c r="P631" i="141"/>
  <c r="P1340" i="141"/>
  <c r="G1397" i="141"/>
  <c r="P1279" i="141"/>
  <c r="P735" i="141"/>
  <c r="P1496" i="141"/>
  <c r="P771" i="141"/>
  <c r="P719" i="141"/>
  <c r="P671" i="141"/>
  <c r="P88" i="141"/>
  <c r="P1806" i="141"/>
  <c r="P1884" i="141"/>
  <c r="P1490" i="141"/>
  <c r="P1221" i="141"/>
  <c r="P221" i="141"/>
  <c r="P1131" i="141"/>
  <c r="P590" i="141"/>
  <c r="P1687" i="141"/>
  <c r="P645" i="141"/>
  <c r="P1514" i="141"/>
  <c r="P799" i="141"/>
  <c r="P1065" i="141"/>
  <c r="E1939" i="141"/>
  <c r="P606" i="141"/>
  <c r="P1932" i="141"/>
  <c r="P1521" i="141"/>
  <c r="P501" i="141"/>
  <c r="P1667" i="141"/>
  <c r="P1761" i="141"/>
  <c r="P1357" i="141"/>
  <c r="L1629" i="141"/>
  <c r="P1664" i="141"/>
  <c r="P1324" i="141"/>
  <c r="P1876" i="141"/>
  <c r="P1036" i="141"/>
  <c r="P1125" i="141"/>
  <c r="P1282" i="141"/>
  <c r="P1387" i="141"/>
  <c r="P589" i="141"/>
  <c r="K1939" i="141"/>
  <c r="P1360" i="141"/>
  <c r="P907" i="141"/>
  <c r="F1" i="141"/>
  <c r="P1668" i="141"/>
  <c r="P962" i="141"/>
  <c r="P110" i="141"/>
  <c r="P999" i="141"/>
  <c r="P642" i="141"/>
  <c r="P1191" i="141"/>
  <c r="P723" i="141"/>
  <c r="P763" i="141"/>
  <c r="P1677" i="141"/>
  <c r="P601" i="141"/>
  <c r="P1009" i="141"/>
  <c r="P981" i="141"/>
  <c r="P805" i="141"/>
  <c r="P101" i="141"/>
  <c r="P1589" i="141"/>
  <c r="P1499" i="141"/>
  <c r="P1040" i="141"/>
  <c r="P810" i="141"/>
  <c r="P52" i="141"/>
  <c r="P1034" i="141"/>
  <c r="P325" i="141"/>
  <c r="P247" i="141"/>
  <c r="P1343" i="141"/>
  <c r="P1642" i="141"/>
  <c r="P215" i="141"/>
  <c r="P811" i="141"/>
  <c r="P1530" i="141"/>
  <c r="P1596" i="141"/>
  <c r="E627" i="141"/>
  <c r="P60" i="141"/>
  <c r="P797" i="141"/>
  <c r="C1785" i="141"/>
  <c r="P1337" i="141"/>
  <c r="P485" i="141"/>
  <c r="P661" i="141"/>
  <c r="P1580" i="141"/>
  <c r="P837" i="141"/>
  <c r="D1397" i="141"/>
  <c r="N1165" i="141"/>
  <c r="P148" i="141"/>
  <c r="P995" i="141"/>
  <c r="L1707" i="141"/>
  <c r="P769" i="141"/>
  <c r="P983" i="141"/>
  <c r="P1117" i="141"/>
  <c r="P1887" i="141"/>
  <c r="P1303" i="141"/>
  <c r="P762" i="141"/>
  <c r="C1" i="141"/>
  <c r="P1835" i="141"/>
  <c r="P839" i="141"/>
  <c r="P1264" i="141"/>
  <c r="P1661" i="141"/>
  <c r="P1112" i="141"/>
  <c r="P324" i="141"/>
  <c r="P1842" i="141"/>
  <c r="P1901" i="141"/>
  <c r="P549" i="141"/>
  <c r="P354" i="141"/>
  <c r="P1922" i="141"/>
  <c r="E1397" i="141"/>
  <c r="P851" i="141"/>
  <c r="P692" i="141"/>
  <c r="P918" i="141"/>
  <c r="P1655" i="141"/>
  <c r="P1488" i="141"/>
  <c r="P1181" i="141"/>
  <c r="E1862" i="141"/>
  <c r="P858" i="141"/>
  <c r="P1064" i="141"/>
  <c r="P53" i="141"/>
  <c r="P884" i="141"/>
  <c r="P1027" i="141"/>
  <c r="P1433" i="141"/>
  <c r="K1474" i="141"/>
  <c r="P1928" i="141"/>
  <c r="P1603" i="141"/>
  <c r="F1629" i="141"/>
  <c r="P564" i="141"/>
  <c r="N858" i="141"/>
  <c r="P1844" i="141"/>
  <c r="P1582" i="141"/>
  <c r="P770" i="141"/>
  <c r="P806" i="141"/>
  <c r="P1775" i="141"/>
  <c r="P30" i="141"/>
  <c r="P1613" i="141"/>
  <c r="P524" i="141"/>
  <c r="C1707" i="141"/>
  <c r="P986" i="141"/>
  <c r="P1224" i="141"/>
  <c r="P827" i="141"/>
  <c r="H935" i="141"/>
  <c r="P730" i="141"/>
  <c r="I1088" i="141"/>
  <c r="P1486" i="141"/>
  <c r="P1683" i="141"/>
  <c r="P765" i="141"/>
  <c r="P1841" i="141"/>
  <c r="E858" i="141"/>
  <c r="P531" i="141"/>
  <c r="L551" i="141"/>
  <c r="O1242" i="141"/>
  <c r="P431" i="141"/>
  <c r="P91" i="141"/>
  <c r="P600" i="141"/>
  <c r="P462" i="141"/>
  <c r="K1011" i="141"/>
  <c r="P456" i="141"/>
  <c r="P1245" i="141"/>
  <c r="M1" i="141"/>
  <c r="P194" i="141"/>
  <c r="L1242" i="141"/>
  <c r="P879" i="141"/>
  <c r="G858" i="141"/>
  <c r="P1788" i="141"/>
  <c r="J1397" i="141"/>
  <c r="P56" i="141"/>
  <c r="P1880" i="141"/>
  <c r="P1092" i="141"/>
  <c r="P688" i="141"/>
  <c r="P1346" i="141"/>
  <c r="P707" i="141"/>
  <c r="P421" i="141"/>
  <c r="H627" i="141"/>
  <c r="P1693" i="141"/>
  <c r="P559" i="141"/>
  <c r="P98" i="141"/>
  <c r="P1155" i="141"/>
  <c r="P573" i="141"/>
  <c r="J1629" i="141"/>
  <c r="P750" i="141"/>
  <c r="P389" i="141"/>
  <c r="H1242" i="141"/>
  <c r="P1272" i="141"/>
  <c r="P1505" i="141"/>
  <c r="G627" i="141"/>
  <c r="P680" i="141"/>
  <c r="P427" i="141"/>
  <c r="P615" i="141"/>
  <c r="P748" i="141"/>
  <c r="P1313" i="141"/>
  <c r="P652" i="141"/>
  <c r="C858" i="141"/>
  <c r="P167" i="141"/>
  <c r="P541" i="141"/>
  <c r="P511" i="141"/>
  <c r="P1247" i="141"/>
  <c r="F551" i="141"/>
  <c r="L1011" i="141"/>
  <c r="P1166" i="141"/>
  <c r="P774" i="141"/>
  <c r="C1165" i="141"/>
  <c r="P118" i="141"/>
  <c r="P430" i="141"/>
  <c r="P934" i="141"/>
  <c r="L627" i="141"/>
  <c r="P1325" i="141"/>
  <c r="P1016" i="141"/>
  <c r="P1170" i="141"/>
  <c r="K551" i="141"/>
  <c r="P45" i="141"/>
  <c r="P1899" i="141"/>
  <c r="P36" i="141"/>
  <c r="P856" i="141"/>
  <c r="P68" i="141"/>
  <c r="P1147" i="141"/>
  <c r="P1723" i="141"/>
  <c r="G1011" i="141"/>
  <c r="P359" i="141"/>
  <c r="P506" i="141"/>
  <c r="L1088" i="141"/>
  <c r="J1707" i="141"/>
  <c r="P198" i="141"/>
  <c r="P271" i="141"/>
  <c r="P990" i="141"/>
  <c r="P844" i="141"/>
  <c r="P896" i="141"/>
  <c r="P1681" i="141"/>
  <c r="P272" i="141"/>
  <c r="P838" i="141"/>
  <c r="P843" i="141"/>
  <c r="P1767" i="141"/>
  <c r="P729" i="141"/>
  <c r="P120" i="141"/>
  <c r="P514" i="141"/>
  <c r="P1610" i="141"/>
  <c r="P8" i="141"/>
  <c r="P779" i="141"/>
  <c r="I935" i="141"/>
  <c r="P1679" i="141"/>
  <c r="P973" i="141"/>
  <c r="P1436" i="141"/>
  <c r="P809" i="141"/>
  <c r="P326" i="141"/>
  <c r="P1555" i="141"/>
  <c r="I1862" i="141"/>
  <c r="P1362" i="141"/>
  <c r="P1816" i="141"/>
  <c r="P1030" i="141"/>
  <c r="K1862" i="141"/>
  <c r="P517" i="141"/>
  <c r="I858" i="141"/>
  <c r="P904" i="141"/>
  <c r="P1852" i="141"/>
  <c r="P1670" i="141"/>
  <c r="P1940" i="141"/>
  <c r="P1606" i="141"/>
  <c r="P1041" i="141"/>
  <c r="P1299" i="141"/>
  <c r="P1089" i="141"/>
  <c r="P1165" i="141"/>
  <c r="P1769" i="141"/>
  <c r="P840" i="141"/>
  <c r="P1752" i="141"/>
  <c r="P1511" i="141"/>
  <c r="P1837" i="141"/>
  <c r="P895" i="141"/>
  <c r="P133" i="141"/>
  <c r="P1617" i="141"/>
  <c r="P1543" i="141"/>
  <c r="P1103" i="141"/>
  <c r="P727" i="141"/>
  <c r="P169" i="141"/>
  <c r="P1418" i="141"/>
  <c r="P1604" i="141"/>
  <c r="P1906" i="141"/>
  <c r="P1564" i="141"/>
  <c r="P1741" i="141"/>
  <c r="P129" i="141"/>
  <c r="P336" i="141"/>
  <c r="P609" i="141"/>
  <c r="P1205" i="141"/>
  <c r="K1551" i="141"/>
  <c r="P597" i="141"/>
  <c r="M1474" i="141"/>
  <c r="K1629" i="141"/>
  <c r="P1168" i="141"/>
  <c r="P757" i="141"/>
  <c r="P69" i="141"/>
  <c r="P82" i="141"/>
  <c r="P525" i="141"/>
  <c r="P752" i="141"/>
  <c r="P1153" i="141"/>
  <c r="P332" i="141"/>
  <c r="P1896" i="141"/>
  <c r="P1755" i="141"/>
  <c r="P243" i="141"/>
  <c r="P108" i="141"/>
  <c r="P499" i="141"/>
  <c r="P1228" i="141"/>
  <c r="P1595" i="141"/>
  <c r="P568" i="141"/>
  <c r="P1938" i="141"/>
  <c r="P764" i="141"/>
  <c r="P1371" i="141"/>
  <c r="P1707" i="141"/>
  <c r="P10" i="141"/>
  <c r="P565" i="141"/>
  <c r="P1900" i="141"/>
  <c r="P1689" i="141"/>
  <c r="P720" i="141"/>
  <c r="P1289" i="141"/>
  <c r="P539" i="141"/>
  <c r="D1011" i="141"/>
  <c r="P270" i="141"/>
  <c r="P507" i="141"/>
  <c r="P1773" i="141"/>
  <c r="C1474" i="141"/>
  <c r="P1431" i="141"/>
  <c r="P1867" i="141"/>
  <c r="P500" i="141"/>
  <c r="P928" i="141"/>
  <c r="P1780" i="141"/>
  <c r="P1031" i="141"/>
  <c r="P1304" i="141"/>
  <c r="P751" i="141"/>
  <c r="P337" i="141"/>
  <c r="P1918" i="141"/>
  <c r="P1349" i="141"/>
  <c r="G1862" i="141"/>
  <c r="P1335" i="141"/>
  <c r="P1477" i="141"/>
  <c r="P1439" i="141"/>
  <c r="P1535" i="141"/>
  <c r="M704" i="141"/>
  <c r="P566" i="141"/>
  <c r="P602" i="141"/>
  <c r="P1544" i="141"/>
  <c r="P1807" i="141"/>
  <c r="P1619" i="141"/>
  <c r="P1441" i="141"/>
  <c r="C1011" i="141"/>
  <c r="P1517" i="141"/>
  <c r="P639" i="141"/>
  <c r="O1551" i="141"/>
  <c r="G1" i="141"/>
  <c r="P1380" i="141"/>
  <c r="D1939" i="141"/>
  <c r="I1551" i="141"/>
  <c r="P872" i="141"/>
  <c r="P1368" i="141"/>
  <c r="P23" i="141"/>
  <c r="P1393" i="141"/>
  <c r="P1479" i="141"/>
  <c r="P1756" i="141"/>
  <c r="P1218" i="141"/>
  <c r="P611" i="141"/>
  <c r="N1629" i="141"/>
  <c r="P1134" i="141"/>
  <c r="E1551" i="141"/>
  <c r="P1460" i="141"/>
  <c r="P1571" i="141"/>
  <c r="P1261" i="141"/>
  <c r="P1231" i="141"/>
  <c r="C551" i="141"/>
  <c r="H1629" i="141"/>
  <c r="P593" i="141"/>
  <c r="P665" i="141"/>
  <c r="P1722" i="141"/>
  <c r="P1118" i="141"/>
  <c r="P655" i="141"/>
  <c r="P830" i="141"/>
  <c r="P1554" i="141"/>
  <c r="L858" i="141"/>
  <c r="P558" i="141"/>
  <c r="P44" i="141"/>
  <c r="F627" i="141"/>
  <c r="P1232" i="141"/>
  <c r="P1799" i="141"/>
  <c r="P1067" i="141"/>
  <c r="P1577" i="141"/>
  <c r="P1832" i="141"/>
  <c r="P518" i="141"/>
  <c r="P1411" i="141"/>
  <c r="P1177" i="141"/>
  <c r="P683" i="141"/>
  <c r="P1169" i="141"/>
  <c r="P494" i="141"/>
  <c r="P991" i="141"/>
  <c r="P1531" i="141"/>
  <c r="P102" i="141"/>
  <c r="P740" i="141"/>
  <c r="P1091" i="141"/>
  <c r="D1707" i="141"/>
  <c r="P1846" i="141"/>
  <c r="P1751" i="141"/>
  <c r="P760" i="141"/>
  <c r="P978" i="141"/>
  <c r="P1690" i="141"/>
  <c r="P33" i="141"/>
  <c r="P15" i="141"/>
  <c r="D858" i="141"/>
  <c r="P218" i="141"/>
  <c r="P679" i="141"/>
  <c r="P1415" i="141"/>
  <c r="P1379" i="141"/>
  <c r="P1472" i="141"/>
  <c r="P220" i="141"/>
  <c r="P127" i="141"/>
  <c r="J1939" i="141"/>
  <c r="P1473" i="141"/>
  <c r="P1746" i="141"/>
  <c r="P521" i="141"/>
  <c r="P828" i="141"/>
  <c r="P191" i="141"/>
  <c r="P1823" i="141"/>
  <c r="P1029" i="141"/>
  <c r="P673" i="141"/>
  <c r="P490" i="141"/>
  <c r="N1939" i="141"/>
  <c r="P488" i="141"/>
  <c r="P1861" i="141"/>
  <c r="P1915" i="141"/>
  <c r="P1790" i="141"/>
  <c r="P111" i="141"/>
  <c r="P1426" i="141"/>
  <c r="P175" i="141"/>
  <c r="P625" i="141"/>
  <c r="P1302" i="141"/>
  <c r="P1738" i="141"/>
  <c r="P1654" i="141"/>
  <c r="P1882" i="141"/>
  <c r="P1771" i="141"/>
  <c r="P29" i="141"/>
  <c r="F935" i="141"/>
  <c r="P666" i="141"/>
  <c r="K1088" i="141"/>
  <c r="L1474" i="141"/>
  <c r="P1434" i="141"/>
  <c r="P1319" i="141"/>
  <c r="H551" i="141"/>
  <c r="P1622" i="141"/>
  <c r="P505" i="141"/>
  <c r="P1074" i="141"/>
  <c r="P408" i="141"/>
  <c r="P55" i="141"/>
  <c r="F1707" i="141"/>
  <c r="P821" i="141"/>
  <c r="P1494" i="141"/>
  <c r="N627" i="141"/>
  <c r="P1862" i="141"/>
  <c r="P1214" i="141"/>
  <c r="P1187" i="141"/>
  <c r="P927" i="141"/>
  <c r="J1242" i="141"/>
  <c r="P1474" i="141"/>
  <c r="P1466" i="141"/>
  <c r="N1551" i="141"/>
  <c r="P134" i="141"/>
  <c r="P1158" i="141"/>
  <c r="H1320" i="141"/>
  <c r="P686" i="141"/>
  <c r="P1584" i="141"/>
  <c r="P949" i="141"/>
  <c r="M1629" i="141"/>
  <c r="P1154" i="141"/>
  <c r="P982" i="141"/>
  <c r="P1363" i="141"/>
  <c r="P667" i="141"/>
  <c r="O1785" i="141"/>
  <c r="J1862" i="141"/>
  <c r="P1733" i="141"/>
  <c r="P1583" i="141"/>
  <c r="P1549" i="141"/>
  <c r="P17" i="141"/>
  <c r="P1260" i="141"/>
  <c r="P1446" i="141"/>
  <c r="P439" i="141"/>
  <c r="P1805" i="141"/>
  <c r="P47" i="141"/>
  <c r="P651" i="141"/>
  <c r="P1708" i="141"/>
  <c r="P736" i="141"/>
  <c r="N1" i="141"/>
  <c r="P741" i="141"/>
  <c r="P1119" i="141"/>
  <c r="E1242" i="141"/>
  <c r="P1207" i="141"/>
  <c r="J1" i="141"/>
  <c r="P195" i="141"/>
  <c r="L1397" i="141"/>
  <c r="F1939" i="141"/>
  <c r="P1440" i="141"/>
  <c r="P437" i="141"/>
  <c r="P1856" i="141"/>
  <c r="O1165" i="141"/>
  <c r="M1165" i="141"/>
  <c r="P409" i="141"/>
  <c r="P1764" i="141"/>
  <c r="P767" i="141"/>
  <c r="P1130" i="141"/>
  <c r="P1625" i="141"/>
  <c r="P1804" i="141"/>
  <c r="P1547" i="141"/>
  <c r="N1088" i="141"/>
  <c r="P1904" i="141"/>
  <c r="P1028" i="141"/>
  <c r="L1785" i="141"/>
  <c r="P1082" i="141"/>
  <c r="F1474" i="141"/>
  <c r="P1455" i="141"/>
  <c r="P1634" i="141"/>
  <c r="P1419" i="141"/>
  <c r="P7" i="141"/>
  <c r="P112" i="141"/>
  <c r="P545" i="141"/>
  <c r="P305" i="141"/>
  <c r="P612" i="141"/>
  <c r="D78" i="35"/>
  <c r="D80" i="35"/>
  <c r="P132" i="60"/>
  <c r="P1413" i="141"/>
  <c r="P1933" i="141"/>
  <c r="P1556" i="141"/>
  <c r="P1451" i="141"/>
  <c r="P705" i="141"/>
  <c r="R112" i="60"/>
  <c r="R4" i="137"/>
  <c r="R5" i="137"/>
  <c r="R7" i="137"/>
  <c r="R9" i="137"/>
  <c r="R12" i="137"/>
  <c r="X11" i="18"/>
  <c r="R30" i="18"/>
  <c r="AA11" i="18"/>
  <c r="P1705" i="141"/>
  <c r="P1417" i="141"/>
  <c r="P1084" i="141"/>
  <c r="P1866" i="141"/>
  <c r="P466" i="141"/>
  <c r="D627" i="141"/>
  <c r="P1541" i="141"/>
  <c r="N1397" i="141"/>
  <c r="P1269" i="141"/>
  <c r="P440" i="141"/>
  <c r="M858" i="141"/>
  <c r="P1078" i="141"/>
  <c r="P1609" i="141"/>
  <c r="P1447" i="141"/>
  <c r="P1573" i="141"/>
  <c r="P1259" i="141"/>
  <c r="P1808" i="141"/>
  <c r="P1010" i="141"/>
  <c r="C704" i="141"/>
  <c r="P1163" i="141"/>
  <c r="P1132" i="141"/>
  <c r="P1692" i="141"/>
  <c r="P122" i="141"/>
  <c r="P96" i="141"/>
  <c r="P330" i="141"/>
  <c r="P19" i="141"/>
  <c r="P327" i="141"/>
  <c r="P1800" i="141"/>
  <c r="P1059" i="141"/>
  <c r="P1420" i="141"/>
  <c r="P1219" i="141"/>
  <c r="P266" i="141"/>
  <c r="P1077" i="141"/>
  <c r="P678" i="141"/>
  <c r="P1140" i="141"/>
  <c r="P1578" i="141"/>
  <c r="P584" i="141"/>
  <c r="G78" i="35"/>
  <c r="X10" i="18"/>
  <c r="P222" i="141"/>
  <c r="P116" i="141"/>
  <c r="P862" i="141"/>
  <c r="P252" i="141"/>
  <c r="P126" i="141"/>
  <c r="P424" i="141"/>
  <c r="P1164" i="141"/>
  <c r="P502" i="141"/>
  <c r="P761" i="141"/>
  <c r="P1878" i="141"/>
  <c r="N80" i="35"/>
  <c r="I80" i="35"/>
  <c r="P1602" i="141"/>
  <c r="P1729" i="141"/>
  <c r="P49" i="141"/>
  <c r="P1223" i="141"/>
  <c r="P1650" i="141"/>
  <c r="P1850" i="141"/>
  <c r="P697" i="141"/>
  <c r="P1400" i="141"/>
  <c r="P825" i="141"/>
  <c r="P1493" i="141"/>
  <c r="P323" i="141"/>
  <c r="P974" i="141"/>
  <c r="P957" i="141"/>
  <c r="P660" i="141"/>
  <c r="P196" i="141"/>
  <c r="P197" i="141"/>
  <c r="P1815" i="141"/>
  <c r="P93" i="141"/>
  <c r="P223" i="141"/>
  <c r="P604" i="141"/>
  <c r="N78" i="35"/>
  <c r="P908" i="141"/>
  <c r="P546" i="141"/>
  <c r="P1422" i="141"/>
  <c r="P1000" i="141"/>
  <c r="P939" i="141"/>
  <c r="P875" i="141"/>
  <c r="P16" i="141"/>
  <c r="P1293" i="141"/>
  <c r="P125" i="141"/>
  <c r="P1045" i="141"/>
  <c r="P1344" i="141"/>
  <c r="P1035" i="141"/>
  <c r="P1770" i="141"/>
  <c r="P1888" i="141"/>
  <c r="L1862" i="141"/>
  <c r="P912" i="141"/>
  <c r="P1354" i="141"/>
  <c r="P1203" i="141"/>
  <c r="J1551" i="141"/>
  <c r="P803" i="141"/>
  <c r="P1397" i="141"/>
  <c r="P1076" i="141"/>
  <c r="P1005" i="141"/>
  <c r="P892" i="141"/>
  <c r="P992" i="141"/>
  <c r="P1110" i="141"/>
  <c r="P1696" i="141"/>
  <c r="P1672" i="141"/>
  <c r="P1159" i="141"/>
  <c r="P1825" i="141"/>
  <c r="P1275" i="141"/>
  <c r="P924" i="141"/>
  <c r="P1623" i="141"/>
  <c r="P1448" i="141"/>
  <c r="P1353" i="141"/>
  <c r="P891" i="141"/>
  <c r="O1707" i="141"/>
  <c r="P392" i="141"/>
  <c r="P1532" i="141"/>
  <c r="P250" i="141"/>
  <c r="P335" i="141"/>
  <c r="P617" i="141"/>
  <c r="E78" i="35"/>
  <c r="P458" i="141"/>
  <c r="O781" i="141"/>
  <c r="P445" i="141"/>
  <c r="O704" i="141"/>
  <c r="AB10" i="18"/>
  <c r="P709" i="141"/>
  <c r="K627" i="141"/>
  <c r="M13" i="137"/>
  <c r="M116" i="60"/>
  <c r="M117" i="60"/>
  <c r="M130" i="60"/>
  <c r="M23" i="18"/>
  <c r="G80" i="35"/>
  <c r="E24" i="18"/>
  <c r="O935" i="141"/>
  <c r="R77" i="142"/>
  <c r="R78" i="142"/>
  <c r="P786" i="141"/>
  <c r="I78" i="35"/>
  <c r="I19" i="18"/>
  <c r="I21" i="18"/>
  <c r="P464" i="141"/>
  <c r="H116" i="60"/>
  <c r="H117" i="60"/>
  <c r="H130" i="60"/>
  <c r="O78" i="35"/>
  <c r="H23" i="18"/>
  <c r="H24" i="18"/>
  <c r="P940" i="141"/>
  <c r="S126" i="60"/>
  <c r="S127" i="60"/>
  <c r="N19" i="18"/>
  <c r="N21" i="18"/>
  <c r="AC125" i="60"/>
  <c r="K78" i="35"/>
  <c r="AA4" i="18"/>
  <c r="R76" i="35"/>
  <c r="AB67" i="35"/>
  <c r="AB76" i="35"/>
  <c r="AB82" i="35"/>
  <c r="AL70" i="136"/>
  <c r="AL71" i="136"/>
  <c r="AL83" i="136"/>
  <c r="J78" i="35"/>
  <c r="U48" i="35"/>
  <c r="X74" i="129"/>
  <c r="J551" i="141"/>
  <c r="AA61" i="35"/>
  <c r="AA79" i="35"/>
  <c r="Z79" i="35"/>
  <c r="T57" i="35"/>
  <c r="G11" i="148"/>
  <c r="H11" i="148"/>
  <c r="J11" i="148"/>
  <c r="D12" i="148"/>
  <c r="K80" i="35"/>
  <c r="Q80" i="35"/>
  <c r="U67" i="35"/>
  <c r="Z18" i="18"/>
  <c r="N125" i="60"/>
  <c r="O39" i="60"/>
  <c r="O40" i="60"/>
  <c r="Z6" i="35"/>
  <c r="E39" i="60"/>
  <c r="D125" i="60"/>
  <c r="E40" i="60"/>
  <c r="AA20" i="35"/>
  <c r="Z20" i="35"/>
  <c r="P76" i="35"/>
  <c r="P78" i="35"/>
  <c r="Z48" i="35"/>
  <c r="AA48" i="35"/>
  <c r="H25" i="18"/>
  <c r="H113" i="60"/>
  <c r="R20" i="136"/>
  <c r="R18" i="136"/>
  <c r="Q18" i="136"/>
  <c r="T126" i="60"/>
  <c r="T127" i="60"/>
  <c r="U127" i="60"/>
  <c r="U126" i="60"/>
  <c r="AA18" i="18"/>
  <c r="AB18" i="18"/>
  <c r="M627" i="141"/>
  <c r="C46" i="126"/>
  <c r="X18" i="18"/>
  <c r="U79" i="35"/>
  <c r="V127" i="60"/>
  <c r="V126" i="60"/>
  <c r="X126" i="60"/>
  <c r="X127" i="60"/>
  <c r="G51" i="126"/>
  <c r="G56" i="126"/>
  <c r="G19" i="18"/>
  <c r="G21" i="18"/>
  <c r="G25" i="18"/>
  <c r="G113" i="60"/>
  <c r="J114" i="60"/>
  <c r="J4" i="137"/>
  <c r="J5" i="137"/>
  <c r="J7" i="137"/>
  <c r="J9" i="137"/>
  <c r="J12" i="137"/>
  <c r="J132" i="60"/>
  <c r="D23" i="137"/>
  <c r="C29" i="137"/>
  <c r="H51" i="126"/>
  <c r="H56" i="126"/>
  <c r="H58" i="126"/>
  <c r="F112" i="60"/>
  <c r="G114" i="60"/>
  <c r="F17" i="18"/>
  <c r="F30" i="18"/>
  <c r="H114" i="60"/>
  <c r="G132" i="60"/>
  <c r="G4" i="137"/>
  <c r="G5" i="137"/>
  <c r="G7" i="137"/>
  <c r="G9" i="137"/>
  <c r="G12" i="137"/>
  <c r="J19" i="18"/>
  <c r="J21" i="18"/>
  <c r="J25" i="18"/>
  <c r="J113" i="60"/>
  <c r="D51" i="126"/>
  <c r="D56" i="126"/>
  <c r="Q55" i="136"/>
  <c r="Q46" i="136"/>
  <c r="S76" i="35"/>
  <c r="Z57" i="35"/>
  <c r="C47" i="126"/>
  <c r="F51" i="126"/>
  <c r="F56" i="126"/>
  <c r="N40" i="60"/>
  <c r="M125" i="60"/>
  <c r="N39" i="60"/>
  <c r="E56" i="126"/>
  <c r="E51" i="126"/>
  <c r="CF160" i="52"/>
  <c r="J372" i="141"/>
  <c r="O372" i="141"/>
  <c r="F125" i="60"/>
  <c r="F40" i="60"/>
  <c r="F39" i="60"/>
  <c r="G40" i="60"/>
  <c r="G39" i="60"/>
  <c r="I23" i="18"/>
  <c r="I116" i="60"/>
  <c r="I13" i="137"/>
  <c r="F30" i="137"/>
  <c r="G32" i="137"/>
  <c r="K125" i="60"/>
  <c r="K40" i="60"/>
  <c r="K39" i="60"/>
  <c r="AE16" i="136"/>
  <c r="AF16" i="136"/>
  <c r="AF15" i="136"/>
  <c r="X20" i="18"/>
  <c r="AA20" i="18"/>
  <c r="C125" i="60"/>
  <c r="C40" i="60"/>
  <c r="C39" i="60"/>
  <c r="D40" i="60"/>
  <c r="D39" i="60"/>
  <c r="H125" i="60"/>
  <c r="H40" i="60"/>
  <c r="H39" i="60"/>
  <c r="J39" i="60"/>
  <c r="J40" i="60"/>
  <c r="I40" i="60"/>
  <c r="I125" i="60"/>
  <c r="I39" i="60"/>
  <c r="AD38" i="60"/>
  <c r="AE38" i="60"/>
  <c r="Z20" i="18"/>
  <c r="L40" i="60"/>
  <c r="L39" i="60"/>
  <c r="L125" i="60"/>
  <c r="M39" i="60"/>
  <c r="M40" i="60"/>
  <c r="AB20" i="18"/>
  <c r="Q126" i="60"/>
  <c r="Q127" i="60"/>
  <c r="R127" i="60"/>
  <c r="R126" i="60"/>
  <c r="AE125" i="60"/>
  <c r="AB126" i="60"/>
  <c r="AB127" i="60"/>
  <c r="AA127" i="60"/>
  <c r="AA126" i="60"/>
  <c r="J627" i="141"/>
  <c r="P623" i="141"/>
  <c r="O626" i="141"/>
  <c r="T34" i="35"/>
  <c r="S14" i="18"/>
  <c r="S15" i="18"/>
  <c r="S30" i="18"/>
  <c r="AA33" i="35"/>
  <c r="T28" i="35"/>
  <c r="AA64" i="35"/>
  <c r="T61" i="35"/>
  <c r="AA71" i="35"/>
  <c r="T67" i="35"/>
  <c r="AA50" i="35"/>
  <c r="T48" i="35"/>
  <c r="Z9" i="18"/>
  <c r="X9" i="18"/>
  <c r="AB9" i="18"/>
  <c r="AA9" i="18"/>
  <c r="B24" i="18"/>
  <c r="B26" i="18"/>
  <c r="AD84" i="136"/>
  <c r="AE85" i="136"/>
  <c r="AP69" i="136"/>
  <c r="AM69" i="136"/>
  <c r="AE84" i="136"/>
  <c r="Y85" i="136"/>
  <c r="AQ85" i="136"/>
  <c r="AL69" i="136"/>
  <c r="AO84" i="136"/>
  <c r="AB84" i="136"/>
  <c r="AG85" i="136"/>
  <c r="AO85" i="136"/>
  <c r="AL85" i="136"/>
  <c r="AL84" i="136"/>
  <c r="AF69" i="136"/>
  <c r="AA84" i="136"/>
  <c r="Z69" i="136"/>
  <c r="AK85" i="136"/>
  <c r="AE17" i="136"/>
  <c r="AG84" i="136"/>
  <c r="AP84" i="136"/>
  <c r="W85" i="136"/>
  <c r="Z85" i="136"/>
  <c r="AB69" i="136"/>
  <c r="AC84" i="136"/>
  <c r="AI69" i="136"/>
  <c r="AJ85" i="136"/>
  <c r="AG69" i="136"/>
  <c r="W69" i="136"/>
  <c r="AJ69" i="136"/>
  <c r="Y84" i="136"/>
  <c r="AE69" i="136"/>
  <c r="AJ84" i="136"/>
  <c r="AP85" i="136"/>
  <c r="AO69" i="136"/>
  <c r="AH84" i="136"/>
  <c r="AF85" i="136"/>
  <c r="W84" i="136"/>
  <c r="AK69" i="136"/>
  <c r="AM85" i="136"/>
  <c r="AD69" i="136"/>
  <c r="AQ84" i="136"/>
  <c r="AA85" i="136"/>
  <c r="AI84" i="136"/>
  <c r="AI85" i="136"/>
  <c r="AN85" i="136"/>
  <c r="AQ69" i="136"/>
  <c r="AE31" i="136"/>
  <c r="X69" i="136"/>
  <c r="AH85" i="136"/>
  <c r="AF84" i="136"/>
  <c r="AN84" i="136"/>
  <c r="AC69" i="136"/>
  <c r="Y69" i="136"/>
  <c r="X84" i="136"/>
  <c r="AA69" i="136"/>
  <c r="AC85" i="136"/>
  <c r="AM84" i="136"/>
  <c r="AB85" i="136"/>
  <c r="X85" i="136"/>
  <c r="AE32" i="136"/>
  <c r="Z84" i="136"/>
  <c r="AN69" i="136"/>
  <c r="AK84" i="136"/>
  <c r="AH69" i="136"/>
  <c r="AD85" i="136"/>
  <c r="K116" i="60"/>
  <c r="K13" i="137"/>
  <c r="K23" i="18"/>
  <c r="P23" i="18"/>
  <c r="P116" i="60"/>
  <c r="P13" i="137"/>
  <c r="D13" i="137"/>
  <c r="D23" i="18"/>
  <c r="D116" i="60"/>
  <c r="R132" i="60"/>
  <c r="Q30" i="18"/>
  <c r="Q112" i="60"/>
  <c r="R114" i="60"/>
  <c r="Q17" i="18"/>
  <c r="O30" i="18"/>
  <c r="O17" i="18"/>
  <c r="O112" i="60"/>
  <c r="P30" i="18"/>
  <c r="N116" i="60"/>
  <c r="N23" i="18"/>
  <c r="N13" i="137"/>
  <c r="C781" i="141"/>
  <c r="K781" i="141"/>
  <c r="N781" i="141"/>
  <c r="M781" i="141"/>
  <c r="E781" i="141"/>
  <c r="H781" i="141"/>
  <c r="I781" i="141"/>
  <c r="F781" i="141"/>
  <c r="J781" i="141"/>
  <c r="D781" i="141"/>
  <c r="G781" i="141"/>
  <c r="L781" i="141"/>
  <c r="L13" i="137"/>
  <c r="L116" i="60"/>
  <c r="L23" i="18"/>
  <c r="B117" i="60"/>
  <c r="B130" i="60"/>
  <c r="C118" i="60"/>
  <c r="X22" i="18"/>
  <c r="AA22" i="18"/>
  <c r="Z22" i="18"/>
  <c r="AB22" i="18"/>
  <c r="R25" i="18"/>
  <c r="R19" i="18"/>
  <c r="R21" i="18"/>
  <c r="J300" i="141"/>
  <c r="J296" i="141"/>
  <c r="W127" i="60"/>
  <c r="W126" i="60"/>
  <c r="AK70" i="136"/>
  <c r="AK71" i="136"/>
  <c r="AK83" i="136"/>
  <c r="J368" i="141"/>
  <c r="J292" i="141"/>
  <c r="O292" i="141"/>
  <c r="P292" i="141"/>
  <c r="J291" i="141"/>
  <c r="O291" i="141"/>
  <c r="P291" i="141"/>
  <c r="J290" i="141"/>
  <c r="O290" i="141"/>
  <c r="P290" i="141"/>
  <c r="J288" i="141"/>
  <c r="O288" i="141"/>
  <c r="P288" i="141"/>
  <c r="J287" i="141"/>
  <c r="CI161" i="52"/>
  <c r="J295" i="141"/>
  <c r="J284" i="141"/>
  <c r="O284" i="141"/>
  <c r="P284" i="141"/>
  <c r="J283" i="141"/>
  <c r="O283" i="141"/>
  <c r="P283" i="141"/>
  <c r="J282" i="141"/>
  <c r="O282" i="141"/>
  <c r="P282" i="141"/>
  <c r="J281" i="141"/>
  <c r="O281" i="141"/>
  <c r="P281" i="141"/>
  <c r="J280" i="141"/>
  <c r="O280" i="141"/>
  <c r="P280" i="141"/>
  <c r="J279" i="141"/>
  <c r="O279" i="141"/>
  <c r="P279" i="141"/>
  <c r="J278" i="141"/>
  <c r="J265" i="141"/>
  <c r="O265" i="141"/>
  <c r="P265" i="141"/>
  <c r="J264" i="141"/>
  <c r="J261" i="141"/>
  <c r="O261" i="141"/>
  <c r="P261" i="141"/>
  <c r="J260" i="141"/>
  <c r="O260" i="141"/>
  <c r="P260" i="141"/>
  <c r="J259" i="141"/>
  <c r="O259" i="141"/>
  <c r="P259" i="141"/>
  <c r="J258" i="141"/>
  <c r="P372" i="141"/>
  <c r="V58" i="129"/>
  <c r="AP70" i="136"/>
  <c r="AP71" i="136"/>
  <c r="AP72" i="136"/>
  <c r="Z70" i="136"/>
  <c r="Z71" i="136"/>
  <c r="Z83" i="136"/>
  <c r="AB70" i="136"/>
  <c r="AB71" i="136"/>
  <c r="AB83" i="136"/>
  <c r="AC112" i="60"/>
  <c r="Z76" i="35"/>
  <c r="M26" i="18"/>
  <c r="M24" i="18"/>
  <c r="H26" i="18"/>
  <c r="AA76" i="35"/>
  <c r="AB78" i="35"/>
  <c r="AJ70" i="136"/>
  <c r="AJ71" i="136"/>
  <c r="AJ83" i="136"/>
  <c r="AD70" i="136"/>
  <c r="AD71" i="136"/>
  <c r="AD83" i="136"/>
  <c r="J344" i="141"/>
  <c r="O344" i="141"/>
  <c r="J364" i="141"/>
  <c r="O364" i="141"/>
  <c r="AC70" i="136"/>
  <c r="AC71" i="136"/>
  <c r="AC83" i="136"/>
  <c r="AO70" i="136"/>
  <c r="AO71" i="136"/>
  <c r="AO83" i="136"/>
  <c r="Q78" i="35"/>
  <c r="J331" i="141"/>
  <c r="O331" i="141"/>
  <c r="J380" i="141"/>
  <c r="O380" i="141"/>
  <c r="P380" i="141"/>
  <c r="J379" i="141"/>
  <c r="F12" i="148"/>
  <c r="G12" i="148"/>
  <c r="I12" i="148"/>
  <c r="P80" i="35"/>
  <c r="X70" i="136"/>
  <c r="X71" i="136"/>
  <c r="X83" i="136"/>
  <c r="AI70" i="136"/>
  <c r="AI71" i="136"/>
  <c r="AI83" i="136"/>
  <c r="AQ70" i="136"/>
  <c r="AR70" i="136"/>
  <c r="W70" i="136"/>
  <c r="W71" i="136"/>
  <c r="W83" i="136"/>
  <c r="Y70" i="136"/>
  <c r="Y71" i="136"/>
  <c r="Y83" i="136"/>
  <c r="W20" i="136"/>
  <c r="AA70" i="136"/>
  <c r="AA71" i="136"/>
  <c r="AA83" i="136"/>
  <c r="AB84" i="35"/>
  <c r="AB87" i="35"/>
  <c r="AF70" i="136"/>
  <c r="AF71" i="136"/>
  <c r="AF83" i="136"/>
  <c r="AM70" i="136"/>
  <c r="AM71" i="136"/>
  <c r="AM83" i="136"/>
  <c r="AN70" i="136"/>
  <c r="AN71" i="136"/>
  <c r="AN83" i="136"/>
  <c r="AB80" i="35"/>
  <c r="AE70" i="136"/>
  <c r="AE71" i="136"/>
  <c r="AE83" i="136"/>
  <c r="AG70" i="136"/>
  <c r="AG71" i="136"/>
  <c r="AG83" i="136"/>
  <c r="AH70" i="136"/>
  <c r="AH71" i="136"/>
  <c r="AH83" i="136"/>
  <c r="U76" i="35"/>
  <c r="U80" i="35"/>
  <c r="J376" i="141"/>
  <c r="O376" i="141"/>
  <c r="J343" i="141"/>
  <c r="O343" i="141"/>
  <c r="CE162" i="52"/>
  <c r="J374" i="141"/>
  <c r="O374" i="141"/>
  <c r="P374" i="141"/>
  <c r="O368" i="141"/>
  <c r="J365" i="141"/>
  <c r="O365" i="141"/>
  <c r="J345" i="141"/>
  <c r="O345" i="141"/>
  <c r="R80" i="35"/>
  <c r="R78" i="35"/>
  <c r="E126" i="60"/>
  <c r="E127" i="60"/>
  <c r="C53" i="126"/>
  <c r="O127" i="60"/>
  <c r="O126" i="60"/>
  <c r="Q69" i="136"/>
  <c r="Q77" i="136"/>
  <c r="Q82" i="136"/>
  <c r="Q83" i="136"/>
  <c r="Q84" i="136"/>
  <c r="Q85" i="136"/>
  <c r="J348" i="141"/>
  <c r="O348" i="141"/>
  <c r="V34" i="129"/>
  <c r="J362" i="141"/>
  <c r="O362" i="141"/>
  <c r="V48" i="129"/>
  <c r="J366" i="141"/>
  <c r="O366" i="141"/>
  <c r="O373" i="141"/>
  <c r="P373" i="141"/>
  <c r="J363" i="141"/>
  <c r="O363" i="141"/>
  <c r="J342" i="141"/>
  <c r="J349" i="141"/>
  <c r="O349" i="141"/>
  <c r="J371" i="141"/>
  <c r="O371" i="141"/>
  <c r="V57" i="129"/>
  <c r="V55" i="129"/>
  <c r="J375" i="141"/>
  <c r="O375" i="141"/>
  <c r="E23" i="137"/>
  <c r="D29" i="137"/>
  <c r="D31" i="137"/>
  <c r="D35" i="137"/>
  <c r="J13" i="137"/>
  <c r="J23" i="18"/>
  <c r="J116" i="60"/>
  <c r="G13" i="137"/>
  <c r="G23" i="18"/>
  <c r="G116" i="60"/>
  <c r="N126" i="60"/>
  <c r="N127" i="60"/>
  <c r="F58" i="126"/>
  <c r="F63" i="126"/>
  <c r="S80" i="35"/>
  <c r="S78" i="35"/>
  <c r="F25" i="18"/>
  <c r="F113" i="60"/>
  <c r="F19" i="18"/>
  <c r="F21" i="18"/>
  <c r="E58" i="126"/>
  <c r="E63" i="126"/>
  <c r="D58" i="126"/>
  <c r="D63" i="126"/>
  <c r="F4" i="137"/>
  <c r="F5" i="137"/>
  <c r="F7" i="137"/>
  <c r="F9" i="137"/>
  <c r="F12" i="137"/>
  <c r="F114" i="60"/>
  <c r="F132" i="60"/>
  <c r="G63" i="126"/>
  <c r="G65" i="126"/>
  <c r="G58" i="126"/>
  <c r="C54" i="126"/>
  <c r="O379" i="141"/>
  <c r="H127" i="60"/>
  <c r="H126" i="60"/>
  <c r="K127" i="60"/>
  <c r="K126" i="60"/>
  <c r="AE39" i="60"/>
  <c r="AD39" i="60"/>
  <c r="J127" i="60"/>
  <c r="J126" i="60"/>
  <c r="I126" i="60"/>
  <c r="I127" i="60"/>
  <c r="G30" i="137"/>
  <c r="H32" i="137"/>
  <c r="F127" i="60"/>
  <c r="F126" i="60"/>
  <c r="G126" i="60"/>
  <c r="G127" i="60"/>
  <c r="L126" i="60"/>
  <c r="L127" i="60"/>
  <c r="M127" i="60"/>
  <c r="M126" i="60"/>
  <c r="C127" i="60"/>
  <c r="C126" i="60"/>
  <c r="D126" i="60"/>
  <c r="D127" i="60"/>
  <c r="I26" i="18"/>
  <c r="I24" i="18"/>
  <c r="I117" i="60"/>
  <c r="I130" i="60"/>
  <c r="I118" i="60"/>
  <c r="S17" i="18"/>
  <c r="S19" i="18"/>
  <c r="S21" i="18"/>
  <c r="S112" i="60"/>
  <c r="S114" i="60"/>
  <c r="P632" i="141"/>
  <c r="O627" i="141"/>
  <c r="AL72" i="136"/>
  <c r="AL74" i="136"/>
  <c r="AL76" i="136"/>
  <c r="AL78" i="136"/>
  <c r="AL79" i="136"/>
  <c r="T76" i="35"/>
  <c r="L117" i="60"/>
  <c r="L130" i="60"/>
  <c r="L118" i="60"/>
  <c r="M118" i="60"/>
  <c r="AU69" i="136"/>
  <c r="P24" i="18"/>
  <c r="P26" i="18"/>
  <c r="K26" i="18"/>
  <c r="K24" i="18"/>
  <c r="AK72" i="136"/>
  <c r="AK74" i="136"/>
  <c r="AK76" i="136"/>
  <c r="AK78" i="136"/>
  <c r="AK79" i="136"/>
  <c r="AF17" i="136"/>
  <c r="N117" i="60"/>
  <c r="N130" i="60"/>
  <c r="N118" i="60"/>
  <c r="D26" i="18"/>
  <c r="D24" i="18"/>
  <c r="AP83" i="136"/>
  <c r="AR71" i="136"/>
  <c r="Q4" i="137"/>
  <c r="Q5" i="137"/>
  <c r="Q7" i="137"/>
  <c r="Q9" i="137"/>
  <c r="Q12" i="137"/>
  <c r="Q114" i="60"/>
  <c r="Q132" i="60"/>
  <c r="R116" i="60"/>
  <c r="R23" i="18"/>
  <c r="R13" i="137"/>
  <c r="D118" i="60"/>
  <c r="D117" i="60"/>
  <c r="D130" i="60"/>
  <c r="E118" i="60"/>
  <c r="AR69" i="136"/>
  <c r="AQ72" i="136"/>
  <c r="K12" i="148"/>
  <c r="P117" i="60"/>
  <c r="P130" i="60"/>
  <c r="O114" i="60"/>
  <c r="O4" i="137"/>
  <c r="O5" i="137"/>
  <c r="O7" i="137"/>
  <c r="O9" i="137"/>
  <c r="O12" i="137"/>
  <c r="O132" i="60"/>
  <c r="P114" i="60"/>
  <c r="K117" i="60"/>
  <c r="K130" i="60"/>
  <c r="Z72" i="136"/>
  <c r="Z74" i="136"/>
  <c r="Z76" i="136"/>
  <c r="Z78" i="136"/>
  <c r="Z79" i="136"/>
  <c r="AO72" i="136"/>
  <c r="AO74" i="136"/>
  <c r="AO76" i="136"/>
  <c r="AO78" i="136"/>
  <c r="AO79" i="136"/>
  <c r="AJ72" i="136"/>
  <c r="AJ74" i="136"/>
  <c r="AJ76" i="136"/>
  <c r="AJ78" i="136"/>
  <c r="AJ79" i="136"/>
  <c r="O19" i="18"/>
  <c r="O25" i="18"/>
  <c r="L24" i="18"/>
  <c r="L26" i="18"/>
  <c r="N24" i="18"/>
  <c r="N26" i="18"/>
  <c r="Q19" i="18"/>
  <c r="Q21" i="18"/>
  <c r="Q25" i="18"/>
  <c r="Q113" i="60"/>
  <c r="AB72" i="136"/>
  <c r="AB74" i="136"/>
  <c r="AB76" i="136"/>
  <c r="AB78" i="136"/>
  <c r="AB79" i="136"/>
  <c r="J297" i="141"/>
  <c r="AD72" i="136"/>
  <c r="AD74" i="136"/>
  <c r="AD76" i="136"/>
  <c r="AD78" i="136"/>
  <c r="AD79" i="136"/>
  <c r="AT71" i="136"/>
  <c r="J285" i="141"/>
  <c r="O287" i="141"/>
  <c r="J256" i="141"/>
  <c r="O258" i="141"/>
  <c r="J262" i="141"/>
  <c r="O264" i="141"/>
  <c r="J276" i="141"/>
  <c r="O278" i="141"/>
  <c r="J293" i="141"/>
  <c r="O295" i="141"/>
  <c r="P295" i="141"/>
  <c r="P375" i="141"/>
  <c r="V61" i="129"/>
  <c r="P349" i="141"/>
  <c r="V35" i="129"/>
  <c r="V32" i="129"/>
  <c r="P363" i="141"/>
  <c r="V49" i="129"/>
  <c r="P366" i="141"/>
  <c r="V52" i="129"/>
  <c r="P345" i="141"/>
  <c r="V31" i="129"/>
  <c r="P365" i="141"/>
  <c r="V51" i="129"/>
  <c r="P368" i="141"/>
  <c r="V54" i="129"/>
  <c r="P343" i="141"/>
  <c r="V29" i="129"/>
  <c r="P376" i="141"/>
  <c r="V62" i="129"/>
  <c r="P331" i="141"/>
  <c r="V17" i="129"/>
  <c r="P364" i="141"/>
  <c r="V50" i="129"/>
  <c r="P344" i="141"/>
  <c r="V30" i="129"/>
  <c r="H12" i="148"/>
  <c r="J12" i="148"/>
  <c r="J377" i="141"/>
  <c r="AG72" i="136"/>
  <c r="AG74" i="136"/>
  <c r="AG76" i="136"/>
  <c r="AG78" i="136"/>
  <c r="AG79" i="136"/>
  <c r="AM72" i="136"/>
  <c r="AM74" i="136"/>
  <c r="AM76" i="136"/>
  <c r="AM78" i="136"/>
  <c r="AM79" i="136"/>
  <c r="X72" i="136"/>
  <c r="X74" i="136"/>
  <c r="X76" i="136"/>
  <c r="X78" i="136"/>
  <c r="X79" i="136"/>
  <c r="AF72" i="136"/>
  <c r="AF74" i="136"/>
  <c r="AF76" i="136"/>
  <c r="AF78" i="136"/>
  <c r="AF79" i="136"/>
  <c r="AI72" i="136"/>
  <c r="AI74" i="136"/>
  <c r="AI76" i="136"/>
  <c r="AI78" i="136"/>
  <c r="AI79" i="136"/>
  <c r="Q70" i="136"/>
  <c r="C122" i="136"/>
  <c r="C124" i="136"/>
  <c r="C125" i="136"/>
  <c r="C126" i="136"/>
  <c r="AC72" i="136"/>
  <c r="AC74" i="136"/>
  <c r="AC76" i="136"/>
  <c r="AC78" i="136"/>
  <c r="AC79" i="136"/>
  <c r="AN72" i="136"/>
  <c r="AN74" i="136"/>
  <c r="AN76" i="136"/>
  <c r="AN78" i="136"/>
  <c r="AN79" i="136"/>
  <c r="Y72" i="136"/>
  <c r="Y74" i="136"/>
  <c r="Y76" i="136"/>
  <c r="Y78" i="136"/>
  <c r="Y79" i="136"/>
  <c r="AH72" i="136"/>
  <c r="AH74" i="136"/>
  <c r="AH76" i="136"/>
  <c r="AH78" i="136"/>
  <c r="AH79" i="136"/>
  <c r="W72" i="136"/>
  <c r="W74" i="136"/>
  <c r="W76" i="136"/>
  <c r="W78" i="136"/>
  <c r="W79" i="136"/>
  <c r="AE72" i="136"/>
  <c r="AE74" i="136"/>
  <c r="AE76" i="136"/>
  <c r="AE78" i="136"/>
  <c r="AE79" i="136"/>
  <c r="X20" i="136"/>
  <c r="W21" i="136"/>
  <c r="AA72" i="136"/>
  <c r="AA74" i="136"/>
  <c r="AA76" i="136"/>
  <c r="AA78" i="136"/>
  <c r="AA79" i="136"/>
  <c r="J340" i="141"/>
  <c r="S132" i="60"/>
  <c r="J360" i="141"/>
  <c r="Q71" i="136"/>
  <c r="J369" i="141"/>
  <c r="J346" i="141"/>
  <c r="O342" i="141"/>
  <c r="G24" i="18"/>
  <c r="G26" i="18"/>
  <c r="G117" i="60"/>
  <c r="G130" i="60"/>
  <c r="H118" i="60"/>
  <c r="Q86" i="136"/>
  <c r="Q91" i="136"/>
  <c r="Q93" i="136"/>
  <c r="Q92" i="136"/>
  <c r="J118" i="60"/>
  <c r="J117" i="60"/>
  <c r="J130" i="60"/>
  <c r="F13" i="137"/>
  <c r="F23" i="18"/>
  <c r="F116" i="60"/>
  <c r="J24" i="18"/>
  <c r="J26" i="18"/>
  <c r="D77" i="126"/>
  <c r="D79" i="126"/>
  <c r="D65" i="126"/>
  <c r="D70" i="126"/>
  <c r="D72" i="126"/>
  <c r="Z80" i="35"/>
  <c r="AA80" i="35"/>
  <c r="C60" i="126"/>
  <c r="C61" i="126"/>
  <c r="F65" i="126"/>
  <c r="F70" i="126"/>
  <c r="F72" i="126"/>
  <c r="K118" i="60"/>
  <c r="E77" i="126"/>
  <c r="E79" i="126"/>
  <c r="E70" i="126"/>
  <c r="E72" i="126"/>
  <c r="E65" i="126"/>
  <c r="E29" i="137"/>
  <c r="E31" i="137"/>
  <c r="E35" i="137"/>
  <c r="F23" i="137"/>
  <c r="O377" i="141"/>
  <c r="P379" i="141"/>
  <c r="P371" i="141"/>
  <c r="O369" i="141"/>
  <c r="P369" i="141"/>
  <c r="P348" i="141"/>
  <c r="O346" i="141"/>
  <c r="P346" i="141"/>
  <c r="P362" i="141"/>
  <c r="O360" i="141"/>
  <c r="P360" i="141"/>
  <c r="I32" i="137"/>
  <c r="H30" i="137"/>
  <c r="AD112" i="60"/>
  <c r="S4" i="137"/>
  <c r="S5" i="137"/>
  <c r="S7" i="137"/>
  <c r="S9" i="137"/>
  <c r="S12" i="137"/>
  <c r="S23" i="18"/>
  <c r="S25" i="18"/>
  <c r="U78" i="35"/>
  <c r="T78" i="35"/>
  <c r="T82" i="35"/>
  <c r="T84" i="35"/>
  <c r="AU71" i="136"/>
  <c r="AU72" i="136"/>
  <c r="AT72" i="136"/>
  <c r="T80" i="35"/>
  <c r="R24" i="18"/>
  <c r="R26" i="18"/>
  <c r="O113" i="60"/>
  <c r="R117" i="60"/>
  <c r="R130" i="60"/>
  <c r="AP74" i="136"/>
  <c r="Q116" i="60"/>
  <c r="Q13" i="137"/>
  <c r="Q23" i="18"/>
  <c r="D13" i="148"/>
  <c r="O21" i="18"/>
  <c r="AQ74" i="136"/>
  <c r="AR72" i="136"/>
  <c r="O13" i="137"/>
  <c r="O23" i="18"/>
  <c r="O116" i="60"/>
  <c r="P287" i="141"/>
  <c r="O285" i="141"/>
  <c r="P285" i="141"/>
  <c r="O276" i="141"/>
  <c r="P276" i="141"/>
  <c r="P278" i="141"/>
  <c r="O262" i="141"/>
  <c r="P262" i="141"/>
  <c r="P264" i="141"/>
  <c r="O256" i="141"/>
  <c r="P256" i="141"/>
  <c r="P258" i="141"/>
  <c r="V46" i="129"/>
  <c r="P377" i="141"/>
  <c r="V63" i="129"/>
  <c r="P342" i="141"/>
  <c r="V28" i="129"/>
  <c r="V26" i="129"/>
  <c r="X21" i="136"/>
  <c r="W52" i="136"/>
  <c r="AE18" i="136"/>
  <c r="AN80" i="136"/>
  <c r="AM80" i="136"/>
  <c r="Y80" i="136"/>
  <c r="AI80" i="136"/>
  <c r="AP80" i="136"/>
  <c r="AJ80" i="136"/>
  <c r="AC80" i="136"/>
  <c r="AQ80" i="136"/>
  <c r="AD80" i="136"/>
  <c r="AG80" i="136"/>
  <c r="AH80" i="136"/>
  <c r="Z80" i="136"/>
  <c r="X80" i="136"/>
  <c r="W80" i="136"/>
  <c r="AL80" i="136"/>
  <c r="AA80" i="136"/>
  <c r="AF80" i="136"/>
  <c r="AK80" i="136"/>
  <c r="AE80" i="136"/>
  <c r="AB80" i="136"/>
  <c r="AO80" i="136"/>
  <c r="O340" i="141"/>
  <c r="P340" i="141"/>
  <c r="C67" i="126"/>
  <c r="C68" i="126"/>
  <c r="C82" i="126"/>
  <c r="C81" i="126"/>
  <c r="F118" i="60"/>
  <c r="F117" i="60"/>
  <c r="F130" i="60"/>
  <c r="G118" i="60"/>
  <c r="C74" i="126"/>
  <c r="C75" i="126"/>
  <c r="F24" i="18"/>
  <c r="F26" i="18"/>
  <c r="G23" i="137"/>
  <c r="F29" i="137"/>
  <c r="F31" i="137"/>
  <c r="F35" i="137"/>
  <c r="J32" i="137"/>
  <c r="I30" i="137"/>
  <c r="S13" i="137"/>
  <c r="S116" i="60"/>
  <c r="AD116" i="60"/>
  <c r="T87" i="35"/>
  <c r="AB85" i="35"/>
  <c r="Q118" i="60"/>
  <c r="Q117" i="60"/>
  <c r="Q130" i="60"/>
  <c r="R118" i="60"/>
  <c r="S26" i="18"/>
  <c r="S24" i="18"/>
  <c r="AQ76" i="136"/>
  <c r="AR74" i="136"/>
  <c r="I13" i="148"/>
  <c r="F13" i="148"/>
  <c r="Q26" i="18"/>
  <c r="Q24" i="18"/>
  <c r="O117" i="60"/>
  <c r="O130" i="60"/>
  <c r="O118" i="60"/>
  <c r="P118" i="60"/>
  <c r="AP76" i="136"/>
  <c r="AP78" i="136"/>
  <c r="AP79" i="136"/>
  <c r="AT73" i="136"/>
  <c r="AU73" i="136"/>
  <c r="O24" i="18"/>
  <c r="O26" i="18"/>
  <c r="AC116" i="60"/>
  <c r="AE19" i="136"/>
  <c r="AF18" i="136"/>
  <c r="X23" i="136"/>
  <c r="AN21" i="136"/>
  <c r="AN23" i="136"/>
  <c r="G29" i="137"/>
  <c r="G31" i="137"/>
  <c r="G35" i="137"/>
  <c r="H23" i="137"/>
  <c r="J30" i="137"/>
  <c r="K32" i="137"/>
  <c r="S118" i="60"/>
  <c r="S117" i="60"/>
  <c r="S130" i="60"/>
  <c r="AQ78" i="136"/>
  <c r="AR76" i="136"/>
  <c r="K13" i="148"/>
  <c r="G13" i="148"/>
  <c r="H13" i="148"/>
  <c r="J13" i="148"/>
  <c r="AE20" i="136"/>
  <c r="AF19" i="136"/>
  <c r="AE28" i="136"/>
  <c r="AF28" i="136"/>
  <c r="AE30" i="136"/>
  <c r="AF30" i="136"/>
  <c r="H29" i="137"/>
  <c r="H31" i="137"/>
  <c r="H35" i="137"/>
  <c r="I23" i="137"/>
  <c r="L32" i="137"/>
  <c r="L30" i="137"/>
  <c r="K30" i="137"/>
  <c r="D14" i="148"/>
  <c r="AQ79" i="136"/>
  <c r="AR79" i="136"/>
  <c r="AR78" i="136"/>
  <c r="AE22" i="136"/>
  <c r="AF20" i="136"/>
  <c r="J23" i="137"/>
  <c r="I29" i="137"/>
  <c r="I31" i="137"/>
  <c r="I35" i="137"/>
  <c r="F14" i="148"/>
  <c r="I14" i="148"/>
  <c r="AE24" i="136"/>
  <c r="AF22" i="136"/>
  <c r="J29" i="137"/>
  <c r="J31" i="137"/>
  <c r="J35" i="137"/>
  <c r="K23" i="137"/>
  <c r="K14" i="148"/>
  <c r="G14" i="148"/>
  <c r="H14" i="148"/>
  <c r="J14" i="148"/>
  <c r="AE26" i="136"/>
  <c r="AF24" i="136"/>
  <c r="K29" i="137"/>
  <c r="K31" i="137"/>
  <c r="K35" i="137"/>
  <c r="L23" i="137"/>
  <c r="L29" i="137"/>
  <c r="L31" i="137"/>
  <c r="L35" i="137"/>
  <c r="D15" i="148"/>
  <c r="AF26" i="136"/>
  <c r="AE27" i="136"/>
  <c r="AF27" i="136"/>
  <c r="F15" i="148"/>
  <c r="I15" i="148"/>
  <c r="K15" i="148"/>
  <c r="G15" i="148"/>
  <c r="H15" i="148"/>
  <c r="J15" i="148"/>
  <c r="D16" i="148"/>
  <c r="F16" i="148"/>
  <c r="I16" i="148"/>
  <c r="K16" i="148"/>
  <c r="G16" i="148"/>
  <c r="H16" i="148"/>
  <c r="J16" i="148"/>
  <c r="D17" i="148"/>
  <c r="F17" i="148"/>
  <c r="I17" i="148"/>
  <c r="M483" i="141"/>
  <c r="K17" i="148"/>
  <c r="G17" i="148"/>
  <c r="H17" i="148"/>
  <c r="M484" i="141"/>
  <c r="J17" i="148"/>
  <c r="D18" i="148"/>
  <c r="M482" i="141"/>
  <c r="M480" i="141"/>
  <c r="F18" i="148"/>
  <c r="I18" i="148"/>
  <c r="N483" i="141"/>
  <c r="K18" i="148"/>
  <c r="G18" i="148"/>
  <c r="H18" i="148"/>
  <c r="J18" i="148"/>
  <c r="D19" i="148"/>
  <c r="M550" i="141"/>
  <c r="C6" i="149"/>
  <c r="F19" i="148"/>
  <c r="I19" i="148"/>
  <c r="C5" i="149"/>
  <c r="C35" i="149"/>
  <c r="M551" i="141"/>
  <c r="C13" i="149"/>
  <c r="C42" i="149"/>
  <c r="T12" i="18"/>
  <c r="O483" i="141"/>
  <c r="P483" i="141"/>
  <c r="C14" i="149"/>
  <c r="C28" i="149"/>
  <c r="C34" i="149"/>
  <c r="AA12" i="18"/>
  <c r="Z12" i="18"/>
  <c r="AB12" i="18"/>
  <c r="X12" i="18"/>
  <c r="C406" i="141"/>
  <c r="K19" i="148"/>
  <c r="G19" i="148"/>
  <c r="H19" i="148"/>
  <c r="C407" i="141"/>
  <c r="N484" i="141"/>
  <c r="J19" i="148"/>
  <c r="D20" i="148"/>
  <c r="F20" i="148"/>
  <c r="I20" i="148"/>
  <c r="O484" i="141"/>
  <c r="P484" i="141"/>
  <c r="N482" i="141"/>
  <c r="C405" i="141"/>
  <c r="C403" i="141"/>
  <c r="N480" i="141"/>
  <c r="O482" i="141"/>
  <c r="D406" i="141"/>
  <c r="K20" i="148"/>
  <c r="G20" i="148"/>
  <c r="H20" i="148"/>
  <c r="D407" i="141"/>
  <c r="D405" i="141"/>
  <c r="J20" i="148"/>
  <c r="D21" i="148"/>
  <c r="O480" i="141"/>
  <c r="P482" i="141"/>
  <c r="N550" i="141"/>
  <c r="D6" i="149"/>
  <c r="C473" i="141"/>
  <c r="E6" i="149"/>
  <c r="D5" i="149"/>
  <c r="D35" i="149"/>
  <c r="C474" i="141"/>
  <c r="U2" i="18"/>
  <c r="E13" i="149"/>
  <c r="E42" i="149"/>
  <c r="T13" i="18"/>
  <c r="N551" i="141"/>
  <c r="D13" i="149"/>
  <c r="D42" i="149"/>
  <c r="P480" i="141"/>
  <c r="O550" i="141"/>
  <c r="E35" i="149"/>
  <c r="E5" i="149"/>
  <c r="F21" i="148"/>
  <c r="I21" i="148"/>
  <c r="D403" i="141"/>
  <c r="E406" i="141"/>
  <c r="K21" i="148"/>
  <c r="AB13" i="18"/>
  <c r="X13" i="18"/>
  <c r="AA13" i="18"/>
  <c r="Z13" i="18"/>
  <c r="T15" i="18"/>
  <c r="T14" i="18"/>
  <c r="D473" i="141"/>
  <c r="F6" i="149"/>
  <c r="G21" i="148"/>
  <c r="H21" i="148"/>
  <c r="E407" i="141"/>
  <c r="E34" i="149"/>
  <c r="E14" i="149"/>
  <c r="E28" i="149"/>
  <c r="P550" i="141"/>
  <c r="O551" i="141"/>
  <c r="D14" i="149"/>
  <c r="D28" i="149"/>
  <c r="D34" i="149"/>
  <c r="J21" i="148"/>
  <c r="D22" i="148"/>
  <c r="X14" i="18"/>
  <c r="AB14" i="18"/>
  <c r="Z14" i="18"/>
  <c r="AA14" i="18"/>
  <c r="T112" i="60"/>
  <c r="T17" i="18"/>
  <c r="T30" i="18"/>
  <c r="AA15" i="18"/>
  <c r="AB15" i="18"/>
  <c r="Z112" i="60"/>
  <c r="X15" i="18"/>
  <c r="V112" i="60"/>
  <c r="Z15" i="18"/>
  <c r="F5" i="149"/>
  <c r="F35" i="149"/>
  <c r="U3" i="18"/>
  <c r="D474" i="141"/>
  <c r="F13" i="149"/>
  <c r="F42" i="149"/>
  <c r="E405" i="141"/>
  <c r="F34" i="149"/>
  <c r="F14" i="149"/>
  <c r="F28" i="149"/>
  <c r="X114" i="60"/>
  <c r="V132" i="60"/>
  <c r="AA114" i="60"/>
  <c r="Z132" i="60"/>
  <c r="Z114" i="60"/>
  <c r="T19" i="18"/>
  <c r="T25" i="18"/>
  <c r="AB17" i="18"/>
  <c r="AA17" i="18"/>
  <c r="Z17" i="18"/>
  <c r="X17" i="18"/>
  <c r="T132" i="60"/>
  <c r="T114" i="60"/>
  <c r="T4" i="137"/>
  <c r="T5" i="137"/>
  <c r="T7" i="137"/>
  <c r="T9" i="137"/>
  <c r="T12" i="137"/>
  <c r="AE112" i="60"/>
  <c r="E403" i="141"/>
  <c r="I22" i="148"/>
  <c r="F22" i="148"/>
  <c r="T116" i="60"/>
  <c r="T23" i="18"/>
  <c r="T13" i="137"/>
  <c r="G22" i="148"/>
  <c r="H22" i="148"/>
  <c r="F407" i="141"/>
  <c r="T21" i="18"/>
  <c r="AB19" i="18"/>
  <c r="Z19" i="18"/>
  <c r="X19" i="18"/>
  <c r="AA19" i="18"/>
  <c r="F406" i="141"/>
  <c r="K22" i="148"/>
  <c r="Z25" i="18"/>
  <c r="T113" i="60"/>
  <c r="AA25" i="18"/>
  <c r="U113" i="60"/>
  <c r="W114" i="60"/>
  <c r="AB25" i="18"/>
  <c r="V113" i="60"/>
  <c r="X25" i="18"/>
  <c r="E473" i="141"/>
  <c r="G6" i="149"/>
  <c r="J22" i="148"/>
  <c r="D23" i="148"/>
  <c r="F23" i="148"/>
  <c r="G35" i="149"/>
  <c r="G5" i="149"/>
  <c r="E474" i="141"/>
  <c r="G13" i="149"/>
  <c r="G42" i="149"/>
  <c r="U4" i="18"/>
  <c r="R113" i="60"/>
  <c r="S113" i="60"/>
  <c r="Z21" i="18"/>
  <c r="AB21" i="18"/>
  <c r="AA21" i="18"/>
  <c r="X21" i="18"/>
  <c r="T26" i="18"/>
  <c r="T24" i="18"/>
  <c r="X23" i="18"/>
  <c r="Z23" i="18"/>
  <c r="AB23" i="18"/>
  <c r="AA23" i="18"/>
  <c r="F405" i="141"/>
  <c r="AE116" i="60"/>
  <c r="T118" i="60"/>
  <c r="T117" i="60"/>
  <c r="T130" i="60"/>
  <c r="I23" i="148"/>
  <c r="AB24" i="18"/>
  <c r="Z24" i="18"/>
  <c r="X24" i="18"/>
  <c r="AA24" i="18"/>
  <c r="G406" i="141"/>
  <c r="K23" i="148"/>
  <c r="AB26" i="18"/>
  <c r="W113" i="60"/>
  <c r="AA26" i="18"/>
  <c r="Z26" i="18"/>
  <c r="X26" i="18"/>
  <c r="G34" i="149"/>
  <c r="G14" i="149"/>
  <c r="F403" i="141"/>
  <c r="G23" i="148"/>
  <c r="H23" i="148"/>
  <c r="G407" i="141"/>
  <c r="J23" i="148"/>
  <c r="D24" i="148"/>
  <c r="I24" i="148"/>
  <c r="F473" i="141"/>
  <c r="H6" i="149"/>
  <c r="G405" i="141"/>
  <c r="G28" i="149"/>
  <c r="G45" i="149"/>
  <c r="F24" i="148"/>
  <c r="G24" i="148"/>
  <c r="H24" i="148"/>
  <c r="H407" i="141"/>
  <c r="H406" i="141"/>
  <c r="K24" i="148"/>
  <c r="G46" i="149"/>
  <c r="G403" i="141"/>
  <c r="H35" i="149"/>
  <c r="H5" i="149"/>
  <c r="F474" i="141"/>
  <c r="U5" i="18"/>
  <c r="H13" i="149"/>
  <c r="H42" i="149"/>
  <c r="J24" i="148"/>
  <c r="D25" i="148"/>
  <c r="I25" i="148"/>
  <c r="H14" i="149"/>
  <c r="H34" i="149"/>
  <c r="G473" i="141"/>
  <c r="I6" i="149"/>
  <c r="H405" i="141"/>
  <c r="H403" i="141"/>
  <c r="F25" i="148"/>
  <c r="G25" i="148"/>
  <c r="H25" i="148"/>
  <c r="I407" i="141"/>
  <c r="I35" i="149"/>
  <c r="I5" i="149"/>
  <c r="I13" i="149"/>
  <c r="I42" i="149"/>
  <c r="U6" i="18"/>
  <c r="G474" i="141"/>
  <c r="H473" i="141"/>
  <c r="J6" i="149"/>
  <c r="H28" i="149"/>
  <c r="H45" i="149"/>
  <c r="I406" i="141"/>
  <c r="K25" i="148"/>
  <c r="J25" i="148"/>
  <c r="D26" i="148"/>
  <c r="J35" i="149"/>
  <c r="J5" i="149"/>
  <c r="H46" i="149"/>
  <c r="H474" i="141"/>
  <c r="J13" i="149"/>
  <c r="J42" i="149"/>
  <c r="U7" i="18"/>
  <c r="I26" i="148"/>
  <c r="K26" i="148"/>
  <c r="F26" i="148"/>
  <c r="I14" i="149"/>
  <c r="I28" i="149"/>
  <c r="I34" i="149"/>
  <c r="I405" i="141"/>
  <c r="I403" i="141"/>
  <c r="I45" i="149"/>
  <c r="I46" i="149"/>
  <c r="G26" i="148"/>
  <c r="H26" i="148"/>
  <c r="J407" i="141"/>
  <c r="I473" i="141"/>
  <c r="K6" i="149"/>
  <c r="J34" i="149"/>
  <c r="J14" i="149"/>
  <c r="J28" i="149"/>
  <c r="J26" i="148"/>
  <c r="D27" i="148"/>
  <c r="J45" i="149"/>
  <c r="K35" i="149"/>
  <c r="K5" i="149"/>
  <c r="K13" i="149"/>
  <c r="K42" i="149"/>
  <c r="I474" i="141"/>
  <c r="U8" i="18"/>
  <c r="F27" i="148"/>
  <c r="I27" i="148"/>
  <c r="G27" i="148"/>
  <c r="H27" i="148"/>
  <c r="K407" i="141"/>
  <c r="J406" i="141"/>
  <c r="J405" i="141"/>
  <c r="J403" i="141"/>
  <c r="K27" i="148"/>
  <c r="K14" i="149"/>
  <c r="K28" i="149"/>
  <c r="K34" i="149"/>
  <c r="K45" i="149"/>
  <c r="J46" i="149"/>
  <c r="K46" i="149"/>
  <c r="J473" i="141"/>
  <c r="L6" i="149"/>
  <c r="J27" i="148"/>
  <c r="D28" i="148"/>
  <c r="I28" i="148"/>
  <c r="F28" i="148"/>
  <c r="L5" i="149"/>
  <c r="L35" i="149"/>
  <c r="L13" i="149"/>
  <c r="L42" i="149"/>
  <c r="J474" i="141"/>
  <c r="U9" i="18"/>
  <c r="L34" i="149"/>
  <c r="L14" i="149"/>
  <c r="G28" i="148"/>
  <c r="H28" i="148"/>
  <c r="L407" i="141"/>
  <c r="K406" i="141"/>
  <c r="K405" i="141"/>
  <c r="K403" i="141"/>
  <c r="K28" i="148"/>
  <c r="M6" i="149"/>
  <c r="K473" i="141"/>
  <c r="J28" i="148"/>
  <c r="D29" i="148"/>
  <c r="L28" i="149"/>
  <c r="L45" i="149"/>
  <c r="L46" i="149"/>
  <c r="I29" i="148"/>
  <c r="F29" i="148"/>
  <c r="U10" i="18"/>
  <c r="M13" i="149"/>
  <c r="M42" i="149"/>
  <c r="K474" i="141"/>
  <c r="M35" i="149"/>
  <c r="M5" i="149"/>
  <c r="M34" i="149"/>
  <c r="M14" i="149"/>
  <c r="G29" i="148"/>
  <c r="H29" i="148"/>
  <c r="M407" i="141"/>
  <c r="L406" i="141"/>
  <c r="L405" i="141"/>
  <c r="L403" i="141"/>
  <c r="K29" i="148"/>
  <c r="L473" i="141"/>
  <c r="N6" i="149"/>
  <c r="J29" i="148"/>
  <c r="D30" i="148"/>
  <c r="M28" i="149"/>
  <c r="M45" i="149"/>
  <c r="M46" i="149"/>
  <c r="I30" i="148"/>
  <c r="F30" i="148"/>
  <c r="N35" i="149"/>
  <c r="N5" i="149"/>
  <c r="N13" i="149"/>
  <c r="N42" i="149"/>
  <c r="L474" i="141"/>
  <c r="U11" i="18"/>
  <c r="N34" i="149"/>
  <c r="N14" i="149"/>
  <c r="G30" i="148"/>
  <c r="H30" i="148"/>
  <c r="N407" i="141"/>
  <c r="M406" i="141"/>
  <c r="M405" i="141"/>
  <c r="M403" i="141"/>
  <c r="K30" i="148"/>
  <c r="O407" i="141"/>
  <c r="O6" i="149"/>
  <c r="M473" i="141"/>
  <c r="J30" i="148"/>
  <c r="D31" i="148"/>
  <c r="N28" i="149"/>
  <c r="N45" i="149"/>
  <c r="P407" i="141"/>
  <c r="U8" i="129"/>
  <c r="N46" i="149"/>
  <c r="F31" i="148"/>
  <c r="I31" i="148"/>
  <c r="O13" i="149"/>
  <c r="O42" i="149"/>
  <c r="U12" i="18"/>
  <c r="M474" i="141"/>
  <c r="O35" i="149"/>
  <c r="O5" i="149"/>
  <c r="N406" i="141"/>
  <c r="C321" i="141"/>
  <c r="K31" i="148"/>
  <c r="O34" i="149"/>
  <c r="O14" i="149"/>
  <c r="G31" i="148"/>
  <c r="H31" i="148"/>
  <c r="J31" i="148"/>
  <c r="D32" i="148"/>
  <c r="I32" i="148"/>
  <c r="F32" i="148"/>
  <c r="O28" i="149"/>
  <c r="O45" i="149"/>
  <c r="D322" i="141"/>
  <c r="C322" i="141"/>
  <c r="C320" i="141"/>
  <c r="N405" i="141"/>
  <c r="O406" i="141"/>
  <c r="P406" i="141"/>
  <c r="U7" i="129"/>
  <c r="N403" i="141"/>
  <c r="O405" i="141"/>
  <c r="U6" i="129"/>
  <c r="U4" i="129"/>
  <c r="U74" i="129"/>
  <c r="C318" i="141"/>
  <c r="C396" i="141"/>
  <c r="O46" i="149"/>
  <c r="G32" i="148"/>
  <c r="H32" i="148"/>
  <c r="E322" i="141"/>
  <c r="D321" i="141"/>
  <c r="E321" i="141"/>
  <c r="K32" i="148"/>
  <c r="D320" i="141"/>
  <c r="J32" i="148"/>
  <c r="D33" i="148"/>
  <c r="C397" i="141"/>
  <c r="V2" i="18"/>
  <c r="P405" i="141"/>
  <c r="O403" i="141"/>
  <c r="P403" i="141"/>
  <c r="E320" i="141"/>
  <c r="E318" i="141"/>
  <c r="E396" i="141"/>
  <c r="N473" i="141"/>
  <c r="P6" i="149"/>
  <c r="N474" i="141"/>
  <c r="P13" i="149"/>
  <c r="P42" i="149"/>
  <c r="U13" i="18"/>
  <c r="O473" i="141"/>
  <c r="V4" i="18"/>
  <c r="E397" i="141"/>
  <c r="I33" i="148"/>
  <c r="F33" i="148"/>
  <c r="D318" i="141"/>
  <c r="D396" i="141"/>
  <c r="P35" i="149"/>
  <c r="P5" i="149"/>
  <c r="F321" i="141"/>
  <c r="K33" i="148"/>
  <c r="O474" i="141"/>
  <c r="P473" i="141"/>
  <c r="G33" i="148"/>
  <c r="H33" i="148"/>
  <c r="F322" i="141"/>
  <c r="P34" i="149"/>
  <c r="P14" i="149"/>
  <c r="B17" i="149"/>
  <c r="B18" i="149"/>
  <c r="U14" i="18"/>
  <c r="U15" i="18"/>
  <c r="V3" i="18"/>
  <c r="D397" i="141"/>
  <c r="B20" i="149"/>
  <c r="B21" i="149"/>
  <c r="O23" i="149"/>
  <c r="B23" i="149"/>
  <c r="D23" i="149"/>
  <c r="G23" i="149"/>
  <c r="C23" i="149"/>
  <c r="J23" i="149"/>
  <c r="P23" i="149"/>
  <c r="B19" i="149"/>
  <c r="K23" i="149"/>
  <c r="H23" i="149"/>
  <c r="I23" i="149"/>
  <c r="F23" i="149"/>
  <c r="E23" i="149"/>
  <c r="M23" i="149"/>
  <c r="L23" i="149"/>
  <c r="N23" i="149"/>
  <c r="P28" i="149"/>
  <c r="B30" i="149"/>
  <c r="B31" i="149"/>
  <c r="P45" i="149"/>
  <c r="J33" i="148"/>
  <c r="D34" i="148"/>
  <c r="U112" i="60"/>
  <c r="U17" i="18"/>
  <c r="U30" i="18"/>
  <c r="F320" i="141"/>
  <c r="F34" i="148"/>
  <c r="I34" i="148"/>
  <c r="E48" i="149"/>
  <c r="F48" i="149"/>
  <c r="G48" i="149"/>
  <c r="H48" i="149"/>
  <c r="I48" i="149"/>
  <c r="J48" i="149"/>
  <c r="K48" i="149"/>
  <c r="L48" i="149"/>
  <c r="M48" i="149"/>
  <c r="N48" i="149"/>
  <c r="O48" i="149"/>
  <c r="P48" i="149"/>
  <c r="P46" i="149"/>
  <c r="F318" i="141"/>
  <c r="F396" i="141"/>
  <c r="U25" i="18"/>
  <c r="U19" i="18"/>
  <c r="U21" i="18"/>
  <c r="U132" i="60"/>
  <c r="U114" i="60"/>
  <c r="U4" i="137"/>
  <c r="U5" i="137"/>
  <c r="U7" i="137"/>
  <c r="U9" i="137"/>
  <c r="U12" i="137"/>
  <c r="V114" i="60"/>
  <c r="V5" i="18"/>
  <c r="F397" i="141"/>
  <c r="G321" i="141"/>
  <c r="K34" i="148"/>
  <c r="U13" i="137"/>
  <c r="U116" i="60"/>
  <c r="U23" i="18"/>
  <c r="G34" i="148"/>
  <c r="H34" i="148"/>
  <c r="G322" i="141"/>
  <c r="J34" i="148"/>
  <c r="D35" i="148"/>
  <c r="U118" i="60"/>
  <c r="V118" i="60"/>
  <c r="U117" i="60"/>
  <c r="W118" i="60"/>
  <c r="U26" i="18"/>
  <c r="U24" i="18"/>
  <c r="G320" i="141"/>
  <c r="U130" i="60"/>
  <c r="G318" i="141"/>
  <c r="G396" i="141"/>
  <c r="F35" i="148"/>
  <c r="I35" i="148"/>
  <c r="G35" i="148"/>
  <c r="H35" i="148"/>
  <c r="H322" i="141"/>
  <c r="J35" i="148"/>
  <c r="D36" i="148"/>
  <c r="H321" i="141"/>
  <c r="K35" i="148"/>
  <c r="G397" i="141"/>
  <c r="V6" i="18"/>
  <c r="I36" i="148"/>
  <c r="F36" i="148"/>
  <c r="H320" i="141"/>
  <c r="H318" i="141"/>
  <c r="H396" i="141"/>
  <c r="G36" i="148"/>
  <c r="H36" i="148"/>
  <c r="I322" i="141"/>
  <c r="I321" i="141"/>
  <c r="K36" i="148"/>
  <c r="I320" i="141"/>
  <c r="I318" i="141"/>
  <c r="I396" i="141"/>
  <c r="J36" i="148"/>
  <c r="D37" i="148"/>
  <c r="V7" i="18"/>
  <c r="H397" i="141"/>
  <c r="I37" i="148"/>
  <c r="F37" i="148"/>
  <c r="I397" i="141"/>
  <c r="V8" i="18"/>
  <c r="G37" i="148"/>
  <c r="H37" i="148"/>
  <c r="J322" i="141"/>
  <c r="J321" i="141"/>
  <c r="K37" i="148"/>
  <c r="J320" i="141"/>
  <c r="J318" i="141"/>
  <c r="J396" i="141"/>
  <c r="V9" i="18"/>
  <c r="J37" i="148"/>
  <c r="D38" i="148"/>
  <c r="J397" i="141"/>
  <c r="I38" i="148"/>
  <c r="F38" i="148"/>
  <c r="G38" i="148"/>
  <c r="H38" i="148"/>
  <c r="K322" i="141"/>
  <c r="K321" i="141"/>
  <c r="K38" i="148"/>
  <c r="J38" i="148"/>
  <c r="D39" i="148"/>
  <c r="I39" i="148"/>
  <c r="K320" i="141"/>
  <c r="K318" i="141"/>
  <c r="K396" i="141"/>
  <c r="K397" i="141"/>
  <c r="F39" i="148"/>
  <c r="V10" i="18"/>
  <c r="G39" i="148"/>
  <c r="H39" i="148"/>
  <c r="L322" i="141"/>
  <c r="L321" i="141"/>
  <c r="K39" i="148"/>
  <c r="L320" i="141"/>
  <c r="L318" i="141"/>
  <c r="L396" i="141"/>
  <c r="V11" i="18"/>
  <c r="L397" i="141"/>
  <c r="J39" i="148"/>
  <c r="D40" i="148"/>
  <c r="I40" i="148"/>
  <c r="F40" i="148"/>
  <c r="G40" i="148"/>
  <c r="H40" i="148"/>
  <c r="M322" i="141"/>
  <c r="J40" i="148"/>
  <c r="D41" i="148"/>
  <c r="M321" i="141"/>
  <c r="K40" i="148"/>
  <c r="M320" i="141"/>
  <c r="M318" i="141"/>
  <c r="M396" i="141"/>
  <c r="M397" i="141"/>
  <c r="I41" i="148"/>
  <c r="F41" i="148"/>
  <c r="V12" i="18"/>
  <c r="G41" i="148"/>
  <c r="H41" i="148"/>
  <c r="N322" i="141"/>
  <c r="O322" i="141"/>
  <c r="N321" i="141"/>
  <c r="K41" i="148"/>
  <c r="P322" i="141"/>
  <c r="V8" i="129"/>
  <c r="J41" i="148"/>
  <c r="D42" i="148"/>
  <c r="I42" i="148"/>
  <c r="N320" i="141"/>
  <c r="O321" i="141"/>
  <c r="C237" i="141"/>
  <c r="P321" i="141"/>
  <c r="V7" i="129"/>
  <c r="K42" i="148"/>
  <c r="F42" i="148"/>
  <c r="G42" i="148"/>
  <c r="H42" i="148"/>
  <c r="N318" i="141"/>
  <c r="N396" i="141"/>
  <c r="O320" i="141"/>
  <c r="V6" i="129"/>
  <c r="V4" i="129"/>
  <c r="V74" i="129"/>
  <c r="C238" i="141"/>
  <c r="J42" i="148"/>
  <c r="D43" i="148"/>
  <c r="F43" i="148"/>
  <c r="C236" i="141"/>
  <c r="I43" i="148"/>
  <c r="P320" i="141"/>
  <c r="O318" i="141"/>
  <c r="V13" i="18"/>
  <c r="N397" i="141"/>
  <c r="C234" i="141"/>
  <c r="K43" i="148"/>
  <c r="D237" i="141"/>
  <c r="P318" i="141"/>
  <c r="O396" i="141"/>
  <c r="V15" i="18"/>
  <c r="V14" i="18"/>
  <c r="G43" i="148"/>
  <c r="H43" i="148"/>
  <c r="C312" i="141"/>
  <c r="W3" i="141"/>
  <c r="J43" i="148"/>
  <c r="D44" i="148"/>
  <c r="I44" i="148"/>
  <c r="D238" i="141"/>
  <c r="D236" i="141"/>
  <c r="V30" i="18"/>
  <c r="V17" i="18"/>
  <c r="O397" i="141"/>
  <c r="P396" i="141"/>
  <c r="C313" i="141"/>
  <c r="W2" i="18"/>
  <c r="F44" i="148"/>
  <c r="D234" i="141"/>
  <c r="D312" i="141"/>
  <c r="W3" i="18"/>
  <c r="K44" i="148"/>
  <c r="E237" i="141"/>
  <c r="V25" i="18"/>
  <c r="V19" i="18"/>
  <c r="V21" i="18"/>
  <c r="G44" i="148"/>
  <c r="H44" i="148"/>
  <c r="D313" i="141"/>
  <c r="J44" i="148"/>
  <c r="D45" i="148"/>
  <c r="E238" i="141"/>
  <c r="E236" i="141"/>
  <c r="F45" i="148"/>
  <c r="I45" i="148"/>
  <c r="E234" i="141"/>
  <c r="E312" i="141"/>
  <c r="W4" i="18"/>
  <c r="K45" i="148"/>
  <c r="F237" i="141"/>
  <c r="G45" i="148"/>
  <c r="H45" i="148"/>
  <c r="E313" i="141"/>
  <c r="J45" i="148"/>
  <c r="D46" i="148"/>
  <c r="F238" i="141"/>
  <c r="F236" i="141"/>
  <c r="I46" i="148"/>
  <c r="F46" i="148"/>
  <c r="F234" i="141"/>
  <c r="F312" i="141"/>
  <c r="W5" i="18"/>
  <c r="K46" i="148"/>
  <c r="G237" i="141"/>
  <c r="G46" i="148"/>
  <c r="H46" i="148"/>
  <c r="J46" i="148"/>
  <c r="D47" i="148"/>
  <c r="F47" i="148"/>
  <c r="G238" i="141"/>
  <c r="F313" i="141"/>
  <c r="G236" i="141"/>
  <c r="I47" i="148"/>
  <c r="G234" i="141"/>
  <c r="G312" i="141"/>
  <c r="K47" i="148"/>
  <c r="H237" i="141"/>
  <c r="G47" i="148"/>
  <c r="H47" i="148"/>
  <c r="W6" i="18"/>
  <c r="J47" i="148"/>
  <c r="D48" i="148"/>
  <c r="I48" i="148"/>
  <c r="H238" i="141"/>
  <c r="G313" i="141"/>
  <c r="H236" i="141"/>
  <c r="F48" i="148"/>
  <c r="H234" i="141"/>
  <c r="H312" i="141"/>
  <c r="W7" i="18"/>
  <c r="K48" i="148"/>
  <c r="I237" i="141"/>
  <c r="G48" i="148"/>
  <c r="H48" i="148"/>
  <c r="I161" i="141"/>
  <c r="J48" i="148"/>
  <c r="D49" i="148"/>
  <c r="I238" i="141"/>
  <c r="H313" i="141"/>
  <c r="I236" i="141"/>
  <c r="F49" i="148"/>
  <c r="I49" i="148"/>
  <c r="I234" i="141"/>
  <c r="I312" i="141"/>
  <c r="W8" i="18"/>
  <c r="K49" i="148"/>
  <c r="J237" i="141"/>
  <c r="G49" i="148"/>
  <c r="H49" i="148"/>
  <c r="J49" i="148"/>
  <c r="D50" i="148"/>
  <c r="I50" i="148"/>
  <c r="J238" i="141"/>
  <c r="J236" i="141"/>
  <c r="I313" i="141"/>
  <c r="F50" i="148"/>
  <c r="J234" i="141"/>
  <c r="J312" i="141"/>
  <c r="W9" i="18"/>
  <c r="K50" i="148"/>
  <c r="K237" i="141"/>
  <c r="G50" i="148"/>
  <c r="H50" i="148"/>
  <c r="J50" i="148"/>
  <c r="D51" i="148"/>
  <c r="K238" i="141"/>
  <c r="J313" i="141"/>
  <c r="K236" i="141"/>
  <c r="F51" i="148"/>
  <c r="I51" i="148"/>
  <c r="K234" i="141"/>
  <c r="K312" i="141"/>
  <c r="W10" i="18"/>
  <c r="K51" i="148"/>
  <c r="L237" i="141"/>
  <c r="G51" i="148"/>
  <c r="H51" i="148"/>
  <c r="L161" i="141"/>
  <c r="J51" i="148"/>
  <c r="D52" i="148"/>
  <c r="I52" i="148"/>
  <c r="L238" i="141"/>
  <c r="L236" i="141"/>
  <c r="K313" i="141"/>
  <c r="F52" i="148"/>
  <c r="L234" i="141"/>
  <c r="L312" i="141"/>
  <c r="W11" i="18"/>
  <c r="K52" i="148"/>
  <c r="M237" i="141"/>
  <c r="G52" i="148"/>
  <c r="H52" i="148"/>
  <c r="J52" i="148"/>
  <c r="D53" i="148"/>
  <c r="I53" i="148"/>
  <c r="M238" i="141"/>
  <c r="L313" i="141"/>
  <c r="M236" i="141"/>
  <c r="F53" i="148"/>
  <c r="M234" i="141"/>
  <c r="M312" i="141"/>
  <c r="W12" i="18"/>
  <c r="K53" i="148"/>
  <c r="N237" i="141"/>
  <c r="G53" i="148"/>
  <c r="H53" i="148"/>
  <c r="J53" i="148"/>
  <c r="D54" i="148"/>
  <c r="I54" i="148"/>
  <c r="N238" i="141"/>
  <c r="O238" i="141"/>
  <c r="P238" i="141"/>
  <c r="M313" i="141"/>
  <c r="O237" i="141"/>
  <c r="K54" i="148"/>
  <c r="F54" i="148"/>
  <c r="N236" i="141"/>
  <c r="O236" i="141"/>
  <c r="N234" i="141"/>
  <c r="P237" i="141"/>
  <c r="G54" i="148"/>
  <c r="H54" i="148"/>
  <c r="J54" i="148"/>
  <c r="D55" i="148"/>
  <c r="O234" i="141"/>
  <c r="P236" i="141"/>
  <c r="F55" i="148"/>
  <c r="I55" i="148"/>
  <c r="P234" i="141"/>
  <c r="K55" i="148"/>
  <c r="G55" i="148"/>
  <c r="H55" i="148"/>
  <c r="C161" i="141"/>
  <c r="J55" i="148"/>
  <c r="D56" i="148"/>
  <c r="F56" i="148"/>
  <c r="G56" i="148"/>
  <c r="I56" i="148"/>
  <c r="N83" i="141" s="1"/>
  <c r="N80" i="141" s="1"/>
  <c r="K56" i="148"/>
  <c r="D160" i="141"/>
  <c r="H56" i="148"/>
  <c r="J56" i="148"/>
  <c r="D57" i="148"/>
  <c r="D161" i="141"/>
  <c r="D159" i="141"/>
  <c r="F57" i="148"/>
  <c r="G57" i="148"/>
  <c r="I57" i="148"/>
  <c r="K57" i="148"/>
  <c r="E160" i="141"/>
  <c r="D157" i="141"/>
  <c r="D227" i="141"/>
  <c r="H57" i="148"/>
  <c r="J57" i="148"/>
  <c r="D58" i="148"/>
  <c r="E161" i="141"/>
  <c r="E159" i="141"/>
  <c r="D228" i="141"/>
  <c r="F58" i="148"/>
  <c r="G58" i="148"/>
  <c r="I58" i="148"/>
  <c r="G160" i="141"/>
  <c r="K58" i="148"/>
  <c r="F160" i="141"/>
  <c r="E157" i="141"/>
  <c r="E227" i="141"/>
  <c r="H58" i="148"/>
  <c r="J58" i="148"/>
  <c r="D59" i="148"/>
  <c r="F161" i="141"/>
  <c r="F159" i="141"/>
  <c r="E228" i="141"/>
  <c r="I59" i="148"/>
  <c r="F59" i="148"/>
  <c r="G59" i="148"/>
  <c r="H59" i="148"/>
  <c r="J59" i="148"/>
  <c r="D60" i="148"/>
  <c r="G161" i="141"/>
  <c r="G159" i="141"/>
  <c r="G157" i="141"/>
  <c r="K59" i="148"/>
  <c r="H160" i="141"/>
  <c r="F157" i="141"/>
  <c r="F227" i="141"/>
  <c r="F60" i="148"/>
  <c r="G60" i="148"/>
  <c r="I60" i="148"/>
  <c r="F228" i="141"/>
  <c r="K60" i="148"/>
  <c r="I160" i="141"/>
  <c r="I159" i="141"/>
  <c r="I157" i="141"/>
  <c r="I227" i="141"/>
  <c r="I228" i="141"/>
  <c r="H60" i="148"/>
  <c r="J60" i="148"/>
  <c r="D61" i="148"/>
  <c r="H161" i="141"/>
  <c r="I61" i="148"/>
  <c r="F61" i="148"/>
  <c r="G61" i="148"/>
  <c r="H61" i="148"/>
  <c r="J61" i="148"/>
  <c r="D62" i="148"/>
  <c r="J161" i="141"/>
  <c r="H159" i="141"/>
  <c r="K61" i="148"/>
  <c r="J160" i="141"/>
  <c r="J159" i="141"/>
  <c r="I62" i="148"/>
  <c r="F62" i="148"/>
  <c r="G62" i="148"/>
  <c r="H62" i="148"/>
  <c r="J62" i="148"/>
  <c r="D63" i="148"/>
  <c r="K161" i="141"/>
  <c r="K62" i="148"/>
  <c r="K160" i="141"/>
  <c r="K159" i="141"/>
  <c r="K157" i="141"/>
  <c r="K227" i="141"/>
  <c r="I63" i="148"/>
  <c r="F63" i="148"/>
  <c r="G63" i="148"/>
  <c r="H63" i="148"/>
  <c r="K228" i="141"/>
  <c r="J63" i="148"/>
  <c r="D64" i="148"/>
  <c r="M161" i="141"/>
  <c r="K63" i="148"/>
  <c r="L160" i="141"/>
  <c r="L159" i="141"/>
  <c r="L157" i="141"/>
  <c r="L227" i="141"/>
  <c r="F64" i="148"/>
  <c r="G64" i="148"/>
  <c r="I64" i="148"/>
  <c r="L228" i="141"/>
  <c r="K64" i="148"/>
  <c r="M160" i="141"/>
  <c r="M159" i="141"/>
  <c r="H64" i="148"/>
  <c r="M157" i="141"/>
  <c r="M227" i="141"/>
  <c r="J64" i="148"/>
  <c r="D65" i="148"/>
  <c r="N161" i="141"/>
  <c r="O161" i="141"/>
  <c r="P161" i="141"/>
  <c r="I65" i="148"/>
  <c r="F65" i="148"/>
  <c r="G65" i="148"/>
  <c r="H65" i="148"/>
  <c r="J65" i="148"/>
  <c r="D66" i="148"/>
  <c r="M228" i="141"/>
  <c r="I66" i="148"/>
  <c r="K66" i="148"/>
  <c r="F66" i="148"/>
  <c r="K65" i="148"/>
  <c r="N160" i="141"/>
  <c r="G66" i="148"/>
  <c r="H66" i="148"/>
  <c r="J66" i="148"/>
  <c r="D67" i="148"/>
  <c r="N159" i="141"/>
  <c r="I67" i="148"/>
  <c r="K67" i="148"/>
  <c r="F67" i="148"/>
  <c r="N157" i="141"/>
  <c r="N227" i="141"/>
  <c r="G67" i="148"/>
  <c r="H67" i="148"/>
  <c r="J67" i="148"/>
  <c r="D68" i="148"/>
  <c r="N228" i="141"/>
  <c r="I68" i="148"/>
  <c r="K68" i="148"/>
  <c r="F68" i="148"/>
  <c r="G68" i="148"/>
  <c r="H68" i="148"/>
  <c r="J68" i="148"/>
  <c r="D69" i="148"/>
  <c r="F69" i="148"/>
  <c r="I69" i="148"/>
  <c r="K69" i="148"/>
  <c r="G69" i="148"/>
  <c r="H69" i="148"/>
  <c r="J69" i="148"/>
  <c r="D70" i="148"/>
  <c r="F70" i="148"/>
  <c r="I70" i="148"/>
  <c r="K70" i="148"/>
  <c r="G70" i="148"/>
  <c r="H70" i="148"/>
  <c r="J70" i="148"/>
  <c r="D71" i="148"/>
  <c r="I71" i="148"/>
  <c r="K71" i="148"/>
  <c r="F71" i="148"/>
  <c r="G71" i="148"/>
  <c r="H71" i="148"/>
  <c r="J71" i="148"/>
  <c r="D72" i="148"/>
  <c r="I72" i="148"/>
  <c r="K72" i="148"/>
  <c r="F72" i="148"/>
  <c r="G72" i="148"/>
  <c r="H72" i="148"/>
  <c r="J72" i="148"/>
  <c r="D73" i="148"/>
  <c r="F73" i="148"/>
  <c r="I73" i="148"/>
  <c r="K73" i="148"/>
  <c r="G73" i="148"/>
  <c r="H73" i="148"/>
  <c r="J73" i="148"/>
  <c r="D74" i="148"/>
  <c r="F74" i="148"/>
  <c r="I74" i="148"/>
  <c r="K74" i="148"/>
  <c r="G74" i="148"/>
  <c r="H74" i="148"/>
  <c r="J74" i="148"/>
  <c r="D75" i="148"/>
  <c r="I75" i="148"/>
  <c r="K75" i="148"/>
  <c r="F75" i="148"/>
  <c r="G75" i="148"/>
  <c r="H75" i="148"/>
  <c r="J75" i="148"/>
  <c r="D76" i="148"/>
  <c r="I76" i="148"/>
  <c r="K76" i="148"/>
  <c r="F76" i="148"/>
  <c r="G76" i="148"/>
  <c r="H76" i="148"/>
  <c r="J76" i="148"/>
  <c r="D77" i="148"/>
  <c r="F77" i="148"/>
  <c r="I77" i="148"/>
  <c r="K77" i="148"/>
  <c r="G77" i="148"/>
  <c r="H77" i="148"/>
  <c r="J77" i="148"/>
  <c r="D78" i="148"/>
  <c r="I78" i="148"/>
  <c r="K78" i="148"/>
  <c r="F78" i="148"/>
  <c r="G78" i="148"/>
  <c r="H78" i="148"/>
  <c r="J78" i="148"/>
  <c r="D79" i="148"/>
  <c r="F79" i="148"/>
  <c r="I79" i="148"/>
  <c r="K79" i="148"/>
  <c r="G79" i="148"/>
  <c r="H79" i="148"/>
  <c r="J79" i="148"/>
  <c r="D80" i="148"/>
  <c r="F80" i="148"/>
  <c r="I80" i="148"/>
  <c r="K80" i="148"/>
  <c r="G80" i="148"/>
  <c r="H80" i="148"/>
  <c r="J80" i="148"/>
  <c r="D81" i="148"/>
  <c r="I81" i="148"/>
  <c r="K81" i="148"/>
  <c r="F81" i="148"/>
  <c r="G81" i="148"/>
  <c r="H81" i="148"/>
  <c r="J81" i="148"/>
  <c r="D82" i="148"/>
  <c r="I82" i="148"/>
  <c r="K82" i="148"/>
  <c r="F82" i="148"/>
  <c r="G82" i="148"/>
  <c r="H82" i="148"/>
  <c r="J82" i="148"/>
  <c r="D83" i="148"/>
  <c r="F83" i="148"/>
  <c r="I83" i="148"/>
  <c r="K83" i="148"/>
  <c r="G83" i="148"/>
  <c r="H83" i="148"/>
  <c r="J83" i="148"/>
  <c r="D84" i="148"/>
  <c r="F84" i="148"/>
  <c r="I84" i="148"/>
  <c r="K84" i="148"/>
  <c r="G84" i="148"/>
  <c r="H84" i="148"/>
  <c r="J84" i="148"/>
  <c r="D85" i="148"/>
  <c r="F85" i="148"/>
  <c r="I85" i="148"/>
  <c r="K85" i="148"/>
  <c r="G85" i="148"/>
  <c r="H85" i="148"/>
  <c r="J85" i="148"/>
  <c r="D86" i="148"/>
  <c r="I86" i="148"/>
  <c r="K86" i="148"/>
  <c r="F86" i="148"/>
  <c r="G86" i="148"/>
  <c r="H86" i="148"/>
  <c r="J86" i="148"/>
  <c r="D87" i="148"/>
  <c r="I87" i="148"/>
  <c r="K87" i="148"/>
  <c r="F87" i="148"/>
  <c r="G87" i="148"/>
  <c r="H87" i="148"/>
  <c r="J87" i="148"/>
  <c r="D88" i="148"/>
  <c r="F88" i="148"/>
  <c r="I88" i="148"/>
  <c r="K88" i="148"/>
  <c r="G88" i="148"/>
  <c r="H88" i="148"/>
  <c r="J88" i="148"/>
  <c r="D89" i="148"/>
  <c r="I89" i="148"/>
  <c r="K89" i="148"/>
  <c r="F89" i="148"/>
  <c r="G89" i="148"/>
  <c r="H89" i="148"/>
  <c r="J89" i="148"/>
  <c r="D90" i="148"/>
  <c r="I90" i="148"/>
  <c r="K90" i="148"/>
  <c r="F90" i="148"/>
  <c r="G90" i="148"/>
  <c r="H90" i="148"/>
  <c r="J90" i="148"/>
  <c r="D91" i="148"/>
  <c r="I91" i="148"/>
  <c r="K91" i="148"/>
  <c r="F91" i="148"/>
  <c r="G91" i="148"/>
  <c r="H91" i="148"/>
  <c r="J91" i="148"/>
  <c r="D92" i="148"/>
  <c r="F92" i="148"/>
  <c r="I92" i="148"/>
  <c r="K92" i="148"/>
  <c r="G92" i="148"/>
  <c r="H92" i="148"/>
  <c r="J92" i="148"/>
  <c r="D93" i="148"/>
  <c r="F93" i="148"/>
  <c r="I93" i="148"/>
  <c r="K93" i="148"/>
  <c r="G93" i="148"/>
  <c r="H93" i="148"/>
  <c r="J93" i="148"/>
  <c r="D94" i="148"/>
  <c r="F94" i="148"/>
  <c r="I94" i="148"/>
  <c r="K94" i="148"/>
  <c r="G94" i="148"/>
  <c r="H94" i="148"/>
  <c r="J94" i="148"/>
  <c r="D95" i="148"/>
  <c r="I95" i="148"/>
  <c r="K95" i="148"/>
  <c r="F95" i="148"/>
  <c r="G95" i="148"/>
  <c r="H95" i="148"/>
  <c r="J95" i="148"/>
  <c r="D96" i="148"/>
  <c r="F96" i="148"/>
  <c r="I96" i="148"/>
  <c r="K96" i="148"/>
  <c r="G96" i="148"/>
  <c r="H96" i="148"/>
  <c r="J96" i="148"/>
  <c r="D97" i="148"/>
  <c r="F97" i="148"/>
  <c r="I97" i="148"/>
  <c r="K97" i="148"/>
  <c r="G97" i="148"/>
  <c r="H97" i="148"/>
  <c r="J97" i="148"/>
  <c r="D98" i="148"/>
  <c r="F98" i="148"/>
  <c r="I98" i="148"/>
  <c r="K98" i="148"/>
  <c r="G98" i="148"/>
  <c r="H98" i="148"/>
  <c r="J98" i="148"/>
  <c r="D99" i="148"/>
  <c r="F99" i="148"/>
  <c r="I99" i="148"/>
  <c r="K99" i="148"/>
  <c r="G99" i="148"/>
  <c r="H99" i="148"/>
  <c r="J99" i="148"/>
  <c r="D100" i="148"/>
  <c r="F100" i="148"/>
  <c r="I100" i="148"/>
  <c r="K100" i="148"/>
  <c r="G100" i="148"/>
  <c r="H100" i="148"/>
  <c r="J100" i="148"/>
  <c r="D101" i="148"/>
  <c r="I101" i="148"/>
  <c r="K101" i="148"/>
  <c r="F101" i="148"/>
  <c r="G101" i="148"/>
  <c r="H101" i="148"/>
  <c r="J101" i="148"/>
  <c r="D102" i="148"/>
  <c r="F102" i="148"/>
  <c r="I102" i="148"/>
  <c r="K102" i="148"/>
  <c r="G102" i="148"/>
  <c r="H102" i="148"/>
  <c r="J102" i="148"/>
  <c r="D103" i="148"/>
  <c r="F103" i="148"/>
  <c r="I103" i="148"/>
  <c r="K103" i="148"/>
  <c r="G103" i="148"/>
  <c r="H103" i="148"/>
  <c r="J103" i="148"/>
  <c r="D104" i="148"/>
  <c r="I104" i="148"/>
  <c r="K104" i="148"/>
  <c r="F104" i="148"/>
  <c r="G104" i="148"/>
  <c r="H104" i="148"/>
  <c r="J104" i="148"/>
  <c r="D105" i="148"/>
  <c r="F105" i="148"/>
  <c r="I105" i="148"/>
  <c r="K105" i="148"/>
  <c r="G105" i="148"/>
  <c r="H105" i="148"/>
  <c r="J105" i="148"/>
  <c r="D106" i="148"/>
  <c r="I106" i="148"/>
  <c r="K106" i="148"/>
  <c r="F106" i="148"/>
  <c r="G106" i="148"/>
  <c r="H106" i="148"/>
  <c r="J106" i="148"/>
  <c r="D107" i="148"/>
  <c r="F107" i="148"/>
  <c r="I107" i="148"/>
  <c r="K107" i="148"/>
  <c r="G107" i="148"/>
  <c r="H107" i="148"/>
  <c r="J107" i="148"/>
  <c r="D108" i="148"/>
  <c r="F108" i="148"/>
  <c r="I108" i="148"/>
  <c r="K108" i="148"/>
  <c r="G108" i="148"/>
  <c r="H108" i="148"/>
  <c r="J108" i="148"/>
  <c r="D109" i="148"/>
  <c r="F109" i="148"/>
  <c r="I109" i="148"/>
  <c r="K109" i="148"/>
  <c r="G109" i="148"/>
  <c r="H109" i="148"/>
  <c r="J109" i="148"/>
  <c r="D110" i="148"/>
  <c r="I110" i="148"/>
  <c r="K110" i="148"/>
  <c r="F110" i="148"/>
  <c r="G110" i="148"/>
  <c r="H110" i="148"/>
  <c r="J110" i="148"/>
  <c r="D111" i="148"/>
  <c r="F111" i="148"/>
  <c r="I111" i="148"/>
  <c r="K111" i="148"/>
  <c r="G111" i="148"/>
  <c r="H111" i="148"/>
  <c r="J111" i="148"/>
  <c r="D112" i="148"/>
  <c r="F112" i="148"/>
  <c r="I112" i="148"/>
  <c r="K112" i="148"/>
  <c r="G112" i="148"/>
  <c r="H112" i="148"/>
  <c r="J112" i="148"/>
  <c r="D113" i="148"/>
  <c r="I113" i="148"/>
  <c r="K113" i="148"/>
  <c r="F113" i="148"/>
  <c r="G113" i="148"/>
  <c r="H113" i="148"/>
  <c r="J113" i="148"/>
  <c r="D114" i="148"/>
  <c r="I114" i="148"/>
  <c r="K114" i="148"/>
  <c r="F114" i="148"/>
  <c r="G114" i="148"/>
  <c r="H114" i="148"/>
  <c r="J114" i="148"/>
  <c r="D115" i="148"/>
  <c r="F115" i="148"/>
  <c r="I115" i="148"/>
  <c r="K115" i="148"/>
  <c r="G115" i="148"/>
  <c r="H115" i="148"/>
  <c r="J115" i="148"/>
  <c r="D116" i="148"/>
  <c r="I116" i="148"/>
  <c r="K116" i="148"/>
  <c r="F116" i="148"/>
  <c r="G116" i="148"/>
  <c r="H116" i="148"/>
  <c r="J116" i="148"/>
  <c r="D117" i="148"/>
  <c r="F117" i="148"/>
  <c r="I117" i="148"/>
  <c r="K117" i="148"/>
  <c r="G117" i="148"/>
  <c r="H117" i="148"/>
  <c r="J117" i="148"/>
  <c r="D118" i="148"/>
  <c r="I118" i="148"/>
  <c r="K118" i="148"/>
  <c r="F118" i="148"/>
  <c r="G118" i="148"/>
  <c r="H118" i="148"/>
  <c r="J118" i="148"/>
  <c r="D119" i="148"/>
  <c r="I119" i="148"/>
  <c r="K119" i="148"/>
  <c r="F119" i="148"/>
  <c r="G119" i="148"/>
  <c r="H119" i="148"/>
  <c r="J119" i="148"/>
  <c r="D120" i="148"/>
  <c r="F120" i="148"/>
  <c r="I120" i="148"/>
  <c r="K120" i="148"/>
  <c r="G120" i="148"/>
  <c r="H120" i="148"/>
  <c r="J120" i="148"/>
  <c r="D121" i="148"/>
  <c r="F121" i="148"/>
  <c r="I121" i="148"/>
  <c r="K121" i="148"/>
  <c r="G121" i="148"/>
  <c r="H121" i="148"/>
  <c r="J121" i="148"/>
  <c r="D122" i="148"/>
  <c r="I122" i="148"/>
  <c r="K122" i="148"/>
  <c r="F122" i="148"/>
  <c r="G122" i="148"/>
  <c r="H122" i="148"/>
  <c r="J122" i="148"/>
  <c r="D123" i="148"/>
  <c r="F123" i="148"/>
  <c r="I123" i="148"/>
  <c r="K123" i="148"/>
  <c r="G123" i="148"/>
  <c r="H123" i="148"/>
  <c r="J123" i="148"/>
  <c r="D124" i="148"/>
  <c r="F124" i="148"/>
  <c r="I124" i="148"/>
  <c r="K124" i="148"/>
  <c r="G124" i="148"/>
  <c r="H124" i="148"/>
  <c r="J124" i="148"/>
  <c r="D125" i="148"/>
  <c r="F125" i="148"/>
  <c r="I125" i="148"/>
  <c r="K125" i="148"/>
  <c r="G125" i="148"/>
  <c r="H125" i="148"/>
  <c r="J125" i="148"/>
  <c r="D126" i="148"/>
  <c r="I126" i="148"/>
  <c r="K126" i="148"/>
  <c r="F126" i="148"/>
  <c r="G126" i="148"/>
  <c r="H126" i="148"/>
  <c r="J126" i="148"/>
  <c r="D127" i="148"/>
  <c r="F127" i="148"/>
  <c r="I127" i="148"/>
  <c r="K127" i="148"/>
  <c r="G127" i="148"/>
  <c r="H127" i="148"/>
  <c r="J127" i="148"/>
  <c r="D128" i="148"/>
  <c r="I128" i="148"/>
  <c r="K128" i="148"/>
  <c r="F128" i="148"/>
  <c r="G128" i="148"/>
  <c r="H128" i="148"/>
  <c r="J128" i="148"/>
  <c r="D129" i="148"/>
  <c r="F129" i="148"/>
  <c r="I129" i="148"/>
  <c r="K129" i="148"/>
  <c r="G129" i="148"/>
  <c r="H129" i="148"/>
  <c r="J129" i="148"/>
  <c r="D130" i="148"/>
  <c r="I130" i="148"/>
  <c r="K130" i="148"/>
  <c r="F130" i="148"/>
  <c r="G130" i="148"/>
  <c r="H130" i="148"/>
  <c r="J130" i="148"/>
  <c r="D131" i="148"/>
  <c r="F131" i="148"/>
  <c r="I131" i="148"/>
  <c r="K131" i="148"/>
  <c r="G131" i="148"/>
  <c r="H131" i="148"/>
  <c r="J131" i="148"/>
  <c r="D132" i="148"/>
  <c r="F132" i="148"/>
  <c r="I132" i="148"/>
  <c r="K132" i="148"/>
  <c r="G132" i="148"/>
  <c r="H132" i="148"/>
  <c r="J132" i="148"/>
  <c r="D133" i="148"/>
  <c r="F133" i="148"/>
  <c r="I133" i="148"/>
  <c r="K133" i="148"/>
  <c r="G133" i="148"/>
  <c r="H133" i="148"/>
  <c r="J133" i="148"/>
  <c r="D134" i="148"/>
  <c r="F134" i="148"/>
  <c r="I134" i="148"/>
  <c r="K134" i="148"/>
  <c r="G134" i="148"/>
  <c r="H134" i="148"/>
  <c r="J134" i="148"/>
  <c r="D135" i="148"/>
  <c r="I135" i="148"/>
  <c r="K135" i="148"/>
  <c r="F135" i="148"/>
  <c r="G135" i="148"/>
  <c r="H135" i="148"/>
  <c r="J135" i="148"/>
  <c r="D136" i="148"/>
  <c r="I136" i="148"/>
  <c r="K136" i="148"/>
  <c r="F136" i="148"/>
  <c r="G136" i="148"/>
  <c r="H136" i="148"/>
  <c r="J136" i="148"/>
  <c r="D137" i="148"/>
  <c r="I137" i="148"/>
  <c r="K137" i="148"/>
  <c r="F137" i="148"/>
  <c r="G137" i="148"/>
  <c r="H137" i="148"/>
  <c r="J137" i="148"/>
  <c r="D138" i="148"/>
  <c r="F138" i="148"/>
  <c r="I138" i="148"/>
  <c r="K138" i="148"/>
  <c r="G138" i="148"/>
  <c r="H138" i="148"/>
  <c r="J138" i="148"/>
  <c r="D139" i="148"/>
  <c r="F139" i="148"/>
  <c r="I139" i="148"/>
  <c r="K139" i="148"/>
  <c r="G139" i="148"/>
  <c r="H139" i="148"/>
  <c r="J139" i="148"/>
  <c r="D140" i="148"/>
  <c r="I140" i="148"/>
  <c r="K140" i="148"/>
  <c r="F140" i="148"/>
  <c r="G140" i="148"/>
  <c r="H140" i="148"/>
  <c r="J140" i="148"/>
  <c r="D141" i="148"/>
  <c r="I141" i="148"/>
  <c r="K141" i="148"/>
  <c r="F141" i="148"/>
  <c r="G141" i="148"/>
  <c r="H141" i="148"/>
  <c r="J141" i="148"/>
  <c r="D142" i="148"/>
  <c r="I142" i="148"/>
  <c r="K142" i="148"/>
  <c r="F142" i="148"/>
  <c r="G142" i="148"/>
  <c r="H142" i="148"/>
  <c r="J142" i="148"/>
  <c r="D143" i="148"/>
  <c r="I143" i="148"/>
  <c r="K143" i="148"/>
  <c r="F143" i="148"/>
  <c r="G143" i="148"/>
  <c r="H143" i="148"/>
  <c r="J143" i="148"/>
  <c r="D144" i="148"/>
  <c r="I144" i="148"/>
  <c r="K144" i="148"/>
  <c r="F144" i="148"/>
  <c r="G144" i="148"/>
  <c r="H144" i="148"/>
  <c r="J144" i="148"/>
  <c r="D145" i="148"/>
  <c r="F145" i="148"/>
  <c r="I145" i="148"/>
  <c r="K145" i="148"/>
  <c r="G145" i="148"/>
  <c r="H145" i="148"/>
  <c r="J145" i="148"/>
  <c r="D146" i="148"/>
  <c r="F146" i="148"/>
  <c r="I146" i="148"/>
  <c r="K146" i="148"/>
  <c r="G146" i="148"/>
  <c r="H146" i="148"/>
  <c r="J146" i="148"/>
  <c r="D147" i="148"/>
  <c r="I147" i="148"/>
  <c r="K147" i="148"/>
  <c r="F147" i="148"/>
  <c r="G147" i="148"/>
  <c r="H147" i="148"/>
  <c r="J147" i="148"/>
  <c r="D148" i="148"/>
  <c r="I148" i="148"/>
  <c r="K148" i="148"/>
  <c r="F148" i="148"/>
  <c r="G148" i="148"/>
  <c r="H148" i="148"/>
  <c r="J148" i="148"/>
  <c r="D149" i="148"/>
  <c r="F149" i="148"/>
  <c r="I149" i="148"/>
  <c r="K149" i="148"/>
  <c r="G149" i="148"/>
  <c r="H149" i="148"/>
  <c r="J149" i="148"/>
  <c r="D150" i="148"/>
  <c r="F150" i="148"/>
  <c r="I150" i="148"/>
  <c r="K150" i="148"/>
  <c r="G150" i="148"/>
  <c r="H150" i="148"/>
  <c r="J150" i="148"/>
  <c r="D151" i="148"/>
  <c r="I151" i="148"/>
  <c r="K151" i="148"/>
  <c r="F151" i="148"/>
  <c r="G151" i="148"/>
  <c r="H151" i="148"/>
  <c r="J151" i="148"/>
  <c r="D152" i="148"/>
  <c r="I152" i="148"/>
  <c r="K152" i="148"/>
  <c r="F152" i="148"/>
  <c r="G152" i="148"/>
  <c r="H152" i="148"/>
  <c r="J152" i="148"/>
  <c r="D153" i="148"/>
  <c r="I153" i="148"/>
  <c r="K153" i="148"/>
  <c r="F153" i="148"/>
  <c r="G153" i="148"/>
  <c r="H153" i="148"/>
  <c r="J153" i="148"/>
  <c r="D154" i="148"/>
  <c r="I154" i="148"/>
  <c r="K154" i="148"/>
  <c r="F154" i="148"/>
  <c r="G154" i="148"/>
  <c r="H154" i="148"/>
  <c r="J154" i="148"/>
  <c r="D155" i="148"/>
  <c r="I155" i="148"/>
  <c r="K155" i="148"/>
  <c r="F155" i="148"/>
  <c r="G155" i="148"/>
  <c r="H155" i="148"/>
  <c r="J155" i="148"/>
  <c r="D156" i="148"/>
  <c r="F156" i="148"/>
  <c r="I156" i="148"/>
  <c r="K156" i="148"/>
  <c r="G156" i="148"/>
  <c r="H156" i="148"/>
  <c r="J156" i="148"/>
  <c r="D157" i="148"/>
  <c r="F157" i="148"/>
  <c r="I157" i="148"/>
  <c r="K157" i="148"/>
  <c r="G157" i="148"/>
  <c r="H157" i="148"/>
  <c r="J157" i="148"/>
  <c r="D158" i="148"/>
  <c r="I158" i="148"/>
  <c r="K158" i="148"/>
  <c r="F158" i="148"/>
  <c r="G158" i="148"/>
  <c r="H158" i="148"/>
  <c r="J158" i="148"/>
  <c r="D159" i="148"/>
  <c r="I159" i="148"/>
  <c r="K159" i="148"/>
  <c r="F159" i="148"/>
  <c r="G159" i="148"/>
  <c r="H159" i="148"/>
  <c r="J159" i="148"/>
  <c r="D160" i="148"/>
  <c r="F160" i="148"/>
  <c r="I160" i="148"/>
  <c r="K160" i="148"/>
  <c r="G160" i="148"/>
  <c r="H160" i="148"/>
  <c r="J160" i="148"/>
  <c r="D161" i="148"/>
  <c r="I161" i="148"/>
  <c r="K161" i="148"/>
  <c r="F161" i="148"/>
  <c r="G161" i="148"/>
  <c r="H161" i="148"/>
  <c r="J161" i="148"/>
  <c r="D162" i="148"/>
  <c r="I162" i="148"/>
  <c r="K162" i="148"/>
  <c r="F162" i="148"/>
  <c r="G162" i="148"/>
  <c r="H162" i="148"/>
  <c r="J162" i="148"/>
  <c r="D163" i="148"/>
  <c r="I163" i="148"/>
  <c r="K163" i="148"/>
  <c r="F163" i="148"/>
  <c r="G163" i="148"/>
  <c r="H163" i="148"/>
  <c r="J163" i="148"/>
  <c r="D164" i="148"/>
  <c r="F164" i="148"/>
  <c r="I164" i="148"/>
  <c r="K164" i="148"/>
  <c r="G164" i="148"/>
  <c r="H164" i="148"/>
  <c r="J164" i="148"/>
  <c r="D165" i="148"/>
  <c r="I165" i="148"/>
  <c r="K165" i="148"/>
  <c r="F165" i="148"/>
  <c r="G165" i="148"/>
  <c r="H165" i="148"/>
  <c r="J165" i="148"/>
  <c r="D166" i="148"/>
  <c r="F166" i="148"/>
  <c r="I166" i="148"/>
  <c r="K166" i="148"/>
  <c r="G166" i="148"/>
  <c r="H166" i="148"/>
  <c r="J166" i="148"/>
  <c r="D167" i="148"/>
  <c r="I167" i="148"/>
  <c r="K167" i="148"/>
  <c r="F167" i="148"/>
  <c r="G167" i="148"/>
  <c r="H167" i="148"/>
  <c r="J167" i="148"/>
  <c r="D168" i="148"/>
  <c r="I168" i="148"/>
  <c r="K168" i="148"/>
  <c r="F168" i="148"/>
  <c r="G168" i="148"/>
  <c r="H168" i="148"/>
  <c r="J168" i="148"/>
  <c r="D169" i="148"/>
  <c r="I169" i="148"/>
  <c r="K169" i="148"/>
  <c r="F169" i="148"/>
  <c r="G169" i="148"/>
  <c r="H169" i="148"/>
  <c r="J169" i="148"/>
  <c r="D170" i="148"/>
  <c r="I170" i="148"/>
  <c r="K170" i="148"/>
  <c r="F170" i="148"/>
  <c r="G170" i="148"/>
  <c r="H170" i="148"/>
  <c r="J170" i="148"/>
  <c r="D171" i="148"/>
  <c r="F171" i="148"/>
  <c r="I171" i="148"/>
  <c r="K171" i="148"/>
  <c r="G171" i="148"/>
  <c r="H171" i="148"/>
  <c r="J171" i="148"/>
  <c r="D172" i="148"/>
  <c r="I172" i="148"/>
  <c r="K172" i="148"/>
  <c r="F172" i="148"/>
  <c r="G172" i="148"/>
  <c r="H172" i="148"/>
  <c r="J172" i="148"/>
  <c r="D173" i="148"/>
  <c r="F173" i="148"/>
  <c r="I173" i="148"/>
  <c r="K173" i="148"/>
  <c r="G173" i="148"/>
  <c r="H173" i="148"/>
  <c r="J173" i="148"/>
  <c r="D174" i="148"/>
  <c r="I174" i="148"/>
  <c r="K174" i="148"/>
  <c r="F174" i="148"/>
  <c r="G174" i="148"/>
  <c r="H174" i="148"/>
  <c r="J174" i="148"/>
  <c r="D175" i="148"/>
  <c r="I175" i="148"/>
  <c r="K175" i="148"/>
  <c r="F175" i="148"/>
  <c r="G175" i="148"/>
  <c r="H175" i="148"/>
  <c r="J175" i="148"/>
  <c r="D176" i="148"/>
  <c r="I176" i="148"/>
  <c r="K176" i="148"/>
  <c r="F176" i="148"/>
  <c r="G176" i="148"/>
  <c r="H176" i="148"/>
  <c r="J176" i="148"/>
  <c r="D177" i="148"/>
  <c r="I177" i="148"/>
  <c r="K177" i="148"/>
  <c r="F177" i="148"/>
  <c r="G177" i="148"/>
  <c r="H177" i="148"/>
  <c r="J177" i="148"/>
  <c r="D178" i="148"/>
  <c r="I178" i="148"/>
  <c r="K178" i="148"/>
  <c r="F178" i="148"/>
  <c r="G178" i="148"/>
  <c r="H178" i="148"/>
  <c r="J178" i="148"/>
  <c r="D179" i="148"/>
  <c r="I179" i="148"/>
  <c r="K179" i="148"/>
  <c r="F179" i="148"/>
  <c r="G179" i="148"/>
  <c r="H179" i="148"/>
  <c r="J179" i="148"/>
  <c r="D180" i="148"/>
  <c r="I180" i="148"/>
  <c r="K180" i="148"/>
  <c r="F180" i="148"/>
  <c r="G180" i="148"/>
  <c r="H180" i="148"/>
  <c r="J180" i="148"/>
  <c r="D181" i="148"/>
  <c r="F181" i="148"/>
  <c r="I181" i="148"/>
  <c r="K181" i="148"/>
  <c r="G181" i="148"/>
  <c r="H181" i="148"/>
  <c r="J181" i="148"/>
  <c r="D182" i="148"/>
  <c r="F182" i="148"/>
  <c r="I182" i="148"/>
  <c r="K182" i="148"/>
  <c r="G182" i="148"/>
  <c r="H182" i="148"/>
  <c r="J182" i="148"/>
  <c r="D183" i="148"/>
  <c r="F183" i="148"/>
  <c r="I183" i="148"/>
  <c r="K183" i="148"/>
  <c r="G183" i="148"/>
  <c r="H183" i="148"/>
  <c r="J183" i="148"/>
  <c r="D184" i="148"/>
  <c r="I184" i="148"/>
  <c r="K184" i="148"/>
  <c r="F184" i="148"/>
  <c r="G184" i="148"/>
  <c r="H184" i="148"/>
  <c r="J184" i="148"/>
  <c r="D185" i="148"/>
  <c r="I185" i="148"/>
  <c r="K185" i="148"/>
  <c r="F185" i="148"/>
  <c r="G185" i="148"/>
  <c r="H185" i="148"/>
  <c r="J185" i="148"/>
  <c r="D186" i="148"/>
  <c r="F186" i="148"/>
  <c r="I186" i="148"/>
  <c r="K186" i="148"/>
  <c r="G186" i="148"/>
  <c r="H186" i="148"/>
  <c r="J186" i="148"/>
  <c r="D187" i="148"/>
  <c r="F187" i="148"/>
  <c r="I187" i="148"/>
  <c r="K187" i="148"/>
  <c r="G187" i="148"/>
  <c r="H187" i="148"/>
  <c r="J187" i="148"/>
  <c r="D188" i="148"/>
  <c r="F188" i="148"/>
  <c r="I188" i="148"/>
  <c r="K188" i="148"/>
  <c r="G188" i="148"/>
  <c r="H188" i="148"/>
  <c r="J188" i="148"/>
  <c r="D189" i="148"/>
  <c r="F189" i="148"/>
  <c r="I189" i="148"/>
  <c r="K189" i="148"/>
  <c r="G189" i="148"/>
  <c r="H189" i="148"/>
  <c r="J189" i="148"/>
  <c r="D190" i="148"/>
  <c r="F190" i="148"/>
  <c r="I190" i="148"/>
  <c r="K190" i="148"/>
  <c r="G190" i="148"/>
  <c r="H190" i="148"/>
  <c r="J190" i="148"/>
  <c r="D191" i="148"/>
  <c r="F191" i="148"/>
  <c r="I191" i="148"/>
  <c r="K191" i="148"/>
  <c r="G191" i="148"/>
  <c r="H191" i="148"/>
  <c r="J191" i="148"/>
  <c r="D192" i="148"/>
  <c r="I192" i="148"/>
  <c r="K192" i="148"/>
  <c r="F192" i="148"/>
  <c r="G192" i="148"/>
  <c r="H192" i="148"/>
  <c r="J192" i="148"/>
  <c r="D193" i="148"/>
  <c r="I193" i="148"/>
  <c r="K193" i="148"/>
  <c r="F193" i="148"/>
  <c r="G193" i="148"/>
  <c r="H193" i="148"/>
  <c r="J193" i="148"/>
  <c r="D194" i="148"/>
  <c r="I194" i="148"/>
  <c r="K194" i="148"/>
  <c r="F194" i="148"/>
  <c r="G194" i="148"/>
  <c r="H194" i="148"/>
  <c r="J194" i="148"/>
  <c r="D195" i="148"/>
  <c r="I195" i="148"/>
  <c r="K195" i="148"/>
  <c r="F195" i="148"/>
  <c r="G195" i="148"/>
  <c r="H195" i="148"/>
  <c r="J195" i="148"/>
  <c r="D196" i="148"/>
  <c r="I196" i="148"/>
  <c r="K196" i="148"/>
  <c r="F196" i="148"/>
  <c r="G196" i="148"/>
  <c r="H196" i="148"/>
  <c r="J196" i="148"/>
  <c r="D197" i="148"/>
  <c r="F197" i="148"/>
  <c r="I197" i="148"/>
  <c r="K197" i="148"/>
  <c r="G197" i="148"/>
  <c r="H197" i="148"/>
  <c r="J197" i="148"/>
  <c r="D198" i="148"/>
  <c r="F198" i="148"/>
  <c r="I198" i="148"/>
  <c r="K198" i="148"/>
  <c r="G198" i="148"/>
  <c r="H198" i="148"/>
  <c r="J198" i="148"/>
  <c r="D199" i="148"/>
  <c r="I199" i="148"/>
  <c r="K199" i="148"/>
  <c r="F199" i="148"/>
  <c r="G199" i="148"/>
  <c r="H199" i="148"/>
  <c r="J199" i="148"/>
  <c r="D200" i="148"/>
  <c r="F200" i="148"/>
  <c r="I200" i="148"/>
  <c r="K200" i="148"/>
  <c r="G200" i="148"/>
  <c r="H200" i="148"/>
  <c r="J200" i="148"/>
  <c r="D201" i="148"/>
  <c r="F201" i="148"/>
  <c r="I201" i="148"/>
  <c r="K201" i="148"/>
  <c r="G201" i="148"/>
  <c r="H201" i="148"/>
  <c r="J201" i="148"/>
  <c r="D202" i="148"/>
  <c r="F202" i="148"/>
  <c r="I202" i="148"/>
  <c r="K202" i="148"/>
  <c r="G202" i="148"/>
  <c r="H202" i="148"/>
  <c r="J202" i="148"/>
  <c r="D203" i="148"/>
  <c r="I203" i="148"/>
  <c r="K203" i="148"/>
  <c r="F203" i="148"/>
  <c r="G203" i="148"/>
  <c r="H203" i="148"/>
  <c r="J203" i="148"/>
  <c r="D204" i="148"/>
  <c r="I204" i="148"/>
  <c r="K204" i="148"/>
  <c r="F204" i="148"/>
  <c r="G204" i="148"/>
  <c r="H204" i="148"/>
  <c r="J204" i="148"/>
  <c r="D205" i="148"/>
  <c r="I205" i="148"/>
  <c r="K205" i="148"/>
  <c r="F205" i="148"/>
  <c r="G205" i="148"/>
  <c r="H205" i="148"/>
  <c r="J205" i="148"/>
  <c r="D206" i="148"/>
  <c r="I206" i="148"/>
  <c r="K206" i="148"/>
  <c r="F206" i="148"/>
  <c r="G206" i="148"/>
  <c r="H206" i="148"/>
  <c r="J206" i="148"/>
  <c r="D207" i="148"/>
  <c r="F207" i="148"/>
  <c r="I207" i="148"/>
  <c r="K207" i="148"/>
  <c r="G207" i="148"/>
  <c r="H207" i="148"/>
  <c r="J207" i="148"/>
  <c r="D208" i="148"/>
  <c r="F208" i="148"/>
  <c r="I208" i="148"/>
  <c r="K208" i="148"/>
  <c r="G208" i="148"/>
  <c r="H208" i="148"/>
  <c r="J208" i="148"/>
  <c r="D209" i="148"/>
  <c r="F209" i="148"/>
  <c r="I209" i="148"/>
  <c r="K209" i="148"/>
  <c r="G209" i="148"/>
  <c r="H209" i="148"/>
  <c r="J209" i="148"/>
  <c r="D210" i="148"/>
  <c r="I210" i="148"/>
  <c r="K210" i="148"/>
  <c r="F210" i="148"/>
  <c r="G210" i="148"/>
  <c r="H210" i="148"/>
  <c r="J210" i="148"/>
  <c r="D211" i="148"/>
  <c r="F211" i="148"/>
  <c r="I211" i="148"/>
  <c r="K211" i="148"/>
  <c r="G211" i="148"/>
  <c r="H211" i="148"/>
  <c r="J211" i="148"/>
  <c r="D212" i="148"/>
  <c r="I212" i="148"/>
  <c r="K212" i="148"/>
  <c r="F212" i="148"/>
  <c r="G212" i="148"/>
  <c r="H212" i="148"/>
  <c r="J212" i="148"/>
  <c r="D213" i="148"/>
  <c r="I213" i="148"/>
  <c r="K213" i="148"/>
  <c r="F213" i="148"/>
  <c r="G213" i="148"/>
  <c r="H213" i="148"/>
  <c r="J213" i="148"/>
  <c r="D214" i="148"/>
  <c r="F214" i="148"/>
  <c r="I214" i="148"/>
  <c r="K214" i="148"/>
  <c r="G214" i="148"/>
  <c r="H214" i="148"/>
  <c r="J214" i="148"/>
  <c r="D215" i="148"/>
  <c r="I215" i="148"/>
  <c r="K215" i="148"/>
  <c r="F215" i="148"/>
  <c r="G215" i="148"/>
  <c r="H215" i="148"/>
  <c r="J215" i="148"/>
  <c r="D216" i="148"/>
  <c r="I216" i="148"/>
  <c r="K216" i="148"/>
  <c r="F216" i="148"/>
  <c r="G216" i="148"/>
  <c r="H216" i="148"/>
  <c r="J216" i="148"/>
  <c r="D217" i="148"/>
  <c r="I217" i="148"/>
  <c r="K217" i="148"/>
  <c r="F217" i="148"/>
  <c r="G217" i="148"/>
  <c r="H217" i="148"/>
  <c r="J217" i="148"/>
  <c r="D218" i="148"/>
  <c r="F218" i="148"/>
  <c r="I218" i="148"/>
  <c r="K218" i="148"/>
  <c r="G218" i="148"/>
  <c r="H218" i="148"/>
  <c r="J218" i="148"/>
  <c r="D219" i="148"/>
  <c r="I219" i="148"/>
  <c r="K219" i="148"/>
  <c r="F219" i="148"/>
  <c r="G219" i="148"/>
  <c r="H219" i="148"/>
  <c r="J219" i="148"/>
  <c r="D220" i="148"/>
  <c r="F220" i="148"/>
  <c r="I220" i="148"/>
  <c r="K220" i="148"/>
  <c r="G220" i="148"/>
  <c r="H220" i="148"/>
  <c r="J220" i="148"/>
  <c r="D221" i="148"/>
  <c r="I221" i="148"/>
  <c r="K221" i="148"/>
  <c r="F221" i="148"/>
  <c r="G221" i="148"/>
  <c r="H221" i="148"/>
  <c r="J221" i="148"/>
  <c r="D222" i="148"/>
  <c r="I222" i="148"/>
  <c r="K222" i="148"/>
  <c r="F222" i="148"/>
  <c r="G222" i="148"/>
  <c r="H222" i="148"/>
  <c r="J222" i="148"/>
  <c r="D223" i="148"/>
  <c r="I223" i="148"/>
  <c r="K223" i="148"/>
  <c r="F223" i="148"/>
  <c r="G223" i="148"/>
  <c r="H223" i="148"/>
  <c r="J223" i="148"/>
  <c r="D224" i="148"/>
  <c r="I224" i="148"/>
  <c r="K224" i="148"/>
  <c r="F224" i="148"/>
  <c r="G224" i="148"/>
  <c r="H224" i="148"/>
  <c r="J224" i="148"/>
  <c r="D225" i="148"/>
  <c r="I225" i="148"/>
  <c r="K225" i="148"/>
  <c r="F225" i="148"/>
  <c r="G225" i="148"/>
  <c r="H225" i="148"/>
  <c r="J225" i="148"/>
  <c r="D226" i="148"/>
  <c r="F226" i="148"/>
  <c r="I226" i="148"/>
  <c r="K226" i="148"/>
  <c r="G226" i="148"/>
  <c r="H226" i="148"/>
  <c r="J226" i="148"/>
  <c r="D227" i="148"/>
  <c r="F227" i="148"/>
  <c r="I227" i="148"/>
  <c r="K227" i="148"/>
  <c r="G227" i="148"/>
  <c r="H227" i="148"/>
  <c r="J227" i="148"/>
  <c r="D228" i="148"/>
  <c r="F228" i="148"/>
  <c r="I228" i="148"/>
  <c r="K228" i="148"/>
  <c r="G228" i="148"/>
  <c r="H228" i="148"/>
  <c r="J228" i="148"/>
  <c r="D229" i="148"/>
  <c r="I229" i="148"/>
  <c r="K229" i="148"/>
  <c r="F229" i="148"/>
  <c r="G229" i="148"/>
  <c r="H229" i="148"/>
  <c r="J229" i="148"/>
  <c r="D230" i="148"/>
  <c r="I230" i="148"/>
  <c r="K230" i="148"/>
  <c r="F230" i="148"/>
  <c r="G230" i="148"/>
  <c r="H230" i="148"/>
  <c r="J230" i="148"/>
  <c r="D231" i="148"/>
  <c r="F231" i="148"/>
  <c r="I231" i="148"/>
  <c r="K231" i="148"/>
  <c r="G231" i="148"/>
  <c r="H231" i="148"/>
  <c r="J231" i="148"/>
  <c r="D232" i="148"/>
  <c r="I232" i="148"/>
  <c r="K232" i="148"/>
  <c r="F232" i="148"/>
  <c r="G232" i="148"/>
  <c r="H232" i="148"/>
  <c r="J232" i="148"/>
  <c r="D233" i="148"/>
  <c r="F233" i="148"/>
  <c r="I233" i="148"/>
  <c r="K233" i="148"/>
  <c r="G233" i="148"/>
  <c r="H233" i="148"/>
  <c r="J233" i="148"/>
  <c r="D234" i="148"/>
  <c r="I234" i="148"/>
  <c r="K234" i="148"/>
  <c r="F234" i="148"/>
  <c r="G234" i="148"/>
  <c r="H234" i="148"/>
  <c r="J234" i="148"/>
  <c r="D235" i="148"/>
  <c r="I235" i="148"/>
  <c r="K235" i="148"/>
  <c r="F235" i="148"/>
  <c r="G235" i="148"/>
  <c r="H235" i="148"/>
  <c r="J235" i="148"/>
  <c r="D236" i="148"/>
  <c r="F236" i="148"/>
  <c r="I236" i="148"/>
  <c r="K236" i="148"/>
  <c r="G236" i="148"/>
  <c r="H236" i="148"/>
  <c r="J236" i="148"/>
  <c r="D237" i="148"/>
  <c r="I237" i="148"/>
  <c r="K237" i="148"/>
  <c r="F237" i="148"/>
  <c r="G237" i="148"/>
  <c r="H237" i="148"/>
  <c r="J237" i="148"/>
  <c r="D238" i="148"/>
  <c r="F238" i="148"/>
  <c r="I238" i="148"/>
  <c r="K238" i="148"/>
  <c r="G238" i="148"/>
  <c r="H238" i="148"/>
  <c r="J238" i="148"/>
  <c r="D239" i="148"/>
  <c r="I239" i="148"/>
  <c r="K239" i="148"/>
  <c r="F239" i="148"/>
  <c r="G239" i="148"/>
  <c r="H239" i="148"/>
  <c r="J239" i="148"/>
  <c r="D240" i="148"/>
  <c r="F240" i="148"/>
  <c r="I240" i="148"/>
  <c r="K240" i="148"/>
  <c r="G240" i="148"/>
  <c r="H240" i="148"/>
  <c r="J240" i="148"/>
  <c r="D241" i="148"/>
  <c r="I241" i="148"/>
  <c r="K241" i="148"/>
  <c r="F241" i="148"/>
  <c r="G241" i="148"/>
  <c r="H241" i="148"/>
  <c r="J241" i="148"/>
  <c r="D242" i="148"/>
  <c r="I242" i="148"/>
  <c r="K242" i="148"/>
  <c r="F242" i="148"/>
  <c r="G242" i="148"/>
  <c r="H242" i="148"/>
  <c r="J242" i="148"/>
  <c r="D243" i="148"/>
  <c r="F243" i="148"/>
  <c r="I243" i="148"/>
  <c r="K243" i="148"/>
  <c r="G243" i="148"/>
  <c r="H243" i="148"/>
  <c r="J243" i="148"/>
  <c r="D244" i="148"/>
  <c r="F244" i="148"/>
  <c r="I244" i="148"/>
  <c r="K244" i="148"/>
  <c r="G244" i="148"/>
  <c r="H244" i="148"/>
  <c r="J244" i="148"/>
  <c r="D245" i="148"/>
  <c r="I245" i="148"/>
  <c r="K245" i="148"/>
  <c r="F245" i="148"/>
  <c r="G245" i="148"/>
  <c r="H245" i="148"/>
  <c r="J245" i="148"/>
  <c r="D246" i="148"/>
  <c r="F246" i="148"/>
  <c r="I246" i="148"/>
  <c r="K246" i="148"/>
  <c r="G246" i="148"/>
  <c r="H246" i="148"/>
  <c r="J246" i="148"/>
  <c r="D247" i="148"/>
  <c r="I247" i="148"/>
  <c r="K247" i="148"/>
  <c r="F247" i="148"/>
  <c r="G247" i="148"/>
  <c r="H247" i="148"/>
  <c r="J247" i="148"/>
  <c r="D248" i="148"/>
  <c r="F248" i="148"/>
  <c r="I248" i="148"/>
  <c r="K248" i="148"/>
  <c r="G248" i="148"/>
  <c r="H248" i="148"/>
  <c r="J248" i="148"/>
  <c r="D249" i="148"/>
  <c r="I249" i="148"/>
  <c r="K249" i="148"/>
  <c r="F249" i="148"/>
  <c r="G249" i="148"/>
  <c r="H249" i="148"/>
  <c r="J249" i="148"/>
  <c r="D250" i="148"/>
  <c r="F250" i="148"/>
  <c r="I250" i="148"/>
  <c r="K250" i="148"/>
  <c r="G250" i="148"/>
  <c r="H250" i="148"/>
  <c r="J250" i="148"/>
  <c r="D251" i="148"/>
  <c r="I251" i="148"/>
  <c r="K251" i="148"/>
  <c r="F251" i="148"/>
  <c r="G251" i="148"/>
  <c r="H251" i="148"/>
  <c r="J251" i="148"/>
  <c r="D252" i="148"/>
  <c r="I252" i="148"/>
  <c r="K252" i="148"/>
  <c r="F252" i="148"/>
  <c r="G252" i="148"/>
  <c r="H252" i="148"/>
  <c r="J252" i="148"/>
  <c r="D253" i="148"/>
  <c r="F253" i="148"/>
  <c r="I253" i="148"/>
  <c r="K253" i="148"/>
  <c r="G253" i="148"/>
  <c r="H253" i="148"/>
  <c r="J253" i="148"/>
  <c r="D254" i="148"/>
  <c r="I254" i="148"/>
  <c r="K254" i="148"/>
  <c r="F254" i="148"/>
  <c r="G254" i="148"/>
  <c r="H254" i="148"/>
  <c r="J254" i="148"/>
  <c r="D255" i="148"/>
  <c r="I255" i="148"/>
  <c r="K255" i="148"/>
  <c r="F255" i="148"/>
  <c r="G255" i="148"/>
  <c r="H255" i="148"/>
  <c r="J255" i="148"/>
  <c r="D256" i="148"/>
  <c r="I256" i="148"/>
  <c r="K256" i="148"/>
  <c r="F256" i="148"/>
  <c r="G256" i="148"/>
  <c r="H256" i="148"/>
  <c r="J256" i="148"/>
  <c r="D257" i="148"/>
  <c r="F257" i="148"/>
  <c r="I257" i="148"/>
  <c r="K257" i="148"/>
  <c r="G257" i="148"/>
  <c r="H257" i="148"/>
  <c r="J257" i="148"/>
  <c r="D258" i="148"/>
  <c r="I258" i="148"/>
  <c r="K258" i="148"/>
  <c r="F258" i="148"/>
  <c r="G258" i="148"/>
  <c r="H258" i="148"/>
  <c r="J258" i="148"/>
  <c r="D259" i="148"/>
  <c r="I259" i="148"/>
  <c r="K259" i="148"/>
  <c r="F259" i="148"/>
  <c r="G259" i="148"/>
  <c r="H259" i="148"/>
  <c r="J259" i="148"/>
  <c r="D260" i="148"/>
  <c r="F260" i="148"/>
  <c r="I260" i="148"/>
  <c r="K260" i="148"/>
  <c r="G260" i="148"/>
  <c r="H260" i="148"/>
  <c r="J260" i="148"/>
  <c r="D261" i="148"/>
  <c r="F261" i="148"/>
  <c r="I261" i="148"/>
  <c r="K261" i="148"/>
  <c r="G261" i="148"/>
  <c r="H261" i="148"/>
  <c r="J261" i="148"/>
  <c r="D262" i="148"/>
  <c r="F262" i="148"/>
  <c r="I262" i="148"/>
  <c r="K262" i="148"/>
  <c r="G262" i="148"/>
  <c r="H262" i="148"/>
  <c r="J262" i="148"/>
  <c r="D263" i="148"/>
  <c r="F263" i="148"/>
  <c r="I263" i="148"/>
  <c r="K263" i="148"/>
  <c r="G263" i="148"/>
  <c r="H263" i="148"/>
  <c r="J263" i="148"/>
  <c r="D264" i="148"/>
  <c r="I264" i="148"/>
  <c r="K264" i="148"/>
  <c r="F264" i="148"/>
  <c r="G264" i="148"/>
  <c r="H264" i="148"/>
  <c r="J264" i="148"/>
  <c r="D265" i="148"/>
  <c r="I265" i="148"/>
  <c r="K265" i="148"/>
  <c r="F265" i="148"/>
  <c r="G265" i="148"/>
  <c r="H265" i="148"/>
  <c r="J265" i="148"/>
  <c r="D266" i="148"/>
  <c r="F266" i="148"/>
  <c r="I266" i="148"/>
  <c r="K266" i="148"/>
  <c r="G266" i="148"/>
  <c r="H266" i="148"/>
  <c r="J266" i="148"/>
  <c r="D267" i="148"/>
  <c r="I267" i="148"/>
  <c r="K267" i="148"/>
  <c r="F267" i="148"/>
  <c r="G267" i="148"/>
  <c r="H267" i="148"/>
  <c r="J267" i="148"/>
  <c r="D268" i="148"/>
  <c r="F268" i="148"/>
  <c r="I268" i="148"/>
  <c r="K268" i="148"/>
  <c r="G268" i="148"/>
  <c r="H268" i="148"/>
  <c r="J268" i="148"/>
  <c r="D269" i="148"/>
  <c r="F269" i="148"/>
  <c r="I269" i="148"/>
  <c r="K269" i="148"/>
  <c r="G269" i="148"/>
  <c r="H269" i="148"/>
  <c r="J269" i="148"/>
  <c r="D270" i="148"/>
  <c r="I270" i="148"/>
  <c r="K270" i="148"/>
  <c r="F270" i="148"/>
  <c r="G270" i="148"/>
  <c r="H270" i="148"/>
  <c r="J270" i="148"/>
  <c r="D271" i="148"/>
  <c r="F271" i="148"/>
  <c r="I271" i="148"/>
  <c r="K271" i="148"/>
  <c r="G271" i="148"/>
  <c r="H271" i="148"/>
  <c r="J271" i="148"/>
  <c r="D272" i="148"/>
  <c r="F272" i="148"/>
  <c r="I272" i="148"/>
  <c r="K272" i="148"/>
  <c r="G272" i="148"/>
  <c r="H272" i="148"/>
  <c r="J272" i="148"/>
  <c r="D273" i="148"/>
  <c r="I273" i="148"/>
  <c r="K273" i="148"/>
  <c r="F273" i="148"/>
  <c r="G273" i="148"/>
  <c r="H273" i="148"/>
  <c r="J273" i="148"/>
  <c r="D274" i="148"/>
  <c r="F274" i="148"/>
  <c r="I274" i="148"/>
  <c r="K274" i="148"/>
  <c r="G274" i="148"/>
  <c r="H274" i="148"/>
  <c r="J274" i="148"/>
  <c r="D275" i="148"/>
  <c r="I275" i="148"/>
  <c r="K275" i="148"/>
  <c r="F275" i="148"/>
  <c r="G275" i="148"/>
  <c r="H275" i="148"/>
  <c r="J275" i="148"/>
  <c r="D276" i="148"/>
  <c r="I276" i="148"/>
  <c r="K276" i="148"/>
  <c r="F276" i="148"/>
  <c r="G276" i="148"/>
  <c r="H276" i="148"/>
  <c r="J276" i="148"/>
  <c r="D277" i="148"/>
  <c r="I277" i="148"/>
  <c r="K277" i="148"/>
  <c r="F277" i="148"/>
  <c r="G277" i="148"/>
  <c r="H277" i="148"/>
  <c r="J277" i="148"/>
  <c r="D278" i="148"/>
  <c r="F278" i="148"/>
  <c r="I278" i="148"/>
  <c r="K278" i="148"/>
  <c r="G278" i="148"/>
  <c r="H278" i="148"/>
  <c r="J278" i="148"/>
  <c r="D279" i="148"/>
  <c r="F279" i="148"/>
  <c r="I279" i="148"/>
  <c r="K279" i="148"/>
  <c r="G279" i="148"/>
  <c r="H279" i="148"/>
  <c r="J279" i="148"/>
  <c r="D280" i="148"/>
  <c r="F280" i="148"/>
  <c r="I280" i="148"/>
  <c r="K280" i="148"/>
  <c r="G280" i="148"/>
  <c r="H280" i="148"/>
  <c r="J280" i="148"/>
  <c r="D281" i="148"/>
  <c r="I281" i="148"/>
  <c r="K281" i="148"/>
  <c r="F281" i="148"/>
  <c r="G281" i="148"/>
  <c r="H281" i="148"/>
  <c r="J281" i="148"/>
  <c r="D282" i="148"/>
  <c r="I282" i="148"/>
  <c r="K282" i="148"/>
  <c r="F282" i="148"/>
  <c r="G282" i="148"/>
  <c r="H282" i="148"/>
  <c r="J282" i="148"/>
  <c r="D283" i="148"/>
  <c r="F283" i="148"/>
  <c r="I283" i="148"/>
  <c r="K283" i="148"/>
  <c r="G283" i="148"/>
  <c r="H283" i="148"/>
  <c r="J283" i="148"/>
  <c r="D284" i="148"/>
  <c r="I284" i="148"/>
  <c r="K284" i="148"/>
  <c r="F284" i="148"/>
  <c r="G284" i="148"/>
  <c r="H284" i="148"/>
  <c r="J284" i="148"/>
  <c r="D285" i="148"/>
  <c r="I285" i="148"/>
  <c r="K285" i="148"/>
  <c r="F285" i="148"/>
  <c r="G285" i="148"/>
  <c r="H285" i="148"/>
  <c r="J285" i="148"/>
  <c r="D286" i="148"/>
  <c r="I286" i="148"/>
  <c r="K286" i="148"/>
  <c r="F286" i="148"/>
  <c r="G286" i="148"/>
  <c r="H286" i="148"/>
  <c r="J286" i="148"/>
  <c r="D287" i="148"/>
  <c r="F287" i="148"/>
  <c r="I287" i="148"/>
  <c r="K287" i="148"/>
  <c r="G287" i="148"/>
  <c r="H287" i="148"/>
  <c r="J287" i="148"/>
  <c r="D288" i="148"/>
  <c r="F288" i="148"/>
  <c r="I288" i="148"/>
  <c r="K288" i="148"/>
  <c r="G288" i="148"/>
  <c r="H288" i="148"/>
  <c r="J288" i="148"/>
  <c r="D289" i="148"/>
  <c r="I289" i="148"/>
  <c r="K289" i="148"/>
  <c r="F289" i="148"/>
  <c r="G289" i="148"/>
  <c r="H289" i="148"/>
  <c r="J289" i="148"/>
  <c r="D290" i="148"/>
  <c r="F290" i="148"/>
  <c r="I290" i="148"/>
  <c r="K290" i="148"/>
  <c r="G290" i="148"/>
  <c r="H290" i="148"/>
  <c r="J290" i="148"/>
  <c r="D291" i="148"/>
  <c r="F291" i="148"/>
  <c r="I291" i="148"/>
  <c r="K291" i="148"/>
  <c r="G291" i="148"/>
  <c r="H291" i="148"/>
  <c r="J291" i="148"/>
  <c r="D292" i="148"/>
  <c r="I292" i="148"/>
  <c r="K292" i="148"/>
  <c r="F292" i="148"/>
  <c r="G292" i="148"/>
  <c r="H292" i="148"/>
  <c r="J292" i="148"/>
  <c r="D293" i="148"/>
  <c r="I293" i="148"/>
  <c r="K293" i="148"/>
  <c r="F293" i="148"/>
  <c r="G293" i="148"/>
  <c r="H293" i="148"/>
  <c r="J293" i="148"/>
  <c r="D294" i="148"/>
  <c r="I294" i="148"/>
  <c r="K294" i="148"/>
  <c r="F294" i="148"/>
  <c r="G294" i="148"/>
  <c r="H294" i="148"/>
  <c r="J294" i="148"/>
  <c r="D295" i="148"/>
  <c r="I295" i="148"/>
  <c r="K295" i="148"/>
  <c r="F295" i="148"/>
  <c r="G295" i="148"/>
  <c r="H295" i="148"/>
  <c r="J295" i="148"/>
  <c r="D296" i="148"/>
  <c r="I296" i="148"/>
  <c r="K296" i="148"/>
  <c r="F296" i="148"/>
  <c r="G296" i="148"/>
  <c r="H296" i="148"/>
  <c r="J296" i="148"/>
  <c r="D297" i="148"/>
  <c r="I297" i="148"/>
  <c r="K297" i="148"/>
  <c r="F297" i="148"/>
  <c r="G297" i="148"/>
  <c r="H297" i="148"/>
  <c r="J297" i="148"/>
  <c r="D298" i="148"/>
  <c r="F298" i="148"/>
  <c r="I298" i="148"/>
  <c r="K298" i="148"/>
  <c r="G298" i="148"/>
  <c r="H298" i="148"/>
  <c r="J298" i="148"/>
  <c r="D299" i="148"/>
  <c r="F299" i="148"/>
  <c r="I299" i="148"/>
  <c r="K299" i="148"/>
  <c r="G299" i="148"/>
  <c r="H299" i="148"/>
  <c r="J299" i="148"/>
  <c r="D300" i="148"/>
  <c r="F300" i="148"/>
  <c r="I300" i="148"/>
  <c r="K300" i="148"/>
  <c r="G300" i="148"/>
  <c r="H300" i="148"/>
  <c r="J300" i="148"/>
  <c r="D301" i="148"/>
  <c r="I301" i="148"/>
  <c r="K301" i="148"/>
  <c r="F301" i="148"/>
  <c r="G301" i="148"/>
  <c r="H301" i="148"/>
  <c r="J301" i="148"/>
  <c r="D302" i="148"/>
  <c r="F302" i="148"/>
  <c r="I302" i="148"/>
  <c r="K302" i="148"/>
  <c r="G302" i="148"/>
  <c r="H302" i="148"/>
  <c r="J302" i="148"/>
  <c r="D303" i="148"/>
  <c r="I303" i="148"/>
  <c r="K303" i="148"/>
  <c r="F303" i="148"/>
  <c r="G303" i="148"/>
  <c r="H303" i="148"/>
  <c r="J303" i="148"/>
  <c r="D304" i="148"/>
  <c r="F304" i="148"/>
  <c r="I304" i="148"/>
  <c r="K304" i="148"/>
  <c r="G304" i="148"/>
  <c r="H304" i="148"/>
  <c r="J304" i="148"/>
  <c r="D305" i="148"/>
  <c r="I305" i="148"/>
  <c r="K305" i="148"/>
  <c r="F305" i="148"/>
  <c r="G305" i="148"/>
  <c r="H305" i="148"/>
  <c r="J305" i="148"/>
  <c r="D306" i="148"/>
  <c r="I306" i="148"/>
  <c r="K306" i="148"/>
  <c r="F306" i="148"/>
  <c r="G306" i="148"/>
  <c r="H306" i="148"/>
  <c r="J306" i="148"/>
  <c r="D307" i="148"/>
  <c r="I307" i="148"/>
  <c r="K307" i="148"/>
  <c r="F307" i="148"/>
  <c r="G307" i="148"/>
  <c r="H307" i="148"/>
  <c r="J307" i="148"/>
  <c r="D308" i="148"/>
  <c r="I308" i="148"/>
  <c r="K308" i="148"/>
  <c r="F308" i="148"/>
  <c r="G308" i="148"/>
  <c r="H308" i="148"/>
  <c r="J308" i="148"/>
  <c r="D309" i="148"/>
  <c r="F309" i="148"/>
  <c r="I309" i="148"/>
  <c r="K309" i="148"/>
  <c r="G309" i="148"/>
  <c r="H309" i="148"/>
  <c r="J309" i="148"/>
  <c r="D310" i="148"/>
  <c r="F310" i="148"/>
  <c r="I310" i="148"/>
  <c r="K310" i="148"/>
  <c r="G310" i="148"/>
  <c r="H310" i="148"/>
  <c r="J310" i="148"/>
  <c r="D311" i="148"/>
  <c r="F311" i="148"/>
  <c r="I311" i="148"/>
  <c r="K311" i="148"/>
  <c r="G311" i="148"/>
  <c r="H311" i="148"/>
  <c r="J311" i="148"/>
  <c r="D312" i="148"/>
  <c r="I312" i="148"/>
  <c r="K312" i="148"/>
  <c r="F312" i="148"/>
  <c r="G312" i="148"/>
  <c r="H312" i="148"/>
  <c r="J312" i="148"/>
  <c r="D313" i="148"/>
  <c r="I313" i="148"/>
  <c r="K313" i="148"/>
  <c r="F313" i="148"/>
  <c r="G313" i="148"/>
  <c r="H313" i="148"/>
  <c r="J313" i="148"/>
  <c r="D314" i="148"/>
  <c r="F314" i="148"/>
  <c r="I314" i="148"/>
  <c r="K314" i="148"/>
  <c r="G314" i="148"/>
  <c r="H314" i="148"/>
  <c r="J314" i="148"/>
  <c r="D315" i="148"/>
  <c r="I315" i="148"/>
  <c r="K315" i="148"/>
  <c r="F315" i="148"/>
  <c r="G315" i="148"/>
  <c r="H315" i="148"/>
  <c r="J315" i="148"/>
  <c r="D316" i="148"/>
  <c r="F316" i="148"/>
  <c r="I316" i="148"/>
  <c r="K316" i="148"/>
  <c r="G316" i="148"/>
  <c r="H316" i="148"/>
  <c r="J316" i="148"/>
  <c r="D317" i="148"/>
  <c r="F317" i="148"/>
  <c r="I317" i="148"/>
  <c r="K317" i="148"/>
  <c r="G317" i="148"/>
  <c r="H317" i="148"/>
  <c r="J317" i="148"/>
  <c r="D318" i="148"/>
  <c r="I318" i="148"/>
  <c r="K318" i="148"/>
  <c r="F318" i="148"/>
  <c r="G318" i="148"/>
  <c r="H318" i="148"/>
  <c r="J318" i="148"/>
  <c r="D319" i="148"/>
  <c r="I319" i="148"/>
  <c r="K319" i="148"/>
  <c r="F319" i="148"/>
  <c r="G319" i="148"/>
  <c r="H319" i="148"/>
  <c r="J319" i="148"/>
  <c r="D320" i="148"/>
  <c r="F320" i="148"/>
  <c r="I320" i="148"/>
  <c r="K320" i="148"/>
  <c r="G320" i="148"/>
  <c r="H320" i="148"/>
  <c r="J320" i="148"/>
  <c r="D321" i="148"/>
  <c r="I321" i="148"/>
  <c r="K321" i="148"/>
  <c r="F321" i="148"/>
  <c r="G321" i="148"/>
  <c r="H321" i="148"/>
  <c r="J321" i="148"/>
  <c r="D322" i="148"/>
  <c r="I322" i="148"/>
  <c r="K322" i="148"/>
  <c r="F322" i="148"/>
  <c r="G322" i="148"/>
  <c r="H322" i="148"/>
  <c r="J322" i="148"/>
  <c r="D323" i="148"/>
  <c r="I323" i="148"/>
  <c r="K323" i="148"/>
  <c r="F323" i="148"/>
  <c r="G323" i="148"/>
  <c r="H323" i="148"/>
  <c r="J323" i="148"/>
  <c r="D324" i="148"/>
  <c r="F324" i="148"/>
  <c r="I324" i="148"/>
  <c r="K324" i="148"/>
  <c r="G324" i="148"/>
  <c r="H324" i="148"/>
  <c r="J324" i="148"/>
  <c r="D325" i="148"/>
  <c r="I325" i="148"/>
  <c r="K325" i="148"/>
  <c r="F325" i="148"/>
  <c r="G325" i="148"/>
  <c r="H325" i="148"/>
  <c r="J325" i="148"/>
  <c r="D326" i="148"/>
  <c r="I326" i="148"/>
  <c r="K326" i="148"/>
  <c r="F326" i="148"/>
  <c r="G326" i="148"/>
  <c r="H326" i="148"/>
  <c r="J326" i="148"/>
  <c r="D327" i="148"/>
  <c r="I327" i="148"/>
  <c r="K327" i="148"/>
  <c r="F327" i="148"/>
  <c r="G327" i="148"/>
  <c r="H327" i="148"/>
  <c r="J327" i="148"/>
  <c r="D328" i="148"/>
  <c r="F328" i="148"/>
  <c r="I328" i="148"/>
  <c r="K328" i="148"/>
  <c r="G328" i="148"/>
  <c r="H328" i="148"/>
  <c r="J328" i="148"/>
  <c r="D329" i="148"/>
  <c r="I329" i="148"/>
  <c r="K329" i="148"/>
  <c r="F329" i="148"/>
  <c r="G329" i="148"/>
  <c r="H329" i="148"/>
  <c r="J329" i="148"/>
  <c r="D330" i="148"/>
  <c r="F330" i="148"/>
  <c r="I330" i="148"/>
  <c r="K330" i="148"/>
  <c r="G330" i="148"/>
  <c r="H330" i="148"/>
  <c r="J330" i="148"/>
  <c r="D331" i="148"/>
  <c r="F331" i="148"/>
  <c r="I331" i="148"/>
  <c r="K331" i="148"/>
  <c r="G331" i="148"/>
  <c r="H331" i="148"/>
  <c r="J331" i="148"/>
  <c r="D332" i="148"/>
  <c r="F332" i="148"/>
  <c r="I332" i="148"/>
  <c r="K332" i="148"/>
  <c r="G332" i="148"/>
  <c r="H332" i="148"/>
  <c r="J332" i="148"/>
  <c r="D333" i="148"/>
  <c r="I333" i="148"/>
  <c r="K333" i="148"/>
  <c r="F333" i="148"/>
  <c r="G333" i="148"/>
  <c r="H333" i="148"/>
  <c r="J333" i="148"/>
  <c r="D334" i="148"/>
  <c r="I334" i="148"/>
  <c r="K334" i="148"/>
  <c r="F334" i="148"/>
  <c r="G334" i="148"/>
  <c r="H334" i="148"/>
  <c r="J334" i="148"/>
  <c r="D335" i="148"/>
  <c r="I335" i="148"/>
  <c r="K335" i="148"/>
  <c r="F335" i="148"/>
  <c r="G335" i="148"/>
  <c r="H335" i="148"/>
  <c r="J335" i="148"/>
  <c r="D336" i="148"/>
  <c r="I336" i="148"/>
  <c r="K336" i="148"/>
  <c r="F336" i="148"/>
  <c r="G336" i="148"/>
  <c r="H336" i="148"/>
  <c r="J336" i="148"/>
  <c r="D337" i="148"/>
  <c r="I337" i="148"/>
  <c r="K337" i="148"/>
  <c r="F337" i="148"/>
  <c r="G337" i="148"/>
  <c r="H337" i="148"/>
  <c r="J337" i="148"/>
  <c r="D338" i="148"/>
  <c r="F338" i="148"/>
  <c r="I338" i="148"/>
  <c r="K338" i="148"/>
  <c r="G338" i="148"/>
  <c r="H338" i="148"/>
  <c r="J338" i="148"/>
  <c r="D339" i="148"/>
  <c r="I339" i="148"/>
  <c r="K339" i="148"/>
  <c r="F339" i="148"/>
  <c r="G339" i="148"/>
  <c r="H339" i="148"/>
  <c r="J339" i="148"/>
  <c r="D340" i="148"/>
  <c r="F340" i="148"/>
  <c r="I340" i="148"/>
  <c r="K340" i="148"/>
  <c r="G340" i="148"/>
  <c r="H340" i="148"/>
  <c r="J340" i="148"/>
  <c r="D341" i="148"/>
  <c r="I341" i="148"/>
  <c r="K341" i="148"/>
  <c r="F341" i="148"/>
  <c r="G341" i="148"/>
  <c r="H341" i="148"/>
  <c r="J341" i="148"/>
  <c r="D342" i="148"/>
  <c r="I342" i="148"/>
  <c r="K342" i="148"/>
  <c r="F342" i="148"/>
  <c r="G342" i="148"/>
  <c r="H342" i="148"/>
  <c r="J342" i="148"/>
  <c r="D343" i="148"/>
  <c r="I343" i="148"/>
  <c r="K343" i="148"/>
  <c r="F343" i="148"/>
  <c r="G343" i="148"/>
  <c r="H343" i="148"/>
  <c r="J343" i="148"/>
  <c r="D344" i="148"/>
  <c r="I344" i="148"/>
  <c r="K344" i="148"/>
  <c r="F344" i="148"/>
  <c r="G344" i="148"/>
  <c r="H344" i="148"/>
  <c r="J344" i="148"/>
  <c r="D345" i="148"/>
  <c r="F345" i="148"/>
  <c r="I345" i="148"/>
  <c r="K345" i="148"/>
  <c r="G345" i="148"/>
  <c r="H345" i="148"/>
  <c r="J345" i="148"/>
  <c r="D346" i="148"/>
  <c r="F346" i="148"/>
  <c r="I346" i="148"/>
  <c r="K346" i="148"/>
  <c r="G346" i="148"/>
  <c r="H346" i="148"/>
  <c r="J346" i="148"/>
  <c r="D347" i="148"/>
  <c r="I347" i="148"/>
  <c r="K347" i="148"/>
  <c r="F347" i="148"/>
  <c r="G347" i="148"/>
  <c r="H347" i="148"/>
  <c r="J347" i="148"/>
  <c r="D348" i="148"/>
  <c r="F348" i="148"/>
  <c r="I348" i="148"/>
  <c r="K348" i="148"/>
  <c r="G348" i="148"/>
  <c r="H348" i="148"/>
  <c r="J348" i="148"/>
  <c r="D349" i="148"/>
  <c r="I349" i="148"/>
  <c r="K349" i="148"/>
  <c r="F349" i="148"/>
  <c r="G349" i="148"/>
  <c r="H349" i="148"/>
  <c r="J349" i="148"/>
  <c r="D350" i="148"/>
  <c r="F350" i="148"/>
  <c r="I350" i="148"/>
  <c r="K350" i="148"/>
  <c r="G350" i="148"/>
  <c r="H350" i="148"/>
  <c r="J350" i="148"/>
  <c r="D351" i="148"/>
  <c r="I351" i="148"/>
  <c r="K351" i="148"/>
  <c r="F351" i="148"/>
  <c r="G351" i="148"/>
  <c r="H351" i="148"/>
  <c r="J351" i="148"/>
  <c r="D352" i="148"/>
  <c r="I352" i="148"/>
  <c r="K352" i="148"/>
  <c r="F352" i="148"/>
  <c r="G352" i="148"/>
  <c r="H352" i="148"/>
  <c r="J352" i="148"/>
  <c r="D353" i="148"/>
  <c r="F353" i="148"/>
  <c r="I353" i="148"/>
  <c r="K353" i="148"/>
  <c r="G353" i="148"/>
  <c r="H353" i="148"/>
  <c r="J353" i="148"/>
  <c r="D354" i="148"/>
  <c r="F354" i="148"/>
  <c r="I354" i="148"/>
  <c r="K354" i="148"/>
  <c r="G354" i="148"/>
  <c r="H354" i="148"/>
  <c r="J354" i="148"/>
  <c r="D355" i="148"/>
  <c r="I355" i="148"/>
  <c r="K355" i="148"/>
  <c r="F355" i="148"/>
  <c r="G355" i="148"/>
  <c r="H355" i="148"/>
  <c r="J355" i="148"/>
  <c r="D356" i="148"/>
  <c r="I356" i="148"/>
  <c r="K356" i="148"/>
  <c r="F356" i="148"/>
  <c r="G356" i="148"/>
  <c r="H356" i="148"/>
  <c r="J356" i="148"/>
  <c r="D357" i="148"/>
  <c r="F357" i="148"/>
  <c r="I357" i="148"/>
  <c r="K357" i="148"/>
  <c r="G357" i="148"/>
  <c r="H357" i="148"/>
  <c r="J357" i="148"/>
  <c r="D358" i="148"/>
  <c r="I358" i="148"/>
  <c r="K358" i="148"/>
  <c r="F358" i="148"/>
  <c r="G358" i="148"/>
  <c r="H358" i="148"/>
  <c r="J358" i="148"/>
  <c r="D359" i="148"/>
  <c r="F359" i="148"/>
  <c r="I359" i="148"/>
  <c r="K359" i="148"/>
  <c r="G359" i="148"/>
  <c r="H359" i="148"/>
  <c r="J359" i="148"/>
  <c r="D360" i="148"/>
  <c r="F360" i="148"/>
  <c r="I360" i="148"/>
  <c r="K360" i="148"/>
  <c r="G360" i="148"/>
  <c r="H360" i="148"/>
  <c r="J360" i="148"/>
  <c r="D361" i="148"/>
  <c r="F361" i="148"/>
  <c r="I361" i="148"/>
  <c r="K361" i="148"/>
  <c r="G361" i="148"/>
  <c r="H361" i="148"/>
  <c r="J361" i="148"/>
  <c r="D362" i="148"/>
  <c r="I362" i="148"/>
  <c r="K362" i="148"/>
  <c r="F362" i="148"/>
  <c r="G362" i="148"/>
  <c r="H362" i="148"/>
  <c r="J362" i="148"/>
  <c r="D363" i="148"/>
  <c r="I363" i="148"/>
  <c r="K363" i="148"/>
  <c r="F363" i="148"/>
  <c r="G363" i="148"/>
  <c r="H363" i="148"/>
  <c r="J363" i="148"/>
  <c r="D364" i="148"/>
  <c r="I364" i="148"/>
  <c r="K364" i="148"/>
  <c r="F364" i="148"/>
  <c r="G364" i="148"/>
  <c r="H364" i="148"/>
  <c r="J364" i="148"/>
  <c r="D365" i="148"/>
  <c r="I365" i="148"/>
  <c r="K365" i="148"/>
  <c r="F365" i="148"/>
  <c r="G365" i="148"/>
  <c r="H365" i="148"/>
  <c r="J365" i="148"/>
  <c r="D366" i="148"/>
  <c r="F366" i="148"/>
  <c r="I366" i="148"/>
  <c r="K366" i="148"/>
  <c r="G366" i="148"/>
  <c r="H366" i="148"/>
  <c r="J366" i="148"/>
  <c r="D367" i="148"/>
  <c r="F367" i="148"/>
  <c r="I367" i="148"/>
  <c r="K367" i="148"/>
  <c r="G367" i="148"/>
  <c r="H367" i="148"/>
  <c r="J367" i="148"/>
  <c r="D368" i="148"/>
  <c r="I368" i="148"/>
  <c r="K368" i="148"/>
  <c r="F368" i="148"/>
  <c r="G368" i="148"/>
  <c r="H368" i="148"/>
  <c r="J368" i="148"/>
  <c r="D369" i="148"/>
  <c r="F369" i="148"/>
  <c r="I369" i="148"/>
  <c r="K369" i="148"/>
  <c r="G369" i="148"/>
  <c r="H369" i="148"/>
  <c r="J369" i="148"/>
  <c r="D370" i="148"/>
  <c r="F370" i="148"/>
  <c r="I370" i="148"/>
  <c r="K370" i="148"/>
  <c r="I7" i="148"/>
  <c r="G370" i="148"/>
  <c r="H370" i="148"/>
  <c r="J370" i="148"/>
  <c r="I4" i="148"/>
  <c r="I5" i="148"/>
  <c r="I6" i="148"/>
  <c r="CM11" i="52"/>
  <c r="P7" i="162"/>
  <c r="CM28" i="52"/>
  <c r="CN12" i="52"/>
  <c r="CM10" i="52"/>
  <c r="CM157" i="52"/>
  <c r="CN11" i="52"/>
  <c r="P8" i="162"/>
  <c r="CN19" i="52"/>
  <c r="P14" i="162"/>
  <c r="P15" i="162"/>
  <c r="CN157" i="52"/>
  <c r="CM159" i="52"/>
  <c r="J170" i="141"/>
  <c r="J210" i="141"/>
  <c r="J157" i="141"/>
  <c r="J207" i="141"/>
  <c r="J205" i="141"/>
  <c r="J204" i="141"/>
  <c r="J203" i="141"/>
  <c r="J202" i="141"/>
  <c r="J201" i="141"/>
  <c r="J187" i="141"/>
  <c r="J188" i="141"/>
  <c r="J183" i="141"/>
  <c r="J184" i="141"/>
  <c r="J182" i="141"/>
  <c r="J181" i="141"/>
  <c r="J208" i="141"/>
  <c r="J199" i="141"/>
  <c r="J179" i="141"/>
  <c r="J185" i="141"/>
  <c r="J227" i="141"/>
  <c r="J228" i="141"/>
  <c r="CR25" i="52" l="1"/>
  <c r="CR24" i="52"/>
  <c r="CR21" i="52"/>
  <c r="CR20" i="52"/>
  <c r="CR19" i="52"/>
  <c r="CR16" i="52"/>
  <c r="CR15" i="52"/>
  <c r="CR14" i="52"/>
  <c r="E23" i="162"/>
  <c r="E28" i="162"/>
  <c r="CR17" i="52"/>
  <c r="CR22" i="52"/>
  <c r="CQ26" i="52"/>
  <c r="CR12" i="52"/>
  <c r="CR11" i="52"/>
  <c r="CQ27" i="52"/>
  <c r="CR13" i="52"/>
  <c r="CN27" i="50"/>
  <c r="CN25" i="50"/>
  <c r="CN19" i="50"/>
  <c r="CN18" i="50"/>
  <c r="CN21" i="50"/>
  <c r="CN22" i="50"/>
  <c r="CN26" i="50"/>
  <c r="CN16" i="50"/>
  <c r="CN24" i="50"/>
  <c r="CN28" i="50"/>
  <c r="CN23" i="50"/>
  <c r="CN20" i="50"/>
  <c r="E22" i="162"/>
  <c r="S186" i="141"/>
  <c r="T186" i="141" s="1"/>
  <c r="E29" i="162"/>
  <c r="E30" i="162" s="1"/>
  <c r="CR142" i="50"/>
  <c r="CQ144" i="50" s="1"/>
  <c r="S170" i="141"/>
  <c r="V170" i="141"/>
  <c r="N150" i="141"/>
  <c r="N151" i="141" s="1"/>
  <c r="L83" i="141"/>
  <c r="L80" i="141" s="1"/>
  <c r="L150" i="141" s="1"/>
  <c r="L151" i="141" s="1"/>
  <c r="M83" i="141"/>
  <c r="M80" i="141" s="1"/>
  <c r="M150" i="141" s="1"/>
  <c r="M151" i="141" s="1"/>
  <c r="J83" i="141"/>
  <c r="J80" i="141" s="1"/>
  <c r="J150" i="141" s="1"/>
  <c r="J151" i="141" s="1"/>
  <c r="K83" i="141"/>
  <c r="K80" i="141" s="1"/>
  <c r="K150" i="141" s="1"/>
  <c r="K151" i="141" s="1"/>
  <c r="H83" i="141"/>
  <c r="H80" i="141" s="1"/>
  <c r="H150" i="141" s="1"/>
  <c r="H151" i="141" s="1"/>
  <c r="I83" i="141"/>
  <c r="I80" i="141" s="1"/>
  <c r="I150" i="141" s="1"/>
  <c r="I151" i="141" s="1"/>
  <c r="F83" i="141"/>
  <c r="F80" i="141" s="1"/>
  <c r="F150" i="141" s="1"/>
  <c r="F151" i="141" s="1"/>
  <c r="G83" i="141"/>
  <c r="G80" i="141" s="1"/>
  <c r="G150" i="141" s="1"/>
  <c r="G151" i="141" s="1"/>
  <c r="D83" i="141"/>
  <c r="D80" i="141" s="1"/>
  <c r="D150" i="141" s="1"/>
  <c r="D151" i="141" s="1"/>
  <c r="E83" i="141"/>
  <c r="E80" i="141" s="1"/>
  <c r="E150" i="141" s="1"/>
  <c r="E151" i="141" s="1"/>
  <c r="W64" i="60"/>
  <c r="W62" i="60"/>
  <c r="W61" i="60"/>
  <c r="V56" i="60"/>
  <c r="W56" i="60"/>
  <c r="X56" i="60"/>
  <c r="C160" i="141"/>
  <c r="C83" i="141"/>
  <c r="M14" i="162"/>
  <c r="S187" i="141" s="1"/>
  <c r="T187" i="141" s="1"/>
  <c r="N300" i="141"/>
  <c r="N296" i="141"/>
  <c r="CN142" i="50" l="1"/>
  <c r="CM144" i="50" s="1"/>
  <c r="H170" i="141"/>
  <c r="G211" i="141"/>
  <c r="G210" i="141"/>
  <c r="H211" i="141"/>
  <c r="H210" i="141"/>
  <c r="H208" i="141" s="1"/>
  <c r="H207" i="141"/>
  <c r="O207" i="141" s="1"/>
  <c r="P207" i="141" s="1"/>
  <c r="H205" i="141"/>
  <c r="O205" i="141" s="1"/>
  <c r="P205" i="141" s="1"/>
  <c r="H204" i="141"/>
  <c r="O204" i="141" s="1"/>
  <c r="P204" i="141" s="1"/>
  <c r="H203" i="141"/>
  <c r="O203" i="141" s="1"/>
  <c r="P203" i="141" s="1"/>
  <c r="H202" i="141"/>
  <c r="O202" i="141" s="1"/>
  <c r="P202" i="141" s="1"/>
  <c r="H201" i="141"/>
  <c r="H184" i="141"/>
  <c r="O184" i="141" s="1"/>
  <c r="P184" i="141" s="1"/>
  <c r="H183" i="141"/>
  <c r="O183" i="141" s="1"/>
  <c r="P183" i="141" s="1"/>
  <c r="H182" i="141"/>
  <c r="O182" i="141" s="1"/>
  <c r="P182" i="141" s="1"/>
  <c r="H181" i="141"/>
  <c r="H188" i="141"/>
  <c r="O188" i="141" s="1"/>
  <c r="P188" i="141" s="1"/>
  <c r="H187" i="141"/>
  <c r="O83" i="141"/>
  <c r="C80" i="141"/>
  <c r="C150" i="141" s="1"/>
  <c r="W65" i="60"/>
  <c r="W87" i="60"/>
  <c r="W117" i="60"/>
  <c r="W130" i="60" s="1"/>
  <c r="W131" i="60"/>
  <c r="W109" i="60"/>
  <c r="W110" i="60" s="1"/>
  <c r="W66" i="60"/>
  <c r="W129" i="60"/>
  <c r="C159" i="141"/>
  <c r="O160" i="141"/>
  <c r="P160" i="141" s="1"/>
  <c r="N293" i="141"/>
  <c r="N312" i="141" s="1"/>
  <c r="O296" i="141"/>
  <c r="N297" i="141"/>
  <c r="O300" i="141"/>
  <c r="M15" i="162"/>
  <c r="D29" i="162"/>
  <c r="D30" i="162" s="1"/>
  <c r="H185" i="141" l="1"/>
  <c r="O187" i="141"/>
  <c r="H179" i="141"/>
  <c r="O181" i="141"/>
  <c r="H199" i="141"/>
  <c r="O201" i="141"/>
  <c r="G208" i="141"/>
  <c r="G227" i="141" s="1"/>
  <c r="G228" i="141" s="1"/>
  <c r="O210" i="141"/>
  <c r="O211" i="141"/>
  <c r="P211" i="141" s="1"/>
  <c r="H157" i="141"/>
  <c r="H227" i="141" s="1"/>
  <c r="H228" i="141" s="1"/>
  <c r="O170" i="141"/>
  <c r="P170" i="141" s="1"/>
  <c r="P83" i="141"/>
  <c r="O80" i="141"/>
  <c r="O150" i="141"/>
  <c r="C151" i="141"/>
  <c r="C157" i="141"/>
  <c r="O159" i="141"/>
  <c r="O297" i="141"/>
  <c r="P297" i="141" s="1"/>
  <c r="P300" i="141"/>
  <c r="O293" i="141"/>
  <c r="P293" i="141" s="1"/>
  <c r="P296" i="141"/>
  <c r="W13" i="18"/>
  <c r="N313" i="141"/>
  <c r="O312" i="141"/>
  <c r="P210" i="141" l="1"/>
  <c r="O208" i="141"/>
  <c r="O199" i="141"/>
  <c r="P201" i="141"/>
  <c r="P181" i="141"/>
  <c r="O179" i="141"/>
  <c r="P187" i="141"/>
  <c r="O185" i="141"/>
  <c r="C227" i="141"/>
  <c r="P80" i="141"/>
  <c r="R81" i="141"/>
  <c r="P150" i="141"/>
  <c r="O151" i="141"/>
  <c r="P159" i="141"/>
  <c r="O157" i="141"/>
  <c r="C228" i="141"/>
  <c r="O227" i="141"/>
  <c r="O313" i="141"/>
  <c r="P312" i="141"/>
  <c r="W14" i="18"/>
  <c r="W15" i="18"/>
  <c r="S162" i="141" l="1"/>
  <c r="P185" i="141"/>
  <c r="S161" i="141"/>
  <c r="P179" i="141"/>
  <c r="S164" i="141"/>
  <c r="P199" i="141"/>
  <c r="S165" i="141"/>
  <c r="P208" i="141"/>
  <c r="S159" i="141"/>
  <c r="S168" i="141" s="1"/>
  <c r="S172" i="141"/>
  <c r="S174" i="141" s="1"/>
  <c r="P157" i="141"/>
  <c r="Q157" i="141"/>
  <c r="O228" i="141"/>
  <c r="P227" i="141"/>
  <c r="W17" i="18"/>
  <c r="W30" i="18"/>
  <c r="A6" i="163" l="1" a="1"/>
  <c r="A6" i="163" s="1"/>
  <c r="W19" i="18"/>
  <c r="W21" i="18" s="1"/>
  <c r="W25" i="18"/>
  <c r="U424" i="141"/>
  <c r="S424" i="141"/>
  <c r="S425" i="141" s="1"/>
  <c r="U426" i="141"/>
  <c r="F3" i="148"/>
  <c r="F2" i="1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R20" authorId="0" shapeId="0" xr:uid="{D5462485-B0BC-7C4E-9588-E5D8B39B5D32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778.33/month for 60 months - Maintenance 97/month for 60 months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Maintenance 97/month for 60 months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21" authorId="0" shapeId="0" xr:uid="{00000000-0006-0000-0700-000001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96" authorId="0" shapeId="0" xr:uid="{00000000-0006-0000-0700-000002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73" authorId="0" shapeId="0" xr:uid="{00000000-0006-0000-0700-000003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250" authorId="0" shapeId="0" xr:uid="{00000000-0006-0000-0700-000004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334" authorId="0" shapeId="0" xr:uid="{00000000-0006-0000-0700-000005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419" authorId="0" shapeId="0" xr:uid="{00000000-0006-0000-0700-000006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778.33/month for 60 months - Maintenance 97/month for 60 months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Maintenance 97/month for 60 months</t>
        </r>
      </text>
    </comment>
    <comment ref="O496" authorId="0" shapeId="0" xr:uid="{00000000-0006-0000-0700-000007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572" authorId="0" shapeId="0" xr:uid="{00000000-0006-0000-0700-000008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778.33/month for 60 months - Maintenance 97/month for 60 months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Maintenance 97/month for 60 months</t>
        </r>
      </text>
    </comment>
    <comment ref="O649" authorId="0" shapeId="0" xr:uid="{00000000-0006-0000-0700-000009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726" authorId="0" shapeId="0" xr:uid="{00000000-0006-0000-0700-00000A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803" authorId="0" shapeId="0" xr:uid="{00000000-0006-0000-0700-00000B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880" authorId="0" shapeId="0" xr:uid="{00000000-0006-0000-0700-00000C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956" authorId="0" shapeId="0" xr:uid="{00000000-0006-0000-0700-00000D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033" authorId="0" shapeId="0" xr:uid="{00000000-0006-0000-0700-00000E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110" authorId="0" shapeId="0" xr:uid="{00000000-0006-0000-0700-00000F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187" authorId="0" shapeId="0" xr:uid="{00000000-0006-0000-0700-000010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265" authorId="0" shapeId="0" xr:uid="{00000000-0006-0000-0700-000011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342" authorId="0" shapeId="0" xr:uid="{00000000-0006-0000-0700-000012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419" authorId="0" shapeId="0" xr:uid="{00000000-0006-0000-0700-000013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496" authorId="0" shapeId="0" xr:uid="{00000000-0006-0000-0700-000014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574" authorId="0" shapeId="0" xr:uid="{00000000-0006-0000-0700-000015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652" authorId="0" shapeId="0" xr:uid="{00000000-0006-0000-0700-000016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730" authorId="0" shapeId="0" xr:uid="{00000000-0006-0000-0700-000017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  <comment ref="O1807" authorId="0" shapeId="0" xr:uid="{00000000-0006-0000-0700-000018000000}">
      <text>
        <r>
          <rPr>
            <b/>
            <sz val="10"/>
            <color indexed="81"/>
            <rFont val="Calibri"/>
            <family val="2"/>
          </rPr>
          <t>Microsoft Office User:</t>
        </r>
        <r>
          <rPr>
            <sz val="10"/>
            <color indexed="81"/>
            <rFont val="Calibri"/>
            <family val="2"/>
          </rPr>
          <t xml:space="preserve">
778.33/month for 60 months - Maintenance 97/month for 60 months
Maintenance 97/month for 60 months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Monthly_A156_P228_df=xl(%P2%, headers=True)</code>
    </pythonScript>
  </pythonScripts>
</python>
</file>

<file path=xl/sharedStrings.xml><?xml version="1.0" encoding="utf-8"?>
<sst xmlns="http://schemas.openxmlformats.org/spreadsheetml/2006/main" count="30914" uniqueCount="11906">
  <si>
    <t>Category</t>
  </si>
  <si>
    <t>Dec'02</t>
  </si>
  <si>
    <t>Dec '03</t>
  </si>
  <si>
    <t>Dec'04</t>
  </si>
  <si>
    <t>Dec'05</t>
  </si>
  <si>
    <t>Dec'06</t>
  </si>
  <si>
    <t>Dec'07</t>
  </si>
  <si>
    <t>Dec'08</t>
  </si>
  <si>
    <t>Dec'09</t>
  </si>
  <si>
    <t>Dec '10</t>
  </si>
  <si>
    <t>Dec'11</t>
  </si>
  <si>
    <t>Dec'12</t>
  </si>
  <si>
    <t>Dec'13</t>
  </si>
  <si>
    <t>Dec'14</t>
  </si>
  <si>
    <t>Dec'15</t>
  </si>
  <si>
    <t>Dec'16</t>
  </si>
  <si>
    <t>Dec'17</t>
  </si>
  <si>
    <t>Dec'18</t>
  </si>
  <si>
    <t>Dec'19</t>
  </si>
  <si>
    <t>Dec'20</t>
  </si>
  <si>
    <t>Dec'21</t>
  </si>
  <si>
    <t>Dec'22</t>
  </si>
  <si>
    <t>Dec'23</t>
  </si>
  <si>
    <t>Dec'24</t>
  </si>
  <si>
    <t>DDec'25</t>
  </si>
  <si>
    <t>Dec'30</t>
  </si>
  <si>
    <t>Comp NE'15</t>
  </si>
  <si>
    <t>Decade</t>
  </si>
  <si>
    <t>Yrly Avg/Dec</t>
  </si>
  <si>
    <t>Year</t>
  </si>
  <si>
    <t>Cash Assets</t>
  </si>
  <si>
    <t xml:space="preserve">                        Savings</t>
  </si>
  <si>
    <t xml:space="preserve">                        Checking</t>
  </si>
  <si>
    <t>Investment Accounts</t>
  </si>
  <si>
    <t xml:space="preserve">                       SPP/SOP - S</t>
  </si>
  <si>
    <t>SRP</t>
  </si>
  <si>
    <t xml:space="preserve">                       SPP/SOP - R</t>
  </si>
  <si>
    <t>-</t>
  </si>
  <si>
    <t xml:space="preserve">                       Vanguard</t>
  </si>
  <si>
    <t>401K</t>
  </si>
  <si>
    <t xml:space="preserve">                       Fidelity</t>
  </si>
  <si>
    <t xml:space="preserve">                       Funds/Stocks</t>
  </si>
  <si>
    <t>EMC</t>
  </si>
  <si>
    <t xml:space="preserve">                       529 Plan</t>
  </si>
  <si>
    <t>Scality</t>
  </si>
  <si>
    <t xml:space="preserve">                       T-Bills/Bonds</t>
  </si>
  <si>
    <t>Retirement Accounts</t>
  </si>
  <si>
    <t>After Tax</t>
  </si>
  <si>
    <t xml:space="preserve">                        401K  -R</t>
  </si>
  <si>
    <t xml:space="preserve">                        401K  -S</t>
  </si>
  <si>
    <t xml:space="preserve">                        Trad + Roth IRA - R</t>
  </si>
  <si>
    <t xml:space="preserve">                        Trad + Roth IRA -S</t>
  </si>
  <si>
    <t>Net Worth</t>
  </si>
  <si>
    <t xml:space="preserve">                       NR Assets</t>
  </si>
  <si>
    <t xml:space="preserve">                       Net Assets</t>
  </si>
  <si>
    <t xml:space="preserve">                       Debt</t>
  </si>
  <si>
    <t>Home</t>
  </si>
  <si>
    <t xml:space="preserve">                       Home Ownership</t>
  </si>
  <si>
    <t xml:space="preserve">                       Home Equity</t>
  </si>
  <si>
    <t xml:space="preserve">                       YoY Change</t>
  </si>
  <si>
    <t xml:space="preserve">          ---</t>
  </si>
  <si>
    <t xml:space="preserve">         ---</t>
  </si>
  <si>
    <t xml:space="preserve">         ----</t>
  </si>
  <si>
    <t>Mortgage</t>
  </si>
  <si>
    <t xml:space="preserve">                      YoY Change</t>
  </si>
  <si>
    <t>Mortgage 1</t>
  </si>
  <si>
    <t>Mortgage 2</t>
  </si>
  <si>
    <t>Net Worth ****</t>
  </si>
  <si>
    <t>YoY   Change</t>
  </si>
  <si>
    <t>YoY   Change (%)</t>
  </si>
  <si>
    <t xml:space="preserve">            ---</t>
  </si>
  <si>
    <t>Income</t>
  </si>
  <si>
    <t>Income R</t>
  </si>
  <si>
    <t>YoY</t>
  </si>
  <si>
    <t>CAGR</t>
  </si>
  <si>
    <t>Income  S</t>
  </si>
  <si>
    <t>Interest Income</t>
  </si>
  <si>
    <t>YoY Change</t>
  </si>
  <si>
    <t>Dividend Income</t>
  </si>
  <si>
    <t>Real. Investment Gains</t>
  </si>
  <si>
    <t>Inc (Div,Int,Gains)</t>
  </si>
  <si>
    <t>Other Income</t>
  </si>
  <si>
    <t>R</t>
  </si>
  <si>
    <t>S</t>
  </si>
  <si>
    <t>RSUs - RDP</t>
  </si>
  <si>
    <t>RSUs - SRP</t>
  </si>
  <si>
    <t>Total RSU Income</t>
  </si>
  <si>
    <t>Income from Earnings</t>
  </si>
  <si>
    <t>YoY  Change</t>
  </si>
  <si>
    <t xml:space="preserve">           ---- </t>
  </si>
  <si>
    <t xml:space="preserve">CAGR      </t>
  </si>
  <si>
    <t>---</t>
  </si>
  <si>
    <t>Other Income (Relo)</t>
  </si>
  <si>
    <t>Total Income</t>
  </si>
  <si>
    <t xml:space="preserve">CAGR </t>
  </si>
  <si>
    <t>Taxes - W2</t>
  </si>
  <si>
    <t xml:space="preserve">                      Fed Taxes    R</t>
  </si>
  <si>
    <t xml:space="preserve">                      Fed Taxes    S</t>
  </si>
  <si>
    <t xml:space="preserve">                      State Taxes  R</t>
  </si>
  <si>
    <t xml:space="preserve">                      State Taxes  S</t>
  </si>
  <si>
    <t xml:space="preserve">                      SSN              R</t>
  </si>
  <si>
    <t xml:space="preserve">                      SSN              S</t>
  </si>
  <si>
    <t xml:space="preserve">                      Medicare      R</t>
  </si>
  <si>
    <t xml:space="preserve">                      Medicare      S</t>
  </si>
  <si>
    <t>Taxes - Actual</t>
  </si>
  <si>
    <t>Additional Taxes (Medicare)</t>
  </si>
  <si>
    <t xml:space="preserve">                      Fed Taxes</t>
  </si>
  <si>
    <t xml:space="preserve">                      State Taxes</t>
  </si>
  <si>
    <t xml:space="preserve">                      Refund Fed</t>
  </si>
  <si>
    <t xml:space="preserve">                      Refund State</t>
  </si>
  <si>
    <t>Taxable income</t>
  </si>
  <si>
    <t>Total Taxes</t>
  </si>
  <si>
    <t>Effective Tax Rate</t>
  </si>
  <si>
    <t>Effective Tax Rate on Earnings</t>
  </si>
  <si>
    <t>Earned Income After Taxes</t>
  </si>
  <si>
    <t>Non-Operating Expenses</t>
  </si>
  <si>
    <t xml:space="preserve">           ---</t>
  </si>
  <si>
    <t xml:space="preserve">        R           Group Term Life</t>
  </si>
  <si>
    <t xml:space="preserve">                     Healthcare</t>
  </si>
  <si>
    <t xml:space="preserve">                     Voluntary AD&amp;D</t>
  </si>
  <si>
    <t xml:space="preserve">                     D/V/H: VSP</t>
  </si>
  <si>
    <t xml:space="preserve">                     ARAG</t>
  </si>
  <si>
    <t xml:space="preserve">                     LTD Plus Buy Up</t>
  </si>
  <si>
    <t xml:space="preserve">                     STD Plus Buy Up</t>
  </si>
  <si>
    <t xml:space="preserve">                     HC-FSA </t>
  </si>
  <si>
    <t xml:space="preserve">        S           Group Term Life</t>
  </si>
  <si>
    <t xml:space="preserve">                     Vision</t>
  </si>
  <si>
    <t xml:space="preserve">                     Legal/ARAG</t>
  </si>
  <si>
    <t>Base</t>
  </si>
  <si>
    <t>Variable</t>
  </si>
  <si>
    <t>OTE</t>
  </si>
  <si>
    <t>2022 Increase</t>
  </si>
  <si>
    <t>RSU Value</t>
  </si>
  <si>
    <t>Annual</t>
  </si>
  <si>
    <t>OTE Inc</t>
  </si>
  <si>
    <t>Income NET</t>
  </si>
  <si>
    <t>RSU Grant</t>
  </si>
  <si>
    <t>Stock Price</t>
  </si>
  <si>
    <t>Expenses</t>
  </si>
  <si>
    <t>RSU : Number</t>
  </si>
  <si>
    <t xml:space="preserve">                     Expenses</t>
  </si>
  <si>
    <t xml:space="preserve">                     Percent of Income</t>
  </si>
  <si>
    <t xml:space="preserve">                     YoY</t>
  </si>
  <si>
    <t>Savings</t>
  </si>
  <si>
    <t xml:space="preserve">                     Net Income</t>
  </si>
  <si>
    <t xml:space="preserve">Material Assets </t>
  </si>
  <si>
    <t xml:space="preserve">                     Audi (A4) 2001</t>
  </si>
  <si>
    <t xml:space="preserve">                     Nissan (Altima) 2002</t>
  </si>
  <si>
    <t xml:space="preserve">                     Nissan Altima 2010</t>
  </si>
  <si>
    <t xml:space="preserve">                     Merc ML350 2014</t>
  </si>
  <si>
    <t xml:space="preserve">                     Misc</t>
  </si>
  <si>
    <t>Net Worth (incl Cars)</t>
  </si>
  <si>
    <t>YoY % Change</t>
  </si>
  <si>
    <t>Ratios</t>
  </si>
  <si>
    <t>CIR  (Net Assets: Income)</t>
  </si>
  <si>
    <t>Savings Ratio</t>
  </si>
  <si>
    <t>MIR (Mortgage to Income)</t>
  </si>
  <si>
    <t>Current Savings Rate</t>
  </si>
  <si>
    <t>%Housing/Gross Income</t>
  </si>
  <si>
    <t>Retirement Ratio (Goal 7X Inc)</t>
  </si>
  <si>
    <t>Legend:</t>
  </si>
  <si>
    <t>CIR</t>
  </si>
  <si>
    <t>SR</t>
  </si>
  <si>
    <t>MIR</t>
  </si>
  <si>
    <t>25 years old -- CIR: 0.1</t>
  </si>
  <si>
    <t>25 years old -- 12%</t>
  </si>
  <si>
    <t>25 years old -- MIR: 2.0</t>
  </si>
  <si>
    <t>30 years old -- CIR: 0.6</t>
  </si>
  <si>
    <t>30 years old -- 12%</t>
  </si>
  <si>
    <t>30 years old -- MIR: 2.0</t>
  </si>
  <si>
    <t>35 years old -- CIR: 1.4</t>
  </si>
  <si>
    <t>35 years old -- 12%</t>
  </si>
  <si>
    <t>35 years old -- MIR: 1.9</t>
  </si>
  <si>
    <t>40 years old -- CIR: 2.4</t>
  </si>
  <si>
    <t>40 years old -- 12%</t>
  </si>
  <si>
    <t>40 years old -- MIR: 1.8</t>
  </si>
  <si>
    <t>45 years old -- CIR: 3.7</t>
  </si>
  <si>
    <t>45 years old -- 15%</t>
  </si>
  <si>
    <t>45 years old -- MIR: 1.7</t>
  </si>
  <si>
    <t>50 years old -- CIR: 5.2</t>
  </si>
  <si>
    <t>50 years old -- 15%</t>
  </si>
  <si>
    <t>50 years old -- MIR: 1.5</t>
  </si>
  <si>
    <t>55 years old -- CIR: 7.1</t>
  </si>
  <si>
    <t>55 years old -- 15%</t>
  </si>
  <si>
    <t>55 years old -- MIR: 1.2</t>
  </si>
  <si>
    <t>60 years old -- CIR: 9.4</t>
  </si>
  <si>
    <t>60 years old -- 15%</t>
  </si>
  <si>
    <t>60 years old -- MIR: 0.7</t>
  </si>
  <si>
    <t>65 years old -- CIR: 12.0</t>
  </si>
  <si>
    <t>65 years old -- 15%</t>
  </si>
  <si>
    <t>65 years old -- MIR: 0.0</t>
  </si>
  <si>
    <t>Age</t>
  </si>
  <si>
    <t>Ratio</t>
  </si>
  <si>
    <t>Retirement</t>
  </si>
  <si>
    <t>.5X</t>
  </si>
  <si>
    <t>1X</t>
  </si>
  <si>
    <t>2X</t>
  </si>
  <si>
    <t>3X</t>
  </si>
  <si>
    <t>4X</t>
  </si>
  <si>
    <t>5X</t>
  </si>
  <si>
    <t>6X</t>
  </si>
  <si>
    <t>7X</t>
  </si>
  <si>
    <t>Vest Schedules</t>
  </si>
  <si>
    <t>Exercise Price</t>
  </si>
  <si>
    <t xml:space="preserve">Currrent Price </t>
  </si>
  <si>
    <t>Awardee ID</t>
  </si>
  <si>
    <t>Last Name</t>
  </si>
  <si>
    <t>First Name</t>
  </si>
  <si>
    <t>Award ID</t>
  </si>
  <si>
    <t>Award Date</t>
  </si>
  <si>
    <t>Award Type</t>
  </si>
  <si>
    <t>Award Price</t>
  </si>
  <si>
    <t>Vest Date</t>
  </si>
  <si>
    <t>Vest Shares</t>
  </si>
  <si>
    <t>Gross</t>
  </si>
  <si>
    <t>After Taxes</t>
  </si>
  <si>
    <t>Remaining</t>
  </si>
  <si>
    <t>Data</t>
  </si>
  <si>
    <t xml:space="preserve">Gross </t>
  </si>
  <si>
    <t>1378869</t>
  </si>
  <si>
    <t>Pradhan</t>
  </si>
  <si>
    <t>Shivani</t>
  </si>
  <si>
    <t>0000002405317</t>
  </si>
  <si>
    <t>09/16/2019</t>
  </si>
  <si>
    <t>On-Hire</t>
  </si>
  <si>
    <t>09/16/2020</t>
  </si>
  <si>
    <t>12/16/2020</t>
  </si>
  <si>
    <t>03/16/2021</t>
  </si>
  <si>
    <t>06/16/2021</t>
  </si>
  <si>
    <t>09/16/2021</t>
  </si>
  <si>
    <t>12/16/2021</t>
  </si>
  <si>
    <t>03/16/2022</t>
  </si>
  <si>
    <t>06/16/2022</t>
  </si>
  <si>
    <t>09/16/2022</t>
  </si>
  <si>
    <t>12/16/2022</t>
  </si>
  <si>
    <t>03/16/2023</t>
  </si>
  <si>
    <t>06/16/2023</t>
  </si>
  <si>
    <t>09/16/2023</t>
  </si>
  <si>
    <t>Balance</t>
  </si>
  <si>
    <t>Curr</t>
  </si>
  <si>
    <t>New</t>
  </si>
  <si>
    <t>Delta</t>
  </si>
  <si>
    <t>%</t>
  </si>
  <si>
    <t>Var</t>
  </si>
  <si>
    <t>Total</t>
  </si>
  <si>
    <t>RDP</t>
  </si>
  <si>
    <t>HH</t>
  </si>
  <si>
    <t>CitiNRI</t>
  </si>
  <si>
    <t>31/3/22</t>
  </si>
  <si>
    <t>30/6/22</t>
  </si>
  <si>
    <t>31/12/22</t>
  </si>
  <si>
    <t xml:space="preserve">    Income Statement</t>
  </si>
  <si>
    <t>2019E</t>
  </si>
  <si>
    <t xml:space="preserve">     Earnings</t>
  </si>
  <si>
    <t xml:space="preserve">     Expenses</t>
  </si>
  <si>
    <t xml:space="preserve">     Gross Income</t>
  </si>
  <si>
    <t xml:space="preserve">     Taxes</t>
  </si>
  <si>
    <t xml:space="preserve">    Income after taxes</t>
  </si>
  <si>
    <t xml:space="preserve">    Non-Operating Expenses</t>
  </si>
  <si>
    <t xml:space="preserve">    Income </t>
  </si>
  <si>
    <t xml:space="preserve">    Other Income  (Div/ Interest)</t>
  </si>
  <si>
    <t xml:space="preserve">    Non Operating Income</t>
  </si>
  <si>
    <t xml:space="preserve">    Net Income</t>
  </si>
  <si>
    <t xml:space="preserve">    Net Profit Margin</t>
  </si>
  <si>
    <t xml:space="preserve">    Actual Increase in assets</t>
  </si>
  <si>
    <t>2016 E</t>
  </si>
  <si>
    <t>2017 E</t>
  </si>
  <si>
    <t>2018 E</t>
  </si>
  <si>
    <t>2019 E</t>
  </si>
  <si>
    <t>2020 E</t>
  </si>
  <si>
    <t>2021 E</t>
  </si>
  <si>
    <t>2022 E</t>
  </si>
  <si>
    <t>2023 E</t>
  </si>
  <si>
    <t>2024 E</t>
  </si>
  <si>
    <t>2025 E</t>
  </si>
  <si>
    <t xml:space="preserve">Housing </t>
  </si>
  <si>
    <t>Car</t>
  </si>
  <si>
    <t>Transportation</t>
  </si>
  <si>
    <t>Food</t>
  </si>
  <si>
    <t>Utilities</t>
  </si>
  <si>
    <t>Misc</t>
  </si>
  <si>
    <t>Trips  (EET)</t>
  </si>
  <si>
    <t>School</t>
  </si>
  <si>
    <t>Day Care/ Extra Classes</t>
  </si>
  <si>
    <t>Medical</t>
  </si>
  <si>
    <t>Non Opex</t>
  </si>
  <si>
    <t>India</t>
  </si>
  <si>
    <t>Taxes</t>
  </si>
  <si>
    <t>Total Expenses</t>
  </si>
  <si>
    <t xml:space="preserve">Household Income </t>
  </si>
  <si>
    <t xml:space="preserve">Investments </t>
  </si>
  <si>
    <t>529 Plan</t>
  </si>
  <si>
    <t xml:space="preserve">Savings </t>
  </si>
  <si>
    <t>COLA</t>
  </si>
  <si>
    <t>Tax Rate</t>
  </si>
  <si>
    <t>Inflation</t>
  </si>
  <si>
    <t xml:space="preserve">Monthly </t>
  </si>
  <si>
    <t>Investments /yr contr growth</t>
  </si>
  <si>
    <t>Avg Income Growth</t>
  </si>
  <si>
    <t>OTE - 2017</t>
  </si>
  <si>
    <t>800/PM</t>
  </si>
  <si>
    <t>OTE 2019</t>
  </si>
  <si>
    <t>600/PM</t>
  </si>
  <si>
    <t xml:space="preserve">AMSA </t>
  </si>
  <si>
    <t>Avg</t>
  </si>
  <si>
    <t>Trends</t>
  </si>
  <si>
    <t>Median</t>
  </si>
  <si>
    <t>Max</t>
  </si>
  <si>
    <t>Min</t>
  </si>
  <si>
    <t>Jan</t>
  </si>
  <si>
    <t>NA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</si>
  <si>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</si>
  <si>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</si>
  <si>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</si>
  <si>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</si>
  <si>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</si>
  <si>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</si>
  <si>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</si>
  <si>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</si>
  <si>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</si>
  <si>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</si>
  <si>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</si>
  <si>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Avg Exp.</t>
  </si>
  <si>
    <t xml:space="preserve">    Expenses</t>
  </si>
  <si>
    <t>IPM</t>
  </si>
  <si>
    <t>EPD</t>
  </si>
  <si>
    <t>IPD</t>
  </si>
  <si>
    <t>EPH</t>
  </si>
  <si>
    <t>IPH</t>
  </si>
  <si>
    <t>Net Income</t>
  </si>
  <si>
    <t>% Savings</t>
  </si>
  <si>
    <t>ExpTaxes:Earn</t>
  </si>
  <si>
    <t>NS/M</t>
  </si>
  <si>
    <t>Gross Inc/M</t>
  </si>
  <si>
    <t>Pass. Inc/M</t>
  </si>
  <si>
    <t>%Housing/Gross I</t>
  </si>
  <si>
    <t>Exp YoY</t>
  </si>
  <si>
    <t>Gross Inc YoY</t>
  </si>
  <si>
    <t>Years</t>
  </si>
  <si>
    <t>Trip</t>
  </si>
  <si>
    <t>Santa Barbara</t>
  </si>
  <si>
    <t>LA</t>
  </si>
  <si>
    <t>Yosemite</t>
  </si>
  <si>
    <t>Tahoe</t>
  </si>
  <si>
    <t>Europe  - Rome-Paris-London</t>
  </si>
  <si>
    <t>Oahu</t>
  </si>
  <si>
    <t>Death Valley</t>
  </si>
  <si>
    <t>Folsom, CA</t>
  </si>
  <si>
    <t>Tahoe2</t>
  </si>
  <si>
    <t>Banff, AL, CAN</t>
  </si>
  <si>
    <t>Costa Rica</t>
  </si>
  <si>
    <t>Las Vegas</t>
  </si>
  <si>
    <t>Yellow Stone</t>
  </si>
  <si>
    <t>Ger-FRA-Swiss</t>
  </si>
  <si>
    <t>Japan</t>
  </si>
  <si>
    <t>Solvang, Santab Barbaba</t>
  </si>
  <si>
    <t>Denmark-Norway</t>
  </si>
  <si>
    <t>Dates</t>
  </si>
  <si>
    <t>Aug 4 - Aug 7</t>
  </si>
  <si>
    <t>Dec 21 - Dec 25</t>
  </si>
  <si>
    <t>Apr 13 -Apr 16</t>
  </si>
  <si>
    <t>Jun 24 - Jun 29</t>
  </si>
  <si>
    <t>Aug 7 - Aug 15</t>
  </si>
  <si>
    <t>Jan 2- Jan 7</t>
  </si>
  <si>
    <t>Feb 22- Feb 24</t>
  </si>
  <si>
    <t>May27-May28</t>
  </si>
  <si>
    <t>Jun 26- June 30</t>
  </si>
  <si>
    <t>Aug 3-7</t>
  </si>
  <si>
    <t>Nov 18-Nov 23</t>
  </si>
  <si>
    <t>Dec 28-Dec 31</t>
  </si>
  <si>
    <t>Jun 8 -Jun 12</t>
  </si>
  <si>
    <t>Jul 3 -Jul 6</t>
  </si>
  <si>
    <t>JUl 31- Aug 6</t>
  </si>
  <si>
    <t>Nov 24 - Nov 29</t>
  </si>
  <si>
    <t>Dec 21 - Dec 24</t>
  </si>
  <si>
    <t>July 30- Aug 7</t>
  </si>
  <si>
    <t>Days</t>
  </si>
  <si>
    <t>Nights</t>
  </si>
  <si>
    <t>Airfare</t>
  </si>
  <si>
    <t>Car Rentals</t>
  </si>
  <si>
    <t>Stays</t>
  </si>
  <si>
    <t>EET</t>
  </si>
  <si>
    <t>Pet boarding</t>
  </si>
  <si>
    <t>Price Per Night (PPN)</t>
  </si>
  <si>
    <t>Trips</t>
  </si>
  <si>
    <t>Analysis</t>
  </si>
  <si>
    <t>APM</t>
  </si>
  <si>
    <t>Yearly</t>
  </si>
  <si>
    <t>Categories</t>
  </si>
  <si>
    <t>Delta 15-18</t>
  </si>
  <si>
    <t>Delta 15-18 %</t>
  </si>
  <si>
    <t>New House</t>
  </si>
  <si>
    <t>Fixed:</t>
  </si>
  <si>
    <t xml:space="preserve"> Mortgage/Rent</t>
  </si>
  <si>
    <t xml:space="preserve">      Interest</t>
  </si>
  <si>
    <t xml:space="preserve">      Principle</t>
  </si>
  <si>
    <t xml:space="preserve"> Mortgage Exp</t>
  </si>
  <si>
    <t xml:space="preserve"> Heloc Interest</t>
  </si>
  <si>
    <t xml:space="preserve">           Principle</t>
  </si>
  <si>
    <t>Escrow</t>
  </si>
  <si>
    <t>Insurance</t>
  </si>
  <si>
    <t>Assoc. Fee</t>
  </si>
  <si>
    <t>PMI</t>
  </si>
  <si>
    <t>Mt/Serv</t>
  </si>
  <si>
    <t xml:space="preserve">Car </t>
  </si>
  <si>
    <t>Loans</t>
  </si>
  <si>
    <t>Lic/Tx.Insp.</t>
  </si>
  <si>
    <t>Repairs</t>
  </si>
  <si>
    <t>Mt/Serv: Audi/Merc</t>
  </si>
  <si>
    <t>Mt/Serv: Altima</t>
  </si>
  <si>
    <t>Gas</t>
  </si>
  <si>
    <t>Gas (Travel/Commute)</t>
  </si>
  <si>
    <t>Park/Car Wash</t>
  </si>
  <si>
    <t>EZPass</t>
  </si>
  <si>
    <t>Grocery</t>
  </si>
  <si>
    <t>Electricity</t>
  </si>
  <si>
    <t>Water</t>
  </si>
  <si>
    <t>Trash/Sewer</t>
  </si>
  <si>
    <t>C/I/Sat</t>
  </si>
  <si>
    <t>Phone</t>
  </si>
  <si>
    <t>Security System</t>
  </si>
  <si>
    <t>Cell</t>
  </si>
  <si>
    <t xml:space="preserve">Misc </t>
  </si>
  <si>
    <t>Apparel/Pers</t>
  </si>
  <si>
    <t>Home Furn.</t>
  </si>
  <si>
    <t>Appliances/Kitch.</t>
  </si>
  <si>
    <t xml:space="preserve">Gifts </t>
  </si>
  <si>
    <t>Fitness</t>
  </si>
  <si>
    <t>Education</t>
  </si>
  <si>
    <t>School/Classes</t>
  </si>
  <si>
    <t>Day Care/ After School</t>
  </si>
  <si>
    <t xml:space="preserve">Health &amp; Life </t>
  </si>
  <si>
    <t>Health Insurance</t>
  </si>
  <si>
    <t>Insurance (LTD/STD/ADD)</t>
  </si>
  <si>
    <t>Life Insurance</t>
  </si>
  <si>
    <t>Gen Ex</t>
  </si>
  <si>
    <t>Fees</t>
  </si>
  <si>
    <t>Total EXP.</t>
  </si>
  <si>
    <t>Percent Change</t>
  </si>
  <si>
    <t>Income after Exp</t>
  </si>
  <si>
    <t>Non Housing Expenses</t>
  </si>
  <si>
    <t>Housing Expenses</t>
  </si>
  <si>
    <t>Extra</t>
  </si>
  <si>
    <t>India R Expense</t>
  </si>
  <si>
    <t xml:space="preserve">Monthly Comparison                                          </t>
  </si>
  <si>
    <t>% Total</t>
  </si>
  <si>
    <t>Mortagage</t>
  </si>
  <si>
    <t>Mortgage  I</t>
  </si>
  <si>
    <t xml:space="preserve"> </t>
  </si>
  <si>
    <t xml:space="preserve">                 P</t>
  </si>
  <si>
    <t>Mortgage Expense</t>
  </si>
  <si>
    <t>HELOC     I</t>
  </si>
  <si>
    <t xml:space="preserve">                P</t>
  </si>
  <si>
    <t>Escrow Taxes</t>
  </si>
  <si>
    <t>Lic/Tax/Insp.</t>
  </si>
  <si>
    <t>Mt/Serv:  Audi</t>
  </si>
  <si>
    <t>Mt/Serv:  Altima</t>
  </si>
  <si>
    <t>Travel (Gas/Fares)</t>
  </si>
  <si>
    <t>Parking/Wash</t>
  </si>
  <si>
    <t>EZPass/Tolls</t>
  </si>
  <si>
    <t>LongDist</t>
  </si>
  <si>
    <t>Months</t>
  </si>
  <si>
    <t xml:space="preserve">CA </t>
  </si>
  <si>
    <t>Seattle</t>
  </si>
  <si>
    <t>Clinton</t>
  </si>
  <si>
    <t>Massachusetts</t>
  </si>
  <si>
    <t>Delta with CA</t>
  </si>
  <si>
    <t>Cost of Living Adjustment</t>
  </si>
  <si>
    <t>OPTION 1 - LASD</t>
  </si>
  <si>
    <t>OPTION 2 - Stratford</t>
  </si>
  <si>
    <t>Public + No Sell</t>
  </si>
  <si>
    <t>OPTION 3 - LASD - NO ED</t>
  </si>
  <si>
    <t>ACTUAL</t>
  </si>
  <si>
    <t>SF Commute</t>
  </si>
  <si>
    <t>Buying -2018 Data</t>
  </si>
  <si>
    <t>2019 Actual - RO</t>
  </si>
  <si>
    <t>SF with Capped Income</t>
  </si>
  <si>
    <t>Monthly</t>
  </si>
  <si>
    <t>Comp - R</t>
  </si>
  <si>
    <t>Home Price</t>
  </si>
  <si>
    <t>Reserves</t>
  </si>
  <si>
    <t>Comp - S</t>
  </si>
  <si>
    <t>Loan Amount</t>
  </si>
  <si>
    <t>PP</t>
  </si>
  <si>
    <t>$625K</t>
  </si>
  <si>
    <t>Bonus - R</t>
  </si>
  <si>
    <t>Down Payment</t>
  </si>
  <si>
    <t>DP</t>
  </si>
  <si>
    <t>Bonus -S</t>
  </si>
  <si>
    <t>Closing Costs</t>
  </si>
  <si>
    <t>Bonus Percent</t>
  </si>
  <si>
    <t>Cash Required:</t>
  </si>
  <si>
    <t>RE Tax</t>
  </si>
  <si>
    <t>Ins</t>
  </si>
  <si>
    <t>Cash Balance (After Closing)</t>
  </si>
  <si>
    <t>Income after Taxes</t>
  </si>
  <si>
    <t>Mortage Expense</t>
  </si>
  <si>
    <t>30 yr fixed</t>
  </si>
  <si>
    <t>401K 1</t>
  </si>
  <si>
    <t>5/1 ARM</t>
  </si>
  <si>
    <t>HOP</t>
  </si>
  <si>
    <t xml:space="preserve">401K 2 </t>
  </si>
  <si>
    <t>HOA</t>
  </si>
  <si>
    <t>7/1 ARM</t>
  </si>
  <si>
    <t>VG/Post Tax</t>
  </si>
  <si>
    <t>Home Owners Insurance</t>
  </si>
  <si>
    <t>10/! ARM Jumbo</t>
  </si>
  <si>
    <t>Roth 401K - R</t>
  </si>
  <si>
    <t>Total Housing Expenses</t>
  </si>
  <si>
    <t>PMI/Parking</t>
  </si>
  <si>
    <t>Roth 401K - S</t>
  </si>
  <si>
    <t>Delta above rent</t>
  </si>
  <si>
    <t>Investments</t>
  </si>
  <si>
    <t>Monthly Gross Income</t>
  </si>
  <si>
    <t>Total Non-housing Expenses</t>
  </si>
  <si>
    <t>Income after Inv</t>
  </si>
  <si>
    <t>Monthly Expenses</t>
  </si>
  <si>
    <t>Income Remaining</t>
  </si>
  <si>
    <t>Balance (Income - Expenses)</t>
  </si>
  <si>
    <t>401K Expense</t>
  </si>
  <si>
    <t>Base Rent</t>
  </si>
  <si>
    <t>Monthly Income after 401K</t>
  </si>
  <si>
    <t>Mortgage + Taxes + HOA</t>
  </si>
  <si>
    <t>Mt/Serv: Audi</t>
  </si>
  <si>
    <t>Monthly Delta (IN- OUT)</t>
  </si>
  <si>
    <t>Monthly Income after 529</t>
  </si>
  <si>
    <t>Mortage Affordability</t>
  </si>
  <si>
    <t>Monthly Payment</t>
  </si>
  <si>
    <t xml:space="preserve"> Purchase Price</t>
  </si>
  <si>
    <t>APR</t>
  </si>
  <si>
    <t>Delta from current</t>
  </si>
  <si>
    <t>Delta on one</t>
  </si>
  <si>
    <t>Roth Investment</t>
  </si>
  <si>
    <t>Actuals</t>
  </si>
  <si>
    <t>Monthly Income after Roth</t>
  </si>
  <si>
    <t>1.0M</t>
  </si>
  <si>
    <t>VG Post Tax Possible</t>
  </si>
  <si>
    <t>1.2M</t>
  </si>
  <si>
    <t>Delta to 2018</t>
  </si>
  <si>
    <t>Fares/Gas (Travel)</t>
  </si>
  <si>
    <t>15.M</t>
  </si>
  <si>
    <t>1.8M</t>
  </si>
  <si>
    <t>Reserves (Months to Survive)</t>
  </si>
  <si>
    <t>1.9M</t>
  </si>
  <si>
    <t>Housing:Income Ratio (Rent)</t>
  </si>
  <si>
    <t>2.0M</t>
  </si>
  <si>
    <t>Housing:Income Ratio (Own)</t>
  </si>
  <si>
    <t>2.1M</t>
  </si>
  <si>
    <t>2.2M</t>
  </si>
  <si>
    <t>2.3M</t>
  </si>
  <si>
    <t>2.4M</t>
  </si>
  <si>
    <t>2.5M</t>
  </si>
  <si>
    <t xml:space="preserve">House Price: </t>
  </si>
  <si>
    <t>Incl taxes</t>
  </si>
  <si>
    <t>Downpayment</t>
  </si>
  <si>
    <t>Liquid Assets</t>
  </si>
  <si>
    <t>Rent</t>
  </si>
  <si>
    <t>Down Payment %</t>
  </si>
  <si>
    <t xml:space="preserve">Closing Costs </t>
  </si>
  <si>
    <t>Home furn</t>
  </si>
  <si>
    <t>Homeowners Insurance</t>
  </si>
  <si>
    <t>Appl/Kitch.</t>
  </si>
  <si>
    <t>Income before Housing</t>
  </si>
  <si>
    <t>30 YR FIXED</t>
  </si>
  <si>
    <t>Compare Price</t>
  </si>
  <si>
    <t>EET etc</t>
  </si>
  <si>
    <t>House Value</t>
  </si>
  <si>
    <t>Deposit</t>
  </si>
  <si>
    <t>Equity</t>
  </si>
  <si>
    <t>K: Day Care/Classes</t>
  </si>
  <si>
    <t>SL/Insurance</t>
  </si>
  <si>
    <t>Difference over 2018</t>
  </si>
  <si>
    <t>D:I ratio</t>
  </si>
  <si>
    <t>% over 2017 - Clinton</t>
  </si>
  <si>
    <t>401K Investments + Roth</t>
  </si>
  <si>
    <t>Vanguard Investments</t>
  </si>
  <si>
    <t>Ohio - 529</t>
  </si>
  <si>
    <t>Vanguard - 529</t>
  </si>
  <si>
    <t>Investment Per month</t>
  </si>
  <si>
    <t>Tax Rates - State</t>
  </si>
  <si>
    <t>Taxes (Federal)</t>
  </si>
  <si>
    <t>Taxes (State)</t>
  </si>
  <si>
    <t>Difference</t>
  </si>
  <si>
    <t>Annual Difference</t>
  </si>
  <si>
    <t>Total Income REQ</t>
  </si>
  <si>
    <t>% Increase over CA</t>
  </si>
  <si>
    <t>Actual</t>
  </si>
  <si>
    <t>OFFER</t>
  </si>
  <si>
    <t>RP</t>
  </si>
  <si>
    <t>SP</t>
  </si>
  <si>
    <t>New Income</t>
  </si>
  <si>
    <t xml:space="preserve">Income/PP Reqd </t>
  </si>
  <si>
    <t>Shortfall</t>
  </si>
  <si>
    <t>1.25M</t>
  </si>
  <si>
    <t>2.0 M</t>
  </si>
  <si>
    <t>Avalon Yr1</t>
  </si>
  <si>
    <t>Avalon 2018</t>
  </si>
  <si>
    <t>New Rental</t>
  </si>
  <si>
    <t>New Rental Yr2</t>
  </si>
  <si>
    <t>Tash</t>
  </si>
  <si>
    <t>Trash</t>
  </si>
  <si>
    <t>Gas/HWE</t>
  </si>
  <si>
    <t>Electricty</t>
  </si>
  <si>
    <t>Sewer</t>
  </si>
  <si>
    <t>Fee</t>
  </si>
  <si>
    <t>Moving Charges</t>
  </si>
  <si>
    <t>Moving</t>
  </si>
  <si>
    <t>Extra Rent</t>
  </si>
  <si>
    <t>Delta/Month</t>
  </si>
  <si>
    <t>Annual Delta</t>
  </si>
  <si>
    <t>Yearly Savings</t>
  </si>
  <si>
    <t>Yr1</t>
  </si>
  <si>
    <t>Yr2</t>
  </si>
  <si>
    <t>Yr3</t>
  </si>
  <si>
    <t>Total Increase</t>
  </si>
  <si>
    <t>Add Income</t>
  </si>
  <si>
    <t>Income Reqd Monthly</t>
  </si>
  <si>
    <t>Income Reqd Annual</t>
  </si>
  <si>
    <t>401K Funding</t>
  </si>
  <si>
    <t>372 Traverso</t>
  </si>
  <si>
    <t>1046 Covington</t>
  </si>
  <si>
    <t xml:space="preserve">1520 Oaks Avenue </t>
  </si>
  <si>
    <t>674 Camillia Way</t>
  </si>
  <si>
    <t>1420 Oaks Avenue</t>
  </si>
  <si>
    <t>Listing Price</t>
  </si>
  <si>
    <t>Number of Disc</t>
  </si>
  <si>
    <t>Offers so far</t>
  </si>
  <si>
    <t>Predicted offers</t>
  </si>
  <si>
    <t>Actual Offers</t>
  </si>
  <si>
    <t>Increment Per Bid</t>
  </si>
  <si>
    <t>Potential winning bid</t>
  </si>
  <si>
    <t>Actual bid</t>
  </si>
  <si>
    <t>Real Sales Price</t>
  </si>
  <si>
    <t xml:space="preserve">% off listing </t>
  </si>
  <si>
    <t>Per bid increment</t>
  </si>
  <si>
    <t>BR/BTH</t>
  </si>
  <si>
    <t>3 and 2</t>
  </si>
  <si>
    <t xml:space="preserve">4 and 2.5 </t>
  </si>
  <si>
    <t>Bk yard</t>
  </si>
  <si>
    <t>Sq FT</t>
  </si>
  <si>
    <t>$/Sq ft</t>
  </si>
  <si>
    <t>Source of Liquidity</t>
  </si>
  <si>
    <t>DCU</t>
  </si>
  <si>
    <t>Alliant</t>
  </si>
  <si>
    <t>Discover</t>
  </si>
  <si>
    <t xml:space="preserve">Wealthfront </t>
  </si>
  <si>
    <t>Marcus</t>
  </si>
  <si>
    <t>Well Fargo</t>
  </si>
  <si>
    <t>Total Liquid Savings Assets</t>
  </si>
  <si>
    <t>Microsoft ESPP</t>
  </si>
  <si>
    <t>Dell Shares</t>
  </si>
  <si>
    <t>Fidelity Inv</t>
  </si>
  <si>
    <t>Vanguard MF</t>
  </si>
  <si>
    <t>Wealthfront Inv</t>
  </si>
  <si>
    <t>Total Inv</t>
  </si>
  <si>
    <t>Total Liquidable Inv</t>
  </si>
  <si>
    <t>Total Liquid Assets</t>
  </si>
  <si>
    <t>Assets for DP</t>
  </si>
  <si>
    <t>Percentage</t>
  </si>
  <si>
    <t>EXPENSES - MONTHLY</t>
  </si>
  <si>
    <t xml:space="preserve"> APM</t>
  </si>
  <si>
    <t>%Age</t>
  </si>
  <si>
    <t>Mortgage/Rent</t>
  </si>
  <si>
    <t>Mortgage I</t>
  </si>
  <si>
    <t>P</t>
  </si>
  <si>
    <t>HELOC I</t>
  </si>
  <si>
    <t>Loans/Depreciation</t>
  </si>
  <si>
    <t>Gifts</t>
  </si>
  <si>
    <t>Health &amp; Life</t>
  </si>
  <si>
    <t>M</t>
  </si>
  <si>
    <t>`</t>
  </si>
  <si>
    <t>House</t>
  </si>
  <si>
    <t>Health / Gen</t>
  </si>
  <si>
    <t>Effective Per month</t>
  </si>
  <si>
    <t>Home - MR</t>
  </si>
  <si>
    <t xml:space="preserve">Pay </t>
  </si>
  <si>
    <t>Time to Zero months</t>
  </si>
  <si>
    <t>Cuts</t>
  </si>
  <si>
    <t>Subscription</t>
  </si>
  <si>
    <t>Apple One</t>
  </si>
  <si>
    <t>Stratechery</t>
  </si>
  <si>
    <t xml:space="preserve">Quicken </t>
  </si>
  <si>
    <t>Disney+</t>
  </si>
  <si>
    <t>OpenAI</t>
  </si>
  <si>
    <t xml:space="preserve">Google </t>
  </si>
  <si>
    <t>Month</t>
  </si>
  <si>
    <t>Trips 2024</t>
  </si>
  <si>
    <t>Trip 2023</t>
  </si>
  <si>
    <t>Trip 2022</t>
  </si>
  <si>
    <t>Classes</t>
  </si>
  <si>
    <t>Travel</t>
  </si>
  <si>
    <t>Pet</t>
  </si>
  <si>
    <t>Pet-Food</t>
  </si>
  <si>
    <t>Pet-Misc</t>
  </si>
  <si>
    <t>Pet-Insurance</t>
  </si>
  <si>
    <t>Pet-Medical</t>
  </si>
  <si>
    <t>Pet-Travel</t>
  </si>
  <si>
    <t>Pet-Other</t>
  </si>
  <si>
    <t>Parking</t>
  </si>
  <si>
    <t>Tolls</t>
  </si>
  <si>
    <t>Apparel</t>
  </si>
  <si>
    <t>MH</t>
  </si>
  <si>
    <t>Appliances</t>
  </si>
  <si>
    <t>After School Care</t>
  </si>
  <si>
    <t xml:space="preserve">MH: </t>
  </si>
  <si>
    <t>MR</t>
  </si>
  <si>
    <t>Day Care</t>
  </si>
  <si>
    <t xml:space="preserve">Travel </t>
  </si>
  <si>
    <t>Apparell</t>
  </si>
  <si>
    <t>Home Furnishing</t>
  </si>
  <si>
    <t>Fees/Subscription</t>
  </si>
  <si>
    <t>Home - Maintenance</t>
  </si>
  <si>
    <t>Custom</t>
  </si>
  <si>
    <t>C/I/Sat/Cloud</t>
  </si>
  <si>
    <t>Misc/Subs</t>
  </si>
  <si>
    <t>DO NOT DELETE</t>
  </si>
  <si>
    <t>Jan'03</t>
  </si>
  <si>
    <t>Jan'04</t>
  </si>
  <si>
    <t>Jan'05</t>
  </si>
  <si>
    <t>Jan'06</t>
  </si>
  <si>
    <t>Jan'07</t>
  </si>
  <si>
    <t>Jan' 08</t>
  </si>
  <si>
    <t>Jan' 09</t>
  </si>
  <si>
    <t>Jan' 10</t>
  </si>
  <si>
    <t>Jan' 11</t>
  </si>
  <si>
    <t>Jan' 12</t>
  </si>
  <si>
    <t>Jan' 13</t>
  </si>
  <si>
    <t>Jan' 14</t>
  </si>
  <si>
    <t>Jan' 15</t>
  </si>
  <si>
    <t>Jan' 16</t>
  </si>
  <si>
    <t>Jan' 17</t>
  </si>
  <si>
    <t>Jan' 18</t>
  </si>
  <si>
    <t>Jan' 19</t>
  </si>
  <si>
    <t>Jan' 20</t>
  </si>
  <si>
    <t>Jan' 21</t>
  </si>
  <si>
    <t>Jan' 22</t>
  </si>
  <si>
    <t>Jan' 23</t>
  </si>
  <si>
    <t>Jan' 24</t>
  </si>
  <si>
    <t>Jan' 25</t>
  </si>
  <si>
    <t>Jan' 26</t>
  </si>
  <si>
    <t xml:space="preserve">Date </t>
  </si>
  <si>
    <t xml:space="preserve">Debit -R </t>
  </si>
  <si>
    <t xml:space="preserve">Debit-S </t>
  </si>
  <si>
    <t>Tag</t>
  </si>
  <si>
    <t>F: Mohegan Sun: Summer Shack</t>
  </si>
  <si>
    <t>M: Seagate HDD, Microcenter, Cambridge, MA -40 -30</t>
  </si>
  <si>
    <t>G: TJM</t>
  </si>
  <si>
    <t xml:space="preserve">Texas Trip </t>
  </si>
  <si>
    <t>M: Marshalls</t>
  </si>
  <si>
    <t>Parking: Logan Airport</t>
  </si>
  <si>
    <t>EET: Mumbai -Delhi</t>
  </si>
  <si>
    <t>G: Target (Liz)</t>
  </si>
  <si>
    <t>EET: Trip to FL: Jetblue</t>
  </si>
  <si>
    <t>EET: Trip to San Antonio: Jetblue</t>
  </si>
  <si>
    <t>Grocery (Wegmans)</t>
  </si>
  <si>
    <t>Kids:Classes: Swimming Classes</t>
  </si>
  <si>
    <t>EET: Rancho San Antonio Hike</t>
  </si>
  <si>
    <t>Kids: SkyHawks - T&amp;F Feb, Mar - Sara and Anishka - 185 * 2</t>
  </si>
  <si>
    <t>YMCA: Day Care 5-day week</t>
  </si>
  <si>
    <t>Classes: Mathnasium</t>
  </si>
  <si>
    <t>Kids: Nish - Violin rental</t>
  </si>
  <si>
    <t>EET: Backpack: Amazon - Swiss Gear</t>
  </si>
  <si>
    <t>Gifts : Perfumes (2)</t>
  </si>
  <si>
    <t>Car: Audi Repairs ($8335)</t>
  </si>
  <si>
    <t>M: Walmart : Photo Printing</t>
  </si>
  <si>
    <t>Gas (Trip)</t>
  </si>
  <si>
    <t>MA: White shirt, TJM</t>
  </si>
  <si>
    <t>Grocery (Hannaford)</t>
  </si>
  <si>
    <t>EET: Dehradun - Delhi</t>
  </si>
  <si>
    <t xml:space="preserve">G: Target </t>
  </si>
  <si>
    <t>EET: Disney Resort</t>
  </si>
  <si>
    <t>Car: Insurance - Safeco (Dec 28)  = 91/month</t>
  </si>
  <si>
    <t>Grocery (IG)</t>
  </si>
  <si>
    <t>Kids: Classes: RSM</t>
  </si>
  <si>
    <t>Kids: Classes: New Mozart School - HR3 - Sara</t>
  </si>
  <si>
    <t>Kids: Classes: New Mozart School - Private Lesson - Anishka</t>
  </si>
  <si>
    <t xml:space="preserve">After-School Chess  SRP + ARP </t>
  </si>
  <si>
    <t>Kids: Anishka's Piano</t>
  </si>
  <si>
    <t>Kids:Piano</t>
  </si>
  <si>
    <t>Classes: AoPS - Algebra B + PreCalc</t>
  </si>
  <si>
    <t>Gifts : Bag, RL (1)</t>
  </si>
  <si>
    <t>Grocery (Walmart)</t>
  </si>
  <si>
    <t>G: Walmart</t>
  </si>
  <si>
    <t>Grocery (OSJL)</t>
  </si>
  <si>
    <t>KM: Target</t>
  </si>
  <si>
    <t>T: Knights Limo</t>
  </si>
  <si>
    <t>M: Target</t>
  </si>
  <si>
    <t>Meds: CVS</t>
  </si>
  <si>
    <t>Kids: Classes: NEMA -  Music</t>
  </si>
  <si>
    <t>Kids: Classes: New Mozart School - HR1 - Anishka</t>
  </si>
  <si>
    <t>Grocery (Vitamin Shoppe)</t>
  </si>
  <si>
    <t xml:space="preserve">After-school Karate  SRP + ARP </t>
  </si>
  <si>
    <t>Classes: Violin Rental</t>
  </si>
  <si>
    <t>Classes: Volleyball  - SkyHawks</t>
  </si>
  <si>
    <t>Classes: Evodyne Robotics</t>
  </si>
  <si>
    <t>F: In N Out</t>
  </si>
  <si>
    <t>E: Bowling, AMF Shrwesbury</t>
  </si>
  <si>
    <t>Gas (Altima)</t>
  </si>
  <si>
    <t>EET: CVS</t>
  </si>
  <si>
    <t>MK: Kitchen Bowls</t>
  </si>
  <si>
    <t>M: Walmart: Vacuum Cleaner</t>
  </si>
  <si>
    <t>F: Mahesh Lunch Home</t>
  </si>
  <si>
    <t>Gas (Audi)</t>
  </si>
  <si>
    <t>Meds: Co Pay</t>
  </si>
  <si>
    <t>M: Cereal storage - Wegmans</t>
  </si>
  <si>
    <t>M: Dollar Store</t>
  </si>
  <si>
    <t>Kids: STB: STEM - Sara</t>
  </si>
  <si>
    <t>Kids: Soccer @ Almond - Sara + Anishka</t>
  </si>
  <si>
    <t>Mathnasium -SRP</t>
  </si>
  <si>
    <t xml:space="preserve">Classes: Taekwondo + 2 tests </t>
  </si>
  <si>
    <t>Classes: Violin - ARP</t>
  </si>
  <si>
    <t>Student Loan</t>
  </si>
  <si>
    <t>Car: Gas (Altima)</t>
  </si>
  <si>
    <t>MA: Steve &amp; Barrys : Cargos</t>
  </si>
  <si>
    <t>MHF: Target</t>
  </si>
  <si>
    <t>F: Food Mart</t>
  </si>
  <si>
    <t>G: Tanvi</t>
  </si>
  <si>
    <t>T: Rickshaw to Vodafone</t>
  </si>
  <si>
    <t>EET: The girl with the Dragon Tattoo</t>
  </si>
  <si>
    <t>MA: TJX - Shirt &amp; Pants</t>
  </si>
  <si>
    <t>M: Petco</t>
  </si>
  <si>
    <t>Kids: STB: Sports Clinic - Sara</t>
  </si>
  <si>
    <t>Kids: Swim Lessons: Y (134 x 2) - 268</t>
  </si>
  <si>
    <t>Grocery (Grocery Outlet)</t>
  </si>
  <si>
    <t>BasketBall - 4 sessions - SRP + ARP</t>
  </si>
  <si>
    <t>Classes: Afterschool Programming SRP + ARP</t>
  </si>
  <si>
    <t>Classes: Piano for ARP</t>
  </si>
  <si>
    <t>Classes: Volleyball  - USVYL</t>
  </si>
  <si>
    <t>Grocery (Felipe)</t>
  </si>
  <si>
    <t>Classes: Coursera</t>
  </si>
  <si>
    <t>M: Hair Cut, FS Hudson</t>
  </si>
  <si>
    <t>MA: Purse Target</t>
  </si>
  <si>
    <t>F: Dinner : San Antonio</t>
  </si>
  <si>
    <t>M: Postage to India</t>
  </si>
  <si>
    <t xml:space="preserve">M: VodaFone Phone </t>
  </si>
  <si>
    <t>M: Hair cuttery (Shivani)</t>
  </si>
  <si>
    <t>M: Amazon - Paper Rolls</t>
  </si>
  <si>
    <t>M: Amazon - Car Charger</t>
  </si>
  <si>
    <t>Kids: STB: Tennis - Sara</t>
  </si>
  <si>
    <t>Kids: Track &amp; Field - SkyHawks - Sara</t>
  </si>
  <si>
    <t>MA: Gymboree</t>
  </si>
  <si>
    <t>EET: Disney Trip - Florida</t>
  </si>
  <si>
    <t>Classes: Taekwondo Kids</t>
  </si>
  <si>
    <t>Grocery (TJs)</t>
  </si>
  <si>
    <t>EET: Oahu, Honulu, HI</t>
  </si>
  <si>
    <t>Grocery (GO)</t>
  </si>
  <si>
    <t>Car: Repairs - Altima</t>
  </si>
  <si>
    <t>Cable</t>
  </si>
  <si>
    <t>Gas(Audi)</t>
  </si>
  <si>
    <t>M: Postage</t>
  </si>
  <si>
    <t>M: Radioshack Adapter Returned: -41</t>
  </si>
  <si>
    <t>EET: Walmart</t>
  </si>
  <si>
    <t>M: HairCut</t>
  </si>
  <si>
    <t>F: Dunkin Donuts</t>
  </si>
  <si>
    <t>MA: Shoes for Sara</t>
  </si>
  <si>
    <t>F: P&amp;S Pizza</t>
  </si>
  <si>
    <t>M: Amazon - Razor Blades + Razor</t>
  </si>
  <si>
    <t>Kids: Teamworks - Sara - Flag Football</t>
  </si>
  <si>
    <t>M: WalMart - Kids Waterbottles</t>
  </si>
  <si>
    <t>Grocery (Sprouts)</t>
  </si>
  <si>
    <t>EET: Disney World Tickets</t>
  </si>
  <si>
    <t>EET: Hotel: Waikiki Outrigger</t>
  </si>
  <si>
    <t>Grocery (Amazon) - Black Cacao Powder</t>
  </si>
  <si>
    <t>M: Amazon - HD Cam</t>
  </si>
  <si>
    <t>Cell Phone</t>
  </si>
  <si>
    <t>E: Movie : Munich : 16 : Free Tickets: EMC</t>
  </si>
  <si>
    <t>M: Luggage Straps, Sears -11</t>
  </si>
  <si>
    <t>M: Walmart</t>
  </si>
  <si>
    <t>T: Rickshaw to Home</t>
  </si>
  <si>
    <t>M: Amazon - Magic Eraser</t>
  </si>
  <si>
    <t xml:space="preserve">M: TJX - Books </t>
  </si>
  <si>
    <t>Kids: Soccer - Sara + Anishka</t>
  </si>
  <si>
    <t>Grocery (Felipe's)</t>
  </si>
  <si>
    <t>Grocery (Trader Joe's)</t>
  </si>
  <si>
    <t>EET: Universal Studios Tickets</t>
  </si>
  <si>
    <t>Kids: Violin Rental (SRP)</t>
  </si>
  <si>
    <t>Grocery (Ebay) - Kirkland Bars</t>
  </si>
  <si>
    <t>EET: Air tickets - United: SFO-HI-SFO</t>
  </si>
  <si>
    <t>Grocery (Amazon) - Coffee Espresso x 2 + Salted Caramel</t>
  </si>
  <si>
    <t>M:Walmart - Apple Pencil</t>
  </si>
  <si>
    <t>M: Cards</t>
  </si>
  <si>
    <t>M: Aftershave, Walmart</t>
  </si>
  <si>
    <t>G: Walmart, Chocs</t>
  </si>
  <si>
    <t>Car: 2002 Altima</t>
  </si>
  <si>
    <t>MA: Westside</t>
  </si>
  <si>
    <t>M: Amazon Diapers</t>
  </si>
  <si>
    <t>Meds: CoPay</t>
  </si>
  <si>
    <t>M: Amazon - Garbage bags</t>
  </si>
  <si>
    <t>G: OSJL - Chocolates</t>
  </si>
  <si>
    <t>Car: Insurance - 6 months (Geico) - 71/month</t>
  </si>
  <si>
    <t>Grocery (WalMart)</t>
  </si>
  <si>
    <t>EET: Transportation - Uber</t>
  </si>
  <si>
    <t>M: Amazon (AXE)</t>
  </si>
  <si>
    <t>Grocery (Amazon) - LorAnn Pineapple, Apple, Red Velvet, Orange</t>
  </si>
  <si>
    <t>Grocery (IKEA)</t>
  </si>
  <si>
    <t>EET: United Baggage</t>
  </si>
  <si>
    <t>Grocery (Amazon) - Monk Fruit x 4</t>
  </si>
  <si>
    <t>M: Walmart - Ninja Mixer</t>
  </si>
  <si>
    <t>M: Gifts, Orlando Florida</t>
  </si>
  <si>
    <t>Grocery : Milk</t>
  </si>
  <si>
    <t>Grocery (Milk)</t>
  </si>
  <si>
    <t>Grocery (Coconut Water)</t>
  </si>
  <si>
    <t>G: Sarveshi</t>
  </si>
  <si>
    <t>G: Westside</t>
  </si>
  <si>
    <t>F: EMC Soups</t>
  </si>
  <si>
    <t>Fee: Consumer Reports</t>
  </si>
  <si>
    <t>F: The Purple Feather - Provincetown, Cape Cod</t>
  </si>
  <si>
    <t>Med: Staples removal - Direct Urgent Care, Mountain View - Anishka</t>
  </si>
  <si>
    <t>MK: WalMart: Casserole</t>
  </si>
  <si>
    <t>F: Florida Trip</t>
  </si>
  <si>
    <t>M: Amazon (Books)</t>
  </si>
  <si>
    <t>MH: Ring Security Contact Sensor</t>
  </si>
  <si>
    <t>EET: Uber to Airport</t>
  </si>
  <si>
    <t>Grocery (Amazon) - Almond Powder</t>
  </si>
  <si>
    <t>MA: Walmart: Mens thermal</t>
  </si>
  <si>
    <t>Grocery (India Stores)</t>
  </si>
  <si>
    <t>F: Jax Airport, Hot Dogs</t>
  </si>
  <si>
    <t>Gifts: Rasa's Baby shower</t>
  </si>
  <si>
    <t>E: IndPak TrulyIncredible.om -17 Dispute (AMEX)</t>
  </si>
  <si>
    <t>Ed: Babson app : R</t>
  </si>
  <si>
    <t>EET : Natural Caverns</t>
  </si>
  <si>
    <t>MA: DSW Shoes (Formals + Skechers)</t>
  </si>
  <si>
    <t>MedS: CVS</t>
  </si>
  <si>
    <t>MA: Saree at Saavi, Thane</t>
  </si>
  <si>
    <t>EET: MI-4</t>
  </si>
  <si>
    <t>F: EMC</t>
  </si>
  <si>
    <t>G: Things's remembered - Sarveshi</t>
  </si>
  <si>
    <t xml:space="preserve">F: Dinner: Domino's </t>
  </si>
  <si>
    <t>G: GC for Teachers etc</t>
  </si>
  <si>
    <t>MA: WalMart: Body shapers</t>
  </si>
  <si>
    <t>M: Florida Trip</t>
  </si>
  <si>
    <t>Grocery (Amazon) - Purely Inspired</t>
  </si>
  <si>
    <t>EET: Car Rental - Oahu</t>
  </si>
  <si>
    <t>Grocery (Amazon) - Cashew Powder</t>
  </si>
  <si>
    <t>MA: REI - Jackets</t>
  </si>
  <si>
    <t>F: Charllote Airport</t>
  </si>
  <si>
    <t>Gifts: Sooraj</t>
  </si>
  <si>
    <t>Grocery (SnS)</t>
  </si>
  <si>
    <t>Ed: Shivani: Babson 4.5 Credits EMC Refund (6474 - 5987)</t>
  </si>
  <si>
    <t>EET: Hotel : San AN</t>
  </si>
  <si>
    <t>F: Miracle of Science, SDM Lunch</t>
  </si>
  <si>
    <t>Car: 2002 Altima, Ignition Coil, Jim's Hudson</t>
  </si>
  <si>
    <t>Grocery (Star Bazaar)</t>
  </si>
  <si>
    <t>F: Wegmans</t>
  </si>
  <si>
    <t>EET: SPM Kid's Zone</t>
  </si>
  <si>
    <t>G: GC for Oscar - Avalon</t>
  </si>
  <si>
    <t>M: Haircut - R+S</t>
  </si>
  <si>
    <t>EET: Hotel and Flight - Chase Rewards</t>
  </si>
  <si>
    <t>Grocery (TJ)</t>
  </si>
  <si>
    <t>Grocery (Amazon) - Schezuan Flakes</t>
  </si>
  <si>
    <t>Grocery (Amazon) - Mission Meats</t>
  </si>
  <si>
    <t>Grocery (Foodlands)</t>
  </si>
  <si>
    <t>Grocery (Amazon) - Butter spray</t>
  </si>
  <si>
    <t>MA: Amazon - Altra</t>
  </si>
  <si>
    <t>Grocery (Market Basket)</t>
  </si>
  <si>
    <t>Grocery: Milk</t>
  </si>
  <si>
    <t>M: WindShield Washer fluid</t>
  </si>
  <si>
    <t>Meds : CVS</t>
  </si>
  <si>
    <t>EET: Logan Express</t>
  </si>
  <si>
    <t>Food : Lunch : Bucee's</t>
  </si>
  <si>
    <t>M: CVS</t>
  </si>
  <si>
    <t>MA: Hat for Sara</t>
  </si>
  <si>
    <t>M: TJX</t>
  </si>
  <si>
    <t>F: Arby's SPM - Chicken Tenders</t>
  </si>
  <si>
    <t>M: Soccer Shin Guard x 2</t>
  </si>
  <si>
    <t>Grocery (Target)</t>
  </si>
  <si>
    <t xml:space="preserve">Grocery (Whole Foods) </t>
  </si>
  <si>
    <t>MH: Ring Security System</t>
  </si>
  <si>
    <t>Grocery (Amazon)  - Bone Broth Soup</t>
  </si>
  <si>
    <t>F: Marukame Udon</t>
  </si>
  <si>
    <t>Grocery (Amazon) - Yerbaero</t>
  </si>
  <si>
    <t>Grocery (Weee)</t>
  </si>
  <si>
    <t>Misc (Lowes)</t>
  </si>
  <si>
    <t>M: CoPay Doc</t>
  </si>
  <si>
    <t>EET: Taxicab</t>
  </si>
  <si>
    <t>EET: Moody Gardens</t>
  </si>
  <si>
    <t>Parking MIT SDM, Cambridge Center</t>
  </si>
  <si>
    <t>F: Beers: Berlin, MA</t>
  </si>
  <si>
    <t>T:Rickshaw to KM</t>
  </si>
  <si>
    <t>MA: TJX</t>
  </si>
  <si>
    <t>Car: Altima - Servicing + Maintenance</t>
  </si>
  <si>
    <t>Grocery (Target) Toilet Rolls (4)</t>
  </si>
  <si>
    <t>MA: WalMart - Jeans</t>
  </si>
  <si>
    <t>F: The CowFish Burgerushi Bar - Universal City Walk</t>
  </si>
  <si>
    <t>M: Amazon (Toilet - Plunger)</t>
  </si>
  <si>
    <t>Grocery (Amazon) - Tre Semme</t>
  </si>
  <si>
    <t>F: Sweet e's Cafe</t>
  </si>
  <si>
    <t>Grocery (Amazon) - Hair Color</t>
  </si>
  <si>
    <t>To India (TOEFL)</t>
  </si>
  <si>
    <t>E: Blockbuster</t>
  </si>
  <si>
    <t>Grocery : BJs</t>
  </si>
  <si>
    <t>M: AAA Membership (Shibu)</t>
  </si>
  <si>
    <t>M: Toothbrush</t>
  </si>
  <si>
    <t>Parking, MIT, OE (2 cars)</t>
  </si>
  <si>
    <t>Car: Carwash, Hudson , MA</t>
  </si>
  <si>
    <t>M: Amazon (Flintstones)</t>
  </si>
  <si>
    <t>MA: Shoes - Encore, SPM</t>
  </si>
  <si>
    <t>Grocery: Alcohol - Beer + Wine</t>
  </si>
  <si>
    <t>Grocery (Amazon)</t>
  </si>
  <si>
    <t>Grocery (Amazon) - Cacao (16) + Garcinia (15) + Toothpaste (1)</t>
  </si>
  <si>
    <t>F: Toothsome Chocolate Factory</t>
  </si>
  <si>
    <t>M: USPS</t>
  </si>
  <si>
    <t>Grocery (Amazon) - Quest Bars - 17</t>
  </si>
  <si>
    <t>Grocery (Amazon) - Ginger Powder</t>
  </si>
  <si>
    <t>F: Don Quixote</t>
  </si>
  <si>
    <t>Grocery (Amazon) - Clearsil</t>
  </si>
  <si>
    <t>MA: Temu</t>
  </si>
  <si>
    <t>Grocery : Shaws</t>
  </si>
  <si>
    <t>M: Cards etc</t>
  </si>
  <si>
    <t>Gifts: Watch, Rahul S</t>
  </si>
  <si>
    <t>MA: Shoppers' Stop, Mulund, Tshirts (2) + Tray + socks</t>
  </si>
  <si>
    <t>EET: Hotel : Days Inn</t>
  </si>
  <si>
    <t>Phone:LD: Stanacard</t>
  </si>
  <si>
    <t>M: General meds</t>
  </si>
  <si>
    <t>F: Wegmans (Shivani)</t>
  </si>
  <si>
    <t>Kids-Classes - Wayland Swimming</t>
  </si>
  <si>
    <t>M: Christmas Lights - Kmart</t>
  </si>
  <si>
    <t>Grocery (Amazon) - Orgain x 5</t>
  </si>
  <si>
    <t>F: Buffalo Wings - Angelo's @ DoubleTree</t>
  </si>
  <si>
    <t>Car: Parking - SFO - Drop off Aai Baba</t>
  </si>
  <si>
    <t>Grocery (Amazon) - LowKarb Granola</t>
  </si>
  <si>
    <t>Grocery (Amazon) -  Lupini Flakes</t>
  </si>
  <si>
    <t xml:space="preserve">EET: Manoa Falls Parking </t>
  </si>
  <si>
    <t>Grocery (Amazon) - Pickled Veggies</t>
  </si>
  <si>
    <t>F: DoorDash - Boba - Sara at school</t>
  </si>
  <si>
    <t>Meds: CVS Co Pay</t>
  </si>
  <si>
    <t>T: Auto: Mulund-CN, MCN-Shoppers Stop (2)</t>
  </si>
  <si>
    <t>EET: Parking : NASA</t>
  </si>
  <si>
    <t>Car: Repairs: Audi Front bumper</t>
  </si>
  <si>
    <t>MA: Dresses for Sara</t>
  </si>
  <si>
    <t>F: Chim Thai (Shivani's group lunch)</t>
  </si>
  <si>
    <t>Kids-Classes - Singing - SRP</t>
  </si>
  <si>
    <t>Car: Audi undercarriage removal</t>
  </si>
  <si>
    <t>Grocery (Amazon) - Toothpaste</t>
  </si>
  <si>
    <t>Trans: Hotel to WDW Animal Kingdom</t>
  </si>
  <si>
    <t>Grocery (Amazon) - LivLo Granola</t>
  </si>
  <si>
    <t>Grocery (Amazon) - Bonita Chocolate Keto Chips</t>
  </si>
  <si>
    <t>EET: Parsailing</t>
  </si>
  <si>
    <t>Grocey (Amazon) - Sardines</t>
  </si>
  <si>
    <t>M: Walmart ZAGG Keyboard + Case</t>
  </si>
  <si>
    <t>Food (Khusboo, Lexington)</t>
  </si>
  <si>
    <t>E: Smirnoff</t>
  </si>
  <si>
    <t>Grocery SnS</t>
  </si>
  <si>
    <t>M: Target, Glasses 4set</t>
  </si>
  <si>
    <t>F: Pizza (Veg Deluxe, Paneer Tikka) : Nirmal Lifestyle, Mulund</t>
  </si>
  <si>
    <t>EET: NASA Tickets</t>
  </si>
  <si>
    <t>F: Middle Eastern, MIT</t>
  </si>
  <si>
    <t>Gifts: Adi; A&amp;F</t>
  </si>
  <si>
    <t>M: Salon</t>
  </si>
  <si>
    <t>M: Amazon (Nursing bra)</t>
  </si>
  <si>
    <t>M:Haircut</t>
  </si>
  <si>
    <t>Grocery (Amazon - SnS)</t>
  </si>
  <si>
    <t>M: Haircut</t>
  </si>
  <si>
    <t>Grocery (Amazon) - Toilet Paper Roll</t>
  </si>
  <si>
    <t>Trans: WDW Animal Kingdom to Hotel</t>
  </si>
  <si>
    <t>Grocery (Amazon) - PrimePantry</t>
  </si>
  <si>
    <t>Grocery (Amazon) - LorAnn - Strawberry, Blueberry</t>
  </si>
  <si>
    <t>M (Amazon) - OXO Jar</t>
  </si>
  <si>
    <t>Grocery (Amazon) - L-Carnitine</t>
  </si>
  <si>
    <t>Grocery (Walmart) - Keto Bread</t>
  </si>
  <si>
    <t>Misc (Adi's Gift)</t>
  </si>
  <si>
    <t>Gifts: B'day Card</t>
  </si>
  <si>
    <t>M: Express</t>
  </si>
  <si>
    <t>G: Renu</t>
  </si>
  <si>
    <t>MA: Skirt Piece, Raymonds, Thane</t>
  </si>
  <si>
    <t>EET Fun Ride :NASA</t>
  </si>
  <si>
    <t>G: Salon (Aai)</t>
  </si>
  <si>
    <t>M: Amazon (Baby bath)</t>
  </si>
  <si>
    <t>Insurance: Geico - Umbrella Insurance</t>
  </si>
  <si>
    <t>Grocery (Amazon) - Teddie PB (26 oz x 3)</t>
  </si>
  <si>
    <t>F: Disney Animal Kingdom</t>
  </si>
  <si>
    <t>M: WalMart - Weighted Vest</t>
  </si>
  <si>
    <t>M: Amazon - Keen Shoes</t>
  </si>
  <si>
    <t>F: Marugame Udon</t>
  </si>
  <si>
    <t>Misc (AAA Membership)</t>
  </si>
  <si>
    <t>F: Da Lat, Vietnamese</t>
  </si>
  <si>
    <t>M: Watch cell</t>
  </si>
  <si>
    <t>G: Himani-Vineet</t>
  </si>
  <si>
    <t>MA: Shivani : Roop Sangam, Vashi</t>
  </si>
  <si>
    <t>G: NASA Gift Shop</t>
  </si>
  <si>
    <t>T: Cab to airport</t>
  </si>
  <si>
    <t>G: Target (Gift for Sayan)</t>
  </si>
  <si>
    <t>F: Disney Pop Century</t>
  </si>
  <si>
    <t>F: P&amp;S - Pats Div Playoffs vs Raven (35-31) -Pats</t>
  </si>
  <si>
    <t>MA: Jeans -Target -Google Express 40-15</t>
  </si>
  <si>
    <t>Grocery (Amazon) - Chia</t>
  </si>
  <si>
    <t>EET: Universal Studios and Islands of Adentures</t>
  </si>
  <si>
    <t>Grocery (Amazon) - Orgain x 4</t>
  </si>
  <si>
    <t>MA: Rei - Keen Shoes</t>
  </si>
  <si>
    <t>F: Kamana India Kitchen</t>
  </si>
  <si>
    <t>Grocery (Amazon) - Unsweetened Cocoa Powder</t>
  </si>
  <si>
    <t>M: Amazon - Phone Case</t>
  </si>
  <si>
    <t>Misc (Bath works)</t>
  </si>
  <si>
    <t>M: Xbox Controller</t>
  </si>
  <si>
    <t>M: Earrings, Claire</t>
  </si>
  <si>
    <t>G: Shivani: Roop Sangam, Vashi</t>
  </si>
  <si>
    <t>F: Mocha + Water</t>
  </si>
  <si>
    <t>MA: Bangles</t>
  </si>
  <si>
    <t>Fees: Jetblue (Backage gate checkin)</t>
  </si>
  <si>
    <t>EET: Iphone app - Shivani</t>
  </si>
  <si>
    <t>F: Mirchi - Shivani</t>
  </si>
  <si>
    <t>MA: J.Crew Purple Gingham - Ebay</t>
  </si>
  <si>
    <t>M: Olivanders - Hermione Granger wand</t>
  </si>
  <si>
    <t>Grocery (Amazon) - GoL Vegan</t>
  </si>
  <si>
    <t>M: Amazon - Keen Sandals</t>
  </si>
  <si>
    <t>Grocery (Amazon) - Apple Cider Gummies</t>
  </si>
  <si>
    <t>F: Sara's school take outs</t>
  </si>
  <si>
    <t>Food (Haegan Daas)</t>
  </si>
  <si>
    <t>M: CVS Roll Processing</t>
  </si>
  <si>
    <t>F: Starbucks, Framingham</t>
  </si>
  <si>
    <t>MA: Bata, Footwear</t>
  </si>
  <si>
    <t>M: Shutterfly Photobook</t>
  </si>
  <si>
    <t>F: Ellora's</t>
  </si>
  <si>
    <t>F: Disney Pop Century (Lunch)</t>
  </si>
  <si>
    <t>F: Shivani</t>
  </si>
  <si>
    <t>Kids:Classes - Skiward</t>
  </si>
  <si>
    <t>F: The Curry House: Shivani</t>
  </si>
  <si>
    <t>MA: Under Armour (Ebday)</t>
  </si>
  <si>
    <t>G: Kohls - Fleece pants for Aai</t>
  </si>
  <si>
    <t>F: Gilly Water + Potion</t>
  </si>
  <si>
    <t>Grocery (Amazon) - Hydration</t>
  </si>
  <si>
    <t>Grocery (Amazon - Fresh)</t>
  </si>
  <si>
    <t>Grocery (Amazon) - Pea Crisps</t>
  </si>
  <si>
    <t>F: Il Gelato</t>
  </si>
  <si>
    <t>Grocery (Amazon) - Hydrasurge</t>
  </si>
  <si>
    <t>Misc (Bed, Bath &amp; Bey.)</t>
  </si>
  <si>
    <t>M: SnS</t>
  </si>
  <si>
    <t>M: Books Etc</t>
  </si>
  <si>
    <t>E: Car Rental</t>
  </si>
  <si>
    <t>M: Vashi Food Bazaar</t>
  </si>
  <si>
    <t>F: Chipotle</t>
  </si>
  <si>
    <t>F: Dunkin : Munchkins</t>
  </si>
  <si>
    <t>KF: BRUS</t>
  </si>
  <si>
    <t>M: Salon: Hair coloring</t>
  </si>
  <si>
    <t>EET: Train Ride: Disney downtown</t>
  </si>
  <si>
    <t>M: Amazon Razor Mach 3</t>
  </si>
  <si>
    <t>Grocery (Vitamin Shopee) - Caramel Syrup</t>
  </si>
  <si>
    <t>F: Zonkos</t>
  </si>
  <si>
    <t>Grocery (Amazon) - Nescafe</t>
  </si>
  <si>
    <t>MH: Ring Indoor Cams x 2</t>
  </si>
  <si>
    <t>Grocery (Amazon) - Whey Crisps</t>
  </si>
  <si>
    <t>F: Wahlburgers - Doordash</t>
  </si>
  <si>
    <t>M: Gas</t>
  </si>
  <si>
    <t>Gas (Sonata)</t>
  </si>
  <si>
    <t>G: Money to Rahul S</t>
  </si>
  <si>
    <t>Parking: Ticket MIT</t>
  </si>
  <si>
    <t>KM: BRUS</t>
  </si>
  <si>
    <t>M: Trips Etc</t>
  </si>
  <si>
    <t>M: Hair cuttery</t>
  </si>
  <si>
    <t>F: Dinner (Earl of Sandwich)</t>
  </si>
  <si>
    <t>MA: Kohls - Pants - SRP + Belta</t>
  </si>
  <si>
    <t>F: Starbucks</t>
  </si>
  <si>
    <t>Grocery (Amazon) - Larabar</t>
  </si>
  <si>
    <t>MH: Ring Outdoor Cameras x 4 (Verizon)</t>
  </si>
  <si>
    <t>Grocery (Amazon) - Dried Cod</t>
  </si>
  <si>
    <t>F: Panda Express - Doordash</t>
  </si>
  <si>
    <t>Grocery IG</t>
  </si>
  <si>
    <t>Grocery (BJs)</t>
  </si>
  <si>
    <t>G: Renu Cake</t>
  </si>
  <si>
    <t>E:Travel to Vinzhai</t>
  </si>
  <si>
    <t>G: Saree for Dadi</t>
  </si>
  <si>
    <t>F: Disney Pop Century (Dinner)</t>
  </si>
  <si>
    <t>G: Sarveshi B'day gift</t>
  </si>
  <si>
    <t>F: India Spices, Framingham</t>
  </si>
  <si>
    <t>F: The Masala Café: Shivani</t>
  </si>
  <si>
    <t>F: Hogsmeade - ButterBeer</t>
  </si>
  <si>
    <t>Grocery (Amazon) - Charmin</t>
  </si>
  <si>
    <t>Grocery (Amazon) - Blueberry LorAnn</t>
  </si>
  <si>
    <t>Grocery (Amazon) - Salmon Cracklets</t>
  </si>
  <si>
    <t>F: ABC Stores - Salmon Sushi</t>
  </si>
  <si>
    <t>MA: Amazon - Sweatpants + Bell Bottoms</t>
  </si>
  <si>
    <t>Gifts: Aviv's B'day</t>
  </si>
  <si>
    <t>Grocery : Aldi, CT</t>
  </si>
  <si>
    <t>MH: Pressure Cooker + Rings, Thane</t>
  </si>
  <si>
    <t>Phone: Long Dist: Reliance</t>
  </si>
  <si>
    <t>G; TJM</t>
  </si>
  <si>
    <t>G: Shawl for Aai + Dada</t>
  </si>
  <si>
    <t>F: Magic Kingdom (Bakery - Breakfast)</t>
  </si>
  <si>
    <t>M: Books, Amazon</t>
  </si>
  <si>
    <t xml:space="preserve">Grocery (Target) - Lysol - 5 </t>
  </si>
  <si>
    <t>Gas (Merc)</t>
  </si>
  <si>
    <t>M: Amazon - Light automation x 2</t>
  </si>
  <si>
    <t>Trans: Universal to DoubleTree</t>
  </si>
  <si>
    <t>Grocery (Amazon) - Cortizone</t>
  </si>
  <si>
    <t>Grocery (Amazon) - Lime Powder</t>
  </si>
  <si>
    <t>Grocery (Amazon) - Girls Cami</t>
  </si>
  <si>
    <t>F: Pineapple Shaved Ice + Pina colada - Sandy Beaxch PArk - Hanumba Bay</t>
  </si>
  <si>
    <t>Grocery (Amazon) - Prego Sauce x 3</t>
  </si>
  <si>
    <t>M" Macy's TNF Bagpack</t>
  </si>
  <si>
    <t>Grocery (Stop n Shop)</t>
  </si>
  <si>
    <t>G: Vineet Flowers</t>
  </si>
  <si>
    <t>MA: Pantaloon (earings-2 + kurta + activewears-2 )</t>
  </si>
  <si>
    <t>M: Post to India</t>
  </si>
  <si>
    <t>MA: Sandals, Faridabad Mall</t>
  </si>
  <si>
    <t>F: Magic Kingdom (Gaston's Tavern)</t>
  </si>
  <si>
    <t>M: Pricing book, Amazon</t>
  </si>
  <si>
    <t>OTE: Donation: Aarti's Walk</t>
  </si>
  <si>
    <t>F: Chipotle - Orlando Airport</t>
  </si>
  <si>
    <t>Grocery (Amazon) - Febreeze</t>
  </si>
  <si>
    <t>MH: IKEA Billy Bookcase -Narrow</t>
  </si>
  <si>
    <t>Grocery (Amazon) - Antacid</t>
  </si>
  <si>
    <t>F: Rainbow Drive-In (Doordash delivery to Waikiki Beach)</t>
  </si>
  <si>
    <t>M: Hair Cut - Zoo Nish</t>
  </si>
  <si>
    <t>MA: Altra - Shoes - M</t>
  </si>
  <si>
    <t>Food (Chinese- Burlington)</t>
  </si>
  <si>
    <t>Gas (audi)</t>
  </si>
  <si>
    <t>F: NJ Khasiyat</t>
  </si>
  <si>
    <t>MA : Lifestyle ( )</t>
  </si>
  <si>
    <t>F: Momo's Pasta</t>
  </si>
  <si>
    <t>E: Swati's wedding</t>
  </si>
  <si>
    <t>F: Magic Kingdom</t>
  </si>
  <si>
    <t>Grocery (Wine)</t>
  </si>
  <si>
    <t>Grocery (Amazon Prime) - Almond Butter - 25 - 10</t>
  </si>
  <si>
    <t>Meds: Advil - Orlando Airport</t>
  </si>
  <si>
    <t>Grocery (Amazon ) - Avocado Oil Spray</t>
  </si>
  <si>
    <t>Grocery (Amazon) - Sascha Inchi Seeds</t>
  </si>
  <si>
    <t>M: Amazon - Tarp</t>
  </si>
  <si>
    <t>F: Al Moana Center - Tonkatsu Ramen</t>
  </si>
  <si>
    <t>M: Cuisinart Coffee Maker - Amazon</t>
  </si>
  <si>
    <t>MA: adidas spezial shows - Mr.Porter</t>
  </si>
  <si>
    <t>Misc (Kohls)</t>
  </si>
  <si>
    <t>G: Perfume : Renu</t>
  </si>
  <si>
    <t>Car: Servicing Audi</t>
  </si>
  <si>
    <t>T: Tolls</t>
  </si>
  <si>
    <t>F: Popcorn</t>
  </si>
  <si>
    <t>G: Momo's Pasta</t>
  </si>
  <si>
    <t>Parking : MIT</t>
  </si>
  <si>
    <t>F: Delhi Airport - South Indian</t>
  </si>
  <si>
    <t>EET: Stroller Rental</t>
  </si>
  <si>
    <t>M: Amazon - 3D Puzzle</t>
  </si>
  <si>
    <t>G: WalMart - Wrist Brace for Aai</t>
  </si>
  <si>
    <t>Grocery (VitaCost)</t>
  </si>
  <si>
    <t>Grocery (Amazon )- Imitation Vanilla</t>
  </si>
  <si>
    <t>Grocery (Amazon) - Chocolate Chips</t>
  </si>
  <si>
    <t>M: Amazon - Cycle Stand</t>
  </si>
  <si>
    <t>F: Jamba Juice</t>
  </si>
  <si>
    <t>MA: Mens Fleece</t>
  </si>
  <si>
    <t>MA: Marshalls</t>
  </si>
  <si>
    <t>Misc (Punni's Gift)</t>
  </si>
  <si>
    <t>Gas (Sonata), CT</t>
  </si>
  <si>
    <t xml:space="preserve">M:Big Bazaar </t>
  </si>
  <si>
    <t>G: Tom Thumb</t>
  </si>
  <si>
    <t>F: Delhi Airport - Chicken tikka + CC</t>
  </si>
  <si>
    <t>Disney: Tickets Magic + Animal Kingdom</t>
  </si>
  <si>
    <t>G: TJX</t>
  </si>
  <si>
    <t xml:space="preserve">M: Amazon </t>
  </si>
  <si>
    <t>Grocery (WalMart) - Cheerios Cereal</t>
  </si>
  <si>
    <t>Grocery (Amazon) - Peanut Flour (3lbs)</t>
  </si>
  <si>
    <t>Grocery (Amazon) - Trash Bags x 2</t>
  </si>
  <si>
    <t>F: Henry's Ice Cream</t>
  </si>
  <si>
    <t>Misc (Aquarium)</t>
  </si>
  <si>
    <t>Gas : Altima</t>
  </si>
  <si>
    <t>M: Glue, Lowe's</t>
  </si>
  <si>
    <t>Gas (Sonata), Hudson, MA</t>
  </si>
  <si>
    <t>G: Lifestyle: Dad</t>
  </si>
  <si>
    <t>F: Dinner : Hoolihans</t>
  </si>
  <si>
    <t>KM: ToysRus</t>
  </si>
  <si>
    <t>F: Delhi Airport - Coffee etc</t>
  </si>
  <si>
    <t>M: Target: Nursing Pads</t>
  </si>
  <si>
    <t>F: Magic Kingdom, Ice Cream</t>
  </si>
  <si>
    <t>M: Amazon - Winter Hat + Hair Clips</t>
  </si>
  <si>
    <t>Trans: Hotel to Airport</t>
  </si>
  <si>
    <t>Grocery (Amazon) - Air Fryer Liners</t>
  </si>
  <si>
    <t>M: Amazon - Apple Pencil case</t>
  </si>
  <si>
    <t>Misc (Mom's Gift)</t>
  </si>
  <si>
    <t>M: Aai Gift</t>
  </si>
  <si>
    <t>M: Apparel : Filene's</t>
  </si>
  <si>
    <t>Gas (Sonata), Hertz</t>
  </si>
  <si>
    <t>M: Planet M : CDs</t>
  </si>
  <si>
    <t>G: Dinner : Hoolihans</t>
  </si>
  <si>
    <t>F: P&amp;S: Pizza</t>
  </si>
  <si>
    <t>G: Gold Bangles for Aai</t>
  </si>
  <si>
    <t>M: Books for Sara</t>
  </si>
  <si>
    <t>M: Storage - Sugar Sync</t>
  </si>
  <si>
    <t>Grocery (Amazon - Bathroon Paper roll)</t>
  </si>
  <si>
    <t>Trans: SFO to Home</t>
  </si>
  <si>
    <t>Grocery (Amazon) - Almond Milk x 2</t>
  </si>
  <si>
    <t>M: Don Quixote</t>
  </si>
  <si>
    <t>Grocery (Amazon) - Over roasted nuts</t>
  </si>
  <si>
    <t>M: Amazon - Airpods case</t>
  </si>
  <si>
    <t>Misc (Inspection- Bancroft)</t>
  </si>
  <si>
    <t>M: AAA Membership : Shibu</t>
  </si>
  <si>
    <t>F: Au Bon Pain, Natick Mall</t>
  </si>
  <si>
    <t>G: B'day Cards for Aai</t>
  </si>
  <si>
    <t>M: Target : Camera Cover</t>
  </si>
  <si>
    <t>MA: Shivani's blouse</t>
  </si>
  <si>
    <t>M: Milk Bags (Amazon)</t>
  </si>
  <si>
    <t>F: Magic Kingdom (Dinner - Tony's)</t>
  </si>
  <si>
    <t>Phone: Reliance</t>
  </si>
  <si>
    <t>F: Dunkin</t>
  </si>
  <si>
    <t>Grocery (Amazon) - Orgain x 2</t>
  </si>
  <si>
    <t>M: Amazon - Hary Potter Piggy Bank</t>
  </si>
  <si>
    <t>Grocery (Amazon) - Crystallized Lime</t>
  </si>
  <si>
    <t>Grocery (WalMart) - Instacart</t>
  </si>
  <si>
    <t>MA: Macy's Al Moana Center - Sweatshirt for Sara</t>
  </si>
  <si>
    <t>Grocery (Amazon) - CotoPaxi</t>
  </si>
  <si>
    <t>Misc (CVC)</t>
  </si>
  <si>
    <t>F: Shibu Cafeteria</t>
  </si>
  <si>
    <t>M: Miscellaneous</t>
  </si>
  <si>
    <t>Grocery (MB)</t>
  </si>
  <si>
    <t>MA: Sara's shoes</t>
  </si>
  <si>
    <t>M: Milk Bags (Target)</t>
  </si>
  <si>
    <t>F: Disney Pop Centiury - Breakfast</t>
  </si>
  <si>
    <t>M: Amazon</t>
  </si>
  <si>
    <t>Car: Audi Tires - Sears</t>
  </si>
  <si>
    <t xml:space="preserve">Grocery (Amazon) - Gummies x 2 </t>
  </si>
  <si>
    <t>G: Amazon.in - Foot and Calf Massager for Aai Baba</t>
  </si>
  <si>
    <t>Grocery (Amazon) - Livlo Granola</t>
  </si>
  <si>
    <t>Gas (Rental)</t>
  </si>
  <si>
    <t>M: Amazon - Apple iPad Keyboard</t>
  </si>
  <si>
    <t>Misc (Gold Fish)</t>
  </si>
  <si>
    <t>G: Mom Flowers</t>
  </si>
  <si>
    <t>G: RahulS Postage</t>
  </si>
  <si>
    <t>Travel: Rick from Home to Mulund CN</t>
  </si>
  <si>
    <t>T: Limo from airport</t>
  </si>
  <si>
    <t>KM: TJX</t>
  </si>
  <si>
    <t>F: Animal Kingdom - Lunch - Flame Treee</t>
  </si>
  <si>
    <t>G: Valentine's day for Sara's school</t>
  </si>
  <si>
    <t>Car: Towing to Sears 6 miles (first 3 miles free)</t>
  </si>
  <si>
    <t>Grocery (Amazon) - Pumpkin Puree x 12</t>
  </si>
  <si>
    <t>M: Amazon - Storage Box</t>
  </si>
  <si>
    <t>Grocery (Amazon) - Cookies and Cream Flavor</t>
  </si>
  <si>
    <t>EET: Uber to Home</t>
  </si>
  <si>
    <t>MA: Amazon - Toe Spearator</t>
  </si>
  <si>
    <t>Dinner (Indian/ Take Out)</t>
  </si>
  <si>
    <t>G: Asia, Book</t>
  </si>
  <si>
    <t>Travel: Cab to Juhu (Adi's engagement)</t>
  </si>
  <si>
    <t>F: Monginis cake</t>
  </si>
  <si>
    <t>F: Animal Kingdon - Wings _ Fruit Salad</t>
  </si>
  <si>
    <t>F: EMC - Sobo 5</t>
  </si>
  <si>
    <t>Grocery (Quest Bars - VitaCost)</t>
  </si>
  <si>
    <t>Grocery (Amazon) - Annie's Mac &amp; Cheese x 12</t>
  </si>
  <si>
    <t>F: Westfield Valley Mall - Pizza My Heart</t>
  </si>
  <si>
    <t>Grocery (Amazon) - Peanut Flour</t>
  </si>
  <si>
    <t>M: Amazon - Masks</t>
  </si>
  <si>
    <t>MA: Amqazon - Dress</t>
  </si>
  <si>
    <t>Misc (Valentine Gift)</t>
  </si>
  <si>
    <t>M: Book, Da Vinci Code</t>
  </si>
  <si>
    <t>MK: Toaster</t>
  </si>
  <si>
    <t>Travel : Rick from Juhu to Mulund</t>
  </si>
  <si>
    <t>F: Pritam: Aai's b'day treat</t>
  </si>
  <si>
    <t>Gifts: TJX</t>
  </si>
  <si>
    <t>F: Animal Kingdon - Ice Cream + Fruits</t>
  </si>
  <si>
    <t>Grocery (Amazon) - Kashi Cereal</t>
  </si>
  <si>
    <t>G: Westfield Valley Mall - Pizza My Heart - Arin/Mira</t>
  </si>
  <si>
    <t>Meds: Walmart Children's Motrin</t>
  </si>
  <si>
    <t>Grocery (Amazon) - Nature's Best Vegan Powder</t>
  </si>
  <si>
    <t>MH: Home Depot - Attic Ladder</t>
  </si>
  <si>
    <t>Grocery (Aamzon) - Monk Fruit</t>
  </si>
  <si>
    <t>E: India vs Australia, Gabba</t>
  </si>
  <si>
    <t>M: Subscription: Money</t>
  </si>
  <si>
    <t>Travel: BEST # 27 from Mulund to Sidhhi Vinayak</t>
  </si>
  <si>
    <t>G: Marshalls</t>
  </si>
  <si>
    <t>M: Baby wipes</t>
  </si>
  <si>
    <t xml:space="preserve">M: Badger </t>
  </si>
  <si>
    <t>F: Animal Kingdon - Tea</t>
  </si>
  <si>
    <t>Fees: AAA membership - Shivani</t>
  </si>
  <si>
    <t>Grocery (Amazon) - Stevia</t>
  </si>
  <si>
    <t>EET: Santana Row - Ruta, Sunil, Arin, Mira</t>
  </si>
  <si>
    <t xml:space="preserve">Meds: Walmart </t>
  </si>
  <si>
    <t>M: Michael's - Frames x 3</t>
  </si>
  <si>
    <t>Grocery (Amazon) - Perrier Fusion Pineapple Mango - 17</t>
  </si>
  <si>
    <t>Meds: Chiropractor - SRP</t>
  </si>
  <si>
    <t>MA: Sweatshirt - Zappos</t>
  </si>
  <si>
    <t>Grocery (Amazon) - Peanut Powder</t>
  </si>
  <si>
    <t>Misc (GAP)</t>
  </si>
  <si>
    <t>M: Photo Processing</t>
  </si>
  <si>
    <t>M: Amazon : USB Hub</t>
  </si>
  <si>
    <t>Travel: BEST # 80 from Mahalaxmi to Bandra</t>
  </si>
  <si>
    <t>F: Fresh City, Natick, MA</t>
  </si>
  <si>
    <t>G: Nalli Saree</t>
  </si>
  <si>
    <t>Car: Nissan Altima - New Battey - AAA</t>
  </si>
  <si>
    <t xml:space="preserve">F: P&amp;S Pizza </t>
  </si>
  <si>
    <t xml:space="preserve">M: Amaozn - Body Wash - Olay + Dove </t>
  </si>
  <si>
    <t>MA: GAP/OldNavy - Anishka/Sara</t>
  </si>
  <si>
    <t>Grocery (Amazon) - Orbit</t>
  </si>
  <si>
    <t>MH: Home Depot French Doors</t>
  </si>
  <si>
    <t>M:H: Amazon - Garden Hose</t>
  </si>
  <si>
    <t>Grocery (Uber Eats)</t>
  </si>
  <si>
    <t>Misc (Petco)</t>
  </si>
  <si>
    <t>Grocery : SnS</t>
  </si>
  <si>
    <t>M: Amazon : S Video to RCA Cable</t>
  </si>
  <si>
    <t>Travel: BEST # 422 from Bandra to Mulund</t>
  </si>
  <si>
    <t>MA: Perfume : Clairborne, Marshalls</t>
  </si>
  <si>
    <t>KM: Claire's</t>
  </si>
  <si>
    <t>E: Visa stamping</t>
  </si>
  <si>
    <t>F: Disney Art of Animation - Breakfast</t>
  </si>
  <si>
    <t>M: Amazon - Hat</t>
  </si>
  <si>
    <t>EET: Patriots vs Kansas - AFC Divisional Round - Ruta's</t>
  </si>
  <si>
    <t xml:space="preserve">M: Amazon - Watch Batteries </t>
  </si>
  <si>
    <t>MA: Columbia - Anishka</t>
  </si>
  <si>
    <t>Grocery (Amazon) - Ibuprofen</t>
  </si>
  <si>
    <t>MH: Home Depot French Door Office</t>
  </si>
  <si>
    <t>GrocerY (Amazon)  - Almond Powder</t>
  </si>
  <si>
    <t>Misc (BlockBuster)</t>
  </si>
  <si>
    <t>Car Mt : Altima</t>
  </si>
  <si>
    <t>E: Rang De Basanti</t>
  </si>
  <si>
    <t>Travel: Rick from Mulund (Vaishal Ngr to Home) (2)</t>
  </si>
  <si>
    <t>Ed; Babson CoursePack</t>
  </si>
  <si>
    <t>F: Dhaba at Lonavala : Bad food</t>
  </si>
  <si>
    <t>EET: Car Rental - Alamo - 2013  Nissan Altima</t>
  </si>
  <si>
    <t>Meds: Doc CoPay</t>
  </si>
  <si>
    <t>G: Ice Cream for Game party</t>
  </si>
  <si>
    <t>Grocery (Amazon) - Colgate Toothpaste</t>
  </si>
  <si>
    <t>G: Safeway - Greeting Card</t>
  </si>
  <si>
    <t>G: Flowers for Aai's birthday</t>
  </si>
  <si>
    <t>Grocery (Amazon) - San Pellegrino Essenza</t>
  </si>
  <si>
    <t>MH: Amazon - Garage Lights x 2</t>
  </si>
  <si>
    <t>Grocery (Amazon) - Celsius</t>
  </si>
  <si>
    <t>Misc (Hair Cut)</t>
  </si>
  <si>
    <t>Car : Inspection</t>
  </si>
  <si>
    <t>F: Lunch, Café Noorani, Haji Ali</t>
  </si>
  <si>
    <t>MA: Blouse stitching</t>
  </si>
  <si>
    <t>MA: Macy's : Jacket</t>
  </si>
  <si>
    <t>F: Longhorn Steakhouse, Orlando</t>
  </si>
  <si>
    <t>M: Star Wars Backpack - Walmart</t>
  </si>
  <si>
    <t>M: Kindle Unlimited</t>
  </si>
  <si>
    <t>M: Amazon - Glue Gun</t>
  </si>
  <si>
    <t>Grocery (Amazon) - Pea Flour</t>
  </si>
  <si>
    <t>MH: Home Depot - Door Handles</t>
  </si>
  <si>
    <t>MA: Amazon - T Shirt</t>
  </si>
  <si>
    <t>Grocery (Amazon) - Chocolate Syrup</t>
  </si>
  <si>
    <t>Car: Maintenance, Altima</t>
  </si>
  <si>
    <t>G: Tashkent, Mulund</t>
  </si>
  <si>
    <t>MA: Disney - St Augustine Outlets</t>
  </si>
  <si>
    <t>M:Car Windshield Cleaner</t>
  </si>
  <si>
    <t xml:space="preserve">Grocery (Quest Bars) x 3 </t>
  </si>
  <si>
    <t>Grocery (Whole Foods)</t>
  </si>
  <si>
    <t>M: ASUS Tri-Band Router - Ebay</t>
  </si>
  <si>
    <t>Grocery (World Market)</t>
  </si>
  <si>
    <t>Grocery (Amazon) - Cacao Powder - 10</t>
  </si>
  <si>
    <t>M: Amazon - Apple Watch 7</t>
  </si>
  <si>
    <t>MA: Amazon - Jacket</t>
  </si>
  <si>
    <t>Grocery (Amazon) - Conditions + Shampoos</t>
  </si>
  <si>
    <t>M; AC Moore</t>
  </si>
  <si>
    <t>M: Shop Rite, Mulund</t>
  </si>
  <si>
    <t>Misc (OSJL)</t>
  </si>
  <si>
    <t>Meds: Childbirth Classes</t>
  </si>
  <si>
    <t>G: Star Bazaar</t>
  </si>
  <si>
    <t>G: Disney - St Augustine Outlets</t>
  </si>
  <si>
    <t>F: Logan Airport</t>
  </si>
  <si>
    <t>School: StB Sar'as Grade 1 Reregistrartion Fee</t>
  </si>
  <si>
    <t>M: Minecraft (Game for Mac)</t>
  </si>
  <si>
    <t>G: Haircut Baba</t>
  </si>
  <si>
    <t>Car: Flat tire Replacement</t>
  </si>
  <si>
    <t>G: Target for Sara's friends</t>
  </si>
  <si>
    <t>Grocery (Amazon ) - IQ Bars x 24</t>
  </si>
  <si>
    <t>M: Amazon - Apple Watch Belts</t>
  </si>
  <si>
    <t xml:space="preserve">Meds: CoPay SRP </t>
  </si>
  <si>
    <t>M: Amazon - Anker Hub</t>
  </si>
  <si>
    <t>Grocery (Amazon) - Loreal</t>
  </si>
  <si>
    <t>F: Dinner, CT</t>
  </si>
  <si>
    <t>M: Watch Belt, Mulund</t>
  </si>
  <si>
    <t xml:space="preserve">G: Yankee Candles </t>
  </si>
  <si>
    <t>M: Photos</t>
  </si>
  <si>
    <t>Gas (Travel)</t>
  </si>
  <si>
    <t>G: Amazon GC, Houston(for Deva)</t>
  </si>
  <si>
    <t>EET: Aai's Birthday (Brownie, Apple Pie, Fruit Ice Cream)</t>
  </si>
  <si>
    <t>Fees: Geico - Umbrella Insurance</t>
  </si>
  <si>
    <t>Meds: Walmart</t>
  </si>
  <si>
    <t>Grocery (NxtBar) - 27</t>
  </si>
  <si>
    <t>Fees: Ring Monitoring</t>
  </si>
  <si>
    <t>Meds Co Pay RDP + Physio Therapy</t>
  </si>
  <si>
    <t>Grocery (Amazon) -  Shritaki Rice</t>
  </si>
  <si>
    <t>Phone (Calling Card)</t>
  </si>
  <si>
    <t>E: Laser Attack</t>
  </si>
  <si>
    <t>M: Amazon: How to Move Mt FUJI</t>
  </si>
  <si>
    <t>F: Snacks: Vishwa Bharati, Mulund</t>
  </si>
  <si>
    <t>F: Sodexho, Southboro</t>
  </si>
  <si>
    <t>Money to India</t>
  </si>
  <si>
    <t>F: Milk - JAX airport</t>
  </si>
  <si>
    <t>M: Dollar Store, Houston</t>
  </si>
  <si>
    <t>G: Flowers + Cake for Aai</t>
  </si>
  <si>
    <t>MA: The Children Place - Jacket (Anishka)</t>
  </si>
  <si>
    <t xml:space="preserve">EET: Sunnyvale Hindu Temple </t>
  </si>
  <si>
    <t>M: Amazon (Spiralizer)</t>
  </si>
  <si>
    <t>Grocery (Amazon) - Orgain -17</t>
  </si>
  <si>
    <t>Kids: Classes IXL</t>
  </si>
  <si>
    <t>Grocery (Amazon) - Veggie Chopper</t>
  </si>
  <si>
    <t>Misc (Rolls)</t>
  </si>
  <si>
    <t>M: Enterprise to Mili</t>
  </si>
  <si>
    <t>F: Order for Monginis Cake for Aai</t>
  </si>
  <si>
    <t>T: Multiple Rickshaw Trips</t>
  </si>
  <si>
    <t>Car: Parking - Logan</t>
  </si>
  <si>
    <t>EET: Car Rental, Houston + Tolls - 9</t>
  </si>
  <si>
    <t>M: Return Shipping - Ebay -UnderArmour jacket</t>
  </si>
  <si>
    <t>M: Amazon (Rubbermaid - Fresh Veggies Storage)</t>
  </si>
  <si>
    <t>Grocery (Amazon) - Gain</t>
  </si>
  <si>
    <t>Meds: Eyes Optometry</t>
  </si>
  <si>
    <t>M: AAA - Notary for Estate Planning</t>
  </si>
  <si>
    <t>Grocery (Amazon) - Clorox + Lysol</t>
  </si>
  <si>
    <t>Misc (Shipping To India)</t>
  </si>
  <si>
    <t>Car Wash Ernie's</t>
  </si>
  <si>
    <t>Grocery (Rotis: Miru)</t>
  </si>
  <si>
    <t>M: Reliance Prepaid Mobile</t>
  </si>
  <si>
    <t>MA: NY&amp;C, Auburn</t>
  </si>
  <si>
    <t>F: Mumbai airport</t>
  </si>
  <si>
    <t>F: McD on the way to San Antonio</t>
  </si>
  <si>
    <t>F: Beer</t>
  </si>
  <si>
    <t>G: El Camino ER Visit</t>
  </si>
  <si>
    <t>MK: Amazon - Tramontina Fry Pan - All Clad</t>
  </si>
  <si>
    <t xml:space="preserve">Home </t>
  </si>
  <si>
    <t>M: Kohls</t>
  </si>
  <si>
    <t>MH: Amazon - Asus Wifi6 Mesh Networking</t>
  </si>
  <si>
    <t xml:space="preserve">MA: Woot - Thermal Tee </t>
  </si>
  <si>
    <t xml:space="preserve">Grocery (Amazon) - Chilli Garlic </t>
  </si>
  <si>
    <t>OTE: CSB Service Charge</t>
  </si>
  <si>
    <t>Grocery: Prashants</t>
  </si>
  <si>
    <t>MA: Express (28- 10Gc), Auburn</t>
  </si>
  <si>
    <t>F: CDG Paris Airport</t>
  </si>
  <si>
    <t>Florida Trip Expenses</t>
  </si>
  <si>
    <t>F: Canyon River, San Antonio, TX</t>
  </si>
  <si>
    <t>EET: Amazon Video - Gone Girl (5.99 -3)</t>
  </si>
  <si>
    <t>Grocery (Wegmans) - Wine</t>
  </si>
  <si>
    <t>Grocery (Nob Hill) -TreSemme Shampoo</t>
  </si>
  <si>
    <t>G: Urgent Care Visit</t>
  </si>
  <si>
    <t>M: Amazon - Pads etc</t>
  </si>
  <si>
    <t>Groccery (Amazon) - NuTrial Keto Granola</t>
  </si>
  <si>
    <t>M: Microsoft 365 Subscription</t>
  </si>
  <si>
    <t xml:space="preserve">M: Amazon - Book - The Worlds I See </t>
  </si>
  <si>
    <t>Misc (Renu's Gift)</t>
  </si>
  <si>
    <t>G: Gold Earrings for Aai : Waman Hari Pethe, Thane</t>
  </si>
  <si>
    <t>Car: Audi 110K: roux's garage</t>
  </si>
  <si>
    <t>F: CDG Paris Airport, Sandwich, Soup, Drink</t>
  </si>
  <si>
    <t>Resort</t>
  </si>
  <si>
    <t>G: Canyon River, San Antonio - Resttaurant Bill</t>
  </si>
  <si>
    <t xml:space="preserve">G: Markshalls - Rachna </t>
  </si>
  <si>
    <t>M: Eddie Bauer - Backpack</t>
  </si>
  <si>
    <t>Grocery (Amazon) - Cheddar bunnies</t>
  </si>
  <si>
    <t xml:space="preserve">MA: Walmart - Misc </t>
  </si>
  <si>
    <t>M: Amazon - Spice Rack</t>
  </si>
  <si>
    <t>Misc (Car Servicing)</t>
  </si>
  <si>
    <t>Gifts: Meds, India, BJs</t>
  </si>
  <si>
    <t>F: Prashant : Pani Puri, Dahi Puri, Chole Tikki</t>
  </si>
  <si>
    <t>Car: 120 K Servicing : Altima</t>
  </si>
  <si>
    <t>Home: Heater Maintenance</t>
  </si>
  <si>
    <t>F: CDG: Milk</t>
  </si>
  <si>
    <t>Air Tickets</t>
  </si>
  <si>
    <t>Gas (Rental - San Antonio)</t>
  </si>
  <si>
    <t>Grocery (Beer)</t>
  </si>
  <si>
    <t>M: Marshalls -</t>
  </si>
  <si>
    <t>G: Kohls - Fleece Jacket for Aai</t>
  </si>
  <si>
    <t>M: Amazon - Zorijushi Flask</t>
  </si>
  <si>
    <t>Grocery (Amazon) - IQBars -Variety Back - 15</t>
  </si>
  <si>
    <t>Pets-Misc - Amazon - Grooming Bruch</t>
  </si>
  <si>
    <t xml:space="preserve">Grocery (Doordash) </t>
  </si>
  <si>
    <t>Misc (AAA Tickets)</t>
  </si>
  <si>
    <t>Misc : BJs</t>
  </si>
  <si>
    <t>G: Ruta and Ramin, Silver Coin, Bharti Jewellers, MG Rd, Mulund</t>
  </si>
  <si>
    <t>Ed: Tuition Reimbursement: Babson</t>
  </si>
  <si>
    <t>F: Dunkin, Houston Airport</t>
  </si>
  <si>
    <t>Grcoery (Marshalls)</t>
  </si>
  <si>
    <t>MA: Kohls - Nishu</t>
  </si>
  <si>
    <t>Grocery (Amazon) - Mac and Cheese x 12 x 2</t>
  </si>
  <si>
    <t>MH: Lowes - French Door</t>
  </si>
  <si>
    <t>MA: North Face Jackets x 2 - Ebay</t>
  </si>
  <si>
    <t>Grocxery (Amazon) - ACV Gummies</t>
  </si>
  <si>
    <t>Misc (Car Wash)</t>
  </si>
  <si>
    <t>Membership BJs</t>
  </si>
  <si>
    <t>Ed: Babson Registration Fee: Refund from Nortel -500</t>
  </si>
  <si>
    <t>Ed: Tuition Reimbursement: MIT -10000</t>
  </si>
  <si>
    <t>Park Tickets</t>
  </si>
  <si>
    <t>Gas (Rental - Houston)</t>
  </si>
  <si>
    <t>Grocery (WalMart) - Meds</t>
  </si>
  <si>
    <t>G: Amazon - Birthday gift Maliha Parmar (Sara's friend)</t>
  </si>
  <si>
    <t>MA: BR - Flannel Shirt</t>
  </si>
  <si>
    <t>G: Amazon - Kate + Natalia</t>
  </si>
  <si>
    <t>M: Stamps</t>
  </si>
  <si>
    <t>M: VA Mayekar Glasses</t>
  </si>
  <si>
    <t>EET: AFC CG Patriots vs Broncos - at our home</t>
  </si>
  <si>
    <t>Grocery (Amazon) - Lorann Oils</t>
  </si>
  <si>
    <t xml:space="preserve">M: Anishka's Passport Renewal </t>
  </si>
  <si>
    <t>MH: IKEA - Bed for Nish</t>
  </si>
  <si>
    <t>MA: Walmart</t>
  </si>
  <si>
    <t>G: Cake for Aai</t>
  </si>
  <si>
    <t>G: Ladu + Oti stuff for Temple</t>
  </si>
  <si>
    <t>Grocery (Target) - Google Express</t>
  </si>
  <si>
    <t>Grocery (Walgreens)</t>
  </si>
  <si>
    <t>MH: Ring Annual Monitoring Premium</t>
  </si>
  <si>
    <t xml:space="preserve">MH: IKEA </t>
  </si>
  <si>
    <t>MA: Birchbury Formal Shoes</t>
  </si>
  <si>
    <t>M: Linens n Things (32) Toaster</t>
  </si>
  <si>
    <t>M: Lacto, Apna Bazaar, Mulund</t>
  </si>
  <si>
    <t>M: Samsung LNT 4661F 1607 - 1100</t>
  </si>
  <si>
    <t>M: BRUS</t>
  </si>
  <si>
    <t>M: Amazon - Hair dryer</t>
  </si>
  <si>
    <t>Grocery (Amazon) - Nate's Honey - 32 oz</t>
  </si>
  <si>
    <t>MH: Los Altos Town Feee Monitoring</t>
  </si>
  <si>
    <t>F: Pav Bhaji Hut</t>
  </si>
  <si>
    <t>M: Amazon - Knives</t>
  </si>
  <si>
    <t>Dinner (Chinese)</t>
  </si>
  <si>
    <t>M: Fedex Package</t>
  </si>
  <si>
    <t>F: Sachin's, Mulund, Birthday Dinner</t>
  </si>
  <si>
    <t>F: Feast India Company</t>
  </si>
  <si>
    <t>Misc (Co Payment)</t>
  </si>
  <si>
    <t>F: Lunch, Unos, Shibu</t>
  </si>
  <si>
    <t>M: Locks, Lifestyle, R-Mall, Mulund</t>
  </si>
  <si>
    <t>G: GAP (Renu)</t>
  </si>
  <si>
    <t>Car: Oil Change - Audi</t>
  </si>
  <si>
    <t>MR: Plumber</t>
  </si>
  <si>
    <t>Misc (Parking)</t>
  </si>
  <si>
    <t>M: Swiss: Charge for Extra Luggage, Mumbai Airport</t>
  </si>
  <si>
    <t>MA : Ann Taylor</t>
  </si>
  <si>
    <t>M: Straitening Iron</t>
  </si>
  <si>
    <t>F: Sakoon</t>
  </si>
  <si>
    <t>MH: Amazon - Pliers</t>
  </si>
  <si>
    <t>Classes: MVVC</t>
  </si>
  <si>
    <t>F: Espresso at Zurich Airport</t>
  </si>
  <si>
    <t>F: Carmine, CT (Renu's Bday)</t>
  </si>
  <si>
    <t>Ed: Social Entr : Books</t>
  </si>
  <si>
    <t>M: Children's Books (Groupon) (25-10)</t>
  </si>
  <si>
    <t>M: Shutterfly - Art Calendar</t>
  </si>
  <si>
    <t>G: Sakoon</t>
  </si>
  <si>
    <t>M: Google Express/Target - Zojirushi Flasks x2</t>
  </si>
  <si>
    <t>MH: Garage Remodel</t>
  </si>
  <si>
    <t>G: Gift Certificate - Nalli</t>
  </si>
  <si>
    <t>Lunch</t>
  </si>
  <si>
    <t>E: Cricket Package</t>
  </si>
  <si>
    <t>F: Chips &lt; Zurich Airport</t>
  </si>
  <si>
    <t>Ed: Social Entr : Course Pack</t>
  </si>
  <si>
    <t>G: Cake etc for Renu's bday</t>
  </si>
  <si>
    <t>Kids: School: Sara's Reregistration Fee</t>
  </si>
  <si>
    <t>MA: Kohls - Pants - SRP + Sweater  - 29</t>
  </si>
  <si>
    <t>MA: Google Express/Target - Harry Potter T-shirt</t>
  </si>
  <si>
    <t>M: Dog - Golden Retriever - English Crème</t>
  </si>
  <si>
    <t>Grocery (Mega Mart)</t>
  </si>
  <si>
    <t>Dinner (Masalaa, Billerica)</t>
  </si>
  <si>
    <t>E: Khakee</t>
  </si>
  <si>
    <t>EET: Taxicab : Logan-Framingham</t>
  </si>
  <si>
    <t>G: TRUS (Sayan)</t>
  </si>
  <si>
    <t>F: Afghan, West Hartford, CT</t>
  </si>
  <si>
    <t>Kids: School: Anishka's Registration Fee</t>
  </si>
  <si>
    <t>MA: Paris - Trip - Shivani</t>
  </si>
  <si>
    <t>Grocery (Amazon) - Orgain x 1</t>
  </si>
  <si>
    <t xml:space="preserve">Grocery (Amazon) </t>
  </si>
  <si>
    <t xml:space="preserve">Grocery (WalMart) </t>
  </si>
  <si>
    <t>MA: Amazon - Mens shorts</t>
  </si>
  <si>
    <t>Grocery (Amazon) - Coffee Essense</t>
  </si>
  <si>
    <t>M: TRUS</t>
  </si>
  <si>
    <t>G: TJX Renu</t>
  </si>
  <si>
    <t>G: Paris Trip (For Aai Baba)</t>
  </si>
  <si>
    <t>Grocery (Amazon) - Quest x 3</t>
  </si>
  <si>
    <t>MH: Amazon - Chamberlain IQ Garage Controller</t>
  </si>
  <si>
    <t>Pet-M: WalMart</t>
  </si>
  <si>
    <t>M: Amazon - Neutragena face wash</t>
  </si>
  <si>
    <t>Grocery (Amazon) - Salted Caramel Essence x 2</t>
  </si>
  <si>
    <t>Ed: Babson Fee 998 + 500 : Reimbursed Nortel</t>
  </si>
  <si>
    <t>G: Dadi : Blanket</t>
  </si>
  <si>
    <t>MA: TRUS Princess dress for Sara</t>
  </si>
  <si>
    <t>G: TRUS - Tanish</t>
  </si>
  <si>
    <t>G: Amazon - Holiday Gift Card for Sean the Handyman</t>
  </si>
  <si>
    <t>Pet-M: Amazon - PlayPen</t>
  </si>
  <si>
    <t>G: Amazon - Bday gift of Nish's friend Natalia</t>
  </si>
  <si>
    <t>Grocery (Amazon) - Keto ACV Gummies</t>
  </si>
  <si>
    <t>Ed: Books: Shivani</t>
  </si>
  <si>
    <t>G: Adi: Gap</t>
  </si>
  <si>
    <t>Meds: CVS CoPay</t>
  </si>
  <si>
    <t>M: Passport photos - Sara -AAA, West Hartford, CT</t>
  </si>
  <si>
    <t>MH: Amazon - Lamp Post</t>
  </si>
  <si>
    <t>Pet-M: Amazon - Poop Bags</t>
  </si>
  <si>
    <t>Grocery (Amazon) - Cafe Bustello</t>
  </si>
  <si>
    <t>Pet-Misc (Amazon) - Perfume</t>
  </si>
  <si>
    <t>Ed: Books: Rahul Ret -29</t>
  </si>
  <si>
    <t>G: Postage : package to Dadi</t>
  </si>
  <si>
    <t>MA: Macys (Shirt)</t>
  </si>
  <si>
    <t>Home: Clogged Dish Washer (G&amp;L Plumbing)</t>
  </si>
  <si>
    <t>Car: Car Wash</t>
  </si>
  <si>
    <t>Grocery (Amazon) - Lysol Spray</t>
  </si>
  <si>
    <t>M: Amazon - Visual Book on Constituition</t>
  </si>
  <si>
    <t xml:space="preserve">Pet-M: Amazon Leash + Tags </t>
  </si>
  <si>
    <t>Grocery (Amazon) - MF Sweetner</t>
  </si>
  <si>
    <t>MA: Compression Tights Girls</t>
  </si>
  <si>
    <t>Net</t>
  </si>
  <si>
    <t>M: Fedex: PERM LC Postage</t>
  </si>
  <si>
    <t>MA: Kohls (Shirt)</t>
  </si>
  <si>
    <t>K-Ed: Re-registration Fee for StB (Sara)</t>
  </si>
  <si>
    <t>EET: Kung Fu Panda 3 x 4 (SPM)</t>
  </si>
  <si>
    <t>Grocery (Amazon) - Orgain Proteins and Greens</t>
  </si>
  <si>
    <t>Grocery (MCT Bars)</t>
  </si>
  <si>
    <t>Pet-M: Amazon - Toothpaste</t>
  </si>
  <si>
    <t>Grocert (Amazon) - MunkPack</t>
  </si>
  <si>
    <t xml:space="preserve">Grocery (Amazon) - Yerba Mate x 2 </t>
  </si>
  <si>
    <t>G: Fedex :  Photo Packs</t>
  </si>
  <si>
    <t>MA: TJX (Mambo)</t>
  </si>
  <si>
    <t xml:space="preserve">K-Ed: Stb funds </t>
  </si>
  <si>
    <t>Grocery (Amazon) - PB Fit</t>
  </si>
  <si>
    <t>Grocery (Fastful Bars) - 9</t>
  </si>
  <si>
    <t>Pet-F: Amazon - Dry Food</t>
  </si>
  <si>
    <t>Grocery (Amazon) - Quest Bars</t>
  </si>
  <si>
    <t xml:space="preserve">Home-MR- Gardening </t>
  </si>
  <si>
    <t xml:space="preserve">Grocery (Amzon) - Amazing Grass - Berry </t>
  </si>
  <si>
    <t>Grocery (Amazon) - Quest Bars - Chocolate Peanut Butter</t>
  </si>
  <si>
    <t>Pet:M: Amazon - Toothbrush</t>
  </si>
  <si>
    <t>Grocery (Amazon) - Bounty</t>
  </si>
  <si>
    <t>G: Marshalls - Purses</t>
  </si>
  <si>
    <t>Grocery (Amazon) - Colgate ToothPaste</t>
  </si>
  <si>
    <t>MA: Amazon - Sandals</t>
  </si>
  <si>
    <t>Grocert (Amazon) - Charmin</t>
  </si>
  <si>
    <t>OTE: Finance Charges for Purchases in India</t>
  </si>
  <si>
    <t>MK: WalMart - Tramontina Fry Pan - All Clad</t>
  </si>
  <si>
    <t>MH: Amazon - Patio Furniture Covers</t>
  </si>
  <si>
    <t>Pet: M: Amazon - Odor Eliminators</t>
  </si>
  <si>
    <t>Grocery (Amazon) - Collagen Peptides</t>
  </si>
  <si>
    <t>Phone: Ooma</t>
  </si>
  <si>
    <t>MH: Amazon - Space Heater x 2</t>
  </si>
  <si>
    <t>Pet: M: Chewy - Table Crate</t>
  </si>
  <si>
    <t>Grocery (Amazon) - PurelyInspired</t>
  </si>
  <si>
    <t>M: 1GB USB Flash Drive</t>
  </si>
  <si>
    <t>Meds: Copay (Anishka)</t>
  </si>
  <si>
    <t>Pet: M: Amazon - Pee Pad Tray</t>
  </si>
  <si>
    <t>Grocery (Amazon) - Sardines</t>
  </si>
  <si>
    <t>Grocery (Amazon) - PerfectKeto</t>
  </si>
  <si>
    <t>Pet: M: Amazon - JnJ Powder</t>
  </si>
  <si>
    <t>Grocery (Amazon) - Coffee</t>
  </si>
  <si>
    <t>M: Haircuttery</t>
  </si>
  <si>
    <t>Grocery (Amazon) - Bubba's Keto Nuts</t>
  </si>
  <si>
    <t>Grocery (Amazon) - 5 Seed Snack</t>
  </si>
  <si>
    <t xml:space="preserve">Grocery (IG) - India Cash &amp; Carry </t>
  </si>
  <si>
    <t>Grocery (Amazon) - Dry Dog Food</t>
  </si>
  <si>
    <t>Grocery (Amazon) - Wet Dog Food</t>
  </si>
  <si>
    <t>Car: Oil Change</t>
  </si>
  <si>
    <t xml:space="preserve">Grocery (Meat Corner) </t>
  </si>
  <si>
    <t>Grocery (Amazon) - Mac and Cheese</t>
  </si>
  <si>
    <t>M: Kohls - Toys - Darth Vader Lightsaber -Nishu</t>
  </si>
  <si>
    <t>Pet:M: Amazon - Chewy Toy</t>
  </si>
  <si>
    <t>M: Scholastic Books</t>
  </si>
  <si>
    <t>MA: Under Armor - Workout clothes</t>
  </si>
  <si>
    <t>Pet: Food: TJs</t>
  </si>
  <si>
    <t>M: Amazon - Neck pillow</t>
  </si>
  <si>
    <t>M: Laundry Detergent (Amazon)</t>
  </si>
  <si>
    <t xml:space="preserve">CalTrain </t>
  </si>
  <si>
    <t>Pet:M: Chewy - Pet Wipes</t>
  </si>
  <si>
    <t>MA: Amazon</t>
  </si>
  <si>
    <t>Phone: Number Portablity</t>
  </si>
  <si>
    <t>Pet:M: Amazon - Poop Scooper</t>
  </si>
  <si>
    <t>G: Amazon - Gift for Aai</t>
  </si>
  <si>
    <t>M: iPhone Cables</t>
  </si>
  <si>
    <t>Pet:M: Amazon - Pet Deos</t>
  </si>
  <si>
    <t>Grocery (Amazon) - Dish Detergent</t>
  </si>
  <si>
    <t>M: iphone Car charger</t>
  </si>
  <si>
    <t>Car: Merc Tire Repair</t>
  </si>
  <si>
    <t>Grocery (Amazon) - Air freshner</t>
  </si>
  <si>
    <t>MA: Tanga - Gloves/ear muffs</t>
  </si>
  <si>
    <t>Pet-Meds: Vaccination and Checkup</t>
  </si>
  <si>
    <t>Grocery (Amazon) - Basmati Rice</t>
  </si>
  <si>
    <t>Pet-F: TJs -</t>
  </si>
  <si>
    <t>Grocery (Amazon) - L'Oreal</t>
  </si>
  <si>
    <t>MH: Amazon - Computer Table</t>
  </si>
  <si>
    <t>Grocery (Amazon) - Lupini Flakes</t>
  </si>
  <si>
    <t>MA: Woot - NF Fleece RDP</t>
  </si>
  <si>
    <t>Grocery (Amazon) - Tresemme</t>
  </si>
  <si>
    <t>M: Amazon - Christmas Storage Box</t>
  </si>
  <si>
    <t>M: Amazon - Fabric shelf organizers</t>
  </si>
  <si>
    <t>Pet-Misc: Amazon - Door Bell</t>
  </si>
  <si>
    <t>Pet-Misc: Amazon - Pee Pad Turf Grass</t>
  </si>
  <si>
    <t>Pet-Misc: Home Depot</t>
  </si>
  <si>
    <t>Classes: College Counselling</t>
  </si>
  <si>
    <t>Pet-Food: Petco</t>
  </si>
  <si>
    <t>MA: TNF</t>
  </si>
  <si>
    <t>MA: TNF - Backcountry</t>
  </si>
  <si>
    <t>Meds: Glasses - RDP - Holbert Optician</t>
  </si>
  <si>
    <t>MA: Amazon - Converse for Zoo</t>
  </si>
  <si>
    <t>MH: Home Depot</t>
  </si>
  <si>
    <t>Grocery (Amazon) - Dove Deo</t>
  </si>
  <si>
    <t>MH: Amazon - Door Handles</t>
  </si>
  <si>
    <t>Grocery (Amazon) - SkipJack Tuna x 12</t>
  </si>
  <si>
    <t>Home: MR: French Door Install</t>
  </si>
  <si>
    <t>M: Hair Cut (Li)</t>
  </si>
  <si>
    <t>Grocery (Amazon) - Allulose</t>
  </si>
  <si>
    <t xml:space="preserve">Pet-Misc: Chewing Toy </t>
  </si>
  <si>
    <t>M: Dollar Tree</t>
  </si>
  <si>
    <t>News: Sara's First Period</t>
  </si>
  <si>
    <t xml:space="preserve">News: Promotion to VP </t>
  </si>
  <si>
    <t>Feb'03</t>
  </si>
  <si>
    <t>Feb'04</t>
  </si>
  <si>
    <t>Feb'05</t>
  </si>
  <si>
    <t>Feb'06</t>
  </si>
  <si>
    <t>Feb'07</t>
  </si>
  <si>
    <t>Feb'08</t>
  </si>
  <si>
    <t>Feb'09</t>
  </si>
  <si>
    <t>Feb'10</t>
  </si>
  <si>
    <t>Feb'11</t>
  </si>
  <si>
    <t>Feb'12</t>
  </si>
  <si>
    <t>Feb'13</t>
  </si>
  <si>
    <t>Feb'14</t>
  </si>
  <si>
    <t>Feb'15</t>
  </si>
  <si>
    <t>Feb'16</t>
  </si>
  <si>
    <t>Feb'17</t>
  </si>
  <si>
    <t>Feb'18</t>
  </si>
  <si>
    <t>Feb'19</t>
  </si>
  <si>
    <t>Feb' 20</t>
  </si>
  <si>
    <t>Feb' 21</t>
  </si>
  <si>
    <t>Feb' 22</t>
  </si>
  <si>
    <t>Feb' 23</t>
  </si>
  <si>
    <t>Feb' 24</t>
  </si>
  <si>
    <t>Feb' 25</t>
  </si>
  <si>
    <t>Date</t>
  </si>
  <si>
    <t>Gift: Rasa. Vijay, Lunch</t>
  </si>
  <si>
    <t>M: iPod FM Transmitter (Unavailable)</t>
  </si>
  <si>
    <t>F: Dave B: SSPG Party</t>
  </si>
  <si>
    <t>MA: NorthFace Jacket</t>
  </si>
  <si>
    <t>Phone: LD (Reliance)</t>
  </si>
  <si>
    <t>MA: Macy's - Ties</t>
  </si>
  <si>
    <t>F: SuperBowl XLIX Party - Patriots vs SeaHawks</t>
  </si>
  <si>
    <t>M: Hqircut</t>
  </si>
  <si>
    <t>Kids: SkyHawk - Track &amp; Field (x2)</t>
  </si>
  <si>
    <t>EET: Shivani + Kids trip to NJ</t>
  </si>
  <si>
    <t>YMCA After School</t>
  </si>
  <si>
    <t>Classes: Math Enrichment</t>
  </si>
  <si>
    <t>F: Carmin's, Bristol, CT</t>
  </si>
  <si>
    <t>Grocery (Sns)</t>
  </si>
  <si>
    <t>M: CVS (Windshield + TP)</t>
  </si>
  <si>
    <t>Meds: CVs</t>
  </si>
  <si>
    <t>M: Toilet paper roll</t>
  </si>
  <si>
    <t>F: Chim Thai (SRP)</t>
  </si>
  <si>
    <t>Car: Inspection (Nissan Altima)</t>
  </si>
  <si>
    <t>Kids: SkyHawk - Soccer &amp; BasketBall (ARP)</t>
  </si>
  <si>
    <t>Classes: AoPS - Trig and Pre Calc</t>
  </si>
  <si>
    <t>Grocery Shaws, Clinton</t>
  </si>
  <si>
    <t>Meds BJs</t>
  </si>
  <si>
    <t>Parking MIT</t>
  </si>
  <si>
    <t>MA: MIT Coop sweatshirt</t>
  </si>
  <si>
    <t>MA: Carters</t>
  </si>
  <si>
    <t>F: Yoway</t>
  </si>
  <si>
    <t>M: Haircut (All - Fantastic Sams)</t>
  </si>
  <si>
    <t xml:space="preserve">Kids: Classes: Swimming - Sara, Anishka </t>
  </si>
  <si>
    <t>G: Safeway: Cake + Gift Card for Phil</t>
  </si>
  <si>
    <t>Kids: Mathnasium</t>
  </si>
  <si>
    <t xml:space="preserve">E: Sideways </t>
  </si>
  <si>
    <t>Cars: Altima Rt 9 Auto</t>
  </si>
  <si>
    <t>F: Wendy's Southboro, MA</t>
  </si>
  <si>
    <t>F: Beer etc, SuperBowl party</t>
  </si>
  <si>
    <t>Car: Flat Tire Repair: Altima</t>
  </si>
  <si>
    <t>F: Crepes + Mango Smoothie: Natick Mall</t>
  </si>
  <si>
    <t>G: Carters</t>
  </si>
  <si>
    <t>M: Staples (Lysol)</t>
  </si>
  <si>
    <t>EET: Disney on Ice - TD Garden (Feb 21st)</t>
  </si>
  <si>
    <t>Kids: Classes: Tennis + Sports Clinic - Sara</t>
  </si>
  <si>
    <t>Kids: After-School - Chess ARP + SRP = 158 * 2</t>
  </si>
  <si>
    <t>MA: Amazon - NB Shoes</t>
  </si>
  <si>
    <t>M: Amazon - Hair Remover</t>
  </si>
  <si>
    <t>Classes: Counselling Sessionas`</t>
  </si>
  <si>
    <t>G: Rahul S 's b'day</t>
  </si>
  <si>
    <t>F: Super Bowl Party</t>
  </si>
  <si>
    <t>M: Postage (TomTom)</t>
  </si>
  <si>
    <t>M: Diapers</t>
  </si>
  <si>
    <t>Car: Parking : Disney on Ice, TD Garden</t>
  </si>
  <si>
    <t>F: Pan Thai - Shivani</t>
  </si>
  <si>
    <t>Kids: Winter Break Camp - T,W,T = 195 x2</t>
  </si>
  <si>
    <t>Grocery (Amazon) - Honey</t>
  </si>
  <si>
    <t xml:space="preserve">Classes: Piano </t>
  </si>
  <si>
    <t>MA: Amazon Hat for Zoo</t>
  </si>
  <si>
    <t>Classes: MVVC - Volleyball</t>
  </si>
  <si>
    <t>F: HotBreads, Framingham</t>
  </si>
  <si>
    <t>F: Margarita Mix</t>
  </si>
  <si>
    <t>G: TJX (Jay &amp; Sasha) - 28</t>
  </si>
  <si>
    <t>Gas (AltimA)</t>
  </si>
  <si>
    <t>Grocery (Amazon) x 3 - Quest</t>
  </si>
  <si>
    <t>M: Amazon - Salad Bowl</t>
  </si>
  <si>
    <t>M: Amazon (LED Lights)</t>
  </si>
  <si>
    <t>Pet-Food - Amazon - Dog Food</t>
  </si>
  <si>
    <t>M: CVS Combs</t>
  </si>
  <si>
    <t>E: Shibu's Ticket to Seattle</t>
  </si>
  <si>
    <t>Gift : Boston Cream Cake: Ruta: Super Bowl</t>
  </si>
  <si>
    <t xml:space="preserve">Ed: Entreprenuership Book </t>
  </si>
  <si>
    <t>F: Vadas : Temple</t>
  </si>
  <si>
    <t>M: Shovel + Ice Melt etc</t>
  </si>
  <si>
    <t>M: Amazon (Toilet paper</t>
  </si>
  <si>
    <t>Gorcery (Wegmans)</t>
  </si>
  <si>
    <t>EET: Movies - The LEGO Movie (all)</t>
  </si>
  <si>
    <t>Meds: Dental</t>
  </si>
  <si>
    <t>Grocery (Felipes)</t>
  </si>
  <si>
    <t>Grocery (Amazon) - PB</t>
  </si>
  <si>
    <t>Grocery (Amazon Fresh)</t>
  </si>
  <si>
    <t>Pet-Food - Amazon - Dog Treats</t>
  </si>
  <si>
    <t>Meds Co Pay</t>
  </si>
  <si>
    <t>Grocer (SnS : Cake)</t>
  </si>
  <si>
    <t>Ed: Entreprenuership Course Pack</t>
  </si>
  <si>
    <t>F: Smirnoff</t>
  </si>
  <si>
    <t>MA: Sara's North Face Jacket</t>
  </si>
  <si>
    <t>Car: Parking (Children's Museum)</t>
  </si>
  <si>
    <t>Grocery (Amazon) - PB Powder</t>
  </si>
  <si>
    <t>MH: Amazon - Ring Backup Batteries - 130 + 41</t>
  </si>
  <si>
    <t>Grocery (Amazon)- Pea Powder</t>
  </si>
  <si>
    <t>G: Nob Hill - Phil's Birthday Cake</t>
  </si>
  <si>
    <t>Cars: Spare tire: Sears: Audi</t>
  </si>
  <si>
    <t>G: Chitra/Nitin</t>
  </si>
  <si>
    <t>M: Fish Food</t>
  </si>
  <si>
    <t>M: Amazon (Milk bags)</t>
  </si>
  <si>
    <t>Grocery (Amazon) - Cacao Nibs</t>
  </si>
  <si>
    <t>Grocery (Amazon) - Crest Toothpaste</t>
  </si>
  <si>
    <t>MH: HomeDepot - Seeds and Japanese Maple Tree</t>
  </si>
  <si>
    <t>MA: REI - Mens Jacket</t>
  </si>
  <si>
    <t>F: ChestNut Hill Mall</t>
  </si>
  <si>
    <t>Grocery : Mike's Hard Lemonade</t>
  </si>
  <si>
    <t>G: Miru/Anand: Mihir</t>
  </si>
  <si>
    <t>M: MIT License Plate</t>
  </si>
  <si>
    <t>M: Amazon (Kashi Cereal)</t>
  </si>
  <si>
    <t>M: Amazon, Diapers</t>
  </si>
  <si>
    <t>M: VD for School</t>
  </si>
  <si>
    <t>M: Valentine's day cards for School</t>
  </si>
  <si>
    <t>Grocery (Amazon) - Orgain</t>
  </si>
  <si>
    <t>G: Bhindi Jewellers</t>
  </si>
  <si>
    <t>MA: Kohls</t>
  </si>
  <si>
    <t>MH: Amazon - Marigold Seeds</t>
  </si>
  <si>
    <t>Grocery (Amazon) - Turkey Jerky</t>
  </si>
  <si>
    <t>Grocery (ZCL) - Chicken Crusts x 24</t>
  </si>
  <si>
    <t>M: Allure (Macys') ®</t>
  </si>
  <si>
    <t>M: VS 80 - GC</t>
  </si>
  <si>
    <t>F: Finale</t>
  </si>
  <si>
    <t>M: TomTom GO 720 GPS</t>
  </si>
  <si>
    <t>Meds (Walmart)</t>
  </si>
  <si>
    <t>Meds: Eucerin Aquaphor</t>
  </si>
  <si>
    <t>G: OSJL (VD for Sara's friends)</t>
  </si>
  <si>
    <t xml:space="preserve">MA: North Face jacket </t>
  </si>
  <si>
    <t>M: Sport Authority - Swimming Pads</t>
  </si>
  <si>
    <t>Grocery (Amazon) - Nescafe x 2</t>
  </si>
  <si>
    <t>G: Shalu-Manoj - Baby Shower Gift</t>
  </si>
  <si>
    <t>MK: Amazon - Spatula</t>
  </si>
  <si>
    <t>Pet-Misc: Amazon - PetPErfume</t>
  </si>
  <si>
    <t>Grocery (Dollar Store)</t>
  </si>
  <si>
    <t>Grocery (Amazon) - Centos Hoagie Spread</t>
  </si>
  <si>
    <t>MA: Amazon - Topo Shoes</t>
  </si>
  <si>
    <t>M: Linens n Things</t>
  </si>
  <si>
    <t>M: Old Navy</t>
  </si>
  <si>
    <t>Gifts: Dadi : Bangles, Rediff</t>
  </si>
  <si>
    <t>Car: Harvard Square, Parking</t>
  </si>
  <si>
    <t>Meds (CVS)</t>
  </si>
  <si>
    <t>Meds: CoPay Lazarou</t>
  </si>
  <si>
    <t>G: Evan's bday gift (OSJL)</t>
  </si>
  <si>
    <t>F: Mayuri - Preeti Krishnan lunch</t>
  </si>
  <si>
    <t>Grocery (Amazon) - Stevia  x 3</t>
  </si>
  <si>
    <t>MA: Amazon - Sara's boots</t>
  </si>
  <si>
    <t>Grocery (Amazon)- Steel Cut Oats</t>
  </si>
  <si>
    <t>Pet-Misc: Amazon - Stain and Odor Remover</t>
  </si>
  <si>
    <t>Grocery (Amazon) - Orgain x 2 + Protein Powders Vegan x 2</t>
  </si>
  <si>
    <t xml:space="preserve">Grocery (Amazon) - Huy Fong </t>
  </si>
  <si>
    <t>Misc (Phils Gift)</t>
  </si>
  <si>
    <t>M: Express Dress (S)</t>
  </si>
  <si>
    <t>M: Marshalls, Mambo</t>
  </si>
  <si>
    <t>M: HF: IKEA: Bed + Side tables</t>
  </si>
  <si>
    <t>F: Pizza (P&amp;S - Coupon)</t>
  </si>
  <si>
    <t>M; Haircut (Shivani)</t>
  </si>
  <si>
    <t>EET: WC 2011 Cricket package, Willow.TV</t>
  </si>
  <si>
    <t>M: OSJL</t>
  </si>
  <si>
    <t>M: Laundry detergent</t>
  </si>
  <si>
    <t>MA: TJX - Sara</t>
  </si>
  <si>
    <t>Grocery (Amazon) - Paper Roll</t>
  </si>
  <si>
    <t xml:space="preserve">Car: Parking - 555 </t>
  </si>
  <si>
    <t>Grocery (Amazon) - LorAnn Blueberry and Grape</t>
  </si>
  <si>
    <t>Pet-Misc: Pee Pads</t>
  </si>
  <si>
    <t>Grocery (Amazon) - Pumpkin seeds</t>
  </si>
  <si>
    <t>MA: Converse</t>
  </si>
  <si>
    <t>Misc (Valentine,Natick)</t>
  </si>
  <si>
    <t>M: Sunglasses : Burlington Mall</t>
  </si>
  <si>
    <t>Grocery (WalMart, Natick)</t>
  </si>
  <si>
    <t>E: Taxi # 9211</t>
  </si>
  <si>
    <t>F: IKEA</t>
  </si>
  <si>
    <t>M: LCD Lantern</t>
  </si>
  <si>
    <t>M: Toilet rolls</t>
  </si>
  <si>
    <t>EET: Tilt Studio, SPM Mall Arcade</t>
  </si>
  <si>
    <t>EET: Comcast - Alexander and Horrible, Terrible, No Good Very Bad Day</t>
  </si>
  <si>
    <t>Grocery (Amazon) - Cacao powder</t>
  </si>
  <si>
    <t>Grocery (Amazon) - Goji Berries</t>
  </si>
  <si>
    <t>Grocery (amazon) - Electrolytes x 2</t>
  </si>
  <si>
    <t>Grocery (Amazon) - Quaker Steel Cut Aots</t>
  </si>
  <si>
    <t>Grocery (Amazon) -Brwany</t>
  </si>
  <si>
    <t>Misc (Valentine, SnS)</t>
  </si>
  <si>
    <t>G: Akshay : TJM: Ipod FM transmitter</t>
  </si>
  <si>
    <t>K: Diapers (0.16c)</t>
  </si>
  <si>
    <t>F: Prezo Grille, Milford</t>
  </si>
  <si>
    <t>MA: Activewear - Sears</t>
  </si>
  <si>
    <t>F: SPM Mall - Thai</t>
  </si>
  <si>
    <t>CA -Trip</t>
  </si>
  <si>
    <t>M: Amazon - AXE Deo x 15</t>
  </si>
  <si>
    <t>Grocery (Amazon) - Banana Extract</t>
  </si>
  <si>
    <t>Grocery (Amazon) - Organic Turmeric</t>
  </si>
  <si>
    <t>Grocery (Amazon) - Trash Bags</t>
  </si>
  <si>
    <t>Meds: Amazon-  Callus Remover</t>
  </si>
  <si>
    <t>Misc (Valentine, Filenes)</t>
  </si>
  <si>
    <t>G: Mili : TJM ; TH purse</t>
  </si>
  <si>
    <t>Meds: Doc: Lazarou Copay</t>
  </si>
  <si>
    <t>Meds: CoPay Bandari</t>
  </si>
  <si>
    <t>M: Amazon (Diapers)</t>
  </si>
  <si>
    <t>F: Cotton Candy - Disney on Ice</t>
  </si>
  <si>
    <t>EET: Airfare: x 3</t>
  </si>
  <si>
    <t>Grocery (Amazon) - Little remedies</t>
  </si>
  <si>
    <t>MA: DSW Shoes</t>
  </si>
  <si>
    <t xml:space="preserve">Grocery (Amazon) - Shampoo </t>
  </si>
  <si>
    <t>Grocery (Amazon) - ToothPaste</t>
  </si>
  <si>
    <t>Grocerty(Amazon) - Laundry Detergent</t>
  </si>
  <si>
    <t xml:space="preserve">M: Party: Walmart </t>
  </si>
  <si>
    <t>G: Banana Rep. Sweater, Himz</t>
  </si>
  <si>
    <t>M: MahaShivRatri Temple</t>
  </si>
  <si>
    <t>MA: TJM: Tommy Hilfiger purse (TH)</t>
  </si>
  <si>
    <t>M: Walmart (Fish food, Dispenser)</t>
  </si>
  <si>
    <t>Kids: Art Class for Sara -Feb Vac week - Money lost/Writeoff</t>
  </si>
  <si>
    <t>JetBlue (BOS-SFO) Feb 14</t>
  </si>
  <si>
    <t>Grocery (Amazon) - Sunscreen</t>
  </si>
  <si>
    <t>Grocery (Amazon) - Lorann oils - 29</t>
  </si>
  <si>
    <t>M: Amazon - L'Oreal</t>
  </si>
  <si>
    <t>M: VD Party: Dollar Store</t>
  </si>
  <si>
    <t>Misc (Valentine, Roses)</t>
  </si>
  <si>
    <t>G: Walmat</t>
  </si>
  <si>
    <t>M: Ipod Nano 198.99 Target GC</t>
  </si>
  <si>
    <t>MA: Target</t>
  </si>
  <si>
    <t>Car: Car Wash, Hudson</t>
  </si>
  <si>
    <t>Virgin America (SFO-BOS) Feb 19</t>
  </si>
  <si>
    <t>MA: Amazon: Skeckers: RP</t>
  </si>
  <si>
    <t>F: In-Out Burger - French Fries</t>
  </si>
  <si>
    <t>Grocery (Amazon) - Hemp</t>
  </si>
  <si>
    <t>Grocery (Amazon) - RedHot Seasoning</t>
  </si>
  <si>
    <t>Grocery (Amazon) - Oat Groats</t>
  </si>
  <si>
    <t>MA: Amazon - Mens Vests</t>
  </si>
  <si>
    <t>MA (Amazon)  - Brooks</t>
  </si>
  <si>
    <t>Misc (Phils' Flowers)</t>
  </si>
  <si>
    <t>M: Flowers</t>
  </si>
  <si>
    <t>M: Splinter Cell, Gamestop</t>
  </si>
  <si>
    <t>Meds : Doc Thornton Copay</t>
  </si>
  <si>
    <t>Grocery (ice)</t>
  </si>
  <si>
    <t>Home: Water heater</t>
  </si>
  <si>
    <t>F: Starbucks, San Mateo - BreakFast  - 15</t>
  </si>
  <si>
    <t>EET: The Lego Batman Movie - (17th Feb 5pm show)</t>
  </si>
  <si>
    <t>EET: Lyft from Newark NJ to Hillsborough NJ</t>
  </si>
  <si>
    <t>Grocery (Amazon) - Toothpaste x 9</t>
  </si>
  <si>
    <t>Grocery (Amazon) - Lupin Flour</t>
  </si>
  <si>
    <t>Grocery (Amazon) - Trashbags</t>
  </si>
  <si>
    <t>MA (Amazon) - Brooks</t>
  </si>
  <si>
    <t>Meds: Advil</t>
  </si>
  <si>
    <t>M: Action Replay for Xbox Ret -31</t>
  </si>
  <si>
    <t>M: SDHC Cards (4GB) (2) (42-10)</t>
  </si>
  <si>
    <t>G: Baby Calendar (OSJL)</t>
  </si>
  <si>
    <t>M: Dollar shop: Ballons</t>
  </si>
  <si>
    <t>Home: Water heater - Permit</t>
  </si>
  <si>
    <t>G: Wine - Sooraj</t>
  </si>
  <si>
    <t>F: Rasoi</t>
  </si>
  <si>
    <t>F: Starbucks, San Mateo - Coffee</t>
  </si>
  <si>
    <t>Grocery (Amazon) - Hand Soap x 3</t>
  </si>
  <si>
    <t xml:space="preserve">M: Amazon - Mens Belts x 2 </t>
  </si>
  <si>
    <t>Grocery (Amazon) - Monk Sweetner with erthy</t>
  </si>
  <si>
    <t>Grocery (Amazon) - Clorox</t>
  </si>
  <si>
    <t>MA (Amazon) - Cotton Pants - Mens</t>
  </si>
  <si>
    <t>Misc (Sharper Image)</t>
  </si>
  <si>
    <t>F: EMC Café (21-24)</t>
  </si>
  <si>
    <t>M: Vonage : Shipping</t>
  </si>
  <si>
    <t>M: Iphone Charger</t>
  </si>
  <si>
    <t>M: Best Buy - Mac display Adapter</t>
  </si>
  <si>
    <t>EET: Point Lobas - Carmel-by-the-Sea</t>
  </si>
  <si>
    <t>Grocery (VitaCost) - Ultima Electrolytes x 3</t>
  </si>
  <si>
    <t>Grocery (Amazon) - Mouth wash</t>
  </si>
  <si>
    <t>Grocery (Amazon) - Lysol</t>
  </si>
  <si>
    <t>Grocery (Amazon) - Lemon Packets</t>
  </si>
  <si>
    <t>M: Cards, VD</t>
  </si>
  <si>
    <t>Phone: Vonage Monthly</t>
  </si>
  <si>
    <t>G: OSJL</t>
  </si>
  <si>
    <t>MA: Target - Patriots Apparel</t>
  </si>
  <si>
    <t>EET: Bixby Bridge, Big Sur, CA</t>
  </si>
  <si>
    <t>G: WalMart - Phil</t>
  </si>
  <si>
    <t xml:space="preserve">Car: Parking SFO </t>
  </si>
  <si>
    <t>Grocery (IG) - Wolfe India bazaaar</t>
  </si>
  <si>
    <t>M: Amazon - Monitor Mount stand</t>
  </si>
  <si>
    <t>Grocery (Amazon) - Chocolate Flavor</t>
  </si>
  <si>
    <t>Grocery (Amazon) - Red Hot Sauce</t>
  </si>
  <si>
    <t>MA: Amazon - Swim Suit</t>
  </si>
  <si>
    <t>Food:V;Dinner, 5 North Sq</t>
  </si>
  <si>
    <t>M: Banana Republic</t>
  </si>
  <si>
    <t>M: Dollar tree</t>
  </si>
  <si>
    <t>M: Apple Macbook Pro</t>
  </si>
  <si>
    <t>F: RG Burgers - Carmel-by-the-Sea</t>
  </si>
  <si>
    <t>G: WholeFoods - Aamazon GC - Phil</t>
  </si>
  <si>
    <t>Grocery (Amazon) - Electrolyte</t>
  </si>
  <si>
    <t>M: Amazon - Scientific Calculator</t>
  </si>
  <si>
    <t>Grocery (Amazon) - Kids Multivitamin</t>
  </si>
  <si>
    <t>M: Amazon - Tripod</t>
  </si>
  <si>
    <t>Misc (Valentine)</t>
  </si>
  <si>
    <t>Gifts : Banana Rep , Mili</t>
  </si>
  <si>
    <t>Car: Groupon (Car Wash: Scrub a Dub)</t>
  </si>
  <si>
    <t>MA: Kolhs (Sara)</t>
  </si>
  <si>
    <t>M: Diaper (Pampers- Wegmans)</t>
  </si>
  <si>
    <t>Grocery (Safeway)</t>
  </si>
  <si>
    <t>M: WalMart - Hair Color, Lipstick etc</t>
  </si>
  <si>
    <t>EET: Lyft - Hillsborough, NJ to Newwark, NJ</t>
  </si>
  <si>
    <t>Grocery (Amazon) - FatSnax</t>
  </si>
  <si>
    <t>M: Amazon - Extension Cable</t>
  </si>
  <si>
    <t>Grocery (Amazon) - Herbal Chews Candy</t>
  </si>
  <si>
    <t>Grocery (Price Chopper)</t>
  </si>
  <si>
    <t>G: Gap, Rahul S</t>
  </si>
  <si>
    <t>F: Bombay mahal, Waltham, MA</t>
  </si>
  <si>
    <t>OTE: Fees (Citi Foreign Transaction Fee)</t>
  </si>
  <si>
    <t>PhoneLD: Reliance</t>
  </si>
  <si>
    <t>M: Photo Calendars</t>
  </si>
  <si>
    <t>Grocery (Amazon) - Paleo Protein Powder</t>
  </si>
  <si>
    <t>EET: Offer on 1046 Convington Rd, Los Altos accepted</t>
  </si>
  <si>
    <t>MH: Amazon - Weed Trimmer and Cutter</t>
  </si>
  <si>
    <t>GrocerY (Amazon) - Buckwheat Groats</t>
  </si>
  <si>
    <t>MA: Amazon - Top - Nish</t>
  </si>
  <si>
    <t>Grocery (Amazon) - Quinoa</t>
  </si>
  <si>
    <t>Dinner : Dragon</t>
  </si>
  <si>
    <t>G: Lindt, Wrentham</t>
  </si>
  <si>
    <t>G: Project Bread: Akshay</t>
  </si>
  <si>
    <t>M: Audio Cables</t>
  </si>
  <si>
    <t>F: The Chennai club - San Mateo</t>
  </si>
  <si>
    <t>M: NewEgg - ObiHai SIP System</t>
  </si>
  <si>
    <t>Grocery (vitaMin Shoppe) - Sugar Free syrups -20</t>
  </si>
  <si>
    <t xml:space="preserve">EET: Citizenship Interview </t>
  </si>
  <si>
    <t>MH: WalMart - WheelBarrow</t>
  </si>
  <si>
    <t>Grocery (Amazon) - Garlic</t>
  </si>
  <si>
    <t>MA: Amazon - Mens Sweater</t>
  </si>
  <si>
    <t>Grocery (Amazon) - Jocko Mocko</t>
  </si>
  <si>
    <t>M: Totes Gloves</t>
  </si>
  <si>
    <t>F: Pizza: Waltham: Shivani</t>
  </si>
  <si>
    <t>Pre: Blood work pos ~ Jan 27th</t>
  </si>
  <si>
    <t>C/I: Willow TV</t>
  </si>
  <si>
    <t>22-Feb : G&amp;L visit</t>
  </si>
  <si>
    <t>F: Boudin Bakery - SFO - Fisherman's Wharf   - 20</t>
  </si>
  <si>
    <t>Grocery (Amazon) - After Shave</t>
  </si>
  <si>
    <t>F: Newark Airport</t>
  </si>
  <si>
    <t>Grocery (Amazon - Whole Foods)</t>
  </si>
  <si>
    <t>Pet-Food (Amazon) - Dry</t>
  </si>
  <si>
    <t>Grocery (Amazon) - Chili Garlic</t>
  </si>
  <si>
    <t>Grocery (Amazon) - Jamaican Jerk</t>
  </si>
  <si>
    <t>F: Dinner, Rialto</t>
  </si>
  <si>
    <t>Meds: CVS Pres</t>
  </si>
  <si>
    <t>28-Feb: Roto Rooter - Clogged drain pipe</t>
  </si>
  <si>
    <t>Fee: FT fee for Mum-Dehradun tickets</t>
  </si>
  <si>
    <t>MA: TJX -Shivani</t>
  </si>
  <si>
    <t>F: The Hot Spud - Fisherman's Wharf - 15</t>
  </si>
  <si>
    <t>Gas (Atima)</t>
  </si>
  <si>
    <t>Pet-Food (Amazon) - Wet</t>
  </si>
  <si>
    <t>Grocery (Amazon) - Sauce</t>
  </si>
  <si>
    <t>E: 50 First Dates</t>
  </si>
  <si>
    <t>F: Bollywood Grill with Aditi K</t>
  </si>
  <si>
    <t>Fees: Foreign Transaction Fee - Gift to India (Shivani)</t>
  </si>
  <si>
    <t>G: Shivani's Office Farewell for VSP</t>
  </si>
  <si>
    <t>Car: Parking - SF - Pier 39</t>
  </si>
  <si>
    <t>M: Haircut - Rahul</t>
  </si>
  <si>
    <t>M: Amazon - Tennis Racquest for Zoo - 26"</t>
  </si>
  <si>
    <t>M: WalMart - Clean n Clear</t>
  </si>
  <si>
    <t>MH: Amazon - Backyard Lights + Light Hooks</t>
  </si>
  <si>
    <t>MH: HomeDepot - Plants</t>
  </si>
  <si>
    <t>Grocery (Amazon) - Hemp Protein Powder</t>
  </si>
  <si>
    <t>F: Yoway -16</t>
  </si>
  <si>
    <t>F: Chan Wei Bistro - San Mateo</t>
  </si>
  <si>
    <t>Grocery (MyProtein) - 2 x 5.5lbs Protein Powder</t>
  </si>
  <si>
    <t>Grocery (Amazon) - Hand Soap</t>
  </si>
  <si>
    <t>M: Amazon - Panty Liners</t>
  </si>
  <si>
    <t xml:space="preserve">MR: Heater Diagnostic copay </t>
  </si>
  <si>
    <t xml:space="preserve">M: Amazon - Charger </t>
  </si>
  <si>
    <t>Grocery (Amazon) - Sunflower and Pumpkin Seed</t>
  </si>
  <si>
    <t>G: WalMart</t>
  </si>
  <si>
    <t>Meds: VP</t>
  </si>
  <si>
    <t>Grocery (Trade Joe's) - San Mateo</t>
  </si>
  <si>
    <t>MK: Best Buy - Vitamix</t>
  </si>
  <si>
    <t>Grocery (Amazon) - Buffalo Hot Sauce Seasoning</t>
  </si>
  <si>
    <t>Fees: Wire Transfer fee for P&amp;S</t>
  </si>
  <si>
    <t>Meds: WalMart</t>
  </si>
  <si>
    <t>F: IG - New India Bazaaar - Samosa Chat</t>
  </si>
  <si>
    <t>Grocery (Amazon) - Salmon</t>
  </si>
  <si>
    <t>Grocery (Amazon) - Ziplocs</t>
  </si>
  <si>
    <t>Food : Dunkin Donuts</t>
  </si>
  <si>
    <t>G: TJX Mili</t>
  </si>
  <si>
    <t xml:space="preserve">G: Wine - Trader Joe's - San Mateo For Phil </t>
  </si>
  <si>
    <t>Grocery (Nob Hill)</t>
  </si>
  <si>
    <t>EET: Vietnamese New Year Festival - rides</t>
  </si>
  <si>
    <t>Grocery (Amazon) - Airfreshner</t>
  </si>
  <si>
    <t>Fees: Home appraisal fee</t>
  </si>
  <si>
    <t>MH: HomeDepot - Bathroom Mirros</t>
  </si>
  <si>
    <t>MA: Amazon - Sweatshirt -Zpp</t>
  </si>
  <si>
    <t>Grocery (Amazon) - Orgain Nut Butter</t>
  </si>
  <si>
    <t>Food : Lunch (Mall)</t>
  </si>
  <si>
    <t>G: AC Moore</t>
  </si>
  <si>
    <t>G: TJX: Varsha</t>
  </si>
  <si>
    <t>Transportation: Uber</t>
  </si>
  <si>
    <t>EET: Little Yosemite Hike - Sunol</t>
  </si>
  <si>
    <t>Grocery (Amazon) - Purely Inspired Portein Powder</t>
  </si>
  <si>
    <t>Grocery (Amazon)- L'OrAnn Red Velvet</t>
  </si>
  <si>
    <t>Grocery (Amazon) - SR Collagen Peptides</t>
  </si>
  <si>
    <t>MA: Lems Mens Shoes</t>
  </si>
  <si>
    <t>Grocery (Amazon) - Tampax</t>
  </si>
  <si>
    <t>Misc : Andrea: Wine,Fl</t>
  </si>
  <si>
    <t>M: Haircut (SC)</t>
  </si>
  <si>
    <t>M: Walmart (audio Cables)</t>
  </si>
  <si>
    <t>EET: CurioOdessey - San Mateo</t>
  </si>
  <si>
    <t>Grocery (Grocery outlet)</t>
  </si>
  <si>
    <t>MA (Amazon) - Revlon Lipstick</t>
  </si>
  <si>
    <t>Grocery (Amazon) - Chipotle Chilli</t>
  </si>
  <si>
    <t>Grocery (Amazon) - RawGlo Bars</t>
  </si>
  <si>
    <t>Pet-Misc - Amazon -  Pet Odor eliminator - 1GAL</t>
  </si>
  <si>
    <t>M: Amazon - Bidet</t>
  </si>
  <si>
    <t>Grocery (Restaurant Depot - Instacart)</t>
  </si>
  <si>
    <t>Grocery (Amazon) - Superfood Powder with Protein</t>
  </si>
  <si>
    <t xml:space="preserve">F: Ghirardeli Square - Banana Boat + Salted Carmel Hot Cocoa </t>
  </si>
  <si>
    <t>MA (Kohls) - Girls T-shirts + Night dresses</t>
  </si>
  <si>
    <t>Grocery (Amazon) - Harissa</t>
  </si>
  <si>
    <t>M:Haircut (Great Clips) - George instead of Lee - did a good job</t>
  </si>
  <si>
    <t>Pet-Misc: Amazon - Pet hair remover</t>
  </si>
  <si>
    <t>Grocery (Amazon) - Mylanta</t>
  </si>
  <si>
    <t>Grocery (Amazon) - Espresso</t>
  </si>
  <si>
    <t>Misc : Fishes</t>
  </si>
  <si>
    <t>E: Golds Gym</t>
  </si>
  <si>
    <t>F: Viva Goa - Lombard Street - San Francisco -38</t>
  </si>
  <si>
    <t>EET: Shivani's Trip to India to see Dadi</t>
  </si>
  <si>
    <t>Grocey (Amazon) - TrueOrange</t>
  </si>
  <si>
    <t>Grocery (Ebay) - IQBars</t>
  </si>
  <si>
    <t xml:space="preserve">MH: HomeGoods </t>
  </si>
  <si>
    <t>Grocery (Amazon) - Flavors</t>
  </si>
  <si>
    <t>GrocerY (Amazon) - Canned Chicken</t>
  </si>
  <si>
    <t>Gas (Rental - Altima) - 38</t>
  </si>
  <si>
    <t>LD: Phone: Google Voice</t>
  </si>
  <si>
    <t>EET: SFO-MUM-SFO</t>
  </si>
  <si>
    <t>Grocery (Amazon) - BodyWash</t>
  </si>
  <si>
    <t>M: Amazon - Glasses</t>
  </si>
  <si>
    <t>MA: Amazon - Mens Shoes</t>
  </si>
  <si>
    <t>F: Circle K - Bottled Water</t>
  </si>
  <si>
    <t>MA: TNH - REI</t>
  </si>
  <si>
    <t>Grocery (Amazon) - Salsa</t>
  </si>
  <si>
    <t>F: Starbucks - San Mateo</t>
  </si>
  <si>
    <t>M: iPhone 7 Case: Amazon</t>
  </si>
  <si>
    <t>EET: MUM-BAR-MUM</t>
  </si>
  <si>
    <t>Grocery (Amazon) - Olive Oil Spray</t>
  </si>
  <si>
    <t>M: Amazon - Solar Lights</t>
  </si>
  <si>
    <t>MA: Amazon - Volleyball - shorts</t>
  </si>
  <si>
    <t>Grocery (Amazon) - BoneBroth</t>
  </si>
  <si>
    <t>Food (Haeegan Dass, Mall)</t>
  </si>
  <si>
    <t>F: Curry Up Now - San Mateo</t>
  </si>
  <si>
    <t>Ed/School: School Trip donation - SRP</t>
  </si>
  <si>
    <t>M: WalMart</t>
  </si>
  <si>
    <t>EET: Uber: Baroda airport to Chacha's place</t>
  </si>
  <si>
    <t>MA: TJX - Dress for ARP</t>
  </si>
  <si>
    <t xml:space="preserve">Grocery (Amazon) - Acai </t>
  </si>
  <si>
    <t>Movie (The Guru)</t>
  </si>
  <si>
    <t>F: India Samrat, Boston, MA</t>
  </si>
  <si>
    <t>Ed/School: School Trip donation - ARP</t>
  </si>
  <si>
    <t>EET: Uber: Chaccha's place to Airport</t>
  </si>
  <si>
    <t>M: Amazon - Paino Books for Anishka</t>
  </si>
  <si>
    <t>MA: Amazon - Undies</t>
  </si>
  <si>
    <t>F: In-n-Out - Way back from Lone Pine, Bakersfield</t>
  </si>
  <si>
    <t>M: Amazon - Heating Pad</t>
  </si>
  <si>
    <t>Grocery (Amazon) - Beef Sticks</t>
  </si>
  <si>
    <t>Misc (Eye Gel)</t>
  </si>
  <si>
    <t>Grocery(IG)</t>
  </si>
  <si>
    <t>F: Peet's Coffee - Palo Alto</t>
  </si>
  <si>
    <t>EET: Uber: Mumbai airport to Thane</t>
  </si>
  <si>
    <t>Pet-Misc - Amazon - Pet Tags</t>
  </si>
  <si>
    <t>EET: Death Valley National Park</t>
  </si>
  <si>
    <t>M: Amazon - Anker USB C Cables</t>
  </si>
  <si>
    <t>Grocery (Amazon) - Quest</t>
  </si>
  <si>
    <t>MA: Sears - Shoes for Anishka - San Bruno, CA</t>
  </si>
  <si>
    <t>G: Hospital Visit for Baba</t>
  </si>
  <si>
    <t>EET: Uber Thane to Kharghar</t>
  </si>
  <si>
    <t xml:space="preserve">MH: Amazon - Bedsure </t>
  </si>
  <si>
    <t>EET: Hotel @ Lone Pine, CA</t>
  </si>
  <si>
    <t>M: Amazon - Anker Extension outlet</t>
  </si>
  <si>
    <t>Grocery (Amazon) - Monk Fruit</t>
  </si>
  <si>
    <t>F: SFO Airport  - Napa Fresh - Oatmeal  -14</t>
  </si>
  <si>
    <t>G: Urgent Care visit for Aai Baba</t>
  </si>
  <si>
    <t>EET: Unber Kharghar to Airport</t>
  </si>
  <si>
    <t xml:space="preserve">M: Amazon - Garden Gloves </t>
  </si>
  <si>
    <t>EET: Hotel  @Duniya Hotel - Bakerssfield - Forfeit 1 Night at Lone Pine due to weather</t>
  </si>
  <si>
    <t>F: MVVC - Game Snacks</t>
  </si>
  <si>
    <t>Grocery (Amazon) - Cashew Butter</t>
  </si>
  <si>
    <t>Food : Lunch</t>
  </si>
  <si>
    <t>Meds: CVS (Co Pay)</t>
  </si>
  <si>
    <t>Car: Parking - Boston - Logan - 145</t>
  </si>
  <si>
    <t>Grocery: Amazon - LorAnn Flavors (Cookies and Cream)</t>
  </si>
  <si>
    <t>F: Ramen Nagi - Celebration for Sara's first period</t>
  </si>
  <si>
    <t>Classs: Spartan Robotics - Ventura</t>
  </si>
  <si>
    <t>Ent : Cricket</t>
  </si>
  <si>
    <t>F: Dinner, Andreas</t>
  </si>
  <si>
    <t>OTT: Parking Ticket -San Mateo</t>
  </si>
  <si>
    <t>Grocery (Amazon): Monk Fruit Powder</t>
  </si>
  <si>
    <t>MA: Amazon - Pants - SRP</t>
  </si>
  <si>
    <t>MA: Spartan Robotics</t>
  </si>
  <si>
    <t>F: Lunch, Welcome India</t>
  </si>
  <si>
    <t>Travel: Baggage Fees - JetBlue + Virgin -45</t>
  </si>
  <si>
    <t>Grocery (Amazon) -Monk fruit drops</t>
  </si>
  <si>
    <t>EET: Park Fees</t>
  </si>
  <si>
    <t>M: Amazon - Pads</t>
  </si>
  <si>
    <t>Enterprise</t>
  </si>
  <si>
    <t>M: Olay Pills</t>
  </si>
  <si>
    <t>Total - Airfare</t>
  </si>
  <si>
    <t>Pet-Misc- Chewy - Pet Yard</t>
  </si>
  <si>
    <t>MA: Ross</t>
  </si>
  <si>
    <t>Finance Charge - Amex</t>
  </si>
  <si>
    <t>Grocery (Shaws)</t>
  </si>
  <si>
    <t>Parking Ticket</t>
  </si>
  <si>
    <t>Fees: Intuit Tax Prep</t>
  </si>
  <si>
    <t>Pet-Med: Vaccination</t>
  </si>
  <si>
    <t>Car Rental</t>
  </si>
  <si>
    <t>M: Amazon (Piano Books)</t>
  </si>
  <si>
    <t>G: Bhindi Jewellers - Jewellry for Shivani's cousins</t>
  </si>
  <si>
    <t>M: Amazon - iPhone Case</t>
  </si>
  <si>
    <t>Grocery (Smart n Final)</t>
  </si>
  <si>
    <t>Parking - Boston Logan</t>
  </si>
  <si>
    <t>M: Bhindi Jewellers - Sara's gift - earrings</t>
  </si>
  <si>
    <t xml:space="preserve">M: Amazon - Ear Muffs </t>
  </si>
  <si>
    <t>Lodging - Marriott</t>
  </si>
  <si>
    <t>M: Bhindi Jewellers - Anishka's gift - earrings</t>
  </si>
  <si>
    <t>M: Amazon - Clorox Sprays</t>
  </si>
  <si>
    <t>Total - Gas</t>
  </si>
  <si>
    <t>MH: Home Depot- Black Mat for Weeds</t>
  </si>
  <si>
    <t>M: Amazon - Umbrella 33</t>
  </si>
  <si>
    <t>EET: SFO-IAH-MIA-IAH-SFO</t>
  </si>
  <si>
    <t xml:space="preserve">Total - Misc - Parking ticket </t>
  </si>
  <si>
    <t>MH: Marshalls</t>
  </si>
  <si>
    <t>Pet-Misc: Dog Collar Tags</t>
  </si>
  <si>
    <t>EET: Courtyard, Marriott</t>
  </si>
  <si>
    <t>Total - Entertainment</t>
  </si>
  <si>
    <t>MA: Amazon - Geox Shoes</t>
  </si>
  <si>
    <t>EET: Miami Lakes Hotel</t>
  </si>
  <si>
    <t>Total - Food (Inlc. Grocery) (AVG  for 14 meals - 24.71 per meal)</t>
  </si>
  <si>
    <t>EET: Antman and The Wasp - Quantum mania</t>
  </si>
  <si>
    <t>Car: Parking - Key West</t>
  </si>
  <si>
    <t>Total CA Trip</t>
  </si>
  <si>
    <t>F: Master Butcher</t>
  </si>
  <si>
    <t>F: Conch House</t>
  </si>
  <si>
    <t>Grocery (Vita Cost) - Quest Bars</t>
  </si>
  <si>
    <t>MH: Amazon 3 x Matresses</t>
  </si>
  <si>
    <t>Grocery (Winn Dixie)</t>
  </si>
  <si>
    <t>EET: Apple App Store - iPad app - TopoLab</t>
  </si>
  <si>
    <t>F: Key Lime Pie, Duval Stret, Key West</t>
  </si>
  <si>
    <t>F: Hurrican Hole, Key West</t>
  </si>
  <si>
    <t>Gift: Dollar Tree</t>
  </si>
  <si>
    <t>Pet-Misc: Amazon - Outdoor Doghouse</t>
  </si>
  <si>
    <t>EET: Kayak + Paddle Boat</t>
  </si>
  <si>
    <t>Gift: Hannaford - Anand Nadar - Fandango GC</t>
  </si>
  <si>
    <t>M: Amaon - Cups</t>
  </si>
  <si>
    <t xml:space="preserve">ET: Bahia Honda State Park </t>
  </si>
  <si>
    <t>M: Aamazon - Tweezers</t>
  </si>
  <si>
    <t>F: Starbucks - Key Largo - Breakfast</t>
  </si>
  <si>
    <t>Grocery (Vitamin Shoppe) - Quest Bars</t>
  </si>
  <si>
    <t>M: Amazon - Ring Chargesr</t>
  </si>
  <si>
    <t>F: Dinner - Lorlei Rsstaurant</t>
  </si>
  <si>
    <t>F: Starbucks - MIA airport</t>
  </si>
  <si>
    <t>M: iPhone - Apple Care cracked glass fix</t>
  </si>
  <si>
    <t>MA: T-shirts - Sara</t>
  </si>
  <si>
    <t>M: Anishka's Passport Renewal</t>
  </si>
  <si>
    <t>Grocery (Instacart) - Walmart</t>
  </si>
  <si>
    <t>M: Amazon - Mech Pencil Lead</t>
  </si>
  <si>
    <t xml:space="preserve">Grocery (Wee) </t>
  </si>
  <si>
    <t>Pet-Med: Sierra Vet - Xray</t>
  </si>
  <si>
    <t>MA: REI - Altra Shoes 165</t>
  </si>
  <si>
    <t>Mar'03</t>
  </si>
  <si>
    <t>Mar'04</t>
  </si>
  <si>
    <t>Mar'05</t>
  </si>
  <si>
    <t>Mar'06</t>
  </si>
  <si>
    <t>Mar'07</t>
  </si>
  <si>
    <t>Mar'08</t>
  </si>
  <si>
    <t>Mar'09</t>
  </si>
  <si>
    <t>Mar'10</t>
  </si>
  <si>
    <t>Mar'11</t>
  </si>
  <si>
    <t>Mar'12</t>
  </si>
  <si>
    <t>Mar'13</t>
  </si>
  <si>
    <t>Mar'14</t>
  </si>
  <si>
    <t>Mar'15</t>
  </si>
  <si>
    <t>Mar'16</t>
  </si>
  <si>
    <t>Mar'17</t>
  </si>
  <si>
    <t>Mar'18</t>
  </si>
  <si>
    <t>Mar'19</t>
  </si>
  <si>
    <t>Mar'20</t>
  </si>
  <si>
    <t>Mar'21</t>
  </si>
  <si>
    <t>Mar'22</t>
  </si>
  <si>
    <t>Mar'23</t>
  </si>
  <si>
    <t>Mar'24</t>
  </si>
  <si>
    <t>TaxAct</t>
  </si>
  <si>
    <t>E: JetBlue BOS-NYC-LV</t>
  </si>
  <si>
    <t>M: Curtains LnT (84-30)</t>
  </si>
  <si>
    <t>Grocery (Aldi)</t>
  </si>
  <si>
    <t>Road Tax -Audi</t>
  </si>
  <si>
    <t>Event: DSSD Shutdown</t>
  </si>
  <si>
    <t>Classes: Tennis</t>
  </si>
  <si>
    <t>Classes: Piano - Anishka</t>
  </si>
  <si>
    <t>E: Luxor, LV -Mar 08</t>
  </si>
  <si>
    <t>M: Curtains Sears</t>
  </si>
  <si>
    <t>F: Ruby Tuesday: CT</t>
  </si>
  <si>
    <t>Road Tax -Altima</t>
  </si>
  <si>
    <t>EET: Fandango - Black Panther</t>
  </si>
  <si>
    <t>G: Cake SnS, Karthik</t>
  </si>
  <si>
    <t>E: Best Western, Page, AZ -Mar9</t>
  </si>
  <si>
    <t>G: Ruby Tuesday: CT</t>
  </si>
  <si>
    <t>M: Dollar Shop</t>
  </si>
  <si>
    <t>MA: Kohls -9</t>
  </si>
  <si>
    <t>MA: Kohls - Pants SRP + RDP</t>
  </si>
  <si>
    <t>E: Movies Hitch</t>
  </si>
  <si>
    <t>E: Days Inn, Williams, AZ -Mar10</t>
  </si>
  <si>
    <t>Car: Windshield Wiper</t>
  </si>
  <si>
    <t>Meds: Copay</t>
  </si>
  <si>
    <t>M: CVS - PP Photos for EAD/AP</t>
  </si>
  <si>
    <t>M: Amazon -Toilet Paper Rolls</t>
  </si>
  <si>
    <t xml:space="preserve">Car: Road Tax - Audi </t>
  </si>
  <si>
    <t>Grocery (IG - Patels)</t>
  </si>
  <si>
    <t>CalTrain</t>
  </si>
  <si>
    <t>Classes: USVYL</t>
  </si>
  <si>
    <t>F: Wine , Berlin, MA</t>
  </si>
  <si>
    <t>E: MGM Grand, LV, NV -Mar11</t>
  </si>
  <si>
    <t>Meds: CVS : Fish Oil -16</t>
  </si>
  <si>
    <t>F: EMC - Various</t>
  </si>
  <si>
    <t>MA: Old Navy</t>
  </si>
  <si>
    <t>Car: Road Tax - Altima</t>
  </si>
  <si>
    <t>Grocery (Amazon) - RXBar</t>
  </si>
  <si>
    <t>Grocery (OOOFlavors)</t>
  </si>
  <si>
    <t xml:space="preserve">Classes: Y - Swimming </t>
  </si>
  <si>
    <t>Misc : CDs , Envelopes</t>
  </si>
  <si>
    <t>MA: Trousers Black, Target</t>
  </si>
  <si>
    <t>E: Tropicana, LV, NV -Mar12 -75</t>
  </si>
  <si>
    <t>M: Redness Relief Eucerin, Rite Aid</t>
  </si>
  <si>
    <t>G: Sara's b'day Return Favors</t>
  </si>
  <si>
    <t>F: EMC (Lunch @ Prezo : SRP)</t>
  </si>
  <si>
    <t>Home: Amazon (WaterBug)</t>
  </si>
  <si>
    <t>Grocery (Amazon) - Garcinia</t>
  </si>
  <si>
    <t>MA: WalMart</t>
  </si>
  <si>
    <t>Grocery (Amazon) - Orange Flavors</t>
  </si>
  <si>
    <t>Grocery (Pure Tradition_ - Egg EWhite Noodles</t>
  </si>
  <si>
    <t>F: Quiznos</t>
  </si>
  <si>
    <t>MA: Trousers, Cream, Mars, CK</t>
  </si>
  <si>
    <t>E: Ballys', LV, NV -Mar13   -76</t>
  </si>
  <si>
    <t>Meds ; CoPay Village Pharmacy</t>
  </si>
  <si>
    <t>Parking (MIT)</t>
  </si>
  <si>
    <t>Meds: CoPay Ultrasound</t>
  </si>
  <si>
    <t>M: House cleaning (Dollar Store)</t>
  </si>
  <si>
    <t>EET: The Hunger Games - MockingJay (Redbox)</t>
  </si>
  <si>
    <t>M: License Renewal - Shivani</t>
  </si>
  <si>
    <t>M: Stratechery Subscription</t>
  </si>
  <si>
    <t>Grocery (Amazon) - Kay's Snacks</t>
  </si>
  <si>
    <t>Grocery (Amazon)- Whey Protein Powder</t>
  </si>
  <si>
    <t>G: Walmart - Adult Diapers</t>
  </si>
  <si>
    <t>Grocery (Amazon) - Jock Molk x 2</t>
  </si>
  <si>
    <t>G: Mili Bday, TJ</t>
  </si>
  <si>
    <t>MA: Socks, Marshalls</t>
  </si>
  <si>
    <t>E: Imperial Palace, LV, NV -Mar12,13</t>
  </si>
  <si>
    <t>Car:MA  Inspection</t>
  </si>
  <si>
    <t>Car: Oil Change, Marlboro Nissan, 2010</t>
  </si>
  <si>
    <t>M: Books (Sara)</t>
  </si>
  <si>
    <t xml:space="preserve">M: Lowe's house cleaning </t>
  </si>
  <si>
    <t xml:space="preserve">Car: Parking - UMass Memorial </t>
  </si>
  <si>
    <t>F: Mawa House - Shivani</t>
  </si>
  <si>
    <t>Grocery (Amazon) - Purely x 4</t>
  </si>
  <si>
    <t>Grocery (Amazon) - True Llimne</t>
  </si>
  <si>
    <t>G: Mili Marriage, HG, Coffe M</t>
  </si>
  <si>
    <t>M: Hair Cut</t>
  </si>
  <si>
    <t>Car: Altima: Wiper + Brake light bulb</t>
  </si>
  <si>
    <t>Meds: Vit D + Calcium (Wlmart)</t>
  </si>
  <si>
    <t>Car: Nissan Altima Inspection</t>
  </si>
  <si>
    <t>M: Amazon - Books</t>
  </si>
  <si>
    <t>Grocery (Amazon) - goodnessKnows Snack Bars</t>
  </si>
  <si>
    <t>Grocery (Amazon) - Turkey Sticks</t>
  </si>
  <si>
    <t>Grocery (Amzon) - Egg White Noodles</t>
  </si>
  <si>
    <t xml:space="preserve">India </t>
  </si>
  <si>
    <t xml:space="preserve">M: Kitchen </t>
  </si>
  <si>
    <t xml:space="preserve">F: Strawberry Kiwi Smoothie, SPM </t>
  </si>
  <si>
    <t>E: Accomodation</t>
  </si>
  <si>
    <t>Car Mt ; Audi</t>
  </si>
  <si>
    <t>G: Cards</t>
  </si>
  <si>
    <t>M: HDMI Cable</t>
  </si>
  <si>
    <t>F: Mirchi (Veena Joshi going away lunch)</t>
  </si>
  <si>
    <t>Car: Oil Changes -Audi - Sears</t>
  </si>
  <si>
    <t>Grocery (Amazon) - Aveeno Lotion</t>
  </si>
  <si>
    <t>MA: Woot - Mandalorian T-shirts</t>
  </si>
  <si>
    <t>Grocery (Amazon) - Annie's Mac and Cheese</t>
  </si>
  <si>
    <t>Grocery (Amazon) - Loran Falvors</t>
  </si>
  <si>
    <t>E: Flight Tickets</t>
  </si>
  <si>
    <t>F: PF Changs (Natick, MA)</t>
  </si>
  <si>
    <t>M: Hair cut</t>
  </si>
  <si>
    <t>MA: Van Heusen, Wrentham</t>
  </si>
  <si>
    <t>F: Mirchi (Aparna R - b'day)</t>
  </si>
  <si>
    <t>F: Masala Café (Shivani)</t>
  </si>
  <si>
    <t>Grocery (Amazon) - Toilet Paper Roll Cottonelle</t>
  </si>
  <si>
    <t>M: Amazon (Measuring Tape)</t>
  </si>
  <si>
    <t>MH: Acme Tools - Hedge Trimmer</t>
  </si>
  <si>
    <t>Grocery (Amazon) - Glade</t>
  </si>
  <si>
    <t>Grocery (MegaMart)</t>
  </si>
  <si>
    <t>Grocery (Amazon) - Vegan Protein x 2</t>
  </si>
  <si>
    <t>OTC</t>
  </si>
  <si>
    <t>OTC : Car Tax Woburn</t>
  </si>
  <si>
    <t>F: Las Vegas Trip</t>
  </si>
  <si>
    <t>M: TJX Ret -5</t>
  </si>
  <si>
    <t>G: Van Heusen</t>
  </si>
  <si>
    <t>EET: SPM - Zootopia</t>
  </si>
  <si>
    <t>Grocery (Amazon) - Lubiderm</t>
  </si>
  <si>
    <t>M: Indian Passport - Shivani</t>
  </si>
  <si>
    <t>M: Amazon (Paino Books)</t>
  </si>
  <si>
    <t>Pet-Misc (Amazon) - Odor Eliminator</t>
  </si>
  <si>
    <t>Grocery (Amazon_ == Washing Detergent</t>
  </si>
  <si>
    <t xml:space="preserve">Gas (Merc) </t>
  </si>
  <si>
    <t>T: Car Rental</t>
  </si>
  <si>
    <t>M: Meds: CVS : Fish Oil</t>
  </si>
  <si>
    <t>G: TJX (Akshay) Ret -15</t>
  </si>
  <si>
    <t>F: Chutney's, Cambridge</t>
  </si>
  <si>
    <t>MA: GAP outlet</t>
  </si>
  <si>
    <t>Grocery (walmart)</t>
  </si>
  <si>
    <t>Grocery (Amazon) - MagicEraser</t>
  </si>
  <si>
    <t>Grocery (Instacart- WalMart)</t>
  </si>
  <si>
    <t>Pet-Food (Amazon) - Treats</t>
  </si>
  <si>
    <t>Grocery (Amazon_ - Peppercorns</t>
  </si>
  <si>
    <t>Grocry (GO)</t>
  </si>
  <si>
    <t>OTC Woburn Tax : Audi</t>
  </si>
  <si>
    <t>Gift : Wine to Savas</t>
  </si>
  <si>
    <t>Gas : Las Vegas Trip</t>
  </si>
  <si>
    <t>Meds: Doc Copay</t>
  </si>
  <si>
    <t xml:space="preserve">G: Bombayfashions.com </t>
  </si>
  <si>
    <t>G: Sports Authority (Akshay: NF)</t>
  </si>
  <si>
    <t>MA: J Crew Outlet - Shirts</t>
  </si>
  <si>
    <t>Grocery (Jet)</t>
  </si>
  <si>
    <t>Grocery (Amazon) - ThinAdditives</t>
  </si>
  <si>
    <t>Grocery (WalMart) - Coffee</t>
  </si>
  <si>
    <t>MH: Amazon - Backyard Lights</t>
  </si>
  <si>
    <t>Grocery (Aamzon)  - Trsemme</t>
  </si>
  <si>
    <t>F: Ventura - Sara</t>
  </si>
  <si>
    <t>OTC Woburn Tax : Altima</t>
  </si>
  <si>
    <t>T: Cab Fares : Las Vegas Trip</t>
  </si>
  <si>
    <t xml:space="preserve">Meds : CVS </t>
  </si>
  <si>
    <t>F: 176 Cafeteria</t>
  </si>
  <si>
    <t>Meds: FSA Purchases</t>
  </si>
  <si>
    <t>MH: WalMart - Propane tanks x 2</t>
  </si>
  <si>
    <t>MH: Amazon - Eufy Camera</t>
  </si>
  <si>
    <t>Grocery (A,mazon) - Tampons</t>
  </si>
  <si>
    <t>India : TOEFL</t>
  </si>
  <si>
    <t>E: Gold's Gym</t>
  </si>
  <si>
    <t>E: Park Fees/Tolls</t>
  </si>
  <si>
    <t>G: Apple iPad Mini</t>
  </si>
  <si>
    <t>Fees: Tax Preparation</t>
  </si>
  <si>
    <t>Grocery (Kroger)</t>
  </si>
  <si>
    <t>F: Rangoli Sweets</t>
  </si>
  <si>
    <t>Grocery (Amazon) - Chocolate Flavors</t>
  </si>
  <si>
    <t>Grocery (Amazon) - Dryer Sheets</t>
  </si>
  <si>
    <t>Grocery (AmaZon) - Prego x 4</t>
  </si>
  <si>
    <t>Meds: Amazon - Probiotics</t>
  </si>
  <si>
    <t>Meds CVS</t>
  </si>
  <si>
    <t>Grocery (Milk: Exxon, Berlin)</t>
  </si>
  <si>
    <t>E: Tickets Shows  + Gambling ($20 Orlando)</t>
  </si>
  <si>
    <t>M: Amazon (DiaperS + Cereal + Books)</t>
  </si>
  <si>
    <t>M: Amazon (After shave)</t>
  </si>
  <si>
    <t xml:space="preserve">Fees: DCU LTD Savings Withdrawal Fee </t>
  </si>
  <si>
    <t>F: Apna Bazaar</t>
  </si>
  <si>
    <t>MA: Amazon - Indoor Slippers</t>
  </si>
  <si>
    <t>Pet-Misc (Amazon) - Dog Poop Bags</t>
  </si>
  <si>
    <t>Grocery (Aamzon) - Hair COlor</t>
  </si>
  <si>
    <t>Misc -Rolls</t>
  </si>
  <si>
    <t>M: Postage USPS</t>
  </si>
  <si>
    <t>OTE: GMAT Test</t>
  </si>
  <si>
    <t>Total Las Vegas Trip</t>
  </si>
  <si>
    <t>M: Amazon (Puzzle book)</t>
  </si>
  <si>
    <t>F:EMC</t>
  </si>
  <si>
    <t>F: Mirch - Sooraj's Farewell Lunch</t>
  </si>
  <si>
    <t>EET: Beauty and the Beast - Drive-in</t>
  </si>
  <si>
    <t>EET: Captain Marvel</t>
  </si>
  <si>
    <t>Pet-Misc (Amazon) - Dog Wipes</t>
  </si>
  <si>
    <t>M: Amazon - Book - Why we get Sick</t>
  </si>
  <si>
    <t xml:space="preserve">M: BJ's </t>
  </si>
  <si>
    <t>Grocery (BRUS)</t>
  </si>
  <si>
    <t>H: Select Home Warranty</t>
  </si>
  <si>
    <t>G: iPad Mini</t>
  </si>
  <si>
    <t>M: Apple MacBook Pro</t>
  </si>
  <si>
    <t>Grocery (Amazon) - Portein Powder x Jocko</t>
  </si>
  <si>
    <t>M: Amazon - Volleyball sleeves</t>
  </si>
  <si>
    <t>Phone : Pingo</t>
  </si>
  <si>
    <t>F: Sichuan, Framingham, MA</t>
  </si>
  <si>
    <t>G:Target</t>
  </si>
  <si>
    <t>KMA: BRUS: shoes</t>
  </si>
  <si>
    <t>Grocery(WalMart)</t>
  </si>
  <si>
    <t>MK (Amazon) - Baking Sheets</t>
  </si>
  <si>
    <t>Fares: Uber - Shivani's commute - Mar 7th</t>
  </si>
  <si>
    <t>Grocery (Amazon) - Lime Packets</t>
  </si>
  <si>
    <t>Grocery (Amazon) - Protein - Purely Inspired</t>
  </si>
  <si>
    <t>MA: Amazon - Volleyball Shorts</t>
  </si>
  <si>
    <t>Misc : Mail Packages</t>
  </si>
  <si>
    <t>F: Lunch (Andrea )</t>
  </si>
  <si>
    <t>Grocery BJs</t>
  </si>
  <si>
    <t>E: Laser Tag , Marlboro, MA</t>
  </si>
  <si>
    <t>M: Target Bagpack</t>
  </si>
  <si>
    <t xml:space="preserve">M: Haircut </t>
  </si>
  <si>
    <t>M: Target (Diapers)</t>
  </si>
  <si>
    <t>EET: SkyFall</t>
  </si>
  <si>
    <t>Meds: FSA</t>
  </si>
  <si>
    <t>Ed: Classes - Wayside Swim and Racquet</t>
  </si>
  <si>
    <t>Work: Trip CB SKO - SJC-PHX-SJC</t>
  </si>
  <si>
    <t>F: Yogurtland - celbrate Anishka's T2 Report and Sara's qualification for Jr Olympics</t>
  </si>
  <si>
    <t>Grocery (Amazon) - Febreze</t>
  </si>
  <si>
    <t>Grocery (Amazon) - Four Sigmatic</t>
  </si>
  <si>
    <t>M: Amazon - Toiler Flapo</t>
  </si>
  <si>
    <t>E: Bowling</t>
  </si>
  <si>
    <t>E: Lazer Zone , Games Etc</t>
  </si>
  <si>
    <t>MA: Target : Shorts, S</t>
  </si>
  <si>
    <t>KM: Walmart: Sara's room, frames</t>
  </si>
  <si>
    <t>M: Baby doll for Sara</t>
  </si>
  <si>
    <t>EET: Life of Pi (Amazon)</t>
  </si>
  <si>
    <t>G: Gold Ring for dadi</t>
  </si>
  <si>
    <t>EET: Stanford Dish Trail</t>
  </si>
  <si>
    <t>M: Amazon (Sterlite Storage)</t>
  </si>
  <si>
    <t>Grocery (Amazon) - OOO Flavors</t>
  </si>
  <si>
    <t>Grocery (Amazon) - PB Butter</t>
  </si>
  <si>
    <t>MA: Amazon - Under Armor x 2</t>
  </si>
  <si>
    <t>Lunch (Worcester)</t>
  </si>
  <si>
    <t>Grocery (PC, Worcester, MA)</t>
  </si>
  <si>
    <t>MA: Kohls'</t>
  </si>
  <si>
    <t>M: Books</t>
  </si>
  <si>
    <t>G: Gold Earring for Aai</t>
  </si>
  <si>
    <t xml:space="preserve">MA: DSW </t>
  </si>
  <si>
    <t>MA: TJX - San Carlos</t>
  </si>
  <si>
    <t>Fees: Wire Transfers</t>
  </si>
  <si>
    <t>MH: ClassyHome - Buffet Table with Hutch</t>
  </si>
  <si>
    <t>Food (Dunkin)</t>
  </si>
  <si>
    <t>F: Dragon, Worcester</t>
  </si>
  <si>
    <t>Car: Altima: Oil + tire rot</t>
  </si>
  <si>
    <t>M: Apps for Sara</t>
  </si>
  <si>
    <t>Grocery (Amazon) - Wellness Sample Pack</t>
  </si>
  <si>
    <t>MK: Amazon - Glass Storage Containers x 5</t>
  </si>
  <si>
    <t>Grocery (Amazon) - Windex</t>
  </si>
  <si>
    <t>M: Amazon - Loks</t>
  </si>
  <si>
    <t>E: ISO Holi</t>
  </si>
  <si>
    <t>Grcery (SnS)</t>
  </si>
  <si>
    <t>MA: Filene's Sweater Shibu (Ret -20)</t>
  </si>
  <si>
    <t>C: Inspection</t>
  </si>
  <si>
    <t>Meds; CVS</t>
  </si>
  <si>
    <t>G: Papa</t>
  </si>
  <si>
    <t>M; Sara's class photo</t>
  </si>
  <si>
    <t>F: Shivani's grp dinner</t>
  </si>
  <si>
    <t>Car: Audi - Shrewsbury</t>
  </si>
  <si>
    <t>Grocery (Amazon) - Orgain (Return 20 from Echo Credit)</t>
  </si>
  <si>
    <t xml:space="preserve">Grocery (Vitacost) - Sprouted Wheat, Spelt and Quinoa Flour </t>
  </si>
  <si>
    <t>MH: Amazon - Weed killers</t>
  </si>
  <si>
    <t>Grocery (Amazon) - BCAA</t>
  </si>
  <si>
    <t>MA: Amazon - Flare Leggins</t>
  </si>
  <si>
    <t>M: Pads SnS</t>
  </si>
  <si>
    <t>MA: Cords, Rahul</t>
  </si>
  <si>
    <t>MA: Old Navy : skirt</t>
  </si>
  <si>
    <t>M: Lowe's</t>
  </si>
  <si>
    <t>Car: Scrub a Dub: membership</t>
  </si>
  <si>
    <t>M: Amazon, Toaster</t>
  </si>
  <si>
    <t>F: Yowza Yogurt</t>
  </si>
  <si>
    <t>G: Swarovksi Jewllery (Shivani's mom)</t>
  </si>
  <si>
    <t>G: Amazon Gift Card to Sunil (40th)</t>
  </si>
  <si>
    <t>Grocery (Amazon) - Vita Min D</t>
  </si>
  <si>
    <t xml:space="preserve">Car: America's Tire - Tire replacement for slashed tires at MTV Caltrian </t>
  </si>
  <si>
    <t>M: Amazon (Heating Pad - Shoulder Brace)</t>
  </si>
  <si>
    <t>Grocery (Amazon)  - Hydrasurge x 3</t>
  </si>
  <si>
    <t>Pet-Misc (Amazon) - Pee Pads</t>
  </si>
  <si>
    <t>Grocery (Amazon) - AXE</t>
  </si>
  <si>
    <t>MA: Amazon - Crop Top</t>
  </si>
  <si>
    <t>M: Nautica</t>
  </si>
  <si>
    <t>Food: Naked Fish</t>
  </si>
  <si>
    <t>MA: SweatShirt + T Shirt, Shibu</t>
  </si>
  <si>
    <t>G: Old Navy : Kids</t>
  </si>
  <si>
    <t>F: Mangi, Milford</t>
  </si>
  <si>
    <t>M: Amazon: Diapers</t>
  </si>
  <si>
    <t>G: Baby stuff (Kohls)</t>
  </si>
  <si>
    <t>G: Lean-in - Charu's Birthday</t>
  </si>
  <si>
    <t>Grocery (Amazon) Chia</t>
  </si>
  <si>
    <t>OTE: TurboTax</t>
  </si>
  <si>
    <t>Grocery (Amazon) - ScotchBrite</t>
  </si>
  <si>
    <t>M: Amazon - Car cleaning and scratch removal kit</t>
  </si>
  <si>
    <t>Grocery (Amazon) - Flackers</t>
  </si>
  <si>
    <t>Pet-Misc (Amazon) - Leash tag</t>
  </si>
  <si>
    <t>Grocery (Amazon) - Flosser</t>
  </si>
  <si>
    <t>M: Amazon - Phone Cover</t>
  </si>
  <si>
    <t>M: Darts Game</t>
  </si>
  <si>
    <t>G:Bob's Stores</t>
  </si>
  <si>
    <t>E: Movie (Race)</t>
  </si>
  <si>
    <t>F: Priya (Chelmsford) with Karthik R</t>
  </si>
  <si>
    <t>Car: Registration (Altima)</t>
  </si>
  <si>
    <t>M: Badger Bug Spray</t>
  </si>
  <si>
    <t>Grocery (Amazon) - Pyure-Stevia x 2</t>
  </si>
  <si>
    <t>M: Amazon (Lithium Coin Cells)</t>
  </si>
  <si>
    <t>Grocery (Amazon) - Sparkling Water</t>
  </si>
  <si>
    <t>Pet-Misc (Amazon) - Comb</t>
  </si>
  <si>
    <t>Grocery (Amazon) - Shirataki</t>
  </si>
  <si>
    <t>Car : Wash (S-a-D)</t>
  </si>
  <si>
    <t>G: Darts Game</t>
  </si>
  <si>
    <t>MA: Sunglasses : Bobs</t>
  </si>
  <si>
    <t>M: Amazon (Black n Decker Iron)</t>
  </si>
  <si>
    <t>Grocery (Amazon) - Little Remedies</t>
  </si>
  <si>
    <t>Grocery (Amazon) - Hydrasurge x 3</t>
  </si>
  <si>
    <t>Grocery (Amazon) - Immunity Blend</t>
  </si>
  <si>
    <t>Grocery (Amazon) - Vega Protein</t>
  </si>
  <si>
    <t>Misc (Barnes n Nobles)</t>
  </si>
  <si>
    <t>Gifts: Microwave Baba Dadi</t>
  </si>
  <si>
    <t>Ma: T Shirts : Old Navy</t>
  </si>
  <si>
    <t>F: Inspection Gas St: Coffe Roll + Frappucino</t>
  </si>
  <si>
    <t>EET: Willow TV</t>
  </si>
  <si>
    <t>M: Ebay / Security Panel</t>
  </si>
  <si>
    <t>MA: Gymboree - Dresses for Sara</t>
  </si>
  <si>
    <t>Grocery (Amazon) - Axe Deo</t>
  </si>
  <si>
    <t>Grocery (Amazon) - Listerine x 3</t>
  </si>
  <si>
    <t>M: TurboTax</t>
  </si>
  <si>
    <t>MA: Amazon - baggy pants x 2</t>
  </si>
  <si>
    <t>Gas (altima)</t>
  </si>
  <si>
    <t>E: Cricket</t>
  </si>
  <si>
    <t>MA : Jewellry, Steve &amp; Barry's</t>
  </si>
  <si>
    <t>M: Postage : Mili's gft</t>
  </si>
  <si>
    <t>Grocery (Amazon) - RedHot Seasoning x 2</t>
  </si>
  <si>
    <t>Grocery (Amazon) - Hydrolyte</t>
  </si>
  <si>
    <t>Grocery (Amazon) - Cereal</t>
  </si>
  <si>
    <t>Griocery (Amazon) - Pads</t>
  </si>
  <si>
    <t>Gifts: Misc WalMart</t>
  </si>
  <si>
    <t>M: Walmart: 3oz containers</t>
  </si>
  <si>
    <t>Meds: CVS : Z-pac</t>
  </si>
  <si>
    <t>M: Walgreens : Supplements for Sara</t>
  </si>
  <si>
    <t>Meds: Copay -Sara</t>
  </si>
  <si>
    <t>EET: Redbox</t>
  </si>
  <si>
    <t>M: Amazon - InstantPot Trivet</t>
  </si>
  <si>
    <t>Grocery (Amazon) - Kay's Protein Chips</t>
  </si>
  <si>
    <t>MR: Crawl Space Water Restoration - Top Bottom Restoration Services</t>
  </si>
  <si>
    <t>Grocery (Amazon) - Hydrocortizone</t>
  </si>
  <si>
    <t>E : Greenfield Inn, NH</t>
  </si>
  <si>
    <t>Car: Nissan (Rt 9 Mess up) Exhaust Manifold</t>
  </si>
  <si>
    <t>M: Snip it Sara haircut</t>
  </si>
  <si>
    <t>Meds: CVS - Sara</t>
  </si>
  <si>
    <t>G: Wine (Grocery Outlet)</t>
  </si>
  <si>
    <t>Grocery (Walmart) - Oil Sprays</t>
  </si>
  <si>
    <t>Grocery (Amazon) - Water drops x 2</t>
  </si>
  <si>
    <t>Grocery (Amazon) - Vanilla</t>
  </si>
  <si>
    <t>MH: Master Bath Mirror Install - Handy man</t>
  </si>
  <si>
    <t>Gifts : Wine</t>
  </si>
  <si>
    <t>Meds: Lipitor</t>
  </si>
  <si>
    <t>M: TJX, Ipod Accessories : Ret -35</t>
  </si>
  <si>
    <t>Car: Inspection</t>
  </si>
  <si>
    <t xml:space="preserve">G: Rohini </t>
  </si>
  <si>
    <t>Meds: UltraSound + Ob visit (LB2)</t>
  </si>
  <si>
    <t>G: iPad Case</t>
  </si>
  <si>
    <t>M: SmartPlug - Amazon x 2</t>
  </si>
  <si>
    <t>M: Amazon (AXE) x 3</t>
  </si>
  <si>
    <t>Grocery (Amazon) - Monk Sweetner</t>
  </si>
  <si>
    <t>MR: EJ Plumbing - Crawl Space Pipe leak repair</t>
  </si>
  <si>
    <t>Grocery (Amazon) -  Pet hair and Lint Guard Remover - Dryer Sheets</t>
  </si>
  <si>
    <t>Grocery (Amazon) - Colgate Mouthwash</t>
  </si>
  <si>
    <t>Car Wash (CT)</t>
  </si>
  <si>
    <t>M: CVS : Travel size After shave /shaving cream</t>
  </si>
  <si>
    <t>MA: Sunglasses : TJM</t>
  </si>
  <si>
    <t>KM: Winnie the Pooh Stickers(Walmart)</t>
  </si>
  <si>
    <t>M: Whiteboard - Amazon</t>
  </si>
  <si>
    <t xml:space="preserve">M: Amazon - AXE x 6 </t>
  </si>
  <si>
    <t>M: Amazon (Windex)</t>
  </si>
  <si>
    <t>Grocery (Amazon) - Almond Milk x 3</t>
  </si>
  <si>
    <t>MH: Amazon - Lights</t>
  </si>
  <si>
    <t>Pet-Misc (Amazon) - Poop Bags</t>
  </si>
  <si>
    <t xml:space="preserve">Grocery (Amazon) - Lorann Flavors </t>
  </si>
  <si>
    <t>F: Dinner (Dragon)</t>
  </si>
  <si>
    <t xml:space="preserve">M: TaxAct </t>
  </si>
  <si>
    <t>MA: Socks + oxers, TJM</t>
  </si>
  <si>
    <t>M:Walmart</t>
  </si>
  <si>
    <t>EET: India vs Australia</t>
  </si>
  <si>
    <t>MA: Crazy8 SPM - Sara</t>
  </si>
  <si>
    <t>Grocery (Amazon) - Cinnamon</t>
  </si>
  <si>
    <t>M: Amazon (Lysol)</t>
  </si>
  <si>
    <t>Grocery (Amazon) - Vega Protein Powder</t>
  </si>
  <si>
    <t>M: Shower Caps - Swimming</t>
  </si>
  <si>
    <t>Pet-Misc (Amazon) - Deodorizer</t>
  </si>
  <si>
    <t>Grocery (Amazon) - Berberine</t>
  </si>
  <si>
    <t>Lunch (CT)</t>
  </si>
  <si>
    <t>F: Lunch (Shibu, EMC)</t>
  </si>
  <si>
    <t>E: Logan Express: Boston</t>
  </si>
  <si>
    <t>E:Movie (American Gangster</t>
  </si>
  <si>
    <t>MA: TJX -59</t>
  </si>
  <si>
    <t>Grocery (Market Basket) * Lost Gold Ring with Stone</t>
  </si>
  <si>
    <t xml:space="preserve">MA: Kohls </t>
  </si>
  <si>
    <t>MA: Amazon - North Face Jacket</t>
  </si>
  <si>
    <t>E: Casino :Mohegan Sun</t>
  </si>
  <si>
    <t>T: Cab : Framingham to Logan Exp, Framingham</t>
  </si>
  <si>
    <t>E: Movie (I am Legend)</t>
  </si>
  <si>
    <t>KM: Winne Wall Border + Table cloth</t>
  </si>
  <si>
    <t>M: Dollar store</t>
  </si>
  <si>
    <t>Grocery (Sensodyne Toothpaste 6 pack)</t>
  </si>
  <si>
    <t>G: TJX - Santa Clara</t>
  </si>
  <si>
    <t>EET: Gudi Padwa - Temple</t>
  </si>
  <si>
    <t>MA: Macy's</t>
  </si>
  <si>
    <t>Grocery (Amazon) - Acai Freeze Dried</t>
  </si>
  <si>
    <t>M: Amazon - Lights x 2</t>
  </si>
  <si>
    <t>Grocery (Amazon) - L'Oreal - Shampoo</t>
  </si>
  <si>
    <t>Food: Mohegan Sun</t>
  </si>
  <si>
    <t>G: Laptop (Dad)</t>
  </si>
  <si>
    <t>F: JFK Airport, NYC, Panini + Fries</t>
  </si>
  <si>
    <t>M: Septic cleaner</t>
  </si>
  <si>
    <t>M: Lowe's - Faucet fixing</t>
  </si>
  <si>
    <t>F: Pizza - Wegmans</t>
  </si>
  <si>
    <t>G: Market Basket - Shivani's Office Stuff</t>
  </si>
  <si>
    <t>Grocery (Amazon) - Mulberry Dried</t>
  </si>
  <si>
    <t>Pet-Misc (Amazon) -  Leash</t>
  </si>
  <si>
    <t>Grocery (Amazon) - Electrylytes</t>
  </si>
  <si>
    <t>M: BJs</t>
  </si>
  <si>
    <t>T: Cab LV airport - Luxor</t>
  </si>
  <si>
    <t>KM: Changing table</t>
  </si>
  <si>
    <t>F: Prezo - Shivani - Office</t>
  </si>
  <si>
    <t>MK: Black &amp; Decker, Blender (Kohls)</t>
  </si>
  <si>
    <t>Fees: Taxes - Turbotax</t>
  </si>
  <si>
    <t>M: Ross - Bath Rugs</t>
  </si>
  <si>
    <t>M: Amazon (Reading Classes)</t>
  </si>
  <si>
    <t>Pet-Misc (Amazon) -  Leash with support</t>
  </si>
  <si>
    <t>T: Cab Luxor - Thrifty</t>
  </si>
  <si>
    <t>G: Mikasa Dinnerset - HP/VP</t>
  </si>
  <si>
    <t>F: Shivani's office dinner: Montana Grill</t>
  </si>
  <si>
    <t>G: Bath and Body Works</t>
  </si>
  <si>
    <t>M: Amazon - Cycling Equipment</t>
  </si>
  <si>
    <t>G: WalMart - Brownie</t>
  </si>
  <si>
    <t>MA: Kohls - Kids</t>
  </si>
  <si>
    <t>M: Amazon ( Resistance Bands)</t>
  </si>
  <si>
    <t>Pet-Misc (Amazon) - Sofa Covers</t>
  </si>
  <si>
    <t>Grocvery (TJ)</t>
  </si>
  <si>
    <t>E: India vs Pak</t>
  </si>
  <si>
    <t>F: McD's LV</t>
  </si>
  <si>
    <t>M: Walmart -74</t>
  </si>
  <si>
    <t>EET: India vs Pakistan WC SF</t>
  </si>
  <si>
    <t>M: Amazon - Waterbug</t>
  </si>
  <si>
    <t>MA: OshK'oshB'Gosh - Wrentham</t>
  </si>
  <si>
    <t>Meds: CVS Zyrtec</t>
  </si>
  <si>
    <t>M: Amazon (Greek Yogurt Strainer)</t>
  </si>
  <si>
    <t xml:space="preserve">Pet-Misc (Amazon) - </t>
  </si>
  <si>
    <t>Registration Renewal</t>
  </si>
  <si>
    <t>Dinner Dragon</t>
  </si>
  <si>
    <t>Gas (Jeep : prepaid)</t>
  </si>
  <si>
    <t>Car: Altima 150K Servicing</t>
  </si>
  <si>
    <t>EET: Redbox Breaking Dawn</t>
  </si>
  <si>
    <t xml:space="preserve">MA: J. Crew </t>
  </si>
  <si>
    <t>Car: Altima - Oil Change: 9-min Oil Change - Palo Alto (-10)</t>
  </si>
  <si>
    <t>M: Amazon (Toaster)</t>
  </si>
  <si>
    <t>F: Tea Tree, Mountain View with aai Baba</t>
  </si>
  <si>
    <t>E: Dancing</t>
  </si>
  <si>
    <t>Gas (Jeep)</t>
  </si>
  <si>
    <t>M: Haircut (Both)</t>
  </si>
  <si>
    <t>EET: Redbox Zero Dark Thirty</t>
  </si>
  <si>
    <t>G: Ipad mini Cover</t>
  </si>
  <si>
    <t>M: MIT Thesis Print</t>
  </si>
  <si>
    <t>MA: Reebok - t-shirt - Shivani</t>
  </si>
  <si>
    <t>G: Birthday gift - Kian - Veena</t>
  </si>
  <si>
    <t>Fees: TurboTax</t>
  </si>
  <si>
    <t>Gas (Altima)18</t>
  </si>
  <si>
    <t>F: Lunch, Clinton</t>
  </si>
  <si>
    <t>F: Pepsi, Doritos etc</t>
  </si>
  <si>
    <t>M: Lowe's screwdriver set</t>
  </si>
  <si>
    <t>M: Amazon  (Oximeter)</t>
  </si>
  <si>
    <t>Cell Phone (Sony Ericsson T68i)</t>
  </si>
  <si>
    <t>M: RadioShack Plug Adapters</t>
  </si>
  <si>
    <t>ET: Zion NP</t>
  </si>
  <si>
    <t>Cake (Mike's Pastry, Boston)</t>
  </si>
  <si>
    <t>M: Lowe's Kitchen faucet</t>
  </si>
  <si>
    <t>EET: Frozen</t>
  </si>
  <si>
    <t>M: Michaels' - Sara's Birthday</t>
  </si>
  <si>
    <t>Grocery (Amazon) - MF + Egg Protein</t>
  </si>
  <si>
    <t>MH: HomeDepot - Plants etc</t>
  </si>
  <si>
    <t>MA: Amazon - T-shirts SAS</t>
  </si>
  <si>
    <t>Grocery (WF)</t>
  </si>
  <si>
    <t>Laundary</t>
  </si>
  <si>
    <t>F: Dinner: Stromboli's</t>
  </si>
  <si>
    <t>Parking (Logan)</t>
  </si>
  <si>
    <t>EET: Car Rental - Toyota 4Runner</t>
  </si>
  <si>
    <t>F: Byte Food - Work Pantry</t>
  </si>
  <si>
    <t>M: Haircut x 4</t>
  </si>
  <si>
    <t>Kids: Fees - TK Hold</t>
  </si>
  <si>
    <t>MH: HomeDepot - Outdoor light scones</t>
  </si>
  <si>
    <t>M: Amazon - Lunch Boxes</t>
  </si>
  <si>
    <t>Grocery (Pure Tradition)- Egg White Noodles</t>
  </si>
  <si>
    <t>Food : Dragon, Worcester</t>
  </si>
  <si>
    <t>e: The LadyKillers</t>
  </si>
  <si>
    <t>E: Antelope Canyon</t>
  </si>
  <si>
    <t>F: Yoway - Worcester -Froyo</t>
  </si>
  <si>
    <t>EET: Gravity</t>
  </si>
  <si>
    <t>EET: Trip to Virginia - Charus</t>
  </si>
  <si>
    <t>M: Amazon - Feet massage roller + Lithium button batteries</t>
  </si>
  <si>
    <t>M: Amazon - Futon Matress</t>
  </si>
  <si>
    <t>MK: Amazon - Mixer Attachments</t>
  </si>
  <si>
    <t>M: HR Block</t>
  </si>
  <si>
    <t>F: Pepsi, Frappacino</t>
  </si>
  <si>
    <t>M: Travel Charger</t>
  </si>
  <si>
    <t>F: Subway, Fairfield, CT</t>
  </si>
  <si>
    <t>MA: Saucony Shoes</t>
  </si>
  <si>
    <t>M: Amazon - Thermal Karafe</t>
  </si>
  <si>
    <t>Meds: Emergency Room Visit for broken foot + Doc</t>
  </si>
  <si>
    <t>Misc :Hair Cut</t>
  </si>
  <si>
    <t>F:Dunkin, CT</t>
  </si>
  <si>
    <t>MA: Running Shoes for Sara's Junior Olympics</t>
  </si>
  <si>
    <t>Grocery (Amazon) - Shirataki Rice</t>
  </si>
  <si>
    <t>F: Sara - SFR Foods</t>
  </si>
  <si>
    <t>ET: Grand Canyon NP</t>
  </si>
  <si>
    <t>MA: TJX - 30</t>
  </si>
  <si>
    <t>EET: Hunger Games</t>
  </si>
  <si>
    <t xml:space="preserve">Gas (Rental) </t>
  </si>
  <si>
    <t>Car: Brake Pads, Rotors + Calipers - Sears Auto</t>
  </si>
  <si>
    <t>Car: Merc - Benz Collision - Body Shop work</t>
  </si>
  <si>
    <t xml:space="preserve">M: Amazon - </t>
  </si>
  <si>
    <t xml:space="preserve">F: Jamba Juice </t>
  </si>
  <si>
    <t>Grocery (Lorann Oils)</t>
  </si>
  <si>
    <t>F: Dinner: Denny's, Williams, AZ</t>
  </si>
  <si>
    <t>Grocery (Toothpaste: Amazon)</t>
  </si>
  <si>
    <t>MH: DeWalt Hedge Trimmer Battery Charger</t>
  </si>
  <si>
    <t>M: Amazon - Working Backwards</t>
  </si>
  <si>
    <t>Food : Chinese, Billerica</t>
  </si>
  <si>
    <t>Ed: Registration fee for St.Bernadette</t>
  </si>
  <si>
    <t>Gifts Cards: Shanaya, Charu</t>
  </si>
  <si>
    <t>Grocery (LorAnn) - Flavors</t>
  </si>
  <si>
    <t>Grocery (Vitacost)</t>
  </si>
  <si>
    <t>F: Kebab Corner, Freemont St, LV</t>
  </si>
  <si>
    <t>Grocery (Amazon) - Keto Krisp Bars</t>
  </si>
  <si>
    <t>MA: Nike - Running shoes for ARP</t>
  </si>
  <si>
    <t>G: Amazon - Baby Welco me gift - Fultz</t>
  </si>
  <si>
    <t>Meds: Walgreens, Ashburn, VA - Zyrtec-D</t>
  </si>
  <si>
    <t>Grocery (Atlas Bars)</t>
  </si>
  <si>
    <t>Grocery (Marshalls)</t>
  </si>
  <si>
    <t>M: Amazon - Coffee Crafe</t>
  </si>
  <si>
    <t>Misc Cells</t>
  </si>
  <si>
    <t>T: Cab Thrifty to MGM</t>
  </si>
  <si>
    <t>Car: Parking - DC</t>
  </si>
  <si>
    <t>MH: NextDoor Pickup - Cherry Bookcase for MBR</t>
  </si>
  <si>
    <t>F: Beer + Starbucks Frapachinno</t>
  </si>
  <si>
    <t>EET: Smithsonian Museum of Natural History</t>
  </si>
  <si>
    <t>MA: Amazon - Flip Flops</t>
  </si>
  <si>
    <t>Grocery (Amazon) - Chocolate flavors</t>
  </si>
  <si>
    <t>Grocery (Master Butcher)</t>
  </si>
  <si>
    <t>Meds: Los Altos Dental</t>
  </si>
  <si>
    <t>Meds: Amazon - Walking boot</t>
  </si>
  <si>
    <t>E: Skiing</t>
  </si>
  <si>
    <t>F: Breakfast, Starbucks, MGM Grand</t>
  </si>
  <si>
    <t xml:space="preserve">Ed-Fees: Sara's Walkathon </t>
  </si>
  <si>
    <t>MA: Jones - NY - Gettysburg, MD</t>
  </si>
  <si>
    <t>MA: (Amazon) Winter Socks</t>
  </si>
  <si>
    <t>G: Amazon - Gift for Baba's birthday: Outlive</t>
  </si>
  <si>
    <t>Meds: Kaiser Permanente - CoPay + Boot</t>
  </si>
  <si>
    <t>Food : Pat's Peak</t>
  </si>
  <si>
    <t>ET: Gambling</t>
  </si>
  <si>
    <t>MA: Van Heusen, Gettysburg, MD</t>
  </si>
  <si>
    <t>M: Amazon - Squirrel Cage</t>
  </si>
  <si>
    <t>Grocery (Amazon) - Flavorings</t>
  </si>
  <si>
    <t xml:space="preserve">Grocery (Amazon) - Casein </t>
  </si>
  <si>
    <t>F: Panda Express</t>
  </si>
  <si>
    <t>F: Lunch, Outlets, Gettysburg, MD</t>
  </si>
  <si>
    <t>Car: Merc 80K Service (32300 Miles)</t>
  </si>
  <si>
    <t>Grocery (Vitacost)- Jocko Molk</t>
  </si>
  <si>
    <t>F: Denny's</t>
  </si>
  <si>
    <t>M: Amazon - Nija attachements</t>
  </si>
  <si>
    <t>F: BK</t>
  </si>
  <si>
    <t>M: ChatGPT</t>
  </si>
  <si>
    <t>Misc : BB &amp; B</t>
  </si>
  <si>
    <t>F: Drink O'Shea's</t>
  </si>
  <si>
    <t>M: Amazon - Printing Papers</t>
  </si>
  <si>
    <t>G: Thermals for Aai</t>
  </si>
  <si>
    <t>E: DVD Membership</t>
  </si>
  <si>
    <t>F: BK + Pepsi</t>
  </si>
  <si>
    <t>F: Rasoi, IG</t>
  </si>
  <si>
    <t>M: Amazon - Storage Boxes</t>
  </si>
  <si>
    <t>Meds: Kaiser</t>
  </si>
  <si>
    <t>E: Trip to Orlando, Grandview RCI</t>
  </si>
  <si>
    <t>Grocery (Amazon) - Anchovies</t>
  </si>
  <si>
    <t>MA: Columbia</t>
  </si>
  <si>
    <t>E: Fantasy, Luxor LV -$98 (Grandview, Las Vegas)</t>
  </si>
  <si>
    <t>G: Birthday gifts - Anishka's friends and Sara's</t>
  </si>
  <si>
    <t>MA: Nike Shoes</t>
  </si>
  <si>
    <t xml:space="preserve">Classes: FIRST Robotics Compeitition - Houston trip </t>
  </si>
  <si>
    <t>F: Drink @ Fantasy : Strawberry Daiquree</t>
  </si>
  <si>
    <t>Gas (Rental - 4Runner)</t>
  </si>
  <si>
    <t>M: Amazon - SD Card</t>
  </si>
  <si>
    <t>M: Amazon - Tote Bags for nish</t>
  </si>
  <si>
    <t>F: Dinner</t>
  </si>
  <si>
    <t>Gas (Rental - Elantra)</t>
  </si>
  <si>
    <t>M: Amazon (Storage boxes)</t>
  </si>
  <si>
    <t>MA: Amazon - OluKai Shoes</t>
  </si>
  <si>
    <t>T: Cab to LV Aiport</t>
  </si>
  <si>
    <t>T: Cab Logan Ex to Framingham</t>
  </si>
  <si>
    <t>MA: Amazon - Girls tops + Pants</t>
  </si>
  <si>
    <t>F: Starbucks, LV Airport</t>
  </si>
  <si>
    <t>Ed: Books</t>
  </si>
  <si>
    <t>MH: Woot - Ring Solar Panels</t>
  </si>
  <si>
    <t>E: Cricket: Willow.TV</t>
  </si>
  <si>
    <t>Pet-Food (Petco) - Dog Food</t>
  </si>
  <si>
    <t>F: Los Altos Womens night</t>
  </si>
  <si>
    <t>M: Bagpack, TJX</t>
  </si>
  <si>
    <t>Pet-Misc (Amazon) - Car Protection</t>
  </si>
  <si>
    <t>Grocery (Amazon) - Naked Protein</t>
  </si>
  <si>
    <t>Grocery (Walmart - Instacart)</t>
  </si>
  <si>
    <t>Ed: Tuition; R: Babson : Refund Babson -1494</t>
  </si>
  <si>
    <t>F: Walmart for Holi Party</t>
  </si>
  <si>
    <t>Grocery (Amazon) - Steel Cut Oats</t>
  </si>
  <si>
    <t>Classes: Robotics for World Championship x 2</t>
  </si>
  <si>
    <t>M: Roomba Sage : Woot</t>
  </si>
  <si>
    <t>M: Amazon - Charging Cable</t>
  </si>
  <si>
    <t>G: Lemons for Zarana</t>
  </si>
  <si>
    <t>Pet-Med (Serra Vet)</t>
  </si>
  <si>
    <t>M: Furniture: Chair from Karthik</t>
  </si>
  <si>
    <t>Classes: Tutoring - Wyzant</t>
  </si>
  <si>
    <t>Grocery (Luckys)</t>
  </si>
  <si>
    <t>Grocery (Walgreen)</t>
  </si>
  <si>
    <t>Meds: Walgreen</t>
  </si>
  <si>
    <t>Car: Altima - Oil Change</t>
  </si>
  <si>
    <t>M: Tax Return</t>
  </si>
  <si>
    <t>MA: Amazon - Bras</t>
  </si>
  <si>
    <t>Groocery (Amazon) - Pea Crisps</t>
  </si>
  <si>
    <t>G: Amazon - Anishka's friends x 4</t>
  </si>
  <si>
    <t>Classes: Spartan Robotics -MBR Trip</t>
  </si>
  <si>
    <t>F: Pinkberry - Sara - MBR</t>
  </si>
  <si>
    <t>Apr '03</t>
  </si>
  <si>
    <t>Apr '04</t>
  </si>
  <si>
    <t>Apr '05</t>
  </si>
  <si>
    <t>Apr '06</t>
  </si>
  <si>
    <t>Apr '07</t>
  </si>
  <si>
    <t>Apr '08</t>
  </si>
  <si>
    <t>Apr '09</t>
  </si>
  <si>
    <t>Apr'10</t>
  </si>
  <si>
    <t>Apr'11</t>
  </si>
  <si>
    <t>Apr'12</t>
  </si>
  <si>
    <t>Apr'13</t>
  </si>
  <si>
    <t>Apr'14</t>
  </si>
  <si>
    <t>Apr'15</t>
  </si>
  <si>
    <t>Apr'16</t>
  </si>
  <si>
    <t>Apr'17</t>
  </si>
  <si>
    <t>Apr'18</t>
  </si>
  <si>
    <t>Apr'19</t>
  </si>
  <si>
    <t>Apr'20</t>
  </si>
  <si>
    <t>Apr'21</t>
  </si>
  <si>
    <t>Apr'22</t>
  </si>
  <si>
    <t>Apr'23</t>
  </si>
  <si>
    <t>Apr'24</t>
  </si>
  <si>
    <t>Debit -R</t>
  </si>
  <si>
    <t>Debit-S</t>
  </si>
  <si>
    <t>Pingo</t>
  </si>
  <si>
    <t>Grocery : SnS, Framingham</t>
  </si>
  <si>
    <t>Car: Registration</t>
  </si>
  <si>
    <t>Meds: VP CoPay</t>
  </si>
  <si>
    <t>F: Sichuan Gourmet</t>
  </si>
  <si>
    <t>EET: JetBlue: BOS-LAX-SFO-BOS</t>
  </si>
  <si>
    <t>EET: India vs SL WC Finals</t>
  </si>
  <si>
    <t>EET: Boston Limo - Groupon</t>
  </si>
  <si>
    <t>M: Sitting Cycling Exercise - Amazon</t>
  </si>
  <si>
    <t>EET: 5K Walk</t>
  </si>
  <si>
    <t>EET: Sara's Birthday Party</t>
  </si>
  <si>
    <t>Classes: Piano</t>
  </si>
  <si>
    <t>Classes: AoPS - Python and AMc Math</t>
  </si>
  <si>
    <t>Gift: Urvashi</t>
  </si>
  <si>
    <t>M: Cell Phone: Moto Razr -50</t>
  </si>
  <si>
    <t>OTE: taxes: MA State Tax</t>
  </si>
  <si>
    <t>F: PF Changs, (Sibbi)</t>
  </si>
  <si>
    <t>G: Sichuan Gourmet: Miru-Anand</t>
  </si>
  <si>
    <t>EET: Car Rental (Alamo)</t>
  </si>
  <si>
    <t>F: Babson</t>
  </si>
  <si>
    <t>Fees: H1B Visa - 190 * 2 -380 Reimbursed by EMC</t>
  </si>
  <si>
    <t>G: Sara's Birthday Party - Return Gifts</t>
  </si>
  <si>
    <t>EET: Disney Cruise for Sara's Birthday</t>
  </si>
  <si>
    <t>M:Taxprep : TaxAct Online</t>
  </si>
  <si>
    <t>EET: Hotels LAX + SFO</t>
  </si>
  <si>
    <t>EET: Tickets - Jet Airways - Mumbai - Dehradun -Mumbai = 850 - 540</t>
  </si>
  <si>
    <t>Car: Audi Registration</t>
  </si>
  <si>
    <t>Grocery (IG) - Patels</t>
  </si>
  <si>
    <t>EET: Disney Cruise tickets</t>
  </si>
  <si>
    <t>Classes: Taekwondo + 2 tests</t>
  </si>
  <si>
    <t>Classes: Counselling Sessions`</t>
  </si>
  <si>
    <t>Gro: PC, Worc, Cereal Bars</t>
  </si>
  <si>
    <t>M: Blackberry Skin</t>
  </si>
  <si>
    <t>M: CVS (Photos for Anishka's passport)</t>
  </si>
  <si>
    <t>EET: Tickets Emirates - Boston-Mumbai-Boston =</t>
  </si>
  <si>
    <t>EET: Airfare - SFO-SAN-SFO</t>
  </si>
  <si>
    <t>Grocery (Raley's - Nob hill) Pickup</t>
  </si>
  <si>
    <t>M: Duplicate License, Shibu</t>
  </si>
  <si>
    <t>F: Pizza (Delivery)</t>
  </si>
  <si>
    <t>MA: BR</t>
  </si>
  <si>
    <t>M: The Butterfly Place</t>
  </si>
  <si>
    <t>EET: Taj , Pune - April 15-17 - 486</t>
  </si>
  <si>
    <t>Car: Altima Inspection</t>
  </si>
  <si>
    <t>MA: TJX - 49</t>
  </si>
  <si>
    <t>EET: San Diego Trip</t>
  </si>
  <si>
    <t>Classes: Y - Swimming</t>
  </si>
  <si>
    <t>Classes: Houston trip</t>
  </si>
  <si>
    <t>Grocery (BJ)</t>
  </si>
  <si>
    <t>m: postage</t>
  </si>
  <si>
    <t>Grocery (IG) Mutton</t>
  </si>
  <si>
    <t>F: Qdabo Mex Grill, Patriots Place</t>
  </si>
  <si>
    <t>F: Bollywood Grill: Celebration for WC</t>
  </si>
  <si>
    <t>MA: Walmart (Sara -shoes)</t>
  </si>
  <si>
    <t>Sara's Birthday - Pump it Up</t>
  </si>
  <si>
    <t>Meds: Dentist</t>
  </si>
  <si>
    <t>Kids: SkyHawks - T&amp;F Apr, May - Sara and Anishka - 182 * 2</t>
  </si>
  <si>
    <t>Kids: Classes: After school - Karate</t>
  </si>
  <si>
    <t>M: Music Book</t>
  </si>
  <si>
    <t>Grocery (Amazon) - (Milk Protein Powder)</t>
  </si>
  <si>
    <t>MA: Amazon- Shirts</t>
  </si>
  <si>
    <t>Meds FLAX Seed</t>
  </si>
  <si>
    <t>E: Ice Age 2</t>
  </si>
  <si>
    <t>G: Rasoi Grcocery Store : Cham Cham, Shameen</t>
  </si>
  <si>
    <t>F: Subway, CT</t>
  </si>
  <si>
    <t>Fees: Cancellation charges</t>
  </si>
  <si>
    <t>Fees: Marriot Visa Card - Annual Fee</t>
  </si>
  <si>
    <t>Kids: After-School - Chess ARP + SRP = 148 * 2</t>
  </si>
  <si>
    <t>Kids: Classes: After school - Chess</t>
  </si>
  <si>
    <t>Grocery (Amazon) - Pur Gum</t>
  </si>
  <si>
    <t>Grocery (Amazon) - (Ginger Powder)</t>
  </si>
  <si>
    <t>G: Amazon - Ring</t>
  </si>
  <si>
    <t>G: Sachin's son, TJM</t>
  </si>
  <si>
    <t>Grocery : IG</t>
  </si>
  <si>
    <t>M: Wipes : Amazon</t>
  </si>
  <si>
    <t>India Trip - Exchange Rate</t>
  </si>
  <si>
    <t>OTE: Federal Taxes</t>
  </si>
  <si>
    <t>Car: Parking - SRP - Scality Interview - 555 Califronia Street, SFO</t>
  </si>
  <si>
    <t>MA: Amazon -RDP</t>
  </si>
  <si>
    <t>Grocery (Amazon) - Flax/Chia</t>
  </si>
  <si>
    <t>Grocery (Amazon) - (Starbucks Coffee)</t>
  </si>
  <si>
    <t>M: Amazon - Anker Battery Packs</t>
  </si>
  <si>
    <t>Phone Pingo</t>
  </si>
  <si>
    <t>M: Cutting Board, CK, TJM</t>
  </si>
  <si>
    <t>MH: Duvet Covers, TJM</t>
  </si>
  <si>
    <t>MAK: Food Processor</t>
  </si>
  <si>
    <t>M: TRUS/BRUS</t>
  </si>
  <si>
    <t>F: Longhorn Steakhouse -25</t>
  </si>
  <si>
    <t>F: Haagen Daas Ice Cream</t>
  </si>
  <si>
    <t>Car: Oil Change - Altima</t>
  </si>
  <si>
    <t>OTE: State Taxes (MA)</t>
  </si>
  <si>
    <t>M: Amazon - Car Phone Mount</t>
  </si>
  <si>
    <t>M: US Paspport for Sara - Fee + 60 expedited</t>
  </si>
  <si>
    <t>Grocery (Amazon) - Electrolytes x 5</t>
  </si>
  <si>
    <t>MH: WalMart</t>
  </si>
  <si>
    <t>Grocery (Amazon) - Glade x 2</t>
  </si>
  <si>
    <t>M: Amazon - Travel Router</t>
  </si>
  <si>
    <t>M: Crappy NMA Site</t>
  </si>
  <si>
    <t>G: Berlin Road Extortion</t>
  </si>
  <si>
    <t>KA: Walmart</t>
  </si>
  <si>
    <t>M: US passport for Anishka</t>
  </si>
  <si>
    <t>F: Costa's coffee</t>
  </si>
  <si>
    <t>Fees: TurboTax filing fee</t>
  </si>
  <si>
    <t>M: Target - Plants</t>
  </si>
  <si>
    <t>M: US Paspport for Sara - photos</t>
  </si>
  <si>
    <t>MH: Home Depot - Weed killer</t>
  </si>
  <si>
    <t>Grocery (Amazon) - Charmin x 4</t>
  </si>
  <si>
    <t>M: Amazon - Portable Stadium Seats for Houston</t>
  </si>
  <si>
    <t>Misc: Kohls : Apparel (S)</t>
  </si>
  <si>
    <t>M: Camera Rolls</t>
  </si>
  <si>
    <t>G: Cake for Baba</t>
  </si>
  <si>
    <t>KMeds: Walmart</t>
  </si>
  <si>
    <t>Grocery (Shaws: fish)</t>
  </si>
  <si>
    <t>M: USPS : US Passport Processing Fee</t>
  </si>
  <si>
    <t>EET: Car Transportation to Kharghar</t>
  </si>
  <si>
    <t>OTE: MA Tax</t>
  </si>
  <si>
    <t>MA: Performance Polo - Amazon</t>
  </si>
  <si>
    <t>Kids: After School: Sacremento trip</t>
  </si>
  <si>
    <t>Grocery (Amazon) - Listerine</t>
  </si>
  <si>
    <t>Grocery (Amazon) - Brawny</t>
  </si>
  <si>
    <t>G: Amazon - Resting Spoons for India x 2</t>
  </si>
  <si>
    <t>Misc: Kohls : Pressure Cooker</t>
  </si>
  <si>
    <t>M: Danish Cookies</t>
  </si>
  <si>
    <t>F: D'Angelos</t>
  </si>
  <si>
    <t>Fees: Tax: TurboTax</t>
  </si>
  <si>
    <t>Car: Tinting</t>
  </si>
  <si>
    <t>EET: Tolls Thane-Kharghar</t>
  </si>
  <si>
    <t>Car: Parking - SRP - Scality Interview - SFO Airport</t>
  </si>
  <si>
    <t>G: Marshalls - Shivani's Mom, Sneha</t>
  </si>
  <si>
    <t>F: Sacremento Field Trip )Shivani)</t>
  </si>
  <si>
    <t>Grocery (Amazon) - Nut Bag</t>
  </si>
  <si>
    <t>MH: Home Depot - Yard stuff</t>
  </si>
  <si>
    <t>Grocery (Amazon) - Sardines in Water</t>
  </si>
  <si>
    <t>M: Amazon - line paper</t>
  </si>
  <si>
    <t>M: Amazon - Universal Charger</t>
  </si>
  <si>
    <t>Food: Lunch : Thai</t>
  </si>
  <si>
    <t>Lunch Andreas</t>
  </si>
  <si>
    <t>E: ODI : India vs Pak</t>
  </si>
  <si>
    <t>M: Cards : Hallmark, SPM</t>
  </si>
  <si>
    <t>OTE: Fed Tax</t>
  </si>
  <si>
    <t>KA: TJM</t>
  </si>
  <si>
    <t>Car: 02 Altima: Wipers</t>
  </si>
  <si>
    <t>F: Subway Lunch with Anand</t>
  </si>
  <si>
    <t>MA: Sandals - Bata, Thane (Sara)</t>
  </si>
  <si>
    <t>MK: Marshalls</t>
  </si>
  <si>
    <t>MA: New Balance - Minimus - Rahul</t>
  </si>
  <si>
    <t>Grocery (Amazon) - Anti-bacterial</t>
  </si>
  <si>
    <t>MH: Home Depot - Salinas - Mulch</t>
  </si>
  <si>
    <t>Pet-Food (Amazon)</t>
  </si>
  <si>
    <t>Car: Servicing - Merc</t>
  </si>
  <si>
    <t>M: Amazon - Ceptics Charger</t>
  </si>
  <si>
    <t>Misc: Rolls Develop</t>
  </si>
  <si>
    <t>Logan Express</t>
  </si>
  <si>
    <t>E: NEMM Function</t>
  </si>
  <si>
    <t>OTE: State Tax</t>
  </si>
  <si>
    <t>Gas (Altima: Trip)</t>
  </si>
  <si>
    <t>MA: Dresses for Sara &amp; Anishka (iKids and Snoopy - Thane)</t>
  </si>
  <si>
    <t>Grocery (Amazon) - Spry's Mint</t>
  </si>
  <si>
    <t>Grocery (Amazon) - Woot - Granola x 6</t>
  </si>
  <si>
    <t>M: Amazon - Car Vacuum Cleaner</t>
  </si>
  <si>
    <t>F: YogurtLand</t>
  </si>
  <si>
    <t>M: Amazon - Cable Anker</t>
  </si>
  <si>
    <t>Cab</t>
  </si>
  <si>
    <t>F: NEMM Function</t>
  </si>
  <si>
    <t>MK: Kitchen: Calphalon</t>
  </si>
  <si>
    <t>M: Tax preparation, Westford Tax</t>
  </si>
  <si>
    <t>M: walmart</t>
  </si>
  <si>
    <t>F: McDonalds, CT</t>
  </si>
  <si>
    <t>OTE: H1B Visa Screw up</t>
  </si>
  <si>
    <t>EET: Redbox - Steve Jobs + SpotLight for Apr - 3</t>
  </si>
  <si>
    <t>G: Marshalls - Leila</t>
  </si>
  <si>
    <t>M: TRUS - Scattegories - TRUS Card</t>
  </si>
  <si>
    <t>F: Ghirardeli, Monterey</t>
  </si>
  <si>
    <t>F: Starbucks - SFO Airport</t>
  </si>
  <si>
    <t>M: Amazon - Cable organizer</t>
  </si>
  <si>
    <t>Food : LSF</t>
  </si>
  <si>
    <t>M: 88 Tips to Top B Schools</t>
  </si>
  <si>
    <t>OTE: EMC Sell Commision 458@ $15.16</t>
  </si>
  <si>
    <t>F: P&amp;S Pizza (Pizza &amp; Sub)</t>
  </si>
  <si>
    <t>M: Postage (India)</t>
  </si>
  <si>
    <t>M: Razors</t>
  </si>
  <si>
    <t>Grocery: Amazon (Toothpaste)</t>
  </si>
  <si>
    <t>H1B Visa Stamping Appointment</t>
  </si>
  <si>
    <t>F:Thai Pepper - Shivani</t>
  </si>
  <si>
    <t>Grocery (Amazon) - Cetaphil</t>
  </si>
  <si>
    <t>Parking, Monterey</t>
  </si>
  <si>
    <t>F: Dunkin - Singapore Airport</t>
  </si>
  <si>
    <t>M: Amazon - Nail Polish</t>
  </si>
  <si>
    <t>G : Siddhu's treat LSF</t>
  </si>
  <si>
    <t>Misc : India Trip</t>
  </si>
  <si>
    <t>M: Apparel: TJ: Shibu</t>
  </si>
  <si>
    <t>F: Yong Toong, Northboro, MA</t>
  </si>
  <si>
    <t>IUI</t>
  </si>
  <si>
    <t>Tax: State Tax</t>
  </si>
  <si>
    <t>Car: Parking, Times Square, NYC</t>
  </si>
  <si>
    <t>F: Coffee Day</t>
  </si>
  <si>
    <t>Meds (WalMart)</t>
  </si>
  <si>
    <t>Grocery (WalMart) - Nescafe x 3 + Antacid</t>
  </si>
  <si>
    <t>F: Starbukcs - Singapore Airport</t>
  </si>
  <si>
    <t>M: Amazon - Celsius</t>
  </si>
  <si>
    <t>T: Gas</t>
  </si>
  <si>
    <t>Misc: Shoppers Stop, Mulund</t>
  </si>
  <si>
    <t>M: Appl : Towel Warmer</t>
  </si>
  <si>
    <t>F: Naked Fish, ISEC</t>
  </si>
  <si>
    <t>MH: Kohls (Comforter)</t>
  </si>
  <si>
    <t>KA: Target</t>
  </si>
  <si>
    <t>F: Chicken Kebabs, NYC</t>
  </si>
  <si>
    <t>M: Amazon (Milk Bags)</t>
  </si>
  <si>
    <t>Grocery: Big Bazaar</t>
  </si>
  <si>
    <t>MA: Van Heusen</t>
  </si>
  <si>
    <t>G: Flowers for Baba's Birthday</t>
  </si>
  <si>
    <t>MA: Macy's (NF Jacket - RDP)</t>
  </si>
  <si>
    <t>Grocery (Instacart)</t>
  </si>
  <si>
    <t>F: Coke Zero - Singapore Airport</t>
  </si>
  <si>
    <t>Grocery (Amazon) Bone Borth + Chicen Broth</t>
  </si>
  <si>
    <t>E : NEMM Prog</t>
  </si>
  <si>
    <t>Cab to Holiday Inn, NJ</t>
  </si>
  <si>
    <t>Grocery : CVS Milk</t>
  </si>
  <si>
    <t>Gifts: Kids (Kaushik n Hardik)</t>
  </si>
  <si>
    <t>MK: Kitchen Bakeware</t>
  </si>
  <si>
    <t>F: Kwik Meals: Chicken/Lamb</t>
  </si>
  <si>
    <t>F: Barbeque Nation, Andheri</t>
  </si>
  <si>
    <t>EET: Redbox - Star Wars : The Force Awaken - Family Movie Night</t>
  </si>
  <si>
    <t>MA: Kohls: Running Shoes - Sara</t>
  </si>
  <si>
    <t>M: Amazon.in -</t>
  </si>
  <si>
    <t>Grocery (Amazon) - Whole Foods</t>
  </si>
  <si>
    <t>M (Amazon) - Vevavi Wireless CarPlay Adapter</t>
  </si>
  <si>
    <t>Food: Food : NEMM</t>
  </si>
  <si>
    <t>F: Holiday inn</t>
  </si>
  <si>
    <t>Gifts: Cards</t>
  </si>
  <si>
    <t>F: 6-pack : Mike's Hard Lime</t>
  </si>
  <si>
    <t>M: Bedsheets &amp; Towels</t>
  </si>
  <si>
    <t>F: Mango Shake - Viviana Mall</t>
  </si>
  <si>
    <t>Home: Maintenance - Plumbing - No fix really</t>
  </si>
  <si>
    <t>M: Amazon - Dry Erase Board</t>
  </si>
  <si>
    <t>M: Amazon - Gloves</t>
  </si>
  <si>
    <t>Fees: Stratechery</t>
  </si>
  <si>
    <t>MA: Mircosoft Employee Store</t>
  </si>
  <si>
    <t>G: Dry Fruits - Walmart</t>
  </si>
  <si>
    <t>Grocery (Amazon) - Hethstia Konjac Rice</t>
  </si>
  <si>
    <t>G: Siddhu (Phone Booth)</t>
  </si>
  <si>
    <t>M: Passport Photos</t>
  </si>
  <si>
    <t>Gocery (OSJL)</t>
  </si>
  <si>
    <t>M: TaxAct</t>
  </si>
  <si>
    <t>G: Babies RUS (Sooraj - Jai &amp; Sasha)</t>
  </si>
  <si>
    <t>MA: Dresses for Sara &amp; Anishka (Korum Mall, Reliance)</t>
  </si>
  <si>
    <t>M: Haircut - Shivani</t>
  </si>
  <si>
    <t>EET: Bay Area Museum - Sausalito - Leila' Birthday party</t>
  </si>
  <si>
    <t>Grocery (Amazon) - Paleo Proetein Powder</t>
  </si>
  <si>
    <t>Grocery (Amazon) - PI Powder x 4</t>
  </si>
  <si>
    <t>Grocery (Amazon) - Gum</t>
  </si>
  <si>
    <t>Grocery (Amazon - WF)</t>
  </si>
  <si>
    <t>MA: Amazon.in - India Shopping</t>
  </si>
  <si>
    <t>Grocery (Amazon) - NAMANNA Monk Fruit Sweetener</t>
  </si>
  <si>
    <t>Misc: NH : Payless</t>
  </si>
  <si>
    <t>Cab Logan to Woburn</t>
  </si>
  <si>
    <t>M: postage to India</t>
  </si>
  <si>
    <t>M: French Visa</t>
  </si>
  <si>
    <t>F: Pizza (Delivery), WC 07 Final</t>
  </si>
  <si>
    <t>Cell : VZ</t>
  </si>
  <si>
    <t>OTE: MA State Tax</t>
  </si>
  <si>
    <t>M: Turbotax</t>
  </si>
  <si>
    <t>MA: Shirts - Cotton World</t>
  </si>
  <si>
    <t>F: Bean Sprouts Café - Bay Area Museum, Sausalito</t>
  </si>
  <si>
    <t>Kids: Y Registration - 65 x 2</t>
  </si>
  <si>
    <t>Grocery (Amazon) - Pure Protein Bars</t>
  </si>
  <si>
    <t>Grocery (Amazon) - MF</t>
  </si>
  <si>
    <t>Grocery (Amazon) - Almond Milk</t>
  </si>
  <si>
    <t>EET: SFO - SIN- MUM - Singapore airlines x 2</t>
  </si>
  <si>
    <t>Grocery (Amazon) - Naked Seed Protein Powder</t>
  </si>
  <si>
    <t>Misc: At&amp;t WS : USB Cradle</t>
  </si>
  <si>
    <t>M: Phone Call from Newark Airport</t>
  </si>
  <si>
    <t>M: Swiss Visa</t>
  </si>
  <si>
    <t>Cell : ATT Activation (Waived: Nortel) -67</t>
  </si>
  <si>
    <t>Grocery: Herbalife - Protein Powder + Afresh Energy Drink</t>
  </si>
  <si>
    <t>Fees: Late Fee - Mountain View Library</t>
  </si>
  <si>
    <t>Grocery )Amazon) - Buffalo Seasoning</t>
  </si>
  <si>
    <t>M: KN95 Masks</t>
  </si>
  <si>
    <t>Grocery ( Amazon) - Jocko Molk x 2</t>
  </si>
  <si>
    <t>Grocery (Amazon) - Coastal Gourmet Sardines</t>
  </si>
  <si>
    <t>Misc : Bath &amp; Body Works</t>
  </si>
  <si>
    <t>F: Bertucci</t>
  </si>
  <si>
    <t>F: Boston Burger Exp, Boston</t>
  </si>
  <si>
    <t>MA: Marshalls : Footwear</t>
  </si>
  <si>
    <t>Cell : Monthly</t>
  </si>
  <si>
    <t>M: Dryer Knob</t>
  </si>
  <si>
    <t>M: CTS: Birthday Party</t>
  </si>
  <si>
    <t>M: DMV License Renewal</t>
  </si>
  <si>
    <t>M: Sara's art &amp; crafts</t>
  </si>
  <si>
    <t>MA: Gold Earrings - Shivani @ Kharghar</t>
  </si>
  <si>
    <t>M: Dollar Store - Drano substitute</t>
  </si>
  <si>
    <t>Car Wash (Merc)</t>
  </si>
  <si>
    <t>MA: WalMart - Gym T-shirt</t>
  </si>
  <si>
    <t>F: IF</t>
  </si>
  <si>
    <t>Grocery (Aamzon) - Ginger ale</t>
  </si>
  <si>
    <t>Grocery (Amazon) - King Oscar Kipper Snacks</t>
  </si>
  <si>
    <t>F : Drink (Str Banna Shake)</t>
  </si>
  <si>
    <t>C: Parking, Boston</t>
  </si>
  <si>
    <t>M: Taxes :TurboTax</t>
  </si>
  <si>
    <t>F: Lunch at Vinghazai Utsav - Tamhini, Mahrashtra</t>
  </si>
  <si>
    <t>M: Plunger -Amazon</t>
  </si>
  <si>
    <t>M: Insinkerator - Amazon</t>
  </si>
  <si>
    <t>Fees: Subscription to Stratechery</t>
  </si>
  <si>
    <t>MA: Amazon - Gym T-shirt</t>
  </si>
  <si>
    <t>Grocery (Amazon) - Keto Replinsher</t>
  </si>
  <si>
    <t>MH: HD: Kitchen Faucet</t>
  </si>
  <si>
    <t>Grocery (Amazon) - Cardomom</t>
  </si>
  <si>
    <t>M (Amazon) - Anker Powerline II 3-in-1 Cable</t>
  </si>
  <si>
    <t>M: Target, Iron etc</t>
  </si>
  <si>
    <t>F: Berlin Ice cream</t>
  </si>
  <si>
    <t>G: Top for aarti</t>
  </si>
  <si>
    <t>Car: Audi (oil change)</t>
  </si>
  <si>
    <t>F: Monginis - Birthday Cake for Baba</t>
  </si>
  <si>
    <t>Baba's 70th Birthday</t>
  </si>
  <si>
    <t>MA: Amazon - Top - Shivani</t>
  </si>
  <si>
    <t>M: Amazon - Sara's b'day prep + gifts</t>
  </si>
  <si>
    <t>M: Amazon - Pop Up Restroom</t>
  </si>
  <si>
    <t>Grocery (Amazon) - Detergent</t>
  </si>
  <si>
    <t>Grocery (Amazon) - Jerk Seasoning</t>
  </si>
  <si>
    <t>M (Amazon) - FYY Electronic Organizer Bag</t>
  </si>
  <si>
    <t>M: Swiss Visa Misc</t>
  </si>
  <si>
    <t>Meds : CoPay Lazarou</t>
  </si>
  <si>
    <t>F: Priya's Lowell</t>
  </si>
  <si>
    <t>Car: Altima (oil change)</t>
  </si>
  <si>
    <t>Car: Altima</t>
  </si>
  <si>
    <t>F: Lunch @ Yellow Chillies - Viviana Mall - Thane</t>
  </si>
  <si>
    <t>Meds: CVS - Anishka</t>
  </si>
  <si>
    <t>Grocery (Amazon) - Sample Bars</t>
  </si>
  <si>
    <t>Meds: Amazon - Sea sickness medication</t>
  </si>
  <si>
    <t>M: Amazon - Dumbells</t>
  </si>
  <si>
    <t>M: Amazon - System Design Books</t>
  </si>
  <si>
    <t>Grocery (Amazon) - Salmon x 10</t>
  </si>
  <si>
    <t>M (Amazon) - Fosmon TSA Luggage Locks</t>
  </si>
  <si>
    <t>E : EMC Softball League</t>
  </si>
  <si>
    <t>M: Application Fee RBC</t>
  </si>
  <si>
    <t>M: Apparel: TJ: Shibu Purse</t>
  </si>
  <si>
    <t>F: Quiznos, Shibu</t>
  </si>
  <si>
    <t>M: AutoCheck</t>
  </si>
  <si>
    <t>M: Birthday gift for Sara (LEGO)</t>
  </si>
  <si>
    <t>EET: Horse Carriage - Tanga Ride - Thane = -150</t>
  </si>
  <si>
    <t>Grocery (WalMart) - PB - Teddie</t>
  </si>
  <si>
    <t>M: Amazon CAASPP Book</t>
  </si>
  <si>
    <t>MA: Amazon - adidas pants</t>
  </si>
  <si>
    <t>Grocery (Amazon) - True Lime</t>
  </si>
  <si>
    <t>Grocery (Amazon) - Tuna x 12</t>
  </si>
  <si>
    <t>M (Amazon) - Unknown item</t>
  </si>
  <si>
    <t>Misc : Games Etc from 606</t>
  </si>
  <si>
    <t>Gifts: Himani</t>
  </si>
  <si>
    <t>M: LaptopDrive Adapter</t>
  </si>
  <si>
    <t>Meds: walmart</t>
  </si>
  <si>
    <t>F: Chinese Mirch</t>
  </si>
  <si>
    <t>F: Red Mango (Frozen Yogurt) - Natick Mall</t>
  </si>
  <si>
    <t>M: Dollar shop</t>
  </si>
  <si>
    <t>EET: Misc Toys - Ballons, Meery go Round and Trumpets = - 60</t>
  </si>
  <si>
    <t>F: Shivani - Office</t>
  </si>
  <si>
    <t>Grocery (Amazon) - Raw Cacaco Powder</t>
  </si>
  <si>
    <t>Grocery (Amazon) (Powdered PB - PB Trimmed Brand) - 1LB x 2</t>
  </si>
  <si>
    <t>M: Ross - Samsonite Carry-on</t>
  </si>
  <si>
    <t>M: Amazon - Dental Tools</t>
  </si>
  <si>
    <t>Grocery (Amazon) - Casein</t>
  </si>
  <si>
    <t>Grocery (Amazon) - Sardines x 12</t>
  </si>
  <si>
    <t>Grocery (Amazon) - Unknown item</t>
  </si>
  <si>
    <t>Misc : GAP (S)</t>
  </si>
  <si>
    <t>M: Postage Swiss Visa</t>
  </si>
  <si>
    <t>MA: walmart</t>
  </si>
  <si>
    <t>EET: Playtown Express, Hopkinton, MA</t>
  </si>
  <si>
    <t>G: Mehul's baby shower</t>
  </si>
  <si>
    <t>Travel: Rickshaw Ride to Viviana Mall</t>
  </si>
  <si>
    <t>M: Amazon - Old Spice Hair Gel</t>
  </si>
  <si>
    <t>MA: Ross - Shivani active wear</t>
  </si>
  <si>
    <t>Car: Parking: Ghirardeli Square</t>
  </si>
  <si>
    <t>Grocery (Amazon) - L-Carnitine x 3</t>
  </si>
  <si>
    <t>Groceery (Amazon) - Cocoa Syrup</t>
  </si>
  <si>
    <t>Grocery (Amazon) - Whole Foods Market Purchase</t>
  </si>
  <si>
    <t>Gifts : Postage Himani</t>
  </si>
  <si>
    <t>MA: TJM</t>
  </si>
  <si>
    <t>G: TJX Tanish's bday</t>
  </si>
  <si>
    <t>Grocery (PC)</t>
  </si>
  <si>
    <t>Travel: Rickshaw ride Viviana Mall to Home</t>
  </si>
  <si>
    <t>Fees: Kohls Late Fee</t>
  </si>
  <si>
    <t>M: WalMart - Bike Pump</t>
  </si>
  <si>
    <t>F: Biryaniz - MTV</t>
  </si>
  <si>
    <t>MA: Amazon - Dress</t>
  </si>
  <si>
    <t>Grocery (Amazon) - Old SPice</t>
  </si>
  <si>
    <t>Grocery (Amazon) - CELSIUS Sparkling Peach Vibe</t>
  </si>
  <si>
    <t>Misc: Postage</t>
  </si>
  <si>
    <t>MA: Maternity Stuff</t>
  </si>
  <si>
    <t>Travel: Rickshaw Ride to Korum Mall</t>
  </si>
  <si>
    <t>Kids: Classes: Sterling Gym's Rad Classes</t>
  </si>
  <si>
    <t>M: WalMart - Picture Stickons</t>
  </si>
  <si>
    <t>G: Biryaniz - MTV - Sooraj and family</t>
  </si>
  <si>
    <t>MK: Amazon - Waffle Maker</t>
  </si>
  <si>
    <t>MA: Amazon - Tights - SRP</t>
  </si>
  <si>
    <t>F: Verde Tea - Castro/MTV</t>
  </si>
  <si>
    <t>Grocery (Amazon) - Simplex Contact Lens Solution</t>
  </si>
  <si>
    <t>Grocery (Amazon) - Kitchen Basics Bone Broth</t>
  </si>
  <si>
    <t>Misc : H&amp;R Block</t>
  </si>
  <si>
    <t>G: Babies R Us, Miru</t>
  </si>
  <si>
    <t>Car: Parking, Mass General, Boston</t>
  </si>
  <si>
    <t>KM: Misc kiddie stuff</t>
  </si>
  <si>
    <t>M: Dollar store: B'day stuff</t>
  </si>
  <si>
    <t>MA: Runnig Shoes: Sara</t>
  </si>
  <si>
    <t>Travel: Rickshaw ride Korum Mall to Home</t>
  </si>
  <si>
    <t>Kids: StB - Holiday Week</t>
  </si>
  <si>
    <t>F: Coffe, McDonalds' - Charlton Plaza</t>
  </si>
  <si>
    <t>Grocery (Amazon) - Nate's Honey - 32oz</t>
  </si>
  <si>
    <t>Car: Nissan Altima - Windshield</t>
  </si>
  <si>
    <t>Grocery (Amazon) - Plnters</t>
  </si>
  <si>
    <t>Grocery (Amazon) - Monk Fruit x 2</t>
  </si>
  <si>
    <t>Grocery (Amazon) - Textured Pea Protein</t>
  </si>
  <si>
    <t>Grocery (Amazon) - Durelife Allulose Sweetener</t>
  </si>
  <si>
    <t>G : Dad's B'day Gift</t>
  </si>
  <si>
    <t>G: TJM Miru</t>
  </si>
  <si>
    <t>MK: Silicone Baking Sheets</t>
  </si>
  <si>
    <t>F: Pretzel. SPM</t>
  </si>
  <si>
    <t>Grocery: Star Bazaar</t>
  </si>
  <si>
    <t>Kids: Collins ArtWork</t>
  </si>
  <si>
    <t>Gas (Altima) - Trip</t>
  </si>
  <si>
    <t>EET: CalTrain - San Antonio - Millbrae x 4</t>
  </si>
  <si>
    <t>Grocery (Amazon) - Quest Powder</t>
  </si>
  <si>
    <t>M: WalMart - Seasickness Meds</t>
  </si>
  <si>
    <t>Grocery (Amazon) - DeWalt Battery Charger</t>
  </si>
  <si>
    <t>EET: 39450 OakHurst Rd - AirBnB</t>
  </si>
  <si>
    <t>MA: Amazon - Camisole</t>
  </si>
  <si>
    <t>M (Amazon) - Brawny Tear-A-Square Paper Towels</t>
  </si>
  <si>
    <t>F : Chef of India (dinner)</t>
  </si>
  <si>
    <t>Misc (BJ) : Axe</t>
  </si>
  <si>
    <t>Grocery (Paneer)</t>
  </si>
  <si>
    <t>M: Postage for EZPass</t>
  </si>
  <si>
    <t>Gorcery (IG, Patels)</t>
  </si>
  <si>
    <t>MA: Kohls Sara's bday dresses</t>
  </si>
  <si>
    <t>Anishka's Ushtavan</t>
  </si>
  <si>
    <t>Grocery: Apna Bhandar</t>
  </si>
  <si>
    <t>F: Starbucks - Vince Lombardi Service Plaza</t>
  </si>
  <si>
    <t>EET: BART - Milbrae - Embacadero</t>
  </si>
  <si>
    <t>Grocery (Amazon) - Dish Wand</t>
  </si>
  <si>
    <t>G: TolShop - Gift for Baba's birthday</t>
  </si>
  <si>
    <t>M: Discks - Pull up bar</t>
  </si>
  <si>
    <t>MH: Amazon - Scotts Lawn Treatment</t>
  </si>
  <si>
    <t>Grocery (Amazon) - Rice</t>
  </si>
  <si>
    <t>Grocery (Amazon) - Shampoo</t>
  </si>
  <si>
    <t>M: Filene's (-23)</t>
  </si>
  <si>
    <t>Grocery (Rotis) Miru</t>
  </si>
  <si>
    <t>MH: Queen Mattress</t>
  </si>
  <si>
    <t>F: Indian CTS Complex</t>
  </si>
  <si>
    <t>Anishka's Birth Certificate</t>
  </si>
  <si>
    <t>G: Return gifts (Sara)</t>
  </si>
  <si>
    <t>Travel: Rickshaw - Apna Bhanda to Home</t>
  </si>
  <si>
    <t>F: Food Trucks - Kebabs - Washington, DC</t>
  </si>
  <si>
    <t>F: Starbucks - Market Street - SFO</t>
  </si>
  <si>
    <t>Grocery (Amazon) - Maple Syrup</t>
  </si>
  <si>
    <t>Meds: Callus Protector</t>
  </si>
  <si>
    <t>M: Avocado - Masks x 8</t>
  </si>
  <si>
    <t>M: Amazon - Mounting Adhesive</t>
  </si>
  <si>
    <t>Grocery (Amazon) - Conditioner</t>
  </si>
  <si>
    <t>Grocery (Amazon) - Organic Peanut Butter &amp; Jelly Snacks</t>
  </si>
  <si>
    <t>M: TJ</t>
  </si>
  <si>
    <t>M: Cake kit</t>
  </si>
  <si>
    <t>M: Walmart; B'day party</t>
  </si>
  <si>
    <t>M: Amazon (Legos)</t>
  </si>
  <si>
    <t>Travel: Rickshaw Home to Ram Maruti Road</t>
  </si>
  <si>
    <t>M: TRUS - Bagpack for Sara</t>
  </si>
  <si>
    <t>F: Powerade - Food carts</t>
  </si>
  <si>
    <t>F: Imperial Tea Café - Pier 3 - Embarcadero - Steamed Veggie Bun</t>
  </si>
  <si>
    <t>M: Stratectchery Subscription</t>
  </si>
  <si>
    <t>EET: Hike at San Antonio</t>
  </si>
  <si>
    <t>Kids: Amazon - Bio Book</t>
  </si>
  <si>
    <t>M: Stratechery Podcast + Twitter Super Follow (22)</t>
  </si>
  <si>
    <t>Grocery (Amazon) - Clams</t>
  </si>
  <si>
    <t>Grocery (Amazon) - Taco Shells</t>
  </si>
  <si>
    <t>Grocery (Amazon) - Culturelle Probiotics</t>
  </si>
  <si>
    <t xml:space="preserve"> $                       -  </t>
  </si>
  <si>
    <t>Misc : Kohls -R</t>
  </si>
  <si>
    <t>Gifts : TJ</t>
  </si>
  <si>
    <t>Parking: Hyatt (Reim -104)</t>
  </si>
  <si>
    <t>EET: Sara's first Soccer Class</t>
  </si>
  <si>
    <t>MA: Dresses for Sara - Kaccha Limbu, Thane</t>
  </si>
  <si>
    <t>M: Haircut - R+Niskoo</t>
  </si>
  <si>
    <t>F: Starbucks - DC</t>
  </si>
  <si>
    <t>Grocery (Amazon) Cacao Powder</t>
  </si>
  <si>
    <t>MA: Amazon - Sara's rompers</t>
  </si>
  <si>
    <t>EET: Yosemite National Park</t>
  </si>
  <si>
    <t>Grocery (Aamzon) - Ready to eat Dried noodles</t>
  </si>
  <si>
    <t>Grocery (Amazon) - Gas-X Chewable Tablets</t>
  </si>
  <si>
    <t>Food : Auburn Mall</t>
  </si>
  <si>
    <t>F: PF Changs, Boston (Reim -30)</t>
  </si>
  <si>
    <t>Car: Repairs (Altima) (Wiper Transmission)</t>
  </si>
  <si>
    <t>MA: MIT Tshirt</t>
  </si>
  <si>
    <t>Meds: CoPay: Sara</t>
  </si>
  <si>
    <t>MA: Birthday dress for Sara &amp; Anishka from aaji Ajoba = -1600 + -1450</t>
  </si>
  <si>
    <t>Home: Snow Removal Assessment</t>
  </si>
  <si>
    <t>Parking: DC</t>
  </si>
  <si>
    <t>M: Amazon (Coloring Gel Pens) - Zoo's Birthday gift</t>
  </si>
  <si>
    <t>Grocery (Atlas Bars) x 15</t>
  </si>
  <si>
    <t>Grocery (Amazon) - Peanuts</t>
  </si>
  <si>
    <t>Pets-Grocery (Amazon) - KSIIA Washable Dog Bed</t>
  </si>
  <si>
    <t>Misc : Doc</t>
  </si>
  <si>
    <t>M: Claire's</t>
  </si>
  <si>
    <t>F: Japanese, Shibu Grp Dinner (Reim -34)</t>
  </si>
  <si>
    <t>M: Camera Stuff</t>
  </si>
  <si>
    <t>F: Indian Kebab &amp; Grill</t>
  </si>
  <si>
    <t>Parking : Smithsonia National Zoological Park</t>
  </si>
  <si>
    <t>MA: Kohls - Sara's bday gifts + Shivani's jeans + Gym pants</t>
  </si>
  <si>
    <t>Grocery (Marigold Bars) - Sample Pack</t>
  </si>
  <si>
    <t>Grocery (Amazon) - Acne Cream</t>
  </si>
  <si>
    <t>F : Pizza Hut</t>
  </si>
  <si>
    <t>T: Cab to BCEC (Reimbursed 8)</t>
  </si>
  <si>
    <t>MA: TJX: Swimming</t>
  </si>
  <si>
    <t>Grocery (Amazon) - Almond Butter - Almondee</t>
  </si>
  <si>
    <t>Grocery (Amazon)- Nivea Cacao Butter</t>
  </si>
  <si>
    <t>G: Sara's birthday party return gifts</t>
  </si>
  <si>
    <t>M: SFR Roller Skates x 2 (Sara's Bday gift)</t>
  </si>
  <si>
    <t>Grocery (Raley's)</t>
  </si>
  <si>
    <t>Grocery (Amazon) - ChocolateExtract</t>
  </si>
  <si>
    <t>Grocery (Amazon) .in</t>
  </si>
  <si>
    <t>M (Amazon) - Ring Floodlight Cam</t>
  </si>
  <si>
    <t>Tax</t>
  </si>
  <si>
    <t>F: Wendy's</t>
  </si>
  <si>
    <t>Meds: Prescription: Sara</t>
  </si>
  <si>
    <t>MA: TJX Dress for Sara</t>
  </si>
  <si>
    <t>Travel: Car Rental - Indta</t>
  </si>
  <si>
    <t>F: Starbucks - Woodrow Wilson Plaza - NJ</t>
  </si>
  <si>
    <t>Grocery (Amazon) - Cacao Nibs - 2lbs</t>
  </si>
  <si>
    <t>Grocery (Amazon) - Annie's M&amp;C</t>
  </si>
  <si>
    <t>EET: Uber Home to SJC</t>
  </si>
  <si>
    <t>MH: Home Depot (Fruit cocktail tree, gardening)</t>
  </si>
  <si>
    <t>M: CVS Photo</t>
  </si>
  <si>
    <t>Grocery (Amazon) - Shaving Blades</t>
  </si>
  <si>
    <t>F: Singapore Airport - Starbucks</t>
  </si>
  <si>
    <t>MA (Amazon) - Bbfrey Athletic Socks</t>
  </si>
  <si>
    <t>Misc : Active Recovery Software</t>
  </si>
  <si>
    <t>M: Paper Towels: Amazon</t>
  </si>
  <si>
    <t>Sara's 3rd Birthday</t>
  </si>
  <si>
    <t>G: Monginis Cake for Rahul S</t>
  </si>
  <si>
    <t>M: MIT Graduation Regalia</t>
  </si>
  <si>
    <t>Grocery (Amazon) - Bounce Dryer Sheets</t>
  </si>
  <si>
    <t>F: 7 Eleven - Juice, Frappacino</t>
  </si>
  <si>
    <t>G: Baba's Birthday</t>
  </si>
  <si>
    <t>M: Amazon - Lights</t>
  </si>
  <si>
    <t>F: Singapore Airport - Dunkin</t>
  </si>
  <si>
    <t>E : Movie (Anger mgmt)</t>
  </si>
  <si>
    <t>Gocery (Miru- Roti)</t>
  </si>
  <si>
    <t>M: B'day Gift for Sara</t>
  </si>
  <si>
    <t>EET: Southwick Zoo</t>
  </si>
  <si>
    <t>EET: Disney on Ice, Worcester</t>
  </si>
  <si>
    <t>G: Prashant Corner for Kharghar</t>
  </si>
  <si>
    <t>MA: MIT Caps for Sara and Nishkoo</t>
  </si>
  <si>
    <t>Grocery (Amazon) - Crisco Olive Oil Sprays x 12</t>
  </si>
  <si>
    <t>F: Harumama, Little Italy - Asian, Ramen</t>
  </si>
  <si>
    <t>Grocery (Amazon) - Ziploc</t>
  </si>
  <si>
    <t>F: Singapore airport - Crossaint Sandwich + Fruit Bowl</t>
  </si>
  <si>
    <t>Gtocery (Amazon) - Cheerios</t>
  </si>
  <si>
    <t>Misc: Mail</t>
  </si>
  <si>
    <t>E: SoftBall</t>
  </si>
  <si>
    <t>G: Sweets from Ruta</t>
  </si>
  <si>
    <t>EET: Tips: Hollywood Characters</t>
  </si>
  <si>
    <t>EET: Southwick Zoo Rides 12+ 10 (train ride)</t>
  </si>
  <si>
    <t>Grocery: Prashant Corner</t>
  </si>
  <si>
    <t>F: Zoey's Cambridge</t>
  </si>
  <si>
    <t>Meds: Doc Cpay</t>
  </si>
  <si>
    <t>Grocery (Amazon) - Charmin Rolls</t>
  </si>
  <si>
    <t>F: iDesserts</t>
  </si>
  <si>
    <t>Pet-Misc (Amazon) - Shampoo</t>
  </si>
  <si>
    <t>Grocery (Amazon) Bone Borth + Chicken Broth</t>
  </si>
  <si>
    <t>G: Nida's baby shower</t>
  </si>
  <si>
    <t>M: walmart: Spray paint</t>
  </si>
  <si>
    <t>F: Lunch, Al Watan, Inglewood, CA</t>
  </si>
  <si>
    <t>MA: Bata Sandals (Sara/Rahul)</t>
  </si>
  <si>
    <t>Grocery (Amazon) - Brawny Paper Rolls</t>
  </si>
  <si>
    <t>F: Milk - Little Italy Market</t>
  </si>
  <si>
    <t>MH: Amazon (Diatonmous Earth)</t>
  </si>
  <si>
    <t>Grocery (Amazon) - Cacao Syrup</t>
  </si>
  <si>
    <t>F : Chinese, Billerica</t>
  </si>
  <si>
    <t>M: Temple offering</t>
  </si>
  <si>
    <t>F: Mongolian Hollywood, CA</t>
  </si>
  <si>
    <t>F: Udipi</t>
  </si>
  <si>
    <t>M: Mother's Day Flowers</t>
  </si>
  <si>
    <t>F: Madras Café</t>
  </si>
  <si>
    <t>EET: Shivani's Work Trip to Paris (14-19) - Norweigian Air</t>
  </si>
  <si>
    <t>F: Burger Lounge</t>
  </si>
  <si>
    <t>G: Oak School Auctions</t>
  </si>
  <si>
    <t>Grocery (Amazon) .in Garlic Chutney + Dry Fish + Cacao Bars</t>
  </si>
  <si>
    <t>Grocery (Amazon) - Shampoon _ Conditioner</t>
  </si>
  <si>
    <t>Misc : Dots (S)</t>
  </si>
  <si>
    <t>M: Filene's</t>
  </si>
  <si>
    <t>G: Hollywood, Ca</t>
  </si>
  <si>
    <t>MA: Macy's shirts</t>
  </si>
  <si>
    <t>G: Celebrations -Thane</t>
  </si>
  <si>
    <t>M: Almond PTA - YearBook</t>
  </si>
  <si>
    <t>Grocery (Amazon) (Rawrev) - 21</t>
  </si>
  <si>
    <t>Grocery (WalMart) - Delivery</t>
  </si>
  <si>
    <t>Misc : OfficeMax (Stapler)</t>
  </si>
  <si>
    <t>F: St Vincent Pizza</t>
  </si>
  <si>
    <t>F: Water + Frappacinno, Hollywood, CA</t>
  </si>
  <si>
    <t>Car: Tire Air</t>
  </si>
  <si>
    <t>EET: Sara's Birthday: Southwick Zoo</t>
  </si>
  <si>
    <t>M: Celebrations, Thane - Cars, Straws, Artificial Chillies</t>
  </si>
  <si>
    <t>Grocery (Patels)</t>
  </si>
  <si>
    <t>Grocery (Target) - toothpaste</t>
  </si>
  <si>
    <t>M: Gift for Sara - Dash Robot</t>
  </si>
  <si>
    <t>EET: Surrey Rental</t>
  </si>
  <si>
    <t>F: Starbucks - Vivianna Mall, Thane - Alphonso Java + Tiramisu</t>
  </si>
  <si>
    <t>Misc: Bobs Store(Returned)(39)</t>
  </si>
  <si>
    <t>Car: parking</t>
  </si>
  <si>
    <t>F: Milford Pizza</t>
  </si>
  <si>
    <t>EET: Southwick Zoo Rides</t>
  </si>
  <si>
    <t>F: Street Food Café - Mumbai Aiports</t>
  </si>
  <si>
    <t>M: Gift For Anishka - Osmo (-15%)</t>
  </si>
  <si>
    <t>Trans: Uber Hotel to Terminal</t>
  </si>
  <si>
    <t>F: Starbucks - Vivianna Mall, Thane - Cold Brew + Belgian Chocolate Frappe</t>
  </si>
  <si>
    <t>E : BlockBuster</t>
  </si>
  <si>
    <t>Grocery (Albertsons)</t>
  </si>
  <si>
    <t>EET: Southwick Zoo, Mendon, MA</t>
  </si>
  <si>
    <t>F: Dunkin, Mendon + Milford</t>
  </si>
  <si>
    <t>F: Dubai Airport</t>
  </si>
  <si>
    <t>EET: Movie - The Jungle Book</t>
  </si>
  <si>
    <t>F: Hazelwoods by the Bay</t>
  </si>
  <si>
    <t>M: Amazon - Grammar Book</t>
  </si>
  <si>
    <t>Trans: Rickshaw - Viviana - Prashants</t>
  </si>
  <si>
    <t>Trip to Temple, Las Virgenes Canyon</t>
  </si>
  <si>
    <t>G: Saras B'day Cakes</t>
  </si>
  <si>
    <t>F: Subway, Mendon</t>
  </si>
  <si>
    <t>F: Dubai Aiport - Turkish Delight</t>
  </si>
  <si>
    <t>F: Unnatis Café</t>
  </si>
  <si>
    <t>5K Walk - Boston</t>
  </si>
  <si>
    <t>EET: Disney Cruise Tips</t>
  </si>
  <si>
    <t>M: USCIS - I-130 Petition for Aai Baba 535 * 2</t>
  </si>
  <si>
    <t>F: Zomato - Bismillah Catering</t>
  </si>
  <si>
    <t>Car Parking: Venice Beach</t>
  </si>
  <si>
    <t>Grocery: Wegmans</t>
  </si>
  <si>
    <t>M: Shower Curtain - World Map</t>
  </si>
  <si>
    <t>Grocery (VitaCost) - 99 - Groupon 25</t>
  </si>
  <si>
    <t>EET: Ensenada Excursion</t>
  </si>
  <si>
    <t>F: Dunkin Donuts - 11- 10</t>
  </si>
  <si>
    <t>G; Amazon - Universal Charger</t>
  </si>
  <si>
    <t>F: Baja Fresh</t>
  </si>
  <si>
    <t>Car: Parking - Massport - Simmons conference</t>
  </si>
  <si>
    <t>F: Ben and Jerry’s Seaport Village - San Diego</t>
  </si>
  <si>
    <t>EET: Santa Cruz - Natural Arches Beach</t>
  </si>
  <si>
    <t>Meds: Nob Hill</t>
  </si>
  <si>
    <t>F: Zomato - Mahesh Lunch Home - Mutton Sukha</t>
  </si>
  <si>
    <t>G: Anniversary (Baba-Dadi, Cell)</t>
  </si>
  <si>
    <t>Trip to Griffith Park Observatory</t>
  </si>
  <si>
    <t>Gas: Altima</t>
  </si>
  <si>
    <t>M: Dollar Store - Sara's Tooth fairy - 1st Tooth - 4/28/15</t>
  </si>
  <si>
    <t>M: Garmin Vivofit HR+ - Birthday gift for Sara</t>
  </si>
  <si>
    <t>F: Disney Cruise Alcoholic drink</t>
  </si>
  <si>
    <t>MH: Amazon - Weed Killer x 3</t>
  </si>
  <si>
    <t>Meds: Amazon - DayQuil+NyQuil</t>
  </si>
  <si>
    <t>F: Prashant Corner - Pani Puri 6 for 70</t>
  </si>
  <si>
    <t>Misc: Netgear Router + Card (-30)</t>
  </si>
  <si>
    <t>F: Dinner, Disney World</t>
  </si>
  <si>
    <t>F: EMC - Sara's day at work</t>
  </si>
  <si>
    <t>M: Roominate - Gift for Sara TRUS</t>
  </si>
  <si>
    <t>F: Pizza - Monti's Pizza</t>
  </si>
  <si>
    <t>Grocery (Target) - Charmin Rolls 8x3 = 24</t>
  </si>
  <si>
    <t>Trans: San Diego Seaport to Airport</t>
  </si>
  <si>
    <t>M: Computer Desk Mat</t>
  </si>
  <si>
    <t>F: Monginis Black Forest Cake</t>
  </si>
  <si>
    <t>Misc : Target (Chairs &amp; Fan)</t>
  </si>
  <si>
    <t>Gas: Audi</t>
  </si>
  <si>
    <t>Grocery (Market Basket) - Cake</t>
  </si>
  <si>
    <t>F: Rice and Spoon - Vietnamese - Newark, CA</t>
  </si>
  <si>
    <t>F: Starbucks - Seaport Villagw</t>
  </si>
  <si>
    <t>MH: Amazon - Gardening</t>
  </si>
  <si>
    <t>Grocery (Master Buthcer)</t>
  </si>
  <si>
    <t>Misc : CVS</t>
  </si>
  <si>
    <t>CA Trip + May Exp</t>
  </si>
  <si>
    <t>M: Southwick Zoo - Sara's Birthday - Party @ Ecotarium in May</t>
  </si>
  <si>
    <t>G: Rice and Spoon - Vietnamese - Newark, CA - Adi</t>
  </si>
  <si>
    <t>Trans: SJC Airport to Home</t>
  </si>
  <si>
    <t>M: TJX/HomeGoods</t>
  </si>
  <si>
    <t>Classes : Lumos Learning</t>
  </si>
  <si>
    <t>Money to Siddhu</t>
  </si>
  <si>
    <t>Grocery: IG</t>
  </si>
  <si>
    <t>M: Southwick Zoo Rides</t>
  </si>
  <si>
    <t>MA: (TJX/HomeGoods)</t>
  </si>
  <si>
    <t>F: CMumbai Airport - Teriyaki Ramen for Nish</t>
  </si>
  <si>
    <t>Car Servicing</t>
  </si>
  <si>
    <t>EET: BOS-MUM-BOS</t>
  </si>
  <si>
    <t>MA: Amazon (Dresses)</t>
  </si>
  <si>
    <t>Car: Nissan - Oil Change</t>
  </si>
  <si>
    <t>Grocery (TJX/HomeGoods)</t>
  </si>
  <si>
    <t>Grocery (Sardines - Vita Cost x 18)</t>
  </si>
  <si>
    <t>Gifts: Amazon - Pedometer</t>
  </si>
  <si>
    <t>EET: Uber - Home to SFO - Sara &amp; Shivani to Houston for FIRST</t>
  </si>
  <si>
    <t>Grocery: Walmart</t>
  </si>
  <si>
    <t>EET: Redbox - Paddington</t>
  </si>
  <si>
    <t>EET: BOS-MUM-BOS - Cancelled (859 - 527)</t>
  </si>
  <si>
    <t>G: Amazon - Shanaya</t>
  </si>
  <si>
    <t>MA: Macy's North Face Jacket - RDP</t>
  </si>
  <si>
    <t>M: Roller Skates knee pads and helmets</t>
  </si>
  <si>
    <t>MA: WalMart - Greg Norman Polo</t>
  </si>
  <si>
    <t>Gifts: Amazon - Baba Birthday Gift - Armani Exchange</t>
  </si>
  <si>
    <t>F: Houston - Sara + Shivani</t>
  </si>
  <si>
    <t>M: Toys - House - BRUS</t>
  </si>
  <si>
    <t>EET: Cancellation Charges (577 - 552 -306)</t>
  </si>
  <si>
    <t>M: Gift for Sara - Owl</t>
  </si>
  <si>
    <t>Travel: Uber - Shivani</t>
  </si>
  <si>
    <t>EET: Avengers:EndGame - FDFS - Centrury 16, MTV</t>
  </si>
  <si>
    <t>MH: Uhaul - Propane tank Refill</t>
  </si>
  <si>
    <t>Grocery (WalMart) - Sardines</t>
  </si>
  <si>
    <t>EET: Uber - SFO to Home - Rahul, Nish from India</t>
  </si>
  <si>
    <t>G: Sara's birthday stuff Misc</t>
  </si>
  <si>
    <t>M: iPhone Cable + Battery Pack</t>
  </si>
  <si>
    <t>Grocery (Amazon) - Sample Bars + Boxes</t>
  </si>
  <si>
    <t>MA: BR - Shirt, Jeans - RDP</t>
  </si>
  <si>
    <t>Sara's Birthday Celebration</t>
  </si>
  <si>
    <t>MA: Amazon - Gap Jeans</t>
  </si>
  <si>
    <t>MA: Singapore Airport - Gifts for Sara + Shivani</t>
  </si>
  <si>
    <t>MK: TJX - Tfal</t>
  </si>
  <si>
    <t>School: April Vacation week</t>
  </si>
  <si>
    <t>M: Amazon - Gudminton</t>
  </si>
  <si>
    <t>F: Biryani and Kebabs</t>
  </si>
  <si>
    <t>M: Amazon - Goemetry Box x 2</t>
  </si>
  <si>
    <t>E : Movie (Identity)</t>
  </si>
  <si>
    <t>Meds: Vaccine consult for India trip</t>
  </si>
  <si>
    <t>MA: Birthday Frock for Sara, Macy's</t>
  </si>
  <si>
    <t>Grocery (Michaels) - Sara's birthday cake decoration</t>
  </si>
  <si>
    <t>EET: MV-LA Junior Olypmics - SRP: Dash, Hurdles, Jump Rope, 4x100 Relay</t>
  </si>
  <si>
    <t>F: Momo Grill Truck</t>
  </si>
  <si>
    <t>M: Amazon - 13th Birthday Prep</t>
  </si>
  <si>
    <t>Grocery (Amazon) - Drano</t>
  </si>
  <si>
    <t>MA: Amazon - T-shirt 50</t>
  </si>
  <si>
    <t>F : Lunch, Chinese (Billerica)</t>
  </si>
  <si>
    <t>F: Ice Cream - Rota Spring Farm</t>
  </si>
  <si>
    <t>Grocery (NobHill) - Cakes</t>
  </si>
  <si>
    <t>Grocery (TJX)</t>
  </si>
  <si>
    <t>Meds: Medical copay: Foot fracture - Rahul</t>
  </si>
  <si>
    <t>F: Chipotle - Arkansas</t>
  </si>
  <si>
    <t>F: Cup Cakes for Sara/Anishka</t>
  </si>
  <si>
    <t>EET: Muir Woods</t>
  </si>
  <si>
    <t>F: Teaspoon - Bobas</t>
  </si>
  <si>
    <t>M: Prescription Glasses - India</t>
  </si>
  <si>
    <t>M : Hair Cut</t>
  </si>
  <si>
    <t>F: Spinach Salad - Chicago Airport</t>
  </si>
  <si>
    <t>EET: Legoland x 3, Boston</t>
  </si>
  <si>
    <t>F: Kafal Restaurant - Santa Rosa (Horrible place)</t>
  </si>
  <si>
    <t>MA: Sara's Birthday gift - clothes</t>
  </si>
  <si>
    <t>Gift (Aai Baba Anniversary)</t>
  </si>
  <si>
    <t>F: Starbucks Coffee</t>
  </si>
  <si>
    <t>F: Luke's Lobster, Boston</t>
  </si>
  <si>
    <t>F: Molly's Bakery - Cake Pops, Brownie, Cookie</t>
  </si>
  <si>
    <t>M: Passport to Ride Game</t>
  </si>
  <si>
    <t>M: DNA Paternity test</t>
  </si>
  <si>
    <t>Misc : SoftBall Equip (-47 Returned)</t>
  </si>
  <si>
    <t>M: Groupon - Mini Golfing</t>
  </si>
  <si>
    <t>Sara's 7th Birthday Party - Harry Potter Themed</t>
  </si>
  <si>
    <t>EET: Sara's 8th Birthday - Hotel Stay</t>
  </si>
  <si>
    <t>Grocery (Amazon) - Quest Bars -4</t>
  </si>
  <si>
    <t>EET: LASD - Junior Olympics - Sara's</t>
  </si>
  <si>
    <t>M: Groupon - Scrub a Dub</t>
  </si>
  <si>
    <t>Painted Cat (285 + 25*2)</t>
  </si>
  <si>
    <t>EET: Sara's 8th Birthday - SafariWest - SantaRosa</t>
  </si>
  <si>
    <t>F: Chef Chu's - Chicken Chow Mein</t>
  </si>
  <si>
    <t>Car: Smog Test - Nissan</t>
  </si>
  <si>
    <t>G: Oak Auction - Movie Party</t>
  </si>
  <si>
    <t>Gift : Shawl (Baba-Dadi)</t>
  </si>
  <si>
    <t>M: Amazon SnapCircuits from aaji Ajoba for Sara</t>
  </si>
  <si>
    <t>G: Return Favors</t>
  </si>
  <si>
    <t>F: Cake - Safeway - Chocolate Cake</t>
  </si>
  <si>
    <t>EET: California Academy of Science -Community Membership</t>
  </si>
  <si>
    <t>F: Yogurtland - Celebration of Jr Olympics win</t>
  </si>
  <si>
    <t>M: Stratechery</t>
  </si>
  <si>
    <t>G: Oak Auction - Wine Tasting</t>
  </si>
  <si>
    <t>F: Museum of Science</t>
  </si>
  <si>
    <t>MA: Harry Potter Tie x 2</t>
  </si>
  <si>
    <t>F: Breakfast - Safeway - sandwich</t>
  </si>
  <si>
    <t>M: Lenny's Newsletter - PM</t>
  </si>
  <si>
    <t>G: Oak Auction - Bollywood Night</t>
  </si>
  <si>
    <t>Car: Parking - MoS</t>
  </si>
  <si>
    <t>F: Starbucks - Santa Rosa</t>
  </si>
  <si>
    <t>M: Amazon - Storage bags</t>
  </si>
  <si>
    <t>F: K Market - Sushi</t>
  </si>
  <si>
    <t>G: Food Delivry - Shivani's mom</t>
  </si>
  <si>
    <t>Car: parking - Logan trip to WalMart</t>
  </si>
  <si>
    <t>EET: Cake for B'day Party</t>
  </si>
  <si>
    <t>EET: RedBox - Guardians of the Galaxy Vol 2</t>
  </si>
  <si>
    <t>G: For Nish's friends</t>
  </si>
  <si>
    <t>G: Nalli for Shivani's mom and Sneha - 10K + 5K</t>
  </si>
  <si>
    <t>EET: Pizza</t>
  </si>
  <si>
    <t>EET: Little Yosemite Hike Sunol</t>
  </si>
  <si>
    <t>M: Amazon - Cake Topper</t>
  </si>
  <si>
    <t>M: iPhone 14 Pro Max - Sara's Birthday Gift</t>
  </si>
  <si>
    <t>G: For Sara's friend - Bianca</t>
  </si>
  <si>
    <t>EET: Emirates Upgrade Cheat</t>
  </si>
  <si>
    <t>Parking: Little Yosemite Hike Sunol</t>
  </si>
  <si>
    <t>EET: Sara's Birthday</t>
  </si>
  <si>
    <t>M: Dollar Tree - Party Stuff</t>
  </si>
  <si>
    <t>Cell: Verizon Transfer -</t>
  </si>
  <si>
    <t>MA: Necklace for Sara's bday</t>
  </si>
  <si>
    <t>EET: SFO to Home - Lyft</t>
  </si>
  <si>
    <t>EET: California Academy of Sciences</t>
  </si>
  <si>
    <t>F: Lunch - Muracci's Japanese Take Out - Karaage Chicken Soup</t>
  </si>
  <si>
    <t>M: Walmart - Party Stuff</t>
  </si>
  <si>
    <t>MA: Airpods for Sara</t>
  </si>
  <si>
    <t>Parking: California Academy of Sciences</t>
  </si>
  <si>
    <t>CalTrain Pass</t>
  </si>
  <si>
    <t>F: Nepali Food Truck</t>
  </si>
  <si>
    <t>Prashant Corner Privat</t>
  </si>
  <si>
    <t>EET: Movie - Avengers Infinity War</t>
  </si>
  <si>
    <t xml:space="preserve">Grocery (IG) </t>
  </si>
  <si>
    <t>Sq *uncle Louie G's Itali</t>
  </si>
  <si>
    <t>F: Lunch - Chef Chu's</t>
  </si>
  <si>
    <t>F: In-n-Out Burger</t>
  </si>
  <si>
    <t>MA: Macy's North Face sweatshirt</t>
  </si>
  <si>
    <t>Marriottmarqhoustonf&amp;b</t>
  </si>
  <si>
    <t>F: Alexander's Pattisierre</t>
  </si>
  <si>
    <t>F: Swaraj India - Baba's Birthday</t>
  </si>
  <si>
    <t>Nalli</t>
  </si>
  <si>
    <t>M: Ross - Razors</t>
  </si>
  <si>
    <t>Love and Cheesecake Th</t>
  </si>
  <si>
    <t>F: Blue Bottle Coffee (Shivani)</t>
  </si>
  <si>
    <t>F Birthday Cake - Mr. Cake Plus</t>
  </si>
  <si>
    <t>M: Instacart</t>
  </si>
  <si>
    <t>F: Domino's Pizza</t>
  </si>
  <si>
    <t>EET: Temple - Pooja for Baba</t>
  </si>
  <si>
    <t xml:space="preserve">JO @LAH </t>
  </si>
  <si>
    <t>Tiptop Mithaiwala</t>
  </si>
  <si>
    <t>F: Master Butcher - Baba's Birthday</t>
  </si>
  <si>
    <t>F: JO - Food trucks</t>
  </si>
  <si>
    <t>X65 - District Market</t>
  </si>
  <si>
    <t>M: Amazon - Compression Bands - Elbows</t>
  </si>
  <si>
    <t>G: Hearing Aid - Amazon - for Baba220</t>
  </si>
  <si>
    <t>Emirates Awm Khm5kw Washington</t>
  </si>
  <si>
    <t>Amazon Pay India Pvt Ltd</t>
  </si>
  <si>
    <t>Viamericas Corp. ePay Ppd Id: x5680</t>
  </si>
  <si>
    <t>EET: LASD JO</t>
  </si>
  <si>
    <t>MA: Hoka Shoes</t>
  </si>
  <si>
    <t>Amazon Seller Services PR</t>
  </si>
  <si>
    <t>F: In-N-Out Burger x 3</t>
  </si>
  <si>
    <t>MK: Amazon - Hotpot</t>
  </si>
  <si>
    <t>Dollar Tree</t>
  </si>
  <si>
    <t>EET: Santa Cruz Beach (after school)</t>
  </si>
  <si>
    <t>MedS: Bay Area Endodontics - ARP</t>
  </si>
  <si>
    <t xml:space="preserve">F: In-n-Out </t>
  </si>
  <si>
    <t>Animoto Inc</t>
  </si>
  <si>
    <t>EET: Santa Cruz Beach - Games Arcade</t>
  </si>
  <si>
    <t>F: Master Butcher - Door Dash</t>
  </si>
  <si>
    <t>Car: Parking - Santa Cruz Beach</t>
  </si>
  <si>
    <t>Tst* Paris Baguette - Sun</t>
  </si>
  <si>
    <t>F: Satsuma Sushi - DoorDash</t>
  </si>
  <si>
    <t>Wal-mart #2280</t>
  </si>
  <si>
    <t>Grocery (Safeway) - Ribs for Sara</t>
  </si>
  <si>
    <t>Shell Oil x3102</t>
  </si>
  <si>
    <t>Wafi Gourmet,dubai Mdubai</t>
  </si>
  <si>
    <t>Mv Robotics Los Altos CA</t>
  </si>
  <si>
    <t>F: Ramen Nagi, Palo Alto</t>
  </si>
  <si>
    <t>Rove City Walk Hotel</t>
  </si>
  <si>
    <t>F: See's Candies</t>
  </si>
  <si>
    <t>Abdulla Shehab Trading Ll</t>
  </si>
  <si>
    <t>Grocery (WalMart) -</t>
  </si>
  <si>
    <t>Amazon Pay India Private</t>
  </si>
  <si>
    <t>F: Momo Grill Restaurant - DoorDash</t>
  </si>
  <si>
    <t>Yogurtland Food Court</t>
  </si>
  <si>
    <t>F: Johaal Chaat - DoorDash</t>
  </si>
  <si>
    <t>Arabia Taxi</t>
  </si>
  <si>
    <t>F: MegaMarket - Sushi, Japanese</t>
  </si>
  <si>
    <t>EET: HyperSpace</t>
  </si>
  <si>
    <t>F: Teaspoon</t>
  </si>
  <si>
    <t>Dubai Taxi</t>
  </si>
  <si>
    <t>MA: Kohls - Leggings</t>
  </si>
  <si>
    <t>Cell - Verzion - SIM Card</t>
  </si>
  <si>
    <t>Stratechery/dithering</t>
  </si>
  <si>
    <t>EET: Lumos Learning</t>
  </si>
  <si>
    <t>Fidelity Total Market Index-reinvestment</t>
  </si>
  <si>
    <t>Tst*valencia Street Stat</t>
  </si>
  <si>
    <t>Haaniya Restaurant Llc Br</t>
  </si>
  <si>
    <t>Nob Hill Foods #634</t>
  </si>
  <si>
    <t>Panda Express #2384</t>
  </si>
  <si>
    <t>National Taxi</t>
  </si>
  <si>
    <t>Tawakal</t>
  </si>
  <si>
    <t>Amazon Pay India Privatet</t>
  </si>
  <si>
    <t>Big Bus Tours</t>
  </si>
  <si>
    <t>Rove, Choithram City Walk</t>
  </si>
  <si>
    <t>Starbucks</t>
  </si>
  <si>
    <t>Waitrose Fine Fare</t>
  </si>
  <si>
    <t>Careem Food</t>
  </si>
  <si>
    <t>Pet: Pet sitting</t>
  </si>
  <si>
    <t>Uber Trip Https://help.uber.coae</t>
  </si>
  <si>
    <t>5255 Great Clips at Bloss</t>
  </si>
  <si>
    <t>The Ups Store 0067</t>
  </si>
  <si>
    <t>West Valley Music</t>
  </si>
  <si>
    <t>Calwater Service</t>
  </si>
  <si>
    <t>Openai *chatgpt Subscr</t>
  </si>
  <si>
    <t>Boudin Bakery Sfo Inte</t>
  </si>
  <si>
    <t>Grocery (Amazon) - Celsius &amp; perishables</t>
  </si>
  <si>
    <t>Grocery (Amazon) - Eggs, yogurt, pear</t>
  </si>
  <si>
    <t>Grocery (Amazon) - SHARBATI DATES Fresh Premium (Safawi) Kalmi Dates 500Gm</t>
  </si>
  <si>
    <t>Grocery (Amazon) - Ossoro Coconut, Mango, Rose, Kesar Pista &amp; Rasmalai Flavor Essences (5x30ml)</t>
  </si>
  <si>
    <t>Grocery (Amazon) - Zugar Chocolate Combo (Hazelnut Milk &amp; 49% Dark Milk, Sugar-Free)</t>
  </si>
  <si>
    <t>Grocery (Amazon) - Ossoro Flavors</t>
  </si>
  <si>
    <t>M (Amazon) - The Derma Co 2% Salicylic Acid Face Serum | Reduces acne &amp; blackheads | Tightens pores | Exfoliates &amp; soothes inflammation | 30 ml</t>
  </si>
  <si>
    <t>M (Amazon) - 8 Pcs Brush Set With Pouch, Makeup Brushes Premium Synthetic Kabuki Foundation, Concealers, Eye Shadows Professional Blush, Face Powder, Highlighter, Contour, Blending Eyeliner (Multi color)</t>
  </si>
  <si>
    <t>M (Amazon) - Engage Femme Eau De Parfum for Women, Citrus and Floral Fragrance Scent, Skin Friendly Perfume for Women, 100ml</t>
  </si>
  <si>
    <t>M (Amazon) - Yardley London Morning Dew Perfume Spray| Fresh Floral Scent| 90% Naturally Derived| Lilly Of Valley &amp; Frangipani| Perfume For Women| 100ML</t>
  </si>
  <si>
    <t>M (Amazon) - Layer'r Wottagirl Vanilla Twist Body Splash Spray For Women, 135Ml</t>
  </si>
  <si>
    <t>M (Amazon) - Secret Temptation Romance Eau De Parfum for Women, Long Lasting Chypre Green Everyday Wear Fragrance, 50ml</t>
  </si>
  <si>
    <t xml:space="preserve">F: Amazon - Greceries </t>
  </si>
  <si>
    <t>F: Amazon - Groceries</t>
  </si>
  <si>
    <t xml:space="preserve">F: Amazon - Groceries </t>
  </si>
  <si>
    <t>M (Amazon) - The Derma Co 2% Salicylic Acid Face Serum | 30 ml</t>
  </si>
  <si>
    <t>MA (Amazon) - 8 Pcs Brush Set With Pouch, Makeup Brushes</t>
  </si>
  <si>
    <t>M (Amazon) - Engage Femme Eau De Parfum for Women, 100ml</t>
  </si>
  <si>
    <t>M (Amazon) - Yardley London Morning Dew Perfume Spray 100ml</t>
  </si>
  <si>
    <t>M (Amazon) - Layer'r Wottagirl Vanilla Twist Body Splash Spray, 135ml</t>
  </si>
  <si>
    <t>M (Amazon) - Secret Temptation Romance Eau De Parfum, 50ml (Refunded)</t>
  </si>
  <si>
    <t>M (Amazon) - Garnier Skin Naturals Face Serum, 50ml</t>
  </si>
  <si>
    <t>M (Amazon) - Bella Vita Luxury Date Woman Perfume, 100ml</t>
  </si>
  <si>
    <t>Grocery (Amazon) Honitus</t>
  </si>
  <si>
    <t xml:space="preserve">F: Amazon: </t>
  </si>
  <si>
    <t>MA: Aamzon - Various</t>
  </si>
  <si>
    <t>MA: Yama - Thane</t>
  </si>
  <si>
    <t>Starbucks Viviana Mall</t>
  </si>
  <si>
    <t>F: Hotel Utsav - Birrthday Party - Baba's 80th</t>
  </si>
  <si>
    <t>F: Cheescake - Viviance Mall</t>
  </si>
  <si>
    <t>F: BBQ Nation: Mutton Biryani and Tandoori</t>
  </si>
  <si>
    <t>Grocery (Puranpli Ghar)</t>
  </si>
  <si>
    <t>Grocery (Prashant Corner)</t>
  </si>
  <si>
    <t>F: Prashant Corner - Pani Puri + ukhi Bhel (Aai Baba)</t>
  </si>
  <si>
    <t>F: Blinkit app - varios</t>
  </si>
  <si>
    <t>MA: Vivianca Mall</t>
  </si>
  <si>
    <t>F: UPI/P2M/305742993367/Blinkit</t>
  </si>
  <si>
    <t>FUPI/P2M/120616091450/Blinkit</t>
  </si>
  <si>
    <t>M: UPI/P2M/552584957631/Blinkit</t>
  </si>
  <si>
    <t>F: UPI/P2M/744219556096/TATA STARBUCKS PRIV</t>
  </si>
  <si>
    <t>F: UPI/P2M/382794361705/ZOMATO LIMITED</t>
  </si>
  <si>
    <t>MA: UPI/P2M/802550929944/ADITYA BIRLA FASHIO</t>
  </si>
  <si>
    <t>MA: UPI/P2M/443286810252/Yama</t>
  </si>
  <si>
    <t>M: SIM - UPI/P2M/413754921300/My Jio 6803</t>
  </si>
  <si>
    <t>F: Mango Papad UPI/P2M/989744437491/Sule Bandhu Mango S</t>
  </si>
  <si>
    <t>M: Starbucks: Mumbai Mug</t>
  </si>
  <si>
    <t>F: Burger King Mutton Whooper, Mumbai Airport</t>
  </si>
  <si>
    <t>F: Teriyaki Ramen, Mumbai Airport</t>
  </si>
  <si>
    <t>Grocery (Amazon)  - Lupini Flakes</t>
  </si>
  <si>
    <t xml:space="preserve">Grocery (Walmart) </t>
  </si>
  <si>
    <t>MA: adidas shoes</t>
  </si>
  <si>
    <t>MA: Cardigan</t>
  </si>
  <si>
    <t xml:space="preserve">F: Sara </t>
  </si>
  <si>
    <t>MA: West Valley Mall - Windsor (Zoo and Rahul)</t>
  </si>
  <si>
    <t xml:space="preserve">MA: Hollister Jeans </t>
  </si>
  <si>
    <t>F: In n Out Dinner</t>
  </si>
  <si>
    <t>F: Sushi Lunch</t>
  </si>
  <si>
    <t>May'03</t>
  </si>
  <si>
    <t>May'04</t>
  </si>
  <si>
    <t>May'05</t>
  </si>
  <si>
    <t>May'06</t>
  </si>
  <si>
    <t>May'07</t>
  </si>
  <si>
    <t>May'08</t>
  </si>
  <si>
    <t>May'09</t>
  </si>
  <si>
    <t>May'10</t>
  </si>
  <si>
    <t>May'11</t>
  </si>
  <si>
    <t>May'12</t>
  </si>
  <si>
    <t>May'13</t>
  </si>
  <si>
    <t>May'14</t>
  </si>
  <si>
    <t>May'15</t>
  </si>
  <si>
    <t>May'16</t>
  </si>
  <si>
    <t>May'17</t>
  </si>
  <si>
    <t>May'18</t>
  </si>
  <si>
    <t>May'19</t>
  </si>
  <si>
    <t>May'20</t>
  </si>
  <si>
    <t>May' 21</t>
  </si>
  <si>
    <t>May' 22</t>
  </si>
  <si>
    <t>May' 23</t>
  </si>
  <si>
    <t>May' 24</t>
  </si>
  <si>
    <t>G: Air Tickets for Shivani's mom</t>
  </si>
  <si>
    <t>E: AirTickets - Paris</t>
  </si>
  <si>
    <t>Car: Inspection Audi</t>
  </si>
  <si>
    <t>EET: Hotel (Monterey +SFO)</t>
  </si>
  <si>
    <t>EET: Florida</t>
  </si>
  <si>
    <t>M: Audi brakes and rotors</t>
  </si>
  <si>
    <t>M: Anishka's PIO</t>
  </si>
  <si>
    <t>OTE: GC Medical Exam</t>
  </si>
  <si>
    <t>M: Mother's Day - Fridge Magnet</t>
  </si>
  <si>
    <t>E: Eurail Passes</t>
  </si>
  <si>
    <t>Grocery (Shaws, Clinton)</t>
  </si>
  <si>
    <t>MH: Memory Foam Matress Ret -136</t>
  </si>
  <si>
    <t>F: St. Vincents</t>
  </si>
  <si>
    <t>M: Balloons</t>
  </si>
  <si>
    <t>EET: Sara's Birthday Party : Ecotarium, Worcester</t>
  </si>
  <si>
    <t>F: Hot Breads</t>
  </si>
  <si>
    <t>M: Nail polish</t>
  </si>
  <si>
    <t>E: Golden Pass Reservations</t>
  </si>
  <si>
    <t>F: Rockin Yogurt, Santa Barbara</t>
  </si>
  <si>
    <t>G: P&amp;S Pizza : Sara's B'day party</t>
  </si>
  <si>
    <t>F: Sara's party: Papa Gino's</t>
  </si>
  <si>
    <t>CaR: Parking -Children's Museum- Boston</t>
  </si>
  <si>
    <t>G: Teacher appreciation gifts - Dollar Store</t>
  </si>
  <si>
    <t>M: Amazon - Charger</t>
  </si>
  <si>
    <t>Classes: Y Swim Team</t>
  </si>
  <si>
    <t>E: Train Reservations</t>
  </si>
  <si>
    <t>E: Spiderman -3, SPM</t>
  </si>
  <si>
    <t>F: Birthday cake, Wegmans</t>
  </si>
  <si>
    <t>F: Gerardo's</t>
  </si>
  <si>
    <t>M: Maruader's Map Cup</t>
  </si>
  <si>
    <t>Classes: Taekwondo</t>
  </si>
  <si>
    <t>Gifts : Andrea, Junli</t>
  </si>
  <si>
    <t>E: Geneva Hotel</t>
  </si>
  <si>
    <t>OTE: Sell Commision Nortel Shares</t>
  </si>
  <si>
    <t>F: McDonalds</t>
  </si>
  <si>
    <t>M: Dollar Tree (Sara's BP)</t>
  </si>
  <si>
    <t>F: Soda+ Juice + decorations+ cutlery</t>
  </si>
  <si>
    <t>F: Boston Market - Mass Pike Food Plaza</t>
  </si>
  <si>
    <t>Grocery (Jet) - Orgain</t>
  </si>
  <si>
    <t>M: Voltmeter</t>
  </si>
  <si>
    <t>Grocery (Amazon) - Pea Protein</t>
  </si>
  <si>
    <t>Gifts : TR: Guido</t>
  </si>
  <si>
    <t>E: Interlaken Hotel</t>
  </si>
  <si>
    <t>F: Tech Pizza, WPI</t>
  </si>
  <si>
    <t>F: Gas station</t>
  </si>
  <si>
    <t>M: Books: Herding Cats</t>
  </si>
  <si>
    <t>M: Walmart (Sara's BP)</t>
  </si>
  <si>
    <t>G: Return Gifts</t>
  </si>
  <si>
    <t>EET: Boston Children's museum</t>
  </si>
  <si>
    <t>Grocery (Amazon) - Toilet Paper Rolls</t>
  </si>
  <si>
    <t>Grocery (Amazon) - Dates</t>
  </si>
  <si>
    <t>Grocery (IGs)</t>
  </si>
  <si>
    <t>MK: Amazon - Grilling Bags</t>
  </si>
  <si>
    <t>Gorcery (IG) : Mutton</t>
  </si>
  <si>
    <t>E: Nice Hotel</t>
  </si>
  <si>
    <t>MA: Target: jeans</t>
  </si>
  <si>
    <t>Co-Pay (Meds)</t>
  </si>
  <si>
    <t>Parking (Umass)</t>
  </si>
  <si>
    <t>F: Lunch Big Sur Lodge</t>
  </si>
  <si>
    <t>M: Boston Children's museum</t>
  </si>
  <si>
    <t>Back from EMCW (3-May - 7-May)</t>
  </si>
  <si>
    <t>Grocery (Amazon) - Advil</t>
  </si>
  <si>
    <t>EET: Sara's Birthday Party - The Junlge Island, San Jose</t>
  </si>
  <si>
    <t>Grocery (Amazon) - Amazing Grass x 2</t>
  </si>
  <si>
    <t>Parking: SFO</t>
  </si>
  <si>
    <t>Grocery (Amazon) - Black Cacao</t>
  </si>
  <si>
    <t>Trader Joe S #068</t>
  </si>
  <si>
    <t>E: Nice Hotel, Hotel Bern</t>
  </si>
  <si>
    <t>U: Phone: Reliance</t>
  </si>
  <si>
    <t>M: Toothpaste</t>
  </si>
  <si>
    <t>F: Dunkin Donut</t>
  </si>
  <si>
    <t>M: Fedex for Anishka's PIO</t>
  </si>
  <si>
    <t>EET: Avengers - The Age of Ultron</t>
  </si>
  <si>
    <t>EET: Redbox - San Andreas</t>
  </si>
  <si>
    <t>Grocery (Amazon) - Teddie - PB - Crunchy x3</t>
  </si>
  <si>
    <t>EET: Sara's Birthday Cake - Photo Cake - Nob Hill</t>
  </si>
  <si>
    <t>Grocery (Amazon) - Hydrasurge x 2</t>
  </si>
  <si>
    <t>Grocery (Amazon) - Casein - Milk Protein</t>
  </si>
  <si>
    <t>Fidelity Government Money Market - Dividend Received Fidelity Government Money Market</t>
  </si>
  <si>
    <t>M: Michaels</t>
  </si>
  <si>
    <t>E: Paris Hotel</t>
  </si>
  <si>
    <t>F: Houlihans, SF</t>
  </si>
  <si>
    <t>Grocery (Amazon) - Colgate Toothpaste x 6</t>
  </si>
  <si>
    <t>Grocery (Amazon) - Kirkland Bars</t>
  </si>
  <si>
    <t>Grocery (Amazon) - Orgain x 3</t>
  </si>
  <si>
    <t>Grocery (Amazon) - Pea Protein Powder</t>
  </si>
  <si>
    <t>Classes: Khan Academy</t>
  </si>
  <si>
    <t>Fidelity Government Money Market - Reinvestment Fidelity Government Money Market</t>
  </si>
  <si>
    <t>M: Fishes, Westboro</t>
  </si>
  <si>
    <t>F: Europe Trip</t>
  </si>
  <si>
    <t>M: Haircut, Hair Cuttery (Both)</t>
  </si>
  <si>
    <t>G:Kid Stuff</t>
  </si>
  <si>
    <t>M: ACMoore: Mothers Day stuff</t>
  </si>
  <si>
    <t>G: TJX (Tanish)</t>
  </si>
  <si>
    <t>EET: Return Gifts for Sara's Birthday</t>
  </si>
  <si>
    <t>Grocery (Amazon) - Tolerant Lentil Pasta</t>
  </si>
  <si>
    <t>Grocery (TJ's)</t>
  </si>
  <si>
    <t>Grocery (Amazon) - Perrier - Sprakling Water</t>
  </si>
  <si>
    <t>Grocery (Amazon)- Hydrasurge x 4</t>
  </si>
  <si>
    <t>M: Best Buy - Att PrePaid Card</t>
  </si>
  <si>
    <t>Mr Sun Tea</t>
  </si>
  <si>
    <t>T: Europe Trip</t>
  </si>
  <si>
    <t>G: Anand Graduation</t>
  </si>
  <si>
    <t>F: Fisherman's wharf: Fish n Chips</t>
  </si>
  <si>
    <t>HM: Heater fail</t>
  </si>
  <si>
    <t>EET: Davis Farmland (Juniper's b'day party)</t>
  </si>
  <si>
    <t>EET: Sara's Birthday Party - PumpItUp</t>
  </si>
  <si>
    <t>G: TJX - NJ</t>
  </si>
  <si>
    <t>EET: Mountain View Fair - Cabled Bungy Jump, Bubble Balls</t>
  </si>
  <si>
    <t>Grocery (IG- Patels)</t>
  </si>
  <si>
    <t>Grocery (Amazon) - Storage Bags</t>
  </si>
  <si>
    <t>Grocery (Amazon) - Hemp Hearts</t>
  </si>
  <si>
    <t>Grocery (Amazon) - Cheerios 2</t>
  </si>
  <si>
    <t>G: Best Buy - Att PrePaid account</t>
  </si>
  <si>
    <t>MA: Amazon - Shoes</t>
  </si>
  <si>
    <t>Apni Mandi Farmers Marke</t>
  </si>
  <si>
    <t>F: Dinner (EMC)</t>
  </si>
  <si>
    <t>F: Andreas</t>
  </si>
  <si>
    <t>E: Europe Trip</t>
  </si>
  <si>
    <t>Gifts: Kohls</t>
  </si>
  <si>
    <t>F: Fisherman's wharf: Crab Sandwich</t>
  </si>
  <si>
    <t>M: Diaper (Amazon)</t>
  </si>
  <si>
    <t>Meds (Wegmans)</t>
  </si>
  <si>
    <t>F: Street Food - Fair - Hot dogs</t>
  </si>
  <si>
    <t>MA: WalMart - Socks + Underwear</t>
  </si>
  <si>
    <t>M: Dollar Tree - B'day Candle</t>
  </si>
  <si>
    <t>Grocery (Amazon) - Flax Chia</t>
  </si>
  <si>
    <t>EET: Sara's Birthday Party - Golfland</t>
  </si>
  <si>
    <t>G: Amazon - Pencil Box Gifts</t>
  </si>
  <si>
    <t>Mntn View Alliance Gas</t>
  </si>
  <si>
    <t>E: Bollywood Show</t>
  </si>
  <si>
    <t>Ice Cream, Berlin</t>
  </si>
  <si>
    <t>M: Europe Trip</t>
  </si>
  <si>
    <t>M: WalmART</t>
  </si>
  <si>
    <t>F: Boudin Panetteone</t>
  </si>
  <si>
    <t>M: Sara's Birthday cake (Wegmans)</t>
  </si>
  <si>
    <t>Grocery (Amazon: Tide)</t>
  </si>
  <si>
    <t>F: Shaved Ice</t>
  </si>
  <si>
    <t>M: Michaels - Mother's Day</t>
  </si>
  <si>
    <t>G: Cake for Sara's bday</t>
  </si>
  <si>
    <t>Grocery (Amazon) - Almond Extract</t>
  </si>
  <si>
    <t>Grocery (Amazon) - Parchment Paper</t>
  </si>
  <si>
    <t>Vanguard Inflation Protected Secs Investor Cl-reinvestment</t>
  </si>
  <si>
    <t>Grocery (IG , NJ)</t>
  </si>
  <si>
    <t>F: Hot Bread , Woburn</t>
  </si>
  <si>
    <t>G: Europe Trip</t>
  </si>
  <si>
    <t>MA: Kohls, Natick</t>
  </si>
  <si>
    <t>F: SFO Airport Pizza</t>
  </si>
  <si>
    <t>M: Sara's Birthday Party stuff (Wegmans)</t>
  </si>
  <si>
    <t>M: Gems hair pins</t>
  </si>
  <si>
    <t>Meds: TB Blood test</t>
  </si>
  <si>
    <t>MK: George Foreman Grill</t>
  </si>
  <si>
    <t>G: Jungle Gym Rental frr Sara's Birthday</t>
  </si>
  <si>
    <t>Grocery (Amazon) - Chipolte Chili</t>
  </si>
  <si>
    <t>Grocery (Amazon) - Sparking Water x 2</t>
  </si>
  <si>
    <t>Grocery (Amazon) - Glade Feshner</t>
  </si>
  <si>
    <t>Groocery (Amazon) - Coffee</t>
  </si>
  <si>
    <t>Vanguard Inflation Protected Secs Investor Cl-dividend</t>
  </si>
  <si>
    <t>Food (Delhi Durbar, NJ)</t>
  </si>
  <si>
    <t>E: Main Hoon Na</t>
  </si>
  <si>
    <t>F: Dakshin, Framingham</t>
  </si>
  <si>
    <t>E: Movie : Enchanted</t>
  </si>
  <si>
    <t>Phone:LD : Stanacard</t>
  </si>
  <si>
    <t>F: SFO Airport Yogurt</t>
  </si>
  <si>
    <t>M: Baloons - Sara's BP - Hopkinton State Park</t>
  </si>
  <si>
    <t>F: Trombetta Farms, Marlborough, MA</t>
  </si>
  <si>
    <t>M: Amazon - Scrabble tiles</t>
  </si>
  <si>
    <t>Grocery (Amazon) - Organge Peel</t>
  </si>
  <si>
    <t>F: Alexander's Castro - Macarons</t>
  </si>
  <si>
    <t>Grocery (WalmarT) - Coffee</t>
  </si>
  <si>
    <t>Vanguard Federal Money Market Investor Cl-reinvestment</t>
  </si>
  <si>
    <t>Food (Burger King, NJ)</t>
  </si>
  <si>
    <t>OTC: Appraisal</t>
  </si>
  <si>
    <t>Meds: CVS: Clairitin</t>
  </si>
  <si>
    <t>Car P: Parking, SFO</t>
  </si>
  <si>
    <t>Shivani's Graduation: Babson MBA</t>
  </si>
  <si>
    <t>F: Pizza - Sara's Birthday Party</t>
  </si>
  <si>
    <t>F: Ritu ki Rasoi - Mother's Day Lunch</t>
  </si>
  <si>
    <t>M: Fitness Tracker for Sara</t>
  </si>
  <si>
    <t>M: Dicks: Door frame pull ups</t>
  </si>
  <si>
    <t>M: Amazon - Cable Management Box</t>
  </si>
  <si>
    <t>Grocery (Amazon) - Starbucks Coffee x 3</t>
  </si>
  <si>
    <t>Vanguard Federal Money Market Investor Cl-dividend</t>
  </si>
  <si>
    <t>E ; NJ Trip</t>
  </si>
  <si>
    <t>G: Mailing To Himani &amp; Mili</t>
  </si>
  <si>
    <t>G: Kohls' Pendant</t>
  </si>
  <si>
    <t>M: Toothpaste CVS : -6 (ECB)</t>
  </si>
  <si>
    <t>M: Walgreens: Mother's Day</t>
  </si>
  <si>
    <t>Car P: Parking, Boston Logan</t>
  </si>
  <si>
    <t>M: AAA Photos</t>
  </si>
  <si>
    <t>EET: Groupon - Trombetta Farms</t>
  </si>
  <si>
    <t>MA: Mother's Day - Trench Coats</t>
  </si>
  <si>
    <t>G: BP Machine for Shivani's mom</t>
  </si>
  <si>
    <t>M: Sous Vide Bags</t>
  </si>
  <si>
    <t>Grocery (Sams') Hand Snitizer</t>
  </si>
  <si>
    <t>Grocery (Amazon) - Mac &amp; Cheese</t>
  </si>
  <si>
    <t>Vanguard Intermediate Term Treasury Investor Cl-reinvestment</t>
  </si>
  <si>
    <t>MA: Kohls Pendant</t>
  </si>
  <si>
    <t>M: Mother's Day Cake (Hannaford)</t>
  </si>
  <si>
    <t>CA Trip Expenses</t>
  </si>
  <si>
    <t>F: Chiptole</t>
  </si>
  <si>
    <t>M: Macbook Skin</t>
  </si>
  <si>
    <t>G: Mother's Day -India 7+7</t>
  </si>
  <si>
    <t>EET: Picture People</t>
  </si>
  <si>
    <t>Grocery (Walmart) - Toilet Rolls</t>
  </si>
  <si>
    <t>M: SonicCard Toothbrushes x 2</t>
  </si>
  <si>
    <t>MK: Salt and Pepper Grinder</t>
  </si>
  <si>
    <t>Grocery (Amazon) - Fenugreek Powder</t>
  </si>
  <si>
    <t>Grocery (Amazon) - Shirataki Rice x 20</t>
  </si>
  <si>
    <t>Vanguard Intermediate Term Treasury Investor Cl-dividend</t>
  </si>
  <si>
    <t>M: Music CDs : EMC</t>
  </si>
  <si>
    <t>E: MI III</t>
  </si>
  <si>
    <t>MA: Frame</t>
  </si>
  <si>
    <t>F: Chez Siam, Marlboro, MA</t>
  </si>
  <si>
    <t>G: Mother's Day - India 10+10</t>
  </si>
  <si>
    <t>EET: MeeGenius</t>
  </si>
  <si>
    <t>CaR: Parking - Scality</t>
  </si>
  <si>
    <t>MA: Under Armour (Mother's Day)</t>
  </si>
  <si>
    <t>Meds: Amazon + WalMart - Ora jel</t>
  </si>
  <si>
    <t>MH: Amazon - Grampa Weeder</t>
  </si>
  <si>
    <t>Grocery (Amazon) - Chicken Meat Sticks x 24</t>
  </si>
  <si>
    <t>MA: Amazon - Skechers Shoes</t>
  </si>
  <si>
    <t>Vanguard Small Cap Value Index Admiral Cl-reinvestment</t>
  </si>
  <si>
    <t>F: Ice Cream, Berlin Orchards</t>
  </si>
  <si>
    <t>G: Mangoes to India</t>
  </si>
  <si>
    <t>Ed:Tuition Babson Summer I + II Reimbured: 2910</t>
  </si>
  <si>
    <t>E: Ironman, SPM</t>
  </si>
  <si>
    <t>M: Sara's Birthday party Cake</t>
  </si>
  <si>
    <t>Meds: CoPay (Sara &amp; Anishka)</t>
  </si>
  <si>
    <t>M: Mother's Day- TJX</t>
  </si>
  <si>
    <t>Grocery (Amazon) - LorAnn Coconut Essensce</t>
  </si>
  <si>
    <t>Grocery (Amazon) - LavaZaa Coffee x 2</t>
  </si>
  <si>
    <t>M: Laundary Basket - Amazon</t>
  </si>
  <si>
    <t>Vanguard Small Cap Value Index Admiral Cl-dividend</t>
  </si>
  <si>
    <t>M: Chandelier, Lowe's</t>
  </si>
  <si>
    <t>G: Perl to Dadi</t>
  </si>
  <si>
    <t>Ed: Tuition Babson : Reimbursed 1785 = Total 4695</t>
  </si>
  <si>
    <t>M: CVS: Deo (-6ECB)</t>
  </si>
  <si>
    <t>G: Dharmesh/Vandna</t>
  </si>
  <si>
    <t>G: Ecotarium Rental</t>
  </si>
  <si>
    <t>G: Mother's Day gifts - 15 + 7</t>
  </si>
  <si>
    <t>M: (Amazon) - Grill brush</t>
  </si>
  <si>
    <t>Pet-Misc - Amazon - Pee Pads x 2</t>
  </si>
  <si>
    <t>Vanguard Total Stock Market Index Admiral Cl-reinvestment</t>
  </si>
  <si>
    <t>F:Lunch</t>
  </si>
  <si>
    <t>MA: OldNavy R</t>
  </si>
  <si>
    <t>Ed: Tuition Babson : Total 7968 - 1785 - 2910</t>
  </si>
  <si>
    <t>Car: Road Tax 2010 NA</t>
  </si>
  <si>
    <t>F: Wegmans (Mother's Day)</t>
  </si>
  <si>
    <t>M: Mother's Day- Wegmans</t>
  </si>
  <si>
    <t>G: Pizza</t>
  </si>
  <si>
    <t>M: Amazon - Pomade</t>
  </si>
  <si>
    <t>M: (Amazon) - Hair Color</t>
  </si>
  <si>
    <t>Pet-Misc - Amazon - Dog Poop Bags</t>
  </si>
  <si>
    <t>Vanguard Total Stock Market Index Admiral Cl-dividend</t>
  </si>
  <si>
    <t>MA: Steve &amp; Barrys'</t>
  </si>
  <si>
    <t>KM: Diapers</t>
  </si>
  <si>
    <t>F: Sullivan's, Castle Island, South Boston (Fro-Yo)</t>
  </si>
  <si>
    <t>M: Shutterfly - Magnet</t>
  </si>
  <si>
    <t>G: Cake - Gerardo'</t>
  </si>
  <si>
    <t>Grocery (Amazon) - Hemp Powder</t>
  </si>
  <si>
    <t>MH: (Amazon)- Weed Killers</t>
  </si>
  <si>
    <t>F: Baskin Robbins</t>
  </si>
  <si>
    <t>Vanguard Total Intl Bond Index Admiral Cl-dividend</t>
  </si>
  <si>
    <t>G: Thing Remembered</t>
  </si>
  <si>
    <t>Grocery (Rasoi)</t>
  </si>
  <si>
    <t>MA: TJM -Ret -20</t>
  </si>
  <si>
    <t>M: postage: India</t>
  </si>
  <si>
    <t>M: DNS Registration -76</t>
  </si>
  <si>
    <t>F: Fudgery, Wrentham</t>
  </si>
  <si>
    <t>EET: Mother's Day</t>
  </si>
  <si>
    <t>EET: WesyWind DriveIn - Avengers Endgame</t>
  </si>
  <si>
    <t>M: WalMart - AXE</t>
  </si>
  <si>
    <t>F: Starbucks Frappacino</t>
  </si>
  <si>
    <t>M: Amazon - Hydroflask</t>
  </si>
  <si>
    <t>Vanguard Total Intl Bond Index Admiral Cl-reinvestment</t>
  </si>
  <si>
    <t>M : Things Remembered</t>
  </si>
  <si>
    <t>Photos</t>
  </si>
  <si>
    <t>MA: Walmart - Ret -11</t>
  </si>
  <si>
    <t>G: Walmart, Ruta, baby stuff</t>
  </si>
  <si>
    <t>G: Sooraj Marriage Gift</t>
  </si>
  <si>
    <t>M: Mother's day (Cake+Flowers+cards)</t>
  </si>
  <si>
    <t>M: Linode -416</t>
  </si>
  <si>
    <t>F: Yoway (fro-yo)</t>
  </si>
  <si>
    <t>MA: OshKoshG'Osh</t>
  </si>
  <si>
    <t>F: Udipi Bhavan -Mother's Day lunch - Horrible food</t>
  </si>
  <si>
    <t>M: Dollar Store - Plates etc</t>
  </si>
  <si>
    <t>F: The Bistro (Lunch with Sid)</t>
  </si>
  <si>
    <t>F: Mother's Day - Bikaner Sweets - Sunnyvale</t>
  </si>
  <si>
    <t>Car: Battery - AAA</t>
  </si>
  <si>
    <t>MA: Kohls - Shoes</t>
  </si>
  <si>
    <t>M: Filene's (T Shirts)</t>
  </si>
  <si>
    <t>E: Troy</t>
  </si>
  <si>
    <t>Gift : Carrot Cake : Miru</t>
  </si>
  <si>
    <t>Meds: Claritin: Walmart</t>
  </si>
  <si>
    <t>F: SPM Mall</t>
  </si>
  <si>
    <t>G: TJX for Sarveshi's parents</t>
  </si>
  <si>
    <t>MA: Children's Place</t>
  </si>
  <si>
    <t>MA: Sara's Gym Pants</t>
  </si>
  <si>
    <t>M: Mother's Day - Disney store</t>
  </si>
  <si>
    <t>Grocery (Monch Monch)</t>
  </si>
  <si>
    <t>M: Filene's (Clinique)</t>
  </si>
  <si>
    <t>E : Madagascar</t>
  </si>
  <si>
    <t>MA: Target Jeans R Ret -25</t>
  </si>
  <si>
    <t>M: Head &amp; Shoulders : Walmart</t>
  </si>
  <si>
    <t>G: SnS</t>
  </si>
  <si>
    <t>F: Yoong Tong, Thai</t>
  </si>
  <si>
    <t>MA: Nautralizer shoes</t>
  </si>
  <si>
    <t>EET: Walden Pond, parking</t>
  </si>
  <si>
    <t>G: Walmart - Cake</t>
  </si>
  <si>
    <t>G: Mother's Day - Amazon.in. for Aai</t>
  </si>
  <si>
    <t>M: WalMart - Coke Pop Sticks</t>
  </si>
  <si>
    <t>M: Amazon - Paino Book</t>
  </si>
  <si>
    <t>Grocery (Safeway) - Ribs for Mother's Day</t>
  </si>
  <si>
    <t>F: Mother's Day - Mantra - Mountain View</t>
  </si>
  <si>
    <t>Vanguard Long Term Bond Index Admiral Cl-reinvestment</t>
  </si>
  <si>
    <t>M: SunGlasses</t>
  </si>
  <si>
    <t>E : Bunty Aur Babli</t>
  </si>
  <si>
    <t>MA: Dress: S - Ret -25</t>
  </si>
  <si>
    <t>Car: Audi: WheelBearing: CSG, Natick</t>
  </si>
  <si>
    <t>MA: Shoes: Shivani: Payless</t>
  </si>
  <si>
    <t>Meds: Zyrtec -25</t>
  </si>
  <si>
    <t>MA: GAP Outlet, Worcester</t>
  </si>
  <si>
    <t>M: Amazon - Hair Brushes x 2</t>
  </si>
  <si>
    <t>M: Amazon - Cold Massager</t>
  </si>
  <si>
    <t>MA: Athleta Sweatshirt - Sara</t>
  </si>
  <si>
    <t>Grocery (Amazon) - Wax strips</t>
  </si>
  <si>
    <t>F: Starbucks - Mother's Day</t>
  </si>
  <si>
    <t>Vanguard Long Term Bond Index Admiral Cl-dividend</t>
  </si>
  <si>
    <t>M : Hair Pins etc….</t>
  </si>
  <si>
    <t>Car: Tire Repair, Roux's garage</t>
  </si>
  <si>
    <t>M: BedSheets LNT</t>
  </si>
  <si>
    <t>Grocery BRUS</t>
  </si>
  <si>
    <t>F: Yoway, Worcester</t>
  </si>
  <si>
    <t>MedS: CoPay -CRM - Rahul</t>
  </si>
  <si>
    <t>M: Picture People</t>
  </si>
  <si>
    <t>Kids: Day Care: YMCA - Registration Fee</t>
  </si>
  <si>
    <t>G: Mother's day Gifts - India 26 x 2</t>
  </si>
  <si>
    <t>MA: Amazon - Fitflop shoes</t>
  </si>
  <si>
    <t>Grocery (Amazon) - Parchment Paper`</t>
  </si>
  <si>
    <t>Vanguard Inflation Protected Secs Admiral Cl-reinvestment</t>
  </si>
  <si>
    <t>M : GAP</t>
  </si>
  <si>
    <t>MA : Target : S</t>
  </si>
  <si>
    <t>MA: BRUS</t>
  </si>
  <si>
    <t>Car: Audi (Beetle Bug)</t>
  </si>
  <si>
    <t>M: iPhone Data Cables - Amazon</t>
  </si>
  <si>
    <t>Meds: CoPay -NP - Anishka</t>
  </si>
  <si>
    <t>Summer Camps: Return charge</t>
  </si>
  <si>
    <t>Car: Scammed in Walmart Parking Lot</t>
  </si>
  <si>
    <t>Transporation: Uber - Shivani</t>
  </si>
  <si>
    <t>M: Amazon - Let'sFit Tracker for Sara</t>
  </si>
  <si>
    <t>M: Amazon - Printer Cartridge</t>
  </si>
  <si>
    <t>Vanguard Inflation Protected Secs Admiral Cl-dividend</t>
  </si>
  <si>
    <t>M : Macys' (Purse)</t>
  </si>
  <si>
    <t>F: Curry Leaf, Framingham</t>
  </si>
  <si>
    <t>Ed: App Mailing</t>
  </si>
  <si>
    <t>Meds: CVS (-3 ECB)</t>
  </si>
  <si>
    <t>MA: BR Jacket (-35 ; Sarveshi's GC)</t>
  </si>
  <si>
    <t>F: Soup (Logan airport)</t>
  </si>
  <si>
    <t>F: Wrentham (Almonds + Fudge)</t>
  </si>
  <si>
    <t>Fees: Admission Fee for Stratford. Palo Alto</t>
  </si>
  <si>
    <t>M: Apple Watch charger</t>
  </si>
  <si>
    <t>Grocery (Amazon) - LorAnn Chocolate Essensce</t>
  </si>
  <si>
    <t>F: Bikaner Sweets</t>
  </si>
  <si>
    <t>MA: Amazon - Dress for Nish's graduation ceremoney</t>
  </si>
  <si>
    <t>M : CD (Chalte Chalte)</t>
  </si>
  <si>
    <t>Audi Car Inspection</t>
  </si>
  <si>
    <t>Ed: Transcripts from WPI</t>
  </si>
  <si>
    <t>G: Wines, Northboro Liquor</t>
  </si>
  <si>
    <t>M: party Prep</t>
  </si>
  <si>
    <t>F: Pizza (WolfgangPuck, Logan)</t>
  </si>
  <si>
    <t>Fees: Admission Fee for Hope Technology School</t>
  </si>
  <si>
    <t>M: Amazon - San. Pads</t>
  </si>
  <si>
    <t>Fares: Uber</t>
  </si>
  <si>
    <t>MH: Home Depot - Plants and Gardening</t>
  </si>
  <si>
    <t>MA: Hoka - Shoes</t>
  </si>
  <si>
    <t>F: Chili's</t>
  </si>
  <si>
    <t>G: Ruta</t>
  </si>
  <si>
    <t>EET: Florida (JetBlue)</t>
  </si>
  <si>
    <t>MA: GAP</t>
  </si>
  <si>
    <t>F: Mayuri - Shivani</t>
  </si>
  <si>
    <t>Car: Nissan Altima - Registration</t>
  </si>
  <si>
    <t>F: Momo Grill - Food Truck</t>
  </si>
  <si>
    <t>M: TurboTax - Taxes</t>
  </si>
  <si>
    <t>G: Amazon.in - Mother's Day</t>
  </si>
  <si>
    <t xml:space="preserve">MH: Marshalls - Painting </t>
  </si>
  <si>
    <t>Couchbase, Inc. Payroll Ppd Id: x2657</t>
  </si>
  <si>
    <t>M: GNC</t>
  </si>
  <si>
    <t>MA: TJM, Auburn Ret 25</t>
  </si>
  <si>
    <t>E: Paintball, NAS outing</t>
  </si>
  <si>
    <t>M: C++ Faq : Amazon</t>
  </si>
  <si>
    <t>EET: Bolt Bus to NJ, Shivani</t>
  </si>
  <si>
    <t>EET: Magic kingdom/Disney Hollywood</t>
  </si>
  <si>
    <t>MA: OshKOshBGosh</t>
  </si>
  <si>
    <t>G: Marshalls (Shalu, Chacha)</t>
  </si>
  <si>
    <t>F: Dunkin Donut, Milford, CT - Service Area</t>
  </si>
  <si>
    <t>EET: Avengers Infinity War - Fandango (-5)</t>
  </si>
  <si>
    <t>MK: Macy's - Waffle Maker</t>
  </si>
  <si>
    <t>Grocery (K Market)</t>
  </si>
  <si>
    <t>Zelle payment to Gardener Eduardo Jpm99bdyk9ed</t>
  </si>
  <si>
    <t>Ed: Notes, MBA 8520</t>
  </si>
  <si>
    <t>EET: WorldQuest Resort</t>
  </si>
  <si>
    <t>G: OshKOshBGosh</t>
  </si>
  <si>
    <t>MA: Marshalls (Perfume)</t>
  </si>
  <si>
    <t>M: Christmas Tree Shops</t>
  </si>
  <si>
    <t>Home: Lowes - Faucet Kitchen</t>
  </si>
  <si>
    <t>F: Gulzar's Halaal - San Jose</t>
  </si>
  <si>
    <t>EET: Iron Man 3 - Prime (-4)</t>
  </si>
  <si>
    <t>EET: Doctor Strange and the Multiverse of Madness</t>
  </si>
  <si>
    <t>M: Amazon - Hairdryper</t>
  </si>
  <si>
    <t>MA: Aamzon - Polos</t>
  </si>
  <si>
    <t>Felipe's Market</t>
  </si>
  <si>
    <t>F: 99 Restaurant, Hudson, MA,</t>
  </si>
  <si>
    <t>EET: Car Rental</t>
  </si>
  <si>
    <t>Car: Parking: New England Acquarium</t>
  </si>
  <si>
    <t>M: Books (Marshalls)</t>
  </si>
  <si>
    <t>Grocery (Amazon) - Quest Protein Powder - Cookies and Cream</t>
  </si>
  <si>
    <t>M: Amazon - Decorative Lights</t>
  </si>
  <si>
    <t>MA: Amazon - MIT Sweathsirt</t>
  </si>
  <si>
    <t>M: Amazon - AP Bio</t>
  </si>
  <si>
    <t>Car: Smog Test</t>
  </si>
  <si>
    <t>Ghirardelli Experience</t>
  </si>
  <si>
    <t>Misc (BBB, Umbrellas)</t>
  </si>
  <si>
    <t>E: The Day After Tomorrow</t>
  </si>
  <si>
    <t>F: lunch, Bertucci's</t>
  </si>
  <si>
    <t>E: Geo Caching, Southboro, MA</t>
  </si>
  <si>
    <t>MA: Marshalls (Ret -55)</t>
  </si>
  <si>
    <t>M: Flowers for pooja</t>
  </si>
  <si>
    <t>M: Stroller Rental</t>
  </si>
  <si>
    <t>F: Kebab Factory, Sommerville</t>
  </si>
  <si>
    <t>G: Dhruv's Birthday Gift</t>
  </si>
  <si>
    <t>F: Rota Spring Farms</t>
  </si>
  <si>
    <t>Grocery (Amazon) - Teddie PB</t>
  </si>
  <si>
    <t>Meds: Amazon - Ibuprofen (500 tabs)</t>
  </si>
  <si>
    <t>M: Amazon - Sara' Bday Gift - Ardurino Kit</t>
  </si>
  <si>
    <t>F: Phau D'Chau - MTV - Mother's Day lunch</t>
  </si>
  <si>
    <t>MH: Amazon - Hydroflask</t>
  </si>
  <si>
    <t>Top Golf San Jose 55-2</t>
  </si>
  <si>
    <t>F: Kebab Factory, Sommrville, MA</t>
  </si>
  <si>
    <t>F: Magic kingdom</t>
  </si>
  <si>
    <t>M: BRUS - Crayons</t>
  </si>
  <si>
    <t>M: Charging Cable - Amazon (3)</t>
  </si>
  <si>
    <t>M: Walmart - Potting</t>
  </si>
  <si>
    <t>Grocery (Amazon) - AngelSoft - Toilet Paper Roll + Charmin</t>
  </si>
  <si>
    <t>Grocery (Kirkland Bars)</t>
  </si>
  <si>
    <t>Pet-Food: Chewy - 30lb</t>
  </si>
  <si>
    <t>Grocery (Amazon) - Tresemme Shampoo</t>
  </si>
  <si>
    <t>HOTELCOMx6471</t>
  </si>
  <si>
    <t>M : Dress (Ann Taylor)</t>
  </si>
  <si>
    <t>M: Cell Phone (286 - 140 -30)</t>
  </si>
  <si>
    <t>C: Parking Paul Tsongas</t>
  </si>
  <si>
    <t>F: Sprite, SnS, Framingham</t>
  </si>
  <si>
    <t>G: Dadi ( Fleece blanket Ret+ 40 cash )</t>
  </si>
  <si>
    <t>G: Orlando FL</t>
  </si>
  <si>
    <t>EET: Wachusett Dam</t>
  </si>
  <si>
    <t>Home: Walmart - House Prep Expenses</t>
  </si>
  <si>
    <t>Fees: Rental Application for 141 Giffin Road</t>
  </si>
  <si>
    <t>Grocery (Amazon) - Nivea Cacao Butter</t>
  </si>
  <si>
    <t>Grocery (Amazon) - Cashew Flour</t>
  </si>
  <si>
    <t>MH: Home Depot - Roses</t>
  </si>
  <si>
    <t>EET: Guardian of the Galaxy - Anishka's Party</t>
  </si>
  <si>
    <t>Amazon Mktpl*nq9t58nq0</t>
  </si>
  <si>
    <t>M : Yankee Candles</t>
  </si>
  <si>
    <t>Bedroom Set</t>
  </si>
  <si>
    <t>F: Quattro, Hopkinton, Farewell lunch</t>
  </si>
  <si>
    <t>Phone: Relaince</t>
  </si>
  <si>
    <t>Fine: MV - DMV - Talking on the phone while driving</t>
  </si>
  <si>
    <t>Grocery (Amazon) - Cacao Powder</t>
  </si>
  <si>
    <t>Grocery (Amazon) - Guarana Powder</t>
  </si>
  <si>
    <t>M: Amazon - Storage Bins</t>
  </si>
  <si>
    <t>EET: Guardian of the Galaxy - Family</t>
  </si>
  <si>
    <t>Loomis Inv Grd Bd N - dividend</t>
  </si>
  <si>
    <t>M : VS</t>
  </si>
  <si>
    <t>M: Curtains</t>
  </si>
  <si>
    <t>M: HairCut, FS</t>
  </si>
  <si>
    <t>OTE: Tax Planning: Westford Tax</t>
  </si>
  <si>
    <t>M: Decoration: Party</t>
  </si>
  <si>
    <t>F: Disney Hollywood Studios</t>
  </si>
  <si>
    <t>MA: Macy's Lancome</t>
  </si>
  <si>
    <t>EET: Movie - SPM- Star Trek: Into The Darkness</t>
  </si>
  <si>
    <t>EET: Sesame Street (Groupon), PA</t>
  </si>
  <si>
    <t>Car Wash: Altima</t>
  </si>
  <si>
    <t>Grocery (Amazon) - Quest Protein Powder</t>
  </si>
  <si>
    <t>EET: Anishka's class movie trip - The Bad Guys</t>
  </si>
  <si>
    <t>F: Mother's Day - Johal Chaat - Kuch</t>
  </si>
  <si>
    <t>Fid Mid Cap Idx - dividend</t>
  </si>
  <si>
    <t>M : AAA Membership</t>
  </si>
  <si>
    <t>M: Kodak Battery Ret -26</t>
  </si>
  <si>
    <t>F: lunch P&amp;S for everyone</t>
  </si>
  <si>
    <t>Grocery (CVS)</t>
  </si>
  <si>
    <t>F: CJ's Pizza Hudson</t>
  </si>
  <si>
    <t>M: Party City</t>
  </si>
  <si>
    <t>EET: Adapted Mind</t>
  </si>
  <si>
    <t>Car Registration Renewal (Altima)</t>
  </si>
  <si>
    <t>MA: Amazon NB Shoes</t>
  </si>
  <si>
    <t>Grocery (Amazon) - Fresh</t>
  </si>
  <si>
    <t>Pet-Misc - Amazon - Toy</t>
  </si>
  <si>
    <t>Grocery (Amazon_ - Flavors, Chocolate, Hazelnut</t>
  </si>
  <si>
    <t>Grocery (InstacarT) - WalMart</t>
  </si>
  <si>
    <t>Vanguard Real Estate Index Admiral Cl-reinvestment</t>
  </si>
  <si>
    <t>Food (Mall)</t>
  </si>
  <si>
    <t>Grocery (Milk, sugar)</t>
  </si>
  <si>
    <t>M: Kodak Battery Charger</t>
  </si>
  <si>
    <t>Car: Bella's Car Wash, Hudson, Faltu</t>
  </si>
  <si>
    <t>MF: Catering for Sara's First Birthday</t>
  </si>
  <si>
    <t>F: Kebab n Kurry, Orlando</t>
  </si>
  <si>
    <t>MA: JCP</t>
  </si>
  <si>
    <t>Car: Walmart - Nissan Altima -Wipers</t>
  </si>
  <si>
    <t>Grocery (Amazon) - Kay's Protein Snacks</t>
  </si>
  <si>
    <t>M: Amazon - Massager</t>
  </si>
  <si>
    <t>Grocery (Amazon) - Meatless Crumbles</t>
  </si>
  <si>
    <t>Pets - Chewy - Simparica</t>
  </si>
  <si>
    <t>Car: Tire Repair - Wheelworks - Altima</t>
  </si>
  <si>
    <t>Vanguard Real Estate Index Admiral Cl-dividend</t>
  </si>
  <si>
    <t>Car Wash (SnD)</t>
  </si>
  <si>
    <t>M: International Adapter Ret -20</t>
  </si>
  <si>
    <t>Gas (Alitma)</t>
  </si>
  <si>
    <t>F: Lunch, Thai Villa, Augusta, ME</t>
  </si>
  <si>
    <t>F: Pizza for kids</t>
  </si>
  <si>
    <t>G: Oscar for Sarveshi</t>
  </si>
  <si>
    <t>F: Cumberland Farms</t>
  </si>
  <si>
    <t>EET: EcoTarium - (Free admission - Sara's 4th bday compliementary</t>
  </si>
  <si>
    <t>Car: Parking Logan</t>
  </si>
  <si>
    <t>MA: Kohls - T-shirts -Rahul</t>
  </si>
  <si>
    <t>Grocery (Amazon) - Pomade</t>
  </si>
  <si>
    <t>Grocery (IG) - The Butcher Shop</t>
  </si>
  <si>
    <t>Pets - Amazon - Leash</t>
  </si>
  <si>
    <t>MA: SunGlasses</t>
  </si>
  <si>
    <t>M: Walmart + SnS</t>
  </si>
  <si>
    <t>Grocery: ICE</t>
  </si>
  <si>
    <t>F: Dunkin Donuts, CT Plaza</t>
  </si>
  <si>
    <t>F: Shah's - Sunnyvale - 35</t>
  </si>
  <si>
    <t>MA: Walmart - T-shirt</t>
  </si>
  <si>
    <t>MA: MIT Coop Fleece - 32 + 8</t>
  </si>
  <si>
    <t>M: Office Chair</t>
  </si>
  <si>
    <t>Grocery (IG) -AB</t>
  </si>
  <si>
    <t>Grocery (Amazon) - Granulated Garlic</t>
  </si>
  <si>
    <t>Spartans Sports Camp</t>
  </si>
  <si>
    <t>E: Movie(The Matrix Reloaded)</t>
  </si>
  <si>
    <t>M: AAA Membership</t>
  </si>
  <si>
    <t>M: International Adapter Ret -8</t>
  </si>
  <si>
    <t>F: Dinner Pizza</t>
  </si>
  <si>
    <t>M: Hall (Berlin First Parish church)</t>
  </si>
  <si>
    <t>F: Ice Cream etc</t>
  </si>
  <si>
    <t>G: Macy's - SPM for NJ</t>
  </si>
  <si>
    <t>Grocery (Amazon) - Quest Bars - 2 x 3 - Samples</t>
  </si>
  <si>
    <t>M: Office Table</t>
  </si>
  <si>
    <t>Grocery (Amazon) - Carne Asada Seasomning</t>
  </si>
  <si>
    <t>Fjord Tours AS</t>
  </si>
  <si>
    <t>E: Maine Trip</t>
  </si>
  <si>
    <t>T: Logan Express: 2 RT</t>
  </si>
  <si>
    <t>F: Dinner Lobster Roll</t>
  </si>
  <si>
    <t>M: Sextent (Berlin church)</t>
  </si>
  <si>
    <t>Florida Trip Total</t>
  </si>
  <si>
    <t>F: Muddy Moose, North Conway, NH</t>
  </si>
  <si>
    <t>F: Yogurt, Hillsborough, NJ</t>
  </si>
  <si>
    <t>Car: Brake light bulb</t>
  </si>
  <si>
    <t>MA: Walmart - Kids</t>
  </si>
  <si>
    <t>Kids: School - 2018-19 - SchoolPaks - Grade 1 and 4</t>
  </si>
  <si>
    <t>Grocery (IG) - Trinethra</t>
  </si>
  <si>
    <t>Amazon Mktpl*nq6ef3x22</t>
  </si>
  <si>
    <t>F: Dunkin, Logan Airport</t>
  </si>
  <si>
    <t>EET: Acadia Entrace Fee</t>
  </si>
  <si>
    <t>Return Gifts:</t>
  </si>
  <si>
    <t>Car: Audi : Camshaft sensor</t>
  </si>
  <si>
    <t>F: Ice Cream: Weirs Beach</t>
  </si>
  <si>
    <t>Meds: CVS - Zyertc- D</t>
  </si>
  <si>
    <t>F: Srasa Kitchen - Mountain view - 31</t>
  </si>
  <si>
    <t>Grocery (Amazon) - Purely Inspired x 4</t>
  </si>
  <si>
    <t>Grocery (Amazon) - Tuna</t>
  </si>
  <si>
    <t>Amazon Mktpl*nq1cs1oa1</t>
  </si>
  <si>
    <t>T: Air France Shuttle tp Gare De Lyon, Paris (E24)</t>
  </si>
  <si>
    <t>F: Lunch, Acadia National Park</t>
  </si>
  <si>
    <t>ME: Princess for Birthday party</t>
  </si>
  <si>
    <t>F: China Bistro, Laconia</t>
  </si>
  <si>
    <t>MA: Ann Taylor Loft</t>
  </si>
  <si>
    <t>Meds: CoPay Anishka - Past Due</t>
  </si>
  <si>
    <t>F: Starbucks - Hotel - 7</t>
  </si>
  <si>
    <t>Grocery (Amazon) - NuNatruals</t>
  </si>
  <si>
    <t>Eastbaypkdist</t>
  </si>
  <si>
    <t>T: Geneva CHF 12</t>
  </si>
  <si>
    <t>F: Lunch, Bar Harbor, ME</t>
  </si>
  <si>
    <t>Sara's First Bday Party</t>
  </si>
  <si>
    <t>F: FlatBread Company, North Conway</t>
  </si>
  <si>
    <t>Grocery (Amazon) - Shiritake Noodles</t>
  </si>
  <si>
    <t>Grocery (WalmarT) - Cardamom</t>
  </si>
  <si>
    <t>Grocery (Amazon) Texturized Pea Protein</t>
  </si>
  <si>
    <t>Automatic Payment - Thank</t>
  </si>
  <si>
    <t>Misc (Kohls) -Trousers</t>
  </si>
  <si>
    <t>F: Gare De Lyon, Sandwich, CHF 5</t>
  </si>
  <si>
    <t>P: Logan Airport</t>
  </si>
  <si>
    <t>M: Hampton Inn, North Conway, NH (30May -1 June)</t>
  </si>
  <si>
    <t>Gas (Altima) - Travel</t>
  </si>
  <si>
    <t>MedS: CVS - Elbow Pad</t>
  </si>
  <si>
    <t>Meds: Amazon</t>
  </si>
  <si>
    <t>Fees: Stratford Eval Fee: 75 x 2</t>
  </si>
  <si>
    <t>G: Target : Purse for Shivani's mom</t>
  </si>
  <si>
    <t>Grocery (Amazon) - Cayenne Pepper</t>
  </si>
  <si>
    <t>Grocery (Amazon) - Flatizza Pizza</t>
  </si>
  <si>
    <t>MH: Amazon - Plant Fungicide</t>
  </si>
  <si>
    <t>F: Yogurtland</t>
  </si>
  <si>
    <t>Grocery (Amazon)-  GasX</t>
  </si>
  <si>
    <t>Family Thrifty Car Wash I</t>
  </si>
  <si>
    <t>Misc (Filene's) -Sweat shirt</t>
  </si>
  <si>
    <t>F: Gare De Lyon, Coffee + Dessert CHF 5</t>
  </si>
  <si>
    <t>F: Enchalladas</t>
  </si>
  <si>
    <t>F: Crepes, Fanueil Hall</t>
  </si>
  <si>
    <t>Car: Altima Service</t>
  </si>
  <si>
    <t>F: EMC Soups- May</t>
  </si>
  <si>
    <t>F: The Yankee Smokehouse</t>
  </si>
  <si>
    <t>M: Amazon - Silicone Storage Bags</t>
  </si>
  <si>
    <t>M: Amazon - Tampons</t>
  </si>
  <si>
    <t>G: TJX - Gazel's graduation</t>
  </si>
  <si>
    <t>Classes - AoPS Intro to Algebra</t>
  </si>
  <si>
    <t>Grocery (Amazon) - Zyrtec Chewable</t>
  </si>
  <si>
    <t>Silicon Valley Valero</t>
  </si>
  <si>
    <t>Misc : CVC Co Pay</t>
  </si>
  <si>
    <t>F: Gevena, Lasagna + Drink CHF 11</t>
  </si>
  <si>
    <t>F: Misc</t>
  </si>
  <si>
    <t>F: Thai, Fanueil Hall</t>
  </si>
  <si>
    <t>G: Kolhs :Sooraj</t>
  </si>
  <si>
    <t>G: Van Heusen, Wrentham - Dadi</t>
  </si>
  <si>
    <t>EET: Golden Gable Inn - North Conway, NH</t>
  </si>
  <si>
    <t>G: Rota Spring Farms (Pathaks)</t>
  </si>
  <si>
    <t>MK: TJX</t>
  </si>
  <si>
    <t>M: Amazon - AXE</t>
  </si>
  <si>
    <t>MA: Amazon - Womens Socks</t>
  </si>
  <si>
    <t>Grocery (Amazon) - ShIRtKI</t>
  </si>
  <si>
    <t>F: Dinner (Bhindi Bazaar)</t>
  </si>
  <si>
    <t>F: Geneva, Steak Sandwich, CHF 8</t>
  </si>
  <si>
    <t>EET: Acadia Woods Stay 3D/2N (120)</t>
  </si>
  <si>
    <t>EET: StoryLand, Glen, NH</t>
  </si>
  <si>
    <t>F: Royal Indian Cuisine - Filmore - SF</t>
  </si>
  <si>
    <t>M: Amazon - Cortizone</t>
  </si>
  <si>
    <t>M: Home Depot - Fungicide</t>
  </si>
  <si>
    <t>Grocery (Amazon) - Beef Broth x 2</t>
  </si>
  <si>
    <t>G: Dinner(Bhindi Bazaar, Rajasri)</t>
  </si>
  <si>
    <t>T: Geneva CHF 6</t>
  </si>
  <si>
    <t>Meds: CVS ( -16 C+ECB)</t>
  </si>
  <si>
    <t>Gas (Altima): Various</t>
  </si>
  <si>
    <t>Gorcery (WF, Cambridge), Milk</t>
  </si>
  <si>
    <t>MA: Claire's Wrentham</t>
  </si>
  <si>
    <t>F: StoryLand</t>
  </si>
  <si>
    <t>Ed: American Red Cross CPR Course</t>
  </si>
  <si>
    <t>G: Royal Indian Cuisine - Filmore - SF</t>
  </si>
  <si>
    <t>Kids:School Supplies - Grade 5 + Grade 2</t>
  </si>
  <si>
    <t>MH: Home Depot - Hole Digger</t>
  </si>
  <si>
    <t>Grocery (Amazon) - Chicken Broth x 10</t>
  </si>
  <si>
    <t>Marshalls #0345</t>
  </si>
  <si>
    <t>Lunch (EMC)</t>
  </si>
  <si>
    <t>T: Golden Pass CHF 20</t>
  </si>
  <si>
    <t>F: StoryLand - PopCorn</t>
  </si>
  <si>
    <t>M: Gift ( 2 yrs @ Nortel)</t>
  </si>
  <si>
    <t>F: Coffee Montreux : CHF 7</t>
  </si>
  <si>
    <t>M: Walgreens: Passport photos for EAD/AP - SRP</t>
  </si>
  <si>
    <t>F: StoryLand - Cotton Candy</t>
  </si>
  <si>
    <t>M: Grad gift</t>
  </si>
  <si>
    <t>Car Wash: Merc - Lozano's</t>
  </si>
  <si>
    <t>Car: Parking - Japantown Garage</t>
  </si>
  <si>
    <t>MA: Amazon - Shorts</t>
  </si>
  <si>
    <t>Grocery (Amazon) - Starbucks -Mocha</t>
  </si>
  <si>
    <t>Web*bluehost.com</t>
  </si>
  <si>
    <t>F: Interlaken, Kebab + Burger + Mango IC : CHF 19</t>
  </si>
  <si>
    <t>Ed: Babson Course: D&amp;DM Reim -3288</t>
  </si>
  <si>
    <t>Meds: CoPay Anishka</t>
  </si>
  <si>
    <t>M: StoryLand - License - Anishka</t>
  </si>
  <si>
    <t>MA: Amazon - TShirts</t>
  </si>
  <si>
    <t>Grocey ( Amazon) - Chocolate Coffee</t>
  </si>
  <si>
    <t>Amazon.com*no2ce3x10</t>
  </si>
  <si>
    <t>Mass Inspection</t>
  </si>
  <si>
    <t>F: Drink (Fanta) Bern, CHF 3:50</t>
  </si>
  <si>
    <t>Ed: Babson Course book</t>
  </si>
  <si>
    <t>F: RedFox - Jackson, NH</t>
  </si>
  <si>
    <t>F: Achi Appakadai, Sunnyvale</t>
  </si>
  <si>
    <t>F: MomoGrill Truck</t>
  </si>
  <si>
    <t>M: Amazon - Beach Tent</t>
  </si>
  <si>
    <t>Grocery (Amazon) - Aluminium Foil</t>
  </si>
  <si>
    <t>Amazon Mktpl*no2ej7qw1</t>
  </si>
  <si>
    <t>F: Dinner Interlaken, Kebab + Mango IC : CHF 9</t>
  </si>
  <si>
    <t>M: Cashier's Check : PP Renewal</t>
  </si>
  <si>
    <t>F: Milk - Irving Gas Station, North Conway</t>
  </si>
  <si>
    <t>MA: Grad gown rental</t>
  </si>
  <si>
    <t>EET: Golfland, Sunnyvale</t>
  </si>
  <si>
    <t>M: WalMart - Hair Color</t>
  </si>
  <si>
    <t>Grocery (Amazon) - Lysol Toilet Bowl Cleaner</t>
  </si>
  <si>
    <t>T: Bernia EXP CHF 10</t>
  </si>
  <si>
    <t>M: Photos PP</t>
  </si>
  <si>
    <t>MA: Van Heusen, Settlers Creek</t>
  </si>
  <si>
    <t>EET: Movie Making Class - Apple Store Stanford</t>
  </si>
  <si>
    <t>M: Best Buy - Charges</t>
  </si>
  <si>
    <t>Grocery (Amazon) - Nivea Shaving Cream</t>
  </si>
  <si>
    <t>Bkg*booking.com Flight</t>
  </si>
  <si>
    <t>Dinner: IHOP (Scarborugh, ME)</t>
  </si>
  <si>
    <t>T: Jungfraujoch CHF 216</t>
  </si>
  <si>
    <t>M: TJX - iPhone charger</t>
  </si>
  <si>
    <t>MA: Gymboree Outlet Settlers Creek</t>
  </si>
  <si>
    <t>Meds: Foot crème</t>
  </si>
  <si>
    <t>M: Amazon - Grade 5 Books</t>
  </si>
  <si>
    <t>MH: Home Depot - Gardening</t>
  </si>
  <si>
    <t>Worcstrclrkm*iscgovpymt</t>
  </si>
  <si>
    <t>M : Decathalon</t>
  </si>
  <si>
    <t>F: Lunch, JungFraujoch CHF 17</t>
  </si>
  <si>
    <t>G; Purse TJX</t>
  </si>
  <si>
    <t>F: McDonalds, CT Rest Area</t>
  </si>
  <si>
    <t>F: Subway, North Conway</t>
  </si>
  <si>
    <t>MA: OshKosh, Settlers Creek</t>
  </si>
  <si>
    <t>EET: FairyTale Town, Sacremento, CA</t>
  </si>
  <si>
    <t>Grocery (Amazon) - Razor Blades</t>
  </si>
  <si>
    <t>Grocery (Amazon) - Bug Spray</t>
  </si>
  <si>
    <t xml:space="preserve">Grocery (Amazon) - </t>
  </si>
  <si>
    <t>Lunch : Cooke's Lobster House</t>
  </si>
  <si>
    <t>Grocery: Grocery Indian CHF 8</t>
  </si>
  <si>
    <t>M: TJX Sunglasses</t>
  </si>
  <si>
    <t>M: IKEA, New Haven , CT</t>
  </si>
  <si>
    <t>EET: Nordic Village Resort, Jackson, NH</t>
  </si>
  <si>
    <t>F: Peaches - North Conway</t>
  </si>
  <si>
    <t>F: Vik's Indian Chaat - Berkeley, CA</t>
  </si>
  <si>
    <t>Fee: Renters application feee 35x2</t>
  </si>
  <si>
    <t>Grocery (Ebay) - Ultra Replishner</t>
  </si>
  <si>
    <t>EET: Sierra Whitewater Rafting , Coloma, MA</t>
  </si>
  <si>
    <t>Grocery (Amazon) - Snack Noodles</t>
  </si>
  <si>
    <t>M: Desert of Maine</t>
  </si>
  <si>
    <t>E: Trummelbach Falls CHF 24</t>
  </si>
  <si>
    <t>M: GPS Carry bag</t>
  </si>
  <si>
    <t>F: IKEA, New Haven CT</t>
  </si>
  <si>
    <t>F: Snacks: Dollar Tree</t>
  </si>
  <si>
    <t>Gas - Travel (Altima)</t>
  </si>
  <si>
    <t>EET: Castle Island</t>
  </si>
  <si>
    <t>EET: Movie: Sachin - A Billion Dreams - Kids's first Hindi Movie</t>
  </si>
  <si>
    <t>G: Shoes for Sneha and Shivani's mom</t>
  </si>
  <si>
    <t>EET: Hampton Inn, Folsom, CA - great city to visit</t>
  </si>
  <si>
    <t xml:space="preserve">Grocery (Vitacost) </t>
  </si>
  <si>
    <t>M: Desert of Maine (Gift Shop)</t>
  </si>
  <si>
    <t>Grocery: coop Grocery CHF 9</t>
  </si>
  <si>
    <t>M: WalMart, Kearney, NJ</t>
  </si>
  <si>
    <t>G: NY&amp;C Outlet - Miltpitas</t>
  </si>
  <si>
    <t>G: Kohls - Shivani's Mom</t>
  </si>
  <si>
    <t>M: WalMart - Plants and Pots</t>
  </si>
  <si>
    <t>MH: Home Depot - Sprinkler Supplies</t>
  </si>
  <si>
    <t>F: In-n-Out, Folsom</t>
  </si>
  <si>
    <t>F: Ice Cream, Desertof Maine</t>
  </si>
  <si>
    <t>F: Dinner Pizza CHF 18</t>
  </si>
  <si>
    <t>MA: NY&amp;C Outlet - Miltpitas</t>
  </si>
  <si>
    <t>F: Fishology, Folsom</t>
  </si>
  <si>
    <t>Mens Wearhouse #2161</t>
  </si>
  <si>
    <t>F: Dinner - Subway</t>
  </si>
  <si>
    <t>F: Breakfast Zurich CHF 8</t>
  </si>
  <si>
    <t>Pet-Grocery (Petco) - Dry Food</t>
  </si>
  <si>
    <t>F: Snooks Candies, Folsom</t>
  </si>
  <si>
    <t>Grocery (Instacart) - Costco</t>
  </si>
  <si>
    <t>M: Golf + Baseball</t>
  </si>
  <si>
    <t>F: Biscuits, Zurich, CHF 4</t>
  </si>
  <si>
    <t>LOST Series Finale</t>
  </si>
  <si>
    <t>EET: Movie Raazi</t>
  </si>
  <si>
    <t>M: Membership - Instacart</t>
  </si>
  <si>
    <t>Whole Foods Svl X0707</t>
  </si>
  <si>
    <t>F: M. Biryani, Zurich, Globus, CHF 8</t>
  </si>
  <si>
    <t>M: Home Appliance - Roomba</t>
  </si>
  <si>
    <t>Grocery (Nob Hill) Halo Icecream</t>
  </si>
  <si>
    <t>G: Movie Raazi</t>
  </si>
  <si>
    <t>Pet-Meds (Chewy) - Simparica Trio</t>
  </si>
  <si>
    <t>EET: California Railroad Museum</t>
  </si>
  <si>
    <t>M: Membership Amex Platinum</t>
  </si>
  <si>
    <t>Amazon Mktpl*no8vr2gx1</t>
  </si>
  <si>
    <t>Ice Cream @Nubble Pt, York,ME</t>
  </si>
  <si>
    <t>F: Ice Cream, Zurich CHF 3</t>
  </si>
  <si>
    <t>Car: Oil Change: Nissan</t>
  </si>
  <si>
    <t>MA: DSW - Shivani - 30</t>
  </si>
  <si>
    <t>G: SF Chinatown</t>
  </si>
  <si>
    <t>Caltrain</t>
  </si>
  <si>
    <t>Grocery (Ebay) - Cacao Beans</t>
  </si>
  <si>
    <t>Parking: California Railroad Museum</t>
  </si>
  <si>
    <t xml:space="preserve">Grocery( Monch Moch) </t>
  </si>
  <si>
    <t>Wmt Plus Jun 2025</t>
  </si>
  <si>
    <t>Grocery : Coop CHF 18</t>
  </si>
  <si>
    <t>M: Oral-B Tooth Brush</t>
  </si>
  <si>
    <t>Parking: SF - North Beach Garage</t>
  </si>
  <si>
    <t>Meds: Shivani copay</t>
  </si>
  <si>
    <t>Grocery (Amazon) - Simethicone</t>
  </si>
  <si>
    <t>Gift: Chocs CHF 6</t>
  </si>
  <si>
    <t>MA: Marshalls (Ret -21)</t>
  </si>
  <si>
    <t>Meds: Antacid- Amazon</t>
  </si>
  <si>
    <t>Parking: Crissy Field</t>
  </si>
  <si>
    <t>Meds: Sara's copay</t>
  </si>
  <si>
    <t>Pet-Misc - Amazon - Pooper Scooper</t>
  </si>
  <si>
    <t>MA (Amazon) - Compression Tee</t>
  </si>
  <si>
    <t>Vanguard Total Intl Stock Index Admiral Cl-dividend</t>
  </si>
  <si>
    <t>Gift: Souvenirs CHF 20</t>
  </si>
  <si>
    <t>EET: Top Gun: Maverick</t>
  </si>
  <si>
    <t>G: Amazon - Baby Bottles for Sunita's Daughter</t>
  </si>
  <si>
    <t>Vanguard Total Intl Stock Index Admiral Cl-reinvestment</t>
  </si>
  <si>
    <t>M: CVS Photos</t>
  </si>
  <si>
    <t>M: Souvenirs CHF 10</t>
  </si>
  <si>
    <t>F: Golden Gate Café</t>
  </si>
  <si>
    <t>G: Amazon - Anishka's Aadya's friend bday gift</t>
  </si>
  <si>
    <t>Car: Flat tire repair - Wheelworks - Altima</t>
  </si>
  <si>
    <t>M: Souvenirs Swiss Bag CHF 25</t>
  </si>
  <si>
    <t>MA: Shoes - WalMart</t>
  </si>
  <si>
    <t>Pet-Misc - Skittles Registration</t>
  </si>
  <si>
    <t>G: Amazon - Sara's friend - Shraddha's bday gift</t>
  </si>
  <si>
    <t>M: Baseball practice</t>
  </si>
  <si>
    <t>F: Geneva Station CHF 12</t>
  </si>
  <si>
    <t>M: Lowe's Bug light</t>
  </si>
  <si>
    <t>F: EMC - Through them month</t>
  </si>
  <si>
    <t>Grocery (Amazon) - Bounty + Charmin + Cetaphil</t>
  </si>
  <si>
    <t>MA: Amazon - MIT Sweatshirt -2</t>
  </si>
  <si>
    <t>Trip.com</t>
  </si>
  <si>
    <t>M: Roger's Sendoff</t>
  </si>
  <si>
    <t>F: Monaco Ville, Pizzeria E16</t>
  </si>
  <si>
    <t>Amazon.com*na0vv5yn1</t>
  </si>
  <si>
    <t>M: Raffle tickets from Pete</t>
  </si>
  <si>
    <t>F: Haagen Daaz Ice Cream, Rose Gardens, Monaco</t>
  </si>
  <si>
    <t>Amazon Mktpl*na7x24k20</t>
  </si>
  <si>
    <t>M: Roses</t>
  </si>
  <si>
    <t>F: Coffe Monaco Station E1</t>
  </si>
  <si>
    <t>Tst* Jamba Juice - Xx59 -</t>
  </si>
  <si>
    <t>M: Car Parking (Umass Mem)</t>
  </si>
  <si>
    <t>F: Pizza (Fun Pizza) Nice, E5</t>
  </si>
  <si>
    <t>Foothill Produce</t>
  </si>
  <si>
    <t>M: Guitar book (Keene, NH)</t>
  </si>
  <si>
    <t>E: Chapel E3</t>
  </si>
  <si>
    <t>Renewal Membership Fee</t>
  </si>
  <si>
    <t>F: Lunch, Keene, NH</t>
  </si>
  <si>
    <t>T: Monaco Bus : E5.70</t>
  </si>
  <si>
    <t>Google *google One</t>
  </si>
  <si>
    <t>F: Dinner, Burlington, VT</t>
  </si>
  <si>
    <t>F: Breakfast Du Midi, Nice E10</t>
  </si>
  <si>
    <t>Tea Annie</t>
  </si>
  <si>
    <t>F: Nice, Crepes ( Triramisu, Peach) E13</t>
  </si>
  <si>
    <t>Walmart.com x6278</t>
  </si>
  <si>
    <t>F: Ice Cream, Nice, E2</t>
  </si>
  <si>
    <t>Amazon Mktpl*na2it70v0</t>
  </si>
  <si>
    <t>F: Dinner, Kebab, Nice E9</t>
  </si>
  <si>
    <t>Garage</t>
  </si>
  <si>
    <t>F: Dinner, KFC, Nice E5</t>
  </si>
  <si>
    <t>Menswearhouse.com</t>
  </si>
  <si>
    <t>M: Misc Gifts E8 Delices De Provence</t>
  </si>
  <si>
    <t>Foothills Park City of PA</t>
  </si>
  <si>
    <t>F: Coffee E2</t>
  </si>
  <si>
    <t>Greenlight App Greenlight Web Id: Pymntx0001</t>
  </si>
  <si>
    <t>F: Supper, Chinese, Paris E10</t>
  </si>
  <si>
    <t>Grocery: Eiffel Tower E9</t>
  </si>
  <si>
    <t>Safeway #1108</t>
  </si>
  <si>
    <t>T: Paris Metro, E36</t>
  </si>
  <si>
    <t>Gifts: Eiffel E4.50</t>
  </si>
  <si>
    <t>Lennys Newsletter</t>
  </si>
  <si>
    <t>Grocery : FranPrix E3</t>
  </si>
  <si>
    <t>F: Espresso E3</t>
  </si>
  <si>
    <t>Amazon Mktpl*na78r49t2</t>
  </si>
  <si>
    <t>F: Dinner Panini + Crepes, Dinner E10</t>
  </si>
  <si>
    <t>Amazon Mktpl*na8f53us2</t>
  </si>
  <si>
    <t>E: Seine River Cruise E20</t>
  </si>
  <si>
    <t>Amazon.com*na2w58um2</t>
  </si>
  <si>
    <t>F: Quick Restaurant, Mu Luxembourg, Paris E10</t>
  </si>
  <si>
    <t>Amazon.com*na6gn6na0</t>
  </si>
  <si>
    <t>F: dinner Chinese E13</t>
  </si>
  <si>
    <t>Amazon.com*na7gd2ni0</t>
  </si>
  <si>
    <t>F: Dessert, Cake E3</t>
  </si>
  <si>
    <t>Amazon Mktpl*na0s153s1</t>
  </si>
  <si>
    <t>F: Ice Cream, Mango, E3</t>
  </si>
  <si>
    <t>Amazon.com*na5un9uy2</t>
  </si>
  <si>
    <t>E: Louvre Musuem E17</t>
  </si>
  <si>
    <t>Amazon.com*na4wu6ug2</t>
  </si>
  <si>
    <t>Grocery (Franprix) E2</t>
  </si>
  <si>
    <t>Amazon.com*na56b9ja1</t>
  </si>
  <si>
    <t>F: Dessert E2</t>
  </si>
  <si>
    <t>Amazon Mktpl*na7fz67g2</t>
  </si>
  <si>
    <t>F: Crepes, Avene De Champs Elysees E2.5</t>
  </si>
  <si>
    <t>Amazon Mktpl*na8cp3nc0</t>
  </si>
  <si>
    <t>F: Dinner: Etoile Du Kasmir E18.50</t>
  </si>
  <si>
    <t>Amazon.com*na1cx3ny0</t>
  </si>
  <si>
    <t>T: RER Tickets Gare Du Nord to Airport CDG E2</t>
  </si>
  <si>
    <t>Amazon.com*na3983j41</t>
  </si>
  <si>
    <t>F: Café Ritazza, Paris Airport CDG E 15</t>
  </si>
  <si>
    <t>Amazon Mktpl*na1ca1ns0</t>
  </si>
  <si>
    <t>Grocery Sns, Hudson, MA</t>
  </si>
  <si>
    <t>Transfer to Mbr *4109 Acct 3 Weekly Transfer to Advantage Savings - Advantage Savings</t>
  </si>
  <si>
    <t>Transfer From Acct *x-X05 - Weekly Transfer to Advantage Savings</t>
  </si>
  <si>
    <t>Extra Charge by Du Midi : Amex Shares Half : -108</t>
  </si>
  <si>
    <t>In-n-out Mountainview2</t>
  </si>
  <si>
    <t>Extra Charge by Du Midi : On VISA -212</t>
  </si>
  <si>
    <t>Pay*reliance Retail Lt</t>
  </si>
  <si>
    <t>Amazon.com*nh17c89m1</t>
  </si>
  <si>
    <t>Amazon Mktpl*nh48e29u0</t>
  </si>
  <si>
    <t>Electronic Withdrawal Pgande Web Onlinejun 25</t>
  </si>
  <si>
    <t>Starbucks Store X5280</t>
  </si>
  <si>
    <t>Trader Joe S #127</t>
  </si>
  <si>
    <t>Amazon.com*nh7ux66f0</t>
  </si>
  <si>
    <t>Amazon Mktpl*na8bp8072</t>
  </si>
  <si>
    <t>Amazon.com*na3wa40p2</t>
  </si>
  <si>
    <t>Amazon.com*nh4t448p1</t>
  </si>
  <si>
    <t>Sp Aj Tutoring Llc</t>
  </si>
  <si>
    <t>Great Gas Mountain View</t>
  </si>
  <si>
    <t>Amazon Mktpl*nh48d0xv0</t>
  </si>
  <si>
    <t>Electronic Deposit - Microsoft Edipayment</t>
  </si>
  <si>
    <t>Electronic Deposit - Couchbase, Inc. Payroll Xx0613</t>
  </si>
  <si>
    <t>B&amp;h Photo x-x-6969</t>
  </si>
  <si>
    <t>Days Inns/daystop</t>
  </si>
  <si>
    <t>Tst*from Scratch Restaur</t>
  </si>
  <si>
    <t>Amazon.com*nh3s140i1</t>
  </si>
  <si>
    <t>Amazon.com*nh7yk9pe0</t>
  </si>
  <si>
    <t>Amazon.com*nh2u30p70</t>
  </si>
  <si>
    <t>Electronic Deposit - Venmo Cashout Xx0609</t>
  </si>
  <si>
    <t>Electronic Withdrawal Amex Epayment Ach Pmt Xx0610</t>
  </si>
  <si>
    <t>Electronic Withdrawal Greenlight App Xx0609</t>
  </si>
  <si>
    <t>Autopay Payment - Thank You</t>
  </si>
  <si>
    <t>Sq *cafe Carmel</t>
  </si>
  <si>
    <t>Bobalicious &amp; Bites</t>
  </si>
  <si>
    <t>Par*rocky Mountain Chocol</t>
  </si>
  <si>
    <t>Electronic Withdrawal Wf Home Mtg Auto Pay Xx0825</t>
  </si>
  <si>
    <t>Electronic Deposit - Apa Treas 310 Misc Payxx1025</t>
  </si>
  <si>
    <t>Lemonade Insurance Compan</t>
  </si>
  <si>
    <t>Shop* Morningsave.com</t>
  </si>
  <si>
    <t>Ghirardelli Monterey</t>
  </si>
  <si>
    <t>Platinum Digital Entertainment Credit</t>
  </si>
  <si>
    <t>Cty Online</t>
  </si>
  <si>
    <t>Replit, Inc.</t>
  </si>
  <si>
    <t>Electronic Withdrawal St of CA Dmv Internet Xx0604</t>
  </si>
  <si>
    <t>Electronic Withdrawal Chase Credit Crdautopay Xx0604</t>
  </si>
  <si>
    <t>Disneyplus x-x-7888 CA</t>
  </si>
  <si>
    <t>Ymca Silicon Valley-ao Dr</t>
  </si>
  <si>
    <t>Lucky #723 Los Alto</t>
  </si>
  <si>
    <t>Mathnasium of Campbesan Jose CA</t>
  </si>
  <si>
    <t>Tst* Ettan</t>
  </si>
  <si>
    <t>W/d Drft - Withdrawal-check Passportservices Payment x Xx0602 Ach Transaction</t>
  </si>
  <si>
    <t>Electronic Withdrawal Amex Epayment Ach Pmt Xx0603</t>
  </si>
  <si>
    <t>Sprouts Farmers Mar</t>
  </si>
  <si>
    <t>REI #104 Mountain View</t>
  </si>
  <si>
    <t>Walmart.com</t>
  </si>
  <si>
    <t>Zelle payment to Gardener Eduardo Jpm99badojnm</t>
  </si>
  <si>
    <t>Electronic Deposit - Apa Treas 310 Misc Payxx0325</t>
  </si>
  <si>
    <t>Taco Bell #x8832</t>
  </si>
  <si>
    <t>Transfer to Mbr *4109 Acct 3 Monthly Transfer to Advantage Savings - Advantage Savings</t>
  </si>
  <si>
    <t>Transfer From Acct *x-X05 - Monthly Transfer to Advantage Savings</t>
  </si>
  <si>
    <t>July'02</t>
  </si>
  <si>
    <t>Jul'03</t>
  </si>
  <si>
    <t>Jul'04</t>
  </si>
  <si>
    <t>Jul'05</t>
  </si>
  <si>
    <t>Jul'06</t>
  </si>
  <si>
    <t>Jul'07</t>
  </si>
  <si>
    <t>Jul'08</t>
  </si>
  <si>
    <t>Jul'09</t>
  </si>
  <si>
    <t>Jul'10</t>
  </si>
  <si>
    <t>Jul'11</t>
  </si>
  <si>
    <t>Jul'12</t>
  </si>
  <si>
    <t>Jul'13</t>
  </si>
  <si>
    <t>Jul'14</t>
  </si>
  <si>
    <t>Jul'15</t>
  </si>
  <si>
    <t>Jul'16</t>
  </si>
  <si>
    <t>Jul'17</t>
  </si>
  <si>
    <t>Jul'18</t>
  </si>
  <si>
    <t>Jul'19</t>
  </si>
  <si>
    <t>Jul'20</t>
  </si>
  <si>
    <t>Jul'21</t>
  </si>
  <si>
    <t>Jul'22</t>
  </si>
  <si>
    <t>Jul'23</t>
  </si>
  <si>
    <t>Jul'24</t>
  </si>
  <si>
    <t>Previous Grocery</t>
  </si>
  <si>
    <t>Classes: ChatGPT</t>
  </si>
  <si>
    <t>M: Printer Cart : CompUSA</t>
  </si>
  <si>
    <t>F: Pizza, Pt Pleasant Beach, NJ</t>
  </si>
  <si>
    <t>E: Air Tickets to JAX, FL</t>
  </si>
  <si>
    <t>MH: Ottoman</t>
  </si>
  <si>
    <t xml:space="preserve">Car: Tire Repair </t>
  </si>
  <si>
    <t>M: Britax Marathon Car Seat</t>
  </si>
  <si>
    <t>M: Burt Bees Baby Shampoo</t>
  </si>
  <si>
    <t>Car: Audi Oil change, Shrewsbury, MA</t>
  </si>
  <si>
    <t>OTE: Sara's Westboro Tennis and Swin summer camp</t>
  </si>
  <si>
    <t>Car: Audi Inspection</t>
  </si>
  <si>
    <t>OTE: Life Insurance - Ohio National - Shivani</t>
  </si>
  <si>
    <t>Ed: Summer Camp - YMCA - ARP (7/10-7/14) - Ice Skating</t>
  </si>
  <si>
    <t>Kids/: Summer Camp - Camp Edmo - SRP + ARP (2wks + PM Care)</t>
  </si>
  <si>
    <t>Kids: Camp</t>
  </si>
  <si>
    <t>Camp: MathEncrichment</t>
  </si>
  <si>
    <t xml:space="preserve">Camp: Education Unlimited - Mock Trial </t>
  </si>
  <si>
    <t>Camps: Spartans</t>
  </si>
  <si>
    <t>Classes: Sara's Chem Tutoring</t>
  </si>
  <si>
    <t>MA: Bra Target</t>
  </si>
  <si>
    <t>F: Ice Cream Pt plesant Beach</t>
  </si>
  <si>
    <t>E: Holiday inn, Miami, 5-7</t>
  </si>
  <si>
    <t>M: Oral Syringes</t>
  </si>
  <si>
    <t>Car: Headlight Replacement</t>
  </si>
  <si>
    <t>M: Swimming Lessons (Sara + R)</t>
  </si>
  <si>
    <t xml:space="preserve">F: EMC </t>
  </si>
  <si>
    <t>M: Dollar Store, Springfield, VT</t>
  </si>
  <si>
    <t>OTE: Life Insurance - Principal Financial - Shivani</t>
  </si>
  <si>
    <t>Ed: Summer Camp - YMCA - SRP (7/10-7/14) - Ice Skating</t>
  </si>
  <si>
    <t>EET: Almaden County State Park, San Jose</t>
  </si>
  <si>
    <t>MA: Kids Gloves</t>
  </si>
  <si>
    <t>Kids:  Piano</t>
  </si>
  <si>
    <t>Camps: MVVC</t>
  </si>
  <si>
    <t>Classes: Spartans - Volleyball</t>
  </si>
  <si>
    <t xml:space="preserve"> Cell + Cordless</t>
  </si>
  <si>
    <t>MA: Haggar</t>
  </si>
  <si>
    <t>E: Rental Van, Jax 4-8</t>
  </si>
  <si>
    <t>F; Berlin Orchards: IceCream</t>
  </si>
  <si>
    <t>MA: GAP, SPM</t>
  </si>
  <si>
    <t>F: Dunkin, Springfield, VT</t>
  </si>
  <si>
    <t>Meds: Dentist (Shivani)</t>
  </si>
  <si>
    <t>OTE: Life Insurance - Ohio National - Rahul</t>
  </si>
  <si>
    <t>Ed: Summer Camp - YMCA - ARP (7/17-7/21) - Ice Skating</t>
  </si>
  <si>
    <t>M: Amazon - Beach tent</t>
  </si>
  <si>
    <t>Camps: SkyHwaks Volleball Camp</t>
  </si>
  <si>
    <t>MA: Banana Republic</t>
  </si>
  <si>
    <t>MA: Bennetton : S Formals</t>
  </si>
  <si>
    <t>MA: Kohls : 44-15</t>
  </si>
  <si>
    <t>Phone: Stanacard recharge</t>
  </si>
  <si>
    <t>EET: Ecotarium, Worcester, MA</t>
  </si>
  <si>
    <t>M: Charmin Rolls/Amazon -24 pack</t>
  </si>
  <si>
    <t>Car: Audi - MAF Sensor, Bellingham Imports</t>
  </si>
  <si>
    <t>OTE: Life Insurance - Principal Financial - Rahul</t>
  </si>
  <si>
    <t>Ed: Summer Camp - YMCA - SRP (7/17-7/21) - Ice Skating</t>
  </si>
  <si>
    <t>M: Amazon - klask game</t>
  </si>
  <si>
    <t>Grocery (Amazon) - Goat Protein</t>
  </si>
  <si>
    <t xml:space="preserve">Classes: ChatGPT </t>
  </si>
  <si>
    <t>MA: Tommy Hilfiger</t>
  </si>
  <si>
    <t>F: P&amp;S: Pizza and Grinder</t>
  </si>
  <si>
    <t>M: Hair Cuttery</t>
  </si>
  <si>
    <t>M: VZ iPad case + charge +Screen protector</t>
  </si>
  <si>
    <t>M: Amazon (Lysol Wipes)</t>
  </si>
  <si>
    <t>M: Amazon - Diapers</t>
  </si>
  <si>
    <t>Meds: CoPay- Bloodwork</t>
  </si>
  <si>
    <t>F: Qunicy Market : Starbucks</t>
  </si>
  <si>
    <t>Ed: Summer Camp - YMCA - ARP (7/24-7/28) - Swimming</t>
  </si>
  <si>
    <t>G: TJX (Swati Tiwari's son)</t>
  </si>
  <si>
    <t>M: Ticket to Ride App</t>
  </si>
  <si>
    <t>MA: Ohiulai Sandals - 70</t>
  </si>
  <si>
    <t>Grocery (Amazon) - Collagen</t>
  </si>
  <si>
    <t>EET: Trip to Tahoe</t>
  </si>
  <si>
    <t>Brite Start Bone Broth - Beef + Black Truffle &amp; Rosemary - 12 Count - Keto Friendly Concentrate Packed with 16g Collagen 20g Paleo Protein -Made from Grass Fed Beef Bones- Single Serve Packets</t>
  </si>
  <si>
    <t>Movie (Devdas)</t>
  </si>
  <si>
    <t>G: Tommy Hilfiger</t>
  </si>
  <si>
    <t>M: Cleaning Brush</t>
  </si>
  <si>
    <t>G: Ananya's Bday (dress: TJM)</t>
  </si>
  <si>
    <t>Grocery: Amazon - Toothpaste</t>
  </si>
  <si>
    <t>EET: Entrance fee to Ipswich River Wild Life Santuary</t>
  </si>
  <si>
    <t>F: Qunicy Market: Gourmet India</t>
  </si>
  <si>
    <t>Ed: Summer Camp - YMCA - SRP (7/24-7/28) - Swimming</t>
  </si>
  <si>
    <t>F: Yogurtland - SJ - Sara's CAASPP celebration</t>
  </si>
  <si>
    <t>Grocery (Amazon) - Lakanto Brownie Mix</t>
  </si>
  <si>
    <t>MA: Sandals - 40</t>
  </si>
  <si>
    <t>Grocery (Amazon) - Jerkey Sticks  20 x 2 + 24 =  64 (-37 for messed up dfelivery)</t>
  </si>
  <si>
    <t>Grocery (Safeaway)</t>
  </si>
  <si>
    <t>EET: AirTickets</t>
  </si>
  <si>
    <t>Coastal Gourmet Sardines in Water- No Salt Added 4.375 oz. (Pack of 12) (Packaging May Vary)</t>
  </si>
  <si>
    <t>Whale Watching</t>
  </si>
  <si>
    <t>G: Geoffrey Geene</t>
  </si>
  <si>
    <t>F: WalMart</t>
  </si>
  <si>
    <t>M: CVS (Grocery)</t>
  </si>
  <si>
    <t>Car: Ernies car wash</t>
  </si>
  <si>
    <t>M: TRUS (Batteries)</t>
  </si>
  <si>
    <t>Grocery: Amazon Washing Detergent</t>
  </si>
  <si>
    <t>MA: Dick's T-shirts for Sara</t>
  </si>
  <si>
    <t>EET: Singing Beach - Manchester-by-the Sea</t>
  </si>
  <si>
    <t>F: Qunicy Market: BBQ</t>
  </si>
  <si>
    <t>F: Junicy Burgers - SJ (3x Hot Dogs)</t>
  </si>
  <si>
    <t>Grocery (Amazon) - Kay's </t>
  </si>
  <si>
    <t>F: Momo Truck</t>
  </si>
  <si>
    <t>Grocery (Amazon) - Almond Butter Powder</t>
  </si>
  <si>
    <t>Accomodation</t>
  </si>
  <si>
    <t>Santa Clara Whole Foods Market purchase</t>
  </si>
  <si>
    <t>Food (Cruise)</t>
  </si>
  <si>
    <t>MA: TimberLand</t>
  </si>
  <si>
    <t>M:Postage for EMC GC</t>
  </si>
  <si>
    <t>G: Ananya, TJM</t>
  </si>
  <si>
    <t>F: Bollywood Grill (31+8)</t>
  </si>
  <si>
    <t>M: Pampers (Amazon)</t>
  </si>
  <si>
    <t>G: Wine for Kaushik/Anjali's barbeque</t>
  </si>
  <si>
    <t>MA: The Children's Place (Sara)</t>
  </si>
  <si>
    <t>Grocery: Amazon- Dish Washing</t>
  </si>
  <si>
    <t>Meds: Sports Med Doc</t>
  </si>
  <si>
    <t>F: Ice Cream, Manhester-by-the Sea</t>
  </si>
  <si>
    <t>F: Quincy Market: Hot dog</t>
  </si>
  <si>
    <t>EET: Drive-in - Jurassic World</t>
  </si>
  <si>
    <t>M: Amazon - Kids gloves</t>
  </si>
  <si>
    <t>Grocery (Amazon) - Ginger Juice</t>
  </si>
  <si>
    <t>Grocery (Amazon) - CashewButter Powder</t>
  </si>
  <si>
    <t>Grocerry (IG)</t>
  </si>
  <si>
    <t>Hotel Beckett + 299 Penalty</t>
  </si>
  <si>
    <t>Dove Body Wash Purely Pampering 450 ML, 3-Pack</t>
  </si>
  <si>
    <t>Car Parking</t>
  </si>
  <si>
    <t>MA: Levi's</t>
  </si>
  <si>
    <t>M: Camera Cover</t>
  </si>
  <si>
    <t>Car: Parking (Logan)</t>
  </si>
  <si>
    <t>Grocery: Amazon - Toilet paper</t>
  </si>
  <si>
    <t>EET: Cliff Walk, Newport, RI</t>
  </si>
  <si>
    <t>M: Christmas Ornament</t>
  </si>
  <si>
    <t>EET: Spiderman Far From Home</t>
  </si>
  <si>
    <t>Grocery (Amazon) - Pellegrine Sparkling Water</t>
  </si>
  <si>
    <t>Grocery (Amazon) - Psyllium Husk</t>
  </si>
  <si>
    <t>Grocery (Amazon) Chocolate Chips</t>
  </si>
  <si>
    <t>Always Radiant Feminine Pads for Women, Flexfoam Pads with Wings, Size 2, Heavy Absorbency, Lightly Scented, 36 Count (Packaging May Vary)</t>
  </si>
  <si>
    <t>F: Village Café, Wrentham</t>
  </si>
  <si>
    <t>E: POTC 2, SPM (Fri Jul 7)</t>
  </si>
  <si>
    <t>M: iRiver FM Trasmitter : 2 : Woot</t>
  </si>
  <si>
    <t>M: NAS Drive: Seagate.com</t>
  </si>
  <si>
    <t>EET: Movies: Toy Story 3</t>
  </si>
  <si>
    <t>Parking: Cliff Walk, Newport, RI</t>
  </si>
  <si>
    <t>MA: Boston T-shirt, Quincy Market</t>
  </si>
  <si>
    <t>MK: Amazon - Microwave</t>
  </si>
  <si>
    <t>Grocery (Amazon) - Lupin chips</t>
  </si>
  <si>
    <t>TiTifield U Shape Garden Stakes 50 Packs 4 Inch 11 Gauge Irrigation Tubing Stakes, Heavy Duty Galvanized Landscape Staples for Tube, Lawns, Landscape Fabrics,Irrigation Hose and Weed Barriers</t>
  </si>
  <si>
    <t>Kamal's B'day (Cheque to Sooraj)</t>
  </si>
  <si>
    <t>M: Misc TJ max (Swimsuits + BP)</t>
  </si>
  <si>
    <t>MA: Bass T Shirts</t>
  </si>
  <si>
    <t>F: DD, Bristol, CT</t>
  </si>
  <si>
    <t>MH: Target</t>
  </si>
  <si>
    <t>EET: Movies: She is out of my league</t>
  </si>
  <si>
    <t>M: Harsha Bhogle's Book (2)</t>
  </si>
  <si>
    <t>EET: Westboro Beach</t>
  </si>
  <si>
    <t>F:Easton Snack Bar, Easton Beach, Newport, RI</t>
  </si>
  <si>
    <t xml:space="preserve">Car: Parking </t>
  </si>
  <si>
    <t>G: Marshall's (Veena)</t>
  </si>
  <si>
    <t>EET: San Francisco Day Trip - Ghirardelli Square - Pier 39</t>
  </si>
  <si>
    <t>M (Amazon) - AirPods Case</t>
  </si>
  <si>
    <t>MA: Amazon - Orthototic Sandals - 55</t>
  </si>
  <si>
    <t>Grocery (Amazon) - King Oscar- Kipper Cannced</t>
  </si>
  <si>
    <t>M: Amazon - BioFreeze</t>
  </si>
  <si>
    <t>Rain Bird FE20-25SX Drip Irrigation 2 Gallon Per Hour Flag Dripper/Emitter, 25-Pack</t>
  </si>
  <si>
    <t>Food (Dunkin Donuts)</t>
  </si>
  <si>
    <t>E: Terminator 3</t>
  </si>
  <si>
    <t>M: lowes</t>
  </si>
  <si>
    <t>MA: Parking</t>
  </si>
  <si>
    <t>M: SD Card Reader</t>
  </si>
  <si>
    <t>F: Karabaz, Jacksonville, MA</t>
  </si>
  <si>
    <t xml:space="preserve">M: Sara's Birth Certificate </t>
  </si>
  <si>
    <t>F: Subway, Hudson, MA</t>
  </si>
  <si>
    <t>Car: Marlboro Nissan Oil Change</t>
  </si>
  <si>
    <t>EET: Boston Commons, Parkway</t>
  </si>
  <si>
    <t>G: Whole Foods (Pastries - Veena)</t>
  </si>
  <si>
    <t>Car: Parking - Street</t>
  </si>
  <si>
    <t xml:space="preserve">M: AAA </t>
  </si>
  <si>
    <t>M: Amazon - USB Switch</t>
  </si>
  <si>
    <t>MA: Amazon - Orthototic support</t>
  </si>
  <si>
    <t>Groceery (GO)</t>
  </si>
  <si>
    <t>Dr. Scholl's ODOR-X ULTRA ODOR-FIGHTING POWDER SPRAY, 4.7 oz // Destroys Odors Instantly - All-Day Odor Protection - Freshens Feet &amp; Shoes</t>
  </si>
  <si>
    <t>Grocery - (Stop n Shop)</t>
  </si>
  <si>
    <t>M: Pooja Dakshina</t>
  </si>
  <si>
    <t>M: Bath and Body Works: Aromatherapy</t>
  </si>
  <si>
    <t>E: Sea World : Orlando, FL</t>
  </si>
  <si>
    <t>MH: Wamart</t>
  </si>
  <si>
    <t>F: IceCream: Davis Farmland</t>
  </si>
  <si>
    <t>F: Ice Cream, Boston Commons</t>
  </si>
  <si>
    <t>EET: Berlin Trail</t>
  </si>
  <si>
    <t>MA: Lids</t>
  </si>
  <si>
    <t>F: Ghirardelli - Hot Chocolate</t>
  </si>
  <si>
    <t>MA: Nike - Shoes</t>
  </si>
  <si>
    <t>MA: Amazon - Gym Polo</t>
  </si>
  <si>
    <t>MA: BR - Sports Coat</t>
  </si>
  <si>
    <t>Uber</t>
  </si>
  <si>
    <t>Band-Aid Brand Antiseptic Cleansing Liquid, First Aid Antiseptic Wash Relieves Pain &amp; Kills Germs, with Benzalkonium Cl Wound Antiseptic &amp; Lidocaine HCl Topical Analgesic, 6 fl. oz</t>
  </si>
  <si>
    <t>F: Bhindi Bazaar</t>
  </si>
  <si>
    <t>M: Lowes Washer/Dryer</t>
  </si>
  <si>
    <t>MA: Express Men</t>
  </si>
  <si>
    <t xml:space="preserve">G: Ananya </t>
  </si>
  <si>
    <t>F: Soda + Chips, Sea World</t>
  </si>
  <si>
    <t>KM: Graco Sweet Peace, Swing</t>
  </si>
  <si>
    <t>Car: Parking, Boston Commons</t>
  </si>
  <si>
    <t>Grocery (Amazon - Cereals)</t>
  </si>
  <si>
    <t xml:space="preserve">MA: Walmart </t>
  </si>
  <si>
    <t>F: Krispy Kreme Donuts - Fisherman's Wharf</t>
  </si>
  <si>
    <t>F: Caramel Apple - Grand Mall Milpitas</t>
  </si>
  <si>
    <t>Grocery (Amazon)- Crest Mouthwash</t>
  </si>
  <si>
    <t>EET: Seaside Cliff Beach, Aptos, CA</t>
  </si>
  <si>
    <t>Grocery (Amazon) - Honey Bunches of Oats</t>
  </si>
  <si>
    <t>Grocery (Amazon) - Carob Kibble</t>
  </si>
  <si>
    <t>BleedStop™ First Aid Powder for Blood Clotting, Trauma Kit, Blood Thinner Patients, Camping Safety, and Survival Equipment for Moderate to Severe Bleeding Wounds or Nosebleeds - 4 (15g) Pouches</t>
  </si>
  <si>
    <t>Att phone Bill</t>
  </si>
  <si>
    <t>G: Earrings for Mom (KP)</t>
  </si>
  <si>
    <t>M: TJMaxx Painting</t>
  </si>
  <si>
    <t>MA: Express Women</t>
  </si>
  <si>
    <t>M: Walmart: Threads Etc</t>
  </si>
  <si>
    <t>F: Sea World, Lunch</t>
  </si>
  <si>
    <t>M: TJX : Sara's Tent</t>
  </si>
  <si>
    <t>EET: Merry go round, Boston Commons</t>
  </si>
  <si>
    <t>M: Amazon -Sunscreen</t>
  </si>
  <si>
    <t>G: Rota Spring Farms</t>
  </si>
  <si>
    <t>F: Coldstone - Great Mall Milpitas</t>
  </si>
  <si>
    <t>Grocery (Amazon) - Trash bags</t>
  </si>
  <si>
    <t>EET: Forest of Nlisen, Aptos, CA</t>
  </si>
  <si>
    <t>Grocery (Amazon) - Quinoa and Chia</t>
  </si>
  <si>
    <t>Groceery (Amazon) - Toasted Hemp</t>
  </si>
  <si>
    <t>Always Radiant Feminine Pads for Women, Flexfoam Pads with Wings, Size 2, Heavy Absorbency, Lightly Scented, 36 Count (Packaging May Vary) (2)</t>
  </si>
  <si>
    <t>M: Bed Bath &amp; Beyond</t>
  </si>
  <si>
    <t>Gift : Rasa</t>
  </si>
  <si>
    <t>F: BK, on way to Miami</t>
  </si>
  <si>
    <t>MA: GAP.com (Jeans (2): S) (-16)</t>
  </si>
  <si>
    <t>G: Chocolatas (Hershey's Nuggets: Walmart)</t>
  </si>
  <si>
    <t>M: Combs etc</t>
  </si>
  <si>
    <t>EET: Kimball Farms, Bumper Boats + Mini Golf (Aajob, Baba, Sara)</t>
  </si>
  <si>
    <t>M: Amazon - Sara's Jacket</t>
  </si>
  <si>
    <t>G: Gift For Pathaks - Amazon</t>
  </si>
  <si>
    <t>Fares: Clipper Card - Whole Foods (3+45)</t>
  </si>
  <si>
    <t>EET: Muir Woods Entrance Fee</t>
  </si>
  <si>
    <t>EET: Muir Wood Parking</t>
  </si>
  <si>
    <t>Grocery (Anazon) - Anatcid</t>
  </si>
  <si>
    <t>Grocery (Amazon) - Wild Planet Tuna</t>
  </si>
  <si>
    <t>M: Amazon - Face Ice Roller</t>
  </si>
  <si>
    <t>Orbit 55200 Pulse Pop-Up Impact Sprinkler Head (6)</t>
  </si>
  <si>
    <t>Grocery  - (India Stores)</t>
  </si>
  <si>
    <t>Food Mall -Chinese</t>
  </si>
  <si>
    <t>M: Mirror Linen N Things</t>
  </si>
  <si>
    <t>E: MBA Books</t>
  </si>
  <si>
    <t>E: Snorkelling + Jet Skiing</t>
  </si>
  <si>
    <t>G: TJM (Ananya)</t>
  </si>
  <si>
    <t>F: Kimball Farms (food + Ice Cream)</t>
  </si>
  <si>
    <t>EET: World's End, Hingham, MA</t>
  </si>
  <si>
    <t>M: Amazon - Tennis Raquet</t>
  </si>
  <si>
    <t>Fares: Clipper Card - Monthly Pass</t>
  </si>
  <si>
    <t>EET: Muir Woods Visitor Center</t>
  </si>
  <si>
    <t>M: Amazon - Qi Charger- Anker</t>
  </si>
  <si>
    <t>MA: Express - Sports Coat</t>
  </si>
  <si>
    <t>Pet-Boarding (Skittles) - Rover</t>
  </si>
  <si>
    <t>CELSIUS Sparkling Tropical Vibe, Functional Essential Energy Drink 12 Fl Oz (Pack of 12)</t>
  </si>
  <si>
    <t>Movie ( Road To Perdition)</t>
  </si>
  <si>
    <t>M: Target Bean Bag</t>
  </si>
  <si>
    <t>F: Woodlands,CT</t>
  </si>
  <si>
    <t>F: Café Med, Miami, FL</t>
  </si>
  <si>
    <t>M: Haircut : Haircuttery</t>
  </si>
  <si>
    <t>MA: TJX Ret -14</t>
  </si>
  <si>
    <t>GrocerY (BJs)</t>
  </si>
  <si>
    <t>G: Mira</t>
  </si>
  <si>
    <t>EET: Nantasket Beach, Hull, MA</t>
  </si>
  <si>
    <t>Car: Audi sold to Garage in Clinton, MA for 1000</t>
  </si>
  <si>
    <t>Grocery (IG - Madras Groceries)</t>
  </si>
  <si>
    <t>M: Amazon - Qi Charger- RAVPower</t>
  </si>
  <si>
    <t xml:space="preserve">MA: Burlington Coat Factory </t>
  </si>
  <si>
    <t>Grocery (Amazon) - Crushed Red Pepper</t>
  </si>
  <si>
    <t>L'Oreal Paris Elvive Dream Lengths Shampoo and Conditioner Kit, Paraben Free, 1 kit</t>
  </si>
  <si>
    <t>Payment to Student loan</t>
  </si>
  <si>
    <t>MG: Shirts, Kohls</t>
  </si>
  <si>
    <t>M: Target , Incense, Altoids</t>
  </si>
  <si>
    <t>E: Sarkar, CT</t>
  </si>
  <si>
    <t>F: Little Havana, Miami, FL</t>
  </si>
  <si>
    <t>F: auburn Mall: Master Wok</t>
  </si>
  <si>
    <t>M: Amazon (Charmin rolls)</t>
  </si>
  <si>
    <t>Car: Parking: Worlds End</t>
  </si>
  <si>
    <t xml:space="preserve">F: Quattro - Shivani's team lunch </t>
  </si>
  <si>
    <t>Home: Garage Door Opener Remote</t>
  </si>
  <si>
    <t>G: Toy Microwave - Amazon  - Esha P.</t>
  </si>
  <si>
    <t>M: Bark</t>
  </si>
  <si>
    <t>Brite Start Bone Broth - Beef + Mushrooms - Porcini, Shitake, Lion's Mane - 4 Count - Keto Friendly Concentrate - 16g Collagen 20g Protein -Made from Grass Fed Beef Bones- Single Serve Packets</t>
  </si>
  <si>
    <t>M: Kohls (orig - 133) NH</t>
  </si>
  <si>
    <t>Grocery : IG Shrewsbury</t>
  </si>
  <si>
    <t>MK: Grill, Home Depot</t>
  </si>
  <si>
    <t>F: BK, Strawberry Smoothie</t>
  </si>
  <si>
    <t>F: IG Store, Framingham</t>
  </si>
  <si>
    <t>F: DD, Nantasket Beach</t>
  </si>
  <si>
    <t>M: USPS Change of Addresss</t>
  </si>
  <si>
    <t xml:space="preserve">MA: Amazon: Active Polo </t>
  </si>
  <si>
    <t>Pet-Food (Amazon) - Kibble</t>
  </si>
  <si>
    <t>MA: Amazon - Incai Slippers Mesn</t>
  </si>
  <si>
    <t>AXE Apollo Body Spray Deodorant for Long-Lasting Odor Protection, Sage &amp; Cedarwood Deodorant for Men Formulated Without Aluminum 4 Ounce (Pack of 4)</t>
  </si>
  <si>
    <t>Certified Check</t>
  </si>
  <si>
    <t>MG: VS</t>
  </si>
  <si>
    <t>Gift : Rasa, Marriage</t>
  </si>
  <si>
    <t>M: Home Depot</t>
  </si>
  <si>
    <t>F: Dinner, Indian Take out, JAX</t>
  </si>
  <si>
    <t>MH: Dresser, Rt62 Consignment</t>
  </si>
  <si>
    <t>MA: Walmart Ret -10</t>
  </si>
  <si>
    <t>M: Amazon: Bidet Shower</t>
  </si>
  <si>
    <t>Kids: Taekwondo Test ( Orange and Yellow Senior Promotion)</t>
  </si>
  <si>
    <t>Pet-Food (Amazon) - Fruitables</t>
  </si>
  <si>
    <t>F: Yunghei - SLT</t>
  </si>
  <si>
    <t>Durelife Allulose sweetener, 10 lb 100% Pure No Erythritol powdered Sugar Substitute, NON-GMO Project Verified, Keto Certified, OU kosher, No Fillers, Zero Calories sugar alternative 10 Lbs</t>
  </si>
  <si>
    <t>Photos For Passport</t>
  </si>
  <si>
    <t>M: VS (Apparel)</t>
  </si>
  <si>
    <t>MK: Walmart: Grill Stuff</t>
  </si>
  <si>
    <t>F: Starbucks, JAX airport</t>
  </si>
  <si>
    <t>M: Cleanin Supplies, WalMart</t>
  </si>
  <si>
    <t>Meds: Docs CoPay</t>
  </si>
  <si>
    <t>F: Sullivans (Castle Island)</t>
  </si>
  <si>
    <t>G: GC for Kathy Gatos from Wegmans</t>
  </si>
  <si>
    <t>M: Amazon: Blackboard Sticker</t>
  </si>
  <si>
    <t>MA: Nike Shoes for Sara</t>
  </si>
  <si>
    <t>M: Amazon - Wifi Extender</t>
  </si>
  <si>
    <t xml:space="preserve">F: Chewy </t>
  </si>
  <si>
    <t>YSAGi Non-Slip Leather Desk Pad L Size, Waterproof Laptop Computer Desk Keyboard Mat, Table Protector Blotter Mat, Large Mouse Pad for Office/Work/Home/Decor(Olive Green, 35.4\" x 17\")</t>
  </si>
  <si>
    <t>MG: WalMart -Chocolates</t>
  </si>
  <si>
    <t>M: Crate &amp; Barrel, vases</t>
  </si>
  <si>
    <t>G: Scarp Book : Walmart</t>
  </si>
  <si>
    <t>T: Logan Express</t>
  </si>
  <si>
    <t>T: subway Tickets</t>
  </si>
  <si>
    <t>Meds: Acetaminophen, Walgreen</t>
  </si>
  <si>
    <t>Meds: Crestor: Medco</t>
  </si>
  <si>
    <t>F: Kebab Factory</t>
  </si>
  <si>
    <t>G: The Paper Store - Mira and Arin</t>
  </si>
  <si>
    <t>M: Amazon: Plunger</t>
  </si>
  <si>
    <t>Grocery (Magic Spoon) - 39</t>
  </si>
  <si>
    <t>MA: Amazon  - UA T-shirt</t>
  </si>
  <si>
    <t>F: Petco</t>
  </si>
  <si>
    <t>Prego Traditional No Sugar Added Pasta Sauce, 23.5 Oz Jar</t>
  </si>
  <si>
    <t>Certified Check to IC, NY</t>
  </si>
  <si>
    <t>T: Cab to Auburn St from Logan Ex</t>
  </si>
  <si>
    <t>EET: Street Entertainment, Quincy Mkt</t>
  </si>
  <si>
    <t>F: Mango: Shivani</t>
  </si>
  <si>
    <t>G: Barnes and Noble (Adi)</t>
  </si>
  <si>
    <t>Fess: 401K Rebalancing</t>
  </si>
  <si>
    <t>Car: Audi Inspection - Fail</t>
  </si>
  <si>
    <t>M: Haircut - Anishka - Supercuts, Northborough, MA</t>
  </si>
  <si>
    <t>M: Amazon: AXE</t>
  </si>
  <si>
    <t>M: Amazon - Dish Rack</t>
  </si>
  <si>
    <t>Kids: Summer Camp: Math Enrichment x 2</t>
  </si>
  <si>
    <t>M: Taekwondo Kicking Target Pads</t>
  </si>
  <si>
    <t>EET: Andersen Bikibng</t>
  </si>
  <si>
    <t>Pace Cilantro Jalapeno Lime Signature Sauce, 10.4 oz</t>
  </si>
  <si>
    <t>Grocery -(India Stores)</t>
  </si>
  <si>
    <t>M: Flowers Pier 1</t>
  </si>
  <si>
    <t>Med: Orthopedic Visit on July 13th</t>
  </si>
  <si>
    <t>T: Car Rental to Newark on the 4th</t>
  </si>
  <si>
    <t>F: Lemonade</t>
  </si>
  <si>
    <t>M: Sburt Bees</t>
  </si>
  <si>
    <t>MA: GAP (gift from Baba -18)</t>
  </si>
  <si>
    <t>M: Activity books for Sara (DT)</t>
  </si>
  <si>
    <t>Grocery (Amazon - Toilet Rolls)</t>
  </si>
  <si>
    <t>Internet: Amazon - Arris SB6183 Cable Model</t>
  </si>
  <si>
    <t>MA: Amazon: UA T-shirt</t>
  </si>
  <si>
    <t>G: Shower Stool for Baba</t>
  </si>
  <si>
    <t>Kids: Summer Camp: Karate</t>
  </si>
  <si>
    <t>M: Amazon - Gridldle, Press</t>
  </si>
  <si>
    <t>Car: Parking: Ghirardelli Square</t>
  </si>
  <si>
    <t xml:space="preserve">MA: Amazon - UA </t>
  </si>
  <si>
    <t>F: Ice Cream - Fallen Leaf Campground</t>
  </si>
  <si>
    <t>Biofreeze Overnight Pain Relief Roll-On, Arthritis Pain Reliver, Knee &amp; Lower Back Pain Relief, Sore Muscle Relief, Lavender Scent, FSA Eligible, 2.5 FL OZ Biofreeze Menthol Roll-On</t>
  </si>
  <si>
    <t>Dinner (Mall)</t>
  </si>
  <si>
    <t>MG: Eddie Bauer</t>
  </si>
  <si>
    <t>G: Rasa &amp; Andrea</t>
  </si>
  <si>
    <t>Grocery (Chapatis)</t>
  </si>
  <si>
    <t>Gifts: Misc : Job Lot</t>
  </si>
  <si>
    <t>F: Kebab Place</t>
  </si>
  <si>
    <t>MA: Dicks Sporting Goods</t>
  </si>
  <si>
    <t>Car: Parking : BCM ( Childrens museum)</t>
  </si>
  <si>
    <t>Car: EZPass</t>
  </si>
  <si>
    <t>Grocery (Diapers, Fruits - Walmart)</t>
  </si>
  <si>
    <t>F: Rangzen, Tibetan Restaurant - Cambridge</t>
  </si>
  <si>
    <t>Grocery (Amazon): Nescafe</t>
  </si>
  <si>
    <t>Grocery (Grocery Outlet) - 5x Quest Bars</t>
  </si>
  <si>
    <t>Grocery (Target) Shampoos</t>
  </si>
  <si>
    <t xml:space="preserve">F: Ghirardelli </t>
  </si>
  <si>
    <t>Grocery (Amazon) - Combo Protein Powders</t>
  </si>
  <si>
    <t>F: Fire + Ice</t>
  </si>
  <si>
    <t>Honey Nut Cheerios Heart Healthy Breakfast Cereal, Gluten Free Cereal With Whole Grain Oats, Value Bag, 32 oz</t>
  </si>
  <si>
    <t>Printer Cartridge</t>
  </si>
  <si>
    <t>M: EMS</t>
  </si>
  <si>
    <t>M: Fish + Fish Food</t>
  </si>
  <si>
    <t>Grocery (Job Lot)</t>
  </si>
  <si>
    <t>G: Kebab Place, Lunch, Shailja</t>
  </si>
  <si>
    <t>MA: Marshall's: Mambo</t>
  </si>
  <si>
    <t>F: Cookies, Mil, Soda, BCM</t>
  </si>
  <si>
    <t xml:space="preserve">Grocery (Amazon) - Cereal </t>
  </si>
  <si>
    <t>MA: MIT Coop</t>
  </si>
  <si>
    <t>Grocery (Amazon): Bounty</t>
  </si>
  <si>
    <t>EET: The Lion King - Fandango for July 19th</t>
  </si>
  <si>
    <t>G: Ghirardelli</t>
  </si>
  <si>
    <t>Grocery (Amazon) - Casein Powder</t>
  </si>
  <si>
    <t>EET: Parasailing</t>
  </si>
  <si>
    <t>NAMANNA Pure Monk Fruit Sweetener No Erythritol-Zero Calorie Sugar Substitute, Zero Carb, Natural Sweetener From Monk Fruit Extract, Great For Coffee (6)</t>
  </si>
  <si>
    <t>M: Michael Florists</t>
  </si>
  <si>
    <t>G: Wine - Andrea</t>
  </si>
  <si>
    <t>G: Lunch for Champak</t>
  </si>
  <si>
    <t>E: Mini Golf: Mulligans: Shibu Won a Free Game</t>
  </si>
  <si>
    <t>M: BRUS: Car Seat accessories Ret -6</t>
  </si>
  <si>
    <t>F: Au Bon Pain, BCM</t>
  </si>
  <si>
    <t>F: Mayuri -Shivani</t>
  </si>
  <si>
    <t xml:space="preserve">Kids: Collins Art Work - Extended </t>
  </si>
  <si>
    <t>Grocery (Amazon): Ziploc Bags</t>
  </si>
  <si>
    <t>Pet-Misc (Amazon) - Pet seat delt</t>
  </si>
  <si>
    <t>Grocery (Aamzon ) - Broth</t>
  </si>
  <si>
    <t>AXE Fine Fragrance Collection Premium Body Spray Purple Patchouli with Citrus + Oak Essential Oils 3 Count with 72H Odor Protection Aluminum-Free 4 oz</t>
  </si>
  <si>
    <t>MG : Payless (Purse)</t>
  </si>
  <si>
    <t>M: Postage for Rebates</t>
  </si>
  <si>
    <t>E: Mini Golf</t>
  </si>
  <si>
    <t>F: FL trip</t>
  </si>
  <si>
    <t>Fees: 6d Certificate</t>
  </si>
  <si>
    <t xml:space="preserve">M: BRUS: Car Seat accessories </t>
  </si>
  <si>
    <t>M: Diapers (Amazon)</t>
  </si>
  <si>
    <t>EET: Swimming 1:1 classes for Sara 15x20</t>
  </si>
  <si>
    <t>M: SugarSync  - Cloud Storage</t>
  </si>
  <si>
    <t>Grocery (Amazon): Charmin</t>
  </si>
  <si>
    <t>G: Amazon - NJ</t>
  </si>
  <si>
    <t>MK: Lowe's - LG Refriegerator</t>
  </si>
  <si>
    <t>MA: Amazon - Fitflop Shoes</t>
  </si>
  <si>
    <t>F: Poki Rok</t>
  </si>
  <si>
    <t>Biofreeze Roll On Pain Relief for Knee, Neck, Hip, Joint, Shoulder, &amp; Simple Backache, Arthritis Pain Reliever, Sore Muscle Relief, Roll On Menthol Gel 3 Fl Oz (Pack of 3)</t>
  </si>
  <si>
    <t>Grocery-(Stop n Shop)</t>
  </si>
  <si>
    <t>M: Payless (Sandals)</t>
  </si>
  <si>
    <t>M: Roll Procesing EMC</t>
  </si>
  <si>
    <t>E: Canoeing, Hopkinton SP</t>
  </si>
  <si>
    <t>Parking Logan (Picked up Aai-Baba)</t>
  </si>
  <si>
    <t>G: Tom's b'day</t>
  </si>
  <si>
    <t>G: TRUS: Arin's B'day</t>
  </si>
  <si>
    <t>Grocery (Mutton/Chicken: Burlington)</t>
  </si>
  <si>
    <t>G: Arin's bday: B&amp;N gc</t>
  </si>
  <si>
    <t>G: NJ</t>
  </si>
  <si>
    <t>MK: WestBoro Tennis Club Camp</t>
  </si>
  <si>
    <t>Grocery (Target) - Paper Roll</t>
  </si>
  <si>
    <t>F: 110 Grill, Berlin, MA</t>
  </si>
  <si>
    <t>Grocery (Amazon):   Mac &amp; Cheese</t>
  </si>
  <si>
    <t>MH: Home Depot - Mulch</t>
  </si>
  <si>
    <t>F: Gott's Restaurant</t>
  </si>
  <si>
    <t>Grocery (Amazon) - Quest Chips</t>
  </si>
  <si>
    <t>F: Slicxe by the Seirra</t>
  </si>
  <si>
    <t>L'Oreal Paris Thickening Sulfate Free Shampoo and Conditioner, Thickens + Strengthens Thin, Fragile Hair, EverPure, 1 Hair Care Kit</t>
  </si>
  <si>
    <t>Cabin in New Hampshire</t>
  </si>
  <si>
    <t>Food-Lunch, Cape Cod</t>
  </si>
  <si>
    <t>M: TJMaxx Ganpati, Pillow</t>
  </si>
  <si>
    <t>M: US Visa Apt, Ottawa, Canada</t>
  </si>
  <si>
    <t>Meds: CVS Cortisone Ointment</t>
  </si>
  <si>
    <t>Gas : Florida Trip</t>
  </si>
  <si>
    <t>Grocery (Whey Protein Isolate)</t>
  </si>
  <si>
    <t>M: Roku</t>
  </si>
  <si>
    <t>G: NJ (TJ Maxx)</t>
  </si>
  <si>
    <t>MK: WestBoro Tennis Club Membership</t>
  </si>
  <si>
    <t>F: Pizza</t>
  </si>
  <si>
    <t>G: 110 Grill, Berlin, MA (Kathy, Jimmy)</t>
  </si>
  <si>
    <t>Grocery (Jet): Orgain</t>
  </si>
  <si>
    <t>Grocery (GNC) - Quest Bars 48</t>
  </si>
  <si>
    <t>Grocery (Amazon)- Fresh</t>
  </si>
  <si>
    <t>M: Amazon - SmartScale</t>
  </si>
  <si>
    <t>G: Plushies for Charu</t>
  </si>
  <si>
    <t>F: Insomnia Cookies</t>
  </si>
  <si>
    <t>Anker Desktop Charger, Fast Charging USB C Charger, 112W Max 6-Port Charging Station, for iPhone, iPad, MacBook, Samsung and More (Cable Not Included)</t>
  </si>
  <si>
    <t>Canon Mountain Tramway</t>
  </si>
  <si>
    <t>M: Kohls, Burlington,MA</t>
  </si>
  <si>
    <t>M: Watch Cell</t>
  </si>
  <si>
    <t>T: Cab Fares  + Logan Ex + CR to Newark, NJ</t>
  </si>
  <si>
    <t>EET: Bolt Bus to NYC</t>
  </si>
  <si>
    <t>G: TJM for Aarti</t>
  </si>
  <si>
    <t>M: HDMI Cables</t>
  </si>
  <si>
    <t>House: Repairs: J&amp;J Heating: AC- Freon</t>
  </si>
  <si>
    <t>Grocery (Jet): Organic Ghee</t>
  </si>
  <si>
    <t>G: WalMart- Medicine for Aai</t>
  </si>
  <si>
    <t>M: Ebay - Catan</t>
  </si>
  <si>
    <t>Grocery (Amazon) - Love Fat Bars</t>
  </si>
  <si>
    <t>MA: Amazon - Orthotic Sandals</t>
  </si>
  <si>
    <t>Pet-Misc (Amazon) - Toy Ball slingshot</t>
  </si>
  <si>
    <t>Grocery (Aamzon) - Vanilla Powder</t>
  </si>
  <si>
    <t>EET: A La Carte dinner @ Pope Beach</t>
  </si>
  <si>
    <t>Brawny Tear-A-Square 3-Ply Paper Towels, 8 Triple Rolls = 24 Regular Rolls, Strong, Absorbent, and Durable with 3 Sheet Sizes (Quarter, Half, Full)</t>
  </si>
  <si>
    <t>Movie (K-19)</t>
  </si>
  <si>
    <t>M: Canadian VISA</t>
  </si>
  <si>
    <t>E: Park Fees : Sea World, Orlando</t>
  </si>
  <si>
    <t xml:space="preserve">EET: Zee Marathi </t>
  </si>
  <si>
    <t>M: Amazon Prime Membership</t>
  </si>
  <si>
    <t>F: DD, NJ</t>
  </si>
  <si>
    <t>EET: Davis Farmland - Mira's Birthday</t>
  </si>
  <si>
    <t>Grocery (Jet): Organic Lemon Juice</t>
  </si>
  <si>
    <t>Grocery (Ebay) - Love Fat Bars</t>
  </si>
  <si>
    <t>MA: Amazon - Dresses for Shivani</t>
  </si>
  <si>
    <t xml:space="preserve">Pet-Misc (Amazon) - Belt </t>
  </si>
  <si>
    <t>Grocery (Amazon) - Pasta</t>
  </si>
  <si>
    <t>Garnier Hair Color Nutrisse Ultra Color Nourishing Creme, BR2 Dark Intense Burgundy (Passion Fruit) Red Permanent Hair Dye, 2 Count (Packaging May Vary)</t>
  </si>
  <si>
    <t>Canon Mountain Canoeing</t>
  </si>
  <si>
    <t>M: Nails</t>
  </si>
  <si>
    <t>M: Postage India</t>
  </si>
  <si>
    <t>E: Snorkelling + Jet skiing</t>
  </si>
  <si>
    <t>F: Pizza Party</t>
  </si>
  <si>
    <t>M: USB Wireless Network Adapter</t>
  </si>
  <si>
    <t>M: Walmart : Diapers</t>
  </si>
  <si>
    <t>C/I/Sat: WatchIndia.tv</t>
  </si>
  <si>
    <t>Grocery (Ying Li)</t>
  </si>
  <si>
    <t>M: USPS Postage for EZPass</t>
  </si>
  <si>
    <t>Grocery (Amazon): Bounty Dryer Sheets</t>
  </si>
  <si>
    <t>Car: Benz Collision - Windshield repair</t>
  </si>
  <si>
    <t>F: Fudgery - Pier 39</t>
  </si>
  <si>
    <t>MA: Amazon - Camis for Sara</t>
  </si>
  <si>
    <t>M:Amazon - Compost trash can</t>
  </si>
  <si>
    <t xml:space="preserve">F: Starbucks - Heavenly </t>
  </si>
  <si>
    <t>L'Oreal Paris Elvive Dream Lengths No Haircut Cream Leave In Conditioner, 6.8 fl. oz.</t>
  </si>
  <si>
    <t>Ice Cream</t>
  </si>
  <si>
    <t>MG: Perfume, TJMaxx</t>
  </si>
  <si>
    <t>G: Kamal [Mambo]</t>
  </si>
  <si>
    <t>Gifts : Dharmesh : Chicago Uno</t>
  </si>
  <si>
    <t>Total FL Trip</t>
  </si>
  <si>
    <t>M: Passport Processing</t>
  </si>
  <si>
    <t>C/I/Sat: Cricket Package</t>
  </si>
  <si>
    <t>F: Yoway with Zoo/Koo</t>
  </si>
  <si>
    <t>EET: Assabet Rail Trail - Hudson</t>
  </si>
  <si>
    <t>Move from Clinton, MA to Mountain View, CA</t>
  </si>
  <si>
    <t>M: Amazon: O'Keefe's Foot cream</t>
  </si>
  <si>
    <t>Transportation: Uber - Redwood City to Benz Collision</t>
  </si>
  <si>
    <t>F: Crepes - Pier 39</t>
  </si>
  <si>
    <t>Kids: Opus1 - Violin Trial Class</t>
  </si>
  <si>
    <t>MA: Express - Shirts</t>
  </si>
  <si>
    <t>Grocery (Amazon) - Protein Powder Purely Inspired</t>
  </si>
  <si>
    <t>Grocery (Aamzon) - Bounty</t>
  </si>
  <si>
    <t>Slate Milk - High Protein Drink Mix Powder - Milk Chocolate, 12 Packets - Lactose Free, 20g Protein, 0g Sugar, 100 Calories, 2g Carbs, No Added Sugar - Breakfast Boost - Post Workout - 27g per Stick</t>
  </si>
  <si>
    <t>EET: DishAntenna</t>
  </si>
  <si>
    <t>Grocery : Hannaford, Clinton</t>
  </si>
  <si>
    <t>Grocery (IG: Mutton)</t>
  </si>
  <si>
    <t>M: WalmArt : NutraSweet</t>
  </si>
  <si>
    <t>M: Postage etc</t>
  </si>
  <si>
    <t>EET: Redbox: New Moon</t>
  </si>
  <si>
    <t>Meds: Doc visit (SRP)</t>
  </si>
  <si>
    <t>F: Starbucks - Boston Logan Airport -15</t>
  </si>
  <si>
    <t>M: Amazon: Mythical Pomade</t>
  </si>
  <si>
    <t>MK Amazon- Omlette Maker</t>
  </si>
  <si>
    <t>M: Amazon - Fitness Bands</t>
  </si>
  <si>
    <t>MA: Gap - Jeans</t>
  </si>
  <si>
    <t>Grocery (Instacart) - WalMart</t>
  </si>
  <si>
    <t>Grocery (Aamzon) - L-Carnitine</t>
  </si>
  <si>
    <t>F: In-N-Out</t>
  </si>
  <si>
    <t>Amazon Basic Care Stool Softener Laxative, Docusate Sodium 100 mg, Softgels, For Constipation Relief, 100 Count</t>
  </si>
  <si>
    <t>EET: Twilight</t>
  </si>
  <si>
    <t>Meds: CVS (SRP - Floride)</t>
  </si>
  <si>
    <t>Car: Parking : NJ (Shivani)</t>
  </si>
  <si>
    <t>Car: Car Rental</t>
  </si>
  <si>
    <t>Grocery (Amazon): Aluminium Wrap</t>
  </si>
  <si>
    <t>Grocery (WalmMarT)</t>
  </si>
  <si>
    <t>G: Rakhi Gifts</t>
  </si>
  <si>
    <t>Gifts </t>
  </si>
  <si>
    <t>MA: Amazon - Levi's Jeans</t>
  </si>
  <si>
    <t>EET: Thor Love and Thunder</t>
  </si>
  <si>
    <t>Grocery (Amazon) - Seasoning - Burger + Grilling</t>
  </si>
  <si>
    <t>MA: Amazon - Mens Shirts x 2</t>
  </si>
  <si>
    <t>L'Oreal Paris Elvive Hyaluron Plump Hydrating Conditioner for Dehydrated, Dry Hair Infused with Hyaluronic Acid Care Complex, Paraben-Free, 12.6 Fl Oz (2)</t>
  </si>
  <si>
    <t>Grocery - Sugar</t>
  </si>
  <si>
    <t>E: Legally Blonde 2</t>
  </si>
  <si>
    <t>M: Duct, Home Depot</t>
  </si>
  <si>
    <t>Gifts : ???</t>
  </si>
  <si>
    <t>MA: Apparel : WalMart + Sunglasses (18+5)</t>
  </si>
  <si>
    <t>M: Bulbs: Lowes</t>
  </si>
  <si>
    <t>G: Lunch for Tom</t>
  </si>
  <si>
    <t>G: EET: Twilight</t>
  </si>
  <si>
    <t>G: Mira's birthday, BRUS/TRUS</t>
  </si>
  <si>
    <t>Gas  (Audi)</t>
  </si>
  <si>
    <t>KH: Microwave</t>
  </si>
  <si>
    <t>MA: Amazon (Naturalizer Shoes)</t>
  </si>
  <si>
    <t>G: Walmart - Incontinence underwear for Aai</t>
  </si>
  <si>
    <t>Kids: Education.com</t>
  </si>
  <si>
    <t>MA: Mens Wearhouse - Sports Coat</t>
  </si>
  <si>
    <t>Grocery (Amazon) - Packaging Tape</t>
  </si>
  <si>
    <t>Skyline Chili Canned Chili 15 oz Cans (8-Pack) Authentic Ground Beef Cincinnati Chili with No Beans High-Protein Chili Dog Sauce Hot Dog Chili Coney Sauce Ready to Heat</t>
  </si>
  <si>
    <t>Check To India</t>
  </si>
  <si>
    <t>Grocery (IG, Westboro)</t>
  </si>
  <si>
    <t>M: Pillow</t>
  </si>
  <si>
    <t>E: Grocery (Camping Trip) -5</t>
  </si>
  <si>
    <t>M: Fan Lights : Lowes</t>
  </si>
  <si>
    <t>MA: TJM: Sara's swimsuit</t>
  </si>
  <si>
    <t>F: Prezo Grill</t>
  </si>
  <si>
    <t>KH: Microwave -installation</t>
  </si>
  <si>
    <t>MK: Amazon -Sandwich Maker</t>
  </si>
  <si>
    <t>Grocery (Amazon Frsh)</t>
  </si>
  <si>
    <t>Grocery (Amazon) - Cacao Wafers</t>
  </si>
  <si>
    <t>YAGUAO Colored Index Cards 3x5 Inch Flash Cards with Ring Lined Flashcards Note Cards for Studying School Supplies College, 200 Count (2)</t>
  </si>
  <si>
    <t>M: Idli Cooker</t>
  </si>
  <si>
    <t>Grocery (SnS, westboro)</t>
  </si>
  <si>
    <t>M: Shower holder: Lowes</t>
  </si>
  <si>
    <t>F: Mango</t>
  </si>
  <si>
    <t>Grocery (Protein Powder)</t>
  </si>
  <si>
    <t>G: Rakhi gift: Personalized Photo frame</t>
  </si>
  <si>
    <t>Grocery (Amazon - Cereal)</t>
  </si>
  <si>
    <t>Car: Registration - Altima</t>
  </si>
  <si>
    <t>MK: TJX, Santa Clara</t>
  </si>
  <si>
    <t>Grocery (Amazon) - Tampons/Sanitary Pads</t>
  </si>
  <si>
    <t>Seberson Method: New SAT(R) Vocabulary Workbook: Over 700 High-Frequency Words to Master</t>
  </si>
  <si>
    <t>Pay Check</t>
  </si>
  <si>
    <t>E: Train Tickets New Haven</t>
  </si>
  <si>
    <t>E: Walmart (Camping Trip )</t>
  </si>
  <si>
    <t>F: Smoothies, Fanheuil Hall</t>
  </si>
  <si>
    <t>M: TJX, Santa Clara</t>
  </si>
  <si>
    <t>Grocery (Amazon) - Sparking Water</t>
  </si>
  <si>
    <t>Meds (SnS)</t>
  </si>
  <si>
    <t>G: Himani B'day</t>
  </si>
  <si>
    <t>E: Harry Potter</t>
  </si>
  <si>
    <t xml:space="preserve">F: House of Siam, Boston, MA - PM Team dinner </t>
  </si>
  <si>
    <t>G: TJX, Santa Clara - for Phil/Gazel</t>
  </si>
  <si>
    <t>Fees: Fedex 401K Postage for Vanguard</t>
  </si>
  <si>
    <t>MA: Amazon - UA - Shoes - ARP</t>
  </si>
  <si>
    <t>Grocery (Amazon) - Mulberries</t>
  </si>
  <si>
    <t>M: Amazon - Book Outlive</t>
  </si>
  <si>
    <t>Classes: Chem tutoring</t>
  </si>
  <si>
    <t>Medical (Dentist)</t>
  </si>
  <si>
    <t>MA: Payles, NYC</t>
  </si>
  <si>
    <t>M: Ashland Temple: Prasad</t>
  </si>
  <si>
    <t>Meds: CoPay IUI : 2</t>
  </si>
  <si>
    <t>EET: MoS, Boston  - Day off</t>
  </si>
  <si>
    <t>F: Kimball Farm - Shivani, Sara, Nishkoo</t>
  </si>
  <si>
    <t>EET: Fandango - Bajrang Bhaijaan</t>
  </si>
  <si>
    <t>F: Briyani and Kebab, Sunnyvale</t>
  </si>
  <si>
    <t>MA: Amazon: Naturalizer Shoes</t>
  </si>
  <si>
    <t>MA: Kohls - Anishka's sneakers</t>
  </si>
  <si>
    <t>MA: Amazon - Skechers - Shoes  - RDP</t>
  </si>
  <si>
    <t>M: Amazon - Everything you Need to know series </t>
  </si>
  <si>
    <t>Grocery (Amazon) - Vega Powder</t>
  </si>
  <si>
    <t>Pet-Misc - Amazon - Treats</t>
  </si>
  <si>
    <t>Grocery (Ajika Seasoning) - Rudco</t>
  </si>
  <si>
    <t>E: NYC Subway</t>
  </si>
  <si>
    <t>F: Dinner, Chinese, SPM</t>
  </si>
  <si>
    <t>Grocery (stop n shop)</t>
  </si>
  <si>
    <t>F: Chipotle, Cambridge GalleriaMall</t>
  </si>
  <si>
    <t>EET: Kimball Farms</t>
  </si>
  <si>
    <t>F: Mawa House</t>
  </si>
  <si>
    <t>F: WorldWraps, Santa Clara</t>
  </si>
  <si>
    <t>MA: Amazon - Shivanis's dresses</t>
  </si>
  <si>
    <t>MK: Amazon - Cast Iron Skillet</t>
  </si>
  <si>
    <t>M: Amazon - Yoga Mat</t>
  </si>
  <si>
    <t>M: USPS for FastTrack</t>
  </si>
  <si>
    <t>Pet-Misc - Amazon - Kibbles</t>
  </si>
  <si>
    <t>Classes: Robotics: - USS Hornet - Splashdown Showdown</t>
  </si>
  <si>
    <t>Car Wax , Wash SnD</t>
  </si>
  <si>
    <t>E: Cab</t>
  </si>
  <si>
    <t>E: Camping Trip</t>
  </si>
  <si>
    <t>F: Sepal, Cambridge Galleria Mall</t>
  </si>
  <si>
    <t>M: WalMart (Yuca Plant 2)</t>
  </si>
  <si>
    <t>Grocery (Amazon) - Amazing Grass Powder - Lightning Deal</t>
  </si>
  <si>
    <t>MK: Amazon - Crepe Spreader</t>
  </si>
  <si>
    <t xml:space="preserve">Grocery (GO) </t>
  </si>
  <si>
    <t>M: AAA: IDP</t>
  </si>
  <si>
    <t>Lunch at Chef</t>
  </si>
  <si>
    <t>F: Tea, Honey Dew Donuts, Ludlow Plaza, MA</t>
  </si>
  <si>
    <t>MAK: SteamVac: Amazon</t>
  </si>
  <si>
    <t>F: Froyo, Cambridge Galerria Mall</t>
  </si>
  <si>
    <t>M: Amazon (Towels)</t>
  </si>
  <si>
    <t>M: Amazon - Donut Baking Set</t>
  </si>
  <si>
    <t>MA: Amazon - Belts</t>
  </si>
  <si>
    <t>MA: Amazon - shirts x 2</t>
  </si>
  <si>
    <t>M: Membership BJs</t>
  </si>
  <si>
    <t>Grocery (Shop Rite, Ct)</t>
  </si>
  <si>
    <t>M: Lancaster Flea Market</t>
  </si>
  <si>
    <t xml:space="preserve">F: MoS </t>
  </si>
  <si>
    <t>EET: Redbox - Non-Stop, The LEGO Movie</t>
  </si>
  <si>
    <t>G: Kabir (Vidhi-Anuj) Birthday gift</t>
  </si>
  <si>
    <t>Gorcery ( Nob Hill)</t>
  </si>
  <si>
    <t>M: Amazon (Liners)</t>
  </si>
  <si>
    <t>M: Amazon - Avengers Monopoly</t>
  </si>
  <si>
    <t>M: Amazon - LED Bulb Set</t>
  </si>
  <si>
    <t>M: Amazon - Ankle Braces</t>
  </si>
  <si>
    <t>M: Apple Macbook Pro for Sara</t>
  </si>
  <si>
    <t>F: Lunch Shibu</t>
  </si>
  <si>
    <t>E: Parking, Hammanasett SP, CT</t>
  </si>
  <si>
    <t>MA: Lancaster Flea Market</t>
  </si>
  <si>
    <t>F: Crepes, Natick Mall</t>
  </si>
  <si>
    <t>Car: Parking, Cambridge Galleria Mall</t>
  </si>
  <si>
    <t>M: Haircut (Rahul + Sara)</t>
  </si>
  <si>
    <t>MA: Amazon (Linen Shirt)</t>
  </si>
  <si>
    <t>M: Amazon: Popcorn maker</t>
  </si>
  <si>
    <t>M: Amazon - Minimalistic Men's Wallet</t>
  </si>
  <si>
    <t>M: Printer Cartidge</t>
  </si>
  <si>
    <t>M: Temu - Crap</t>
  </si>
  <si>
    <t>Grocery (GO)"</t>
  </si>
  <si>
    <t>Deposit to ATM</t>
  </si>
  <si>
    <t>M: Hair Cut, Hudson</t>
  </si>
  <si>
    <t>F: Coldstone, Clinton, CT</t>
  </si>
  <si>
    <t>Grocery (target)</t>
  </si>
  <si>
    <t>EET: Explore the Universe show</t>
  </si>
  <si>
    <t>G: Wine - KG</t>
  </si>
  <si>
    <t>Car: 2014 Mercedes ML350 - CPO 14607 miles</t>
  </si>
  <si>
    <t>MA: Dicks' Sporting Goods (UA t-shirt) -27</t>
  </si>
  <si>
    <t>MA: Amazon - Underwear</t>
  </si>
  <si>
    <t>M: Garage Sale : Books + Whitebaord</t>
  </si>
  <si>
    <t>Blockbuster</t>
  </si>
  <si>
    <t>Grocery - WalMart</t>
  </si>
  <si>
    <t>Grocery (SnS, Hudson)</t>
  </si>
  <si>
    <t>Home Maint. : HVAC: Freon Pumping</t>
  </si>
  <si>
    <t>G: TJM, Framingham</t>
  </si>
  <si>
    <t>G: Northboro Liquors: Sooraj's HW</t>
  </si>
  <si>
    <t>Car: Parking, MoS</t>
  </si>
  <si>
    <t>MA: DWS Shoes - Shivani</t>
  </si>
  <si>
    <t>Car: Maintenance Contract</t>
  </si>
  <si>
    <t>M: Macy's BedSheets (Returned) - 44</t>
  </si>
  <si>
    <t>MK: Amazon - Sous Vide</t>
  </si>
  <si>
    <t>MA: Amazon: Polo</t>
  </si>
  <si>
    <t>Grocery (Amazon) - Turmeric</t>
  </si>
  <si>
    <t>MA: Amazon - Olukai Shoes</t>
  </si>
  <si>
    <t>Grocery: SnS</t>
  </si>
  <si>
    <t>OTE: EAD Card (Reim -180)</t>
  </si>
  <si>
    <t>M: Keys, Aubuchon Hardware, Clinton</t>
  </si>
  <si>
    <t>G: CTS: Sooraj's Housewarming</t>
  </si>
  <si>
    <t>M: Amazon - Badger Balm</t>
  </si>
  <si>
    <t>G: Gift Cards - Josh &amp; Pam Nadar, Michaels</t>
  </si>
  <si>
    <t>Car: Extended Warranty</t>
  </si>
  <si>
    <t>Meds: Amazon - Children's Motrin</t>
  </si>
  <si>
    <t>MA: Nike - FlyKnit shoes</t>
  </si>
  <si>
    <t>M : Laundary</t>
  </si>
  <si>
    <t>OTE : Tickets, Virgin Atlantic</t>
  </si>
  <si>
    <t>OTE: Advance Parole (Reim -170)</t>
  </si>
  <si>
    <t>M: Misc Stuff: Claire's</t>
  </si>
  <si>
    <t>G: C&amp;B: Sooraj's Housewarming</t>
  </si>
  <si>
    <t>F: Rota Spring Farm - Ice Cream</t>
  </si>
  <si>
    <t>Car: Dent Reomval Plan</t>
  </si>
  <si>
    <t>Grocery (Walmart): Blender Bottle</t>
  </si>
  <si>
    <t xml:space="preserve">M: Amazon - Under sink organizer </t>
  </si>
  <si>
    <t>F: MegaMarket Sushi x 2</t>
  </si>
  <si>
    <t>MK: Amazon - Hamburger Press</t>
  </si>
  <si>
    <t>Verizon Bill</t>
  </si>
  <si>
    <t>Meds: CVC</t>
  </si>
  <si>
    <t>Car : Oil Change (Audi)</t>
  </si>
  <si>
    <t>EET: MoFA, Boston, EMC Day</t>
  </si>
  <si>
    <t>Grocery (Rota Spring Farm) - Fresh Cucumbers</t>
  </si>
  <si>
    <t>M: Chromecast - 30</t>
  </si>
  <si>
    <t>Car: Permacoat</t>
  </si>
  <si>
    <t>Transportation: UberPool : Work to SF Transit</t>
  </si>
  <si>
    <t>Grocry (TJ)</t>
  </si>
  <si>
    <t>MA: amazon - Oncai Sandals</t>
  </si>
  <si>
    <t>F: IG, Framingham</t>
  </si>
  <si>
    <t>G: Target Baby Stuff</t>
  </si>
  <si>
    <t>F: MoFA</t>
  </si>
  <si>
    <t>EET: Redbox - The Grand Budapest Hotel</t>
  </si>
  <si>
    <t>Car: Nissan Altima - Servicing - 105K</t>
  </si>
  <si>
    <t>Car: Taxes</t>
  </si>
  <si>
    <t>M: Amazon (Resistance Bands)</t>
  </si>
  <si>
    <t>Grocery (Amazon) - Body Wash</t>
  </si>
  <si>
    <t>Grocery (Amazon) - Toothpaste x 8</t>
  </si>
  <si>
    <t>M: Amazon - Floor Fan</t>
  </si>
  <si>
    <t>Grocery (Shaws Burlington)</t>
  </si>
  <si>
    <t>G: AC Mooore</t>
  </si>
  <si>
    <t>Meds: Antacid</t>
  </si>
  <si>
    <t>F: Mayuri  (Shivani)</t>
  </si>
  <si>
    <t>EET - Grocery : Blueberry Picking - Geroge Hill Orchard, Sterling</t>
  </si>
  <si>
    <t>Car: Tires - Altima - NTB, Shrewsbury</t>
  </si>
  <si>
    <t>Grocery (Amazon) - Replishner</t>
  </si>
  <si>
    <t>Grocery (Instacart)- Walmart</t>
  </si>
  <si>
    <t xml:space="preserve">M: Tide Stick, Target </t>
  </si>
  <si>
    <t>Car: Parking: MoFA - Street Parking</t>
  </si>
  <si>
    <t>Car: Wipers - Walmart</t>
  </si>
  <si>
    <t>Kids Ed: Shishubharti - Sara</t>
  </si>
  <si>
    <t>OTE: DCU Fees</t>
  </si>
  <si>
    <t>Grocery (Amazon) - Laundary Detergent</t>
  </si>
  <si>
    <t>Grocery (Amazon) - Shampoo x 4</t>
  </si>
  <si>
    <t>Pet-Misc  (Amazon) - Bags</t>
  </si>
  <si>
    <t xml:space="preserve">Car: Oil Change </t>
  </si>
  <si>
    <t>M: Radioshack, Adapter</t>
  </si>
  <si>
    <t>F: Denny's, Worcester</t>
  </si>
  <si>
    <t>Car: Parking: Kennedy Parkway: Street Parking</t>
  </si>
  <si>
    <t>M: Amazon -Plunger</t>
  </si>
  <si>
    <t>Car: Parking: SFO Airport: Pick up Aai Baba</t>
  </si>
  <si>
    <t>Grocery (Amazon) - Charmin Toilet Rolls 48</t>
  </si>
  <si>
    <t>Grocery (Amazon) - Fabric Softner x 3</t>
  </si>
  <si>
    <t>Pet-Food (Amazon) - Kibbles</t>
  </si>
  <si>
    <t>M: Amazon - Laptop Sleeve for Sara</t>
  </si>
  <si>
    <t>Grocery (Amazon) - Kombucha</t>
  </si>
  <si>
    <t>M: Parking (Logan, Boston)</t>
  </si>
  <si>
    <t>F: Dunkin, Natick Mall</t>
  </si>
  <si>
    <t>Fees: Amazon Prime</t>
  </si>
  <si>
    <t>M: Amazon - Car Seat Covers</t>
  </si>
  <si>
    <t>G: Taj Online - Rakhi</t>
  </si>
  <si>
    <t>Grocery (Amazon) - Cacao Nibs 5Lbs</t>
  </si>
  <si>
    <t>MA: Amazon - Dr.Schol's inserts</t>
  </si>
  <si>
    <t>Grocery (Amazon) - Nivea Shaving Caream</t>
  </si>
  <si>
    <t>Meds: Amazon -Contact Lens SOlution Travel pack x 3</t>
  </si>
  <si>
    <t>M: Printer Cartridge</t>
  </si>
  <si>
    <t>EZ-Pass Fees: EZ-Pass Violations</t>
  </si>
  <si>
    <t>M: Hair Gel - Amazon</t>
  </si>
  <si>
    <t>Grocery (Amazon) - Teddie PB x 3</t>
  </si>
  <si>
    <t>Grocery (Amazon) - Monk Fruit + Erthy</t>
  </si>
  <si>
    <t>Car: Ebay - Glove Box for altima</t>
  </si>
  <si>
    <t>E: BwCinema : TZP</t>
  </si>
  <si>
    <t>Grocery (Amazon) - Toilet Roll, Gummies, Trash</t>
  </si>
  <si>
    <t>MA: New Balance - Shoes - Rahul</t>
  </si>
  <si>
    <t>M: Amazon - Knee and Hip braces</t>
  </si>
  <si>
    <t>MA: Jacket - TNF</t>
  </si>
  <si>
    <t>Grocery (Amazon) - Thai Spice</t>
  </si>
  <si>
    <t>M: Rakhi Gift</t>
  </si>
  <si>
    <t>Car: Audi - Timing Belt, Etc - Bellingham Imports</t>
  </si>
  <si>
    <t>MA: WalMart - Bras</t>
  </si>
  <si>
    <t>M: Amazon - Flat foot pads</t>
  </si>
  <si>
    <t>M: Amazon - Berberine x 4</t>
  </si>
  <si>
    <t>Oil Change (Audi)</t>
  </si>
  <si>
    <t>Car: Registration - RMV - Nissan Altima</t>
  </si>
  <si>
    <t>F: Dunkin, Milford CT Service area</t>
  </si>
  <si>
    <t>EET: Work Trip to NYC for IPO</t>
  </si>
  <si>
    <t>Grocery (Amazon) - Sliced Almonds</t>
  </si>
  <si>
    <t>Meds: Amazon -Contact Lens Solution x 2</t>
  </si>
  <si>
    <t>grocery (Amazon) - Jolko Molk z 2</t>
  </si>
  <si>
    <t>G: Hannaford - Cake for Mehul Mehta</t>
  </si>
  <si>
    <t>F: Sbarro's Pizza, Milford, CT Service area</t>
  </si>
  <si>
    <t>Transportation: CalTrain Parking - Jul</t>
  </si>
  <si>
    <t>Grocery (Amazon) - Kids Gummies</t>
  </si>
  <si>
    <t>EET: Lake Tahoe Trip</t>
  </si>
  <si>
    <t>Grocery (Amazon) - Ziploc Bags</t>
  </si>
  <si>
    <t>M: Parking (Hopkinton Park)</t>
  </si>
  <si>
    <t>Meds: CoPAy</t>
  </si>
  <si>
    <t>EET: Redbox - Zootopia, KungFu Panda 3</t>
  </si>
  <si>
    <t>M: USPS Postage - North Face Return</t>
  </si>
  <si>
    <t>M: Amazon - Car cleaner</t>
  </si>
  <si>
    <t>EET: PostMarc Hotel</t>
  </si>
  <si>
    <t>Grocery (Amazon) - Steel Cut and Old-fashioned Oats</t>
  </si>
  <si>
    <t>F: Sushi  O Sushi</t>
  </si>
  <si>
    <t>Grocery (Amazo n) - Bone Broth Soup x 2</t>
  </si>
  <si>
    <t>Meds: PT Test</t>
  </si>
  <si>
    <t>M: Amazon - Kitchen Weighing Scale</t>
  </si>
  <si>
    <t>C/I/S: Sling TV - Marathi Channels</t>
  </si>
  <si>
    <t>MA: Abercrombie &amp; Fitch - Shirt x 2 - RDP</t>
  </si>
  <si>
    <t xml:space="preserve">Grocery (Trip) - Overall </t>
  </si>
  <si>
    <t>Grocery (Amazon) - Handsoap</t>
  </si>
  <si>
    <t>EET: Movie: Oppenheimer</t>
  </si>
  <si>
    <t>Grocery (Amazon) - hair Color</t>
  </si>
  <si>
    <t>M: Sharper Image (Massager)</t>
  </si>
  <si>
    <t>MA: Target -22</t>
  </si>
  <si>
    <t>G: TRUS: Aarav' Gift</t>
  </si>
  <si>
    <t>G: Stop and Shop, NJ - Amazon GCs</t>
  </si>
  <si>
    <t>F: Café Venue - SFO - SRP Team Lunch -92</t>
  </si>
  <si>
    <t>Grocery (Amazon) - Presto Toilet Rolls</t>
  </si>
  <si>
    <t>Grocery (Amazon) -Cereal x 2</t>
  </si>
  <si>
    <t>M: Parking (Walden Pond)</t>
  </si>
  <si>
    <t>Gas - Trip (Altima) - NJ</t>
  </si>
  <si>
    <t>G: WalMart: Adult Diapers</t>
  </si>
  <si>
    <t>M: Amazon - Hair Color</t>
  </si>
  <si>
    <t>Grocery (Amazon) - Electrolyte x 2</t>
  </si>
  <si>
    <t>Food (Lassi, Burlington, Mall)</t>
  </si>
  <si>
    <t>MA: Target : Gloves</t>
  </si>
  <si>
    <t>F: Tikkaway - New Haven, CT</t>
  </si>
  <si>
    <t>Grocery (Amazon) - O'Keefe</t>
  </si>
  <si>
    <t>MA: Amazon - Masks</t>
  </si>
  <si>
    <t>Grocery (Amazon) -  Deluxe nuts</t>
  </si>
  <si>
    <t>M: Duplicate Keys</t>
  </si>
  <si>
    <t>F: McDonald's - Popcorn, MA Service Plaza</t>
  </si>
  <si>
    <t>M: Grocery Outlet</t>
  </si>
  <si>
    <t xml:space="preserve">EET: Crissy Fields </t>
  </si>
  <si>
    <t>MA: Walmart -Socks</t>
  </si>
  <si>
    <t>MA: REI Vest</t>
  </si>
  <si>
    <t>M: Amazon - File Folders</t>
  </si>
  <si>
    <t>Grocery (Amazon) - SalsA)</t>
  </si>
  <si>
    <t>F: Gelato, Ice Cream - Castro Street, Mountain View</t>
  </si>
  <si>
    <t>Car: Parking - Crissy Fields</t>
  </si>
  <si>
    <t>F: Grocery Outlet</t>
  </si>
  <si>
    <t xml:space="preserve">MA: WalMart - Hanes </t>
  </si>
  <si>
    <t>Grocery (Amazon) - Buffalo Chicken Spice</t>
  </si>
  <si>
    <t>M: Haircut - Great Clips, Palo Alto (Rahul/Shivani)</t>
  </si>
  <si>
    <t>MA: Ross - Belt</t>
  </si>
  <si>
    <t>M: Amazon - Mosquito Repellant Patches</t>
  </si>
  <si>
    <t>Grocery (Amazon) - toothpaste s 2</t>
  </si>
  <si>
    <t>M: Raincoat - Sara -Amazon</t>
  </si>
  <si>
    <t>F: Starbucks - Mountain View</t>
  </si>
  <si>
    <t>F: Safeway (Lunch)</t>
  </si>
  <si>
    <t>M: Amazon - Tripod Stand</t>
  </si>
  <si>
    <t>Grocery (Amazon) - Trash bags x 2</t>
  </si>
  <si>
    <t xml:space="preserve">OTE: Ohio Nationla Life </t>
  </si>
  <si>
    <t>Car: Nissan Altina delivered to Mountain View</t>
  </si>
  <si>
    <t>EET: Anderson Bike Rental x 4</t>
  </si>
  <si>
    <t>Grocery (Amazon) - Peanut Flour + Lupini Flakes</t>
  </si>
  <si>
    <t>Lunch (Shivani, [treat])</t>
  </si>
  <si>
    <t>OTE: Principal LI</t>
  </si>
  <si>
    <t>Car: Smog test Inspection</t>
  </si>
  <si>
    <t>G: Aai - Bhindi Jewellers - 18K White Gold Mangalsutra and Earrings</t>
  </si>
  <si>
    <t>M: Amazon - Car Sun Shield</t>
  </si>
  <si>
    <t>Grocry (TJs)</t>
  </si>
  <si>
    <t>Grocery (Amazon) - Cocoa Stevia</t>
  </si>
  <si>
    <t>G: WalMart: OTC Medicines for Aai Baba</t>
  </si>
  <si>
    <t>MA: Amazon - shoes</t>
  </si>
  <si>
    <t>MK: Amazon - Knives + Kitchen Shears</t>
  </si>
  <si>
    <t>Grocry (IG)</t>
  </si>
  <si>
    <t>G: Rakhi</t>
  </si>
  <si>
    <t>M: Diapers - Walmart</t>
  </si>
  <si>
    <t>CarWash: Altima</t>
  </si>
  <si>
    <t>Car: Parking - Aws Loft - One Front Street</t>
  </si>
  <si>
    <t>Car: Altima - Oil Change + Wipers</t>
  </si>
  <si>
    <t>Grocry (Walmart)</t>
  </si>
  <si>
    <t>Grocery (Amazon) - Button Cells</t>
  </si>
  <si>
    <t>G: BP Monitor CVs Returned(84)</t>
  </si>
  <si>
    <t>Home: Repairs - Clogged toilet</t>
  </si>
  <si>
    <t>EET: Trip to Livermore Temple</t>
  </si>
  <si>
    <t>G: Rakhi Thalis (Amazon) 11 x 3</t>
  </si>
  <si>
    <t>EET: Paddle Boating</t>
  </si>
  <si>
    <t>M: Walmart - Travel</t>
  </si>
  <si>
    <t>Pet-Food - Amazon x 4</t>
  </si>
  <si>
    <t>Grocery (IG, Woburn)</t>
  </si>
  <si>
    <t>M: Car Mirror - Amazon</t>
  </si>
  <si>
    <t>G: Amazon (Hoot Hoot Owl)</t>
  </si>
  <si>
    <t>F: Heidi's - Breakfast</t>
  </si>
  <si>
    <t>MA: Amazon - Womens base layer + Jacket</t>
  </si>
  <si>
    <t>M: Car seat -Amazon</t>
  </si>
  <si>
    <t>G: Amazon (Books) - NJ</t>
  </si>
  <si>
    <t xml:space="preserve">MA: Macy's </t>
  </si>
  <si>
    <t>M: Amazon - Catan</t>
  </si>
  <si>
    <t>M: Amazon - Flosser</t>
  </si>
  <si>
    <t>M: Walmart - Back to school</t>
  </si>
  <si>
    <t>Grocery (Apna Bazaar)</t>
  </si>
  <si>
    <t>F: Ramen hiyami - Doordash</t>
  </si>
  <si>
    <t>F: Samosa - Mountain View Farmers Market</t>
  </si>
  <si>
    <t>M: Fees: PAN Card Application</t>
  </si>
  <si>
    <t>F: Shakeshack - Doordash</t>
  </si>
  <si>
    <t>M: USPS Postage - PAN Card Application</t>
  </si>
  <si>
    <t>MA: Amazon - Shivani's shoes</t>
  </si>
  <si>
    <t>OTE: Transit Citation - Shivani - Muni</t>
  </si>
  <si>
    <t>MK: Amazon - Grill Pan</t>
  </si>
  <si>
    <t>MA: Amazon - Clark Shoes x 3</t>
  </si>
  <si>
    <t>M: Walmart - Car freshners</t>
  </si>
  <si>
    <t>MA: Kohls - Nike shoes - SRP</t>
  </si>
  <si>
    <t>M: Amazon - Drano</t>
  </si>
  <si>
    <t>EET: Trip to SF with Aai Baba</t>
  </si>
  <si>
    <t>M: Amazon - Avengers bagpack</t>
  </si>
  <si>
    <t>M: Amazon - Maggot Control</t>
  </si>
  <si>
    <t>Car: Parking - SF Pier 39</t>
  </si>
  <si>
    <t>M: Amazon - AmericanGirl Books. X3</t>
  </si>
  <si>
    <t>MA: Ebay - Underwear Mens x 10</t>
  </si>
  <si>
    <t>Grocery (Madras Groceries)</t>
  </si>
  <si>
    <t>F: Boudin Bakery - Fisherman's Wharf</t>
  </si>
  <si>
    <t>MA: Amazon - Shoes -Shivani</t>
  </si>
  <si>
    <t>M: Grocery Bargain Outlet</t>
  </si>
  <si>
    <t>F: Golden Gate Bridge Café, Presidio : Coffee + Hot Cholocates</t>
  </si>
  <si>
    <t>MA: Gap - Kids</t>
  </si>
  <si>
    <t>MA: Amazon/Zappos - Shoes - Shivani</t>
  </si>
  <si>
    <t>F: Seafood - Fisherman's Wharf - Horrible Crab Sandwich</t>
  </si>
  <si>
    <t>MA: Under Armor</t>
  </si>
  <si>
    <t>EET: Raging Waters</t>
  </si>
  <si>
    <t xml:space="preserve">MA: Kohls - Shoes </t>
  </si>
  <si>
    <t>G: Fridge Magnets for Aai's contacts in India</t>
  </si>
  <si>
    <t>Grocery (StickerMule) - Hot Sauce</t>
  </si>
  <si>
    <t>MA: Geox Shoes</t>
  </si>
  <si>
    <t>M: Amazon - Baking Pan</t>
  </si>
  <si>
    <t>M: Amazon - Cracking Coding Interviews</t>
  </si>
  <si>
    <t>G: Rakhi - India</t>
  </si>
  <si>
    <t>F: Alexander's Patissierie</t>
  </si>
  <si>
    <t>EET: Audible 2 x 6</t>
  </si>
  <si>
    <t>M: LL Bean - ARP Backpack</t>
  </si>
  <si>
    <t>Grocery: Milk Pail</t>
  </si>
  <si>
    <t>M: Lands' End - SRP Backpack</t>
  </si>
  <si>
    <t>MA: Amazon - Underwear with Pockets</t>
  </si>
  <si>
    <t>Fees: CA License x 2</t>
  </si>
  <si>
    <t>Grocery (Target) - Charmin Rolls 108 CT</t>
  </si>
  <si>
    <t>MA: Amazon - Running shorts with pockets</t>
  </si>
  <si>
    <t>Fees: CA ID x 2</t>
  </si>
  <si>
    <t>G: WalMart - Depends - Adult Diapers</t>
  </si>
  <si>
    <t>EET: Roblox</t>
  </si>
  <si>
    <t>Fees: 2010 Nissan Altima - Car Registration</t>
  </si>
  <si>
    <t>Grocery (Target) - Tide Detergent x 5</t>
  </si>
  <si>
    <t>MA: Amazon - Linen Pants</t>
  </si>
  <si>
    <t xml:space="preserve">MA: Amazon.in Shopping </t>
  </si>
  <si>
    <t>G: Amazon.in - Rakhi</t>
  </si>
  <si>
    <t>August'02</t>
  </si>
  <si>
    <t>Aug'03</t>
  </si>
  <si>
    <t>Aug'04</t>
  </si>
  <si>
    <t>Aug'05</t>
  </si>
  <si>
    <t>Aug'06</t>
  </si>
  <si>
    <t>Aug'07</t>
  </si>
  <si>
    <t>Aug'08</t>
  </si>
  <si>
    <t>Aug'09</t>
  </si>
  <si>
    <t>Aug'10</t>
  </si>
  <si>
    <t>Aug'11</t>
  </si>
  <si>
    <t>Aug'12</t>
  </si>
  <si>
    <t>Aug'13</t>
  </si>
  <si>
    <t>Aug'14</t>
  </si>
  <si>
    <t>Aug'15</t>
  </si>
  <si>
    <t>Aug'16</t>
  </si>
  <si>
    <t>Aug'17</t>
  </si>
  <si>
    <t>Aug'18</t>
  </si>
  <si>
    <t>Aug'19</t>
  </si>
  <si>
    <t>Aug'20</t>
  </si>
  <si>
    <t>Aug'21</t>
  </si>
  <si>
    <t>Aug'22</t>
  </si>
  <si>
    <t>Aug'23</t>
  </si>
  <si>
    <t>Aug'24</t>
  </si>
  <si>
    <t>Kids: Anishka's + Sara Piano</t>
  </si>
  <si>
    <t>Classes: Sara - AJ Tutoring: GMAT</t>
  </si>
  <si>
    <t>M: LG DVD Burner</t>
  </si>
  <si>
    <t>Meds</t>
  </si>
  <si>
    <t>EET: The Dark Knight Rises</t>
  </si>
  <si>
    <t>F: EMC , Franklin - USD PM Offsite</t>
  </si>
  <si>
    <t>EK: Sara's Summer Camp- CampWoodHaven</t>
  </si>
  <si>
    <t>F: Sawa - Shrewsbury</t>
  </si>
  <si>
    <t>Kids: BrickznKids Camp - Palo Alto - Sara</t>
  </si>
  <si>
    <t>Ed: Summer Camp - YMCA - ARP (7/31-8/4) - Discovery</t>
  </si>
  <si>
    <t>Kids: YMCA. After school</t>
  </si>
  <si>
    <t>M: Notary (UPS)</t>
  </si>
  <si>
    <t>Camp: Enrichment</t>
  </si>
  <si>
    <t>Courses: Dara - AJ Tutoring Calc BC + Physics</t>
  </si>
  <si>
    <t>Grocery (Rotis)</t>
  </si>
  <si>
    <t>Grocery (Ig)</t>
  </si>
  <si>
    <t>M: Roomba Battery</t>
  </si>
  <si>
    <t>KM: Milk Storage Bags</t>
  </si>
  <si>
    <t>G: Anand TJX + Harsha Bhogle Book</t>
  </si>
  <si>
    <t>R: India: Prepone tickets (BA)</t>
  </si>
  <si>
    <t>EK: Sara's Summer Camp- Westboro Tennis and Swim</t>
  </si>
  <si>
    <t>EET: ON Demand - 50 Shades</t>
  </si>
  <si>
    <t>Grocery (Bargain Outlets)</t>
  </si>
  <si>
    <t>Ed: Summer Camp - YMCA - SRP (7/31-8/4) - Robotics WeDo</t>
  </si>
  <si>
    <t xml:space="preserve">G: Amazon - Charu </t>
  </si>
  <si>
    <t>Classes: AoPS Sara -Alegbra 3</t>
  </si>
  <si>
    <t>Classes: Chem H Tutoring</t>
  </si>
  <si>
    <t>Gifts: Adi : Target</t>
  </si>
  <si>
    <t>G: Borders: Anand</t>
  </si>
  <si>
    <t>M: Pillows, LnT</t>
  </si>
  <si>
    <t>M: Amazon: Gillete PoweRazor</t>
  </si>
  <si>
    <t>R: India: Reserver seats</t>
  </si>
  <si>
    <t>EK: Sara's Karate Classes</t>
  </si>
  <si>
    <t>EET: Picnic at Wachusett Reservior</t>
  </si>
  <si>
    <t>Ed: Summer Campy - YMCA - ARP (8/7-8/11) -Discovery</t>
  </si>
  <si>
    <t>G: Amazon - Shalu</t>
  </si>
  <si>
    <t>Grocerty (GO)</t>
  </si>
  <si>
    <t xml:space="preserve">Classes: AoPS for Nish PreAlgebra -1 </t>
  </si>
  <si>
    <t>Classes: AoPS for Nish - Intro to Counting, Probability, Physics</t>
  </si>
  <si>
    <t>Gifts: Anandam : Target</t>
  </si>
  <si>
    <t xml:space="preserve">M: Border: Shivani : </t>
  </si>
  <si>
    <t xml:space="preserve">M: CVS </t>
  </si>
  <si>
    <t>M: Lowe's shelf for Gods</t>
  </si>
  <si>
    <t>KS M: Disney store - Sara's school supplies</t>
  </si>
  <si>
    <t>Grocery (Bargian Outlets)</t>
  </si>
  <si>
    <t>Ed: Summer Camp - YMCA - SRP (8/7-8/11) - Y World of Sports</t>
  </si>
  <si>
    <t>Classes: AoPS for Sara - Geometry</t>
  </si>
  <si>
    <t>Classes: Evodyne Robotics - ARP</t>
  </si>
  <si>
    <t>M: Hangers + Shelves : BBB</t>
  </si>
  <si>
    <t>F: TGIF</t>
  </si>
  <si>
    <t>M: CVS (-7)</t>
  </si>
  <si>
    <t xml:space="preserve">MA: Payless -Sara </t>
  </si>
  <si>
    <t>G: TRUS - Aarav's B'day</t>
  </si>
  <si>
    <t>Ed: School Pak - ARP</t>
  </si>
  <si>
    <t>G: Amazon - Sarveshi</t>
  </si>
  <si>
    <t>Grocery (Amazon Prime -Whole Foods)</t>
  </si>
  <si>
    <t>EET: Trip to Europe - Rome-Paris-London</t>
  </si>
  <si>
    <t>EET: Trip to Banff and Jasper</t>
  </si>
  <si>
    <t>EET: Trip to Germany, France and Switzerland</t>
  </si>
  <si>
    <t>EET: Trip to Denmark and Norway</t>
  </si>
  <si>
    <t>M: Staples PC to HT Cable</t>
  </si>
  <si>
    <t>Meds: Chiro</t>
  </si>
  <si>
    <t>E: The Bourne Ultimatum</t>
  </si>
  <si>
    <t>M: Amazon: Temple Thermometer</t>
  </si>
  <si>
    <t>MK: Touchless Trash Can</t>
  </si>
  <si>
    <t>MA: Aldo shoes</t>
  </si>
  <si>
    <t>G: TRUS - Saumil's b'day gift</t>
  </si>
  <si>
    <t>Grocery (Fellipe's Market)</t>
  </si>
  <si>
    <t>Ed: School Pak - SRP</t>
  </si>
  <si>
    <t>G: Amazon - India Cloth Store - NJ</t>
  </si>
  <si>
    <t>Doctor (co-payment) Usha Bandari</t>
  </si>
  <si>
    <t>MA: Earrings, SPM</t>
  </si>
  <si>
    <t>MA: Pagoda Jewllery : 30-25</t>
  </si>
  <si>
    <t>MA: Target: Shirt</t>
  </si>
  <si>
    <t>G: Walmart (Jeans/T Shirts for Aai) - 30</t>
  </si>
  <si>
    <t>Parking: Swades Event Santa Clara Campgorunds</t>
  </si>
  <si>
    <t xml:space="preserve">Travel: Clipper </t>
  </si>
  <si>
    <t>EET: Air tickets to SFO-AMS-ROM + LON-AMS-SFO</t>
  </si>
  <si>
    <t xml:space="preserve">EET: AirTickets SFO-Calgary RT </t>
  </si>
  <si>
    <t>EET: AirTickets SFO-FRA-SO</t>
  </si>
  <si>
    <t>EET: AirTickets SFO-CPH-OSLO-BERGEN-CPH-SFO</t>
  </si>
  <si>
    <t>Movie Tickets (AAA)</t>
  </si>
  <si>
    <t>M: Serta Matress Top</t>
  </si>
  <si>
    <t>EET: Inception</t>
  </si>
  <si>
    <t>EET: Redbox - Wolf of Wall Street</t>
  </si>
  <si>
    <t>Phone: LD: Reliance</t>
  </si>
  <si>
    <t>EET: Rides - Swades Event Santa Clara Campgorunds</t>
  </si>
  <si>
    <t>F: Macroons - Ferry Building - SF</t>
  </si>
  <si>
    <t>EET: Santa Barabara Trip</t>
  </si>
  <si>
    <t>Air Tickets: ROM-PARIS</t>
  </si>
  <si>
    <t xml:space="preserve">Lunch </t>
  </si>
  <si>
    <t>G; Ananya : Plastic Mat</t>
  </si>
  <si>
    <t>EET: Six Flags EMC</t>
  </si>
  <si>
    <t>Meds: Iron (Amazon)</t>
  </si>
  <si>
    <t>M: Amazon (Charmin)</t>
  </si>
  <si>
    <t>G: Umer Toor's VNX  PM Party - Wedding Gift</t>
  </si>
  <si>
    <t>Car: Parking: Mountain View Station</t>
  </si>
  <si>
    <t>F: Biryanis - Swades Event Santa Clara Campgorunds</t>
  </si>
  <si>
    <t>MA: Target (Underwear) - RDP</t>
  </si>
  <si>
    <t>EET: Stay - Best Western Mig America, Santa Maria</t>
  </si>
  <si>
    <t>Air Tickets: PARIS-LON</t>
  </si>
  <si>
    <t>Hotel: Canmore - Dead's Man Flats</t>
  </si>
  <si>
    <t>Hotel - Colmar France</t>
  </si>
  <si>
    <t>Hotel - Copenhagen</t>
  </si>
  <si>
    <t>E: The Rising</t>
  </si>
  <si>
    <t>M: CVS : Heating Pad</t>
  </si>
  <si>
    <t>G: Border: Vineet</t>
  </si>
  <si>
    <t>M: CTS</t>
  </si>
  <si>
    <t>Car: Altima 30k Servicing</t>
  </si>
  <si>
    <t>MA: Gap (Shirt)</t>
  </si>
  <si>
    <t>M: Amazon - Wipes</t>
  </si>
  <si>
    <t>EET: Patriots Training Camp</t>
  </si>
  <si>
    <t xml:space="preserve">Gift: Rakhis </t>
  </si>
  <si>
    <t>Transportation: Monthly Pass - Caltrain</t>
  </si>
  <si>
    <t>G: WalMart - Adult diapers</t>
  </si>
  <si>
    <t>Grocery (Amazon) - Pantry</t>
  </si>
  <si>
    <t>F: GO - Dinner</t>
  </si>
  <si>
    <t>Hotels</t>
  </si>
  <si>
    <t>AirBnB: Hinton</t>
  </si>
  <si>
    <t>Hotel - Interlaken</t>
  </si>
  <si>
    <t>Hotel - Oslo</t>
  </si>
  <si>
    <t>Shoes (Payless, Fashion outlets)</t>
  </si>
  <si>
    <t>G: Heating Pad</t>
  </si>
  <si>
    <t>E: Canoeing</t>
  </si>
  <si>
    <t>G: Rakhi Gifts to India</t>
  </si>
  <si>
    <t>GF: Acapulco's (Anand's Bday):S</t>
  </si>
  <si>
    <t>M: Olay Gift Set. Target</t>
  </si>
  <si>
    <t>G: Curious Kids: Barbeque Party</t>
  </si>
  <si>
    <t>MA: Kohls (Sara/Anishka)</t>
  </si>
  <si>
    <t>M: Amazon - Tissues</t>
  </si>
  <si>
    <t>F: Ice Cream - Gillette Stadium</t>
  </si>
  <si>
    <t>Grocery (Amazon): Dish Wasking Detergent x 2</t>
  </si>
  <si>
    <t>M: Bike SRP + Shivani - WalMart</t>
  </si>
  <si>
    <t>Grocery (WalMart) - Clean and Clear</t>
  </si>
  <si>
    <t>Car: Pismo Beach Parking</t>
  </si>
  <si>
    <t>Hotel: Rome - Residenza Dei Principi</t>
  </si>
  <si>
    <t>Hotel - Bergen</t>
  </si>
  <si>
    <t>Track Pants (Fashion Outlets)</t>
  </si>
  <si>
    <t>G: Himani's GC</t>
  </si>
  <si>
    <t>M: Parking , Logan</t>
  </si>
  <si>
    <t>F : Dinner Chinese</t>
  </si>
  <si>
    <t>E: Mini Golf, Mulligan, Sibbi's Free game</t>
  </si>
  <si>
    <t>M: BRUS (Pump, Booster Seat + Misc)</t>
  </si>
  <si>
    <t>MA: Gymboree (Sandals for Sara)</t>
  </si>
  <si>
    <t>F: Moe's - Gilette Stadium. Patriot Place</t>
  </si>
  <si>
    <t xml:space="preserve">Grocery (Amazon): Shaving Cream Nivea x 3 </t>
  </si>
  <si>
    <t>M: WalMart Bike locks</t>
  </si>
  <si>
    <t>F: Pismo Fro Yogurt</t>
  </si>
  <si>
    <t>Hotel: Paris - Helzear Champs Elysées</t>
  </si>
  <si>
    <t>Hotel - Frankfurt</t>
  </si>
  <si>
    <t>Tennis Balls (Sports Auth)</t>
  </si>
  <si>
    <t>M:  Haircut (SC)</t>
  </si>
  <si>
    <t>F: Lunch, Pizza, Providence,RI</t>
  </si>
  <si>
    <t>F: Coldstone</t>
  </si>
  <si>
    <t>E: Chak De India, Lawrence, MA</t>
  </si>
  <si>
    <t>Car: Repair: Altima: Flat tire</t>
  </si>
  <si>
    <t>M: Barnes n Nobles (Sara) -25</t>
  </si>
  <si>
    <t>F: Cupcake: Patriot Place</t>
  </si>
  <si>
    <t>Grocery (Amazon): Vanilla Essence</t>
  </si>
  <si>
    <t>Car: Parking, Santa Barabara</t>
  </si>
  <si>
    <t>Hotel: London - Holiday Inn Express London - Hammersmith</t>
  </si>
  <si>
    <t>Dinnner (Dragon)</t>
  </si>
  <si>
    <t>F: Dinner: Chili's CT</t>
  </si>
  <si>
    <t>G:Himani: Laptop Bag</t>
  </si>
  <si>
    <t>Parking: State Street</t>
  </si>
  <si>
    <t>G: Reju (SSPG) Baby shower</t>
  </si>
  <si>
    <t>F: Mayuri</t>
  </si>
  <si>
    <t>MA: Patriot Pro Shop</t>
  </si>
  <si>
    <t>MA: Kohls - Polo - Rahul -155</t>
  </si>
  <si>
    <t>Grocery (Amazon): Stevia</t>
  </si>
  <si>
    <t>F: Dinner - GO</t>
  </si>
  <si>
    <t>Ride Hailing</t>
  </si>
  <si>
    <t>M: Toll</t>
  </si>
  <si>
    <t>F: Lunch,Subway, CT</t>
  </si>
  <si>
    <t>Grocery (IG, Meat)</t>
  </si>
  <si>
    <t>G: Cards (Hallmark)</t>
  </si>
  <si>
    <t>Gocery (Walmart)</t>
  </si>
  <si>
    <t>F: Wegmans (Pizza slice for Sara)</t>
  </si>
  <si>
    <t>Grocery: Tougas Family Farm : Blueberry picking</t>
  </si>
  <si>
    <t>Grocery (Amazon) - Dark Cocoa</t>
  </si>
  <si>
    <t>M: Back to School Shopping - Walmart</t>
  </si>
  <si>
    <t>MA: Amazon - Skechers shoes - Sara -47</t>
  </si>
  <si>
    <t>Grocery (Amazon): Ibuprofen</t>
  </si>
  <si>
    <t>M: Amazon - Bluetooth/FM Transmitter</t>
  </si>
  <si>
    <t>F: Alisal Ice Cream, Santa Baraba</t>
  </si>
  <si>
    <t>Food - Rome</t>
  </si>
  <si>
    <t>Trains</t>
  </si>
  <si>
    <t>G: Rakhis</t>
  </si>
  <si>
    <t>F: Lunch with Pete, Lemon Tree</t>
  </si>
  <si>
    <t>Grocery (IG, Rasoi)</t>
  </si>
  <si>
    <t>MA: Ann Taylor</t>
  </si>
  <si>
    <t>Grocery (Kashi Cereal: Amazon)</t>
  </si>
  <si>
    <t>MA: Macy's (Shirt- gift by Baba -39)</t>
  </si>
  <si>
    <t>G: Sherry's birthday - Singhs Cake - Amazon GC</t>
  </si>
  <si>
    <t>M: Amazon -Diapers</t>
  </si>
  <si>
    <t>M: Bicycle for Sara</t>
  </si>
  <si>
    <t>M: Amazon iPhone 6S Case</t>
  </si>
  <si>
    <t>M: Amazon - Bike Helmet</t>
  </si>
  <si>
    <t>F: Subway, Solvang</t>
  </si>
  <si>
    <t>Food - Paris</t>
  </si>
  <si>
    <t>SIXT</t>
  </si>
  <si>
    <t>Dinner (Papa Gino's)</t>
  </si>
  <si>
    <t>M: Phone from London</t>
  </si>
  <si>
    <t>MA : Old Navy T Shirts</t>
  </si>
  <si>
    <t>E: Whispering Cottages, Lake George, NY</t>
  </si>
  <si>
    <t>M: Skype Adapter , Amperor Direct (-20)</t>
  </si>
  <si>
    <t>Car: Audi New Tires : Sears</t>
  </si>
  <si>
    <t>G: Dollar Store</t>
  </si>
  <si>
    <t>M: Graco Booster Seat - Amazon</t>
  </si>
  <si>
    <t>Classes: StarFire Math - Sara</t>
  </si>
  <si>
    <t>Grocery (Amazon) - Crushed Red Peppers (5 lbs)</t>
  </si>
  <si>
    <t>Food - London</t>
  </si>
  <si>
    <t>Movies (BlockBuster)</t>
  </si>
  <si>
    <t>G: Himani : Dell Laptop</t>
  </si>
  <si>
    <t>E: KANK</t>
  </si>
  <si>
    <t>OTE: Citi Late Charge</t>
  </si>
  <si>
    <t>M: Sara's pics prints: Shutterfly</t>
  </si>
  <si>
    <t>G: Kohls</t>
  </si>
  <si>
    <t>M: Amazon - Kinnect Sports</t>
  </si>
  <si>
    <t>M: UFC Kinect Game</t>
  </si>
  <si>
    <t>M: Back to School - Dollar Store</t>
  </si>
  <si>
    <t>M: Amazon - Back to School - Smart Paper - Anishka</t>
  </si>
  <si>
    <t>MA: Under Armour</t>
  </si>
  <si>
    <t>M: Amazon -50 States activity book</t>
  </si>
  <si>
    <t>Norway in a Nutshell</t>
  </si>
  <si>
    <t>Camping (Tent + Light)</t>
  </si>
  <si>
    <t>Meds: Doc</t>
  </si>
  <si>
    <t>F: Starbucks 7+7</t>
  </si>
  <si>
    <t>M: Treadmill, Dicks' soprting Goods</t>
  </si>
  <si>
    <t>M: Bath and Body Works</t>
  </si>
  <si>
    <t>M: Badger, Amazon</t>
  </si>
  <si>
    <t>M: Amazon - BB8 Backpack for Anishka</t>
  </si>
  <si>
    <t>M: Under Armour T-shirt - Return Shipping</t>
  </si>
  <si>
    <t>Grocery (Amazon) - Tooth Paste x 3</t>
  </si>
  <si>
    <t>Grocery (Amazon) - Terrasoul Pea Protein</t>
  </si>
  <si>
    <t>Transportation - Rome</t>
  </si>
  <si>
    <t>Fees/Misc</t>
  </si>
  <si>
    <t>M: Wine</t>
  </si>
  <si>
    <t>F: EMC café</t>
  </si>
  <si>
    <t>Meds: Walgreens: Childrens Tylenol</t>
  </si>
  <si>
    <t>EET: Ride on the simulated Car, SPM - Sara</t>
  </si>
  <si>
    <t>M: Books - Oliver - Amazon</t>
  </si>
  <si>
    <t>Grocery (Amazon) - Sun Screen</t>
  </si>
  <si>
    <t>Classes: SpeakDebate - Sara - Sep/May</t>
  </si>
  <si>
    <t>Grocery (Jet) - Cacao Nibs (Viva Naturals)</t>
  </si>
  <si>
    <t>M: Amazon - Bike Repair Kit</t>
  </si>
  <si>
    <t>Transportation - Paris</t>
  </si>
  <si>
    <t>EET: Air Tickets</t>
  </si>
  <si>
    <t>Jungfraujoch</t>
  </si>
  <si>
    <t>Meds: Centrum (SnS)</t>
  </si>
  <si>
    <t>G: Wine, Phil</t>
  </si>
  <si>
    <t>MA : TJM : Swimsuit</t>
  </si>
  <si>
    <t>Grocery (CVS, TP)</t>
  </si>
  <si>
    <t>Meds:Doc copay for August 3rd : 15th month: Sara</t>
  </si>
  <si>
    <t>Gas (Altima): Framington, CT</t>
  </si>
  <si>
    <t>G: Walmart (Medicines,Chocolates)</t>
  </si>
  <si>
    <t>KS: MA - School uniforms</t>
  </si>
  <si>
    <t>M: Oral B Replacement Heads</t>
  </si>
  <si>
    <t>Meds: WalMart- Ricola</t>
  </si>
  <si>
    <t>M: Amazon - Bike Gloves</t>
  </si>
  <si>
    <t>Grocery (Amazon) - LorAnn Flavors</t>
  </si>
  <si>
    <t xml:space="preserve">Transportation - London </t>
  </si>
  <si>
    <t>EET: Accomodation</t>
  </si>
  <si>
    <t>M: Laundary</t>
  </si>
  <si>
    <t>G: RahulS Trousers</t>
  </si>
  <si>
    <t>MK: Knives (TJM) + Shameen</t>
  </si>
  <si>
    <t>G: Borders: Guitar Book</t>
  </si>
  <si>
    <t>Meds; Walmart</t>
  </si>
  <si>
    <t>Gorcery (Walmart)</t>
  </si>
  <si>
    <t>KS: M: School related expenses</t>
  </si>
  <si>
    <t>EET: Movie Tickets - WoW Points</t>
  </si>
  <si>
    <t>M: Amazon - Back to School Supplies</t>
  </si>
  <si>
    <t>G: OraJel for Baba</t>
  </si>
  <si>
    <t>Grocery (Amazon) - Air Freshner Wick + Febreeze</t>
  </si>
  <si>
    <t>Grocery (Amazon) - Keto Bread Mix</t>
  </si>
  <si>
    <t>EET:</t>
  </si>
  <si>
    <t>Transportation:  - Home to SFO</t>
  </si>
  <si>
    <t>Dresses For Shibu : Eddie Bauer</t>
  </si>
  <si>
    <t>M: Job Lot: Pot</t>
  </si>
  <si>
    <t>G: Baba Shirt TJM</t>
  </si>
  <si>
    <t>E: Omkara : BwCinema.com</t>
  </si>
  <si>
    <t xml:space="preserve">M: Watch cell for Baba </t>
  </si>
  <si>
    <t>Grocery (Altima)</t>
  </si>
  <si>
    <t>Grocery (Cereal: Amazon)</t>
  </si>
  <si>
    <t>EET: Hiking: Mt Wachusett - First hike to the summit</t>
  </si>
  <si>
    <t>Grocery (Herbalife) - Tea</t>
  </si>
  <si>
    <t xml:space="preserve">MA: Target - Brady Jersey -Sara </t>
  </si>
  <si>
    <t>G: Raksha Bandhan Gifts</t>
  </si>
  <si>
    <t>Grocery (Jet) - Organic Lemon Juice  x 3</t>
  </si>
  <si>
    <t>G: Rakhi Gifts - NJ</t>
  </si>
  <si>
    <t>G: Target (Sara's fried - Sofie)</t>
  </si>
  <si>
    <t>Grocery (Amazon) 2 x 6 x AlmondMilk</t>
  </si>
  <si>
    <t>EET: Rome</t>
  </si>
  <si>
    <t>Transportation:  - SFO - Home</t>
  </si>
  <si>
    <t>ERRY: Norway in a Nutshell</t>
  </si>
  <si>
    <t>Aqua Massage for Shibu</t>
  </si>
  <si>
    <t>M: Marshalls' Painting</t>
  </si>
  <si>
    <t>E: Cricket IndiaSL : TASS.com</t>
  </si>
  <si>
    <t>Grocery (IG, Waltham)</t>
  </si>
  <si>
    <t>F: Thai Pepper</t>
  </si>
  <si>
    <t>G: Sarveshi - Rakhi gift</t>
  </si>
  <si>
    <t>G: Raksha Bandhan Gifts - Sarveshi</t>
  </si>
  <si>
    <t>Grocery (Jet) - Organic Valley - Ghee</t>
  </si>
  <si>
    <t>G: Rakhi Gifts - Charu + Abhishek</t>
  </si>
  <si>
    <t>Grocery (Amazon )- Shawarma Blend</t>
  </si>
  <si>
    <t>EET: Paris</t>
  </si>
  <si>
    <t>Transportation: Car Rental - Turo</t>
  </si>
  <si>
    <t>Misc. Medical Supplies</t>
  </si>
  <si>
    <t>F: Gulab Jamun, Bombay Bazaar</t>
  </si>
  <si>
    <t>MH: Down Comforter (Order Cancelled)</t>
  </si>
  <si>
    <t>M: BestBuy - Kodak all in one -printer tradei n - HP</t>
  </si>
  <si>
    <t>MK: Calphalon - TJX</t>
  </si>
  <si>
    <t xml:space="preserve">Kids: Sara's Karate Classes </t>
  </si>
  <si>
    <t>Grocery (Jet) - Orgain Protein Powder x 2</t>
  </si>
  <si>
    <t>G: Rakhi Gifts - Sarveshi</t>
  </si>
  <si>
    <t>Meds (Amazon) - Band-aid</t>
  </si>
  <si>
    <t>Grocery (Amazon) - Fenugreek</t>
  </si>
  <si>
    <t>EET: London</t>
  </si>
  <si>
    <t>M: Bear Spray</t>
  </si>
  <si>
    <t>Grocery (Shaws, NH)</t>
  </si>
  <si>
    <t>G: Adi : Glass Set</t>
  </si>
  <si>
    <t>M: watch battery, SPM</t>
  </si>
  <si>
    <t>M: Amazon Wipes</t>
  </si>
  <si>
    <t>Education: Almond PTA</t>
  </si>
  <si>
    <t>Grocery (Jet) - Sugar / 4Lbs</t>
  </si>
  <si>
    <t>G: Rakhi Gifts - Rahul S</t>
  </si>
  <si>
    <t>Grocery (Amazon) - Cereal - Cascadian Farm</t>
  </si>
  <si>
    <t>F: Walmart</t>
  </si>
  <si>
    <t>SFO Airport - Boudin Bakery</t>
  </si>
  <si>
    <t>Groceries (Stop n Shop)</t>
  </si>
  <si>
    <t>Food: Subway : NH</t>
  </si>
  <si>
    <t>OTE : H: Himani : Comforter Set</t>
  </si>
  <si>
    <t>M: HairCut, Hair Cuttery, Hudson, MA</t>
  </si>
  <si>
    <t>G: TJX Misc</t>
  </si>
  <si>
    <t>F: Minerva, Indian</t>
  </si>
  <si>
    <t>Fees: Curious Kids of Hudson; late fee</t>
  </si>
  <si>
    <t>F: Prezo</t>
  </si>
  <si>
    <t xml:space="preserve">Phone: Reliance </t>
  </si>
  <si>
    <t>Grocery: Jet.com - Orgain Protein Powder x 2</t>
  </si>
  <si>
    <t>G: Rakhi Gifts - Shalu</t>
  </si>
  <si>
    <t>Fees: Package Conceirge</t>
  </si>
  <si>
    <t>Grocery (Amazon) - Antacid : Rolaids + Good Sense</t>
  </si>
  <si>
    <t>F: Calgary Mall - Famous Wok</t>
  </si>
  <si>
    <t>Transportation: Car Rental - SIXT</t>
  </si>
  <si>
    <t>SFO Airport - Mi Casa</t>
  </si>
  <si>
    <t>E: Mini Golf, Weirs Beach</t>
  </si>
  <si>
    <t>Grocery (Berlin Orchards)</t>
  </si>
  <si>
    <t>Meds: CVD</t>
  </si>
  <si>
    <t>EET: Ferry Tickets to Martha's Vineyard</t>
  </si>
  <si>
    <t>G: Minerva Indian (Sarveshi)</t>
  </si>
  <si>
    <t>MA: Kohls - Pats gear</t>
  </si>
  <si>
    <t>Fees: Consumer Reports</t>
  </si>
  <si>
    <t>G: Madras Café - Aai Baba</t>
  </si>
  <si>
    <t>Grocery (Amazon) - Quest Bars x 36</t>
  </si>
  <si>
    <t>Grocery (VitaCost) - Lemon Juice</t>
  </si>
  <si>
    <t xml:space="preserve">Grocery (Amazon) - Charmin </t>
  </si>
  <si>
    <t>Transportation:  - Airport to Hotel - Rome</t>
  </si>
  <si>
    <t>F: Calgary Mall - Crepe Delicious</t>
  </si>
  <si>
    <t>SFO AirPort - Black Point Coffee</t>
  </si>
  <si>
    <t>Groceries (NH)</t>
  </si>
  <si>
    <t>F: Starbucks Coffee, Weirs Beach</t>
  </si>
  <si>
    <t>OTE:H: Key Duplicates</t>
  </si>
  <si>
    <t>F: Indian Chinese</t>
  </si>
  <si>
    <t>EET: VTA Bus pass</t>
  </si>
  <si>
    <t>G: Ruta's Sandwich</t>
  </si>
  <si>
    <t>M: Sports Autority : Gloves</t>
  </si>
  <si>
    <t>F: Chipotle (NJ- Girls trip)</t>
  </si>
  <si>
    <t>Car: Nissan Altima - Oil Change</t>
  </si>
  <si>
    <t>F: Habitat for Humanity -PM - Sichuan</t>
  </si>
  <si>
    <t>MA: JCP - Misc</t>
  </si>
  <si>
    <t>Classes: Tennis - Sara - Sep/Nov</t>
  </si>
  <si>
    <t>Grocery (Amazon)  Brutx 4</t>
  </si>
  <si>
    <t>Transportation:  - Hotel to Airport - Rome</t>
  </si>
  <si>
    <t>F: Calgary Mall - Hula Poke</t>
  </si>
  <si>
    <t>Condor Baggage Check-in</t>
  </si>
  <si>
    <t>Transportation : Bolt - Airport to Hotel</t>
  </si>
  <si>
    <t>Gas (For Shibu)</t>
  </si>
  <si>
    <t>F: Ice Cream, RockPort, MA</t>
  </si>
  <si>
    <t>OTE : H : IKEA</t>
  </si>
  <si>
    <t>G: TJM Swati (Ritesh)</t>
  </si>
  <si>
    <t>F: Ice Cream, Oak Bluffs</t>
  </si>
  <si>
    <t>G: Album for Aai</t>
  </si>
  <si>
    <t>F: Papa Gino's, CT</t>
  </si>
  <si>
    <t>Car: Nissan - Key Battery</t>
  </si>
  <si>
    <t>M: JCP - Cleaning Supplies</t>
  </si>
  <si>
    <t>EET: Santa Cruz Beach trip with Aai Baba</t>
  </si>
  <si>
    <t>Grocery (Amazon) - Orgain Berries</t>
  </si>
  <si>
    <t>Grocery (Amazon) - Hydrasurge x 4</t>
  </si>
  <si>
    <t>Grocery (Amazon)- Ground Ginger</t>
  </si>
  <si>
    <t>Transportation:  - Airport to Hotel - Paris</t>
  </si>
  <si>
    <t>F: Masala Authentic Indian, Banff</t>
  </si>
  <si>
    <t>Colmar Hotel #2</t>
  </si>
  <si>
    <t>Transportation: Bolt - Hotel to Tivoli</t>
  </si>
  <si>
    <t>G: Kohls' Trousers (Baba)</t>
  </si>
  <si>
    <t>F: Lunch Rasoi, MG Plaza, JC, NJ</t>
  </si>
  <si>
    <t>F: Stewarts' Conway</t>
  </si>
  <si>
    <t>G: Adi RB : Borders books</t>
  </si>
  <si>
    <t>F: Pepsi , Boat Snack Bar</t>
  </si>
  <si>
    <t>EET: Holiday Inn, Tilton, NH</t>
  </si>
  <si>
    <t xml:space="preserve">M: Teddybear Portraits </t>
  </si>
  <si>
    <t>MA: Payless Shoes - Sara</t>
  </si>
  <si>
    <t>Parking: Santa Cruz Boardwalk</t>
  </si>
  <si>
    <t>Grocery (Amazon) - Hair color</t>
  </si>
  <si>
    <t>Transportation:  - Hotel to Airport - Paris</t>
  </si>
  <si>
    <t>F: Sushi Bistro, Banff</t>
  </si>
  <si>
    <t>Heidelberg - Gas Station</t>
  </si>
  <si>
    <t>EET: Tivoli Gardens Tickets</t>
  </si>
  <si>
    <t>Fedex Packets to India</t>
  </si>
  <si>
    <t>E: Duck Tour</t>
  </si>
  <si>
    <t xml:space="preserve">Gifts: Himani Cards </t>
  </si>
  <si>
    <t>F: Dinner, Satkar, MG Plaza, JC, NJ</t>
  </si>
  <si>
    <t>E: Boating on Lake Sacandoga</t>
  </si>
  <si>
    <t>E: Golf Lesson : Juniper Hill GF</t>
  </si>
  <si>
    <t>G: Raksha Bandhan Gift for Sarveshi</t>
  </si>
  <si>
    <t>F: China Bistro : Sarveshi's treat</t>
  </si>
  <si>
    <t>F: Kebabs: Tandoori: CTS Complex</t>
  </si>
  <si>
    <t>F: gourmet India (Quincy Market)</t>
  </si>
  <si>
    <t>F: Starbucks - Santa Cruz - Hot Chocolate + Café Mocha</t>
  </si>
  <si>
    <t>Grocery (Amazon) - Egg Protein Powder</t>
  </si>
  <si>
    <t>MA (Amazon) - Polo</t>
  </si>
  <si>
    <t>MK: Amazon - Korean shears</t>
  </si>
  <si>
    <t>Transportation:  - Airport to Hotel - London</t>
  </si>
  <si>
    <t>F: Grocery at IGA @ Banff</t>
  </si>
  <si>
    <t>Heidelberg - Food</t>
  </si>
  <si>
    <t>F: Sushi Market - Tivoli Gardens</t>
  </si>
  <si>
    <t>Groceries (India Stores)</t>
  </si>
  <si>
    <t>F: Stabucks, Coffee</t>
  </si>
  <si>
    <t>M: File (Walmart)</t>
  </si>
  <si>
    <t>Grocery : IG: MG Plaza, JC, NJ</t>
  </si>
  <si>
    <t>C: Parking, Lake George</t>
  </si>
  <si>
    <t>Meds: IUI (2 : 17/18)</t>
  </si>
  <si>
    <t>KM: Target: Formula + Level 2 Nipples</t>
  </si>
  <si>
    <t>EET: Flume Gorge</t>
  </si>
  <si>
    <t>F: Ice Cream for Sara (Quincy Market)</t>
  </si>
  <si>
    <t>M: Postage to Aus</t>
  </si>
  <si>
    <t xml:space="preserve">F: The Barking Claw, Food Stand, Falmouth </t>
  </si>
  <si>
    <t>EET: Natick Golf Center -Club Rental</t>
  </si>
  <si>
    <t>EET: Santa Cruz boardwalk rides</t>
  </si>
  <si>
    <t>EET: Dora the Explorer</t>
  </si>
  <si>
    <t>MA (Amazon) - Underwear</t>
  </si>
  <si>
    <t>Grocery (Amazon) - Hoagie spread</t>
  </si>
  <si>
    <t>Transportation:  - Taxi</t>
  </si>
  <si>
    <t>Car: Parking: Banff Downtown</t>
  </si>
  <si>
    <t>Colmar Breakfast</t>
  </si>
  <si>
    <t>F: Desi Dhaba - Tivoli Garden</t>
  </si>
  <si>
    <t>Movies : BlockBuster</t>
  </si>
  <si>
    <t>M: Parking, Museum of Science</t>
  </si>
  <si>
    <t>G: Kohls : Sweats for Aai Ret -15</t>
  </si>
  <si>
    <t>MA: Old Navy (23 -23 (Sarveshi's GC))</t>
  </si>
  <si>
    <t>G: Flume Gorge</t>
  </si>
  <si>
    <t>F: Greek Sub (Quincy Market)</t>
  </si>
  <si>
    <t xml:space="preserve">Meds: CVS </t>
  </si>
  <si>
    <t>F: Chipotle, Cape Caod Mall, Hyannis</t>
  </si>
  <si>
    <t>Grocery (walMart)</t>
  </si>
  <si>
    <t>Grocery (Amazon) - Miss Jones Cake Mix x 3</t>
  </si>
  <si>
    <t>F: Café Tazza - Dublin, CA</t>
  </si>
  <si>
    <t>MA (Amazon) - Socks</t>
  </si>
  <si>
    <t>M: Microsoft - Office365</t>
  </si>
  <si>
    <t>Transportation - Kensignton Palace - to Lords</t>
  </si>
  <si>
    <t>EET: Roam Bus to Maligne Lake and Lake Louise</t>
  </si>
  <si>
    <t>Interlaken Hotel</t>
  </si>
  <si>
    <t>NAMANNA Pure Monk Fruit Sweetener</t>
  </si>
  <si>
    <t>Dinner - (Punjabi Dabha)</t>
  </si>
  <si>
    <t>G: Himani Pstage</t>
  </si>
  <si>
    <t>G: Rakhi : Steve and Barry's</t>
  </si>
  <si>
    <t xml:space="preserve">G: Kohls: Anti ageing creams </t>
  </si>
  <si>
    <t>M: BP Monitor</t>
  </si>
  <si>
    <t>F: Chinese Garden, Lincoln, NH</t>
  </si>
  <si>
    <t>Grocery: Protein Powder: Amazon</t>
  </si>
  <si>
    <t>Car: Parking (Harbor Garage)</t>
  </si>
  <si>
    <t>MA: TJX Pajama</t>
  </si>
  <si>
    <t>F: Dunkin , Falmouth, Shaws</t>
  </si>
  <si>
    <t>Grocery (Amazon) - Dish washing soap x 6</t>
  </si>
  <si>
    <t>M: Amazon - Wallet</t>
  </si>
  <si>
    <t>M: Amazon - Ice Shaver</t>
  </si>
  <si>
    <t>Transportation:  - Hotel to Airport - London</t>
  </si>
  <si>
    <t>Dinner Interlaken Chinese</t>
  </si>
  <si>
    <t>Aviate Lupini FLOUR</t>
  </si>
  <si>
    <t>M: Duck Tour Photos</t>
  </si>
  <si>
    <t>M: Postage Stamps</t>
  </si>
  <si>
    <t>ED: Accounting Book, Amazon RE</t>
  </si>
  <si>
    <t>MA: Old Navy, Shirt ; R</t>
  </si>
  <si>
    <t xml:space="preserve">G: GC for Himani </t>
  </si>
  <si>
    <t>F: Ice Cream: Franconia Notch</t>
  </si>
  <si>
    <t>F: Soups (EMC Cafeteria)</t>
  </si>
  <si>
    <t>Car : Parking (Quincy Garage)</t>
  </si>
  <si>
    <t>F: Sushi - Shivani</t>
  </si>
  <si>
    <t>Grocery (Amazon ) - Bounce</t>
  </si>
  <si>
    <t>MK: Amazon - Nordic Ware Egg Poacher</t>
  </si>
  <si>
    <t>Grocery (Amazon)  - Rum Extracts + Banana Extracts</t>
  </si>
  <si>
    <t>M: Amazon - Victornix knives x 2</t>
  </si>
  <si>
    <t>Fees: Forex Conversion to cash</t>
  </si>
  <si>
    <t>Coop Interlaken</t>
  </si>
  <si>
    <t>Brite Start Bone Broth</t>
  </si>
  <si>
    <t>Car Wash (Scrub-a-Dub)</t>
  </si>
  <si>
    <t>E: The Bourne Supremacy</t>
  </si>
  <si>
    <t>M: Dell Rebate postage</t>
  </si>
  <si>
    <t>ED: Financial Calculator RE</t>
  </si>
  <si>
    <t>U: Long distance, Reliance India call</t>
  </si>
  <si>
    <t>G: Wine: Karthik - Bargain Outlets</t>
  </si>
  <si>
    <t>Grocery (Amazon) - Scotch Brite</t>
  </si>
  <si>
    <t>M: Walmart - Plants</t>
  </si>
  <si>
    <t>M: Amazon - Fridge lock</t>
  </si>
  <si>
    <t>Fees: Cash Lost</t>
  </si>
  <si>
    <t>M: The Christmas Store - Tree ornament Banff</t>
  </si>
  <si>
    <t>Junfroughoh Gift Shop Apparel</t>
  </si>
  <si>
    <t>ELLA'S FLATS Pumpkin Seed with Hemp Hearts</t>
  </si>
  <si>
    <t>Crane Beach , Ipswich, Etry Fee</t>
  </si>
  <si>
    <t>M: CVC Roll Processing</t>
  </si>
  <si>
    <t>M: TJ Maxx</t>
  </si>
  <si>
    <t>ED: Books MBA 8510 RE</t>
  </si>
  <si>
    <t>G: Gift Card for Himani</t>
  </si>
  <si>
    <t>Meds: CVS : Eye Drops (-3 ECB)</t>
  </si>
  <si>
    <t>M: Staples: Batteries</t>
  </si>
  <si>
    <t>G: Hannaford - Anand-Miru</t>
  </si>
  <si>
    <t>F: IG</t>
  </si>
  <si>
    <t>Grocery (Amazon) - Creat ToothPaste</t>
  </si>
  <si>
    <t>Grocery (Amazon) - Cottonelle + Viva Paper Towels</t>
  </si>
  <si>
    <t>M: Amazon -  Pots</t>
  </si>
  <si>
    <t>M: (WalMart) - BTS Supplies</t>
  </si>
  <si>
    <t>M: Amazon : Wedding Rings</t>
  </si>
  <si>
    <t>EET: Rome Vatican Tour</t>
  </si>
  <si>
    <t>F: The Fudgery</t>
  </si>
  <si>
    <t>Junfroughoh Gift Shop Gifts</t>
  </si>
  <si>
    <t>SUNEE 3 Ring Binders, 4 Pack</t>
  </si>
  <si>
    <t>M: Gift (Armani)</t>
  </si>
  <si>
    <t>F: Ice Cream : Berlin Orchards</t>
  </si>
  <si>
    <t>ED: LAW 7000 RE</t>
  </si>
  <si>
    <t>MA: BR, Tilton Outlets</t>
  </si>
  <si>
    <t>F: Kimball Farms</t>
  </si>
  <si>
    <t xml:space="preserve">Car: Parking: NEA Garage </t>
  </si>
  <si>
    <t>F: Le Boulangerie - Cookies -Los Altos</t>
  </si>
  <si>
    <t>M: (Amazon) - BTS Supplies</t>
  </si>
  <si>
    <t>EET: Tour to Colloseum</t>
  </si>
  <si>
    <t>F: Grocery - Safeway</t>
  </si>
  <si>
    <t>Junfroughoh Food</t>
  </si>
  <si>
    <t>2M&amp;G 4+1 Pack Rubber Pink Erasers</t>
  </si>
  <si>
    <t>Lunch - ( Mall )</t>
  </si>
  <si>
    <t>M: Hair Cut (Hudson)</t>
  </si>
  <si>
    <t>ED: Accounting Book,  RE</t>
  </si>
  <si>
    <t>MA: OLD Navy: Tilton Outlets</t>
  </si>
  <si>
    <t>MA: Amazon - Pats Polo</t>
  </si>
  <si>
    <t>Car: Parking + Fine</t>
  </si>
  <si>
    <t>F: Baskin Robbins - Los Altos Town Square</t>
  </si>
  <si>
    <t>M: WalMart More Plants</t>
  </si>
  <si>
    <t>EET: Eiffel Tower Tour</t>
  </si>
  <si>
    <t>Gas (Husky)</t>
  </si>
  <si>
    <t>Coop Lucerne Food</t>
  </si>
  <si>
    <t>Hstyle Ruffle Socks Women, 6 Pairs</t>
  </si>
  <si>
    <t>Kohls (Trousers+Shibus' night dress)</t>
  </si>
  <si>
    <t>E: Blockbuster (Kill Bill -2)</t>
  </si>
  <si>
    <t>M: Watch Cell : SPM</t>
  </si>
  <si>
    <t>M: Degreaser: walmart</t>
  </si>
  <si>
    <t>Grocery (Walmart) (Ret -3)</t>
  </si>
  <si>
    <t>KMA: Bibs: TJM</t>
  </si>
  <si>
    <t xml:space="preserve">F: Chipotle, Woburn </t>
  </si>
  <si>
    <t>M: Haircut (Baba)</t>
  </si>
  <si>
    <t>M: Parenting Books</t>
  </si>
  <si>
    <t xml:space="preserve">F: Fanneuil Hall </t>
  </si>
  <si>
    <t>EET: Trip to Shivani's work and Pier 39</t>
  </si>
  <si>
    <t>M: Amazon Echo Auto</t>
  </si>
  <si>
    <t>EET: Louvre Tour</t>
  </si>
  <si>
    <t>Migros Lucerne Food</t>
  </si>
  <si>
    <t>Zebra Pen Mildliner Highlighter Set, 5-Pack</t>
  </si>
  <si>
    <t>M: H:  Fung Wah</t>
  </si>
  <si>
    <t>F: Chinese, Desi</t>
  </si>
  <si>
    <t>MA: ON Jeans</t>
  </si>
  <si>
    <t xml:space="preserve">G: Chipotle, Woburn </t>
  </si>
  <si>
    <t>M: USB Drive: Best Buy</t>
  </si>
  <si>
    <t>F: Geraldo's Bakery</t>
  </si>
  <si>
    <t>F: Camp Woodhaven -Sara</t>
  </si>
  <si>
    <t xml:space="preserve">F: Sullivan's Castle Island </t>
  </si>
  <si>
    <t>M: Amazon (BTS) - Water Bottle - SRP</t>
  </si>
  <si>
    <t>Car: Parking: Pier 35</t>
  </si>
  <si>
    <t>MK: Measuring Cups x 3</t>
  </si>
  <si>
    <t>EET: Lords Tour</t>
  </si>
  <si>
    <t>EET: Banff-Jasper - Johnston Canyon, Athabasca Glacier, Columbia Icefields, Sunwapta Falls</t>
  </si>
  <si>
    <t>Pink Spiral Notebook Journal, College Ruled</t>
  </si>
  <si>
    <t>Verizon - Phone Bill</t>
  </si>
  <si>
    <t>M: Fish Food Dispenser</t>
  </si>
  <si>
    <t>G: Foundation donation</t>
  </si>
  <si>
    <t>F: Shivani Office</t>
  </si>
  <si>
    <t>Car: Parking: Logan Airport drop off Sarveshi</t>
  </si>
  <si>
    <t>C/I/Sat: WatchIndia + Cricket</t>
  </si>
  <si>
    <t>G: Books - LindenTree Books - Los Altos</t>
  </si>
  <si>
    <t>M: Amazon (BTS) - Water Bottle - ARP</t>
  </si>
  <si>
    <t>EET: Street Performance</t>
  </si>
  <si>
    <t>M: Amazon - Kids lunch bags  x 2</t>
  </si>
  <si>
    <t>Grocery (Amazon) - Konjac Root Powder</t>
  </si>
  <si>
    <t>EET: Golfland, Sunnyvale - Mini Golf</t>
  </si>
  <si>
    <t>EET: Hop n Hop off</t>
  </si>
  <si>
    <t>F: Coffee + Ice cream - Icefield Pqrkway</t>
  </si>
  <si>
    <t>Coop Interlaken Food</t>
  </si>
  <si>
    <t>Mr. Pen Retractable Gel Pens, 12 Pack</t>
  </si>
  <si>
    <t>Nstar Electricity</t>
  </si>
  <si>
    <t>Gifts : WalMart , NH</t>
  </si>
  <si>
    <t>M: Treadmill, Dicks' Sporting Goods</t>
  </si>
  <si>
    <t>F: Sbarro's, Chitenango Rest Area NY</t>
  </si>
  <si>
    <t>Cable: Mohu Leaf Antenna - Amazon (Refurb)</t>
  </si>
  <si>
    <t>Kids: Classes: Amazon (Piano Classes Books)</t>
  </si>
  <si>
    <t xml:space="preserve">OTE: Donation for Kerala floods </t>
  </si>
  <si>
    <t>Grocery (Amazon)  -Meds</t>
  </si>
  <si>
    <t>F: Rome</t>
  </si>
  <si>
    <t xml:space="preserve">F: Starbucks - Banff </t>
  </si>
  <si>
    <t>Lal Qila Food</t>
  </si>
  <si>
    <t>Preparation H Hemorrhoid Symptom Treatment Cream</t>
  </si>
  <si>
    <t>E: NEMM: Natak</t>
  </si>
  <si>
    <t>F: McDonald's Tea</t>
  </si>
  <si>
    <t>MA: Amazon: Linen Shirt - RDP</t>
  </si>
  <si>
    <t>Grocery (Amazon) - Various</t>
  </si>
  <si>
    <t>G: Nature's Basket - Groceries - Inda</t>
  </si>
  <si>
    <t>M: Home Depot - Recess Lights</t>
  </si>
  <si>
    <t>F: Paris</t>
  </si>
  <si>
    <t>F: Walmart + Meds for Shivani</t>
  </si>
  <si>
    <t>Interlaken Souvenir Misc</t>
  </si>
  <si>
    <t>Tampax Pearl Tampons Super Absorbency, 50 Count</t>
  </si>
  <si>
    <t>2002 Nissan Altima Transported to Sarveshi</t>
  </si>
  <si>
    <t>G: Aarti (Rohan's) Gift</t>
  </si>
  <si>
    <t>G: Himani's birthday - Dress</t>
  </si>
  <si>
    <t>MA: Amazon (Swimming goggles)</t>
  </si>
  <si>
    <t>MA: Old Navy Bottoms</t>
  </si>
  <si>
    <t>G: Amazon India</t>
  </si>
  <si>
    <t>Grocery (NutritionFaktory) x Hydrasurge</t>
  </si>
  <si>
    <t>F:London</t>
  </si>
  <si>
    <t xml:space="preserve">F: Safeway - Hinton </t>
  </si>
  <si>
    <t>Interlaken Souvenir Gifts</t>
  </si>
  <si>
    <t>Neat Bros Hair Styling Texture Powder, 2 Pack</t>
  </si>
  <si>
    <t>C/I/Sat: Dish Network</t>
  </si>
  <si>
    <t>G: Market Basket - Pie for Curious Kids BBQ</t>
  </si>
  <si>
    <t>M: MIT License Frame for Car</t>
  </si>
  <si>
    <t>EET: San Francisco - Ghirardelli, Golden Gate Park</t>
  </si>
  <si>
    <t>MA: Macy's T Shirts</t>
  </si>
  <si>
    <t xml:space="preserve">M: Amazon - Headbands </t>
  </si>
  <si>
    <t>M: Amazon - The CEO Test</t>
  </si>
  <si>
    <t>M: Charging Banks - Anker + Inio</t>
  </si>
  <si>
    <t>Starbucks Lucerne Food</t>
  </si>
  <si>
    <t>Colgate Max Fresh Whitening Toothpaste, 4 Pack</t>
  </si>
  <si>
    <t>Misc. Rakhi Supplies</t>
  </si>
  <si>
    <t>E: Marriot, East Rutherford, NJ</t>
  </si>
  <si>
    <t>Parking: Niagara Falls</t>
  </si>
  <si>
    <t>Car: Parking, Fruit Street, Garage, Boston, MA</t>
  </si>
  <si>
    <t>Meds: Docs' apt</t>
  </si>
  <si>
    <t>F: Shivani's Office lunch - Thai Pepper</t>
  </si>
  <si>
    <t>EET: Jack Ryan -Redbox</t>
  </si>
  <si>
    <t>F: Parkside Market - Falmouth</t>
  </si>
  <si>
    <t>EET: Audible (6 months)</t>
  </si>
  <si>
    <t xml:space="preserve">F: Ghirardelli - Hot Cocoa </t>
  </si>
  <si>
    <t xml:space="preserve">MA: Marshalls </t>
  </si>
  <si>
    <t>M: Amazon - Ring</t>
  </si>
  <si>
    <t>M: Amazon (RFID Wallet)</t>
  </si>
  <si>
    <t>F: Tandoori Kona - Goat Biryani</t>
  </si>
  <si>
    <t>Colmar Hotel</t>
  </si>
  <si>
    <t>AXE Apollo Body Spray Deodorant, 4 Count</t>
  </si>
  <si>
    <t>M: Camera Film</t>
  </si>
  <si>
    <t>F: Indian Food on the road</t>
  </si>
  <si>
    <t>G: Shirt for Baba (Kohls)</t>
  </si>
  <si>
    <t>EET: StoryLand, NH</t>
  </si>
  <si>
    <t>M: Amazon - Auto Light Switch Trigger</t>
  </si>
  <si>
    <t>CaR: Parking - Old Silver Beach, Falmouth</t>
  </si>
  <si>
    <t>Kids: Day care: Y for Almond - BTS</t>
  </si>
  <si>
    <t xml:space="preserve">F: Ghirardelli - Chocolates </t>
  </si>
  <si>
    <t xml:space="preserve">M: Amazon - Chicago Cutlery Knives x 4 </t>
  </si>
  <si>
    <t>MA: Amazon - Underwear and Running shorts</t>
  </si>
  <si>
    <t>F: Boston Pizza</t>
  </si>
  <si>
    <t>Aldi Grocery</t>
  </si>
  <si>
    <t>King Oscar Kipper Snacks, 12 Pack</t>
  </si>
  <si>
    <t>M: SnS (Duck Tape etc)</t>
  </si>
  <si>
    <t>G: StoryLand, NH</t>
  </si>
  <si>
    <t xml:space="preserve">G: Ghirardelli - Hot Cocoa </t>
  </si>
  <si>
    <t>Meds (Amazon) - Prep-H</t>
  </si>
  <si>
    <t>M: Amazon - Travel Belt</t>
  </si>
  <si>
    <t>EET: Talbot and Jasper Lake (Wading in Lake), Maligne Canyon, Maligne Lake</t>
  </si>
  <si>
    <t>Pasta Store</t>
  </si>
  <si>
    <t>JanSport Laptop Backpack, Black</t>
  </si>
  <si>
    <t>USPS to India</t>
  </si>
  <si>
    <t>EET: Super 8, Kenmore, NY</t>
  </si>
  <si>
    <t>G: Cake for Shivani's sis</t>
  </si>
  <si>
    <t>M: Walmart, Tilton, NH</t>
  </si>
  <si>
    <t>MA: Socks - Amazon</t>
  </si>
  <si>
    <t>G: NJ - Amazon - Swarovski</t>
  </si>
  <si>
    <t>Gas (Petro Canada)</t>
  </si>
  <si>
    <t>Colmar Ice Cream</t>
  </si>
  <si>
    <t>BetterBody Foods Organic Quinoa, 24 oz</t>
  </si>
  <si>
    <t>Mt. Monadnock State Park</t>
  </si>
  <si>
    <t>Car Wash (Ernie's)</t>
  </si>
  <si>
    <t>F: McDonald's, lee, MA</t>
  </si>
  <si>
    <t>F: Nectarine Picking - (With Zoo and Nishkoo)</t>
  </si>
  <si>
    <t>G: Amazon - Rakhi Gifts</t>
  </si>
  <si>
    <t>F: Bombay to Goa, Sunnyvale</t>
  </si>
  <si>
    <t>M: Amazon - Room fans x 2</t>
  </si>
  <si>
    <t>M: Amazon (School Planner)</t>
  </si>
  <si>
    <t>EET: Athabsaca Falls, Tangle Creek Falls</t>
  </si>
  <si>
    <t>KFC Strasbourg</t>
  </si>
  <si>
    <t>Ancient Nutrition Protein Powder, Chocolate, 20g Protein</t>
  </si>
  <si>
    <t>Mall : Victoria Secret</t>
  </si>
  <si>
    <t>Food : Starbucks, Mohegan Sun</t>
  </si>
  <si>
    <t>EET: Maid of the Mist</t>
  </si>
  <si>
    <t>Car: Fastlane: Toll</t>
  </si>
  <si>
    <t>Meds: CoPay for Vaccine Shots in March</t>
  </si>
  <si>
    <t>G: Bombay to Goa, Sunnyvale - Aai Baba</t>
  </si>
  <si>
    <t>M: Amazon -Phase 10</t>
  </si>
  <si>
    <t>M:Amazon - Indoor Grill</t>
  </si>
  <si>
    <t>F: Drinks Rome Airport</t>
  </si>
  <si>
    <t>Gas (Fill n Go)</t>
  </si>
  <si>
    <t>Sushi Strasbourg</t>
  </si>
  <si>
    <t>Starbucks Premium Instant Coffee, 3 Pack</t>
  </si>
  <si>
    <t>Macy's</t>
  </si>
  <si>
    <t>Gifts : WalMart , Northboro, MA</t>
  </si>
  <si>
    <t>F: Taste of India</t>
  </si>
  <si>
    <t>F: Chilli's, Tilton, NH</t>
  </si>
  <si>
    <t>EET: Red ridge Chalet House Rental with Sooraj 750/2</t>
  </si>
  <si>
    <t>M: TRUS: 18" Bike for Nish</t>
  </si>
  <si>
    <t xml:space="preserve">MA: Amazon - Beachwear </t>
  </si>
  <si>
    <t>M: Amazon - Potting Soil</t>
  </si>
  <si>
    <t>M: Woot (Fire Extinguisher)</t>
  </si>
  <si>
    <t>F: Dinner - da Zico Va Ristaronte</t>
  </si>
  <si>
    <t>Starbucks Strasbourg</t>
  </si>
  <si>
    <t>Brawny Tear-A-Square Paper Towels, 8 Triple Rolls</t>
  </si>
  <si>
    <t>Dinner : Chili's</t>
  </si>
  <si>
    <t>Meds: Co-Pay CVS</t>
  </si>
  <si>
    <t>EET: Holiday Inn Express</t>
  </si>
  <si>
    <t>Grocery (Wegmans) - Trip</t>
  </si>
  <si>
    <t xml:space="preserve">Car: Car-wash -Thrifty </t>
  </si>
  <si>
    <t>F: In-N-Out Burger</t>
  </si>
  <si>
    <t>Grocery (Amazon) - Ashwagandha Powder</t>
  </si>
  <si>
    <t xml:space="preserve">F: Carrefour and conde </t>
  </si>
  <si>
    <t>Carrefour City</t>
  </si>
  <si>
    <t>Huhumy 2 Pieces Makeup Bag Set, Pink</t>
  </si>
  <si>
    <t>SunGlasses</t>
  </si>
  <si>
    <t>Gifts: Gucci</t>
  </si>
  <si>
    <t>F: T-Bone's Laconia, NH</t>
  </si>
  <si>
    <t>F: RedFox, Glen, NH</t>
  </si>
  <si>
    <t>MA: Kohls - 42</t>
  </si>
  <si>
    <t>MA: Amazon - Sara's first bra</t>
  </si>
  <si>
    <t>F: Gelato - Lunch</t>
  </si>
  <si>
    <t>Yogurt with Fruits</t>
  </si>
  <si>
    <t>Mini Hair brush, Detangling Brush</t>
  </si>
  <si>
    <t>Bath and Body Works</t>
  </si>
  <si>
    <t>M: Weight, Mall</t>
  </si>
  <si>
    <t>G: RB gift for Sarveshi</t>
  </si>
  <si>
    <t>F: Story Land</t>
  </si>
  <si>
    <t>G: TJX - Gift for Aditi - Rakhi</t>
  </si>
  <si>
    <t>G: Walmart (For AaiBaba)</t>
  </si>
  <si>
    <t>M: Bike Gloves x 3</t>
  </si>
  <si>
    <t>F:Lunch- Spaghetti</t>
  </si>
  <si>
    <t>M: Amazon - Highlighters for School and Pencil Boxes x 2 each</t>
  </si>
  <si>
    <t>FBEZEB Power Mist Hydrating Hand Sanitizer Spray, Strawberry</t>
  </si>
  <si>
    <t>F: Shalimar, North Conway, Worst Desi food ever!</t>
  </si>
  <si>
    <t>EET: Monterey Bay - with Aai Baba</t>
  </si>
  <si>
    <t>M: Amazon - Weighing Scales + Batteries</t>
  </si>
  <si>
    <t>F: Dinner - Pizza and Sphagetti</t>
  </si>
  <si>
    <t>Pet-Misc: Amazon - Bed for Skittles</t>
  </si>
  <si>
    <t>Frankfurt Hotel</t>
  </si>
  <si>
    <t>GERBS Raw Super 7 Seed Snack Trail Mix, 1 LBS.</t>
  </si>
  <si>
    <t>M: Charger OSJL (Ret -10)</t>
  </si>
  <si>
    <t>EET: Hiking Cathedral Ledge, Diana's Bath, Echo Lake Beach</t>
  </si>
  <si>
    <t>F: Chez Siam - Marlborough with Aditi</t>
  </si>
  <si>
    <t>M: Worst fight of my life with Aai - ashamed and disgusted with myself</t>
  </si>
  <si>
    <t>Car: Parking - Cannery Row - Monterey Bay</t>
  </si>
  <si>
    <t>M: Amazon - Diary and Organizers</t>
  </si>
  <si>
    <t>F: Gelato</t>
  </si>
  <si>
    <t>G: Amazon: Cake + Flowers for Alpa</t>
  </si>
  <si>
    <t>Frankfurt Airport Food</t>
  </si>
  <si>
    <t>MR. LUPINI Lupini Beans Snack, 32 oz Jar</t>
  </si>
  <si>
    <t>Cash to India</t>
  </si>
  <si>
    <t>G: Aldo Chappals for Aai</t>
  </si>
  <si>
    <t>M: Charger TJM (Ret - 15)</t>
  </si>
  <si>
    <t>F: Peaches, North Conway, NH</t>
  </si>
  <si>
    <t>G: Amazon - GC - Ashish</t>
  </si>
  <si>
    <t>F: Rocky Mountain Factory - Caramel Apple + Fudge</t>
  </si>
  <si>
    <t>F: Slushie and Cannoli</t>
  </si>
  <si>
    <t>Frankfurt Airport Sushi x 2</t>
  </si>
  <si>
    <t>INIU Power Bank, 25000mAh 100W, USB C</t>
  </si>
  <si>
    <t>Food: Arabian + Beverages</t>
  </si>
  <si>
    <t>Car: Parking - Echo Lake Beach + Diana's Bath</t>
  </si>
  <si>
    <t>G: Amazon - GC -Sarveshi</t>
  </si>
  <si>
    <t>F: Ghiradelli Hot Chocolate</t>
  </si>
  <si>
    <t>M: Purses</t>
  </si>
  <si>
    <t>M: Amazon - School Supplies for Sara</t>
  </si>
  <si>
    <t>Frankfurt Airport Sandwiches</t>
  </si>
  <si>
    <t>Amazon Fresh, Apple Cider Vinegar, 16 Oz</t>
  </si>
  <si>
    <t>Lunch (Star India)</t>
  </si>
  <si>
    <t>G: Slip-Ons (WalMart)</t>
  </si>
  <si>
    <t>Parking : EMC, Cambridge, MA: Cloud Grp</t>
  </si>
  <si>
    <t>Grocery (Hannaford, North Conway, NH)</t>
  </si>
  <si>
    <t>F: MomoGrill</t>
  </si>
  <si>
    <t>MA: Merrell Shoes - RDP</t>
  </si>
  <si>
    <t>F: Rome Airport - Eataly</t>
  </si>
  <si>
    <t>M: Walmart - School Supplies for Sara</t>
  </si>
  <si>
    <t>Frankfurt Airport KFC x 2</t>
  </si>
  <si>
    <t>A Good Girl’s Guide to Murder Collectors Edition, Book 1</t>
  </si>
  <si>
    <t>Meds: Doc Consultation</t>
  </si>
  <si>
    <t>G: Phone Card - Walmart for Shivani's parents</t>
  </si>
  <si>
    <t>EET: Santa's Village, Jackson, NH</t>
  </si>
  <si>
    <t>F: Pho - Sunnyvale</t>
  </si>
  <si>
    <t xml:space="preserve">Grocery (Amazon) - Bouncy </t>
  </si>
  <si>
    <t>MA: TJX, Cupertino</t>
  </si>
  <si>
    <t>F: Dinner - Paris - UberEats Jai Rajah Maharahah</t>
  </si>
  <si>
    <t>F: Safeway - Sushi</t>
  </si>
  <si>
    <t>Chef’s Kiss Lupin Flakes, 24oz</t>
  </si>
  <si>
    <t>Wal Mart (Watch Cell)</t>
  </si>
  <si>
    <t>F: MoS</t>
  </si>
  <si>
    <t>F: Lunch, Santa's Village</t>
  </si>
  <si>
    <t>G: Marshalls: Purses (CK, RL) + Chappals (Coach) for Aai</t>
  </si>
  <si>
    <t>Transportation: Taxi from Hotel to Montemarte</t>
  </si>
  <si>
    <t>Grocery (Safe Way)</t>
  </si>
  <si>
    <t xml:space="preserve">Parking: Colmar + Interlaken </t>
  </si>
  <si>
    <t>Dr. Berg Zero Sugar Hydration Keto Electrolyte Powder, 50 Servings</t>
  </si>
  <si>
    <t>Miscellaneous (Wal-Mart)</t>
  </si>
  <si>
    <t>Food : Iselin, NJ</t>
  </si>
  <si>
    <t>G: Boston Duck Tours</t>
  </si>
  <si>
    <t>F: Bavarian Nuts, Santa's Village</t>
  </si>
  <si>
    <t>G: Rakhi gifts for Agastya</t>
  </si>
  <si>
    <t>Meds: CoPay Tests - RDP</t>
  </si>
  <si>
    <t>M: Amazon - Good Strategy, Bad Strategy</t>
  </si>
  <si>
    <t>F: Brunch - Le, Montemarte</t>
  </si>
  <si>
    <t>Sol de Janeiro Brazilian Touch Hand Cream</t>
  </si>
  <si>
    <t>Pharmacy : CVS</t>
  </si>
  <si>
    <t>Grocery : Iselin, NJ</t>
  </si>
  <si>
    <t>EET: Boston Duck Tours</t>
  </si>
  <si>
    <t>F: Water, Santa's Village</t>
  </si>
  <si>
    <t>G: Rakhi gift for Shanaya</t>
  </si>
  <si>
    <t>M: Violin for Sara - Rental</t>
  </si>
  <si>
    <t>Grocery (Amazon) - Pads</t>
  </si>
  <si>
    <t>Misc: Souvenirs</t>
  </si>
  <si>
    <t>Uber: Home to SFO</t>
  </si>
  <si>
    <t>Four Candies Mechanical Pencil Set, 6PCS</t>
  </si>
  <si>
    <t>Miscellaneous (Swim Wear)</t>
  </si>
  <si>
    <t>E: M Tausaud's  Museum</t>
  </si>
  <si>
    <t>EET: Black Cap Mountain Trail</t>
  </si>
  <si>
    <t>G: Rakhi gift for Eshan</t>
  </si>
  <si>
    <t>G: TJX - Purse for Aai  -31</t>
  </si>
  <si>
    <t>M: Violin book for Sara</t>
  </si>
  <si>
    <t>M: USPS COA</t>
  </si>
  <si>
    <t>MA: Amazon - Bras for Sara</t>
  </si>
  <si>
    <t>EET: Montemarte Train Ride</t>
  </si>
  <si>
    <t>Uber: SFO to Home</t>
  </si>
  <si>
    <t>Food : Applebee's Times Square</t>
  </si>
  <si>
    <t>M: Charger Ret - 20 Sears</t>
  </si>
  <si>
    <t>G: Donation for Ruta's run</t>
  </si>
  <si>
    <t>G: Trader Joe's - Cacao Powder for Aai Baba</t>
  </si>
  <si>
    <t>MA: TJX - Sara - 12</t>
  </si>
  <si>
    <t>M: Violin Shoulder rest</t>
  </si>
  <si>
    <t>Kids: Taekwondo Testing</t>
  </si>
  <si>
    <t>F: Amarino - Gelato</t>
  </si>
  <si>
    <t>Sp Holafly.com Dublin Co Xxxx1017</t>
  </si>
  <si>
    <t>E: Ferry Statue of Liberty</t>
  </si>
  <si>
    <t>G: TCP</t>
  </si>
  <si>
    <t>M: Chapati Board, North Conway, NH</t>
  </si>
  <si>
    <t>G: Amazon book for Agastya</t>
  </si>
  <si>
    <t>Grocery (WalMart): Bug Spray + Banana Peppers</t>
  </si>
  <si>
    <t xml:space="preserve">Grocery (Smart and Final) egglife x 9 </t>
  </si>
  <si>
    <t>F: Vietnamese, Near Eiffel Tower</t>
  </si>
  <si>
    <t>M: Walmart - Calculator</t>
  </si>
  <si>
    <t>Grocery (UberEats)- Sprouts</t>
  </si>
  <si>
    <t>Black Point Coffee</t>
  </si>
  <si>
    <t>Dinner (Marche', Boston)</t>
  </si>
  <si>
    <t>E: Empire State Bldg, NYC</t>
  </si>
  <si>
    <t xml:space="preserve">M: Walmart : </t>
  </si>
  <si>
    <t>EET: Weirs Beach</t>
  </si>
  <si>
    <t>G: WalMart - Depend</t>
  </si>
  <si>
    <t>EET: Eiffel Tickets</t>
  </si>
  <si>
    <t>Apple</t>
  </si>
  <si>
    <t>Internet</t>
  </si>
  <si>
    <t>Food: Lunch, NYC</t>
  </si>
  <si>
    <t>M: BabiesR Us: Car Shades -20</t>
  </si>
  <si>
    <t>F: Happy Cow Ice Cream, Laconia, NH</t>
  </si>
  <si>
    <t>EET: Drop off Aai Baba to  SFO</t>
  </si>
  <si>
    <t>MA: Amazon - Cardigan</t>
  </si>
  <si>
    <t>M: Amazon - Good Strategy Bad Strategy</t>
  </si>
  <si>
    <t>Transportation: Taxi to Place de Champs Elyess from Montemarte</t>
  </si>
  <si>
    <t>Classes: MVVC Tryouts for Anishka</t>
  </si>
  <si>
    <t>Trader Joe's</t>
  </si>
  <si>
    <t xml:space="preserve">Food : Misc </t>
  </si>
  <si>
    <t>M: Windshield Washer + Touch up Paint</t>
  </si>
  <si>
    <t>F: Dunkin, Laconia</t>
  </si>
  <si>
    <t>Car: SF Airport Parking</t>
  </si>
  <si>
    <t>MA: Amazon - Patriots T-shirt</t>
  </si>
  <si>
    <t>Kids: Reference Sheets</t>
  </si>
  <si>
    <t>M: Amazon - Escaping the Build Trap</t>
  </si>
  <si>
    <t>Transportation: Taxi from Hotel to Louvre</t>
  </si>
  <si>
    <t>Grocery (Amazon) - Hand soap</t>
  </si>
  <si>
    <t>Mi Casa</t>
  </si>
  <si>
    <t xml:space="preserve">Cable </t>
  </si>
  <si>
    <t>Parking Tickets</t>
  </si>
  <si>
    <t>F: Canoli, North End, Boston</t>
  </si>
  <si>
    <t>G: Cake, SnS, NJ</t>
  </si>
  <si>
    <t>Car: 555 California Street Parking</t>
  </si>
  <si>
    <t>M: Amazon - Garden Hose</t>
  </si>
  <si>
    <t xml:space="preserve">F: Breakfast - Pret-a-mange </t>
  </si>
  <si>
    <t>Grocery (Amazon) -  ChocolateEssence</t>
  </si>
  <si>
    <t>M: Amazon: School Spullies</t>
  </si>
  <si>
    <t>Boudin Bakery</t>
  </si>
  <si>
    <t>E: Misc Trip Expenses (Gas etc)</t>
  </si>
  <si>
    <t>Parking: Dock Square Parking</t>
  </si>
  <si>
    <t>G: Divine Curry, NJ</t>
  </si>
  <si>
    <t>Cable: Sling</t>
  </si>
  <si>
    <t>M: Amazon - Wrench</t>
  </si>
  <si>
    <t>EET: Louvre Tickets</t>
  </si>
  <si>
    <t>MedS: Berberine</t>
  </si>
  <si>
    <t>M: Walmart School Supplies</t>
  </si>
  <si>
    <t>Amazon</t>
  </si>
  <si>
    <t>Gas (Travel : Honda Pilot)</t>
  </si>
  <si>
    <t>F: Bamboo - SRP Work -35</t>
  </si>
  <si>
    <t>F: Lunch: Louvre Cafeteria</t>
  </si>
  <si>
    <t>M: Amazon - Eye Solution</t>
  </si>
  <si>
    <t>F: Eureka : Sara + her firend + Shivani</t>
  </si>
  <si>
    <t>BOUDIN BAKERY SFO INTE</t>
  </si>
  <si>
    <t>F: Dunkin (DC Trip)</t>
  </si>
  <si>
    <t>M: Amazon - Piano Books</t>
  </si>
  <si>
    <t>Transportation: Taxi from Louvre to Airport</t>
  </si>
  <si>
    <t>Grocery (Amazon) - Onion Powder</t>
  </si>
  <si>
    <t>F: Starbucks: Nish</t>
  </si>
  <si>
    <t>MS* GOHOTELSTERPORT</t>
  </si>
  <si>
    <t xml:space="preserve">F: Dinner - London </t>
  </si>
  <si>
    <t xml:space="preserve">Grocery (Amazon) - Quest </t>
  </si>
  <si>
    <t>Bolt.eu/o/</t>
  </si>
  <si>
    <t>F: DC - Truck - Greek</t>
  </si>
  <si>
    <t>Transportation:  Taxi from Heathrow to Hotel</t>
  </si>
  <si>
    <t>Grocery (Amazon) - Chicken Bone Broth</t>
  </si>
  <si>
    <t>F: Yogurtland: End of Summer Celebration</t>
  </si>
  <si>
    <t>Sushi Market Ap</t>
  </si>
  <si>
    <t>F: Froyo - DC</t>
  </si>
  <si>
    <t>F: UberEats - Shabab Grill House</t>
  </si>
  <si>
    <t>Grocery (Amazon) - Cream</t>
  </si>
  <si>
    <t>M: School Supplies</t>
  </si>
  <si>
    <t>Dhaba Tivoli</t>
  </si>
  <si>
    <t>Gifts: Chocolates (Sns)</t>
  </si>
  <si>
    <t>Car: Parking - Alexandria</t>
  </si>
  <si>
    <t>Transportation: Taxi to Kensington Palace</t>
  </si>
  <si>
    <t>Grocery (Amazon) - True Orange</t>
  </si>
  <si>
    <t>F: IG: Kulfis</t>
  </si>
  <si>
    <t>Tivoli.dk</t>
  </si>
  <si>
    <t>F: Dunkin - Chesapeakee Service Plaza</t>
  </si>
  <si>
    <t>Grocery (New Seasons Market)</t>
  </si>
  <si>
    <t>Grocery (ThinSlim)- Keto Breads</t>
  </si>
  <si>
    <t>F: Lunch - Whole Foods, Kensington Center</t>
  </si>
  <si>
    <t>Www Layla Ai</t>
  </si>
  <si>
    <t>Gifts : Barnes n Noble</t>
  </si>
  <si>
    <t>MA: Zulily</t>
  </si>
  <si>
    <t>Transportation: Big Bus Tours</t>
  </si>
  <si>
    <t>Grocery (Amazon) - Hefty</t>
  </si>
  <si>
    <t>News: Anishka's first period</t>
  </si>
  <si>
    <t>M: Barnes n Noble</t>
  </si>
  <si>
    <t>EET: Honda Pilot - Car Rental</t>
  </si>
  <si>
    <t>Classes: Race Roster - For Try outs - SRP</t>
  </si>
  <si>
    <t>Chevron</t>
  </si>
  <si>
    <t>Transportation - Borough Market to Hammersmith</t>
  </si>
  <si>
    <t>M: Amazon - Haircut - Rahul/Sara</t>
  </si>
  <si>
    <t>MA: Bhindi Jewellers - Nish + Sara</t>
  </si>
  <si>
    <t>Uber.com</t>
  </si>
  <si>
    <t>Mountain View Home</t>
  </si>
  <si>
    <t>M: Parking, Logan</t>
  </si>
  <si>
    <t>MA: Kohls - RDP - 51</t>
  </si>
  <si>
    <t>F: Dinner - Indian Gourmet</t>
  </si>
  <si>
    <t>G: Rakhi Gifts: NJ = 30 * 5</t>
  </si>
  <si>
    <t>BOLT.EU/O/2507311652</t>
  </si>
  <si>
    <t>M: Album, Kohls</t>
  </si>
  <si>
    <t>MA: Kohls - SRP</t>
  </si>
  <si>
    <t>Transportation:  Taxi to buckingham palace</t>
  </si>
  <si>
    <t>F: Kulfi : IG</t>
  </si>
  <si>
    <t>TRADER JOE S #068</t>
  </si>
  <si>
    <t>Gift : Microwave</t>
  </si>
  <si>
    <t>F: Lunch -  Starbucks</t>
  </si>
  <si>
    <t>Grocery (Subway)</t>
  </si>
  <si>
    <t>BLACK POINT COFFEE</t>
  </si>
  <si>
    <t>Gift : Microwave Dishes</t>
  </si>
  <si>
    <t>F: Lunch -  Tesco + Turkish grocery</t>
  </si>
  <si>
    <t>College Consulting (Sarah D'souza)</t>
  </si>
  <si>
    <t>BOLT.EU/O/2507311411</t>
  </si>
  <si>
    <t>F: Dinner -  Palace tandoori - Uber eats</t>
  </si>
  <si>
    <t>Grocery (Sprouts)- Uber Eats</t>
  </si>
  <si>
    <t>BOLT.EU/O/2508021253</t>
  </si>
  <si>
    <t>E: Pirates of the Carribean</t>
  </si>
  <si>
    <t>Transportation: Taxi to cruise</t>
  </si>
  <si>
    <t>Grocery (Restaurant Depot) - Instacart</t>
  </si>
  <si>
    <t>NORMAL KBH NOERREPORT ST</t>
  </si>
  <si>
    <t>Transportation: Taxi to hotel</t>
  </si>
  <si>
    <t>Grocery (Amazon) - Pistachio and Butter Scotch Flavors</t>
  </si>
  <si>
    <t>DEN GROENLANDSKE HANDELSP</t>
  </si>
  <si>
    <t>Transportation - Holiday Inn Exp Hammersmith to London City Airport</t>
  </si>
  <si>
    <t>Copenhagen Souvenir Gifts</t>
  </si>
  <si>
    <t>F: Amsterdam Airport -  Dutch Figs and Chips - Schipol airport</t>
  </si>
  <si>
    <t>G: Purse for Saanya</t>
  </si>
  <si>
    <t>MH: Marshalls - Bedsheets</t>
  </si>
  <si>
    <t>MIAS FODDERBRAET</t>
  </si>
  <si>
    <t>Transportation - SFO to Home</t>
  </si>
  <si>
    <t>G: TJ Wine x 3 + Flowers</t>
  </si>
  <si>
    <t>F: Shaahi Chaat</t>
  </si>
  <si>
    <t>BOLT.EU/O/2508020951</t>
  </si>
  <si>
    <t>BOLT.EU/O/2508020827</t>
  </si>
  <si>
    <t>F: Chaat House</t>
  </si>
  <si>
    <t>Original Slice</t>
  </si>
  <si>
    <t>M: Amazon - Lipsticks etc</t>
  </si>
  <si>
    <t>MA: Ebay - Adidas</t>
  </si>
  <si>
    <t>RAJISSIMO 3</t>
  </si>
  <si>
    <t>Grocery (Amazon) - Dove Body Wash</t>
  </si>
  <si>
    <t>M: Dexcom Stelo CGM</t>
  </si>
  <si>
    <t>STRANGAS 2 APS</t>
  </si>
  <si>
    <t>Grocery (Amazon) x 4 Monk Fruit</t>
  </si>
  <si>
    <t>MCDKONGENSNYTORV</t>
  </si>
  <si>
    <t>Grocery (Amazon) Jocko Molk</t>
  </si>
  <si>
    <t>CLC.Catering ApS</t>
  </si>
  <si>
    <t xml:space="preserve">Grocery (Amazon) Casein </t>
  </si>
  <si>
    <t>COOP365 NOERREPORT</t>
  </si>
  <si>
    <t>Grocery (Amazon) - Mosquito Repellant</t>
  </si>
  <si>
    <t>UN MERCATO</t>
  </si>
  <si>
    <t>Grocery (Amazon) - Orange Packets</t>
  </si>
  <si>
    <t xml:space="preserve">M: Rakhis </t>
  </si>
  <si>
    <t>Grocery (Amazon)- Bounty</t>
  </si>
  <si>
    <t>Bubble Time Cafe - No</t>
  </si>
  <si>
    <t>Pet-Food (Amazon) - Dry Kibbels x 3</t>
  </si>
  <si>
    <t>Pet-Food: Chewy - Kibbles</t>
  </si>
  <si>
    <t>Grocery (Amazon) - Yerbae</t>
  </si>
  <si>
    <t>WWW.LAYLA.AI</t>
  </si>
  <si>
    <t xml:space="preserve">G Shivani - Coach </t>
  </si>
  <si>
    <t>Grocery (Amazon) - Monk Fruit Drops</t>
  </si>
  <si>
    <t>Burger King Oslo S</t>
  </si>
  <si>
    <t>Pet-Food (Amazon) - Cleaners</t>
  </si>
  <si>
    <t>G: Amazon - Hat - Shivani</t>
  </si>
  <si>
    <t>Grocery (Amazon) - Axe</t>
  </si>
  <si>
    <t>Grocery (Amazon) - Jerky sticks x `</t>
  </si>
  <si>
    <t>M: Amazon - The Diamond Age - Rakhi Gift for Zoo-Nish</t>
  </si>
  <si>
    <t>Grocery (Amazon) - Garnier</t>
  </si>
  <si>
    <t>NARVESEN 448 BYPORTEN OS</t>
  </si>
  <si>
    <t>M: Hair Cut Li - Works Tue, Wed, Fr, Sat, Sun</t>
  </si>
  <si>
    <t>F: Red berry coffee bar (Choc Cookie)</t>
  </si>
  <si>
    <t>Grocery (Amazon) - Ziplocks</t>
  </si>
  <si>
    <t>ComfortHotelGrandC</t>
  </si>
  <si>
    <t>M: Backyard Privacy Screen</t>
  </si>
  <si>
    <t>M: CarPlay Dash</t>
  </si>
  <si>
    <t>Grocery (Amazon) - Pistachio Flour</t>
  </si>
  <si>
    <t>DOUGS HAMBURGERS AKER BRY</t>
  </si>
  <si>
    <t>Grocery (Amazon) - Baby Clams</t>
  </si>
  <si>
    <t>ObentoBox</t>
  </si>
  <si>
    <t>Grocery (Amazon) - Toilet paper rolls</t>
  </si>
  <si>
    <t>Misc (Amazon)  - Pyrex</t>
  </si>
  <si>
    <t>Grocery (Amazon) - Pink Salmon</t>
  </si>
  <si>
    <t>STARBUCKS 6106</t>
  </si>
  <si>
    <t>Grocery (Amazon) (Clearsil + AcneFree)</t>
  </si>
  <si>
    <t>Bolt MCQFVLYK</t>
  </si>
  <si>
    <t>Grocery (Amazon) - Cheerios</t>
  </si>
  <si>
    <t>JOKER PRINSENSGATE</t>
  </si>
  <si>
    <t>Grocery (Amazon) - Rolled Oats</t>
  </si>
  <si>
    <t>MA: Period Underwear</t>
  </si>
  <si>
    <t>BOLT.EU/O/2508030850</t>
  </si>
  <si>
    <t>F: Vik's Chaat, Berkeley</t>
  </si>
  <si>
    <t>SIMPLY TASTY AS</t>
  </si>
  <si>
    <t>Grocery (Amazon) - Shirataki Noodles</t>
  </si>
  <si>
    <t>Grocery (IG) - Viks</t>
  </si>
  <si>
    <t>Disney</t>
  </si>
  <si>
    <t>C/Sat/I</t>
  </si>
  <si>
    <t>Grocery (Amazon) - Pumpkin Spice and Anise Extract</t>
  </si>
  <si>
    <t>YMCA SILICON VALLEY-AO DR</t>
  </si>
  <si>
    <t>Gym</t>
  </si>
  <si>
    <t>DELI DE LUCA JERNBANESTAS</t>
  </si>
  <si>
    <t>Grocery (Amazon) - Meyer Hard Soap</t>
  </si>
  <si>
    <t>MVHS PTSA</t>
  </si>
  <si>
    <t>Grocery (Amazon) - Garbage Bags</t>
  </si>
  <si>
    <t>Home: Mt: Shower Fixture repair for both bathrooms - *Joe</t>
  </si>
  <si>
    <t>FLAAMSBANA AS</t>
  </si>
  <si>
    <t>Misc: Kitchen Apllainces - SubZero Regrigerator</t>
  </si>
  <si>
    <t>F: Chipotle, Berkeley</t>
  </si>
  <si>
    <t>BOLT.EU/O/2508042043</t>
  </si>
  <si>
    <t>AVDELING MATHALLEN</t>
  </si>
  <si>
    <t xml:space="preserve">MA: Temu </t>
  </si>
  <si>
    <t>Platinum Digital Entertainment</t>
  </si>
  <si>
    <t>NILLE 079 BERGEN STORSENT</t>
  </si>
  <si>
    <t>KAFFEMISJONEN</t>
  </si>
  <si>
    <t>MH: Gardening and Landscaping - side yard</t>
  </si>
  <si>
    <t>F: Johal Chat</t>
  </si>
  <si>
    <t>COOP PRIX MARKEN 838103</t>
  </si>
  <si>
    <t>M: WalMart - School Spullies</t>
  </si>
  <si>
    <t>STORMBERG AVD. 89 BERGEN</t>
  </si>
  <si>
    <t>Grocery (Sprouts) - via Instacart</t>
  </si>
  <si>
    <t>4219 EXTRA BERGEN STORSEN</t>
  </si>
  <si>
    <t>G: Marinovich Block Party</t>
  </si>
  <si>
    <t>Vitacost.com</t>
  </si>
  <si>
    <t>FLOEISTUEN BUTIKK</t>
  </si>
  <si>
    <t>M: Amazon - Zip Ties</t>
  </si>
  <si>
    <t>TARGET.COM</t>
  </si>
  <si>
    <t>M: Amazon - Privacy Hedge - Artificial</t>
  </si>
  <si>
    <t>TOR GADEHOLT</t>
  </si>
  <si>
    <t>G: Amazon - Saanya's Gift + London Telephone</t>
  </si>
  <si>
    <t>ZETTLE_*FLOYEN SERVERI</t>
  </si>
  <si>
    <t>MANDALAY SUSHI AND BURMES</t>
  </si>
  <si>
    <t>BAKER BRUN 127</t>
  </si>
  <si>
    <t>BERLE BRYGGEN AS</t>
  </si>
  <si>
    <t>JULEHUSET</t>
  </si>
  <si>
    <t>Classes: Udemy - Python</t>
  </si>
  <si>
    <t>REMA 1000 KORSKIRKEKVARTA</t>
  </si>
  <si>
    <t>Grocery (GO) - Instacart</t>
  </si>
  <si>
    <t>FLOEIBANEN TURISTINFO</t>
  </si>
  <si>
    <t>M: ProductifyOS - Toolkitq30</t>
  </si>
  <si>
    <t>FISH ME FISKETORGET</t>
  </si>
  <si>
    <t>M: Amazon - Axe Deo</t>
  </si>
  <si>
    <t>Way Nor</t>
  </si>
  <si>
    <t>MA: Amazon - Sunglasses x 4</t>
  </si>
  <si>
    <t>G: Baggage for SP's mom</t>
  </si>
  <si>
    <t>MA: Nike</t>
  </si>
  <si>
    <t>Pet-Travel - Rover</t>
  </si>
  <si>
    <t>Quizlet</t>
  </si>
  <si>
    <t>New India Bazar</t>
  </si>
  <si>
    <t>F: Dutch Fidg and Chips - Schipol airport</t>
  </si>
  <si>
    <t>F: Dutch Figs and Chips - Schipol airport</t>
  </si>
  <si>
    <t>Gas (Alitm)</t>
  </si>
  <si>
    <t>Sept'02</t>
  </si>
  <si>
    <t>Sep'03</t>
  </si>
  <si>
    <t>Sep'04</t>
  </si>
  <si>
    <t>Sep'05</t>
  </si>
  <si>
    <t>Sep'06</t>
  </si>
  <si>
    <t>Sep'07</t>
  </si>
  <si>
    <t>Sep'08</t>
  </si>
  <si>
    <t>Sep'09</t>
  </si>
  <si>
    <t>Sep'10</t>
  </si>
  <si>
    <t>Sep'11</t>
  </si>
  <si>
    <t>Sep'12</t>
  </si>
  <si>
    <t>Sep'13</t>
  </si>
  <si>
    <t>Sep'14</t>
  </si>
  <si>
    <t>Sep'15</t>
  </si>
  <si>
    <t>Sep'16</t>
  </si>
  <si>
    <t>Sep'17</t>
  </si>
  <si>
    <t>Sep'18</t>
  </si>
  <si>
    <t>Sep'19</t>
  </si>
  <si>
    <t>Sep'20</t>
  </si>
  <si>
    <t>Sep'21</t>
  </si>
  <si>
    <t>Sep'22</t>
  </si>
  <si>
    <t>Sep'23</t>
  </si>
  <si>
    <t>Sep'24</t>
  </si>
  <si>
    <t>Kids: Anishka And Sara's Piano</t>
  </si>
  <si>
    <t>M: CVS : folders Etc (ret -24)</t>
  </si>
  <si>
    <t>Ed: Babson Tuition S (Re -4020)</t>
  </si>
  <si>
    <t>F: Picadilly Pub, Marlborough, MA</t>
  </si>
  <si>
    <t>Meds: Sara's 4 month apt Co-Pay</t>
  </si>
  <si>
    <t>F: Wegmans (Aai, Baba and us)</t>
  </si>
  <si>
    <t>Gas (Travel: Honda Pilot)</t>
  </si>
  <si>
    <t>Kids:Classes: Swimmimg Classes</t>
  </si>
  <si>
    <t>Kids: Y- After School Program (733 - Grade 3 + 764 - K)</t>
  </si>
  <si>
    <t xml:space="preserve">Kids: Y- After School Program </t>
  </si>
  <si>
    <t>Classes: MVHS - HS Purchaes + PTSA + ASB</t>
  </si>
  <si>
    <t>Ed: Babson Tuition R (Re -4506)</t>
  </si>
  <si>
    <t>Grocery (IG) - India Cash n Carry</t>
  </si>
  <si>
    <t xml:space="preserve">ASE Classes: Mathnasium 295*12 </t>
  </si>
  <si>
    <t>Kids: After school program - Karate</t>
  </si>
  <si>
    <t>Classes: SkyView Volleyball</t>
  </si>
  <si>
    <t>Classes:  USVYL Volleyball</t>
  </si>
  <si>
    <t>Classes:  MVVC</t>
  </si>
  <si>
    <t>F: Mac Grill, Grp</t>
  </si>
  <si>
    <t>Ed: Course Pack MTIE</t>
  </si>
  <si>
    <t>Meds: UTI test strips</t>
  </si>
  <si>
    <t>F: Dunkin, CT Service Plaza</t>
  </si>
  <si>
    <t>EET: Santana Row, San Jose</t>
  </si>
  <si>
    <t>ASE Classes: Piano Classes 45 per class (45*8)*12: 360 pp/m</t>
  </si>
  <si>
    <t>Kids: After school program - Raspberry Pi</t>
  </si>
  <si>
    <t>Classes: LASD Soccer - Coach Ken</t>
  </si>
  <si>
    <t>Classes: Yosemite Trip for Sara</t>
  </si>
  <si>
    <t>MA: Gap, Garden State Mall, NJ</t>
  </si>
  <si>
    <t>M: Car Sun Shade</t>
  </si>
  <si>
    <t>KM: Diapers: Target</t>
  </si>
  <si>
    <t>Car (Altima): 12K (Oil Change + Tire rotation)</t>
  </si>
  <si>
    <t>EET: Davis Farmland, Sterling, MA</t>
  </si>
  <si>
    <t>Parking: Logan Airport (drop off Aai Baba)</t>
  </si>
  <si>
    <t>Kids: Classes: Marathi (375 - 187)</t>
  </si>
  <si>
    <t>F: Kara's Cupcakes, Santana row</t>
  </si>
  <si>
    <t>ASE Classes: Track &amp; Field</t>
  </si>
  <si>
    <t>Kids: After school program - Chess</t>
  </si>
  <si>
    <t>M: WalMart - Packing Supplies</t>
  </si>
  <si>
    <t>Grocery (Amazon - Sub) - Mulberries</t>
  </si>
  <si>
    <t>Classes: Track and Field</t>
  </si>
  <si>
    <t>G: Gap, Garden State Mall, NJ</t>
  </si>
  <si>
    <t>Car: Parking: MGH, Boston</t>
  </si>
  <si>
    <t>F: Davis Farmland</t>
  </si>
  <si>
    <t>Kids: STB: Lego - Sara</t>
  </si>
  <si>
    <t>F: Starbucks, Santana Row</t>
  </si>
  <si>
    <t>ASE Classes: Soccer</t>
  </si>
  <si>
    <t>Kids: LASD Basketball</t>
  </si>
  <si>
    <t>Grocery (Amazon - Sub) - Almond Milk</t>
  </si>
  <si>
    <t>Classes:  MVVC - Jerseys</t>
  </si>
  <si>
    <t>Niagara Trip</t>
  </si>
  <si>
    <t>MA: BR, Garden State Mall, NJ</t>
  </si>
  <si>
    <t>Car: Parking, Lakshmi Temple</t>
  </si>
  <si>
    <t>Car: Headlight : altima</t>
  </si>
  <si>
    <t>MA: Marshalls: Shivani</t>
  </si>
  <si>
    <t>Kids: School: Rest Mat</t>
  </si>
  <si>
    <t>Fees: MIT Readmit</t>
  </si>
  <si>
    <t>Grocery (Felipe Market)</t>
  </si>
  <si>
    <t>ASE Classes: Chess Club - Almond - SRP (Sep-Dec) 43/mm</t>
  </si>
  <si>
    <t>ASE Classes: Chess Club - Almond  x 2</t>
  </si>
  <si>
    <t>M: Nail Cutter</t>
  </si>
  <si>
    <t>Grocery (Amazon - Sub) - Cashew Pieces</t>
  </si>
  <si>
    <t>Classes: Track and Field - Bus</t>
  </si>
  <si>
    <t>Classes: MVVC - AAU Membership</t>
  </si>
  <si>
    <t>Classes: Sara's BL Bootcamp at Berkeley 8/31-9/1</t>
  </si>
  <si>
    <t>Camera Rolls</t>
  </si>
  <si>
    <t>Car: Altima Servicing + Misc</t>
  </si>
  <si>
    <t>MA: BCF, Garden State Mall, NJ</t>
  </si>
  <si>
    <t>E: BwCinema</t>
  </si>
  <si>
    <t>G: TJX for Aarti</t>
  </si>
  <si>
    <t>EET: MoS : Sara's first visit to Museum of Scrience</t>
  </si>
  <si>
    <t>Kids: Sara's first day at St.Bernadette</t>
  </si>
  <si>
    <t>Parking Ticket: MIT</t>
  </si>
  <si>
    <t>Kids: School - STB Tuition ($624 per month)</t>
  </si>
  <si>
    <t>ASE: Taekwondo: Trial Classes x 60 x2</t>
  </si>
  <si>
    <t>ASE Classes: Karate x 2</t>
  </si>
  <si>
    <t>MA: FabIndia - SRP</t>
  </si>
  <si>
    <t>Grocery (GO</t>
  </si>
  <si>
    <t>Grocery (Amazon - Sub) - Listerine</t>
  </si>
  <si>
    <t>MA: Nike - Running Shoes for Sara Size 7</t>
  </si>
  <si>
    <t>Parking: Pier 39</t>
  </si>
  <si>
    <t>Niagara: Misc Food</t>
  </si>
  <si>
    <t>F: Vieux Montreal (Rotissiere)</t>
  </si>
  <si>
    <t>Morning: Lunch at Mango for Shibu and</t>
  </si>
  <si>
    <t>M: Kitchen stuff, Garden State Mall, NJ</t>
  </si>
  <si>
    <t>KM: Petroleum Jelly, Saline Drop</t>
  </si>
  <si>
    <t>Parking: MoS</t>
  </si>
  <si>
    <t>Grocery (WM)</t>
  </si>
  <si>
    <t>F: Quatro, Hopkinton, MA</t>
  </si>
  <si>
    <t>EET: Shivani's 40th Birthday Celebration - Trip to Maui</t>
  </si>
  <si>
    <t>MA: Amazon,in - Ethincwear</t>
  </si>
  <si>
    <t>Grocery (Amazon - Sub) - Hydrocortizone</t>
  </si>
  <si>
    <t>Niagara Gift Shop</t>
  </si>
  <si>
    <t>E: Montreal Subway</t>
  </si>
  <si>
    <t>dinner at Olive Garden</t>
  </si>
  <si>
    <t>F: Lotus Exp, Chinese, NJ Mall</t>
  </si>
  <si>
    <t>M:Shutterfly Photo Prints</t>
  </si>
  <si>
    <t>MA: Sunglasses: TJX</t>
  </si>
  <si>
    <t>F: EMC - Soups etc</t>
  </si>
  <si>
    <t xml:space="preserve">G: Price Chopper - Flowers </t>
  </si>
  <si>
    <t>M: Haricut - Rahul + Sara</t>
  </si>
  <si>
    <t>EET: Hotel - Ritz Calrton</t>
  </si>
  <si>
    <t xml:space="preserve">M: Amazon.in </t>
  </si>
  <si>
    <t>Grocery (Amazon - Sub) - TrueOrange</t>
  </si>
  <si>
    <t>F: Menchie's - Berkeley</t>
  </si>
  <si>
    <t>Hard Rock Café (Niagara Falls)</t>
  </si>
  <si>
    <t>M: Card : HallMark</t>
  </si>
  <si>
    <t>Meds: Target: Pacifier, Bottle nipples</t>
  </si>
  <si>
    <t>F: EMC outing (Shivani)</t>
  </si>
  <si>
    <t>EET: Seafood festival, Hampton Beach - Entry fee</t>
  </si>
  <si>
    <t>F: Mirchi</t>
  </si>
  <si>
    <t xml:space="preserve">School: PTA + LAEF Donation </t>
  </si>
  <si>
    <t xml:space="preserve">EET: Flights </t>
  </si>
  <si>
    <t>MA: Amazon.in - Ethnicwear</t>
  </si>
  <si>
    <t>Grocery (Amazon - Sub) - Hydrasurge</t>
  </si>
  <si>
    <t>F: Xpression - Indian - Samsoa - (Another fight)</t>
  </si>
  <si>
    <t>F: Amir, Montreal (Lebanese)</t>
  </si>
  <si>
    <t>M: Earrings: Macy's Ret -23</t>
  </si>
  <si>
    <t>G: Throw for Aai (Walmart)</t>
  </si>
  <si>
    <t>Car: Parking, Hampton Beach, NH</t>
  </si>
  <si>
    <t>Car: Nissan Altima Brake Light</t>
  </si>
  <si>
    <t>F: Barking Claw</t>
  </si>
  <si>
    <t>Grocery (Target) - Cake Mixes</t>
  </si>
  <si>
    <t>EET: Computer History Museum</t>
  </si>
  <si>
    <t>M: Amazon - AXE (x18)</t>
  </si>
  <si>
    <t>MA: Under Armour - Zoo's Shoes</t>
  </si>
  <si>
    <t>Grocery (Amazon - Sub) - Weetabix</t>
  </si>
  <si>
    <t>F: Pier 39 - Fudge + Caramel Apple</t>
  </si>
  <si>
    <t>F: Latte, Stad de Olympique, Montreal</t>
  </si>
  <si>
    <t>G: Welcome India: Shivani 's lost bet</t>
  </si>
  <si>
    <t>M: Flat Screen LCD, Viewsonic, Buy.com</t>
  </si>
  <si>
    <t>Parking: MIT</t>
  </si>
  <si>
    <t>MK: Kitchen (Glass containers- WalmarT)</t>
  </si>
  <si>
    <t>F: Lobster Rolls (2)</t>
  </si>
  <si>
    <t>Gifts: Amazon GC, CVX - Sarveshi, Agastya (101 + 101)</t>
  </si>
  <si>
    <t>EET: Ferry to Martha's Vineyard</t>
  </si>
  <si>
    <t>Gas (Altima) + Air</t>
  </si>
  <si>
    <t>F: Zareen's - Mountain View</t>
  </si>
  <si>
    <t>Grocery (Amazon - Sub) - Hoagie Spread</t>
  </si>
  <si>
    <t>F: SAJJ - Baba Ghanoush</t>
  </si>
  <si>
    <t>F: Chinese, Burlington</t>
  </si>
  <si>
    <t>Grocery : Fish SnS</t>
  </si>
  <si>
    <t>F: Shanghai Garden, Montreal</t>
  </si>
  <si>
    <t>F: Welcome India: Shivani</t>
  </si>
  <si>
    <t>Phone: iPhone 3S x 2</t>
  </si>
  <si>
    <t>M: Books for Sara: Target</t>
  </si>
  <si>
    <t>MA: Target (Tshirt for Sara)</t>
  </si>
  <si>
    <t>Parking: Hampton Beach, NH</t>
  </si>
  <si>
    <t>F: Shrimp on a stick + Calamari</t>
  </si>
  <si>
    <t>Gas (Audi) - 67+ 18</t>
  </si>
  <si>
    <t>EET: Bus Ride Vineyard Haven to Oaks Bluff</t>
  </si>
  <si>
    <t>MA: target - Hogwarts - T-shirt</t>
  </si>
  <si>
    <t>Grocery (Amazon)  - Quest Protein Powder -Banana</t>
  </si>
  <si>
    <t>Kids: Weekend - Basketball</t>
  </si>
  <si>
    <t>M: Amazon - Dehydrator Rack</t>
  </si>
  <si>
    <t>Grocery (Amazon - Sub) - Almonds</t>
  </si>
  <si>
    <t>Dinner (Bombay Mahal)</t>
  </si>
  <si>
    <t>E: Blockbuster (Just Married)</t>
  </si>
  <si>
    <t>E: Spiderman - 2, IMAX</t>
  </si>
  <si>
    <t>F: Milk, Sandman, Longueuil,QC</t>
  </si>
  <si>
    <t>Misc: Fan : Walmart</t>
  </si>
  <si>
    <t>M: Birthday Cake + Card + Chocs</t>
  </si>
  <si>
    <t>Grocery (Cake etc)</t>
  </si>
  <si>
    <t>M: FAST Lane</t>
  </si>
  <si>
    <t>F: Hampton Beach: Sea food Featival Entry</t>
  </si>
  <si>
    <t>F: BBQ Ribs</t>
  </si>
  <si>
    <t>EET: Perusima Creek Trail, Half Moon Bay, CA</t>
  </si>
  <si>
    <t>Grocery (Amazon) - Annie's Mac &amp; Cheese</t>
  </si>
  <si>
    <t>F: Treats on Castro</t>
  </si>
  <si>
    <t>M: Amazon - Rosehip + Cream</t>
  </si>
  <si>
    <t>MA: Amazon - Mens Belt</t>
  </si>
  <si>
    <t>To India</t>
  </si>
  <si>
    <t>Meds : Aspen Dental</t>
  </si>
  <si>
    <t>F: The Aulde Dubliner, Ottawa, CA</t>
  </si>
  <si>
    <t>Car: Altima : CV Boot : pre Order parts</t>
  </si>
  <si>
    <t>F: Dikki, Westboro</t>
  </si>
  <si>
    <t>F: Penang, Boston</t>
  </si>
  <si>
    <t>MA: North Face Jacket (Shivani bday gift)</t>
  </si>
  <si>
    <t>EET: Castle Island for Q2's birthday</t>
  </si>
  <si>
    <t>F: Hampton Beach: Sea food Featival - Shrimps + LR + Pizza</t>
  </si>
  <si>
    <t>F: Grilled Lobster Tails</t>
  </si>
  <si>
    <t>MA: Kohls - HP t-shirt + PJs</t>
  </si>
  <si>
    <t>Kids: Ed: Amazon - Books</t>
  </si>
  <si>
    <t>Misc. (Barnes n Nobles)</t>
  </si>
  <si>
    <t>Gifts : Dessert, Victory, Waltham</t>
  </si>
  <si>
    <t>E: Canada Air Museum</t>
  </si>
  <si>
    <t>E: Cricket : TASS</t>
  </si>
  <si>
    <t>MA: Marshalls, RL for Shivani -30</t>
  </si>
  <si>
    <t>M: Sara's passport photos</t>
  </si>
  <si>
    <t>EET: Sarveshi's surprise visit</t>
  </si>
  <si>
    <t>MA: TJX (Shameen + NJ = 6 + 9)</t>
  </si>
  <si>
    <t>Grocery (Market Bakset)</t>
  </si>
  <si>
    <t>Grocery (Amazon) - Reynolds Wrap</t>
  </si>
  <si>
    <t>MK: Kohls - Flipwich + Tray</t>
  </si>
  <si>
    <t>Kids: Almond School PTA</t>
  </si>
  <si>
    <t>Grocery (Amazon) - Paper Towel</t>
  </si>
  <si>
    <t xml:space="preserve">MH: Gardener - Cleanup </t>
  </si>
  <si>
    <t>PayCheck</t>
  </si>
  <si>
    <t>E: Ottawa River Cruise</t>
  </si>
  <si>
    <t>M: Hair Cut, Great Cuts, RS</t>
  </si>
  <si>
    <t>T: parking, Boston Common Garage</t>
  </si>
  <si>
    <t>F: Thai, Ashland, MA</t>
  </si>
  <si>
    <t>MA: MIT COOP: T shirt for Shivani (bday gift)</t>
  </si>
  <si>
    <t>F: HotBreads</t>
  </si>
  <si>
    <t>EET: Trian ride</t>
  </si>
  <si>
    <t>EET: Greeway Carousel</t>
  </si>
  <si>
    <t>Grocery (Amazon)  - Trash Bags</t>
  </si>
  <si>
    <t>G: Tip for wheelchair - SFO airport - Baba</t>
  </si>
  <si>
    <t>Grocery (Amazon) - Trash</t>
  </si>
  <si>
    <t>M: Camera Rolls, Ottawa</t>
  </si>
  <si>
    <t>G: Berlin Fair</t>
  </si>
  <si>
    <t>Trip to the temple in the evening</t>
  </si>
  <si>
    <t>Car: Logan airport parking</t>
  </si>
  <si>
    <t>Grocery (Wegmans) - Cakes</t>
  </si>
  <si>
    <t>MA: Indian Dress for Shivani</t>
  </si>
  <si>
    <t>F: PhoLovers, Sunnyvale</t>
  </si>
  <si>
    <t>G: Target - Ashley (Sara)</t>
  </si>
  <si>
    <t>MV Arts &amp; wine - Waterball</t>
  </si>
  <si>
    <t>Misc. (Victoria's Secret)</t>
  </si>
  <si>
    <t>Car : Towing</t>
  </si>
  <si>
    <t>M: Walmart : Bday Cards</t>
  </si>
  <si>
    <t>F: Indian, Byward Market</t>
  </si>
  <si>
    <t>E: BwCinema (Kaminey)</t>
  </si>
  <si>
    <t>F: Rotisserie Chicken, SnS</t>
  </si>
  <si>
    <t>G: MIT t-shirt for Sarveshi, Logan Airport</t>
  </si>
  <si>
    <t>F: Shivani's B'day - Mayuri</t>
  </si>
  <si>
    <t>F: Dunkin Donuts, Half Moon Bay</t>
  </si>
  <si>
    <t>Grocery (Trader's Joe)</t>
  </si>
  <si>
    <t>G: Target - Liliana (Sara)</t>
  </si>
  <si>
    <t>MR: Electic Circuit for Living Room</t>
  </si>
  <si>
    <t>F: Starbucks z 2</t>
  </si>
  <si>
    <t>Toll</t>
  </si>
  <si>
    <t>M: USA Visa + Reciprocity Fee</t>
  </si>
  <si>
    <t>F:P&amp;S</t>
  </si>
  <si>
    <t>F: Dunkin, Logan</t>
  </si>
  <si>
    <t>MA: TRUS</t>
  </si>
  <si>
    <t>EET: Guardians of the Galaxy - 19-10</t>
  </si>
  <si>
    <t xml:space="preserve">Gas (Altima) </t>
  </si>
  <si>
    <t>Grocery (Amazon) - OxiClean</t>
  </si>
  <si>
    <t>Grocery (Amazon) - FlaxChia</t>
  </si>
  <si>
    <t>Grocery (Amazon) - It's Milk</t>
  </si>
  <si>
    <t>F: MV Arts * Wine: Sara</t>
  </si>
  <si>
    <t>B'day (Siddhu)</t>
  </si>
  <si>
    <t>M: Gmat Books, Amazon (-37)</t>
  </si>
  <si>
    <t>Car : CV Boot : Altima</t>
  </si>
  <si>
    <t>E: Movie : Ratatouille</t>
  </si>
  <si>
    <t>Car: 100K Servicing Audi</t>
  </si>
  <si>
    <t>G: Food for Shivani's surprise party (P&amp;S)</t>
  </si>
  <si>
    <t>M: Books for Sara: Clinton Library</t>
  </si>
  <si>
    <t>MA:TJX (B'day gift for Shivani)</t>
  </si>
  <si>
    <t>EET: Mission Impossible 6: Rogue Nation</t>
  </si>
  <si>
    <t>M: iPhone Charger Cable</t>
  </si>
  <si>
    <t>F: Alexander's Pattiserie</t>
  </si>
  <si>
    <t>Grocery (Amazon) - JackedFactory - x 3</t>
  </si>
  <si>
    <t>Meds: Co Pay (CVS)</t>
  </si>
  <si>
    <t>F: Pizzeria Del Compari,QL, Montreal</t>
  </si>
  <si>
    <t xml:space="preserve">Car: Audi 80K Servicing </t>
  </si>
  <si>
    <t>G: Roomba for Aai Ret -97</t>
  </si>
  <si>
    <t>Baked cake + Ganapati pooja + Rutland + Wachusett</t>
  </si>
  <si>
    <t>M: Misc b'day stuff: Cake, Wine, Cards etc</t>
  </si>
  <si>
    <t>EET: Mountain View - Arts and Wines Festival</t>
  </si>
  <si>
    <t>EET: Los Altos History Museum</t>
  </si>
  <si>
    <t>Trans: Shupershuttle to the Airport</t>
  </si>
  <si>
    <t>MK: Amazon - Tramontina Sauce Pan</t>
  </si>
  <si>
    <t>Grocery (Amazon) -  Febereeze</t>
  </si>
  <si>
    <t>M: Parking, Walden Pond</t>
  </si>
  <si>
    <t>F: SkipJack, Natick, MA</t>
  </si>
  <si>
    <t>F: Guiesspie's grill</t>
  </si>
  <si>
    <t>F: Marathon Pub, TCE lunch</t>
  </si>
  <si>
    <t>M: Book: German history</t>
  </si>
  <si>
    <t>EET: Redbox - Wizard of Oz</t>
  </si>
  <si>
    <t>Meds: Anishka's visit to Dec</t>
  </si>
  <si>
    <t>Car Parking : Arts &amp; Wine Festival</t>
  </si>
  <si>
    <t>MA: Marshalls - RP - 28</t>
  </si>
  <si>
    <t>F: Tin Roof Cafe</t>
  </si>
  <si>
    <t>M: Amazon - Roomba Replacement Battery</t>
  </si>
  <si>
    <t>Grocery (Amazon) - Egg Portein</t>
  </si>
  <si>
    <t>M: Haircut (GC - Le)</t>
  </si>
  <si>
    <t>M: Amazon - Sewing Machine</t>
  </si>
  <si>
    <t>Grocery (Amazon) - Monk Fruit w/ Allulose</t>
  </si>
  <si>
    <t>Gas (Galant)</t>
  </si>
  <si>
    <t xml:space="preserve">M: Apple Picking </t>
  </si>
  <si>
    <t>F: Eggcellent</t>
  </si>
  <si>
    <t xml:space="preserve">G: Shameen </t>
  </si>
  <si>
    <t>KM: Target: Formula</t>
  </si>
  <si>
    <t>Meds: CVS - Anishka's Meds</t>
  </si>
  <si>
    <t>EET: Movie in the park (Clinton Central Park)</t>
  </si>
  <si>
    <t>G: Brownie - WalMart: Dinner at Phil's</t>
  </si>
  <si>
    <t>F: Grocery (Honolua Store)</t>
  </si>
  <si>
    <t>F: MTV - Food and Wine Festival - Chicken Teriyaki Noodle Plate</t>
  </si>
  <si>
    <t>Grocery (Amazon) - Konjac</t>
  </si>
  <si>
    <t>Grocery (Amazon) - Moringa Powder</t>
  </si>
  <si>
    <t>M: Amazon - Sewing kit</t>
  </si>
  <si>
    <t>Grocey (Amazon) - Tuna in water</t>
  </si>
  <si>
    <t>E: Movie (Kuch Na Kaho)</t>
  </si>
  <si>
    <t>Gifts: Apples</t>
  </si>
  <si>
    <t xml:space="preserve">Gifts : Maple </t>
  </si>
  <si>
    <t>Meds : BT</t>
  </si>
  <si>
    <t>F: Prasad Temple</t>
  </si>
  <si>
    <t>G:  Anand</t>
  </si>
  <si>
    <t xml:space="preserve">M: Haircut : Baba </t>
  </si>
  <si>
    <t>F: Subway Milford</t>
  </si>
  <si>
    <t>EET: Martha's Vineyard (Oaks Bluff ferry)</t>
  </si>
  <si>
    <t>M: Walmart - Bday Cards</t>
  </si>
  <si>
    <t>M: Amazon - Weighing Scale</t>
  </si>
  <si>
    <t>F: Pinacolada</t>
  </si>
  <si>
    <t>EET: SF - Crissy Field</t>
  </si>
  <si>
    <t>EET: AlaskaAir - baggage</t>
  </si>
  <si>
    <t>F: Biryani and Kebab - Sunnyvale</t>
  </si>
  <si>
    <t>Grocery (Amazon) - L'Oreal Shampoo</t>
  </si>
  <si>
    <t>Grocery (Amazon) - Tampons</t>
  </si>
  <si>
    <t>Gift to India</t>
  </si>
  <si>
    <t>Food: Tech Pizza</t>
  </si>
  <si>
    <t>M: Table + Basket</t>
  </si>
  <si>
    <t xml:space="preserve">M : Maple </t>
  </si>
  <si>
    <t>Meds : CVS : L</t>
  </si>
  <si>
    <t>MH: IKEA : Bunk Bed + Dresser</t>
  </si>
  <si>
    <t>MA: The Limited</t>
  </si>
  <si>
    <t>EET: Hampton Seafood Festival  - Entry fee</t>
  </si>
  <si>
    <t>F: Spicy Corn Pack</t>
  </si>
  <si>
    <t>Car: Parking: Crissy Field</t>
  </si>
  <si>
    <t>F: Grocery (Foodland Stores)</t>
  </si>
  <si>
    <t>F: Apna Bazar - Ras Malai, Milk Cake, Jalebi</t>
  </si>
  <si>
    <t xml:space="preserve">Grocery (Amazon) - Bounty </t>
  </si>
  <si>
    <t>F: Master Butcher via Doordash</t>
  </si>
  <si>
    <t>Misc (Gift)</t>
  </si>
  <si>
    <t>C: Parking, Quartier Latin</t>
  </si>
  <si>
    <t>Meds CVS : V</t>
  </si>
  <si>
    <t>Ed: Babson CoursePack</t>
  </si>
  <si>
    <t>MA: Forever 21</t>
  </si>
  <si>
    <t>F: Lobster Roll, Hampton Seafood Festival</t>
  </si>
  <si>
    <t>F: Starbucks, Casto Street, MTV</t>
  </si>
  <si>
    <t>F: Golden Gate Bridge: Bridge Café - Hot Chocolate</t>
  </si>
  <si>
    <t>SRP - Bday Gift M: Amazon - Coffe Maker</t>
  </si>
  <si>
    <t>Grocety (Amazon)  - Starbucks</t>
  </si>
  <si>
    <t>Barnes n Noble</t>
  </si>
  <si>
    <t>Grocery (Sugar, Cumberland)</t>
  </si>
  <si>
    <t>C: Parking Ottawa (2)</t>
  </si>
  <si>
    <t>E: Garbha : Dandiya</t>
  </si>
  <si>
    <t>M: Amazon : Books</t>
  </si>
  <si>
    <t>M: Wireless Router for India</t>
  </si>
  <si>
    <t>F: Berry Yogurt, Patriot Place</t>
  </si>
  <si>
    <t>Car:Air for Tires</t>
  </si>
  <si>
    <t xml:space="preserve">MK: Blender </t>
  </si>
  <si>
    <t>F: Shrimp Cocktail, Hampton Seafood Festival</t>
  </si>
  <si>
    <t>EET: Kids Zone: Slides, Bouncy House</t>
  </si>
  <si>
    <t>EET: Shoreline Boulevard</t>
  </si>
  <si>
    <t>F: Waille Farms - Road to Hana</t>
  </si>
  <si>
    <t>M: Apple - iPhone 11 Pro Max</t>
  </si>
  <si>
    <t>Grocery (Amazon) - Santa Cruz PB</t>
  </si>
  <si>
    <t>SRP - Bday Gift M: Amazon - Cold Brew Coffee Maker</t>
  </si>
  <si>
    <t>Grocery (Amazon) - Mr Meyer Cleaning</t>
  </si>
  <si>
    <t>M: VS (Perfumes)</t>
  </si>
  <si>
    <t>M: HairCut, Hair Cuttery</t>
  </si>
  <si>
    <t>G: Baba (Walmart)</t>
  </si>
  <si>
    <t>M: Amazon iPhone Covers</t>
  </si>
  <si>
    <t>M: Amazon : Diapers</t>
  </si>
  <si>
    <t>M: Berlin fair</t>
  </si>
  <si>
    <t>F: BBQ Pulled Pork Sandwich, Hampton Seafood Festival</t>
  </si>
  <si>
    <t>Fees: Y After care - Registration Fee</t>
  </si>
  <si>
    <t>EET: Picnic Lunch - Road to Hana</t>
  </si>
  <si>
    <t>MA: Old Navy - Jeans x 3</t>
  </si>
  <si>
    <t>SRP - Bday Gift M: Amazon - Fiskers Plant Trimmers</t>
  </si>
  <si>
    <t>Grocery (Rangoli Sweets)</t>
  </si>
  <si>
    <t>Grocery (Amazon) - Mr. Meyer - Hand wash</t>
  </si>
  <si>
    <t>Misc (Cards etc)</t>
  </si>
  <si>
    <t>M: Hair Clips</t>
  </si>
  <si>
    <t>MA: Walmart, Montreal</t>
  </si>
  <si>
    <t>MA: Earrings , Macys</t>
  </si>
  <si>
    <t>M: Babson FEI</t>
  </si>
  <si>
    <t>M: Car Charger : Kensignton, CC Ret -41</t>
  </si>
  <si>
    <t>F: Berlin Fair</t>
  </si>
  <si>
    <t>F: Chicken Tenders, Hampton Seafood Festival</t>
  </si>
  <si>
    <t xml:space="preserve">Kids: After Care (2 days/week)  Sep partial </t>
  </si>
  <si>
    <t>EET: Picnic Dinner - Wailea Beach</t>
  </si>
  <si>
    <t>Grocery (Amazon) - Mouthwash</t>
  </si>
  <si>
    <t>Grocery (Amazon) - Sushi Ginger</t>
  </si>
  <si>
    <t>SRP - Bday Gift M: Apple - AirTags</t>
  </si>
  <si>
    <t>Role Developing</t>
  </si>
  <si>
    <t>M: Cake (Haagen Daas)</t>
  </si>
  <si>
    <t>F: Nassau Colisuem</t>
  </si>
  <si>
    <t>OTEH: Walmart, Montreal</t>
  </si>
  <si>
    <t>MA: GAP : Jeans : R -20</t>
  </si>
  <si>
    <t>G: MagicJack</t>
  </si>
  <si>
    <t>M: Sara's PIO card</t>
  </si>
  <si>
    <t>F: Chutney's Harvard Square, with Sarveshi</t>
  </si>
  <si>
    <t>M: Hampton Beach - Bag + Sunglasses</t>
  </si>
  <si>
    <t>G: Sharanya's First Birthday</t>
  </si>
  <si>
    <t>M: ABC Store - Suncreen + Sun relief</t>
  </si>
  <si>
    <t>MA: Amazon - Mens T-shirt</t>
  </si>
  <si>
    <t>Misc (B'day Stuff)</t>
  </si>
  <si>
    <t>M: Wallet</t>
  </si>
  <si>
    <t>M: Parking, Nassau Coliseum</t>
  </si>
  <si>
    <t>M: Walmart, Montreal</t>
  </si>
  <si>
    <t>MA : Shibu Sweater top</t>
  </si>
  <si>
    <t>Grocery (Hannford)</t>
  </si>
  <si>
    <t>G: Cake for Kathy's b'day</t>
  </si>
  <si>
    <t>MA: Earring for Anishka</t>
  </si>
  <si>
    <t>M: TRUS , RTP, NC - Shivani's trip 16-18th to RTP</t>
  </si>
  <si>
    <t>F: Jumping Java - Coffee + Donut</t>
  </si>
  <si>
    <t>K:Classes: Mathnasium Registration</t>
  </si>
  <si>
    <t>F: Grocery (ABC Stores)</t>
  </si>
  <si>
    <t>M: Home Lock: Schlage</t>
  </si>
  <si>
    <t>MA: Under Armour - Active wear Tees</t>
  </si>
  <si>
    <t>M: Amazon - Room Fan</t>
  </si>
  <si>
    <t>Classes: AP WHAP - Heimershist</t>
  </si>
  <si>
    <t>Dinner (Treat, Rasoi)</t>
  </si>
  <si>
    <t>Gifts: Wallets</t>
  </si>
  <si>
    <t>F: Restaurant Pappillon Vieux Montreal</t>
  </si>
  <si>
    <t>MA: Pearl Necklace</t>
  </si>
  <si>
    <t>M: Height tape</t>
  </si>
  <si>
    <t xml:space="preserve">MA: Earring for Sara </t>
  </si>
  <si>
    <t>F: P&amp;S Pizza, Clinton</t>
  </si>
  <si>
    <t>G: Hannaford - Shivani's office party</t>
  </si>
  <si>
    <t>F: Lobster Tail, Hampton Seafood Festival</t>
  </si>
  <si>
    <t>MA: Walmart (Patriots T-Shirt)</t>
  </si>
  <si>
    <t>F: Johal Chaat and Curry</t>
  </si>
  <si>
    <t>F: Johal Chaat</t>
  </si>
  <si>
    <t>Grocery (Amazon) - Cookeis &amp; Cream</t>
  </si>
  <si>
    <t>M: Amazon - Backyard Shade</t>
  </si>
  <si>
    <t>F: Top Of The Hub</t>
  </si>
  <si>
    <t>F:Dragon: Shibu</t>
  </si>
  <si>
    <t>M: Montreal Mugs, Vieux Montreal</t>
  </si>
  <si>
    <t>E: Driving Range, Westboro</t>
  </si>
  <si>
    <t>MA: Sara's clothes</t>
  </si>
  <si>
    <t>G: High chair for Aarti</t>
  </si>
  <si>
    <t>M: Anniversary Ring for Shivani</t>
  </si>
  <si>
    <t>G: Kathy's birthday</t>
  </si>
  <si>
    <t>Car: Audi - Oil Change 145535 miles</t>
  </si>
  <si>
    <t>Car: Parking - Hampton Beach</t>
  </si>
  <si>
    <t>F: 808Grindz Cafe</t>
  </si>
  <si>
    <t>M: Container Store</t>
  </si>
  <si>
    <t>F: Breakfast</t>
  </si>
  <si>
    <t>G: Centrum for Aai</t>
  </si>
  <si>
    <t>M: CVS (Copay)</t>
  </si>
  <si>
    <t>M: Anishka's bday prep</t>
  </si>
  <si>
    <t>F: Grocery (Foodlands)</t>
  </si>
  <si>
    <t>Grocery (Amazon) - Electrolyte Powder</t>
  </si>
  <si>
    <t>F: Ramen Izaykaa</t>
  </si>
  <si>
    <t>Grocery (Amazon) - Green Seasoning</t>
  </si>
  <si>
    <t>F: Kashmir</t>
  </si>
  <si>
    <t>M: TJ Maxx Tommy Jacket</t>
  </si>
  <si>
    <t>Meds: Co Pay : UltraSound *******</t>
  </si>
  <si>
    <t>F: Tandoori Delight, CTS Complex (Charged for 2yr old)</t>
  </si>
  <si>
    <t>M: Anishka's b'day catering</t>
  </si>
  <si>
    <t>MA: TJX - Wallet</t>
  </si>
  <si>
    <t>F: Moonstone, Chelmsford, Shivani's GNO</t>
  </si>
  <si>
    <t>MA: Lahaina Cannery Mall - Necklace. Earring: L</t>
  </si>
  <si>
    <t>Grocery (Amazon) - Nescafe Instant Coffee x 2</t>
  </si>
  <si>
    <t>F: Doordash - Masterbutcher</t>
  </si>
  <si>
    <t>Swimming Lessons</t>
  </si>
  <si>
    <t>Gifts : Treat Kashmir</t>
  </si>
  <si>
    <t>Gifts : Kavita, TJ</t>
  </si>
  <si>
    <t>M: Quebec Potrait</t>
  </si>
  <si>
    <t>EET: Marriott Falls Church, VA</t>
  </si>
  <si>
    <t>G; HomeGoods for Aarthi</t>
  </si>
  <si>
    <t>M: Anishka's bday hall (First Parish Church, Berlin)</t>
  </si>
  <si>
    <t>Grocery: Tougas Family Farm (Picked 21lbs of Apple)</t>
  </si>
  <si>
    <t>MA: Mambo - Ebay</t>
  </si>
  <si>
    <t>F: Grocery (Safeway)</t>
  </si>
  <si>
    <t>G: Anishka's friends plushies</t>
  </si>
  <si>
    <t>SRP: Birthday Gift - Coach - Wallet bag + Hat</t>
  </si>
  <si>
    <t>Grocery (Walmart) - Instacart</t>
  </si>
  <si>
    <t>Lunch (Bertucci)</t>
  </si>
  <si>
    <t>Gits: Gucci (Siddhesh)</t>
  </si>
  <si>
    <t>C: Parking Quebec</t>
  </si>
  <si>
    <t>Meds: Medco</t>
  </si>
  <si>
    <t>Total B'day Expenses</t>
  </si>
  <si>
    <t>M: Board games - Target</t>
  </si>
  <si>
    <t>F: Tougas Farm - Caramel Apple</t>
  </si>
  <si>
    <t>M: iPhone Car Charger - 6 Port</t>
  </si>
  <si>
    <t>F: Pho Avenue, Mountain View</t>
  </si>
  <si>
    <t>Grocery (Amazon) - Crystallized Lemon</t>
  </si>
  <si>
    <t>M: Screen Projector WeWatch</t>
  </si>
  <si>
    <t>SRP: Birthday Gift - Amazon - Summer Hat</t>
  </si>
  <si>
    <t>E: NEMM</t>
  </si>
  <si>
    <t>OTE : Parking Ticket</t>
  </si>
  <si>
    <t>F: Ice</t>
  </si>
  <si>
    <t>Gift (Sweetie's Wedding)</t>
  </si>
  <si>
    <t>Ed: Book: Back of the Napkin: ESD.945</t>
  </si>
  <si>
    <t>Grocery: Tougas Farm - Pumpkins</t>
  </si>
  <si>
    <t>F: Viks'  Berkeley</t>
  </si>
  <si>
    <t>F: Grocery (Napili Market)</t>
  </si>
  <si>
    <t>Grocery (Amazon) - Rum Extract</t>
  </si>
  <si>
    <t>Grocery (Amazon) - Butter Pecan</t>
  </si>
  <si>
    <t>Misc : (Eddie Bauer, Sweater)</t>
  </si>
  <si>
    <t>F: Burlington Mall</t>
  </si>
  <si>
    <t>OTEH : Teddy Bear</t>
  </si>
  <si>
    <t>F: P&amp;S Pizza, Clinton, MA</t>
  </si>
  <si>
    <t>F: McDonald's Service Plaza</t>
  </si>
  <si>
    <t>M: USPS Postage</t>
  </si>
  <si>
    <t>M: Belkin Surge protector, Newegg</t>
  </si>
  <si>
    <t>MA: Kasper: Shivani's blazer</t>
  </si>
  <si>
    <t>EET: Tilden Reserve Park</t>
  </si>
  <si>
    <t>F: Honulua Store</t>
  </si>
  <si>
    <t>MA (Amzon) - Nike Shoes for Zoo</t>
  </si>
  <si>
    <t>Meds: Eye Optometry (Zoo/Nish)</t>
  </si>
  <si>
    <t>Misc: (Filene's)</t>
  </si>
  <si>
    <t>F: Pain De Quebec, Viuex Quebec</t>
  </si>
  <si>
    <t>F: Dinner: Applebee's</t>
  </si>
  <si>
    <t>MCK: Nanny (Liz) - 4 hours</t>
  </si>
  <si>
    <t>MA: J. Crew - Rahul</t>
  </si>
  <si>
    <t>MA: Kohls - PJs</t>
  </si>
  <si>
    <t>EET: Steam Train - Tilden Park</t>
  </si>
  <si>
    <t>F: Pizza Paradiso, Lahaina, HI (Pizza + Baklava)</t>
  </si>
  <si>
    <t>Grocery (Amazon) - Buffalo Seasoning</t>
  </si>
  <si>
    <t>Grocery (Amazon) - Electrolytes x 2</t>
  </si>
  <si>
    <t>MA: Amazon - Mens Polo</t>
  </si>
  <si>
    <t>Misc: (Gap)</t>
  </si>
  <si>
    <t>F: Dinner Café Tuscon, Quebec</t>
  </si>
  <si>
    <t>F: Break Bast, Cobi's</t>
  </si>
  <si>
    <t>Home: Central Air repair: Freon</t>
  </si>
  <si>
    <t>Parking: MOS</t>
  </si>
  <si>
    <t>MA: Stride Ride - Sara</t>
  </si>
  <si>
    <t>EET: Hawaiian Airlines - baggage</t>
  </si>
  <si>
    <t>M (Amazon) - Duct Tape</t>
  </si>
  <si>
    <t>Meds: ECG</t>
  </si>
  <si>
    <t>M: Amazon - AirPod Cover</t>
  </si>
  <si>
    <t>F: Starbucks (Sara)</t>
  </si>
  <si>
    <t>Misc : (Filenes' Album)</t>
  </si>
  <si>
    <t>Grocery (Star Market)</t>
  </si>
  <si>
    <t>F: Baystate Bakery, Worcester</t>
  </si>
  <si>
    <t>C: Parking Montmorency Falls</t>
  </si>
  <si>
    <t>G: TJ : Tim - ISEC, EMC</t>
  </si>
  <si>
    <t>F: Lincoln Memorial Food Plaza</t>
  </si>
  <si>
    <t>EET: Apple Picking - Tougas Farm</t>
  </si>
  <si>
    <t>MA: Coach - Shivani's b'day gift</t>
  </si>
  <si>
    <t>Kids: School: Field Trip Donation</t>
  </si>
  <si>
    <t>Travel: Gas (Nissan Maxima - Rental)</t>
  </si>
  <si>
    <t>F: In-N-Out burger - Birthday Celebration</t>
  </si>
  <si>
    <t>F: DoorDash delivery from Briyaniz</t>
  </si>
  <si>
    <t>Grocery (Amazon) - Starbucks Ground Coffee</t>
  </si>
  <si>
    <t>F: Los Amigos Taco, (Sara)</t>
  </si>
  <si>
    <t>Misc: Accessories: Claire</t>
  </si>
  <si>
    <t>E: Gondolla Ride, Montmorency</t>
  </si>
  <si>
    <t>E: Golf : Juniper Hill</t>
  </si>
  <si>
    <t>EET: Tram Tour, Washington DC</t>
  </si>
  <si>
    <t>KM: Doll for Sara, TJM</t>
  </si>
  <si>
    <t>M: TRUS (46-23)</t>
  </si>
  <si>
    <t>F: Tougas Farm Donuts + Apple Cider + PopCorn</t>
  </si>
  <si>
    <t>M: Car Wash (Alitma)</t>
  </si>
  <si>
    <t>F: Shivani's B'day Lunch - SF - Cake Venue</t>
  </si>
  <si>
    <t>EET: Hotel Charges</t>
  </si>
  <si>
    <t>M: Marshalls - Bathroon Stuff</t>
  </si>
  <si>
    <t>F: Apna Bazaar - Indian Sweets</t>
  </si>
  <si>
    <t>Grocery (Smart and Final via Door Dash) x 12 Egglife</t>
  </si>
  <si>
    <t>M: Amazon - Weed remover</t>
  </si>
  <si>
    <t>F: Presidio</t>
  </si>
  <si>
    <t xml:space="preserve">Gas </t>
  </si>
  <si>
    <t>Meds : Vitamin E : Star Market</t>
  </si>
  <si>
    <t>F: Breakfast (Quebec City)</t>
  </si>
  <si>
    <t>KM: Rocker, Aazon</t>
  </si>
  <si>
    <t>EET: Shivani's GNO; Boston</t>
  </si>
  <si>
    <t>Grocery (Tougas Farm - Apples)</t>
  </si>
  <si>
    <t>F: Dunkin, Wrentham</t>
  </si>
  <si>
    <t>MK: Marshalls - Calphalon 2.5QT</t>
  </si>
  <si>
    <t>Grocery (Amazon) - HighKey - Mini Biscotti</t>
  </si>
  <si>
    <t>Grocery (Bariatric Pal)</t>
  </si>
  <si>
    <t>F: Ghirardelli, Monterey</t>
  </si>
  <si>
    <t>Grocery: (India Stores)</t>
  </si>
  <si>
    <t>grocery (Walmart)</t>
  </si>
  <si>
    <t>M: Duty Free, Canada</t>
  </si>
  <si>
    <t>MA: Kohls for Sara</t>
  </si>
  <si>
    <t>F: Shivani (Pizza + Bar)</t>
  </si>
  <si>
    <t>MA: Amazon - Patriots Jacket</t>
  </si>
  <si>
    <t>Grocery (Whole Food's)</t>
  </si>
  <si>
    <t>EET: Uber: SFO - Home</t>
  </si>
  <si>
    <t>Grocery (Amazon) - Konjac Powder</t>
  </si>
  <si>
    <t>Grocery (Brami Snacks)</t>
  </si>
  <si>
    <t>F: Udipi Palace</t>
  </si>
  <si>
    <t>M: Tank Tops (Bobs Stores)</t>
  </si>
  <si>
    <t>M: Mailing</t>
  </si>
  <si>
    <t>F: Dinner: Punjab Dhaba, Arlington, VA</t>
  </si>
  <si>
    <t>Car: Parking&lt; Shivani- Boston</t>
  </si>
  <si>
    <t>M: Walmart - Sealant</t>
  </si>
  <si>
    <t>M: Amazon (Axe Deo)</t>
  </si>
  <si>
    <t>F: Whole Foods - CupCakes and Pastries</t>
  </si>
  <si>
    <t>EET: Overall Package: Hotel + Airfare</t>
  </si>
  <si>
    <t>G: Marshalls - House Warming</t>
  </si>
  <si>
    <t>G: Amazon - Swarovski Earrings to Nisha Sharma RE Agent</t>
  </si>
  <si>
    <t>MA: Amazon - Port Auth - Mens Polo</t>
  </si>
  <si>
    <t>Car: Parking Monterey</t>
  </si>
  <si>
    <t>M: Necklaces</t>
  </si>
  <si>
    <t>Grocery (Nob HIll)</t>
  </si>
  <si>
    <t>Grocery: (Market Basket)</t>
  </si>
  <si>
    <t>Car : registration</t>
  </si>
  <si>
    <t>E: Movie Salaam Namaste</t>
  </si>
  <si>
    <t>F: Starbucks : Bagels</t>
  </si>
  <si>
    <t>MA: Marshalls: Shirt -17</t>
  </si>
  <si>
    <t>EET: Trucks Event Northboro</t>
  </si>
  <si>
    <t>Car: Parking: Kearney Street - St.Mary's Parking Carage</t>
  </si>
  <si>
    <t>MH: Amazon - Light face plates and USB extensions</t>
  </si>
  <si>
    <t>Bark Parental Control Subscription</t>
  </si>
  <si>
    <t>Grocery (Baraka Market)</t>
  </si>
  <si>
    <t>M: Amazon - Umbrellas</t>
  </si>
  <si>
    <t>Parking (SF)</t>
  </si>
  <si>
    <t>E: Rafting Trip</t>
  </si>
  <si>
    <t>F: Bollywood Grill</t>
  </si>
  <si>
    <t>F: Lunch, Mughal, Edison, NJ</t>
  </si>
  <si>
    <t>MA: Marshalls: Pants -19</t>
  </si>
  <si>
    <t>MA: Indian Dreses  for Shivani</t>
  </si>
  <si>
    <t>M: Water Bottle - WalMart</t>
  </si>
  <si>
    <t>Grocery (Trader Joes)</t>
  </si>
  <si>
    <t>M: Amazon - Bluetooth Earphones</t>
  </si>
  <si>
    <t>MH: Amazon - Chandelier Lights x 3</t>
  </si>
  <si>
    <t>Meds: Lenscrafters</t>
  </si>
  <si>
    <t>Grocery (Amazon) - Protein Powdeer x 3</t>
  </si>
  <si>
    <t>Grocery (IG)80</t>
  </si>
  <si>
    <t>F: Bollywood Grill Treat to us</t>
  </si>
  <si>
    <t>Grocery (IG, Bhavani, NJ)</t>
  </si>
  <si>
    <t>F: Kohls</t>
  </si>
  <si>
    <t>Grocerty (Target) - Toilet Rolls</t>
  </si>
  <si>
    <t>RIF: Layoff at Dell EMC</t>
  </si>
  <si>
    <t>Car: Merc (Flat tire replacement)</t>
  </si>
  <si>
    <t>Wells Fargo: Wired $723K for closing</t>
  </si>
  <si>
    <t>Movies(BlockBuster)</t>
  </si>
  <si>
    <t>Grocery (IG, Patel's, NJ)</t>
  </si>
  <si>
    <t>M: Plates for Anishka's bday (IG)</t>
  </si>
  <si>
    <t>EET: Water Taxi - Boston Harbor</t>
  </si>
  <si>
    <t xml:space="preserve">G: Amazon - Sharanya </t>
  </si>
  <si>
    <t>Grocery (Jet) - Quest Banana Powder</t>
  </si>
  <si>
    <t>EET: Mission Impossible: Fallout</t>
  </si>
  <si>
    <t>M: WalMart - Bicycle</t>
  </si>
  <si>
    <t>Grocey (Amazon) - Cod Chips</t>
  </si>
  <si>
    <t>Phone Bill (Long Distance)</t>
  </si>
  <si>
    <t>M: Books for Sara (Amazon)</t>
  </si>
  <si>
    <t>F: Boston Harbor</t>
  </si>
  <si>
    <t>G: Amazon - Saumil</t>
  </si>
  <si>
    <t>Grocery (Jet) - Orgain Protein Powder</t>
  </si>
  <si>
    <t>Grocery (Amazon) - Strawberry Powder</t>
  </si>
  <si>
    <t>Verizon</t>
  </si>
  <si>
    <t>M: Walmart: Diapers etc</t>
  </si>
  <si>
    <t>F: Gerardo's Bakery</t>
  </si>
  <si>
    <t>Car: Parking</t>
  </si>
  <si>
    <t>G: Dunkin for work</t>
  </si>
  <si>
    <t>Grocery (Jet) - Explore Asian Sphagetti (6)</t>
  </si>
  <si>
    <t>Car: Parking: Santa Clair County Fairground - Ganesh Utsav</t>
  </si>
  <si>
    <t>MH: Home Deport - Toilet for 1/2 bath</t>
  </si>
  <si>
    <t>MA: LL Bean Jacket</t>
  </si>
  <si>
    <t>Cell phone</t>
  </si>
  <si>
    <t>M: Address Labels</t>
  </si>
  <si>
    <t>MA: Suit for Sooraj's Wedding Ret -70</t>
  </si>
  <si>
    <t>CaR: Fastlane</t>
  </si>
  <si>
    <t>M: Dollar Tree for Anishka's bday</t>
  </si>
  <si>
    <t>EET: Caraousel</t>
  </si>
  <si>
    <t>F: Chim Thai - Last Day VNX PM</t>
  </si>
  <si>
    <t>Grocery (Jet) -  Tresemme - Conditioner</t>
  </si>
  <si>
    <t>F: Ganesh Utsav</t>
  </si>
  <si>
    <t>MH: Home Depot - Light plates and knobs</t>
  </si>
  <si>
    <t>Grocery (Wee)</t>
  </si>
  <si>
    <t>Misc (Wine)</t>
  </si>
  <si>
    <t>M: Super Cuts, Burlington</t>
  </si>
  <si>
    <t>MA: White shirt Returned -20</t>
  </si>
  <si>
    <t>Car: Parking: MIT Decal Fee + Parking 3*3</t>
  </si>
  <si>
    <t>F: KO Sushi Grill - Diet Coke</t>
  </si>
  <si>
    <t>Grocery (Jet) -  Tresemme - Shampoo</t>
  </si>
  <si>
    <t>MA: Dick's : Columbia Rain Jacket</t>
  </si>
  <si>
    <t>MH: Home Depot - Fan with Light</t>
  </si>
  <si>
    <t>M: Amazon - Toilet Flush Handle</t>
  </si>
  <si>
    <t>F: Dinner, Maine</t>
  </si>
  <si>
    <t>M: CVS Rolls</t>
  </si>
  <si>
    <t>G: Sooraj's wedding Gift</t>
  </si>
  <si>
    <t>F: Bertucci's lunch</t>
  </si>
  <si>
    <t>M: Cleaning Supplies &amp; Diapers</t>
  </si>
  <si>
    <t>Car: Parking - Boston - Kids Rock - Lawn on D</t>
  </si>
  <si>
    <t>Grocery (Jet) - Espresso</t>
  </si>
  <si>
    <t>Grocery (WalMart) -PB x 5</t>
  </si>
  <si>
    <t>MH: Home Depot - Toilet Seats x 2</t>
  </si>
  <si>
    <t>Grocery (Amazon) - Steel Cut Oats - 120 Oz</t>
  </si>
  <si>
    <t>M: Amazon - Toilet Bowl Cleaner</t>
  </si>
  <si>
    <t>F: Sushi - Safeway</t>
  </si>
  <si>
    <t>M: Cap, North Country</t>
  </si>
  <si>
    <t>G: Chad's Lunch, Lemon Tree, Bedford</t>
  </si>
  <si>
    <t>MA: Wedding Dress for Shivani</t>
  </si>
  <si>
    <t>M: Anishka's b'day - Frozen Figurines</t>
  </si>
  <si>
    <t>M: Microsoft Office for Mac</t>
  </si>
  <si>
    <t>F: In-N-Out burger -  Celebration</t>
  </si>
  <si>
    <t>MH: Amazon (Flush Lights)</t>
  </si>
  <si>
    <t>Grocery (Amazon) - Onions</t>
  </si>
  <si>
    <t>Grocery (Amazon) - Dry Roasted Peanuts</t>
  </si>
  <si>
    <t>MA: Marshalls - Nish</t>
  </si>
  <si>
    <t>Misc (DVD)</t>
  </si>
  <si>
    <t>Car: Parking: California Street</t>
  </si>
  <si>
    <t>Grocery (Amazon) - Yum Lollipops</t>
  </si>
  <si>
    <t>MH: Amazon (Show Head and knob)</t>
  </si>
  <si>
    <t>Grocery (Amazon) - Pet Treats</t>
  </si>
  <si>
    <t>Misc (Blueman Group)</t>
  </si>
  <si>
    <t>OTE: RSM Returned ACH Fee</t>
  </si>
  <si>
    <t>M: Amazon - Strainer</t>
  </si>
  <si>
    <t>MH: Home Depot - Moving Boxes</t>
  </si>
  <si>
    <t>MA: REI: NF Jacket</t>
  </si>
  <si>
    <t>M: Amazon - Serving Bowls</t>
  </si>
  <si>
    <t>Misc (Dinner, Stephanies')</t>
  </si>
  <si>
    <t>F: NEMM</t>
  </si>
  <si>
    <t>Cell Phone: iPhone 11 Pro Max</t>
  </si>
  <si>
    <t>Grocery (Amazon) - High Key</t>
  </si>
  <si>
    <t>F: Madras Cafe</t>
  </si>
  <si>
    <t>F: Lunch, Mandarin</t>
  </si>
  <si>
    <t>Grocery (Amazon - Tooth Brushes)</t>
  </si>
  <si>
    <t>MA: Old Navy - Jeans + t shirt</t>
  </si>
  <si>
    <t>Grocery (High Key) (60 - 40)</t>
  </si>
  <si>
    <t>F: IG - Pani Puri</t>
  </si>
  <si>
    <t>Grocery : CVS</t>
  </si>
  <si>
    <t>G: Juicer, AaiBaba</t>
  </si>
  <si>
    <t>G: Varsha: B'day gift</t>
  </si>
  <si>
    <t>G: India Grocery</t>
  </si>
  <si>
    <t>Grocery (Amazon) RXBar - Kids</t>
  </si>
  <si>
    <t>M: Amazon - Bicycle lock</t>
  </si>
  <si>
    <t>M: TSA PreCheck</t>
  </si>
  <si>
    <t>G: Samsung Tablet S7 FE</t>
  </si>
  <si>
    <t>MH: Amazon - Cups</t>
  </si>
  <si>
    <t>Misc (Kohls')</t>
  </si>
  <si>
    <t>Meds: Co-Pay</t>
  </si>
  <si>
    <t>G: Kamal b'day gift</t>
  </si>
  <si>
    <t>EET: Dandiya - Northborough</t>
  </si>
  <si>
    <t>Car: Parking - SJC Airport for TSA Appointment</t>
  </si>
  <si>
    <t>G: Amazon - Bluetooth Earphones</t>
  </si>
  <si>
    <t>Grocrery (Amazon) - Jolk Molk x 2</t>
  </si>
  <si>
    <t>Food : Columbian (Horrible)</t>
  </si>
  <si>
    <t>Car: Oil Change - Nissan Alyima</t>
  </si>
  <si>
    <t>Car: Parking: Golden Gate Park</t>
  </si>
  <si>
    <t>MH: Home Depot (Chandelier Lights)</t>
  </si>
  <si>
    <t>G: GO - Chocolates Gifts</t>
  </si>
  <si>
    <t>M: Dicks Sporting Goods - Volleyball x 2</t>
  </si>
  <si>
    <t>M: Amazon - Party Decoration Stuff</t>
  </si>
  <si>
    <t>Grocery (Amazon) - Monk Fruit x 8</t>
  </si>
  <si>
    <t>Misc (Stop n Shop)</t>
  </si>
  <si>
    <t>EET: Golden Gate Park - Hike</t>
  </si>
  <si>
    <t>Fees: USCIS N-400</t>
  </si>
  <si>
    <t>MH: OverStock - Chandelier Lights</t>
  </si>
  <si>
    <t>M: Amazon - Compression Sleeves</t>
  </si>
  <si>
    <t>F: Delhi Chaat</t>
  </si>
  <si>
    <t>M: Haolloween Stuff</t>
  </si>
  <si>
    <t>Misc (Paintings)</t>
  </si>
  <si>
    <t>Grocery (BJ's)</t>
  </si>
  <si>
    <t>F: Chim Thai - Shivani</t>
  </si>
  <si>
    <t xml:space="preserve">F: Annakoot - Samosas - Best Samosas Ever! </t>
  </si>
  <si>
    <t>M: Microsoft Windows 10 Home</t>
  </si>
  <si>
    <t>MH: Amazon - Garden Hose</t>
  </si>
  <si>
    <t>M: Amazon - Flate foot compression band</t>
  </si>
  <si>
    <t>Grocery (Amazon) - Herring</t>
  </si>
  <si>
    <t>Misc -( Sunglasses)</t>
  </si>
  <si>
    <t>Food: Pringles, Coffee</t>
  </si>
  <si>
    <t>OTE : Citi Charges</t>
  </si>
  <si>
    <t>Kids: Classes: Math Kangaroo Registration</t>
  </si>
  <si>
    <t>MH: Amazon - Door Knobs</t>
  </si>
  <si>
    <t>MK: Amazon - Snow maker</t>
  </si>
  <si>
    <t>MA: Amazon - Tights + Cargos</t>
  </si>
  <si>
    <t>Grocery (Amazon) - Yerba Mate Tea</t>
  </si>
  <si>
    <t>Dinner (Subway)</t>
  </si>
  <si>
    <t>E: Mt Washington Auto Road</t>
  </si>
  <si>
    <t>Car : Registration Altima</t>
  </si>
  <si>
    <t>G: Pants for Aai (BJs)</t>
  </si>
  <si>
    <t>MK: Amazon - Coffee Storage</t>
  </si>
  <si>
    <t>MA: Amazon - Undershirts</t>
  </si>
  <si>
    <t>Co Payment (Doc)</t>
  </si>
  <si>
    <t>Food : Subway</t>
  </si>
  <si>
    <t>Car : Audi Servicing</t>
  </si>
  <si>
    <t>Meds : Walmart</t>
  </si>
  <si>
    <t>MA: Kohls - Gym Clothes</t>
  </si>
  <si>
    <t>M: Amazon - Apple Earbuds</t>
  </si>
  <si>
    <t>G: Urgent Care for SP's mom</t>
  </si>
  <si>
    <t>M: amazon - Table Covers</t>
  </si>
  <si>
    <t>Grocery (Amazon) - Bone Broth Soupr</t>
  </si>
  <si>
    <t>Co Payment (Pharmacy)</t>
  </si>
  <si>
    <t>M: Ralph Lauren (Shibu)</t>
  </si>
  <si>
    <t>G: Meds : Walmart</t>
  </si>
  <si>
    <t>F: DishDash - DSSD PM Team Lunch</t>
  </si>
  <si>
    <t>Grocery (Grocery Outlet) - San Jose</t>
  </si>
  <si>
    <t>MA: Old Navy -Pants</t>
  </si>
  <si>
    <t>MH: WayFair - Patio Set</t>
  </si>
  <si>
    <t>G: Meds for SP's mom</t>
  </si>
  <si>
    <t xml:space="preserve">Consulting: Sarah D'Souza </t>
  </si>
  <si>
    <t xml:space="preserve">Grocery (Amazon) - Monk Fruit </t>
  </si>
  <si>
    <t>Medical (GNC)</t>
  </si>
  <si>
    <t>M: Tolls etc</t>
  </si>
  <si>
    <t xml:space="preserve">F: Stromboli's </t>
  </si>
  <si>
    <t>F: Chim's thai, Milford, MA</t>
  </si>
  <si>
    <t>Grocery (Grocery Outlet) - Santa Clara</t>
  </si>
  <si>
    <t>MH: WalMart - Bar/Counter Stools</t>
  </si>
  <si>
    <t>M: Etsy - Halloween costume for Nish</t>
  </si>
  <si>
    <t>Grocery (Amazon) - Egg White Protein</t>
  </si>
  <si>
    <t>Misc (Sun Glasses)</t>
  </si>
  <si>
    <t>Food Penang, Boston, Ma</t>
  </si>
  <si>
    <t>G: Shoes, Baba, Kohls Returned -51</t>
  </si>
  <si>
    <t>F: Blue Bottle Coffee - SF - SRP</t>
  </si>
  <si>
    <t>Grocery (Walmart) - Lysol</t>
  </si>
  <si>
    <t>Home Repairs: Proven Termite</t>
  </si>
  <si>
    <t>Grocery (Amazon) - Cocoa Extract</t>
  </si>
  <si>
    <t>Misc (Target, Table)</t>
  </si>
  <si>
    <t xml:space="preserve">M: Ralph Lauren </t>
  </si>
  <si>
    <t>Grocery (Amazon)  - Quest Protein Powder - Cookies n Cream</t>
  </si>
  <si>
    <t>Grocery (Grocery Outlet) - Palo Alto</t>
  </si>
  <si>
    <t>Home Repairs: ProAttic</t>
  </si>
  <si>
    <t>M: Amazon - Sewing Needles</t>
  </si>
  <si>
    <t>F: MVHS Event at Bellarmine - Chezy Champs</t>
  </si>
  <si>
    <t>F: Campus Center WPI</t>
  </si>
  <si>
    <t>Grocery (Amazon)  - Quest Protein Powder - Vanilla</t>
  </si>
  <si>
    <t>Home Repairs: Laundry Room - move</t>
  </si>
  <si>
    <t>G: Amazon - Samsung Tab Case for SP's mom</t>
  </si>
  <si>
    <t>F: Dave's Hot Chicken - Sara</t>
  </si>
  <si>
    <t>E: Bowling, WPI</t>
  </si>
  <si>
    <t>G: Amazon (Gift for Sharanya)</t>
  </si>
  <si>
    <t>Home Repairs: Lighting and Electric Panel - Mike (Courtesy Electric)</t>
  </si>
  <si>
    <t>F: Five Guys - Sara</t>
  </si>
  <si>
    <t>Lunch (Mac)</t>
  </si>
  <si>
    <t>Home: Repairs: Handy man - Sean</t>
  </si>
  <si>
    <t>F: Girardelli Monterey - Shivani and her mom</t>
  </si>
  <si>
    <t>Lunch (India Café)</t>
  </si>
  <si>
    <t>M: Kohls (shoes)</t>
  </si>
  <si>
    <t>Gifts : Walmart</t>
  </si>
  <si>
    <t>Home Repairs: Gardener Vincent</t>
  </si>
  <si>
    <t>Gas (Merc) - Natural Arches Beach - Santa Cruz</t>
  </si>
  <si>
    <t>M: Under Armour - Gym Bag</t>
  </si>
  <si>
    <t>Home Repairs: HomeGuard</t>
  </si>
  <si>
    <t>F: Apna Bazaar:</t>
  </si>
  <si>
    <t>Furniture (Rotmans)</t>
  </si>
  <si>
    <t>MA: Perfume, Gucci, TJM</t>
  </si>
  <si>
    <t>Grocery (Grocery Outlet) - Miltpitas</t>
  </si>
  <si>
    <t>MH: Bathroom Vanity - 1/2 Bath</t>
  </si>
  <si>
    <t>MA: Converse Shoes - Birthday gift for Nish</t>
  </si>
  <si>
    <t>Grocery (IG)8036</t>
  </si>
  <si>
    <t>Grocery ( Price Chopper)</t>
  </si>
  <si>
    <t>Gifts: Purse, Aai, TJM</t>
  </si>
  <si>
    <t>Home Repairs: Plumber to move the gas line in the Garage for Electricals</t>
  </si>
  <si>
    <t xml:space="preserve">Car Repairs </t>
  </si>
  <si>
    <t>M: Lowe's Safe</t>
  </si>
  <si>
    <t>F: Shvani Team Lunch - 90</t>
  </si>
  <si>
    <t>Meds: Eye Drop Prescription - SRP</t>
  </si>
  <si>
    <t>M: Labels</t>
  </si>
  <si>
    <t>MA: CVS : After Shave</t>
  </si>
  <si>
    <t>Grocery (Amazon) AXE x 6</t>
  </si>
  <si>
    <t>MA: Amazon - AXE x12</t>
  </si>
  <si>
    <t>Home Repairs: EJ Plumbing - fix crawl space leak</t>
  </si>
  <si>
    <t>MA: Clearsil Clean &amp; Clear</t>
  </si>
  <si>
    <t>Grocery (Amazon) - Clorox x 4</t>
  </si>
  <si>
    <t>M: Amazon - Pumpkin Carving Kit</t>
  </si>
  <si>
    <t>Home Repairs: Flooring and Staining</t>
  </si>
  <si>
    <t>OTE: Visa Fees French Consulate - SRP</t>
  </si>
  <si>
    <t>M: Amazon - Apple Watch Charger</t>
  </si>
  <si>
    <t>Home Repairs: Moving</t>
  </si>
  <si>
    <t>Home Repairs: Cleaners</t>
  </si>
  <si>
    <t>Home Repairs: Anderson Windows</t>
  </si>
  <si>
    <t>MA: Kohls - Jacket for Nish</t>
  </si>
  <si>
    <t>Phone: Google Voice: Long Distance</t>
  </si>
  <si>
    <t>MH: WalMart + Target: Moving Supplies</t>
  </si>
  <si>
    <t>MH: HD: Moving Boxes</t>
  </si>
  <si>
    <t>M: Amazon - Compression Socks Ret -  -28</t>
  </si>
  <si>
    <t>Grocery (IG) - Apna Bazaar</t>
  </si>
  <si>
    <t>M: Star Wars figurines for Nish</t>
  </si>
  <si>
    <t>Home Repairs: Garage Work</t>
  </si>
  <si>
    <t>M: Lego - Darth Vader</t>
  </si>
  <si>
    <t xml:space="preserve">MH: Handyman - Sean </t>
  </si>
  <si>
    <t>M: Amazon - LetsFit Fitness Tracker for Nish</t>
  </si>
  <si>
    <t>Oct'02</t>
  </si>
  <si>
    <t>Oct'03</t>
  </si>
  <si>
    <t>Oct'04</t>
  </si>
  <si>
    <t>Oct'05</t>
  </si>
  <si>
    <t>Oct'06</t>
  </si>
  <si>
    <t>Oct'07</t>
  </si>
  <si>
    <t>Oct'08</t>
  </si>
  <si>
    <t>Oct'09</t>
  </si>
  <si>
    <t>Oct'10</t>
  </si>
  <si>
    <t>Oct'11</t>
  </si>
  <si>
    <t>Oct'12</t>
  </si>
  <si>
    <t>Oct'13</t>
  </si>
  <si>
    <t>Oct'14</t>
  </si>
  <si>
    <t>Oct'15</t>
  </si>
  <si>
    <t>Oct'16</t>
  </si>
  <si>
    <t>Oct'17</t>
  </si>
  <si>
    <t>Oct'19</t>
  </si>
  <si>
    <t>Oct'20</t>
  </si>
  <si>
    <t>Oct'21</t>
  </si>
  <si>
    <t>Oct'22</t>
  </si>
  <si>
    <t>Oct'23</t>
  </si>
  <si>
    <t>Oct'24</t>
  </si>
  <si>
    <t>MA: Glasses, Mayekar, Mulund</t>
  </si>
  <si>
    <t>OTE: Medical expenses, Baba</t>
  </si>
  <si>
    <t>M: BRUs: Toys for Sara from Anishka</t>
  </si>
  <si>
    <t>M: Tanga Anniversary ring</t>
  </si>
  <si>
    <t>EET: Dandiya, ISW 2 x 20 + 2 x 5 (sticks)</t>
  </si>
  <si>
    <t>EET: Football Fantasy League - Work Jim Comstock</t>
  </si>
  <si>
    <t>EET: Wizarding World of Harry Potter - Nishkoo's Bday Trip</t>
  </si>
  <si>
    <t>E: Gas (Zen)</t>
  </si>
  <si>
    <t>OTE : Eye Drops, CVS</t>
  </si>
  <si>
    <t>M: Kindle Book: Shivani</t>
  </si>
  <si>
    <t>Grocery (Wegans)</t>
  </si>
  <si>
    <t>Fees: PayPal and Ebay for iPhone 4S - Sold for 177</t>
  </si>
  <si>
    <t>Kids: Classes: LEGO + STEM</t>
  </si>
  <si>
    <t>EET: JetBlue -OAK-LGB - 588-300</t>
  </si>
  <si>
    <t>Classes: Math Encrichment - Oct-Feb - Sara</t>
  </si>
  <si>
    <t>G: Withdrawal</t>
  </si>
  <si>
    <t>Grocery (Cereal Bars Walmart)</t>
  </si>
  <si>
    <t>Car: Wiper Blades</t>
  </si>
  <si>
    <t>F: Bertucci's</t>
  </si>
  <si>
    <t>M: Amazon (Baby products)</t>
  </si>
  <si>
    <t>M: Marshalls Sunglasses</t>
  </si>
  <si>
    <t>Grocery: Wine</t>
  </si>
  <si>
    <t>Grocery (Amazon) - Subscriptions</t>
  </si>
  <si>
    <t>Grocery (Amazon) - Presto Toilet Paper Roll</t>
  </si>
  <si>
    <t>M: Anishka's B'day Gift 2021 iPad Air</t>
  </si>
  <si>
    <t>OTE H: Jewellery Set, Swarna P, Mulund</t>
  </si>
  <si>
    <t>M: Walmart Garage Rack Ret -13</t>
  </si>
  <si>
    <t>MA: Gap : Jacket ; R</t>
  </si>
  <si>
    <t>M: Blackberry/TomTom Charger</t>
  </si>
  <si>
    <t>K:daycare: Baby sitter: Katie from CKs</t>
  </si>
  <si>
    <t>Grocery (WalMarT)</t>
  </si>
  <si>
    <t>Car: Nissan latima Oil Change</t>
  </si>
  <si>
    <t>MA: Anishka's b'day dress</t>
  </si>
  <si>
    <t>Car: Audi oil change</t>
  </si>
  <si>
    <t>MA: Moana Dress + Necklace - Anishka</t>
  </si>
  <si>
    <t>Grocery (Amazon) - ElectroLytes -</t>
  </si>
  <si>
    <t>EET: Move to 1420 Oak Ave, Los Altos, CA</t>
  </si>
  <si>
    <t>Grocery (Amazon - Sub) - Orgain</t>
  </si>
  <si>
    <t>Grocery ( Vitacost)</t>
  </si>
  <si>
    <t>OTE H: Saree, Kala Nidhi, Thane</t>
  </si>
  <si>
    <t>Meds : Frames and Glasses</t>
  </si>
  <si>
    <t>F: Red Robbin, Blackstone Valley Shoppes</t>
  </si>
  <si>
    <t>M: Universal USB Charger</t>
  </si>
  <si>
    <t>M (Amazon : Diapers)</t>
  </si>
  <si>
    <t>M: Halloween - Joann Fabrics</t>
  </si>
  <si>
    <t>EET: The Martian - SPM</t>
  </si>
  <si>
    <t>Fees: Amazon Prime Membership</t>
  </si>
  <si>
    <t>Grocery (Amazon) - Red Hot Wing Sauce</t>
  </si>
  <si>
    <t>MH: Move - MC Movers</t>
  </si>
  <si>
    <t>Grocery (Amazon - Sub) - Moringa</t>
  </si>
  <si>
    <t>M: AAA - Membrship</t>
  </si>
  <si>
    <t>Misc (Circuit City)</t>
  </si>
  <si>
    <t>M : Adapter , Mulund</t>
  </si>
  <si>
    <t>Meds: Eye Exam Co Pay</t>
  </si>
  <si>
    <t>MA: Express</t>
  </si>
  <si>
    <t>M: Amazon (Battery charger)</t>
  </si>
  <si>
    <t>Grocery:  Amazon Planters</t>
  </si>
  <si>
    <t>EET: Los Altos Fall Festival - Rides</t>
  </si>
  <si>
    <t>Grocery (Amazon - Sub) - Lions' Mane Powder</t>
  </si>
  <si>
    <t>M" Amazon - iPhone 6S Screen Protector</t>
  </si>
  <si>
    <t>EET: MVHS: Hoco Tickets</t>
  </si>
  <si>
    <t>M: Car Maintenance (Zen)</t>
  </si>
  <si>
    <t>Car: Audi 90K Servicing</t>
  </si>
  <si>
    <t>Car: Parking, MIT</t>
  </si>
  <si>
    <t>Grocery:  Amazon Tide</t>
  </si>
  <si>
    <t>MA: Halloween Costume - Elsa and Anna - Amazon</t>
  </si>
  <si>
    <t>F: Peet's Coffee - Santa Clara - Coffe with Intel VP and GM</t>
  </si>
  <si>
    <t>Grocery (Amazon) - Scraper</t>
  </si>
  <si>
    <t xml:space="preserve">Grocery (Amazon Fresh) </t>
  </si>
  <si>
    <t>Grocery (Amazon - Sub) - Hydrasurge x 2</t>
  </si>
  <si>
    <t>MA: Amazon - Girls Pants</t>
  </si>
  <si>
    <t>Car: Parking SFO</t>
  </si>
  <si>
    <t>Gas (Zen)</t>
  </si>
  <si>
    <t>Gifts: Vandna Target</t>
  </si>
  <si>
    <t>M: Shivani Hair Cut, Delaria, SPM (45 -40)</t>
  </si>
  <si>
    <t>M: Wipes, Amazon</t>
  </si>
  <si>
    <t>G: GAP for Shreya</t>
  </si>
  <si>
    <t>Grocery : Amazon Toothpaste</t>
  </si>
  <si>
    <t xml:space="preserve">F: Dunkin </t>
  </si>
  <si>
    <t>F: Thai - Banana Boat - SF - Shivani's team lunch</t>
  </si>
  <si>
    <t>G: Gift for Shivani's mom</t>
  </si>
  <si>
    <t xml:space="preserve">M: Amazon - ARP Gift </t>
  </si>
  <si>
    <t>Grocery (Amazon) - Chewing Gum</t>
  </si>
  <si>
    <t>Grocery (Amazon - Sub) - Toothpaste</t>
  </si>
  <si>
    <t xml:space="preserve">M: Amazon - Halloween Decoration </t>
  </si>
  <si>
    <t>Misc (Salem Trip)</t>
  </si>
  <si>
    <t>M: Shower head Target</t>
  </si>
  <si>
    <t>MA: Express Returned -12</t>
  </si>
  <si>
    <t>M: Amazon (Books for Sara/Anishka)</t>
  </si>
  <si>
    <t>M: TJX Car Charger</t>
  </si>
  <si>
    <t>G: Violet - Jon Nadar B'day</t>
  </si>
  <si>
    <t>M: Emergency EQ preparation Kit</t>
  </si>
  <si>
    <t>Grocery (Amazon) - Konjac x 2</t>
  </si>
  <si>
    <t>Grocery (Amazon - Sub) - Charmin</t>
  </si>
  <si>
    <t>MA: Birchbury Shoes</t>
  </si>
  <si>
    <t xml:space="preserve">G: United Baggage </t>
  </si>
  <si>
    <t>Grocery : Target : CB</t>
  </si>
  <si>
    <t>G: Express</t>
  </si>
  <si>
    <t>F: Dirty Fudgge, Christmass Tree Complex</t>
  </si>
  <si>
    <t>M: Walmart Car Charger</t>
  </si>
  <si>
    <t xml:space="preserve">F: Mirchi - PM Team </t>
  </si>
  <si>
    <t>G: Magic Tree House book set - Tyler Jordan's bday</t>
  </si>
  <si>
    <t>MA: Haloween Dress - Sara and Anishka</t>
  </si>
  <si>
    <t>Grocery (Amazon) - Electrolytes x 3</t>
  </si>
  <si>
    <t xml:space="preserve">Grocery (Amazon) - Vitamin </t>
  </si>
  <si>
    <t>EET: FastTrak</t>
  </si>
  <si>
    <t>M: The Limited</t>
  </si>
  <si>
    <t>Gifts: Dinner : Vandy: Mandarin Westb.</t>
  </si>
  <si>
    <t>Car: Audi: Rear Diff. Seals + Battery + Warning Hazard Switch</t>
  </si>
  <si>
    <t>KA: Diwali Dress for Sara Ret -20</t>
  </si>
  <si>
    <t>MA: TJX (36 - 19)</t>
  </si>
  <si>
    <t>G: Sarveshi Rakhi gift</t>
  </si>
  <si>
    <t>Car: Main (New tires) Altima</t>
  </si>
  <si>
    <t xml:space="preserve">M: Walmart </t>
  </si>
  <si>
    <t>G: Violet - Chitra's daughter</t>
  </si>
  <si>
    <t>M: Cookie Press</t>
  </si>
  <si>
    <t>Grocery (Amazon) - Brush</t>
  </si>
  <si>
    <t>Grocery (Amazon - Sub) - Wild Planet - SockeEye salmon x 12</t>
  </si>
  <si>
    <t>Grocery (Amazon) -  Instant Coffee</t>
  </si>
  <si>
    <t>Grocery (Amazon)  - hair color</t>
  </si>
  <si>
    <t>Grocery (IG)46</t>
  </si>
  <si>
    <t>Misc (Spags)</t>
  </si>
  <si>
    <t>M: Delia</t>
  </si>
  <si>
    <t>MA: Jewellery , Panvel</t>
  </si>
  <si>
    <t>F: Natick Mall: Gourmet India</t>
  </si>
  <si>
    <t>F: House of Pancakes, Lincoln, NH</t>
  </si>
  <si>
    <t>M: OSJL (Halloween)</t>
  </si>
  <si>
    <t>Anishka born 12:44 am</t>
  </si>
  <si>
    <t>Fees: Sterling Gym - Karate Class for Sara</t>
  </si>
  <si>
    <t>Grocery (Amazon - Pills)</t>
  </si>
  <si>
    <t>M: Hair cut - Shivani, Sara, Anishka</t>
  </si>
  <si>
    <t>EET: Picked up Nish at noon - Lunch at home</t>
  </si>
  <si>
    <t>Grocery (Amazon) - Anti Bacterial Soap</t>
  </si>
  <si>
    <t>Gropcery (Amazon - Sub) - Honey Bunches of Oats</t>
  </si>
  <si>
    <t>Grocery (Amazon) - AXE Deo</t>
  </si>
  <si>
    <t>Grocery (Amazon)  - Garnier Spray</t>
  </si>
  <si>
    <t>Misc (Super Cuts, Sh)</t>
  </si>
  <si>
    <t xml:space="preserve">M: Bath &amp; Body Works </t>
  </si>
  <si>
    <t>MA: Sarees, Dreams, Mumbai</t>
  </si>
  <si>
    <t>F: McDonald's</t>
  </si>
  <si>
    <t>Parking: Umass Memorial</t>
  </si>
  <si>
    <t>Anishka's Brithday California trip BOS-LAX-SD</t>
  </si>
  <si>
    <t>M: Glass Bowl - Amazon</t>
  </si>
  <si>
    <t>F: Coffee Café - Long Beach</t>
  </si>
  <si>
    <t>M: Walmart - Cake decorations</t>
  </si>
  <si>
    <t>Grocery (Amazon)- Mrs/ Meyer</t>
  </si>
  <si>
    <t>Grocery (Amazon) - Organic Honey</t>
  </si>
  <si>
    <t>Grocery  (GO)</t>
  </si>
  <si>
    <t xml:space="preserve">F: In-n-Out - Sara </t>
  </si>
  <si>
    <t>Food: Welcome India, Framingham</t>
  </si>
  <si>
    <t>MA : Centre One, Vashi</t>
  </si>
  <si>
    <t>MA: GAP: Top Shibu</t>
  </si>
  <si>
    <t>Brought Anishka home</t>
  </si>
  <si>
    <t>Gorcery (IG)</t>
  </si>
  <si>
    <t>AirFare</t>
  </si>
  <si>
    <t>Anishka's Birthday</t>
  </si>
  <si>
    <t>M:Amazon iPhone 6S - Cover</t>
  </si>
  <si>
    <t>F: (Grocery Outlet) - Long Beach</t>
  </si>
  <si>
    <t>Car - Oil Change -Altima</t>
  </si>
  <si>
    <t>Grocery (Amazon) - Acai Powder</t>
  </si>
  <si>
    <t>Grocery (Amazon) - Rolaids</t>
  </si>
  <si>
    <t>Grocery (Amazon - Sub) - Turmeric</t>
  </si>
  <si>
    <t>M: Spirit of Halloween</t>
  </si>
  <si>
    <t>Misc (Fins:Swimming)</t>
  </si>
  <si>
    <t>Mk: knife, Tray</t>
  </si>
  <si>
    <t>KD: Day care reservation: Curious Kids, Hudson</t>
  </si>
  <si>
    <t>Grocery: Amazon: Protein powder</t>
  </si>
  <si>
    <t>EET: Redbox: The Avengers</t>
  </si>
  <si>
    <t>Drive to Lake George</t>
  </si>
  <si>
    <t>Car: Parking: Redondo Beach</t>
  </si>
  <si>
    <t>Grocery (Amazon): Cacao Nibs - Anthony's</t>
  </si>
  <si>
    <t>Grocery (Amazon) - Air Freshner</t>
  </si>
  <si>
    <t>Grocery (Amazon) - TreSemme</t>
  </si>
  <si>
    <t>Grocery (Amazon - Sub) - Honey</t>
  </si>
  <si>
    <t>Grocery (Amazon) - Cod Chips</t>
  </si>
  <si>
    <t>Grocery (Amazon) - Quest chips</t>
  </si>
  <si>
    <t>M: Berlin, MA</t>
  </si>
  <si>
    <t>MA: PJ Suits Mumbai</t>
  </si>
  <si>
    <t>Gave notice at Nortel :(</t>
  </si>
  <si>
    <t>M: Dish Detergent (Amazon)</t>
  </si>
  <si>
    <t>EET: Stay at Lake George, NY</t>
  </si>
  <si>
    <t>F: Darabar, Montral</t>
  </si>
  <si>
    <t>F: Eat at Joe's  Redondo Beach - Horrible food</t>
  </si>
  <si>
    <t>MA: Kohls - 60</t>
  </si>
  <si>
    <t>HR: Flooring - Staining - Jorge</t>
  </si>
  <si>
    <t>Grocery (Amazon - Sub) - Fenugreek</t>
  </si>
  <si>
    <t>Grocery (Amazon) - BNyquil</t>
  </si>
  <si>
    <t>M: Ac adapter for Laptop</t>
  </si>
  <si>
    <t>F: Hospital (10-14)</t>
  </si>
  <si>
    <t>Meds: Ob/Gyn Visit, St Vincent</t>
  </si>
  <si>
    <t>Meds: Doc for Aai</t>
  </si>
  <si>
    <t>F: Chim thai (lunch with Anand)</t>
  </si>
  <si>
    <t>M: Flintstones (Amazon)</t>
  </si>
  <si>
    <t>F: Dinner - Bistro LeRoux</t>
  </si>
  <si>
    <t>Car: Parking - Restaurant</t>
  </si>
  <si>
    <t>Parking: Oakland Airport - Expresso Parking</t>
  </si>
  <si>
    <t>G: Trader Joe's Rum for the Party</t>
  </si>
  <si>
    <t>Grocery (Amazon - Sub) - Tresemme</t>
  </si>
  <si>
    <t xml:space="preserve">Grocery (Amazon)  - Shirataki </t>
  </si>
  <si>
    <t>Grocery (Weee) - 78</t>
  </si>
  <si>
    <t>M: Petco , Fish</t>
  </si>
  <si>
    <t>Car : Maint : Replace Crankshatft Sen (Rt9)</t>
  </si>
  <si>
    <t>MA: Calvin Klien Suit, Macy's</t>
  </si>
  <si>
    <t>F: St Vincent, Pizza</t>
  </si>
  <si>
    <t>Mds: Precription Meds for Aai</t>
  </si>
  <si>
    <t>M: Medela bottles and bags</t>
  </si>
  <si>
    <t>M: Walmart (Shoes for Sara)</t>
  </si>
  <si>
    <t>EET: Biodome Montreal</t>
  </si>
  <si>
    <t>EET: Residence Inn, Redondo Beach</t>
  </si>
  <si>
    <t>Grocery (Amazon) - Quest Bars - 18</t>
  </si>
  <si>
    <t>MA: Amazon - T-shirt</t>
  </si>
  <si>
    <t>M: Haircut - Great Clips</t>
  </si>
  <si>
    <t>M: Amazon: Bday decorations</t>
  </si>
  <si>
    <t>EET: Maine, Trip</t>
  </si>
  <si>
    <t>Grocery (Thane)</t>
  </si>
  <si>
    <t>E: The Departed</t>
  </si>
  <si>
    <t>MA: Suit Target (Returned -105)</t>
  </si>
  <si>
    <t>F: Lunch for Miru</t>
  </si>
  <si>
    <t>G: Gold Earrings for Aai/Sara: KP: Dhanotrayadashi</t>
  </si>
  <si>
    <t>M: Battery charger</t>
  </si>
  <si>
    <t>Tolls/Parking</t>
  </si>
  <si>
    <t>F: Brunch - LoneBull Pancake House</t>
  </si>
  <si>
    <t>F: Breakfast - Novotel, Montreal</t>
  </si>
  <si>
    <t>EET: Car Rental - Long Beach Airport</t>
  </si>
  <si>
    <t xml:space="preserve">Grocery (Ebay) - Orgain </t>
  </si>
  <si>
    <t>M:Amazon - Gym Gloves</t>
  </si>
  <si>
    <t>Grocery (Amazon) - Mineral Water</t>
  </si>
  <si>
    <t>Grocery (Amazon) - Salmon - Wild Planet</t>
  </si>
  <si>
    <t>MA: Aamazon - Sunglasses</t>
  </si>
  <si>
    <t>M: Walmart: Bday decorations: 20</t>
  </si>
  <si>
    <t>Gas (Stratus)</t>
  </si>
  <si>
    <t>MA: Khakis : S :Walmart</t>
  </si>
  <si>
    <t>MA : Sandals : Target</t>
  </si>
  <si>
    <t>G: Miru, farewell</t>
  </si>
  <si>
    <t>M: Carpet cleaning</t>
  </si>
  <si>
    <t>M:  Diapers (Amazon)</t>
  </si>
  <si>
    <t>F: Ocktober Fest - Suasage and Wine</t>
  </si>
  <si>
    <t>Car: Parking - Biodome</t>
  </si>
  <si>
    <t>EET: Universal Studios - Harry Potter World</t>
  </si>
  <si>
    <t>Grocery (Grocery Outlet) - South Lake Tahoe</t>
  </si>
  <si>
    <t>Grocery (Amazon ) - Shampoo</t>
  </si>
  <si>
    <t>Grocery (Amazon) - Starbucks Ground Coffee - Espresso</t>
  </si>
  <si>
    <t>G: Amazon - Zales pendant for Shivani's mom's birthday</t>
  </si>
  <si>
    <t>Misc (Marshalls, ME)</t>
  </si>
  <si>
    <t>G: Truffles</t>
  </si>
  <si>
    <t>M: Phone Recharge</t>
  </si>
  <si>
    <t>G: Cap for kuhu : target</t>
  </si>
  <si>
    <t>Ma: Kohls</t>
  </si>
  <si>
    <t>F: Adirondack's Winery - Wine Tasting + Wine</t>
  </si>
  <si>
    <t>F: Food - Biodome -Coffe + Cookies</t>
  </si>
  <si>
    <t>F: Butterbeer</t>
  </si>
  <si>
    <t>EET: Magical Playground - Palo Alto</t>
  </si>
  <si>
    <t>Grocery (Walmart) - Balance Bars  - 6</t>
  </si>
  <si>
    <t>Grocery (Amazon) -  Eye Solution</t>
  </si>
  <si>
    <t>M: Marshalls - Canvas + PAinting Supplies</t>
  </si>
  <si>
    <t>F: AHIRC Cafeteria</t>
  </si>
  <si>
    <t>Grocery (Walmart</t>
  </si>
  <si>
    <t>G: Tshirt, Kuhu, Fannueil hall</t>
  </si>
  <si>
    <t>M: IKEA</t>
  </si>
  <si>
    <t>Anishka's b'day</t>
  </si>
  <si>
    <t>JetBlue BOS-LAX-BOS</t>
  </si>
  <si>
    <t>F: Kettle Corn</t>
  </si>
  <si>
    <t>F: Mandy's Salad Bar</t>
  </si>
  <si>
    <t>M: Filch's Emporium</t>
  </si>
  <si>
    <t>EET: Redbox - Moana + Wonder Woman</t>
  </si>
  <si>
    <t>F: Starbucks - Bday Celebrations</t>
  </si>
  <si>
    <t>Misc ( Lodging, ME)</t>
  </si>
  <si>
    <t>M: Mailing To India</t>
  </si>
  <si>
    <t>Grocery (SnS, WestBoro)</t>
  </si>
  <si>
    <t>G: Baba's Shirts Cambridge, Mulund</t>
  </si>
  <si>
    <t>Grocery (Kashi Bars)</t>
  </si>
  <si>
    <t>Ed: Books: Amazon</t>
  </si>
  <si>
    <t>Sara, Baba made cake</t>
  </si>
  <si>
    <t>EET: San Diego Go Card</t>
  </si>
  <si>
    <t>F: Alibaba Express, LG, NY - Bad food</t>
  </si>
  <si>
    <t>F: Cupcake - Anishka's b'day</t>
  </si>
  <si>
    <t xml:space="preserve">F: Honey Dukes </t>
  </si>
  <si>
    <t>Grocery (vitaminShoppe) - Quest PB Supreme x 2 + Cacao Nibs (6.4/lb)</t>
  </si>
  <si>
    <t>Grocery (Amazon)  - Egg Protein Powder</t>
  </si>
  <si>
    <t>M: Amazon - Decorations for Anishka's Birthday</t>
  </si>
  <si>
    <t>Misc (Toll)</t>
  </si>
  <si>
    <t>E: Movies (Intolerable Cruelty)</t>
  </si>
  <si>
    <t>G: Baba's Shirts Cotton World, Mulund</t>
  </si>
  <si>
    <t>Grocery (IG) Beson + Ghee</t>
  </si>
  <si>
    <t>G: Gifts Magnets</t>
  </si>
  <si>
    <t>M: CVS (28-20)</t>
  </si>
  <si>
    <t>M; Christmas Tree Shops</t>
  </si>
  <si>
    <t>Grocery (Walmart); chocolates</t>
  </si>
  <si>
    <t>F: Lunch: Chipotle</t>
  </si>
  <si>
    <t>F: PotBelly Sandwiches, Logan Airport</t>
  </si>
  <si>
    <t>F: Stick Buns, Lake George</t>
  </si>
  <si>
    <t>EET: Rope Walk - Montreal - Sara</t>
  </si>
  <si>
    <t>F: Saigon Dish, Lawndale, CA</t>
  </si>
  <si>
    <t>MA: Amazon: Skechers Shoes for ARP</t>
  </si>
  <si>
    <t>EET: Anishka's Birthday Trip to Lake Tahoe</t>
  </si>
  <si>
    <t>Pet Sierra Vet</t>
  </si>
  <si>
    <t>F: Feng Cha</t>
  </si>
  <si>
    <t>Misc (Acadia Entry)</t>
  </si>
  <si>
    <t>M: Filene's, Makeup Lancome</t>
  </si>
  <si>
    <t>G: Baba's undergarments, Mulund</t>
  </si>
  <si>
    <t>Gifts : Adi</t>
  </si>
  <si>
    <t>F: StarBucks, Quiny Market</t>
  </si>
  <si>
    <t>MA: TJM Ret -15</t>
  </si>
  <si>
    <t>F: Rotis + Doodhi bhaji</t>
  </si>
  <si>
    <t>F: Yoway Froyo, Worcester, MA</t>
  </si>
  <si>
    <t>EET: Fairfield Inn, Anahiem</t>
  </si>
  <si>
    <t>Grocery (Jean Talon Market)</t>
  </si>
  <si>
    <t xml:space="preserve">Car: Parking - Universal </t>
  </si>
  <si>
    <t>EET: Tahoe Beach and Ski Club</t>
  </si>
  <si>
    <t>M: Amazon - ARP Birthday Avengers decorations</t>
  </si>
  <si>
    <t>Grocery (Nob-Hill)</t>
  </si>
  <si>
    <t>Grocery (Amazon) - BNivea</t>
  </si>
  <si>
    <t>F: Whole Foods: Bday Cake - 40</t>
  </si>
  <si>
    <t>Misc Expenes</t>
  </si>
  <si>
    <t xml:space="preserve">Food : Afghan, </t>
  </si>
  <si>
    <t>M: Sears : Curtains Returned -80</t>
  </si>
  <si>
    <t>F: Mongines Patties, Mulund</t>
  </si>
  <si>
    <t>Gifts : Anya</t>
  </si>
  <si>
    <t>F: Smirnoff, Cambridge, MA</t>
  </si>
  <si>
    <t>EET:  Car Rental, LAX , Enterprise</t>
  </si>
  <si>
    <t>F: Coffee - Stewart's Plaza, Lake George, NY</t>
  </si>
  <si>
    <t>F: Coffee - Jean Talon Market</t>
  </si>
  <si>
    <t>EET: Malibu Temple</t>
  </si>
  <si>
    <t xml:space="preserve">M: Wifi Plugs </t>
  </si>
  <si>
    <t>F: Tin Pot Cremeary</t>
  </si>
  <si>
    <t>Grocery (Trader Joe)</t>
  </si>
  <si>
    <t>MA: Amazon - Flower Gril Dresses</t>
  </si>
  <si>
    <t>F: BeniHana</t>
  </si>
  <si>
    <t>F: Whole Foods - B'day Desserts - 20</t>
  </si>
  <si>
    <t>OTC: Surcharge Appeal</t>
  </si>
  <si>
    <t>F: Bertucci, Solomon Pnd Mall</t>
  </si>
  <si>
    <t>F: Corn Chat, Nirmail LS, Mulund</t>
  </si>
  <si>
    <t>M: Halloween Stuff</t>
  </si>
  <si>
    <t>M: Walmart: Acquarium filter</t>
  </si>
  <si>
    <t>CC: Nanny (Thurs+Fri)</t>
  </si>
  <si>
    <t>EET: Anishka's Birthday Party</t>
  </si>
  <si>
    <t>Parking: Boston Logan Parking</t>
  </si>
  <si>
    <t>F: French Fries, McD - Lee Plaza - Mass Pike</t>
  </si>
  <si>
    <t>F: Lunch - Jean Talon Market</t>
  </si>
  <si>
    <t>F: Malibu Temple Food</t>
  </si>
  <si>
    <t>Grocery (WalMart) - Metamucil</t>
  </si>
  <si>
    <t>F: Momo Grill</t>
  </si>
  <si>
    <t xml:space="preserve">MA: Old Navy </t>
  </si>
  <si>
    <t>F: Dunkin Donuts - Bday - 8</t>
  </si>
  <si>
    <t>Misc (Food )</t>
  </si>
  <si>
    <t>M: Circuit City</t>
  </si>
  <si>
    <t>Grocery (Shaws, Milk)</t>
  </si>
  <si>
    <t>E: T (House to Mulund CN)</t>
  </si>
  <si>
    <t>Car: Pi alley parking, Boston, MA</t>
  </si>
  <si>
    <t>EET: DisneyLand + Stroller (270 +25)</t>
  </si>
  <si>
    <t>Car: Parking - Old Montreal</t>
  </si>
  <si>
    <t>F: Village Road Pizzeria, Long Beach</t>
  </si>
  <si>
    <t>MK: Amazon - Calphalon Stainless steel pans</t>
  </si>
  <si>
    <t>MA: Amazon - Apparel - Zoo/Nish</t>
  </si>
  <si>
    <t>Grocery(TJs)</t>
  </si>
  <si>
    <t xml:space="preserve">MA: Ella </t>
  </si>
  <si>
    <t>F: Biryani &amp; Kebabs' - Uber Eats 31-15 : Mutton Biryani + Chicken Tikka</t>
  </si>
  <si>
    <t>Grocery (Spags)</t>
  </si>
  <si>
    <t>E: T (Mulund stn to Nirmal LS)</t>
  </si>
  <si>
    <t>F: Bollywood Grill : Shibu</t>
  </si>
  <si>
    <t>E: Candle light tours, Salem, NH</t>
  </si>
  <si>
    <t>Groery (Hannaford)</t>
  </si>
  <si>
    <t>KM: Walmart</t>
  </si>
  <si>
    <t>MedS: Anishka co-pay (13th and 21st)</t>
  </si>
  <si>
    <t>F: Pacific Wharf,  Disney</t>
  </si>
  <si>
    <t>EET: Quadricycle - Old Montreal</t>
  </si>
  <si>
    <t>Gas (Travel) - Toyota Camry</t>
  </si>
  <si>
    <t>M: Moana Figurines for Anishka</t>
  </si>
  <si>
    <t>M: Halloween Costume - Cap Marvel + Avengers Endgame</t>
  </si>
  <si>
    <t>MA: Amazon - Birthday frocks for Anishka</t>
  </si>
  <si>
    <t>MA: Eastbay - SRP</t>
  </si>
  <si>
    <t>F: Ramen Izakaya Yu-gen</t>
  </si>
  <si>
    <t>Car/Mt: Car wash (SaD)</t>
  </si>
  <si>
    <t>M: Sears : Dispensers</t>
  </si>
  <si>
    <t>E: T (NirmalLS, Mulund : Mulund CN)</t>
  </si>
  <si>
    <t>E: DON , AMC Framingham</t>
  </si>
  <si>
    <t>Gifts: Candle Light tour : Kuhu</t>
  </si>
  <si>
    <t>Med: Copay Sara</t>
  </si>
  <si>
    <t>F: Mexican, Disney</t>
  </si>
  <si>
    <t>Hotel</t>
  </si>
  <si>
    <t>MH: Home Depot: Lemon trees - Gift for Nish</t>
  </si>
  <si>
    <t>M: Amazon - Kitchen mats</t>
  </si>
  <si>
    <t>Grocery (Amazon) - EWashing Detegent</t>
  </si>
  <si>
    <t>EET: Bowlmore, Cupertino, Bowling x 2 game games- 100</t>
  </si>
  <si>
    <t>MA: Macys: Hoco Dress</t>
  </si>
  <si>
    <t>Otc: Surcharge Mailing Charges</t>
  </si>
  <si>
    <t xml:space="preserve">M: Christmas Tree Shops </t>
  </si>
  <si>
    <t>E: T (Mulund Cn : House)</t>
  </si>
  <si>
    <t>F: Dinner Sichuan Gourmet</t>
  </si>
  <si>
    <t>M: Bedsheets</t>
  </si>
  <si>
    <t>Car: 2010 Nissan</t>
  </si>
  <si>
    <t>EET: Hyatt Place, Vista</t>
  </si>
  <si>
    <t>Car: Marlboro Nissan - 2010 Altima 90K Servicing</t>
  </si>
  <si>
    <t>F: Ice Cream, Milk - Old Montreal</t>
  </si>
  <si>
    <t>Car Rental + Gas</t>
  </si>
  <si>
    <t>MA: Zullily - Masks x 4</t>
  </si>
  <si>
    <t>F: Shirkhand, Mulund</t>
  </si>
  <si>
    <t>Car: Nissan Altima Car Battery</t>
  </si>
  <si>
    <t>F: Punjabi Grill</t>
  </si>
  <si>
    <t>M: Masspike</t>
  </si>
  <si>
    <t>Grocery (Albertsons) - Cake for Anishka</t>
  </si>
  <si>
    <t>Car: Nissan - Wiper Blades</t>
  </si>
  <si>
    <t>OTE: Foreign Transaction Fee</t>
  </si>
  <si>
    <t>EET: Anishka's Birthday Party @ Avalon</t>
  </si>
  <si>
    <t>Grocery (IG)- Patels</t>
  </si>
  <si>
    <t>M: Amazon - Workout Gloves</t>
  </si>
  <si>
    <t>Grocery (Amazon) - Prebiotics Capsules</t>
  </si>
  <si>
    <t>MA: Windsor: Hoco Dress</t>
  </si>
  <si>
    <t>Misc (Roll Developing)</t>
  </si>
  <si>
    <t>Food : Penang, Harvard Square</t>
  </si>
  <si>
    <t>F: Penang, Harvard Sq</t>
  </si>
  <si>
    <t>G: Towels</t>
  </si>
  <si>
    <t>M: Walmart: Halloween Masks</t>
  </si>
  <si>
    <t>G: OSJL : Jackets Etc</t>
  </si>
  <si>
    <t>M: hair cuttery</t>
  </si>
  <si>
    <t>M: Mat BRUS</t>
  </si>
  <si>
    <t>F: P&amp;Z with Phill, Gazel</t>
  </si>
  <si>
    <t>G: Gift cards (Charu + Liz - 100 + 50)</t>
  </si>
  <si>
    <t>M: Dollar Tree - Party stuff - Balloons etc</t>
  </si>
  <si>
    <t>F: Starbucks, Montreal</t>
  </si>
  <si>
    <t>G: Birthday Party Shopping</t>
  </si>
  <si>
    <t>Grocery (Amazon) - Paper Rolls</t>
  </si>
  <si>
    <t xml:space="preserve">MA: Gap </t>
  </si>
  <si>
    <t>M: Parking : Harvard Sq</t>
  </si>
  <si>
    <t>Grocery (Shoprite)</t>
  </si>
  <si>
    <t>M: Marshalls : DustBin</t>
  </si>
  <si>
    <t>F: Crepes</t>
  </si>
  <si>
    <t>G: Marshalls : Pants</t>
  </si>
  <si>
    <t>F: Sichuan</t>
  </si>
  <si>
    <t>F: Mexican, Vista, CA</t>
  </si>
  <si>
    <t>F: Café Machiato, Old Montreal Streets</t>
  </si>
  <si>
    <t>G: Birthday Cake</t>
  </si>
  <si>
    <t>Grocery (Amazon) -Seventh Generation Detergent  x 2</t>
  </si>
  <si>
    <t>G: Ross</t>
  </si>
  <si>
    <t>F: Biryani &amp; Kebabs</t>
  </si>
  <si>
    <t>M: Hair Cut (SC)</t>
  </si>
  <si>
    <t>E: Salem Tour</t>
  </si>
  <si>
    <t>G: Walmart : Choclates</t>
  </si>
  <si>
    <t>G: Sichuan, Shahaji</t>
  </si>
  <si>
    <t>EET: Anishka's Birthday Cake</t>
  </si>
  <si>
    <t>EET: San Diego - Balboa Park - Tram</t>
  </si>
  <si>
    <t>Anishka's B'day party Prep</t>
  </si>
  <si>
    <t>EET: Hotel Stay - Novotel - Montreal</t>
  </si>
  <si>
    <t>Anishka''s Birthday Trip - Hollywood</t>
  </si>
  <si>
    <t>G: Birthday Pizza</t>
  </si>
  <si>
    <t>Grocery (Amazon) - Microfiber Cloth</t>
  </si>
  <si>
    <t>EET: Monterey</t>
  </si>
  <si>
    <t>F: Nob Hill - Birthday Cake</t>
  </si>
  <si>
    <t>F: Rainbow Sushi Roll - Lunch x 2</t>
  </si>
  <si>
    <t>F: Sara's Dinner with friends - Los Altos Downtown - 37</t>
  </si>
  <si>
    <t>M: CVS Adhesive</t>
  </si>
  <si>
    <t>G: Wedding Gift, Sar</t>
  </si>
  <si>
    <t>EET: Sunset Cliffs</t>
  </si>
  <si>
    <t xml:space="preserve">EET: Anishka's Birthday </t>
  </si>
  <si>
    <t>G: WalMart - Food etc for the Party</t>
  </si>
  <si>
    <t>Grocery (Amazon) - Orgain Superfoods</t>
  </si>
  <si>
    <t>EET: Monterey Bay Acquarium</t>
  </si>
  <si>
    <t>MH: Wayfair - Trash Cans</t>
  </si>
  <si>
    <t>F: Lunch - Jamba Juice - Strawberry Surfrider</t>
  </si>
  <si>
    <t>E: T (Mulund CN, Nirmal LS, Mulund)</t>
  </si>
  <si>
    <t>MA: GAP: Jeans</t>
  </si>
  <si>
    <t>Meds: coPay Shivani</t>
  </si>
  <si>
    <t>Meds: Doc visit: Anishka</t>
  </si>
  <si>
    <t>Gas (Transportation)</t>
  </si>
  <si>
    <t>EET: School</t>
  </si>
  <si>
    <t>Grocery (Amazon) - PlantFusion Protein Powder</t>
  </si>
  <si>
    <t>M: Amazon - Echo Show 8</t>
  </si>
  <si>
    <t>Grocery: Whole Foods - Nish's bday</t>
  </si>
  <si>
    <t>EET: Nishu's Birthday Celebration</t>
  </si>
  <si>
    <t>M: Walmart - Party + Candy</t>
  </si>
  <si>
    <t>Grocery (Amazon) - Hemp Seeds</t>
  </si>
  <si>
    <t>F: Sachin's , Mulund</t>
  </si>
  <si>
    <t>G: Bluetooth Headset : Papa &amp; RS</t>
  </si>
  <si>
    <t>Grocery (Walmart) - Trip</t>
  </si>
  <si>
    <t>F: San Diego Zoo Safari Ice Cream</t>
  </si>
  <si>
    <t>G: Michaels Stores - Party Stuff</t>
  </si>
  <si>
    <t>Grocery (Nob hill)</t>
  </si>
  <si>
    <t>G: Dollar Tree</t>
  </si>
  <si>
    <t>F: Ghirardelli, Cannery Row - Monterey</t>
  </si>
  <si>
    <t>MR: Benjamin Moore - Barren Plain Paint (2 Gals)</t>
  </si>
  <si>
    <t>Grocery: IG - Nish's bday</t>
  </si>
  <si>
    <t>Homemade Cheesecake + Vanilla cake</t>
  </si>
  <si>
    <t>Long Distance</t>
  </si>
  <si>
    <t>E: ICC Champions Trophy : TASS</t>
  </si>
  <si>
    <t>M: Parking Logan, Boston</t>
  </si>
  <si>
    <t>M: Amazon: Yoga DVD, Coconut water  -37 (Sarveshi's card)</t>
  </si>
  <si>
    <t>Meds: Nashaway (Sara)</t>
  </si>
  <si>
    <t>F: San Diego Zoo Safari Lunch</t>
  </si>
  <si>
    <t>G: Party Stuff - Wegmans</t>
  </si>
  <si>
    <t>Grocery (Amazon) - Lemon Juice x 12</t>
  </si>
  <si>
    <t>Grocery (Ebay) - 60x PB Supreme Bars</t>
  </si>
  <si>
    <t>F: Turkish - Baklava</t>
  </si>
  <si>
    <t>M: Dollar Store - Bday + Halloween decorations</t>
  </si>
  <si>
    <t>F: Master Butcher 2 x Mutton Biryani</t>
  </si>
  <si>
    <t>Grocery (Amazon) - Cacao Extract</t>
  </si>
  <si>
    <t>E: Davis' Mega Maze, Salem, MA</t>
  </si>
  <si>
    <t>EET: Stay at Wolfeboro, NH</t>
  </si>
  <si>
    <t xml:space="preserve">EET: San Diego Zoo Safari Tram + Carousel </t>
  </si>
  <si>
    <t>Grocery (Safeway) - Birthday Cake</t>
  </si>
  <si>
    <t>Grocery (Amazon) - Quest PP x 4 - $26.25</t>
  </si>
  <si>
    <t>M: Amazon - Sara's Grade 6 Books</t>
  </si>
  <si>
    <t>M: Nish's Bday gits Family games - geo + STEM</t>
  </si>
  <si>
    <t>M: Temu</t>
  </si>
  <si>
    <t>Grocery (Amazon) - Egg White Powder</t>
  </si>
  <si>
    <t>E: T (LS, Mulund, Mulund CS)</t>
  </si>
  <si>
    <t>G: Ipod Shuffle for RS</t>
  </si>
  <si>
    <t>Gifts: Davis' Mega Maze : Kuhu</t>
  </si>
  <si>
    <t>M: TRUS: Easel</t>
  </si>
  <si>
    <t>EET: San Diego Zoo  - Sara</t>
  </si>
  <si>
    <t>G: Birthday Cake, Wegmans</t>
  </si>
  <si>
    <t>EET: Harry Potter and the Prisoner of Azakaban - at home</t>
  </si>
  <si>
    <t>Grocery (Vitamin Shoppe) - Caramel Syrump + PM&amp;Me</t>
  </si>
  <si>
    <t>M: Nish's Bday Celcebration - Mini Golf</t>
  </si>
  <si>
    <t>Grovery (Amazon) - Monk Fruit x 5</t>
  </si>
  <si>
    <t>E: Diya</t>
  </si>
  <si>
    <t>E : T (Mulund CN , House)</t>
  </si>
  <si>
    <t>F: Strawberry Path, Wolfeboro, NH</t>
  </si>
  <si>
    <t>First day @ EMC</t>
  </si>
  <si>
    <t>M: Amazon (Steve Jobs)</t>
  </si>
  <si>
    <t>F: Buffet, Mayuri</t>
  </si>
  <si>
    <t>Car: Parking  - San Diego Zoo</t>
  </si>
  <si>
    <t>Kids: YMCA</t>
  </si>
  <si>
    <t>M: Return Postage for shortFin Shirt</t>
  </si>
  <si>
    <t>M: Amazon - Kitchen Mats</t>
  </si>
  <si>
    <t>F: Nish's B'day - Dunkin</t>
  </si>
  <si>
    <t>F: In-n-out Burger 2x Cheeseburger for school lunch</t>
  </si>
  <si>
    <t>G: Whole Foods - Birthday Party Cake</t>
  </si>
  <si>
    <t>E : Toll</t>
  </si>
  <si>
    <t>MA: earrings : Target</t>
  </si>
  <si>
    <t>Grocery : Wolfeboro, MA : Pumpkin</t>
  </si>
  <si>
    <t>CC: Nanny (Mon-Fri)</t>
  </si>
  <si>
    <t>F: Acropolis Greek Grill, Vista, CA</t>
  </si>
  <si>
    <t>MK: Macy's - Pressure Cooker</t>
  </si>
  <si>
    <t>F: Nish's bday - Jamba Juice</t>
  </si>
  <si>
    <t>G: Srvana Bhavan - Dosa for SP's mom</t>
  </si>
  <si>
    <t>Gerocery (Amazon) - Quest Bars</t>
  </si>
  <si>
    <t>Misc (CVS Photos)</t>
  </si>
  <si>
    <t>MA: Eddie Bauer Jacket</t>
  </si>
  <si>
    <t>F: P&amp;Z</t>
  </si>
  <si>
    <t xml:space="preserve">Grocery (Albertsons) </t>
  </si>
  <si>
    <t>G: Anishka's Birthday's Entertainer</t>
  </si>
  <si>
    <t xml:space="preserve">M: Amazon - Kindle </t>
  </si>
  <si>
    <t xml:space="preserve">MK: Macy's - Pyrex </t>
  </si>
  <si>
    <t>F: Nish's b'day - Biryani and Kebabs</t>
  </si>
  <si>
    <t>Grocery (Amazon) - Mocha StarbuckS</t>
  </si>
  <si>
    <t>Misc (Medicines)</t>
  </si>
  <si>
    <t>C/I/Sat: Subs to TASS</t>
  </si>
  <si>
    <t>G: TJX : House warming for Akshay</t>
  </si>
  <si>
    <t>EET: Legoland - Admission - Sara</t>
  </si>
  <si>
    <t>M: Amazon - Glass Bowl</t>
  </si>
  <si>
    <t>M: Walmart- Cap America Halloween</t>
  </si>
  <si>
    <t>F: Nish's B'day - Nob Hill - Cakes</t>
  </si>
  <si>
    <t>Grocery (Amazon) - AcneFree</t>
  </si>
  <si>
    <t>Dinner (Kebab n Curry)</t>
  </si>
  <si>
    <t>Misc : Umbrella</t>
  </si>
  <si>
    <t>G: Meds</t>
  </si>
  <si>
    <t>M: Propane Gas Grill + Propane</t>
  </si>
  <si>
    <t>Car: Parking - Legoland</t>
  </si>
  <si>
    <t>Grocery (Apples - Tougas Farm)</t>
  </si>
  <si>
    <t>Grocery (Amazon) - Orgain Plus Greens</t>
  </si>
  <si>
    <t>M: USCIS BioMetric</t>
  </si>
  <si>
    <t>G: Lunch for SP's mom</t>
  </si>
  <si>
    <t>MA: Altra Shoes</t>
  </si>
  <si>
    <t>G: Lenga, Baba</t>
  </si>
  <si>
    <t>M: Diapers: RiteAid</t>
  </si>
  <si>
    <t>F: Legoland - Ice Cream</t>
  </si>
  <si>
    <t>F: Kettle Corn - Tougas Farm</t>
  </si>
  <si>
    <t>G: Amazon - Jewelry</t>
  </si>
  <si>
    <t>Car: Repair - Nissan Altima - Headlamp</t>
  </si>
  <si>
    <t>M: Car Wash - Altima</t>
  </si>
  <si>
    <t>BGrocery (Amazon) - Allulose</t>
  </si>
  <si>
    <t>CVS (Co-Pay)</t>
  </si>
  <si>
    <t>E: T (Rick Hosp. to Lawyer)</t>
  </si>
  <si>
    <t>OTE: Meds: Urine Culture</t>
  </si>
  <si>
    <t>M: Lowes Battery</t>
  </si>
  <si>
    <t>MA: Running Shoes : Shivani (DSW)</t>
  </si>
  <si>
    <t>F: Legoland - Lunch</t>
  </si>
  <si>
    <t>G: Overstock (Sneha)</t>
  </si>
  <si>
    <t>Car: Oil Change - Nine Minute Lube (Altima)</t>
  </si>
  <si>
    <t>EET: Halloween Carnival @ Almond Elementary</t>
  </si>
  <si>
    <t>Car: Oil Change - Nissan Atima</t>
  </si>
  <si>
    <t>MH: Ross</t>
  </si>
  <si>
    <t>M: Amazon - Halloween Earrings</t>
  </si>
  <si>
    <t>F: Cake for SP's mom</t>
  </si>
  <si>
    <t>E:  T (Rick Nehru rd - MG Rd )</t>
  </si>
  <si>
    <t>EET: Legoland - Stroller</t>
  </si>
  <si>
    <t>M: Ticket to Ride - Amazon</t>
  </si>
  <si>
    <t>MH: Amazon - Ring Alarm System</t>
  </si>
  <si>
    <t>M: Amazon - iPad Cover</t>
  </si>
  <si>
    <t>Grocery (Amazon) - Jocko Molk</t>
  </si>
  <si>
    <t>Misc (Comforter)</t>
  </si>
  <si>
    <t>OTE: Meds: Stool Exam</t>
  </si>
  <si>
    <t>M: Legoland - Penny Passport</t>
  </si>
  <si>
    <t>MA: Target: Jeans</t>
  </si>
  <si>
    <t>M: Amazon - Rechargeable Battery</t>
  </si>
  <si>
    <t>M: Amazon - Switchbot</t>
  </si>
  <si>
    <t>G: Apna Bazaar</t>
  </si>
  <si>
    <t>MA: Amazon - Mens' T-shirt</t>
  </si>
  <si>
    <t>Grocery (Amazon) - Pepper Spray</t>
  </si>
  <si>
    <t>E: T Rickshaw Lawyer</t>
  </si>
  <si>
    <t>EET:Netflix</t>
  </si>
  <si>
    <t>Transportation: Tolls</t>
  </si>
  <si>
    <t xml:space="preserve">G: Amazon </t>
  </si>
  <si>
    <t>Grocery (Amazon)  - Colgate</t>
  </si>
  <si>
    <t>MH: Marshall's - Kitchen</t>
  </si>
  <si>
    <t xml:space="preserve">G: Rajwadi Thali </t>
  </si>
  <si>
    <t>Grocery (Amazon) - Dirt Seasoning</t>
  </si>
  <si>
    <t>G: Baba Doc Pandit, Asian</t>
  </si>
  <si>
    <t>F: Whole Foods, Huntington Beach, LA</t>
  </si>
  <si>
    <t>M: Amazon Kindle PaperWhite</t>
  </si>
  <si>
    <t>MA: Amazon - Halloween costume - Zoo, Nish</t>
  </si>
  <si>
    <t>G: Anishka - Return gift bags + necklaces</t>
  </si>
  <si>
    <t>I: MTNL Bill Pay</t>
  </si>
  <si>
    <t>F: Udipi, Shrewsbury - Diwali Dinner</t>
  </si>
  <si>
    <t>MA: Jeans (Target - 22 - 10 : Google Express)</t>
  </si>
  <si>
    <t>Grocery (Amazon)  - Quinoa</t>
  </si>
  <si>
    <t>EET: Half Moon Bay Pumpkin Fest</t>
  </si>
  <si>
    <t>MA: Ebay - Active T-shirt</t>
  </si>
  <si>
    <t>Grocery (Amazon) - Essences</t>
  </si>
  <si>
    <t>M: Temu - Halloween</t>
  </si>
  <si>
    <t>M: Car Adapter</t>
  </si>
  <si>
    <t>MH: Wood Stains</t>
  </si>
  <si>
    <t>MA: Amazon - Halloween costume - Loki</t>
  </si>
  <si>
    <t>G: Vandna Perfume Gucci</t>
  </si>
  <si>
    <t>G: Return Gifts -Amazon</t>
  </si>
  <si>
    <t>Grocery (Amazon)  - Coffee</t>
  </si>
  <si>
    <t>M: Amazon - Echo Show</t>
  </si>
  <si>
    <t>Grocery (Go)</t>
  </si>
  <si>
    <t>MK: Pan TJm : Returned -30</t>
  </si>
  <si>
    <t xml:space="preserve">M: Amazon Zumba Song </t>
  </si>
  <si>
    <t>M: Michael's - Craft for Sara's HW</t>
  </si>
  <si>
    <t>G: Dollar  Stores - Party Stuff</t>
  </si>
  <si>
    <t>M: Amazon (Thermos) for Shivani</t>
  </si>
  <si>
    <t>F: Caramel Apple - Half Moon Bay Festival</t>
  </si>
  <si>
    <t>MH: Amazon - Seeds</t>
  </si>
  <si>
    <t>M: Amazon - Halloween - RDP - 23 + 25</t>
  </si>
  <si>
    <t>G: Adi</t>
  </si>
  <si>
    <t>EET: Halloween Carnival - Almond Elementary</t>
  </si>
  <si>
    <t>Grocery (The Vitamin Shoppe) + PB&amp;Me + 2 x Caramel + Straw</t>
  </si>
  <si>
    <t>Grocery (Amazon) - Hand Wash + Conditioner</t>
  </si>
  <si>
    <t>MH: Bed, Bath and Beyond - Vacuum Cleaner</t>
  </si>
  <si>
    <t>M: Amazon - Scotch Tape</t>
  </si>
  <si>
    <t>M: Amazon- Christmas  Gift: Doll House</t>
  </si>
  <si>
    <t>Grocery (Amazon ) - Orgain</t>
  </si>
  <si>
    <t>Grocery (Weee!)</t>
  </si>
  <si>
    <t>M: Walgreens</t>
  </si>
  <si>
    <t>Grocery (IG) , Shrwsbury</t>
  </si>
  <si>
    <t>F: Halloween Carnival - Almond Elementary</t>
  </si>
  <si>
    <t>Grocery (Amazon) - Ground Coffee</t>
  </si>
  <si>
    <t xml:space="preserve">LASD: Volleyball Team </t>
  </si>
  <si>
    <t>MA: BJs: Nightwaer</t>
  </si>
  <si>
    <t xml:space="preserve">G: iPad Mini Shivani's Parents </t>
  </si>
  <si>
    <t>Fees: Traffic Violation</t>
  </si>
  <si>
    <t>F: Momo Grill - SRP</t>
  </si>
  <si>
    <t>Grocery (Amazon) - Pea Protein Flour</t>
  </si>
  <si>
    <t>Grocery (Amazon) - Scotch Tape</t>
  </si>
  <si>
    <t>Grocery (Aamzon) - Pet Shampoo</t>
  </si>
  <si>
    <t>G: iPad Mini Cover for Shivani's Mom-Dad</t>
  </si>
  <si>
    <t>M: Amazon Books + Charger</t>
  </si>
  <si>
    <t>MH: Amazon - Hammock</t>
  </si>
  <si>
    <t>M: Amazon - Halloween- Face Masks</t>
  </si>
  <si>
    <t>Grocery (Amazon) - Pet Deo</t>
  </si>
  <si>
    <t>Fees: Renunciation 2 - Shivani</t>
  </si>
  <si>
    <t>F: SPM</t>
  </si>
  <si>
    <t>F: EMC (Weekly)</t>
  </si>
  <si>
    <t>EET: Party Entertainment</t>
  </si>
  <si>
    <t xml:space="preserve">M: Amazon - Halloween - Cloaks x 2 </t>
  </si>
  <si>
    <t>Classes: AP Comp Science - Exam Fee</t>
  </si>
  <si>
    <t>M: Cell Phone</t>
  </si>
  <si>
    <t>G: P&amp;S Pizza</t>
  </si>
  <si>
    <t>Grocery (Amazon) - Lemonade Hydrasurge</t>
  </si>
  <si>
    <t>MA: Amazon - Levi's Leggings</t>
  </si>
  <si>
    <t>Anishka's B'day Party: Music KTV Cafe</t>
  </si>
  <si>
    <t>OTEH : Payless, SPM</t>
  </si>
  <si>
    <t>F: South Station - Pick up - Shivani's Mom/Dad</t>
  </si>
  <si>
    <t>OTE: Ebay iPhone Returns</t>
  </si>
  <si>
    <t>M: Amazon - Zuca Bag for Sara</t>
  </si>
  <si>
    <t>MH: Ikea - Anishka's Bed</t>
  </si>
  <si>
    <t>M: Amazon - Air piller pins</t>
  </si>
  <si>
    <t xml:space="preserve">Grocery (Anatacid) </t>
  </si>
  <si>
    <t>G: Anishka's bday party: Cake - Whole Foods - Gelato Cake</t>
  </si>
  <si>
    <t>MK: Calphalon, Amazon</t>
  </si>
  <si>
    <t>Fees: South Station beggar</t>
  </si>
  <si>
    <t>MH: Ikea Bookcases</t>
  </si>
  <si>
    <t>M: Amazon - AMC8 Math Prep book</t>
  </si>
  <si>
    <t>Grocery (Amazon) - Teen Vitamins</t>
  </si>
  <si>
    <t>M: Amazon - Bulbs</t>
  </si>
  <si>
    <t xml:space="preserve">CaR: Parking - South Station </t>
  </si>
  <si>
    <t>F: Ikea</t>
  </si>
  <si>
    <t>Grocery (Amazon )- Sardines</t>
  </si>
  <si>
    <t>M: Amazon - Decoration - Flowers</t>
  </si>
  <si>
    <t>Car: Merc - Coolant - Stree-Free Auto Care</t>
  </si>
  <si>
    <t>EET: St Bernadette Character Breakfast</t>
  </si>
  <si>
    <t>F: Dunkin, Service Plaza, NY</t>
  </si>
  <si>
    <t>MA: Walmart - Halloween Dreess</t>
  </si>
  <si>
    <t>Car: Altima: - Headlight repair 0 Nine Min - Palo Alto</t>
  </si>
  <si>
    <t>Grocery (Ikea)</t>
  </si>
  <si>
    <t>M: Dollar Tree - Halloween</t>
  </si>
  <si>
    <t>Grocery (Aamzon) - Steel Cut Oats</t>
  </si>
  <si>
    <t>MA: Amazon - Mens Tshirts</t>
  </si>
  <si>
    <t>M: St. Bernadette White Elephant shopping</t>
  </si>
  <si>
    <t>F: Sbarro, Service Plaza, NY</t>
  </si>
  <si>
    <t>M: Bath &amp; Body Works, Burlington Mall</t>
  </si>
  <si>
    <t xml:space="preserve">MH: Ikea </t>
  </si>
  <si>
    <t>M: Amazon -Lights</t>
  </si>
  <si>
    <t>Grocery (Amazon)- Old Fashioned Oats</t>
  </si>
  <si>
    <t>MA: Amazon - Halloween Stuff 1985</t>
  </si>
  <si>
    <t xml:space="preserve">Meds: PAMF </t>
  </si>
  <si>
    <t>F: Mayuri with Shivani's Mom/Dad</t>
  </si>
  <si>
    <t>EZPass - RT to Virginia</t>
  </si>
  <si>
    <t>G: Gold Earrings - Kay Pee (Aai)</t>
  </si>
  <si>
    <t>M: Amazon - Patio Umbrella</t>
  </si>
  <si>
    <t>M: Amazon - Anker Soundcore speakers</t>
  </si>
  <si>
    <t>KFees: Sara's STEM Class</t>
  </si>
  <si>
    <t>G: Bath &amp; Body Works, Burlington Mall</t>
  </si>
  <si>
    <t>Grocery (Amazon) - Nut flours</t>
  </si>
  <si>
    <t>MA: Payless shoes - Sara - 30</t>
  </si>
  <si>
    <t>M: Amazon - Party Supplies</t>
  </si>
  <si>
    <t>F: HoneyDew donuts</t>
  </si>
  <si>
    <t>Grocery (Wegmans) - Pumpkin</t>
  </si>
  <si>
    <t>Grocery (Amazon) - Electrolytes</t>
  </si>
  <si>
    <t>M: Amazon (Lights - hanging)</t>
  </si>
  <si>
    <t>MK: Amazon - Onion chopper</t>
  </si>
  <si>
    <t>M: Amazon (Cable ties)</t>
  </si>
  <si>
    <t>M: Walmart - Halloween costumers</t>
  </si>
  <si>
    <t>M: Walmart - Halloween stuff - 20</t>
  </si>
  <si>
    <t>F: Prezo - Shivani</t>
  </si>
  <si>
    <t>MH: Amazon  Twin matresss - 10 inch memory foam</t>
  </si>
  <si>
    <t>M: Amazon - Halloween Masks</t>
  </si>
  <si>
    <t>MA: Amazon  - Halloween Loki Costume</t>
  </si>
  <si>
    <t>M: Amazon - Harry Potter Book + Fault in our Stars</t>
  </si>
  <si>
    <t>MH: WayFair - Family Room - Sectional Sofa Sets</t>
  </si>
  <si>
    <t>G: Party food - Snackers</t>
  </si>
  <si>
    <t>MA: Amazon  - Halloween Loki Costume - Vest</t>
  </si>
  <si>
    <t>MH: Amazon - Half Bath Mirror Cabinet</t>
  </si>
  <si>
    <t>M: Party decorations</t>
  </si>
  <si>
    <t>MA: Amazon  - Halloween Loki Costume - Horns</t>
  </si>
  <si>
    <t>MH: Amazon - Fireplace Display Logs</t>
  </si>
  <si>
    <t>G: Domino'sPizza</t>
  </si>
  <si>
    <t>MA: Amazon  - Halloween  - Sara - Alice from Alice in Wonderland</t>
  </si>
  <si>
    <t>F: The Post, Los Altos, Shivani with friends</t>
  </si>
  <si>
    <t>Meds - CoPay - Precise Dental</t>
  </si>
  <si>
    <t>M: Amazon - Arris Cable Modem</t>
  </si>
  <si>
    <t>G: Return Favors and Gifts</t>
  </si>
  <si>
    <t>MA: Amazon  - Nish - Pirate</t>
  </si>
  <si>
    <t>G: Sarveshi - Kids Books</t>
  </si>
  <si>
    <t>Grocery (Amazon) - Iron Tabs</t>
  </si>
  <si>
    <t>M: Amazon - Wedding Bands</t>
  </si>
  <si>
    <t>MA: Amazon  - Shivani - Sylvie Horns</t>
  </si>
  <si>
    <t>M: Halloween Stuff - DollarTree</t>
  </si>
  <si>
    <t xml:space="preserve">EET: Jurassic Wrold - Comcast </t>
  </si>
  <si>
    <t>M: Amazon - Lawn Mower + Battery</t>
  </si>
  <si>
    <t>F: Safeway - Birthday Party Cake</t>
  </si>
  <si>
    <t>MA: Amazon  - Shivani - Sylvie</t>
  </si>
  <si>
    <t>F: Stones Public House</t>
  </si>
  <si>
    <t>M: HomeDepot</t>
  </si>
  <si>
    <t>MA: Amazon - Bras + Sports Bra</t>
  </si>
  <si>
    <t xml:space="preserve">G: TJX </t>
  </si>
  <si>
    <t>Classes: AP Comp Science - Barrons</t>
  </si>
  <si>
    <t>MH: Walmart - Smart Bulbs</t>
  </si>
  <si>
    <t>M: H2H - Stanford Parent-kid cla for Nish</t>
  </si>
  <si>
    <t>Classes: Let us Java</t>
  </si>
  <si>
    <t>MA: Walmart - Clips etc</t>
  </si>
  <si>
    <t xml:space="preserve">MA: Van Heusen - Wrentham </t>
  </si>
  <si>
    <t>MH: Stark Bros - Garden Plants</t>
  </si>
  <si>
    <t>M: Didams</t>
  </si>
  <si>
    <t>Grocery (Amazon) - Toilet Cleaner Brush</t>
  </si>
  <si>
    <t>MA: Osh'Kosh,B'Gosh, Wrentham</t>
  </si>
  <si>
    <t>MA: Amazon - Reef Sandals</t>
  </si>
  <si>
    <t>Car Repair: Nissan Altima - Sergio's Sunnyvale</t>
  </si>
  <si>
    <t>MK: Macy's</t>
  </si>
  <si>
    <t>M: WalMart - File folder</t>
  </si>
  <si>
    <t>M: Dollar Tree - File Folders</t>
  </si>
  <si>
    <t>MA: REI - Hiking boots for Zoo</t>
  </si>
  <si>
    <t>Grocery (Walmart) - Halloween</t>
  </si>
  <si>
    <t>M: Fish food, Petco</t>
  </si>
  <si>
    <t>MH: Ebay - Wagner FlexIO Stainer</t>
  </si>
  <si>
    <t>F: Prezo - Rahul</t>
  </si>
  <si>
    <t>MH: Ebay - Yardlock</t>
  </si>
  <si>
    <t>MA: Amazon Shoes - Sara, Anishka</t>
  </si>
  <si>
    <t xml:space="preserve">MH: Amazon - Mailbox </t>
  </si>
  <si>
    <t>MH: Walmart - Extension Cords</t>
  </si>
  <si>
    <t>MH: Walmart</t>
  </si>
  <si>
    <t>G: Gifts for Anishka's friends</t>
  </si>
  <si>
    <t>M: iPhone 6S Cover</t>
  </si>
  <si>
    <t>M: Ebay - Hydroflask water bottles x x 2</t>
  </si>
  <si>
    <t>MH: Amazon - Insect Trap</t>
  </si>
  <si>
    <t>M: Great Clips</t>
  </si>
  <si>
    <t>M: Halloween Donations - Microsoft</t>
  </si>
  <si>
    <t>MH: Amazon - Street Lamp</t>
  </si>
  <si>
    <t>MA: Amazon - Thermal Waffle Shirt</t>
  </si>
  <si>
    <t>MH: Apna Bazaar - Trees - Guava + Kadipatta</t>
  </si>
  <si>
    <t>G: Amazon - Becoming for Sara's friend Aya's birthday</t>
  </si>
  <si>
    <t>MA: Amazon - Ski Pants</t>
  </si>
  <si>
    <t>MA: Kohls - Winter Jacket for Sara</t>
  </si>
  <si>
    <t>MA: Amazon - Winter Gloves</t>
  </si>
  <si>
    <t>MA: Amazon - Fleece lined leggings</t>
  </si>
  <si>
    <t>MA: Amazon - Beanie</t>
  </si>
  <si>
    <t>MA: Amazon - Ecosmart hoodie</t>
  </si>
  <si>
    <t>OTE: LASD Donations</t>
  </si>
  <si>
    <t>MA: Amazon - Wollen Socks</t>
  </si>
  <si>
    <t>M: Amazon 2x LED TFlashlight</t>
  </si>
  <si>
    <t>M: Amazon - Alarm Clock</t>
  </si>
  <si>
    <t>G: Amazon - Gift for Sara's friends</t>
  </si>
  <si>
    <t>MA: Amazon - Sandals x 6</t>
  </si>
  <si>
    <t>M: Empower and Excel 60 x 2</t>
  </si>
  <si>
    <t>Fees: Returned Payment</t>
  </si>
  <si>
    <t>M: Walmart - Halloween Candy</t>
  </si>
  <si>
    <t>Jun'03</t>
  </si>
  <si>
    <t>Jun'04</t>
  </si>
  <si>
    <t>Jun'05</t>
  </si>
  <si>
    <t>Jun'06</t>
  </si>
  <si>
    <t>Jun'07</t>
  </si>
  <si>
    <t>Jun'08</t>
  </si>
  <si>
    <t>Jun'09</t>
  </si>
  <si>
    <t>Jun'10</t>
  </si>
  <si>
    <t>Jun'11</t>
  </si>
  <si>
    <t>Jun'12</t>
  </si>
  <si>
    <t>Jun'13</t>
  </si>
  <si>
    <t>Jun'14</t>
  </si>
  <si>
    <t>Jun'15</t>
  </si>
  <si>
    <t>Jun'16</t>
  </si>
  <si>
    <t>Jun'17</t>
  </si>
  <si>
    <t>Jun'18</t>
  </si>
  <si>
    <t>Jun'19</t>
  </si>
  <si>
    <t>Jun'20</t>
  </si>
  <si>
    <t>Jun'21</t>
  </si>
  <si>
    <t>Jun'22</t>
  </si>
  <si>
    <t>Jun'23</t>
  </si>
  <si>
    <t>Jun'24</t>
  </si>
  <si>
    <t>E: Fanna</t>
  </si>
  <si>
    <t>F: SPM Mall, Chinese + Panini</t>
  </si>
  <si>
    <t>Meds: Sara's doc visit</t>
  </si>
  <si>
    <t>EET: Storyland</t>
  </si>
  <si>
    <t>EET: StoryLand</t>
  </si>
  <si>
    <t xml:space="preserve">EET: LegoLand, Sommerville for Jun 7th </t>
  </si>
  <si>
    <t>Grocery (Amazon S&amp;S)</t>
  </si>
  <si>
    <t>EET: North Conway Anniversary Trip</t>
  </si>
  <si>
    <t>EET: Trip to Boston</t>
  </si>
  <si>
    <t>EET: Trip to Lake Tahoe - Anniversary Trip</t>
  </si>
  <si>
    <t>DAY CARE</t>
  </si>
  <si>
    <t>Camp: MathvEncrichment</t>
  </si>
  <si>
    <t>F: Mango, Milford, MA</t>
  </si>
  <si>
    <t>E: The Da Vinci Code</t>
  </si>
  <si>
    <t>MA: VS Bras</t>
  </si>
  <si>
    <t>M:Target : Nursing Pads</t>
  </si>
  <si>
    <t>M: Diapers, amazon</t>
  </si>
  <si>
    <t>G: Adi's baby shower</t>
  </si>
  <si>
    <t>M: Souvenirs - StoryLand</t>
  </si>
  <si>
    <t>F: Dunkin Glen, NH</t>
  </si>
  <si>
    <t>EET: Story Land - Tickets x 4</t>
  </si>
  <si>
    <t>EET: Air tickets - JetBlue - SFO-NYC-BOS-OAK</t>
  </si>
  <si>
    <t>EET: Hotel Lake Tahoe (6/25-6/28) - 505 + 57 + 9</t>
  </si>
  <si>
    <t>F: Berlin Orchards, Ice Cream</t>
  </si>
  <si>
    <t>G: Gift for Akshay, painting: Target</t>
  </si>
  <si>
    <t>M: iPhone Repair</t>
  </si>
  <si>
    <t>F: Red Fox, Glen, NH</t>
  </si>
  <si>
    <t>F: Storyland</t>
  </si>
  <si>
    <t>EET: Hotel Rental - Rennaisance Inn, North Conway, Marriott - $149/night - 70K points</t>
  </si>
  <si>
    <t>Grocery (Lake Tahoe Trip)</t>
  </si>
  <si>
    <t>F: Pizza, Class, Shivani</t>
  </si>
  <si>
    <t>EET: Woodward's Resort, Lincoln, NH</t>
  </si>
  <si>
    <t>F: Redfox, Jackson NH</t>
  </si>
  <si>
    <t>F: Breakfast - Starbuck Hotel - 20</t>
  </si>
  <si>
    <t>EET: Car Rental - JFK-BOS</t>
  </si>
  <si>
    <t>Food (Lake Tahoe Trip)</t>
  </si>
  <si>
    <t>Kids: Taekwondo</t>
  </si>
  <si>
    <t>M: Lowes Filters</t>
  </si>
  <si>
    <t>OTE: Air Tickets Mum-Bos-Mum</t>
  </si>
  <si>
    <t>F: Samosas: Cambridge Street Festival</t>
  </si>
  <si>
    <t>F: Mr W's Pancake House, Lincoln, NH</t>
  </si>
  <si>
    <t>F: India Street Café -35</t>
  </si>
  <si>
    <t>EET: Shuttle to Airport</t>
  </si>
  <si>
    <t>Gas (Lake Tahoe Trip)</t>
  </si>
  <si>
    <t>MH: Computer Table  - 165</t>
  </si>
  <si>
    <t>Classes: Strength training</t>
  </si>
  <si>
    <t>EET: Trip to Yellowstone</t>
  </si>
  <si>
    <t>TUXON Key Organizer Minimalist Innovative Keyholder Compact Keys Organizer Smart KeyChain Secures 2-6 Keys (Army Green)</t>
  </si>
  <si>
    <t>C: Driving License Renewal</t>
  </si>
  <si>
    <t>MA: Earrings : Target + Claire</t>
  </si>
  <si>
    <t>Car: Registration: Audi</t>
  </si>
  <si>
    <t>F: Dunkin Donuts, Meredith, NH</t>
  </si>
  <si>
    <t>F: SFO Airport - Dinner - 25</t>
  </si>
  <si>
    <t>F: New England + NY Trip (Including Grocery)</t>
  </si>
  <si>
    <t>EET (Lake Tahoe Trip)</t>
  </si>
  <si>
    <t>M: Printer - 185</t>
  </si>
  <si>
    <t>Classes: Volleyball Camp</t>
  </si>
  <si>
    <t>Grocery (ZeroCarbLyfe)</t>
  </si>
  <si>
    <t>2x Amazon Grocery, Garlic Powder, 3.9 Oz (Previously Happy Belly, Packaging May Vary)</t>
  </si>
  <si>
    <t>M: Postage to Indian Consulate</t>
  </si>
  <si>
    <t>F; Beer, Risi, Berlin</t>
  </si>
  <si>
    <t>G (Walmart)</t>
  </si>
  <si>
    <t>MAK: Frozen Yogurt Maker</t>
  </si>
  <si>
    <t>Meds: Physical - Rahul</t>
  </si>
  <si>
    <t>MIT Commencement</t>
  </si>
  <si>
    <t>EET: New England + NY Trip</t>
  </si>
  <si>
    <t>MH: Computer Chair - 84</t>
  </si>
  <si>
    <t>Classes: YMCA Swimming</t>
  </si>
  <si>
    <t>Bowlero Valley Fair</t>
  </si>
  <si>
    <t>UBIQUITI POE Injector, 802.3AT, 30W of PoE+ Power, Suitable For U6 AP U6-LR, U6-LITE &amp; U6-PRO</t>
  </si>
  <si>
    <t>M:Apparel. TJM</t>
  </si>
  <si>
    <t>M: 500GB WD MyBook Ext HDD : Dell</t>
  </si>
  <si>
    <t>M: postage</t>
  </si>
  <si>
    <t>M: Rechargeable Batteries</t>
  </si>
  <si>
    <t>G: Retirement gift for Shivani's dad</t>
  </si>
  <si>
    <t xml:space="preserve">F: MIT Commencement </t>
  </si>
  <si>
    <t>OTE: House Sale Prep: Walmart</t>
  </si>
  <si>
    <t>EET: Public Transportation Fares - NJT, NYC</t>
  </si>
  <si>
    <t>MH: Whiteboard - 41</t>
  </si>
  <si>
    <t>Kids: YMCA - Swim Team</t>
  </si>
  <si>
    <t>Grocery (Amazon) - Jolk Molk</t>
  </si>
  <si>
    <t>Yellowstone - Mammonth Lodga</t>
  </si>
  <si>
    <t>Uber, *eats</t>
  </si>
  <si>
    <t>TEWENE Sofa Cover Sectional Couch Covers Anti-Slip Sofa Slipcover for Dogs Cats Pet Love Seat Light Grey 36"x94"</t>
  </si>
  <si>
    <t>Gifts : Adi's Dad TJM</t>
  </si>
  <si>
    <t>Gifts: Miru</t>
  </si>
  <si>
    <t>M: Garage paint Stuff, Walmart</t>
  </si>
  <si>
    <t>M: Iphone Cable</t>
  </si>
  <si>
    <t>Car: inspection (Audi: failed)</t>
  </si>
  <si>
    <t>M: Amazon (Swim diapers)</t>
  </si>
  <si>
    <t>Fees: For Tolshop gift</t>
  </si>
  <si>
    <t>M: Walmart - Diapers</t>
  </si>
  <si>
    <t>F: MIT Commencement  - Anna Taquiera</t>
  </si>
  <si>
    <t>Tolls Etc</t>
  </si>
  <si>
    <t>EET: SlingTV - CWC 2019</t>
  </si>
  <si>
    <t>MH: Webcam - 50</t>
  </si>
  <si>
    <t>Grcoery (Amazon) - Milk138</t>
  </si>
  <si>
    <t>amseatec Criss Cross Chair with Armrests &amp; Wheels, PU Leather Vanity Chair, Swivel Computer Office Desk Chair (Cream)</t>
  </si>
  <si>
    <t>Gifts : Sooraj</t>
  </si>
  <si>
    <t>E: Ocean's 13 + Knocked Up (1 Free tick: Ugenie)</t>
  </si>
  <si>
    <t>M: Photos: Walgreen</t>
  </si>
  <si>
    <t>F: Shivani, Hopkinton, MA</t>
  </si>
  <si>
    <t>M: Amazon (Kids bath shampoo -Burt Bees)</t>
  </si>
  <si>
    <t>M: Walmart - Bike Helmets</t>
  </si>
  <si>
    <t>EET: Davis Farmland</t>
  </si>
  <si>
    <t>Gas (Car Rental)</t>
  </si>
  <si>
    <t>M: Dollar Store - party supplies</t>
  </si>
  <si>
    <t>EET: Amazon Kindle Unlimited</t>
  </si>
  <si>
    <t>Grocery (Amazon) - Whey Protein</t>
  </si>
  <si>
    <t>Laz Parking Mxx387-wc</t>
  </si>
  <si>
    <t>RUSTIC TOWN Leather Key Holder Case - Zippered Key Organizer Wallet with 8 Hooks for Keys, Cash, and Card (Return)</t>
  </si>
  <si>
    <t>Lunch, Keene, NH</t>
  </si>
  <si>
    <t>E: Bumper Boats</t>
  </si>
  <si>
    <t>F: Sichuan Gourmet, Framingham</t>
  </si>
  <si>
    <t>F: lunch, Shibu's new job celebration, Sichuan</t>
  </si>
  <si>
    <t>M: CVS : MouthWash</t>
  </si>
  <si>
    <t>M: Postage: EAD &amp; India</t>
  </si>
  <si>
    <t>M: Books: Parentonomics</t>
  </si>
  <si>
    <t>EET: Newport, RI</t>
  </si>
  <si>
    <t>M: Amazon (Books - How to Measure Your Life)</t>
  </si>
  <si>
    <t xml:space="preserve">OTE: House Sale Prep : Cleaning </t>
  </si>
  <si>
    <t>Grocery (VitaminShoppe) - Quest Protein Powder</t>
  </si>
  <si>
    <t>M: Amazon (Fleece Blanket)</t>
  </si>
  <si>
    <t>744 Bowlero Valley Fair</t>
  </si>
  <si>
    <t>365 by Whole Foods Market, Multigrain Sandwich Bread &amp; One Mighty Mill Whole Wheat Everything Bagels</t>
  </si>
  <si>
    <t>Grocery (WalMart, Nashua, NH)</t>
  </si>
  <si>
    <t>E: welcome To Mo0seport</t>
  </si>
  <si>
    <t>G: Flowers</t>
  </si>
  <si>
    <t>G: Gift Shopping: India</t>
  </si>
  <si>
    <t>M: Books; Art of Strategy + Bogleheads</t>
  </si>
  <si>
    <t>F: Dunkin, Newport, RI</t>
  </si>
  <si>
    <t>Car: USB VagCom Cable</t>
  </si>
  <si>
    <t>M: USD 3.0 Cable - Amazon</t>
  </si>
  <si>
    <t>M: Swimming Goggles</t>
  </si>
  <si>
    <t>Grocery (Grocery Outlet) - Quest Bars .99 - 24</t>
  </si>
  <si>
    <t>Grocery (Amazon) - Electryloytes</t>
  </si>
  <si>
    <t>M: Amazon (Anit slip rug)</t>
  </si>
  <si>
    <t>Grocery (Amaon) - Turkey Sticks</t>
  </si>
  <si>
    <t>iSpice - PERI PERI/PIRI PIRI SEASONING World Flavor Super Spice Blend  All Natural</t>
  </si>
  <si>
    <t>Med (WalMart, Nashua, NH)</t>
  </si>
  <si>
    <t>Gifts: Sooraj : Red sox Jacket</t>
  </si>
  <si>
    <t>F: John Harvard's</t>
  </si>
  <si>
    <t>M: Amazon (Paper Roll)</t>
  </si>
  <si>
    <t>M: Bath and Body works - Anti-Bacterial</t>
  </si>
  <si>
    <t>MA: Macy's  - Sports Blazer, Shirts</t>
  </si>
  <si>
    <t>Home: Insurance</t>
  </si>
  <si>
    <t>Car: Smog Test - Altima</t>
  </si>
  <si>
    <t>Grocery (Amazon) - Hand Sanitizer</t>
  </si>
  <si>
    <t>M: Amazon (Runner)</t>
  </si>
  <si>
    <t>Grocery (Amazon)  - Toilet Paper - Charmin</t>
  </si>
  <si>
    <t>Grocery (Amazon) - Spices</t>
  </si>
  <si>
    <t>Mission Trail Los Altos</t>
  </si>
  <si>
    <t>2x Taj√≠n Cl√°sico Chile Lime Seasoning 5 oz (Pack of 1)</t>
  </si>
  <si>
    <t>M: SuperCuts</t>
  </si>
  <si>
    <t xml:space="preserve">Gifts : Sooraj : Dart </t>
  </si>
  <si>
    <t>Grocery (IG) Framingham</t>
  </si>
  <si>
    <t>F:Westboro Korean with SPB</t>
  </si>
  <si>
    <t>M: Amazon (Parenting book)</t>
  </si>
  <si>
    <t>Fees: Ohio Life Insurance</t>
  </si>
  <si>
    <t>M: Axe Deo</t>
  </si>
  <si>
    <t>M: WalMart - Exercise Bench - 108</t>
  </si>
  <si>
    <t>M: Amazon (Bug Spray)</t>
  </si>
  <si>
    <t>Grocery (Amazon)  - Toilet Paper - Northern Quitled</t>
  </si>
  <si>
    <t>Temu.com</t>
  </si>
  <si>
    <t>CELSIUS Sparkling Fuji Apple Pear, Functional Essential Energy Drink 12 Fl Oz (Pack of 12)</t>
  </si>
  <si>
    <t>G: Pete's Lunch Mac Grill, Burlington, MA</t>
  </si>
  <si>
    <t>MA: TJX  (-22)</t>
  </si>
  <si>
    <t>M: Father's Day: EMC Gym personal trainer session</t>
  </si>
  <si>
    <t>Wachusett Reservior</t>
  </si>
  <si>
    <t>Car Registration: Merc</t>
  </si>
  <si>
    <t xml:space="preserve">G: Macy's </t>
  </si>
  <si>
    <t>M: Buck Mason - Washable Masks</t>
  </si>
  <si>
    <t>MK: Amazon (Burger Flipper)</t>
  </si>
  <si>
    <t>Grocery (Amazon) -  Bounty</t>
  </si>
  <si>
    <t>Pet-Misc - Amazon- Treats</t>
  </si>
  <si>
    <t>Sq *bahared Behdad, Dds,</t>
  </si>
  <si>
    <t>PB2 Performance Peanut Plant Based Vegan Protein Powder, 20g Complete Protein, No Added Sugar [Peanut w/Madagascar Vanilla, 2LB]</t>
  </si>
  <si>
    <t>M: Michaels , Woburn</t>
  </si>
  <si>
    <t>M: PoA Postage Expenses</t>
  </si>
  <si>
    <t>Grocery (PC), Marlborough</t>
  </si>
  <si>
    <t>MA: WalMart : Clothes</t>
  </si>
  <si>
    <t>G: Marchalls</t>
  </si>
  <si>
    <t>MA: TJX (Ret -25)</t>
  </si>
  <si>
    <t>G: Shirt (Shivani's dad and bro)</t>
  </si>
  <si>
    <t>EET: Redbox - Ironman 3, Oblivion</t>
  </si>
  <si>
    <t>Purgatory Chasm</t>
  </si>
  <si>
    <t>Fees: AAA Membership : RP</t>
  </si>
  <si>
    <t>Kids Classes: Mozart Music Recital</t>
  </si>
  <si>
    <t>G: Massage Chair</t>
  </si>
  <si>
    <t>M: Kano Motion Sensor (Father's Day)</t>
  </si>
  <si>
    <t>M: Amazon.in - Masks</t>
  </si>
  <si>
    <t>M: Amazon (Outdoor lights)</t>
  </si>
  <si>
    <t>Grocery (Amazon)  - PB Powder</t>
  </si>
  <si>
    <t>Pet-Misc - Amazon- Dog Food</t>
  </si>
  <si>
    <t>TUXON Key Organizer Minimalist Innovative Keyholder Compact Keys Organizer Smart KeyChain (Return)</t>
  </si>
  <si>
    <t>F: Dragon</t>
  </si>
  <si>
    <t>Ed: Babson Deposit RE</t>
  </si>
  <si>
    <t>M: Walmart : Cards</t>
  </si>
  <si>
    <t>G: Photos: Walgreens</t>
  </si>
  <si>
    <t>G: Shalu - Mikasa 42-piece dinnerware - BBB</t>
  </si>
  <si>
    <t>F: Rajwadi Thali</t>
  </si>
  <si>
    <t>M: MicroSDHC - 64 GB (Father's Day)</t>
  </si>
  <si>
    <t>EET: US Naturalization Oath Ceremonry</t>
  </si>
  <si>
    <t>M: Amazon (Wifi Bulbs)</t>
  </si>
  <si>
    <t>Grocery (Amazon)  - Almond Butter Powder</t>
  </si>
  <si>
    <t>Amazon.com*n30rn9jj0</t>
  </si>
  <si>
    <t>Roblox Physical Gift Cards, Multipack 2 x $25 [Includes Free Virtual Item] [Redeem Worldwide]</t>
  </si>
  <si>
    <t xml:space="preserve">E : BB videos </t>
  </si>
  <si>
    <t>M: Mattress</t>
  </si>
  <si>
    <t>F: Bertucci SPM</t>
  </si>
  <si>
    <t>Grocery (Milk) Exxon</t>
  </si>
  <si>
    <t>M: Walmart : Spot Shot</t>
  </si>
  <si>
    <t>MH: Target: Shelves</t>
  </si>
  <si>
    <t>MH: Microwave (Best Buy)</t>
  </si>
  <si>
    <t xml:space="preserve">F: Legoland </t>
  </si>
  <si>
    <t>F: Ice Cream - Purgatory Ice Cream</t>
  </si>
  <si>
    <t>EET: Touch Tomorrow - WPI</t>
  </si>
  <si>
    <t>M: Shutterfly - Father's Day magnet</t>
  </si>
  <si>
    <t>G: Rajwadi Thali</t>
  </si>
  <si>
    <t>M: Bike Helmet</t>
  </si>
  <si>
    <t>Meds: Walgreens - Amoxycilin - Dental</t>
  </si>
  <si>
    <t>Car: Merc - Lug nuts</t>
  </si>
  <si>
    <t>Grocery (Amazon)  - Oats</t>
  </si>
  <si>
    <t>Grocery (Amazon) - Meyer Soap</t>
  </si>
  <si>
    <t>Wecoe 10 Pack Satin Headbands 1.3 Inch Wide (Red, White, Black, Pink, Purple)</t>
  </si>
  <si>
    <t>M: Anniversary Gift</t>
  </si>
  <si>
    <t>E: Hum Tum</t>
  </si>
  <si>
    <t>MH: Walmart: Curtains + painting stuff (-20 Ret 1/3/09</t>
  </si>
  <si>
    <t>M: Suncreen: Badger</t>
  </si>
  <si>
    <t>MA: MIT Coop (Fathers Day gift)</t>
  </si>
  <si>
    <t>MH: Microwave (Install</t>
  </si>
  <si>
    <t>M: Amazon  Snap Circuits - Charger</t>
  </si>
  <si>
    <t>F: Touch Tomorrow @ WPI - Campus Center</t>
  </si>
  <si>
    <t>MK: Pyrex Lids</t>
  </si>
  <si>
    <t>MH: Blink Cameras + Show Deal</t>
  </si>
  <si>
    <t>Grocery (Amazon)  - Pizza Crust</t>
  </si>
  <si>
    <t>M: Amazon - AirTags</t>
  </si>
  <si>
    <t>M: Amazon - Bike Seat Cushion</t>
  </si>
  <si>
    <t>Apple.com/bill</t>
  </si>
  <si>
    <t>5 Colorful Precision Slant Tweezers Women &amp; Men Expert Eyebrow Shaping Face Grooming Hair Removal</t>
  </si>
  <si>
    <t>M: Tequila</t>
  </si>
  <si>
    <t>E: Parineeta</t>
  </si>
  <si>
    <t>M: Espresso Cups</t>
  </si>
  <si>
    <t>Gift: Sooraj: OD</t>
  </si>
  <si>
    <t>OTE: Citation</t>
  </si>
  <si>
    <t>G: MIT Coop (Sooraj)</t>
  </si>
  <si>
    <t>Car: Audi Inspection - 120 miles after rest - 130 light on</t>
  </si>
  <si>
    <t>F: EMC (Shivani's Training - Franklin)</t>
  </si>
  <si>
    <t>F: Sullivan's - Castle Island, Boston, MA</t>
  </si>
  <si>
    <t>MA: Sandals  - SRP</t>
  </si>
  <si>
    <t>MA: Wrangler Jeans</t>
  </si>
  <si>
    <t>Grocery (Amazon) - Monk Fruit  x 2</t>
  </si>
  <si>
    <t>Pet-Misc - Amazon - Pet Tag for Airtag</t>
  </si>
  <si>
    <t>Flywire*aj Tutoring</t>
  </si>
  <si>
    <t>Homienly Wheat Straw Cereal Bowls, Unbreakable Bowls for Kitchen, Party, 26 OZ (Set of 6)</t>
  </si>
  <si>
    <t>Movie : Finding Nemo</t>
  </si>
  <si>
    <t>M: Bubble Wrap Etc , Staples</t>
  </si>
  <si>
    <t>Grocery (Vita Coco: Amazon)</t>
  </si>
  <si>
    <t>EET: Wonder Woman - Century16, MTV</t>
  </si>
  <si>
    <t>M: Raspberry Pi (Father's Day gift)</t>
  </si>
  <si>
    <t>G: Amazon (NJ)</t>
  </si>
  <si>
    <t>Grocery (Amazon)  - Toothpaste</t>
  </si>
  <si>
    <t>M: Amazon - Texturized Powder</t>
  </si>
  <si>
    <t>M: Dimmer, Lowes</t>
  </si>
  <si>
    <t>MA: FootWear: Target: S</t>
  </si>
  <si>
    <t>M: Amazon iPhone cover</t>
  </si>
  <si>
    <t xml:space="preserve">Car: Nissan service - 60K miles </t>
  </si>
  <si>
    <t>Grocery (Amazon - Kay's snacks)</t>
  </si>
  <si>
    <t>MA: Amazon - Jeans</t>
  </si>
  <si>
    <t>M: Didums - 6th grade graduation decorations</t>
  </si>
  <si>
    <t>Grocery (Amazon)  - Dog Treats</t>
  </si>
  <si>
    <t>G: Amazon - NJ: Laser Tag Guns</t>
  </si>
  <si>
    <t>Sephora.com</t>
  </si>
  <si>
    <t>2x L'Oreal Paris Thickening Sulfate Free Conditioner, Rosemary Leaf, EverPure, 8.5 Fl Oz</t>
  </si>
  <si>
    <t>Food : Providence Place</t>
  </si>
  <si>
    <t>M: Condoms, SnS</t>
  </si>
  <si>
    <t>M: Beach Towel : target</t>
  </si>
  <si>
    <t>F: Thai Pepper, Milford</t>
  </si>
  <si>
    <t>M: Piercing Pagoda (Anishka)</t>
  </si>
  <si>
    <t>Grocery (Amazon - Kay's bfast)</t>
  </si>
  <si>
    <t>M: Amazon (Fungicide)</t>
  </si>
  <si>
    <t>Grocery (Amazon)  - Glade</t>
  </si>
  <si>
    <t>M: Amazon - LED Flood Lights x 6</t>
  </si>
  <si>
    <t>Serra Veterinary Hosp</t>
  </si>
  <si>
    <t>CeraVe Acne Treatment Face Wash, Salicylic Acid Cleanser, Niacinamide, Ceramides, 8oz</t>
  </si>
  <si>
    <t>M: Nautica Shirt, Providence - R</t>
  </si>
  <si>
    <t>Gift: Steve's B'day</t>
  </si>
  <si>
    <t>E: Boating License (2)</t>
  </si>
  <si>
    <t>G: Kaushik: Photo Frame, Target</t>
  </si>
  <si>
    <t>G:Kohls</t>
  </si>
  <si>
    <t>M: AC Moore: Fathers Day</t>
  </si>
  <si>
    <t>Grocery (Toilet paper rolls: Anmazon)</t>
  </si>
  <si>
    <t>M: MIT Coop</t>
  </si>
  <si>
    <t>Fees: Avalon Towers, Mountain View</t>
  </si>
  <si>
    <t>Grocery (Amazon) - Teddie's PB x 3</t>
  </si>
  <si>
    <t>EET: Super 8 Wyndham - Redding</t>
  </si>
  <si>
    <t>Grocery (Amazon)  - Dog Shampoo</t>
  </si>
  <si>
    <t xml:space="preserve">MA: Amazon </t>
  </si>
  <si>
    <t>Amazon Mktpl*n369l8g12</t>
  </si>
  <si>
    <t>AcneFree Severe Acne 10% Benzoyl Peroxide Foaming Cleansing Wash, 5oz</t>
  </si>
  <si>
    <t>Food : Chinese, Newport, RI</t>
  </si>
  <si>
    <t>M: AA Membership</t>
  </si>
  <si>
    <t>M: Photo Frame, target</t>
  </si>
  <si>
    <t>M: 5th Anniversary Gift; Ring, Shivani, BlueNile</t>
  </si>
  <si>
    <t>MH: Memory Foam Mattress</t>
  </si>
  <si>
    <t>M: TJM for Father's day BBQ</t>
  </si>
  <si>
    <t>Grocery (Kashi Cereal: Amazon - 4 pack)</t>
  </si>
  <si>
    <t>G: Fathers Day - TajOnline -Fruits for Baba</t>
  </si>
  <si>
    <t xml:space="preserve">Kids: Sara - STB Extended Day - June </t>
  </si>
  <si>
    <t>Grocery (Amazon) - Stevia x 2</t>
  </si>
  <si>
    <t>Grocery (GO) - Redding</t>
  </si>
  <si>
    <t>EET: Sar's Grad night Party</t>
  </si>
  <si>
    <t>Car: Smog Test - Merc</t>
  </si>
  <si>
    <t>CeraVe Acne Control Cleanser, 2% Salicylic Acid, Niacinamide + Ceramides, 16oz</t>
  </si>
  <si>
    <t>E: Paheli</t>
  </si>
  <si>
    <t>G: Himani: Photo Frame, Target</t>
  </si>
  <si>
    <t>KA: Bbs: TJM</t>
  </si>
  <si>
    <t>M: Swim diapers</t>
  </si>
  <si>
    <t>Fees: AAA</t>
  </si>
  <si>
    <t>MA: St. Bernadette Unifrom Sale (6/9)</t>
  </si>
  <si>
    <t>Kids: Camp - STB - Sara - June 20-25</t>
  </si>
  <si>
    <t>Grocery (Amazon) - Crystallized Lemon x 2</t>
  </si>
  <si>
    <t>Meds: CoPay - Sara</t>
  </si>
  <si>
    <t>M: Amazon - Bowflex - 360</t>
  </si>
  <si>
    <t>F: In-n-Out Burger - Redding</t>
  </si>
  <si>
    <t>Grocery (Amazon) - ShirataKI</t>
  </si>
  <si>
    <t>EET: Sara's Middle School - Grade 8 graduation - Blach Intermediate</t>
  </si>
  <si>
    <t>Car: Registration Altima</t>
  </si>
  <si>
    <t>Ubiquiti Networks PoE 48V 0.5A GigEthernet (Return complete)</t>
  </si>
  <si>
    <t>Lunch, EMC</t>
  </si>
  <si>
    <t>F: Showcase</t>
  </si>
  <si>
    <t>E: Movie (Krrish)</t>
  </si>
  <si>
    <t>Grocery (snS)</t>
  </si>
  <si>
    <t>Ed: Macroecon Book</t>
  </si>
  <si>
    <t>Grocery (IG, Patels)</t>
  </si>
  <si>
    <t>DayCare: Registration Fee</t>
  </si>
  <si>
    <t>F: Yowza Yogurt, Northborough</t>
  </si>
  <si>
    <t>F: SFO Airport - Amoura - Sandwich - Ham and Cheese</t>
  </si>
  <si>
    <t>MA: BR Outlet - Milpitas</t>
  </si>
  <si>
    <t>F: Panda Express - Redding</t>
  </si>
  <si>
    <t>MA: Amazon - Tshirt - Port Authority</t>
  </si>
  <si>
    <t>F: La Scala - Los Altos - Sara celebrating after graduation with her friend</t>
  </si>
  <si>
    <t>Car: Registration Merc</t>
  </si>
  <si>
    <t>Abardsion Women's Casual Basic Going Out Crop Tops Slim Fit Short Sleeve Crew Neck Tight T Shirts 2025 (5 colors)</t>
  </si>
  <si>
    <t>E: Winniepesaukee (Inn)</t>
  </si>
  <si>
    <t>M: A:Filenes SPM) Ret Shorts (-15)</t>
  </si>
  <si>
    <t>MA: Express (Orig : 141 : Ret + New)</t>
  </si>
  <si>
    <t>MA: The Childrens Place</t>
  </si>
  <si>
    <t>MA: Socks, shoes: TJX: Sara</t>
  </si>
  <si>
    <t>EET: Touch Tomorrow @ WPI</t>
  </si>
  <si>
    <t>Touch tomorrow - WPI</t>
  </si>
  <si>
    <t>M: Haircut (R+S)</t>
  </si>
  <si>
    <t>F: SFO Airport - Horizon Milk x 2</t>
  </si>
  <si>
    <t>EET: Sunnyvale Temple</t>
  </si>
  <si>
    <t>F: Chipotle - Redding</t>
  </si>
  <si>
    <t>M: Amazon - Blank Slate Board Game</t>
  </si>
  <si>
    <t>F: Los Altos Downtown - Shivani and moms night out</t>
  </si>
  <si>
    <t>OTC: Tickets for Aai-Baba</t>
  </si>
  <si>
    <t>M: Chess</t>
  </si>
  <si>
    <t>E: Boating, NH</t>
  </si>
  <si>
    <t>F: WPI Food Court</t>
  </si>
  <si>
    <t>EET: Cape Cod Vacation - Provincetown, Wellfleet, Falmouth</t>
  </si>
  <si>
    <t>F: Dunkin Donuts - NYC</t>
  </si>
  <si>
    <t xml:space="preserve">EET: AMC Mercado - Veere Di Weeding </t>
  </si>
  <si>
    <t>EET: SF on 15th</t>
  </si>
  <si>
    <t>Grocery (Amazon) - Granola</t>
  </si>
  <si>
    <t>MA: Amazon - Vest</t>
  </si>
  <si>
    <t>EET: Great America</t>
  </si>
  <si>
    <t>F: Mom's Night Out - SRP</t>
  </si>
  <si>
    <t>M: USPS to RBC</t>
  </si>
  <si>
    <t>E: Mini Golf, Pirate' Cove, NH</t>
  </si>
  <si>
    <t>MA: Aldo Shoes (55-50)</t>
  </si>
  <si>
    <t>MA: Gap (Shivani)</t>
  </si>
  <si>
    <t>EET: South Yarmouth Hotel - Clarion Inn</t>
  </si>
  <si>
    <t>EET: NJ Transit - Newark - NYC Penn Station</t>
  </si>
  <si>
    <t>G: AMC Mercado - Veere Di Weeding - Shivani's mom</t>
  </si>
  <si>
    <t>Parking - 15: Scality - (-20)</t>
  </si>
  <si>
    <t>Grocery (Amazon) - Sushi Ginger - 27</t>
  </si>
  <si>
    <t>F: Grocery Outlet - Redding</t>
  </si>
  <si>
    <t>Meds: Amazon - Simethicone x 6</t>
  </si>
  <si>
    <t>Trip: Uber -LA-SFO</t>
  </si>
  <si>
    <t>M: Andrea's Lunch</t>
  </si>
  <si>
    <t>M: Kohls (Skirts, Shibu) Returned 30</t>
  </si>
  <si>
    <t>E: Misc Trips</t>
  </si>
  <si>
    <t>G: Gift Wraps : AC Moore</t>
  </si>
  <si>
    <t>F: Restaurant.com Certificates</t>
  </si>
  <si>
    <t>F: Sullivan's Castle Iland - Father's Day</t>
  </si>
  <si>
    <t>EET: NYC Subway</t>
  </si>
  <si>
    <t>M: Kids Books &amp; Magazines</t>
  </si>
  <si>
    <t xml:space="preserve">EET: Lassen Volcanic Park - Entry free </t>
  </si>
  <si>
    <t>MA: Amazon - Mens belt</t>
  </si>
  <si>
    <t>F: Starbucks - Settle Airport</t>
  </si>
  <si>
    <t>E: Chalte chalte</t>
  </si>
  <si>
    <t>F: Misc Trip, NH</t>
  </si>
  <si>
    <t>G: Wine, Kaushik</t>
  </si>
  <si>
    <t>F: Ice Cream: Berlin Orchards</t>
  </si>
  <si>
    <t>M: Acer 24" Flat Panel LCD: 232-200</t>
  </si>
  <si>
    <t>G: Kohls: Ananya</t>
  </si>
  <si>
    <t>Grocery  (IG)</t>
  </si>
  <si>
    <t>EET: Provincetown - Race Point Beach</t>
  </si>
  <si>
    <t>Car: Parking: Newark Penn Station</t>
  </si>
  <si>
    <t>M: USPS - Coop</t>
  </si>
  <si>
    <t>M: Lids for Pyrex</t>
  </si>
  <si>
    <t>F: The Corral Grill, Gardiner, MT</t>
  </si>
  <si>
    <t>F: Starbucks, Arlington, MA</t>
  </si>
  <si>
    <t>G: Andreas B'day</t>
  </si>
  <si>
    <t>Gifts : Baba : Mambo Perfume</t>
  </si>
  <si>
    <t>M; Hair Cut, FS</t>
  </si>
  <si>
    <t>F: TGIF, SPM</t>
  </si>
  <si>
    <t>Med: CoPay Sarboo</t>
  </si>
  <si>
    <t>G: TJX: Sahana (Sowmya)</t>
  </si>
  <si>
    <t>F: Subway+DD (CT Rest Area)</t>
  </si>
  <si>
    <t>EET: RedBox - HER (Bored after 30mins)</t>
  </si>
  <si>
    <t>F: Lewis Homemade Icecream - Provincetown</t>
  </si>
  <si>
    <t>F: NY Pizza Suprema</t>
  </si>
  <si>
    <t xml:space="preserve">MA: Amazon - Sara's sandals </t>
  </si>
  <si>
    <t>Grocery (Amazon) - Chia Seeds</t>
  </si>
  <si>
    <t>M: Yellowstone Park Pass</t>
  </si>
  <si>
    <t>Gas (Camry)</t>
  </si>
  <si>
    <t>G: Sooraj's B'day</t>
  </si>
  <si>
    <t>M: Golf Club Set, Anniversary Gift, Dicks'</t>
  </si>
  <si>
    <t>M: PetSmart : Fishes</t>
  </si>
  <si>
    <t>P: Hopkinton State Park</t>
  </si>
  <si>
    <t>M: Iron (Walmart)</t>
  </si>
  <si>
    <t>Sarveshi's wedding</t>
  </si>
  <si>
    <t>Fathers Day</t>
  </si>
  <si>
    <t>F: The Lobster Pot, Provincetown</t>
  </si>
  <si>
    <t>G: M&amp;M Store</t>
  </si>
  <si>
    <t>M: Amazon - Kodak - Charger</t>
  </si>
  <si>
    <t>M: Amazon - Sony Bravia A80J - OLED 65:</t>
  </si>
  <si>
    <t>F: Mammoth Dining &amp; Bar</t>
  </si>
  <si>
    <t>M: Delorma (Globe)</t>
  </si>
  <si>
    <t>M: Domain Registration</t>
  </si>
  <si>
    <t>M: Apparel TJM</t>
  </si>
  <si>
    <t>E: Superman 3D @ Imax Fri 30</t>
  </si>
  <si>
    <t>MA: Express: Dress: S</t>
  </si>
  <si>
    <t>M: Investment Books</t>
  </si>
  <si>
    <t>F: Mango - Sooraj's birthday</t>
  </si>
  <si>
    <t>EET: Best Western Inn, Franconia, NH (Not visiting again)</t>
  </si>
  <si>
    <t>Car: Parking - Provincetown</t>
  </si>
  <si>
    <t>F: M&amp;M Store</t>
  </si>
  <si>
    <t>M: Amazon - Kodal - Ink Cartiridges</t>
  </si>
  <si>
    <t>F: Jamba Juice - Sara's graduation party</t>
  </si>
  <si>
    <t>F: Snowlodge Dining &amp; Bar</t>
  </si>
  <si>
    <t>F: Pizza, West Fork, ME</t>
  </si>
  <si>
    <t>G: Iparty</t>
  </si>
  <si>
    <t>E: Movie Bewitched</t>
  </si>
  <si>
    <t>G: Heating Pad, India</t>
  </si>
  <si>
    <t>M: Anniversary Gifts: Books; amazon</t>
  </si>
  <si>
    <t>G: Arin : Bday Gift</t>
  </si>
  <si>
    <t>F: Minerva</t>
  </si>
  <si>
    <t>EET: Hopkinton State park - Parking</t>
  </si>
  <si>
    <t>F: Ice Cream - Southwick Zoo</t>
  </si>
  <si>
    <t>F: Chipotle , Nashua</t>
  </si>
  <si>
    <t>EET: Cahoon Hollow, Wellfleet, MA</t>
  </si>
  <si>
    <t>F: Hot Dog - Time Square</t>
  </si>
  <si>
    <t>Car: Merc - Registration</t>
  </si>
  <si>
    <t>M: Amazon - HDMI Switch</t>
  </si>
  <si>
    <t>M: Amazon - TV Wall Mount</t>
  </si>
  <si>
    <t>F: Mammoth station</t>
  </si>
  <si>
    <t>E : Gray Ghosts Camps</t>
  </si>
  <si>
    <t>OTC : Home Inspection</t>
  </si>
  <si>
    <t>Grocery (Hannaford), Shrimps, Lobster, Apple Pie Mix</t>
  </si>
  <si>
    <t>G: Kamal: B'day Gift</t>
  </si>
  <si>
    <t>MH: 510 TC Bed Sheets, Amazon</t>
  </si>
  <si>
    <t>F: Chez Siam, Thai Take Out</t>
  </si>
  <si>
    <t>MA: The Children's Place (Natick)</t>
  </si>
  <si>
    <t>F: Anniversary Dinner (Chinese Mirch)</t>
  </si>
  <si>
    <t>M: Apple Store -What'sapp</t>
  </si>
  <si>
    <t>EET: Echo Lake Beach, Lincoln, NH /Franconia Notch State Park</t>
  </si>
  <si>
    <t>F: Moby Dick's, Wellfleet</t>
  </si>
  <si>
    <t>Car: Parking: Point Pleasant Beach, NJ</t>
  </si>
  <si>
    <t>Gas (Merc GL - Rental)</t>
  </si>
  <si>
    <t>E : Motor Boat, Moosehead Lake</t>
  </si>
  <si>
    <t>G: Cards Sooraj</t>
  </si>
  <si>
    <t>M: Roll Processing</t>
  </si>
  <si>
    <t>E: Mini Golf, Mulligans'</t>
  </si>
  <si>
    <t>G: Anya, WalMart</t>
  </si>
  <si>
    <t>M: Baby creams/shampoos/sunscreen : Badger</t>
  </si>
  <si>
    <t>Grocery Walmart</t>
  </si>
  <si>
    <t>EET: Rockport, Halibut point State Park</t>
  </si>
  <si>
    <t>F: Black Mountain Burger, Kancamagus Highway, NH</t>
  </si>
  <si>
    <t>EET: Wellfleet Drive-in - Finding Dory</t>
  </si>
  <si>
    <t>Fees: Car Parking Ticket</t>
  </si>
  <si>
    <t>Meds: Root Canal</t>
  </si>
  <si>
    <t>MK: Amazon (Burger Presser)</t>
  </si>
  <si>
    <t>M: Amazon - Li CE2032 Batteries</t>
  </si>
  <si>
    <t xml:space="preserve">M (Amazon) - Airtag holders </t>
  </si>
  <si>
    <t>F: Canyon General Store</t>
  </si>
  <si>
    <t>F : Breakfast, Rockwood, ME</t>
  </si>
  <si>
    <t>E: The Terminal</t>
  </si>
  <si>
    <t>G: Ahaan</t>
  </si>
  <si>
    <t>M: Walmart : Misc</t>
  </si>
  <si>
    <t>M: Anniversary Card</t>
  </si>
  <si>
    <t>F: Lunch @work</t>
  </si>
  <si>
    <t>Car: Parking: Logan Airport to pick up Aai-Baba</t>
  </si>
  <si>
    <t>EEFT: Halibut Point - Entrance</t>
  </si>
  <si>
    <t xml:space="preserve">G: Amazon - Gift NJ </t>
  </si>
  <si>
    <t>EET: Check-in - Hamption Inn - North Conway, NH</t>
  </si>
  <si>
    <t>EET: Dennis Cycle Center -Bike Rentals - Cape Cod Rail Trail - Dennis-Harwich - 6.8 miles</t>
  </si>
  <si>
    <t>EET: Point Pleasant Beach Entry + Rides</t>
  </si>
  <si>
    <t>MK: Amazon (Salt and Pepper shaker)</t>
  </si>
  <si>
    <t>MA: Amazon - Tshirts</t>
  </si>
  <si>
    <t>M: Amazon - GPS Car Holder</t>
  </si>
  <si>
    <t>F: Canyon Dinning</t>
  </si>
  <si>
    <t>F:  Lunch, BK, Kennebunk, ME</t>
  </si>
  <si>
    <t>M: Lowes Filters + Spot Shot -4</t>
  </si>
  <si>
    <t>Meds: Immigration Medical Exam R (Nortel Reim -200)</t>
  </si>
  <si>
    <t>MA: Skirt Express</t>
  </si>
  <si>
    <t>Temple, Ashland</t>
  </si>
  <si>
    <t>Car: Scrub a Dub</t>
  </si>
  <si>
    <t>F: The SunshineShack - Lunch, North Conway ,NH</t>
  </si>
  <si>
    <t>F: The Barking Claw, Falmouth</t>
  </si>
  <si>
    <t xml:space="preserve">F: Point Pleasant Beach - Pizza </t>
  </si>
  <si>
    <t>Grocery (Amazon) - Aveeno</t>
  </si>
  <si>
    <t>Grocery (Amazon) - Sausages</t>
  </si>
  <si>
    <t>M: Amazon - Arm Band for Sara's iPhone</t>
  </si>
  <si>
    <t>M: Best Buy Cable Ret -6</t>
  </si>
  <si>
    <t>M: Exercise Ball</t>
  </si>
  <si>
    <t>Meds: Immigration Medical Exam S (EMC Reim -200)</t>
  </si>
  <si>
    <t>G: Yankee Candle</t>
  </si>
  <si>
    <t>EET: WatchIndia</t>
  </si>
  <si>
    <t>Meds: Doc Visit</t>
  </si>
  <si>
    <t>F: The Flatbread Company - Vegan Pizza, North Conway, NH</t>
  </si>
  <si>
    <t>EET: Old Silver Beach, Falmouth</t>
  </si>
  <si>
    <t>F: New Hope, PA - Peddler's Village</t>
  </si>
  <si>
    <t>Ed: Education.com - Subscription</t>
  </si>
  <si>
    <t>Grocerry (Amazon) LorAnn Flavors - Banana and Caramel</t>
  </si>
  <si>
    <t>M: Amazon - Selfie Stick</t>
  </si>
  <si>
    <t>M: Amazon - Dash Cam</t>
  </si>
  <si>
    <t>M: Grant General</t>
  </si>
  <si>
    <t>M : WalMart</t>
  </si>
  <si>
    <t>M: CVS Bounty  + Preg. Test</t>
  </si>
  <si>
    <t>M: Postage to NJ</t>
  </si>
  <si>
    <t>EET: GiggleBerry Fair, New Hope, PA</t>
  </si>
  <si>
    <t>Grocery (Amazon) -Antacid</t>
  </si>
  <si>
    <t>M: UPS Print Out</t>
  </si>
  <si>
    <t xml:space="preserve">MH: Rei Chairs </t>
  </si>
  <si>
    <t>M: Amazon - Men's workout gloves</t>
  </si>
  <si>
    <t>F: Old Faithful Cafe</t>
  </si>
  <si>
    <t>E: War of the Worlds + 1 free coupon</t>
  </si>
  <si>
    <t>F: Imax Theatre Nachos + Soda</t>
  </si>
  <si>
    <t>Meds: X-Ray for Immigration : R (Nortel Reim -150)</t>
  </si>
  <si>
    <t>OTE: Tickets for Shalu</t>
  </si>
  <si>
    <t>M: CVS: Photos</t>
  </si>
  <si>
    <t>F: Woobery</t>
  </si>
  <si>
    <t xml:space="preserve">F: Lunch with Sooraj at Prezo </t>
  </si>
  <si>
    <t xml:space="preserve">EET: Greeley Pond Trail, Kanacamagus </t>
  </si>
  <si>
    <t>G: Wine: Wegmans (Northborough, MA)</t>
  </si>
  <si>
    <t>MedS: CoPay - Shivani - Mammography</t>
  </si>
  <si>
    <t xml:space="preserve">M: US Passport </t>
  </si>
  <si>
    <t xml:space="preserve">Grocery (Amazon) - Monkfruit </t>
  </si>
  <si>
    <t>Classes: Udemy Course AP Comp Sc</t>
  </si>
  <si>
    <t>M: Album + Cards</t>
  </si>
  <si>
    <t>M: Mailing App to EMC Lawyers</t>
  </si>
  <si>
    <t>M: D*</t>
  </si>
  <si>
    <t>EET: Hopkinton State Park</t>
  </si>
  <si>
    <t>Meds: Doc's visit - Anishka</t>
  </si>
  <si>
    <t>F: EMC - S</t>
  </si>
  <si>
    <t>EET: Sabbaday Falls, Kancamagus</t>
  </si>
  <si>
    <t>OTE: Donation for Foster Children for Alliant Credit Union Membership</t>
  </si>
  <si>
    <t>G: Birthday gifts - NJ ( Esha+Eshaan)</t>
  </si>
  <si>
    <t>Meds: CoPay - Dentist + 2018 Physical</t>
  </si>
  <si>
    <t>M: U S Passport Photos</t>
  </si>
  <si>
    <t>MH: Amazon - Ring Doorbell 2020 Solar Panel</t>
  </si>
  <si>
    <t>M: Amazon - Shorts</t>
  </si>
  <si>
    <t xml:space="preserve">M: Sofa </t>
  </si>
  <si>
    <t>M: Mailing Ring to Blue Nile</t>
  </si>
  <si>
    <t>F: Pizza P&amp;S</t>
  </si>
  <si>
    <t xml:space="preserve">F: Bollywood Gril </t>
  </si>
  <si>
    <t>EET: Mendon Drive-in - HTTYD-2, Maleficient</t>
  </si>
  <si>
    <t>EET: Boluder Loop Trail, Kancamagus</t>
  </si>
  <si>
    <t>G: TJX - Auburn - Mihir</t>
  </si>
  <si>
    <t>M: Drone - Father's Day Gift</t>
  </si>
  <si>
    <t>M: WalMart - Clipper Set Wahl</t>
  </si>
  <si>
    <t>M: Amazon - Weighted Blanket</t>
  </si>
  <si>
    <t>EET: tickets Ferry to Martha's Vineyard</t>
  </si>
  <si>
    <t>Car: State inspection</t>
  </si>
  <si>
    <t>Car: Parking Hampton Beach, NH</t>
  </si>
  <si>
    <t>EET: Lower Falls, Kancamagus</t>
  </si>
  <si>
    <t>EET: Captain America: Civil War - SPM</t>
  </si>
  <si>
    <t>Gas (Travel - Hyundai Sonata)</t>
  </si>
  <si>
    <t>G: Walgreens - Photos for Shivani's Mom</t>
  </si>
  <si>
    <t>M: Amazon - AirPods Pro</t>
  </si>
  <si>
    <t>EET: United - Baggage Fee</t>
  </si>
  <si>
    <t>M: WalmArt (103 - 30)</t>
  </si>
  <si>
    <t>F: Ice Cream (Orange Pineapple ; Mad Martha's)</t>
  </si>
  <si>
    <t xml:space="preserve">F: Yoway </t>
  </si>
  <si>
    <t>F: Hampton Beach - Sea Ketch - Lobster Roll Etc</t>
  </si>
  <si>
    <t>G: TRUS - Gifts for Arin, Mira and Aarav</t>
  </si>
  <si>
    <t>M: Target - Soniccare toothbrush</t>
  </si>
  <si>
    <t>EET: Rancho Hike</t>
  </si>
  <si>
    <t xml:space="preserve">EET: Turo Rental - Merc GL </t>
  </si>
  <si>
    <t>Car Repairs</t>
  </si>
  <si>
    <t>M: Restroom Décor, BBB (198 - 185)</t>
  </si>
  <si>
    <t>P: Falmouth, MA</t>
  </si>
  <si>
    <t>EET: Story Land</t>
  </si>
  <si>
    <t>EET: Father's Day - Lost River Gorge, North Woodstock, NH (Groupon)</t>
  </si>
  <si>
    <t>EET: Barbeque at Ruta-Sunil's Place</t>
  </si>
  <si>
    <t>MA: Kohls - Sara's Sandals + Shirt + T-shirt</t>
  </si>
  <si>
    <t>EET: Baker's Beach - SF</t>
  </si>
  <si>
    <t>Travel: Lyft : SFO-LA</t>
  </si>
  <si>
    <t>Rental : Camry</t>
  </si>
  <si>
    <t>M: Walmart, Hudson, Rods etc</t>
  </si>
  <si>
    <t>F: Pega Restaurant - Lincoln, NH (bad food)</t>
  </si>
  <si>
    <t>EET: Boston Downtown, Fanuueil Hall, North End</t>
  </si>
  <si>
    <t>MH: TV mount installation</t>
  </si>
  <si>
    <t xml:space="preserve">M: Amazon - 3-in-one charger </t>
  </si>
  <si>
    <t>F: Pizza Hut</t>
  </si>
  <si>
    <t>EET: SPM - Monsters University - with Sara</t>
  </si>
  <si>
    <t>F: EMC - Weekly</t>
  </si>
  <si>
    <t>EET: Story Land - 2nd Day</t>
  </si>
  <si>
    <t>F: Gypsy Café</t>
  </si>
  <si>
    <t>G; Madras Café</t>
  </si>
  <si>
    <t>Grocery (Amazon) - Dijon Mustard</t>
  </si>
  <si>
    <t>M: Walmart Curtain Rods</t>
  </si>
  <si>
    <t>E: Wall E</t>
  </si>
  <si>
    <t>Feee: Late fee for home insurance</t>
  </si>
  <si>
    <t>M: TRUS: Bicycle for Sara</t>
  </si>
  <si>
    <t>F: Ice Cream, Storyland</t>
  </si>
  <si>
    <t>F: Udderly Delicious Icecream - faltu</t>
  </si>
  <si>
    <t>Car: Parking: Boston</t>
  </si>
  <si>
    <t>Car: Registration: Merc</t>
  </si>
  <si>
    <t>Pets-Meds: Chewy</t>
  </si>
  <si>
    <t>Food : Chili's, Shrewsbury, MA</t>
  </si>
  <si>
    <t>M: Lowes Drill/Driver set</t>
  </si>
  <si>
    <t>G: Sarveshi's bday gift (iPad - Apple.com 3rd Gen)</t>
  </si>
  <si>
    <t>M: Amazon : Garden hose</t>
  </si>
  <si>
    <t>F: Redbones Barbeque (Not good food), Sommerville</t>
  </si>
  <si>
    <t>F: Moat Mountain Smokehouse</t>
  </si>
  <si>
    <t>Car: Oil Change, Nissan + Tire Rotation</t>
  </si>
  <si>
    <t>F: Luke's Lobster - Downtown Crossing - Boston</t>
  </si>
  <si>
    <t>MA: Abercrombie: shirts</t>
  </si>
  <si>
    <t>MA: Amazon: Workout Polo</t>
  </si>
  <si>
    <t>EET: Inside Out 2</t>
  </si>
  <si>
    <t>M: Kohls, Bathroom Set</t>
  </si>
  <si>
    <t>G: NJ check</t>
  </si>
  <si>
    <t>F: Service station trip to NJ (SAS)</t>
  </si>
  <si>
    <t xml:space="preserve">EET: MIT Museum </t>
  </si>
  <si>
    <t>EET: Echo Lake State Park, North Conway, NH - Parking</t>
  </si>
  <si>
    <t>F: Digg Inn - Downton Crossing - Boston</t>
  </si>
  <si>
    <t>M: Amazon (Oven gloves)</t>
  </si>
  <si>
    <t>Car: Altima: Smog Center</t>
  </si>
  <si>
    <t>MH: Amazon - Hose</t>
  </si>
  <si>
    <t>EET: Father's Day - Pinnacle National Park</t>
  </si>
  <si>
    <t>M : Roll Developing</t>
  </si>
  <si>
    <t>F: Dunkin, North Conway , NH</t>
  </si>
  <si>
    <t>Home: Walmart - Home Improvement</t>
  </si>
  <si>
    <t>MA: Qunicy Market - Boston T-shirts Kids</t>
  </si>
  <si>
    <t>Gas (Merc) - Rental</t>
  </si>
  <si>
    <t>India: Hathway Payment</t>
  </si>
  <si>
    <t>M: Sears: Curtains</t>
  </si>
  <si>
    <t>Gas (Altima) -Trip to NJ</t>
  </si>
  <si>
    <t>F: Sullivan's , Castle Island</t>
  </si>
  <si>
    <t>MA: Quincy Market - Hats - Kids</t>
  </si>
  <si>
    <t>G: TJX - Shivani's Mom return visit gifts</t>
  </si>
  <si>
    <t>M: Amazon - Insect bite Remover</t>
  </si>
  <si>
    <t>F:Service Station</t>
  </si>
  <si>
    <t>EET: New Hampshire Summer Trip</t>
  </si>
  <si>
    <t>EET: At Adi's Place</t>
  </si>
  <si>
    <t xml:space="preserve">Car: Parking: SFO </t>
  </si>
  <si>
    <t>M: Amazon : Art Frames</t>
  </si>
  <si>
    <t>Grocery (K Marketplace)</t>
  </si>
  <si>
    <t>MA: Amazon - Casual shirt</t>
  </si>
  <si>
    <t xml:space="preserve">G: B'day gifts - NJ </t>
  </si>
  <si>
    <t>F: Starbucks - Father's Day</t>
  </si>
  <si>
    <t>M : Cards</t>
  </si>
  <si>
    <t>EET: Inside Out, Regal, SPM x 4 tickets</t>
  </si>
  <si>
    <t>EET: Diana's Bath, North Conway, NH</t>
  </si>
  <si>
    <t>EET: Father's Day - Biking to Rengstorff in the morning</t>
  </si>
  <si>
    <t>F: Mongolian Hot Pot, Castro, MTV</t>
  </si>
  <si>
    <t>M: Amazon: Oximeter</t>
  </si>
  <si>
    <t>MH: Home Depot - Umbrella</t>
  </si>
  <si>
    <t>M: Lowes Spanner/Nut Driver</t>
  </si>
  <si>
    <t>F: Shaws, Ludlow, VT</t>
  </si>
  <si>
    <t>Home: Lowes: Home Imporvement - Sealant</t>
  </si>
  <si>
    <t>EET: Father's Day - Hiking - San Antonio Rancho</t>
  </si>
  <si>
    <t>F: Icicles</t>
  </si>
  <si>
    <t>Meds: Dental - RDP</t>
  </si>
  <si>
    <t>Pets-Food: Amazon - Treats</t>
  </si>
  <si>
    <t>Car: Merc Tire Repair - America Tire</t>
  </si>
  <si>
    <t>M: Dental X ray</t>
  </si>
  <si>
    <t>M: Uhaul + Gas (81 + 57 )</t>
  </si>
  <si>
    <t>F: Mr. Darcy's Grill - Ludlow, VT</t>
  </si>
  <si>
    <t>Home:Lowes: Home Imporvement - Plaster Paint</t>
  </si>
  <si>
    <t>F: Flatbread - North Conway</t>
  </si>
  <si>
    <t>Grocery (Amazon) - Pantene Shampoo and Conditioner - x 4</t>
  </si>
  <si>
    <t>EET: Toy Story 4</t>
  </si>
  <si>
    <t>M: Lenny's Newsletter</t>
  </si>
  <si>
    <t>Car: Merc - Servicing - Flectcher Jones</t>
  </si>
  <si>
    <t>F: VT Apple Pie Breakfast Place, Cavendish, VT</t>
  </si>
  <si>
    <t>Home: Mortgage Discharge at Worcester Registry of Deeds</t>
  </si>
  <si>
    <t>EET: Sabbaday Falls, Kancamagus Highway</t>
  </si>
  <si>
    <t>MA: Childrens Place</t>
  </si>
  <si>
    <t>Grocery (Amazon) - Shampoos - Panetene x 2</t>
  </si>
  <si>
    <t>H: REI: Outdoor Chairs</t>
  </si>
  <si>
    <t>Lunch (Applebee's)</t>
  </si>
  <si>
    <t>M : Andreas Lunch</t>
  </si>
  <si>
    <t>EET: Ben and Jerry's tour</t>
  </si>
  <si>
    <t>MA: Macy's -  SPM (Ret - 48)</t>
  </si>
  <si>
    <t>Kids: Ed: Sara STB Camp Field Trip</t>
  </si>
  <si>
    <t>EET: Lower Falls, Kancamagus Highway</t>
  </si>
  <si>
    <t>M: Amazon - Art Frames</t>
  </si>
  <si>
    <t>Grocery (VitaCost) - Ultima Replenisher x 2</t>
  </si>
  <si>
    <t>Car: Merc + Schedule A  + Rear brake pads</t>
  </si>
  <si>
    <t>Classes: Khanmeego</t>
  </si>
  <si>
    <t>E: Dinner Cruise, Mt Washington</t>
  </si>
  <si>
    <t>M: Walmart, Natick (35 - 20)</t>
  </si>
  <si>
    <t>F: Ice Crream - Ben and Jerry's</t>
  </si>
  <si>
    <t xml:space="preserve">M: Haircut - FS </t>
  </si>
  <si>
    <t>Home: Smoke Detectors</t>
  </si>
  <si>
    <t>MA: Under Armour Outlet</t>
  </si>
  <si>
    <t>EET: Day out in SF - North Beach, Coit Tower, Pier 39</t>
  </si>
  <si>
    <t>G: Book Box postage to NJ</t>
  </si>
  <si>
    <t>Car: Smog Test for Merc</t>
  </si>
  <si>
    <t>M: Amazon - Makeup Stuff</t>
  </si>
  <si>
    <t>E: Cruise Photo</t>
  </si>
  <si>
    <t>Grocery Shaws</t>
  </si>
  <si>
    <t>Car: Parking - Waterfront Park, Burlington, VT</t>
  </si>
  <si>
    <t>G: Amazon for NJ</t>
  </si>
  <si>
    <t>Home: CO Detectors</t>
  </si>
  <si>
    <t>MA: Van Heusen - Sunglasses</t>
  </si>
  <si>
    <t>Pepsi</t>
  </si>
  <si>
    <t>EET: Waterfront Park, Filing Cabinet, Oakland Park</t>
  </si>
  <si>
    <t>F: Bertucci's, SPM</t>
  </si>
  <si>
    <t>EET: Meery-Go-Round - Pier 39</t>
  </si>
  <si>
    <t>MA: Columbia Jacket (SRP)</t>
  </si>
  <si>
    <t>Grocery (Walmart  - Instacart)</t>
  </si>
  <si>
    <t>M: Parking</t>
  </si>
  <si>
    <t>M: Seeds , Berlin Orchards</t>
  </si>
  <si>
    <t>F: Burlington Bay</t>
  </si>
  <si>
    <t xml:space="preserve">EET: Father's Day - Temple + Baked Cake + Cookies </t>
  </si>
  <si>
    <t>M: Wegmans</t>
  </si>
  <si>
    <t>F: May Kelly's, North Conway</t>
  </si>
  <si>
    <t xml:space="preserve">F: Calzone's - North Beach </t>
  </si>
  <si>
    <t>M:Dollar Tree</t>
  </si>
  <si>
    <t>Grocery (Amazon) - Cheerios + Puffins</t>
  </si>
  <si>
    <t>M: Mailing to INS, IRS</t>
  </si>
  <si>
    <t>Car: Parking: North Beach Garage</t>
  </si>
  <si>
    <t>M: HydroFlask</t>
  </si>
  <si>
    <t>F: Momo Grill Food truck, Sunnyvale</t>
  </si>
  <si>
    <t>Car: Merc - Tire</t>
  </si>
  <si>
    <t>M: Winn Rail Road</t>
  </si>
  <si>
    <t>Fees: Worcester Registry of Deeds - Mortgage Discharge</t>
  </si>
  <si>
    <t>MA: MIT Coop - Sweatshirt</t>
  </si>
  <si>
    <t>Gas (Merc) - Loaner CLA 250</t>
  </si>
  <si>
    <t>F: Murracci's SF</t>
  </si>
  <si>
    <t>F: Briyaniz &amp; Kebabs - Sunnyvale - Goat Biryani</t>
  </si>
  <si>
    <t>Gas (merc)</t>
  </si>
  <si>
    <t>Grocery (Amazon) -Shampoo</t>
  </si>
  <si>
    <t>Lunch : Hobo + Pizza</t>
  </si>
  <si>
    <t>F: Chim Thai - Lunch with Umer</t>
  </si>
  <si>
    <t>M: MIT Coop (Cups)</t>
  </si>
  <si>
    <t>MK: Amazon (Glass Storage Containers)</t>
  </si>
  <si>
    <t xml:space="preserve">EET: Tahoe </t>
  </si>
  <si>
    <t>M: Model Train</t>
  </si>
  <si>
    <t>F: Bailey's - Cambridge - Salad and Smoothie</t>
  </si>
  <si>
    <t>EET: AirBnB - El Dorado, Homeland, CA (6/26-6/30)</t>
  </si>
  <si>
    <t>M: Walmart, RGB, Wood Paint</t>
  </si>
  <si>
    <t xml:space="preserve">EET: Anniversary - Boston - Harbor, Kennedy Parkway </t>
  </si>
  <si>
    <t>F: PotBelly (Salads) - Boston Logan Airport</t>
  </si>
  <si>
    <t>MA: Amazon - Mens Olukai Flip Flops</t>
  </si>
  <si>
    <t>F: Tahoe</t>
  </si>
  <si>
    <t>Grocey (Amazon) - Lysol</t>
  </si>
  <si>
    <t>EET: Kimbal Farms - Farewell Get together by Ruta -Bumper Boats</t>
  </si>
  <si>
    <t>MA: Amazon - Mens Ortho Flip Flops</t>
  </si>
  <si>
    <t>M: Amazon - Remote cover</t>
  </si>
  <si>
    <t>Gas - Thaoe</t>
  </si>
  <si>
    <t>F: Boston Chowda Co - Lobster Roll</t>
  </si>
  <si>
    <t>EET: Kimball Farms - Zipline - Sara Rahul</t>
  </si>
  <si>
    <t>F: Starbucks - Boston Logan Airport</t>
  </si>
  <si>
    <t>Kids summer Camp: Math Enrichment</t>
  </si>
  <si>
    <t>MA: Amazon - Flat Feet Support Pads</t>
  </si>
  <si>
    <t>Pet-Meds; Chewy - Simparica</t>
  </si>
  <si>
    <t>EET - Trips</t>
  </si>
  <si>
    <t>E: Computer Games</t>
  </si>
  <si>
    <t>Car: Auto Insurance - Geico</t>
  </si>
  <si>
    <t>EET: Airport Shuttle -Oakland-Mountain View</t>
  </si>
  <si>
    <t>Grocery (Amazon) - Cannned Salmon</t>
  </si>
  <si>
    <t>Pet-Misc: Feeder</t>
  </si>
  <si>
    <t>Dinner (NH, Weirs Beach)</t>
  </si>
  <si>
    <t>M: Amazon (Gel)</t>
  </si>
  <si>
    <t>F: Ice Cream - Kimball Farms</t>
  </si>
  <si>
    <t>Travel: Tolls - NYC, NJC, MA, NH</t>
  </si>
  <si>
    <t>Grocery (vitaminShoppe) - Quest Protein Powder</t>
  </si>
  <si>
    <t>MA: Gap/BR</t>
  </si>
  <si>
    <t>Trans: Parking</t>
  </si>
  <si>
    <t>E: Jet Ski</t>
  </si>
  <si>
    <t>F: Pretzels</t>
  </si>
  <si>
    <t>EET: Spectacle Island, Boston Hardbor Island</t>
  </si>
  <si>
    <t>M: Amazon: Wand with Echo</t>
  </si>
  <si>
    <t>EET: FairyTale Town - Sacremento</t>
  </si>
  <si>
    <t>Grocery (Amazon)  - Listerine</t>
  </si>
  <si>
    <t>EET: Cinemark MovieRewards</t>
  </si>
  <si>
    <t>F: In-N-Out - on the way to Tahoe</t>
  </si>
  <si>
    <t>Grocery (Amazon)  - Starbucks Frappuccino</t>
  </si>
  <si>
    <t>M: NH Certification</t>
  </si>
  <si>
    <t xml:space="preserve">EET: Carousel Ride, Kennedy Parkway </t>
  </si>
  <si>
    <t>EET: Ferry to Spectacle Island</t>
  </si>
  <si>
    <t>EET: Bungee Jumping - Heavenly - South Lake Tahoe</t>
  </si>
  <si>
    <t>F: McDonalds - on the way to Tahoe</t>
  </si>
  <si>
    <t>Grocery (Amazon)  - Cocoa Syrup</t>
  </si>
  <si>
    <t>Lunch (The Eggcelent Rest.)</t>
  </si>
  <si>
    <t xml:space="preserve">F: Zaytoon, Clinton </t>
  </si>
  <si>
    <t>Car: Parking - Harbor Garage</t>
  </si>
  <si>
    <t>F: My Thai Noodles</t>
  </si>
  <si>
    <t>Grocery (Amazon)-  Oaker Oats - Steel Cut Oats</t>
  </si>
  <si>
    <t>MA: WAlMart</t>
  </si>
  <si>
    <t>F: Cult burger</t>
  </si>
  <si>
    <t>MA (Amazon) - Nike Socks</t>
  </si>
  <si>
    <t>EET: Wonder Woman - Drive-In- SJ</t>
  </si>
  <si>
    <t xml:space="preserve">F: Starbucks, Heavenly </t>
  </si>
  <si>
    <t>F: Fire+Ice, Heavenly, CA - South Lake Tahoe</t>
  </si>
  <si>
    <t>MA (Amazon) - Bras</t>
  </si>
  <si>
    <t>M: Ikea : Kitchen Stuff</t>
  </si>
  <si>
    <t>Grocery (Raley's - Water)</t>
  </si>
  <si>
    <t>EET: Lake Tahoe: Hotel Azure</t>
  </si>
  <si>
    <t>F: GO, South Lake Tahoe</t>
  </si>
  <si>
    <t>MA: Amazon: Under Armour Shoes</t>
  </si>
  <si>
    <t>EET: King's Beach - Lake Tahoe</t>
  </si>
  <si>
    <t>F: SaveMart, Tahoe City, CA</t>
  </si>
  <si>
    <t>M: Starbucks - Tumbler</t>
  </si>
  <si>
    <t>Home: Jordans - Dining Table and TV Console</t>
  </si>
  <si>
    <t>M: Amazon: Kitchen - Spice Rack</t>
  </si>
  <si>
    <t>F: Mountain Hgh Sandwich Co, Incline Village, NV</t>
  </si>
  <si>
    <t>EET: Lime Scooter Rental</t>
  </si>
  <si>
    <t xml:space="preserve">M: Amazon - Cell Phone cover </t>
  </si>
  <si>
    <t>Fees: AAA Membership Fees</t>
  </si>
  <si>
    <t>EET: Sand Harbor Beach</t>
  </si>
  <si>
    <t>F: Sprouts Cafe</t>
  </si>
  <si>
    <t>EET: Ski Run Boat Rental - 2 hr Power Boat rental</t>
  </si>
  <si>
    <t>F: Uber Eats - Mantra - bad food</t>
  </si>
  <si>
    <t>EET: North Conway, Weirs Beach</t>
  </si>
  <si>
    <t>F: Sprouts Café - South Lake Tahoe - Salad Nicoise, Turkey Bowl, Kale Refresher</t>
  </si>
  <si>
    <t>EET: Biking, South Lake Tahoe</t>
  </si>
  <si>
    <t>EET: Holiday Inn Express, North Conway, NH</t>
  </si>
  <si>
    <t>F: Slice of Sierra Pizza</t>
  </si>
  <si>
    <t>Pet-Food (Amazon) - Dog Treats</t>
  </si>
  <si>
    <t>Pet-Travel: Rover</t>
  </si>
  <si>
    <t>Car: Parking - SF (Amit's 50th party)</t>
  </si>
  <si>
    <t>EET: Mini Golf, Pirate Cove</t>
  </si>
  <si>
    <t>Grocery (IG) - Trinetra</t>
  </si>
  <si>
    <t>EET: Tahoe Amore Gondola Ride</t>
  </si>
  <si>
    <t>F:PokeRok</t>
  </si>
  <si>
    <t>F: Red Fox , Jackson, NH</t>
  </si>
  <si>
    <t>Grocery (Jet.com)</t>
  </si>
  <si>
    <t>F:Chipotle</t>
  </si>
  <si>
    <t>EET: Cinemax membership</t>
  </si>
  <si>
    <t>F: Starbucks, North Conway, NH</t>
  </si>
  <si>
    <t>MA: The North Face - Jacket: Returned - 92</t>
  </si>
  <si>
    <t>EET: Emerald Bay State Park - Eagle Falls (Upper/Lower)</t>
  </si>
  <si>
    <t>Grocery (G0)</t>
  </si>
  <si>
    <t xml:space="preserve">M: USPS </t>
  </si>
  <si>
    <t>EET: Trail Cathedral Ledge, Conway, NH</t>
  </si>
  <si>
    <t>EET: Baldwin Beach</t>
  </si>
  <si>
    <t xml:space="preserve">Pet-Misc: Rover Boarding </t>
  </si>
  <si>
    <t>Pet-Food: Chewy</t>
  </si>
  <si>
    <t>EET: Trail Diana's Bath, Conway, NH</t>
  </si>
  <si>
    <t>F: Baked Bear - Heavenly</t>
  </si>
  <si>
    <t>EET: Lime Scooter Rentals</t>
  </si>
  <si>
    <t>F: Taco Bell - Lunch on the boat</t>
  </si>
  <si>
    <t>EET: WaterSports - Speed Boat Rentals - 2.5 hours + Gas</t>
  </si>
  <si>
    <t>F: Taco Bell Dinner</t>
  </si>
  <si>
    <t>F: Delaney's Hole in the Wall, North Conway, NH</t>
  </si>
  <si>
    <t>M: Macbook Pro - Best Buy (Shivani)</t>
  </si>
  <si>
    <t>MK: Amazon - Kitchen stuff</t>
  </si>
  <si>
    <t>EET: E-Scooter Rentals - Lime + Bird</t>
  </si>
  <si>
    <t>F: Sierra Pizza</t>
  </si>
  <si>
    <t>MA: VanHeusen</t>
  </si>
  <si>
    <t>G: Gymboree - Charu/Shanaya</t>
  </si>
  <si>
    <t>F: Sakoon Restaurant - Mountain View</t>
  </si>
  <si>
    <t>M: iPhone Charger Cables - Monoprice 2x</t>
  </si>
  <si>
    <t>F: Fire + Ice,  Heavenly - All you can eat grill + drinks</t>
  </si>
  <si>
    <t>Grocery (ZeroCarbLyfe) - Crusts + Chicken Chips</t>
  </si>
  <si>
    <t>HK: Revel Roti Maker, Amazon</t>
  </si>
  <si>
    <t>Fees: Notary for Trust/Will</t>
  </si>
  <si>
    <t>EET: Carmel-By-The-Sea - Monastery Beach + Hike at Point Lobos State Reserve</t>
  </si>
  <si>
    <t>F: Starbucks (Frap + Cake Pops)</t>
  </si>
  <si>
    <t>Car: Parking - Ski Run Marina</t>
  </si>
  <si>
    <t>Car: Prking : Pope Beach</t>
  </si>
  <si>
    <t>F: Flatbread, North Conway, NH</t>
  </si>
  <si>
    <t>F: Base Camp Pizza - Pizza + Marghertia Drink</t>
  </si>
  <si>
    <t>F: Punjabi Dhaba, Dixon, CA</t>
  </si>
  <si>
    <t xml:space="preserve">Car: WalmartAudi Selling - Color etc </t>
  </si>
  <si>
    <t>EET: Half Moon Bay, CA - Purisima Redwoods Trail</t>
  </si>
  <si>
    <t xml:space="preserve">F: Starbucks </t>
  </si>
  <si>
    <t>MH: Walmart for CA Home</t>
  </si>
  <si>
    <t>F: Family BBQ at Avalon</t>
  </si>
  <si>
    <t xml:space="preserve">Pet-Misc - Rover - Tahoe </t>
  </si>
  <si>
    <t>M: Walmart- Plants etc</t>
  </si>
  <si>
    <t>EET: Mt Cranmore Adventure Park (Groupon)</t>
  </si>
  <si>
    <t>Home: Renters Insurance - MV Apt</t>
  </si>
  <si>
    <t>F: Tin Pot Creamery</t>
  </si>
  <si>
    <t>Home Sell: Reinforce Deck to satisfy home inspection</t>
  </si>
  <si>
    <t>G: Tin Pot Creamery</t>
  </si>
  <si>
    <t>Home Sell: Fix Fireplace</t>
  </si>
  <si>
    <t>F: Momo truck</t>
  </si>
  <si>
    <t>F: Ice Cream + Frappacunio - Mt Cranmore top of summit</t>
  </si>
  <si>
    <t xml:space="preserve">EET: Mt. Cranmore Mountain Adventure Park </t>
  </si>
  <si>
    <t>Car: Scrub-a-dub Car Wash</t>
  </si>
  <si>
    <t>Nov'02</t>
  </si>
  <si>
    <t>Nov'03</t>
  </si>
  <si>
    <t>Nov'04</t>
  </si>
  <si>
    <t>Nov'05</t>
  </si>
  <si>
    <t>Nov'06</t>
  </si>
  <si>
    <t>Nov'07</t>
  </si>
  <si>
    <t>Nov'08</t>
  </si>
  <si>
    <t>Nov'09</t>
  </si>
  <si>
    <t>Nov'10</t>
  </si>
  <si>
    <t>Nov'11</t>
  </si>
  <si>
    <t>Nov'12</t>
  </si>
  <si>
    <t>Nov'13</t>
  </si>
  <si>
    <t>Nov'14</t>
  </si>
  <si>
    <t>Nov'15</t>
  </si>
  <si>
    <t>Nov'16</t>
  </si>
  <si>
    <t>Nov'17</t>
  </si>
  <si>
    <t>Nov'18</t>
  </si>
  <si>
    <t>Nov'19</t>
  </si>
  <si>
    <t>Nov'20</t>
  </si>
  <si>
    <t>Nov'21</t>
  </si>
  <si>
    <t>Nov'22</t>
  </si>
  <si>
    <t>Nov'23</t>
  </si>
  <si>
    <t>G: Vandna-Dharmesh, TJM</t>
  </si>
  <si>
    <t>OTE: Air Tickets: India</t>
  </si>
  <si>
    <t>F: Babson, R</t>
  </si>
  <si>
    <t>F: Baba's treat at Chipotle (-32)</t>
  </si>
  <si>
    <t>T: Acela Express to NYC for Tufte Class</t>
  </si>
  <si>
    <t>F: Chez Siam</t>
  </si>
  <si>
    <t>F: Starbucks, NJ</t>
  </si>
  <si>
    <t>MK: Chess ARP + SRP (178x2)</t>
  </si>
  <si>
    <t>Kids: Y- After School Program</t>
  </si>
  <si>
    <t>F: Carmine's, Bristol, CT</t>
  </si>
  <si>
    <t>Ed: Send GMAT Scores to MIT SDM</t>
  </si>
  <si>
    <t>T: Bolt bus NYC to Boston for Tufte Class</t>
  </si>
  <si>
    <t>F: Mayuri: Karvachauth</t>
  </si>
  <si>
    <t>M: Amazon - Pills</t>
  </si>
  <si>
    <t>M: Tire Chains</t>
  </si>
  <si>
    <t>MK: Karate - ARP + SRP (79 x 2)</t>
  </si>
  <si>
    <t>Classes: Y Swim</t>
  </si>
  <si>
    <t>E: Garam Masala</t>
  </si>
  <si>
    <t>EET: JetBlue (Shivani's trip to VA (Charu-Shalu)</t>
  </si>
  <si>
    <t>M: Haircut (+ Sara)</t>
  </si>
  <si>
    <t>MA: Payless Shoes</t>
  </si>
  <si>
    <t>EET: ThanksGiving Trip - Monterery</t>
  </si>
  <si>
    <t>Kids: Violin Rental</t>
  </si>
  <si>
    <t>F: Tamarind Bay, Boston, MA</t>
  </si>
  <si>
    <t>F: Rasoi, S</t>
  </si>
  <si>
    <t>KM: Passport photos, CVS</t>
  </si>
  <si>
    <t>Ed: Fooled by Randomness (kindle)</t>
  </si>
  <si>
    <t>G: Dollar Tree - Plastic Containers for Diwali</t>
  </si>
  <si>
    <t>MA: Amazon - Sneakers for Sara/Anishka</t>
  </si>
  <si>
    <t>EET: Holiday Inn - Seaside</t>
  </si>
  <si>
    <t>C: Parking</t>
  </si>
  <si>
    <t>M: Microfiber Cloth</t>
  </si>
  <si>
    <t>M: US Passport for Sara</t>
  </si>
  <si>
    <t>EET: India tickets</t>
  </si>
  <si>
    <t>F: lunch, SPM</t>
  </si>
  <si>
    <t>M: Camera LCD Cover</t>
  </si>
  <si>
    <t>G: Meds : Flax Seed and Centrum</t>
  </si>
  <si>
    <t>KM: BabiesRUs</t>
  </si>
  <si>
    <t>M: Petco, fishes</t>
  </si>
  <si>
    <t>Car Wash: SnD: Living Social</t>
  </si>
  <si>
    <t>MA: Kohls (-10 Kohls Cash)</t>
  </si>
  <si>
    <t>G: Postage for Laadoos to Sarveshi</t>
  </si>
  <si>
    <t>EET: Star Trek Beyond</t>
  </si>
  <si>
    <t>M: Amazon - Hair brush</t>
  </si>
  <si>
    <t>Grocery (SF - DoorDash)</t>
  </si>
  <si>
    <t>F: Pizza : Delivery</t>
  </si>
  <si>
    <t>Ed: App fee for MIT SDM</t>
  </si>
  <si>
    <t>M: Groupon : Picture People</t>
  </si>
  <si>
    <t>MA: Macys (Shivani)</t>
  </si>
  <si>
    <t>M: Amazon, iPhone Cover</t>
  </si>
  <si>
    <t>F: Starbucks, Sunnyvale</t>
  </si>
  <si>
    <t>Grocery (Amazon) - Quest Bars - Prime Promo x 4</t>
  </si>
  <si>
    <t>EET: Costa Rica - Thanksgiving Trip</t>
  </si>
  <si>
    <t>EET: Japan - Thanksgiving Trip</t>
  </si>
  <si>
    <t>EMC ISEC</t>
  </si>
  <si>
    <t>E: ISEC Diwali Bash on the 18th</t>
  </si>
  <si>
    <t>E: Om Shanti Om</t>
  </si>
  <si>
    <t>Grocery (IG) : Mutton</t>
  </si>
  <si>
    <t>MA: Winter Jacket (Sara :Marshalls)</t>
  </si>
  <si>
    <t>M: Haircut (Rahul)</t>
  </si>
  <si>
    <t>M: Amazon India - Colors</t>
  </si>
  <si>
    <t>Fees: Audible</t>
  </si>
  <si>
    <t>C/I/Sat - Sling</t>
  </si>
  <si>
    <t>Grocery (Amazon) - ElectroLytes</t>
  </si>
  <si>
    <t>Grocery (Amazon) - WP Salmon</t>
  </si>
  <si>
    <t>Grocery (Amazon) - Oven Roasted Peanuts -29</t>
  </si>
  <si>
    <t>F: Dinner, Canyon Café</t>
  </si>
  <si>
    <t>Car: Front Rotors and Temperature knob</t>
  </si>
  <si>
    <t>M: Bag for Aai</t>
  </si>
  <si>
    <t>Parking: SouthStation</t>
  </si>
  <si>
    <t>F: Mawa House (Shivani)</t>
  </si>
  <si>
    <t>MK: Amazon (Steel Frying Pan)</t>
  </si>
  <si>
    <t>Grocery (Ebay) - Quest</t>
  </si>
  <si>
    <t>G: Walmart - Depend Underwear</t>
  </si>
  <si>
    <t>Grocery (Amazon) - Hand Wash</t>
  </si>
  <si>
    <t>Grocery (Amazon) - Sardines x 2 (-50 damaged)</t>
  </si>
  <si>
    <t>Lodging: Fiesta Resoirt</t>
  </si>
  <si>
    <t>M: Haircut,</t>
  </si>
  <si>
    <t>Parking: Hyatt</t>
  </si>
  <si>
    <t>M: ToothPaste</t>
  </si>
  <si>
    <t>Meds :CVS</t>
  </si>
  <si>
    <t>F: NYC: Greek Stand</t>
  </si>
  <si>
    <t>M: Sachin's autobiography, Amazon.in</t>
  </si>
  <si>
    <t>F: Rangoon Ruby - Palo Alto</t>
  </si>
  <si>
    <t>F: SF - Deconstructed Samosa</t>
  </si>
  <si>
    <t>Car Rental - Wild Rider</t>
  </si>
  <si>
    <t>Grocery (berlin Orchards)</t>
  </si>
  <si>
    <t>F: Pizza : Dance Pratice, Westboro</t>
  </si>
  <si>
    <t>F: Chicken Roll @ Bhangra crap (Orpheum)</t>
  </si>
  <si>
    <t>Grocery (Walmart:Cereal Bars)</t>
  </si>
  <si>
    <t>F: Roy Rogers, CT</t>
  </si>
  <si>
    <t>M: Case Interview (Book: Amazon)</t>
  </si>
  <si>
    <t>Grocery (Bargain Outlet)</t>
  </si>
  <si>
    <t>EET: ORL-CHI-SJC - (Funeral visit)</t>
  </si>
  <si>
    <t>Grocery (Amazon) - Tresemme - Shampoo and Conditioner</t>
  </si>
  <si>
    <t>Grocery (Amazon) - Keto Bread Mix - 11 - damaged</t>
  </si>
  <si>
    <t>F: Costa Rica Trip</t>
  </si>
  <si>
    <t>Lunch (Mall)</t>
  </si>
  <si>
    <t>M: Walmart (Ret 13)</t>
  </si>
  <si>
    <t>Grocery (IG, Shrewsbury)</t>
  </si>
  <si>
    <t>Grocery (VitaCoco) (-32 Sarveshi's GC)</t>
  </si>
  <si>
    <t>M: ACMoore, Cars for Sara</t>
  </si>
  <si>
    <t>M: Amazon (AA batteries)</t>
  </si>
  <si>
    <t>G: Things Remembers (Shalu)</t>
  </si>
  <si>
    <t>M: Habitat for Humanity, Christmas Stuff</t>
  </si>
  <si>
    <t>MA: Kay Accessories</t>
  </si>
  <si>
    <t>M: MIT License Plate -Ebay</t>
  </si>
  <si>
    <t>Grocery (Amazon) - Flax Seed</t>
  </si>
  <si>
    <t>MA: Amazon - Shower cap</t>
  </si>
  <si>
    <t>Gas (Toyota RAV4) - Costa Rica</t>
  </si>
  <si>
    <t>MA: TJM, Auburn</t>
  </si>
  <si>
    <t>Grocery (One Coconut Water) : Amazon</t>
  </si>
  <si>
    <t>M: Tripod Stand</t>
  </si>
  <si>
    <t>G: Bldg 19</t>
  </si>
  <si>
    <t>M: Gummies (Amazon)</t>
  </si>
  <si>
    <t>M: Soccer: Groupon</t>
  </si>
  <si>
    <t>F: Wrentham - Bavarian Nuts</t>
  </si>
  <si>
    <t>G: Veena Joshi, IG + Lego Duplo</t>
  </si>
  <si>
    <t>EET: Redbox Movies (2) - Inside Out + The Gift</t>
  </si>
  <si>
    <t>MA: Kohls: Pants</t>
  </si>
  <si>
    <t>M: BestBuy - Christmas gift for Nish - Star Wars</t>
  </si>
  <si>
    <t>Grocery (Amazon) - San Pelligrino</t>
  </si>
  <si>
    <t>M: Amazon - Piano Book</t>
  </si>
  <si>
    <t>EET: Costa Rica Trip</t>
  </si>
  <si>
    <t>Meds : Pepcid (SnS)</t>
  </si>
  <si>
    <t>F: MIT</t>
  </si>
  <si>
    <t>MA: Payless , Auburn Ret -20</t>
  </si>
  <si>
    <t>Misc: SnS</t>
  </si>
  <si>
    <t>Grocery (VitaCoco) : Amazon</t>
  </si>
  <si>
    <t>E: RedBox movie: Twilight</t>
  </si>
  <si>
    <t>G: Mikasa : Gift for Charu</t>
  </si>
  <si>
    <t>EET: Car Stroller, Wrentham</t>
  </si>
  <si>
    <t>G: FitBit - Best Buy for Baba</t>
  </si>
  <si>
    <t>Cable: Hulu</t>
  </si>
  <si>
    <t>Grocery (Grocery Outlet) - SJ</t>
  </si>
  <si>
    <t>M: Ebay - Bark Home</t>
  </si>
  <si>
    <t>Car: Uber</t>
  </si>
  <si>
    <t>Misc ( Filene's Sweater)</t>
  </si>
  <si>
    <t>M: Video Casettes (SnS)</t>
  </si>
  <si>
    <t>Gifts (Rahul S)</t>
  </si>
  <si>
    <t>MA: Van Heusen - Suit + Shirt</t>
  </si>
  <si>
    <t>Car: Oil Change -Nissan Altima</t>
  </si>
  <si>
    <t>Grocery (Amazon) - Nuts</t>
  </si>
  <si>
    <t>G: Charu's daughter's bday</t>
  </si>
  <si>
    <t>Gifts (Aai Baba)</t>
  </si>
  <si>
    <t>F: Quiznos, Weboro</t>
  </si>
  <si>
    <t>MA: Macy's Shirts Ret -50 -24</t>
  </si>
  <si>
    <t>OTE: DCU Charge LTD Savings</t>
  </si>
  <si>
    <t>Meds: Doc copay Anishka</t>
  </si>
  <si>
    <t>EET: Trip to LV (Shivani)</t>
  </si>
  <si>
    <t>Grocery (ThatDailyDeal) - ThinkThin Protein Powder</t>
  </si>
  <si>
    <t>Grocery (Amazon) - D Cells</t>
  </si>
  <si>
    <t>MA: Sandals x 3</t>
  </si>
  <si>
    <t>M: Amazon - Lighters and Candles</t>
  </si>
  <si>
    <t>M: Home Goods</t>
  </si>
  <si>
    <t>Gifts: Macy's for papa</t>
  </si>
  <si>
    <t>E: Bee Movie</t>
  </si>
  <si>
    <t>EET: Restful Inn, Mariposa, CA - Yosemite</t>
  </si>
  <si>
    <t>MA: Amazon - Polo</t>
  </si>
  <si>
    <t>Grocery (Amazon) - Nature's Best Protein Powder</t>
  </si>
  <si>
    <t>M: Amazon - Surgical Masks</t>
  </si>
  <si>
    <t>M: Amazon - Sanitary Pads</t>
  </si>
  <si>
    <t>E: The Matrix Revolutions</t>
  </si>
  <si>
    <t>E: The Incredibles</t>
  </si>
  <si>
    <t>MA: Kohls, shirts + shoes Ret -23</t>
  </si>
  <si>
    <t>MA: Bath &amp; Body Works</t>
  </si>
  <si>
    <t>F: Cinnabon, SPM</t>
  </si>
  <si>
    <t>M: Newegg, SwissGear Backpack</t>
  </si>
  <si>
    <t>G: Skagen Watch - Macy's for Rahul S</t>
  </si>
  <si>
    <t>F: Healthy Food Market (Pizza + Beans)</t>
  </si>
  <si>
    <t>Grocery (Amazon) - Coconut Extract x 6</t>
  </si>
  <si>
    <t>G: Amazon - Nish's friend Sofia</t>
  </si>
  <si>
    <t>Dinner</t>
  </si>
  <si>
    <t>E: Marathi Play : Vaatchal</t>
  </si>
  <si>
    <t>Gifts: Walmart (Adi's Party Stuff)</t>
  </si>
  <si>
    <t>E: ISEC Diwali</t>
  </si>
  <si>
    <t>MA: Claire's</t>
  </si>
  <si>
    <t>G: Wine to Adi's place</t>
  </si>
  <si>
    <t>F: Mirchi - Dinner with kamal</t>
  </si>
  <si>
    <t>F: Gift Card for Breakfast - Amex to Restful Inn</t>
  </si>
  <si>
    <t>M: Travel Adapter: WalMart</t>
  </si>
  <si>
    <t>G: Amazon - Charu's daughter Anika</t>
  </si>
  <si>
    <t>Grocery ( Felipe's_</t>
  </si>
  <si>
    <t>Misc (Postage)</t>
  </si>
  <si>
    <t>M: Fishes</t>
  </si>
  <si>
    <t>M: CVS (L'Oreal - Anti wrinkle 12 -10 ECB)</t>
  </si>
  <si>
    <t>Car: Parking; Logan</t>
  </si>
  <si>
    <t>India Trip</t>
  </si>
  <si>
    <t>M: Target - Brita Water Filter Refills</t>
  </si>
  <si>
    <t>M: Travel Insurance for Shivani for Portugal - Schengen Visa</t>
  </si>
  <si>
    <t>MH: Backyard Fence Stain x 6</t>
  </si>
  <si>
    <t>M: Ross</t>
  </si>
  <si>
    <t>Classs: Madtown - FRC</t>
  </si>
  <si>
    <t>Misc (IMAX Movie)</t>
  </si>
  <si>
    <t>M: Calendar : AC Moore</t>
  </si>
  <si>
    <t>MA: Gap Outlet, Wrentham (125)</t>
  </si>
  <si>
    <t>MA: Express Ret -16</t>
  </si>
  <si>
    <t>M: CVS (StIves Body Wash (4) 16 - 12 - 3 )</t>
  </si>
  <si>
    <t>F: Dulles Airport</t>
  </si>
  <si>
    <t>M: Amazon - iPhone 6 Cover</t>
  </si>
  <si>
    <t>EET: Air Tickets - BA - BOS-LON-MUM x 3</t>
  </si>
  <si>
    <t>MA: Kohls: Jackets - RDP</t>
  </si>
  <si>
    <t>Grocery (Ebay) - Quest (x 24)</t>
  </si>
  <si>
    <t>MA: Marshals : Altra Shoes</t>
  </si>
  <si>
    <t>Pet-Meds: Skittles - check up</t>
  </si>
  <si>
    <t>MA: Bass</t>
  </si>
  <si>
    <t>MA: Claire's Ret -6</t>
  </si>
  <si>
    <t>F: Logan Airport - Pizza</t>
  </si>
  <si>
    <t>Gift: Birthday Gift for Agastya - Target</t>
  </si>
  <si>
    <t>Grocery (Grocery Outlet) - PA</t>
  </si>
  <si>
    <t>M: Meat Thermometer</t>
  </si>
  <si>
    <t>MA: Macy's Shoes</t>
  </si>
  <si>
    <t>MA: Marshalls - Penguin Jacket</t>
  </si>
  <si>
    <t>MA: Izod , Wrentham</t>
  </si>
  <si>
    <t>MA : Target Ret -14</t>
  </si>
  <si>
    <t>MA: TJX - Socks</t>
  </si>
  <si>
    <t>F: Metkut - Thane -</t>
  </si>
  <si>
    <t>EET: Fantastic Beasts and the Crimes of Grindelwald</t>
  </si>
  <si>
    <t>G: Amazon - Anika + Shanaya Bday gifts</t>
  </si>
  <si>
    <t>M: Amazon : Katchy</t>
  </si>
  <si>
    <t>M: Amazon - Heated Mat</t>
  </si>
  <si>
    <t>MA; Amazon - Sunglasses</t>
  </si>
  <si>
    <t>Food : Au Bon pain (Mall)</t>
  </si>
  <si>
    <t>E : Veer Zaara</t>
  </si>
  <si>
    <t>F: Wrentham Mall</t>
  </si>
  <si>
    <t>F: Pizza, Babson</t>
  </si>
  <si>
    <t>MA: BR, Wrentham</t>
  </si>
  <si>
    <t>MA: Metro Shoes - Shivani</t>
  </si>
  <si>
    <t>M: Paris Airport - Salt + Pepper Shaker + Burbery</t>
  </si>
  <si>
    <t>G: Amazon - Omletter Maker + Poacher for Aai</t>
  </si>
  <si>
    <t>M: Amazon - Compression Tights</t>
  </si>
  <si>
    <t>M: Amazon - Food heating containers</t>
  </si>
  <si>
    <t xml:space="preserve">MA Amazon TNF Jacket </t>
  </si>
  <si>
    <t>M: TJ Maxx, Warwick RI ( -7)</t>
  </si>
  <si>
    <t>F: P&amp;S</t>
  </si>
  <si>
    <t>Parking: Logan Airport top drop off Aai Baba</t>
  </si>
  <si>
    <t>M: Walmart: Wooden Toy + Umbrella Stroller</t>
  </si>
  <si>
    <t>G: BR (Liz)</t>
  </si>
  <si>
    <t>MA: Disney blanked for Anishka (Customized)</t>
  </si>
  <si>
    <t>MA: Macy's - Dresses for the Girls</t>
  </si>
  <si>
    <t>Grocery (Hypercity), Viviana Mall, Thane</t>
  </si>
  <si>
    <t>G: Safeway - Pound Cake</t>
  </si>
  <si>
    <t>M: Amazon: Astrophysics for Kids</t>
  </si>
  <si>
    <t>M: Amazon - Room Lights</t>
  </si>
  <si>
    <t>M: Amazon - Callus Remover</t>
  </si>
  <si>
    <t>M: TJM (Perfume + Socks)</t>
  </si>
  <si>
    <t>F: Chennai Woodlands</t>
  </si>
  <si>
    <t>F: Lemon Tree, Burlington</t>
  </si>
  <si>
    <t>E: EMC ISEC Annual Bash</t>
  </si>
  <si>
    <t>M: Amazon: Shoulder brace</t>
  </si>
  <si>
    <t>MA: GAP, Wrentham</t>
  </si>
  <si>
    <t>M: Diwali lights</t>
  </si>
  <si>
    <t>M: Bath and Body Works - Hand Soaps</t>
  </si>
  <si>
    <t>G: Saree for Sneha</t>
  </si>
  <si>
    <t>EET: Fantastic Beasts and Where to Find Them, MV</t>
  </si>
  <si>
    <t>M: Amazon: Kumon Books</t>
  </si>
  <si>
    <t>Grocery (World Market) - Cardmon</t>
  </si>
  <si>
    <t>M: Amazon - Decorative Flowers</t>
  </si>
  <si>
    <t>F: Amritsari Kulcha</t>
  </si>
  <si>
    <t>Pets-Meds</t>
  </si>
  <si>
    <t>M Amazon: Callues scrubber</t>
  </si>
  <si>
    <t>Gifts: Adi TJM Perfume</t>
  </si>
  <si>
    <t>E: Bridget Jones Diaries</t>
  </si>
  <si>
    <t>E: Casino Royal</t>
  </si>
  <si>
    <t>MA: Gap Outlet, Clinton Crossing, Clinton, CT</t>
  </si>
  <si>
    <t>Ed: WPI Transcript Order for MIT SDM</t>
  </si>
  <si>
    <t>MA: OshKoshB'Gosh, Wrentham</t>
  </si>
  <si>
    <t>F: EMC (Nov 1- 13)</t>
  </si>
  <si>
    <t>G: Saree for Aai</t>
  </si>
  <si>
    <t>INCL</t>
  </si>
  <si>
    <t>G: Rahul/Sneha - Anniversary - TOLShop</t>
  </si>
  <si>
    <t>G: Sarveshi - Agastya - Sharanya</t>
  </si>
  <si>
    <t>MH: Trees - Dogwood</t>
  </si>
  <si>
    <t>Pet-Food - Chewy</t>
  </si>
  <si>
    <t>MA: CVS Cosmetics</t>
  </si>
  <si>
    <t>MA: BR, Clinton Crossing, Clinton, CT</t>
  </si>
  <si>
    <t>EET: Quantum of Solace</t>
  </si>
  <si>
    <t>M: Diapers, Amazon</t>
  </si>
  <si>
    <t>MA: Children's Place, Wrentham</t>
  </si>
  <si>
    <t>EET: Argo (Shivani and her Team)</t>
  </si>
  <si>
    <t>MA: Mens Wearhouse</t>
  </si>
  <si>
    <t>G: Mysore Silk Sarees - 3</t>
  </si>
  <si>
    <t>G: Charu - Anika - Shanay</t>
  </si>
  <si>
    <t>M: World Market - Gingerbread House Mold</t>
  </si>
  <si>
    <t>MH: Walmart: Planters</t>
  </si>
  <si>
    <t>MA: Amazon - Footsupport</t>
  </si>
  <si>
    <t>Pet-Meds - Simparica</t>
  </si>
  <si>
    <t>Gifts: TJM (Deepthi-Ravi) (18-Nov)</t>
  </si>
  <si>
    <t>MA: TH, Clinton Crossing, Clinton, CT</t>
  </si>
  <si>
    <t>G: Sarees etc stuff from India by Sarveshi</t>
  </si>
  <si>
    <t>MA: BR, SPM</t>
  </si>
  <si>
    <t>G: Agastya's gifts - Stroller + Diaper Pail</t>
  </si>
  <si>
    <t>MA: Payless - Anna Elsa Shoes for Sara</t>
  </si>
  <si>
    <t>M: Sandals - R - Mochi, Korum Mall</t>
  </si>
  <si>
    <t>EET: Doctor Strange</t>
  </si>
  <si>
    <t>Grocery (Amazon) - Flavoring Oils</t>
  </si>
  <si>
    <t>Grocery (SimpliSnackin) x 40</t>
  </si>
  <si>
    <t>M: Amazon - Extension chords</t>
  </si>
  <si>
    <t>M: Amazon - Airpods Pro 2</t>
  </si>
  <si>
    <t>Meds : GNC</t>
  </si>
  <si>
    <t>MH: Walmart, Filing Cab</t>
  </si>
  <si>
    <t>Gifts: TJM (Miru-Anand) (18-Nov)</t>
  </si>
  <si>
    <t>Ma: Old Navy</t>
  </si>
  <si>
    <t>Car: Oil Air filter</t>
  </si>
  <si>
    <t>G: Adult Diapers</t>
  </si>
  <si>
    <t>M: Haircut (Sara)</t>
  </si>
  <si>
    <t>MA: T Shirts - Sara/Anishka - H&amp;M , SPM</t>
  </si>
  <si>
    <t>MA: Shirt -Cotton World - Rahul</t>
  </si>
  <si>
    <t>M: Create your own story book</t>
  </si>
  <si>
    <t>M: Christmas Gift for Kids - BestBuy - BB*</t>
  </si>
  <si>
    <t>Grocery (Amazon) - Hydrasurge x 5</t>
  </si>
  <si>
    <t>MH: Home Dept - Patio Tower Heater</t>
  </si>
  <si>
    <t>M: Amazon - Sushi Kit</t>
  </si>
  <si>
    <t>MA: Amazon - Pants - RP</t>
  </si>
  <si>
    <t>Grocery (Amazon) - Orgain - 1</t>
  </si>
  <si>
    <t>Misc (Roll Develop)</t>
  </si>
  <si>
    <t>E: BharatNatyam Classes</t>
  </si>
  <si>
    <t>Grocery (CIG)</t>
  </si>
  <si>
    <t>F: Starbucks, Marlborough (18-Nov)</t>
  </si>
  <si>
    <t>M: Tripod, Radioshack</t>
  </si>
  <si>
    <t>G: BR</t>
  </si>
  <si>
    <t>G: For Zarana</t>
  </si>
  <si>
    <t>EET: ISEC Diwali Gala (Shivani's performance)</t>
  </si>
  <si>
    <t>MA: Lifesytle - Viviana Mall - Sandals for Sara</t>
  </si>
  <si>
    <t>Grocery (Patel Brothers)</t>
  </si>
  <si>
    <t>M: Amazon - Amazon Echo</t>
  </si>
  <si>
    <t>Grocery (Amazon) - HydroLyte x 2</t>
  </si>
  <si>
    <t>Grocery (Amazon) - Red Hot Cayenne Pepper Sauce</t>
  </si>
  <si>
    <t>Grocery (Amazon) - Mission Meats - Turkey Bar</t>
  </si>
  <si>
    <t>Grocery (Amazon) - Sushi Nori Sheets</t>
  </si>
  <si>
    <t>MA: Amazon - Hiking shoes x 3</t>
  </si>
  <si>
    <t>Grocery (Amazon) - Orgain -2</t>
  </si>
  <si>
    <t>Misc (Cruise)</t>
  </si>
  <si>
    <t>Car: License renewal</t>
  </si>
  <si>
    <t>M: Ipod Speakers</t>
  </si>
  <si>
    <t>G: Target, Camera</t>
  </si>
  <si>
    <t>G: Baby gift for Mili, Amazon</t>
  </si>
  <si>
    <t>MA: Izod for Aai</t>
  </si>
  <si>
    <t>F: Dabba Gang dinner, Olive Garden</t>
  </si>
  <si>
    <t>M: Lowes (Garage stand + LED)</t>
  </si>
  <si>
    <t>M: Motion Sensor lights 3pk - Tanga</t>
  </si>
  <si>
    <t>G: (Grocery Outlet) - Pies + Wine</t>
  </si>
  <si>
    <t>Grocery (Ebay) - Quest Bars</t>
  </si>
  <si>
    <t>Grocery (Amazon) - Keto Replnish x 2</t>
  </si>
  <si>
    <t>MA: Aamzon - Altra Shoes</t>
  </si>
  <si>
    <t>Misc (Swatch) (RI)</t>
  </si>
  <si>
    <t>M: Wireless Desktop: KB + Mouse</t>
  </si>
  <si>
    <t>MA:Target</t>
  </si>
  <si>
    <t>KMA: Children' Place: Jackets -30</t>
  </si>
  <si>
    <t>F: Wegmans (Pizza)</t>
  </si>
  <si>
    <t>M: Drugstore - Eucerin</t>
  </si>
  <si>
    <t>EET: Train Ride - Viviana Mall</t>
  </si>
  <si>
    <t>M: Google Home</t>
  </si>
  <si>
    <t>Anishka's first Covid shot</t>
  </si>
  <si>
    <t>Grocery (Amazon) - Peanut Butter Powder</t>
  </si>
  <si>
    <t>Misc (VS) (RI)</t>
  </si>
  <si>
    <t>M: Amazon : Duvets (2) (50-15 GC)</t>
  </si>
  <si>
    <t>MA: Walmart - T Shirts 10</t>
  </si>
  <si>
    <t>MA: Gap</t>
  </si>
  <si>
    <t>M: Fleece for Sara (Personalized: Disney)</t>
  </si>
  <si>
    <t>M: TJM</t>
  </si>
  <si>
    <t>EET: Remote Control Car Ride - Viviana Mall</t>
  </si>
  <si>
    <t>MA: Sneakers for Anishka (Stride Rite)</t>
  </si>
  <si>
    <t>G: Amazon - Agastya</t>
  </si>
  <si>
    <t>M: Amazon - Christmas Lights</t>
  </si>
  <si>
    <t>Grocery (Amazon) - TrueLime</t>
  </si>
  <si>
    <t>MH: Amazon - Swing hanging unit</t>
  </si>
  <si>
    <t>MA: Amazon - Jackets + Shoes</t>
  </si>
  <si>
    <t>Grocery (Amazon) - Herring x 2</t>
  </si>
  <si>
    <t>Misc (Gap) (RI)</t>
  </si>
  <si>
    <t>M: TJM(Jeans - Express)</t>
  </si>
  <si>
    <t>G: Wine + Choclates</t>
  </si>
  <si>
    <t>M: 500 paper sheets filler, Buy.com</t>
  </si>
  <si>
    <t>Grocery: IG : Mutton</t>
  </si>
  <si>
    <t>G: GAP Kids (Nupur)</t>
  </si>
  <si>
    <t>Meds: CVS Vitamins etc for Sara</t>
  </si>
  <si>
    <t>MKA: Freezer</t>
  </si>
  <si>
    <t>MA: Walmart - Frozen Night Dress (SnA)</t>
  </si>
  <si>
    <t>G: Jewellery - Charu-Shanaya</t>
  </si>
  <si>
    <t>M: Meds: Target</t>
  </si>
  <si>
    <t>M: WalMart - SRP</t>
  </si>
  <si>
    <t>Parking - Monterey</t>
  </si>
  <si>
    <t>Grocery (Amazon) - TrueOrange</t>
  </si>
  <si>
    <t>Grocery (Amazon) - Eco Hand Wash</t>
  </si>
  <si>
    <t>Grocery (Smart and Final) - DoorDash</t>
  </si>
  <si>
    <t>MA: Amazon - Pants - Zoo, Nish, Shivani</t>
  </si>
  <si>
    <t>MA: Amazon - New Balance shoes - Shivani</t>
  </si>
  <si>
    <t>Misc (Lindt)</t>
  </si>
  <si>
    <t>Gifts : Punita</t>
  </si>
  <si>
    <t>M: Diamond Cut shredder</t>
  </si>
  <si>
    <t>MA: Wilson Leather</t>
  </si>
  <si>
    <t>F: Khatta Meetha: Horrible desi food</t>
  </si>
  <si>
    <t>DC: Liz Corcoran (Nanny)</t>
  </si>
  <si>
    <t>Home Maint: Water heater Repair</t>
  </si>
  <si>
    <t>M: Curious Kids -Anishka Picture</t>
  </si>
  <si>
    <t>G: 's Gift</t>
  </si>
  <si>
    <t>MA: Jewellery - Sara</t>
  </si>
  <si>
    <t>M: Axe Deo - Amazon (x 6)</t>
  </si>
  <si>
    <t>Grocery (Grocery Outlet) - Monterey</t>
  </si>
  <si>
    <t>Grocery (Amazon) - OliveNation - Mango Extract</t>
  </si>
  <si>
    <t>Grocery (IG) - Diwali</t>
  </si>
  <si>
    <t>M: Amazon - Stick on hangers</t>
  </si>
  <si>
    <t>Misc (Candles)</t>
  </si>
  <si>
    <t>G: Home Goods Adi,Phil,Kathy</t>
  </si>
  <si>
    <t>E: Transformers (Redbox)</t>
  </si>
  <si>
    <t>F: Lunch for Wei, Lemon Tree</t>
  </si>
  <si>
    <t>MA: Liz Clairborne</t>
  </si>
  <si>
    <t>M: Lego set (Walmart)</t>
  </si>
  <si>
    <t>F: Hannaford - pie</t>
  </si>
  <si>
    <t>M: USPS Mail to Sen Warren</t>
  </si>
  <si>
    <t>G: Jewellery - Dadi</t>
  </si>
  <si>
    <t>Grocery (GNC) - Quest Bars</t>
  </si>
  <si>
    <t>Grocery (Amazon) - DermoPlast</t>
  </si>
  <si>
    <t>MA: TJ Maxx</t>
  </si>
  <si>
    <t>Misc (Shoes</t>
  </si>
  <si>
    <t>Meds (Co Pay)</t>
  </si>
  <si>
    <t>M: Amazon: Farberware(61) C</t>
  </si>
  <si>
    <t>MKA: Electric Griddle, Sears</t>
  </si>
  <si>
    <t>MH: Lowes' Shelving - 51</t>
  </si>
  <si>
    <t>G: Liz Clairborne</t>
  </si>
  <si>
    <t>F: Smoothies: Wrentham</t>
  </si>
  <si>
    <t>G: TJX - Christmas gifts - Arin, Mira, Mihir, Ananya</t>
  </si>
  <si>
    <t>F: Idlis etc - Shivani</t>
  </si>
  <si>
    <t>G: Feroro-Rocher - Target</t>
  </si>
  <si>
    <t>F: Ghirardeli Hot Chocolate - Monterey Cannery Row</t>
  </si>
  <si>
    <t>Grocery (Amazon) - Alka Seltzer</t>
  </si>
  <si>
    <t>MA: Amazon - Foundation</t>
  </si>
  <si>
    <t>M: AC Moore : Gloves</t>
  </si>
  <si>
    <t>MH: Walmart Storage Totes</t>
  </si>
  <si>
    <t>EET: Redbox: Star Trek + UP</t>
  </si>
  <si>
    <t>MA: Naturalizer shoes (Shivani: Wrentham)</t>
  </si>
  <si>
    <t>F: Wine for Sooraj/Asia</t>
  </si>
  <si>
    <t>San Antonio Total</t>
  </si>
  <si>
    <t>F: Barbeque Nation, Thane</t>
  </si>
  <si>
    <t>Grocery (Amazon) x 3 Orgain</t>
  </si>
  <si>
    <t>M: VFS for Indian Passport Renunciation</t>
  </si>
  <si>
    <t>MH: Fridge Install and Floor repair</t>
  </si>
  <si>
    <t>Car: Uber - Los Altos - SF</t>
  </si>
  <si>
    <t>MA: Amazon - Concealor</t>
  </si>
  <si>
    <t>Misc ( Cell )</t>
  </si>
  <si>
    <t>M: TJ Maxx, RL Perfume</t>
  </si>
  <si>
    <t>M: Groupon for TRUS</t>
  </si>
  <si>
    <t>EET: San Antonio - United</t>
  </si>
  <si>
    <t>EET: Fun City</t>
  </si>
  <si>
    <t>G: Dress - Amazon (Himani)</t>
  </si>
  <si>
    <t>EET: Monterey Trip</t>
  </si>
  <si>
    <t>Grocery (Amazon) x 6 x Mens Socks</t>
  </si>
  <si>
    <t>MH: TJ Maxx</t>
  </si>
  <si>
    <t>Fees: Scribd -</t>
  </si>
  <si>
    <t>M: Amazon (Holiday Lights)</t>
  </si>
  <si>
    <t>F: Soda Shalom - roadside from SJ, CR to Punterenas, CR</t>
  </si>
  <si>
    <t>Hrocery (Amazon) - Dry Roasted Peanuts</t>
  </si>
  <si>
    <t>Misc (SnS)</t>
  </si>
  <si>
    <t>M: Books, Wrentham</t>
  </si>
  <si>
    <t>MA: Stride Rite</t>
  </si>
  <si>
    <t>F: Subway, Houston Airport</t>
  </si>
  <si>
    <t>MA: Dress -Amazon (Shivani, Sara)</t>
  </si>
  <si>
    <t>EET: Hyatt Resort and Spa - Monterey</t>
  </si>
  <si>
    <t>Grocery (Amazon) x 6 s Scotch Tape</t>
  </si>
  <si>
    <t>EET: Fiesta Resort</t>
  </si>
  <si>
    <t>Grocery (Amazon) - Bone Broth Soup</t>
  </si>
  <si>
    <t>MKA: Sewing Machine, Target</t>
  </si>
  <si>
    <t>F: Biryani, CT</t>
  </si>
  <si>
    <t>F: Starbucks, Kendall Sq</t>
  </si>
  <si>
    <t>M: Britax Car Seat for Sara, Albeebaby -180</t>
  </si>
  <si>
    <t>F: Pasha - Mediterannean, San Antonio</t>
  </si>
  <si>
    <t>F: Ice Cream, Viviana Mall</t>
  </si>
  <si>
    <t>EET: Monterey Bay Acquarium Tickets</t>
  </si>
  <si>
    <t>Grocery (Amazon) x Hair Color - Garnier</t>
  </si>
  <si>
    <t>MK: Amazon - Dehumidifier Rack</t>
  </si>
  <si>
    <t>Grocery (Amazon) - Pea Crumbles</t>
  </si>
  <si>
    <t>MH: Govee Water Bug Install</t>
  </si>
  <si>
    <t>EET: Wild Rider - Toyota - RAV4 - Car rental</t>
  </si>
  <si>
    <t>Grocery (Amazon) - Calcium</t>
  </si>
  <si>
    <t>Misc (Camcorder)</t>
  </si>
  <si>
    <t>M: Sachin book + VCD</t>
  </si>
  <si>
    <t>Gifts : Phil</t>
  </si>
  <si>
    <t>G: Sewing Machine Target: Himani</t>
  </si>
  <si>
    <t>M: CVS Tennis Elbow band</t>
  </si>
  <si>
    <t>MA: OshKoshBgosh, Wrentham</t>
  </si>
  <si>
    <t>M: Amazon (DVDs)</t>
  </si>
  <si>
    <t>F: Buccee's</t>
  </si>
  <si>
    <t>MA: Hush Puppies Shoes, Lifestyle, Viviana Mall</t>
  </si>
  <si>
    <t>EET: Moana</t>
  </si>
  <si>
    <t>Grocery (Amazon) x Plantfusion</t>
  </si>
  <si>
    <t>Grocery (Amazon) - Mango Flavor</t>
  </si>
  <si>
    <t>Grocery (Amazon) - Promix Puff</t>
  </si>
  <si>
    <t>MA ( Walmart) - SJ, CR</t>
  </si>
  <si>
    <t>Grocery (Amazon) - Monk fruit x 10</t>
  </si>
  <si>
    <t>Gifts : Vase</t>
  </si>
  <si>
    <t>G: Walmart, Misc India</t>
  </si>
  <si>
    <t>EET: BwCinema</t>
  </si>
  <si>
    <t>F: NYAJ: Perf Team</t>
  </si>
  <si>
    <t>F: Sichuan Gourmet with Anand, Mira, Ruta, Sunil</t>
  </si>
  <si>
    <t>F: Waffle House, Viviana Mall</t>
  </si>
  <si>
    <t>M: Amazon - Hair Pomade</t>
  </si>
  <si>
    <t>F: Chopstix, Monterey, MA - Great food</t>
  </si>
  <si>
    <t>Grocery (Amazon) x 12 x Oil Spray</t>
  </si>
  <si>
    <t>Grocery (Amazon) - Toilet Roll</t>
  </si>
  <si>
    <t>MA: Amazon - Boot sfor Nish</t>
  </si>
  <si>
    <t>Food ( Walmart) - SJ, CR</t>
  </si>
  <si>
    <t>MA: Amazon - TNF Ajcket</t>
  </si>
  <si>
    <t>F: Lunch, Wrentham</t>
  </si>
  <si>
    <t>MH :Walmart</t>
  </si>
  <si>
    <t>G: BR (Aditi)</t>
  </si>
  <si>
    <t>EET: Frozen (First Family movie with all of us) -25</t>
  </si>
  <si>
    <t>F: BurgerFi, San Antonio</t>
  </si>
  <si>
    <t>F: Rock Choclates, Viviana Mall</t>
  </si>
  <si>
    <t>Grocery (Amazon) - Tide Pens x2</t>
  </si>
  <si>
    <t>EET: Monterey: Fisherman's Wharf</t>
  </si>
  <si>
    <t>Grocery (Walmart) x 3 x Oil Spray</t>
  </si>
  <si>
    <t>G: GO</t>
  </si>
  <si>
    <t>M: Amazon (Mattress Heating pad)</t>
  </si>
  <si>
    <t>EET: Tolls</t>
  </si>
  <si>
    <t>MA: REI - Jacket</t>
  </si>
  <si>
    <t>Lunch : Shibu</t>
  </si>
  <si>
    <t>Food: Chinese</t>
  </si>
  <si>
    <t>Car: Tires SPM, Altima</t>
  </si>
  <si>
    <t>K: Day Care</t>
  </si>
  <si>
    <t>M: Sara ear piercing</t>
  </si>
  <si>
    <t>G: Macy's</t>
  </si>
  <si>
    <t>MA: Ethnicity</t>
  </si>
  <si>
    <t>Grocery (Amazon) - Olay x 2</t>
  </si>
  <si>
    <t>Grocery (Amazon) x Vega Greens</t>
  </si>
  <si>
    <t>Grocery (Amazon) - Jerky Sticks</t>
  </si>
  <si>
    <t>F: Rainforest Cafe - Cloud Forest, Monteverde</t>
  </si>
  <si>
    <t xml:space="preserve">Grocery (Amazon) - Textured Pea </t>
  </si>
  <si>
    <t>M: Jackets (BCF)</t>
  </si>
  <si>
    <t>Car : tires</t>
  </si>
  <si>
    <t>MA: Totes, Wrentham</t>
  </si>
  <si>
    <t>OTE: Meds: Clinton Emergency</t>
  </si>
  <si>
    <t>G: HP All in one printer</t>
  </si>
  <si>
    <t>EET: Movies (Argo/Life of Pi)</t>
  </si>
  <si>
    <t>M: Anishka's day care pictures</t>
  </si>
  <si>
    <t>F: GristMill, Gruene, NH</t>
  </si>
  <si>
    <t>MA: Lifestyle</t>
  </si>
  <si>
    <t>F: Crepes at Brittany</t>
  </si>
  <si>
    <t>Grocery (Amazon) - Cookie Baking Sheet</t>
  </si>
  <si>
    <t>MA: Amazon - Mens Pants</t>
  </si>
  <si>
    <t>M: Amazon - Hanging suction clips</t>
  </si>
  <si>
    <t>M: Jacket (Filenes')</t>
  </si>
  <si>
    <t>E: Movie (Alexander)</t>
  </si>
  <si>
    <t>G: Michaels Floorings, Shrewsbury, MA</t>
  </si>
  <si>
    <t>MA: GAP (84 -50)</t>
  </si>
  <si>
    <t>F: SaltGrass Restaurant</t>
  </si>
  <si>
    <t>F: Café Day - Kharghar - Lousy Cup Cakes</t>
  </si>
  <si>
    <t>Grocery (Amazon) - Febreeze Air Freshner</t>
  </si>
  <si>
    <t>F: Candyland</t>
  </si>
  <si>
    <t>F: Pav Bhaji Hut - Food Truck</t>
  </si>
  <si>
    <t>MH: Amazon - Light Bulbs</t>
  </si>
  <si>
    <t>EET: Arenal Volcano - ATV</t>
  </si>
  <si>
    <t>M: Amazon - Micellar Cleaning luies</t>
  </si>
  <si>
    <t>MA: GAP Returned 45 Bought : 35 = -10</t>
  </si>
  <si>
    <t>MA: Osh Kosh…</t>
  </si>
  <si>
    <t>Car: Parking: Boston - Aditi</t>
  </si>
  <si>
    <t>F: Ice Cream , RiverWalk</t>
  </si>
  <si>
    <t>F: Domino's Pizza, Little World (Lousy Mall), Kharghar</t>
  </si>
  <si>
    <t>Grocery (Amazon) - Emergen-C</t>
  </si>
  <si>
    <t>F: Pico De Gallo - Bad Mexican</t>
  </si>
  <si>
    <t>Grocery (Amazon) - Toothpaste - Crest</t>
  </si>
  <si>
    <t>F: Momo Grill Food Truck</t>
  </si>
  <si>
    <t>Grocery (Trader joe)</t>
  </si>
  <si>
    <t>M: Amazon - Nail Stapler Gun</t>
  </si>
  <si>
    <t>M: Christmas Gift Ornament, Selvatura Park</t>
  </si>
  <si>
    <t>M: Beer</t>
  </si>
  <si>
    <t>E: Dhoom2</t>
  </si>
  <si>
    <t>Meds: ER</t>
  </si>
  <si>
    <t>Car: Air (Audi)</t>
  </si>
  <si>
    <t>EET: Remote Control Car Ride - Little World, Khargar</t>
  </si>
  <si>
    <t>F: Starbucks - Brunch</t>
  </si>
  <si>
    <t>Grocery (Amazon) - Ziploc bags</t>
  </si>
  <si>
    <t>F: Indian Food (Kulcha + Vada Pav) - Johal Chaat and Curry</t>
  </si>
  <si>
    <t>Gas: Uhaul Propane Refill</t>
  </si>
  <si>
    <t>MH: Amazon - Ego Leaf Blower</t>
  </si>
  <si>
    <t>EET: Monteverde Cloud Forests</t>
  </si>
  <si>
    <t>Misc (Movie, Hindi)</t>
  </si>
  <si>
    <t>Gifts: Jun Li's Lunch</t>
  </si>
  <si>
    <t>G: Z, Miru, Ruta</t>
  </si>
  <si>
    <t>F: P&amp;S Pizza (TG Wknd : Sarveshi's trip)</t>
  </si>
  <si>
    <t>G: GAP</t>
  </si>
  <si>
    <t>F: SPM (Thai)</t>
  </si>
  <si>
    <t>F: Houston</t>
  </si>
  <si>
    <t>G: Cash to Sneha for Kheer</t>
  </si>
  <si>
    <t>F: SlyMcFly - Cannery Row - Horrible Food</t>
  </si>
  <si>
    <t>Grocery (Amazon) - Orgain Greens</t>
  </si>
  <si>
    <t>G: Charu's Kids (55 + 3)</t>
  </si>
  <si>
    <t>Grocery (Amazon) - LorAnn Emulsion</t>
  </si>
  <si>
    <t>M: Uhaul - Cylinder</t>
  </si>
  <si>
    <t>EET: Selvatura Park - Ziplining + Hanging Bridges</t>
  </si>
  <si>
    <t>Misc (Manicure)</t>
  </si>
  <si>
    <t>G: Kensington Ipod Speakers</t>
  </si>
  <si>
    <t>Car Rental: Alamo</t>
  </si>
  <si>
    <t>Meds: Glucon-D + Electrol</t>
  </si>
  <si>
    <t>Grocery (Amazon) - Wholcome Cane Sugar</t>
  </si>
  <si>
    <t>EET: Chicago Trip</t>
  </si>
  <si>
    <t>M: Amazon - Bona Floor Polisher</t>
  </si>
  <si>
    <t>M: Amazon - Lithium CR batteries</t>
  </si>
  <si>
    <t>G: Punita Things Remembered</t>
  </si>
  <si>
    <t>E: GMAT, PearsonVUE, Waltham, MA : Dec30</t>
  </si>
  <si>
    <t>Travel: Tolls</t>
  </si>
  <si>
    <t>Transportation - Viviana Mall - Kores - Rickshaw</t>
  </si>
  <si>
    <t>F: Seven Eleven - Water</t>
  </si>
  <si>
    <t>MH: Amazon: Ring - Lighting</t>
  </si>
  <si>
    <t>M: Amazon - Toothbrush Heads</t>
  </si>
  <si>
    <t>F: Boba Drink, CityMall - SJ, CR</t>
  </si>
  <si>
    <t>M: Things Remembered</t>
  </si>
  <si>
    <t>F: OM: SL&amp;M Lab</t>
  </si>
  <si>
    <t>F: Houston Airport - Dunkin</t>
  </si>
  <si>
    <t>Transportation - Multiple Rickshaws</t>
  </si>
  <si>
    <t>MA: WalMart - Jeans x 3</t>
  </si>
  <si>
    <t>M: Ebay - NewEgg - Netgear Triband Router</t>
  </si>
  <si>
    <t>Grocery (Vitacost) - 67</t>
  </si>
  <si>
    <t>F: Mandarin Wok, CityMall - SJ,CR</t>
  </si>
  <si>
    <t>Misc (Zales) (Wrentham)</t>
  </si>
  <si>
    <t>M: Enterprise Car Rental Wknd</t>
  </si>
  <si>
    <t>F: Chutney's</t>
  </si>
  <si>
    <t>F: Kebab Korner, Houston</t>
  </si>
  <si>
    <t>M: Google Chromecast</t>
  </si>
  <si>
    <t>MA: Patriots ProShop</t>
  </si>
  <si>
    <t>MH: Home Depot - Color for Garage</t>
  </si>
  <si>
    <t>Grocery (Amazon) - Pet hair Dryer Sheets</t>
  </si>
  <si>
    <t>F: Sushi - City Mall</t>
  </si>
  <si>
    <t>Misc (Nautica )</t>
  </si>
  <si>
    <t>Altima Headlight Replacement</t>
  </si>
  <si>
    <t>G: Sooraj/Asia: Galleria Mall</t>
  </si>
  <si>
    <t>M: Lowes</t>
  </si>
  <si>
    <t>G: Ethniccity - Viviana Mall</t>
  </si>
  <si>
    <t>M: Books (Drawing) - Amazon</t>
  </si>
  <si>
    <t>MK: Toaster Oven - 20</t>
  </si>
  <si>
    <t>M: USPS - Package of books to Charu</t>
  </si>
  <si>
    <t>EET: Trip to SF Pier 39</t>
  </si>
  <si>
    <t>F: Ceviche + Pepsi, CityMall - SJ, CR</t>
  </si>
  <si>
    <t>Misc (RL)</t>
  </si>
  <si>
    <t>G: Kodak Camera for Shivani ('s brother)</t>
  </si>
  <si>
    <t>F: Indian Sweets - Samanth Bros - Thane</t>
  </si>
  <si>
    <t>Meds: Ibuprofen</t>
  </si>
  <si>
    <t>MK: Waffle Maker -20</t>
  </si>
  <si>
    <t>M: Amazon - String Lights</t>
  </si>
  <si>
    <t>Car: Parking: SF Pier 24</t>
  </si>
  <si>
    <t>Grocery (Amazon) - HE Detergent</t>
  </si>
  <si>
    <t>F: Nathan's - Miami Airport</t>
  </si>
  <si>
    <t>Misc (Timberland)</t>
  </si>
  <si>
    <t>G: Cake + Card</t>
  </si>
  <si>
    <t>F: St Vincent : Pizza + DD</t>
  </si>
  <si>
    <t>G: Lenovo Laptop</t>
  </si>
  <si>
    <t>MK: Online: Glass bowls</t>
  </si>
  <si>
    <t>EET: Double Decker Bus Ride, Viviana Mall</t>
  </si>
  <si>
    <t>M: Samsung Galaxy S7 Phone Case</t>
  </si>
  <si>
    <t>G: Amazon - Sneha, Rahul S and Mom</t>
  </si>
  <si>
    <t>EET: Wreak it Ralph - Ralph breaks the Internet</t>
  </si>
  <si>
    <t>M: Amazon - Decorative Artificial Flowers</t>
  </si>
  <si>
    <t>MH: Amazon - Christmas Lights</t>
  </si>
  <si>
    <t>Grocery (ChocZero)</t>
  </si>
  <si>
    <t>E: Kal Ho Na Ho</t>
  </si>
  <si>
    <t>M: BestBuy - iPad Mini 32 GB</t>
  </si>
  <si>
    <t>MA: Kurtis - Lifestyle</t>
  </si>
  <si>
    <t>MA: Amazon - Apron</t>
  </si>
  <si>
    <t>Grocery (Amazon) - Mouth wash - Crest</t>
  </si>
  <si>
    <t>Car: Uber - SF - Los Altos</t>
  </si>
  <si>
    <t>F: Snacks, Arlington</t>
  </si>
  <si>
    <t>G: Bath &amp; Body Works</t>
  </si>
  <si>
    <t>F: Indian Sweets - Alakananda, Thane</t>
  </si>
  <si>
    <t>M: Amazon - Toys: Lego Space Women</t>
  </si>
  <si>
    <t>MH: Amazon - Gardening Supplies - Peat Moss</t>
  </si>
  <si>
    <t>Phone Bills</t>
  </si>
  <si>
    <t>M: Izod Jackets</t>
  </si>
  <si>
    <t>M: Christmas stuff (Dollar Tree)</t>
  </si>
  <si>
    <t>M: Amazon, Beard Trimmer</t>
  </si>
  <si>
    <t>F: Indian Sweets - Prashant Corner, Thane</t>
  </si>
  <si>
    <t>Car: AAA - New Battery - Nissan Altima</t>
  </si>
  <si>
    <t>EET: Trip to SF - Golden Gate + Palace of Fine Arts</t>
  </si>
  <si>
    <t>M: Amazon - Inflatable Sleeping Bag</t>
  </si>
  <si>
    <t>F: Starbucks - Miami Airport</t>
  </si>
  <si>
    <t>M: Nautica T Shirt</t>
  </si>
  <si>
    <t>MA: TJX (Sara)</t>
  </si>
  <si>
    <t>M: iPad Holder</t>
  </si>
  <si>
    <t>F: Indian Sweets - Puran Poli - Metkut</t>
  </si>
  <si>
    <t>MA: The Children's Place</t>
  </si>
  <si>
    <t>MH: Amazon - Garage Painting Supplies</t>
  </si>
  <si>
    <t>Grocery (Amazon) - Oat -Steel Cut</t>
  </si>
  <si>
    <t>Food (Indian)</t>
  </si>
  <si>
    <t>M: Bass Sweater</t>
  </si>
  <si>
    <t>G: Amazon Books: Christmas</t>
  </si>
  <si>
    <t>M: Amazon, NFL Ball</t>
  </si>
  <si>
    <t>Transportation - Kores - Korum Mall - Rickshaw</t>
  </si>
  <si>
    <t>M: Amazon: Alexa powdered lights</t>
  </si>
  <si>
    <t>MH: Amazon - Front Porch - Artificial Flowers</t>
  </si>
  <si>
    <t>Grocery (Amazon) - Ground Espresso</t>
  </si>
  <si>
    <t>Misc (WalMart)</t>
  </si>
  <si>
    <t>Gas (Neon)</t>
  </si>
  <si>
    <t>G: Tanvi : Bday</t>
  </si>
  <si>
    <t>MA: Osh Kosh</t>
  </si>
  <si>
    <t>M: Smart Plug</t>
  </si>
  <si>
    <t>M: Amazon - Barack Obama's Promised Land</t>
  </si>
  <si>
    <t>OTE: H1B Visa Stamping Fee</t>
  </si>
  <si>
    <t>M: iPhone Charger</t>
  </si>
  <si>
    <t>M: USB Charger (Amazon)</t>
  </si>
  <si>
    <t>MA: Kohls (Ret: - 47 - 47)</t>
  </si>
  <si>
    <t>M: Garnier Hair Color</t>
  </si>
  <si>
    <t>EET: Trip to Monterey</t>
  </si>
  <si>
    <t>M: Amazon - Leg Pillow</t>
  </si>
  <si>
    <t>M: Amazon - Replacement Toothbrush heads</t>
  </si>
  <si>
    <t>Grocery (Amazon) - Monk Fruit Sweetner</t>
  </si>
  <si>
    <t>F : Welcome India, Framingham</t>
  </si>
  <si>
    <t>Thanksgiving Party at Home (Adi, Sooraj) First home cooked Turkey</t>
  </si>
  <si>
    <t>MK: Instant Pot - Amazon</t>
  </si>
  <si>
    <t>M: Zumba for kids</t>
  </si>
  <si>
    <t>Car: Parking: Parking meters</t>
  </si>
  <si>
    <t>M: Best Buy/Ebay - Ring Indoor Cam</t>
  </si>
  <si>
    <t>MA: REI Mens hiking Shoes</t>
  </si>
  <si>
    <t>F: Edison, NJ , Chaat</t>
  </si>
  <si>
    <t>MA: Lands' End - Sears - Jacket - Sara</t>
  </si>
  <si>
    <t>Grocery (Quest Bars - Drugstore.com)</t>
  </si>
  <si>
    <t>M: Amazon - iPad Holder x 2</t>
  </si>
  <si>
    <t>F: Ghiraradelli, Cannery Row, Monterey</t>
  </si>
  <si>
    <t>M: Amazon - Anker Charger</t>
  </si>
  <si>
    <t>Grocery (Amazon) - Raisins</t>
  </si>
  <si>
    <t>MA: REI x 2 - TNF - Jackets Zoo/Nish</t>
  </si>
  <si>
    <t>Misc (Guess Watch )</t>
  </si>
  <si>
    <t>MA: Encore Etc - Shoes - Shivani</t>
  </si>
  <si>
    <t>M: Amazon - Car Keyfob battery</t>
  </si>
  <si>
    <t>M: Walgreens - Photos</t>
  </si>
  <si>
    <t>Grocery (Amazon) - Artichokes</t>
  </si>
  <si>
    <t>M: Amazon - 2x HydroFlask</t>
  </si>
  <si>
    <t>Misc(Eddie Bauer Watch)</t>
  </si>
  <si>
    <t>F: Delhi Darbar</t>
  </si>
  <si>
    <t>MA: Sears - Mittens for Anishka</t>
  </si>
  <si>
    <t>Grocery (Thrive Market)</t>
  </si>
  <si>
    <t>M:Amazon - Wine Bottle Opener</t>
  </si>
  <si>
    <t>MH: CastleWorks - Heater leak repair</t>
  </si>
  <si>
    <t>Misc (Zales)</t>
  </si>
  <si>
    <t>Grocery : IG NJ</t>
  </si>
  <si>
    <t>MA: GAP - Jeans x 2 -59</t>
  </si>
  <si>
    <t>M: NewEgg - Quicken</t>
  </si>
  <si>
    <t>M: Amazon - Anker Magnetic Cable Holders</t>
  </si>
  <si>
    <t>EET: The Marvels</t>
  </si>
  <si>
    <t>Misc (VS) (Burlington)</t>
  </si>
  <si>
    <t>M: Carrom, NJ</t>
  </si>
  <si>
    <t>M: Amazon - Paint brush</t>
  </si>
  <si>
    <t>Grocery (ZeroCarbLyfe) Chicken Crust Pizza</t>
  </si>
  <si>
    <t>Grocery (Amazon) - Protein Powder</t>
  </si>
  <si>
    <t>M:Casettes KHNH,Chalte Chalte</t>
  </si>
  <si>
    <t>M: Michaels Flooring</t>
  </si>
  <si>
    <t>Grocery (Amazon) - AXE x 15</t>
  </si>
  <si>
    <t>M: Amazon - Marigold decoration</t>
  </si>
  <si>
    <t>Grocery (Walmart+)</t>
  </si>
  <si>
    <t>Grocery (Amazon) - Monk Fruit x 6</t>
  </si>
  <si>
    <t>Misc (The Bath Works)</t>
  </si>
  <si>
    <t>MA: Amazon - Women's Mocassin</t>
  </si>
  <si>
    <t>Grocery (Amazon) - JolK Molk Protein</t>
  </si>
  <si>
    <t>G: Secret Santa gifts for Nish's friends</t>
  </si>
  <si>
    <t>M: Haircut (Rahul + Anishka)</t>
  </si>
  <si>
    <t>Grocery (Jet) - Espresso x 3</t>
  </si>
  <si>
    <t>M: CA DMV - Real ID + License</t>
  </si>
  <si>
    <t>Grocey (Amazon) - Collagen</t>
  </si>
  <si>
    <t>M: Jet: Legos</t>
  </si>
  <si>
    <t>M: Amazon - Lock</t>
  </si>
  <si>
    <t>Grcoery (Amazon) - Collustrum</t>
  </si>
  <si>
    <t>Med: LEnscrafter - Eye Exam</t>
  </si>
  <si>
    <t>M: Amazon - Christmas Tree</t>
  </si>
  <si>
    <t>EET: Glass Onion - A Knives out Mystery</t>
  </si>
  <si>
    <t>Pet-Food (Amazon) - x 2 - Kibbles</t>
  </si>
  <si>
    <t>MA: Walmart - Perfumes</t>
  </si>
  <si>
    <t>Misc (Luggage Bag)</t>
  </si>
  <si>
    <t>MK: WalMart</t>
  </si>
  <si>
    <t>Grocery (Raley's) - Basted Turkey Breast</t>
  </si>
  <si>
    <t>M: Amazon - Bathroom Knobs</t>
  </si>
  <si>
    <t>Misc (Locks)</t>
  </si>
  <si>
    <t>M: Floor Lamp - WalMart</t>
  </si>
  <si>
    <t>G: Walmart - Calcium Tabs</t>
  </si>
  <si>
    <t>F: Paris Baguette - Cakes</t>
  </si>
  <si>
    <t>MA: Amazon - Men Compression Tshirts</t>
  </si>
  <si>
    <t>MedS: Amazon - Prilosec</t>
  </si>
  <si>
    <t xml:space="preserve">MA: REI : Altra Shoes </t>
  </si>
  <si>
    <t>MK: Foodsaver Containers</t>
  </si>
  <si>
    <t>M: Amazon - Storage containers</t>
  </si>
  <si>
    <t>M: Dollar Tree - Christmas Decoration</t>
  </si>
  <si>
    <t>MA: NY And C</t>
  </si>
  <si>
    <t>Meds: Amazon - BioFreeze</t>
  </si>
  <si>
    <t>MA: REI - TNF Jackets</t>
  </si>
  <si>
    <t>Misc (Photos, Cruise)</t>
  </si>
  <si>
    <t>MA: J Crew Shirts x 3 -71</t>
  </si>
  <si>
    <t>M: Amazon - OBDII Reader</t>
  </si>
  <si>
    <t>MA: Amazon - Compression Band</t>
  </si>
  <si>
    <t>M: Amazon - Duracell C3023 Batteries</t>
  </si>
  <si>
    <t>Trip to Japan - Tokyo- Kyoto</t>
  </si>
  <si>
    <t>MA: WalMart - Lipstick, Hair Color etc</t>
  </si>
  <si>
    <t>M: Amazon - 2 x Umbrellas</t>
  </si>
  <si>
    <t>Grocery (Raley's) - Whole Chicken + Cinnamon Rolls</t>
  </si>
  <si>
    <t>MK: Kohls - Ninja Coffee Maker</t>
  </si>
  <si>
    <t>Grocery: Amazon - ChocZero Lindt</t>
  </si>
  <si>
    <t>EET: Airfare: Starlux Airlines SFO-TPE-NRT</t>
  </si>
  <si>
    <t>EET: November RedBox</t>
  </si>
  <si>
    <t>Travel Fares: Uber Rides - Shivani</t>
  </si>
  <si>
    <t>MA: Amazon - Boots ARP+SRP</t>
  </si>
  <si>
    <t>Grocery: ChocZero</t>
  </si>
  <si>
    <t>EET: Hotel Kawaguchiko</t>
  </si>
  <si>
    <t>M: Amazon - HDD/DVD SATA to USB 3 Cable</t>
  </si>
  <si>
    <t>M: Paino Moving Services</t>
  </si>
  <si>
    <t>Grocery (Amazon) - Monk Fruit Sweetner30</t>
  </si>
  <si>
    <t>Grocery (Amazon) - Bounce Dryer Sheets12</t>
  </si>
  <si>
    <t>EET: Hotel Kyoto</t>
  </si>
  <si>
    <t>MA : Amazon - Swim rash guards</t>
  </si>
  <si>
    <t>EET: Hotel in Tokyo</t>
  </si>
  <si>
    <t>MA: Amazon - Stockings</t>
  </si>
  <si>
    <t>Grocery (Amazon) - Car Wash</t>
  </si>
  <si>
    <t>Trans: Train Tickets</t>
  </si>
  <si>
    <t>MA: Kohls: Gym Clothes -19</t>
  </si>
  <si>
    <t>MH: Amazon - Ring Sensors</t>
  </si>
  <si>
    <t>Grocery (Amazon) - AA Batteries</t>
  </si>
  <si>
    <t>Trans: Car Rental - Tyoya Car Rental</t>
  </si>
  <si>
    <t>G: Cardigan for Aai</t>
  </si>
  <si>
    <t>MH: Amazon - Ring Video Door Bell</t>
  </si>
  <si>
    <t xml:space="preserve">Grocery ( Amazon) - Fx Chocolate Exhale </t>
  </si>
  <si>
    <t>Travel: esim x 3</t>
  </si>
  <si>
    <t>M: Bed Sheet + Throw</t>
  </si>
  <si>
    <t>MH: Amazon - Ring Cams</t>
  </si>
  <si>
    <t>EET: Starlux - return seat reservation1</t>
  </si>
  <si>
    <t>EET: Narita Express Reservations</t>
  </si>
  <si>
    <t>Fees: 401K Check Ship - 25 x 2</t>
  </si>
  <si>
    <t>MH: Amazon - Puck Lights</t>
  </si>
  <si>
    <t>Travel: Lyft - Home to Airport</t>
  </si>
  <si>
    <t>Grocery (Amazon) - Dill Weed x 3</t>
  </si>
  <si>
    <t>Travel: Lyft - Airport to Home</t>
  </si>
  <si>
    <t>M: Amazon (Calculator)</t>
  </si>
  <si>
    <t>Eye Exam 3017</t>
  </si>
  <si>
    <t>Amazon Mktpl*al4004k53</t>
  </si>
  <si>
    <t>Grocery (Instracart - Restaurant Depot)</t>
  </si>
  <si>
    <t>Amazon.com*na5j42gk3</t>
  </si>
  <si>
    <t>Classes: Walden West Trip for Nish</t>
  </si>
  <si>
    <t>Paypal *sakuramobil x5868 Jp</t>
  </si>
  <si>
    <t>Lyft, *ride Fri 7pm</t>
  </si>
  <si>
    <t>Toyota Mobility Servnarita-shi Jp</t>
  </si>
  <si>
    <t>Coredo Muromachi Ter* Jp</t>
  </si>
  <si>
    <t>Shen Heng Chang, X0264</t>
  </si>
  <si>
    <t>Cheng Meng Global Ltd.</t>
  </si>
  <si>
    <t>Toyota Rent a Lease * Jp</t>
  </si>
  <si>
    <t>Uber Trip Https://help.uber.coai</t>
  </si>
  <si>
    <t>Amzn Mktp Us*m92tm6i43</t>
  </si>
  <si>
    <t>Eneos Toranomon Jp</t>
  </si>
  <si>
    <t>Drug Yutaka Fushimiikyoto Jp</t>
  </si>
  <si>
    <t>Sushiro</t>
  </si>
  <si>
    <t>Gift Kiosk</t>
  </si>
  <si>
    <t>Yamazakitaxi</t>
  </si>
  <si>
    <t>Amzn Mktp Us*8275g8t03</t>
  </si>
  <si>
    <t>Newdays Kiosk Tokyo Tokyo Jp</t>
  </si>
  <si>
    <t>Gransta Keiyo Streettokyo Jp</t>
  </si>
  <si>
    <t>Asty</t>
  </si>
  <si>
    <t>Sp Monch Monch</t>
  </si>
  <si>
    <t>F: Street Food, Kyoto - Shrine</t>
  </si>
  <si>
    <t>Kyohimiko</t>
  </si>
  <si>
    <t>Seven-eleven</t>
  </si>
  <si>
    <t>Tocoro.cafe&amp;bar</t>
  </si>
  <si>
    <t>Starlux AIRLx4729</t>
  </si>
  <si>
    <t>Starbucks Coffee Japan</t>
  </si>
  <si>
    <t>Kyoto Porta</t>
  </si>
  <si>
    <t>Takahatasyouten</t>
  </si>
  <si>
    <t>Starlux AIRLx4728</t>
  </si>
  <si>
    <t>Gohachisanshodo</t>
  </si>
  <si>
    <t>Starlux AIRLx4727</t>
  </si>
  <si>
    <t>Starlux AIRLx4726</t>
  </si>
  <si>
    <t>Starlux AIRLx4725</t>
  </si>
  <si>
    <t>Starlux AIRLx4731</t>
  </si>
  <si>
    <t>Starlux AIRLx4732</t>
  </si>
  <si>
    <t>Asty Kyoto</t>
  </si>
  <si>
    <t>Starlux AIRLx4730</t>
  </si>
  <si>
    <t>Piko</t>
  </si>
  <si>
    <t>Gransta Tokyo Tokyo Jp</t>
  </si>
  <si>
    <t>Paypal *rei x8570 WA</t>
  </si>
  <si>
    <t>Banc D'orkitaurawanishigu</t>
  </si>
  <si>
    <t>Lunaearthharajuku</t>
  </si>
  <si>
    <t>Weee Inc.</t>
  </si>
  <si>
    <t>Hidakaya Asakusaekimae</t>
  </si>
  <si>
    <t>Harajuku Alta</t>
  </si>
  <si>
    <t>Ame Ando Ame</t>
  </si>
  <si>
    <t>Wego Harajukuhonten</t>
  </si>
  <si>
    <t>Marion Crepes Harajukutak</t>
  </si>
  <si>
    <t>Daiso</t>
  </si>
  <si>
    <t>Sunnyvale Grocery O</t>
  </si>
  <si>
    <t>Lyft, *1 Ride X1-29</t>
  </si>
  <si>
    <t>Harajuku Churros</t>
  </si>
  <si>
    <t>Sugi Pharmacy</t>
  </si>
  <si>
    <t>Ippachiyasaketen</t>
  </si>
  <si>
    <t>Isomaruasakusakannondoori</t>
  </si>
  <si>
    <t>Luke's Shibuyaparkstreet</t>
  </si>
  <si>
    <t>Travel: Uber Various</t>
  </si>
  <si>
    <t>F: Various</t>
  </si>
  <si>
    <t>MA: Wego</t>
  </si>
  <si>
    <t>MA: Harajaku Alta</t>
  </si>
  <si>
    <t>F: Churros - Harajuaku</t>
  </si>
  <si>
    <t>M: Daiso</t>
  </si>
  <si>
    <t xml:space="preserve">F: Lunch - HIDAKAYA ASAKUSAEKIMAE
- Pork Ramen, Pork Ginger, Dragon Chicken x 2, </t>
  </si>
  <si>
    <t>F:  Isomaru Suisan Asakusa Kannondori Asakusa - Sashimis - Best lunch in Japan</t>
  </si>
  <si>
    <t>F: Luke's Lobster - Dinner - Shibuya Crossin</t>
  </si>
  <si>
    <t>F: 7-11</t>
  </si>
  <si>
    <t>F: Tokyo Station - Grilled Mackarel + Pasta + Thai Chicken + Sushi</t>
  </si>
  <si>
    <t>MA: adidas Shoes - Nish</t>
  </si>
  <si>
    <t>MA: adidas Shoes - Mens</t>
  </si>
  <si>
    <t>Dec '02</t>
  </si>
  <si>
    <t>Dec'03</t>
  </si>
  <si>
    <t>Dec' 07</t>
  </si>
  <si>
    <t>Dec' 08</t>
  </si>
  <si>
    <t>Dec' 09</t>
  </si>
  <si>
    <t>Dec' 10</t>
  </si>
  <si>
    <t>Dec' 11</t>
  </si>
  <si>
    <t>Dec' 12</t>
  </si>
  <si>
    <t>Dec' 13</t>
  </si>
  <si>
    <t>Dec' 14</t>
  </si>
  <si>
    <t>Dec' 15</t>
  </si>
  <si>
    <t>Dec' 16</t>
  </si>
  <si>
    <t>Dec' 17</t>
  </si>
  <si>
    <t>Dec' 18</t>
  </si>
  <si>
    <t>Gas (Malibu), CT</t>
  </si>
  <si>
    <t>E: Air Tickets: Dallas</t>
  </si>
  <si>
    <t>F: St. Vincent Pizza</t>
  </si>
  <si>
    <t>M; Heater Matress Top</t>
  </si>
  <si>
    <t>M: Pearl sets</t>
  </si>
  <si>
    <t>M: Care seat for Sara and Anishka - Graco (2)</t>
  </si>
  <si>
    <t>EET: Air Tickets - BA - SFO-DUB-MUM x 4</t>
  </si>
  <si>
    <t>MA: Apple Watch Series 3 - Kohls</t>
  </si>
  <si>
    <t>C: Tolls, NY, NJ</t>
  </si>
  <si>
    <t>G:Dabba Gang</t>
  </si>
  <si>
    <t>KM: Pamper Wipes</t>
  </si>
  <si>
    <t>M: Sara's pictures day care</t>
  </si>
  <si>
    <t>M:OSJL</t>
  </si>
  <si>
    <t>F: Marathon - Shivani's dinner</t>
  </si>
  <si>
    <t>Grocery (Quest Bars)</t>
  </si>
  <si>
    <t>EET: Airport Shuttle: ExecuCar (MV-SFO-MV)</t>
  </si>
  <si>
    <t>F: Munchkins</t>
  </si>
  <si>
    <t>F: Taco/KFC</t>
  </si>
  <si>
    <t>E: Kung Fu Panda</t>
  </si>
  <si>
    <t>Gas (Audi) + Air</t>
  </si>
  <si>
    <t>M: Washing Detergent</t>
  </si>
  <si>
    <t>EET: Movie Talaash (Shivani)</t>
  </si>
  <si>
    <t>Car: BCEC Parking - Mass Womens Conference</t>
  </si>
  <si>
    <t xml:space="preserve">Classes: Taekwondo + 2tests </t>
  </si>
  <si>
    <t xml:space="preserve">Classes/Camps: </t>
  </si>
  <si>
    <t>Gas (Malibu), NJ</t>
  </si>
  <si>
    <t>F: Subway</t>
  </si>
  <si>
    <t>F: Chipotle (Shivani)</t>
  </si>
  <si>
    <t>M: Haircut (Sara, Anishka, Shivani)</t>
  </si>
  <si>
    <t>G: Amazon (Charu's kids)</t>
  </si>
  <si>
    <t>EET: Trip to Solvang / Santa Barbara</t>
  </si>
  <si>
    <t>F: Chinese, Bristol, CT</t>
  </si>
  <si>
    <t>G: Brooks</t>
  </si>
  <si>
    <t>Meds: CoPay: Rhenumatology</t>
  </si>
  <si>
    <t>KT: Sara's bath toy</t>
  </si>
  <si>
    <t>G; TJX</t>
  </si>
  <si>
    <t>G; TJX (Ruta)</t>
  </si>
  <si>
    <t xml:space="preserve">EET: Auction at EMC </t>
  </si>
  <si>
    <t>G: Amazon - Crystal Earrings</t>
  </si>
  <si>
    <t>G: Amazon (Shalu's Kid)</t>
  </si>
  <si>
    <t>Grocery (TG)</t>
  </si>
  <si>
    <t>M: Los Altos Alarm Service</t>
  </si>
  <si>
    <t>EET: Hotel - Santa Barbara - Hilton, Goleta</t>
  </si>
  <si>
    <t>F: D'Angelo's  (Bellingham, MA)</t>
  </si>
  <si>
    <t>G: Amazon : Snap Circuits</t>
  </si>
  <si>
    <t>M: Amazon - Crystal Earrings</t>
  </si>
  <si>
    <t>G: Amazon (Sarveshi's Kids)</t>
  </si>
  <si>
    <t>Grocey (Sprouts)</t>
  </si>
  <si>
    <t>Grocery (Amazon) - NOW - Monk Fruit with Choclate</t>
  </si>
  <si>
    <t>Misc (Sears)</t>
  </si>
  <si>
    <t>Gas (Malibu)</t>
  </si>
  <si>
    <t>E: Tuition Reimbursed</t>
  </si>
  <si>
    <t>F: Papa Gino's (Walpole Mall)</t>
  </si>
  <si>
    <t>Car: Oil change Audi : JL</t>
  </si>
  <si>
    <t>MA: Shirt, Van Heusen</t>
  </si>
  <si>
    <t>Meds: CoPay - Dr UB</t>
  </si>
  <si>
    <t>MA: Abercrombie &amp; Fitch (RDP - Shirts) -14</t>
  </si>
  <si>
    <t>G: Amazon (Himani)</t>
  </si>
  <si>
    <t>F: Alxender's Pattisierre</t>
  </si>
  <si>
    <t>MH: Amazon - Wall Art - Family Room</t>
  </si>
  <si>
    <t>M: Amazon (Mandalorian - Grogu Soft Tou)</t>
  </si>
  <si>
    <t>Grocery (Amazon) - Monk Fruit Sweetner x 6</t>
  </si>
  <si>
    <t>Misc (Sears, Bath Robe)</t>
  </si>
  <si>
    <t>M: Xmas Shopping (Walgreens)</t>
  </si>
  <si>
    <t>F: Olive Garden</t>
  </si>
  <si>
    <t>E: The Dark Knight</t>
  </si>
  <si>
    <t>Car: Oil change Nissan: JL</t>
  </si>
  <si>
    <t>G: Darshan's Birthday</t>
  </si>
  <si>
    <t>G: Amazon- Xmas gift Arin (Board Game )</t>
  </si>
  <si>
    <t>EET: The Good Dinosaur</t>
  </si>
  <si>
    <t>M: Target - Wipes</t>
  </si>
  <si>
    <t>M: Target: Mancala Board Game + Spot it</t>
  </si>
  <si>
    <t>MA: BR Sweater</t>
  </si>
  <si>
    <t>MH: Amazon - Wall Art - Living Room</t>
  </si>
  <si>
    <t>M: Amazon (Taco and Burritos)</t>
  </si>
  <si>
    <t xml:space="preserve">Grocery (Amazon) - Essence </t>
  </si>
  <si>
    <t>Grocery (Wee!)</t>
  </si>
  <si>
    <t>M: Thermos</t>
  </si>
  <si>
    <t>E: BwCinema.com Membership</t>
  </si>
  <si>
    <t>Meds: CoPay: VP</t>
  </si>
  <si>
    <t>M: High chair</t>
  </si>
  <si>
    <t>EET: Trip to LV</t>
  </si>
  <si>
    <t>G: Tanvi's Birthday</t>
  </si>
  <si>
    <t>M: Amazon - Board Game</t>
  </si>
  <si>
    <t>F: StarBucks - Dubai Airport</t>
  </si>
  <si>
    <t>M: Books - Becoming + American Girl</t>
  </si>
  <si>
    <t>MH: Amazon - Wall Art - Dining Room</t>
  </si>
  <si>
    <t>M: Amaon (Kids Against maturity)</t>
  </si>
  <si>
    <t>M: Walmart (Blach Holiday Faire Prep)</t>
  </si>
  <si>
    <t>Cell: Amazon - iPhone SE 3rd Gen</t>
  </si>
  <si>
    <t>MA: Van Heusen, wrentham</t>
  </si>
  <si>
    <t>Grocery (SnS, Westboro)</t>
  </si>
  <si>
    <t>M: Toilet paper rolls</t>
  </si>
  <si>
    <t>EET: Zumanity (LV)</t>
  </si>
  <si>
    <t>M: Toys - Christmas</t>
  </si>
  <si>
    <t>Grocery (HyperCity) - INR 1053</t>
  </si>
  <si>
    <t xml:space="preserve">M: Books: Parenting books </t>
  </si>
  <si>
    <t>MH: Amazon - Wall Art - Sara's Room</t>
  </si>
  <si>
    <t>M: Amazon (Soft Toy)</t>
  </si>
  <si>
    <t>M: Dollar Tree (Blach Holiday Faire PreP)</t>
  </si>
  <si>
    <t>Grocery (Amazon) Gingerbread x 2</t>
  </si>
  <si>
    <t>MA: Nike Shoes - ARP</t>
  </si>
  <si>
    <t>MA: Banana Republic, Wrentham</t>
  </si>
  <si>
    <t>Meds: Target</t>
  </si>
  <si>
    <t>M: Postage EAD/AP</t>
  </si>
  <si>
    <t>G: Nicoderm (Shivani's bro)</t>
  </si>
  <si>
    <t xml:space="preserve">EET: Transportation from LV Airport </t>
  </si>
  <si>
    <t>F: Pizza, Wegmans</t>
  </si>
  <si>
    <t>G: CTS</t>
  </si>
  <si>
    <t>M: Amazon India (HP Mugs) - INR 786</t>
  </si>
  <si>
    <t>M: Dollar Store - Christmas Stuff</t>
  </si>
  <si>
    <t>M: Amazon (100 ft - Garden Hose)</t>
  </si>
  <si>
    <t>M: Amazon - Nail gun and nails</t>
  </si>
  <si>
    <t>M: stamps</t>
  </si>
  <si>
    <t>MA: Purses, Wrentham</t>
  </si>
  <si>
    <t>MA: Skechers Shoes, DSW</t>
  </si>
  <si>
    <t>Meds: Mucinex</t>
  </si>
  <si>
    <t>F: Starbucks (LV)</t>
  </si>
  <si>
    <t>Transportation: Uber - Thane to Kharghar (INR 522)</t>
  </si>
  <si>
    <t>First Day at Couchbase</t>
  </si>
  <si>
    <t>Grocery (Amazon)  - Pea Protein Powder</t>
  </si>
  <si>
    <t>M: Amazon (Path Lights)</t>
  </si>
  <si>
    <t>M: Amazon - Projector Screen</t>
  </si>
  <si>
    <t>Misc (Co Payment )</t>
  </si>
  <si>
    <t>E: Universal Tickets</t>
  </si>
  <si>
    <t>MK: Hottle, B&amp;D, Wrentham</t>
  </si>
  <si>
    <t xml:space="preserve">Gas (Audi) </t>
  </si>
  <si>
    <t>F: Dunkin (LV)</t>
  </si>
  <si>
    <t>Transportation: Uber - Kharghar to Thane (INR 487)</t>
  </si>
  <si>
    <t>M: Fedex - Postage to Vanguard for Fidelity rollover</t>
  </si>
  <si>
    <t>Grocery (Amazon)  - Lakanto Choc</t>
  </si>
  <si>
    <t>M: Amazon (Dress x 2)</t>
  </si>
  <si>
    <t>Grocery (Lucky's)</t>
  </si>
  <si>
    <t>Misc (Nails)</t>
  </si>
  <si>
    <t>M: TJMaxx Returned -24</t>
  </si>
  <si>
    <t>F: English Toffee, Wrentham</t>
  </si>
  <si>
    <t>MA: Abercrombie &amp; Fitch (100.48- 99 GC) : R</t>
  </si>
  <si>
    <t>F: Chipotle: aniversary Lunch</t>
  </si>
  <si>
    <t>MA: Thermals (Sara) Walmart</t>
  </si>
  <si>
    <t>Grocery (Groupon : Yogurt)</t>
  </si>
  <si>
    <t>M: Amazon - Monsters U - CDA Van</t>
  </si>
  <si>
    <t>Ed/Classes: Sterling Gyn Nov -120 + Dec 120</t>
  </si>
  <si>
    <t>Car: License Renewwal - Rahul</t>
  </si>
  <si>
    <t>Grocery (Godrej's Nature's Basket) (INR 1576)</t>
  </si>
  <si>
    <t>M: Passport Renewal</t>
  </si>
  <si>
    <t>M: Amazon (Games)</t>
  </si>
  <si>
    <t>Grocery (Amazon)  - Flax Crackers</t>
  </si>
  <si>
    <t>M: Amazon (Boots - Sara)</t>
  </si>
  <si>
    <t>M: Google Next</t>
  </si>
  <si>
    <t>M: Amazon - Cedar Planks</t>
  </si>
  <si>
    <t>Food : Dominos' @ Sooraj</t>
  </si>
  <si>
    <t>F: D'Angelo, Exit 17, Franklin</t>
  </si>
  <si>
    <t>G: Children's DVDs</t>
  </si>
  <si>
    <t>F: Dinner: Bertucci's Pizza</t>
  </si>
  <si>
    <t>EET: Redbox (Friends with Benefits)</t>
  </si>
  <si>
    <t>F: Dragon Noodle, LV</t>
  </si>
  <si>
    <t>M: Amazon - Britax Car shade</t>
  </si>
  <si>
    <t>Ed/Classes: Sara's singing classes</t>
  </si>
  <si>
    <t>Meds: Wegmans - Vitamin D</t>
  </si>
  <si>
    <t>India: Admission Charge - Jupiter Hospital - Baba's Spinal surgery</t>
  </si>
  <si>
    <t>M: Photos for Passport - Walgreens</t>
  </si>
  <si>
    <t>F: Vishnuji ki Rasoi</t>
  </si>
  <si>
    <t>Grocery (Amazon)  - Hydrasurge x 8</t>
  </si>
  <si>
    <t>Grocery (Amazon) - ProMix</t>
  </si>
  <si>
    <t>Pet-Meds: Simparica</t>
  </si>
  <si>
    <t>Grocery (Amazon) - Wakame Seaweed</t>
  </si>
  <si>
    <t>Misc (Chocolates)</t>
  </si>
  <si>
    <t>M: Farberware : Walmart</t>
  </si>
  <si>
    <t>Grocery (SnS), Franklin</t>
  </si>
  <si>
    <t>G: Target : Miru's parents</t>
  </si>
  <si>
    <t>G: Shirt, Vineet, TJM</t>
  </si>
  <si>
    <t>M: Flowers, Card, Cake : Anniversary, SnS</t>
  </si>
  <si>
    <t>G; Watches, Shivani: Mom/Dadi -110</t>
  </si>
  <si>
    <t>EET: Redbox (Kung Fu Panda 2)</t>
  </si>
  <si>
    <t>F: Monte Carlo Bar (LV)</t>
  </si>
  <si>
    <t>G: Amazon -Violet + Teething book to NJ</t>
  </si>
  <si>
    <t>Phone: India Phone Charge - INR 400 + 800 - INR 1200</t>
  </si>
  <si>
    <t>G: Class donation for Anishka's class</t>
  </si>
  <si>
    <t>Grocery (World market)</t>
  </si>
  <si>
    <t>Grocery (Amazon)  - Chewing Gum</t>
  </si>
  <si>
    <t>M: Amazon (Tap Lights)</t>
  </si>
  <si>
    <t>M: Cup Cake  Silicone baking cups</t>
  </si>
  <si>
    <t>MA: NY &amp; Company</t>
  </si>
  <si>
    <t>Misc (Photos)</t>
  </si>
  <si>
    <t>Gas(Altima)</t>
  </si>
  <si>
    <t>MA: TJM : R</t>
  </si>
  <si>
    <t>G: Vase : P&amp;P Wedding</t>
  </si>
  <si>
    <t>M: Sports Authority: Foam roller (Ret)</t>
  </si>
  <si>
    <t>MA: Shoes for Aai (DSW)</t>
  </si>
  <si>
    <t>F: LV</t>
  </si>
  <si>
    <t>M: Amazon - Just Dance + Story Cubes</t>
  </si>
  <si>
    <t>F: Wegmans - Santa Breakfast</t>
  </si>
  <si>
    <t>M: Newegg - Bluetooth Headphones</t>
  </si>
  <si>
    <t>Grocery (Amazon)  - Shampoo</t>
  </si>
  <si>
    <t>M: Anishka's gift to Sara - Pencil box</t>
  </si>
  <si>
    <t>Misc (VS)</t>
  </si>
  <si>
    <t>E: Xbox Game, BB</t>
  </si>
  <si>
    <t>F: Dinner , Bertucci, SP Mall</t>
  </si>
  <si>
    <t>gas (Malibu)</t>
  </si>
  <si>
    <t>G: India</t>
  </si>
  <si>
    <t>Meds : Doc</t>
  </si>
  <si>
    <t>M: Marshalls (Bags) (Aai + Shivani)</t>
  </si>
  <si>
    <t>Meds: CoPay CVS</t>
  </si>
  <si>
    <t>Grocery: Amazon - Magic Eraser</t>
  </si>
  <si>
    <t>Car: Insurance - Safeco</t>
  </si>
  <si>
    <t>G: Darshan - Amazon + 20 Map Puzzle</t>
  </si>
  <si>
    <t>G: Gold to Aruna Aatya - INR 3500</t>
  </si>
  <si>
    <t>G: WalMart - Diapers</t>
  </si>
  <si>
    <t>Grocery (Walmart) - Columbian Coffee</t>
  </si>
  <si>
    <t>M: VFS App Mailing # 2</t>
  </si>
  <si>
    <t>MA: Amazon - Lip Gloss etc</t>
  </si>
  <si>
    <t>Misc (Ruth's B'day)</t>
  </si>
  <si>
    <t>Grocery :IG</t>
  </si>
  <si>
    <t>E: Oceans' Twelve</t>
  </si>
  <si>
    <t>E: Movie: Syrianna</t>
  </si>
  <si>
    <t>Grocery (Sns, Hudson)</t>
  </si>
  <si>
    <t>Meds: Motrin, Walmart</t>
  </si>
  <si>
    <t>MA: Marshalls:  Caps for Christmas (S&amp;S)</t>
  </si>
  <si>
    <t>MA: Jacket</t>
  </si>
  <si>
    <t>M: Bluetooth Headset</t>
  </si>
  <si>
    <t>EET: Ticket Tours</t>
  </si>
  <si>
    <t>Grocery: Amazon - Kleenex</t>
  </si>
  <si>
    <t>Grocery (Godrej's Nature's Basket) (INR 688)</t>
  </si>
  <si>
    <t>M: Amazon - Geometry Set</t>
  </si>
  <si>
    <t>Grocery (Amazon) - Pete Moss</t>
  </si>
  <si>
    <t>G: Amazon - Gift Basket for Bernardo</t>
  </si>
  <si>
    <t>M: La Senza</t>
  </si>
  <si>
    <t>M: B'day Gift : Kodak V550 (-272)</t>
  </si>
  <si>
    <t>M: Postage : Rebates</t>
  </si>
  <si>
    <t xml:space="preserve"> Gas (Altima)</t>
  </si>
  <si>
    <t>G: Marshalls : Etc</t>
  </si>
  <si>
    <t>OTE: AAA Membership</t>
  </si>
  <si>
    <t>MA: Dollar Tree - Gloves</t>
  </si>
  <si>
    <t>F: Rainbow Restaurant - Jupiter Hospital</t>
  </si>
  <si>
    <t>MK: Kohls</t>
  </si>
  <si>
    <t>M: Amazon - Mood Necklace</t>
  </si>
  <si>
    <t>Grocery (Amazon)  - Toilet Rolls</t>
  </si>
  <si>
    <t>G: for Bollineni's party</t>
  </si>
  <si>
    <t>Grocery (S)</t>
  </si>
  <si>
    <t>M: Nail Polish</t>
  </si>
  <si>
    <t>M: Kingston 1GB SD Memory card (-28)</t>
  </si>
  <si>
    <t>M: Exercise Eq. Mats</t>
  </si>
  <si>
    <t>F: Punjab Grill, Pakistani, Framingham</t>
  </si>
  <si>
    <t>M: MA License Renewal</t>
  </si>
  <si>
    <t>Grocery: Amazon - Dish washing detergent</t>
  </si>
  <si>
    <t>F: Honey Dew</t>
  </si>
  <si>
    <t>MA: Biba Apparels, Viviana Mall</t>
  </si>
  <si>
    <t>Grocery (Amazon)  - Bounty Rolls</t>
  </si>
  <si>
    <t>MA: Amazon - Shoes + Rashguard</t>
  </si>
  <si>
    <t>Gifts: Wine x 2 + 2 x Chocolates + Flowers</t>
  </si>
  <si>
    <t>Misc (Bj's)</t>
  </si>
  <si>
    <t>Grocery SNS</t>
  </si>
  <si>
    <t>M: Haircut, GreatCuts: Westboro</t>
  </si>
  <si>
    <t>M: Christmas Tree + Ornaments: Target</t>
  </si>
  <si>
    <t>Meds: CoPay Thornton</t>
  </si>
  <si>
    <t>F: Subway (LV)</t>
  </si>
  <si>
    <t>Grocery: Amazon - Tide (2)</t>
  </si>
  <si>
    <t>EET: Wreck it Ralph - RedBox</t>
  </si>
  <si>
    <t>EET: Train Ride: Viviana Mall - INR 200</t>
  </si>
  <si>
    <t>MA: GAP + Old Navy</t>
  </si>
  <si>
    <t>MA: A&amp;F</t>
  </si>
  <si>
    <t>M (Amazon)  - Scotch Tape</t>
  </si>
  <si>
    <t>M: Amazon- Coleman Cooler - 100 Qt</t>
  </si>
  <si>
    <t>M: Amazon - Kasa Outdoor Plug</t>
  </si>
  <si>
    <t>Misc (Zurich)</t>
  </si>
  <si>
    <t>M: DVD Chalte Chalte</t>
  </si>
  <si>
    <t>G: Home Goods</t>
  </si>
  <si>
    <t>G: OSJL : Sara's Teachers</t>
  </si>
  <si>
    <t>M: Picture People Groupon</t>
  </si>
  <si>
    <t xml:space="preserve">F: Prashant </t>
  </si>
  <si>
    <t>MA: Kohls - Sweaters</t>
  </si>
  <si>
    <t>EET: German Holiday Market - Games</t>
  </si>
  <si>
    <t>Grocery (Amazon)  - Ginger Juice</t>
  </si>
  <si>
    <t xml:space="preserve">M: Amazon - Reading Glasses -1.25 </t>
  </si>
  <si>
    <t>MA: Shein</t>
  </si>
  <si>
    <t>M: TR</t>
  </si>
  <si>
    <t>F: Subway, Walmart, Hudson</t>
  </si>
  <si>
    <t>M: Massage Therapy, Ortho-Med, Northboro</t>
  </si>
  <si>
    <t>G: Perfumes (MarshallS)</t>
  </si>
  <si>
    <t>F: Lunch Cosi's</t>
  </si>
  <si>
    <t>F: Subway, SPM</t>
  </si>
  <si>
    <t>EET: Monte Carlo Spa (LV)</t>
  </si>
  <si>
    <t>F: Meung Thai, Shivani</t>
  </si>
  <si>
    <t>MK: Mattress heater</t>
  </si>
  <si>
    <t>M:Amazon - Floor Polish</t>
  </si>
  <si>
    <t>Pet-Meds: Neutrering</t>
  </si>
  <si>
    <t>M: Lancome Attraction, Cards</t>
  </si>
  <si>
    <t>E: Transcripts from WPI</t>
  </si>
  <si>
    <t>MA: Dress for Sara</t>
  </si>
  <si>
    <t>MA: Perfume (Marshalls: Rahul) -10</t>
  </si>
  <si>
    <t>M TRUS: Google Offers</t>
  </si>
  <si>
    <t>M: Monte Carlo (Soft toy for Sara)</t>
  </si>
  <si>
    <t>Grocery (Wegmans) - Anniversary - Cup Cake + card</t>
  </si>
  <si>
    <t>Ed: Math Olympiad Books</t>
  </si>
  <si>
    <t>Grocery (Amazon) - PB Flour</t>
  </si>
  <si>
    <t>Pet-Misc: Dog Fence</t>
  </si>
  <si>
    <t>M: KVM Switch</t>
  </si>
  <si>
    <t>M: Gifts: Books : Amazon</t>
  </si>
  <si>
    <t>G: TJM For Shameen + Sarveshi</t>
  </si>
  <si>
    <t>M: OSJL: Greeting Cards</t>
  </si>
  <si>
    <t xml:space="preserve">Meds: Eye Classes: Shivani </t>
  </si>
  <si>
    <t>M: Amazon (Paper Rolls: Charmin)</t>
  </si>
  <si>
    <t>Grocery (Amazon)  - Kay's Cereal</t>
  </si>
  <si>
    <t>Grocery (Amazon Now)</t>
  </si>
  <si>
    <t>MA: Bath and Body Works</t>
  </si>
  <si>
    <t>M: Amazon - Tree Stand</t>
  </si>
  <si>
    <t>Grocery (Amazon) - King Oscare Sardines x 12</t>
  </si>
  <si>
    <t>MH: Amazon: Decorations</t>
  </si>
  <si>
    <t>Meds: Cards, CVS</t>
  </si>
  <si>
    <t>F: Brown Sugar Café, Fenway</t>
  </si>
  <si>
    <t>G: iPhone for Sarveshi/Bday + BB</t>
  </si>
  <si>
    <t>EET: Tao (LV)</t>
  </si>
  <si>
    <t>F: Lunch, CJ's Hudson</t>
  </si>
  <si>
    <t>G: TJX (Charu)</t>
  </si>
  <si>
    <t>M: Amazon - Weighing Scale - Withings</t>
  </si>
  <si>
    <t>Grocery (Amazon) Monk Fruit - Manaa</t>
  </si>
  <si>
    <t>Grocery (Amazon)  - Wild Planet - Anchovies in Water</t>
  </si>
  <si>
    <t>M: Amazon - Fountain pens and ink</t>
  </si>
  <si>
    <t>M: Amazon - Christmas Deers x 2</t>
  </si>
  <si>
    <t>M: Shovel</t>
  </si>
  <si>
    <t>E: Swades</t>
  </si>
  <si>
    <t>G: TJM , Kathy</t>
  </si>
  <si>
    <t>G: Birthday treat, Brown Sugar Café, Fenway</t>
  </si>
  <si>
    <t>MA: AE (- 25 GC)</t>
  </si>
  <si>
    <t>M: Coop membership</t>
  </si>
  <si>
    <t>M: Marshalls Ret -13</t>
  </si>
  <si>
    <t>M: Lowe's - Christmas Lights</t>
  </si>
  <si>
    <t>G" TJX - Pajamagram Program</t>
  </si>
  <si>
    <t>M: Amazon - Bagpack</t>
  </si>
  <si>
    <t>MA: Target - Captain America T-shirt</t>
  </si>
  <si>
    <t>Grocery (Amazon) Monk Fruit</t>
  </si>
  <si>
    <t>M:Amazon - Sanitary Pads</t>
  </si>
  <si>
    <t>MA: FragranceNet - Perfumes</t>
  </si>
  <si>
    <t>Gifts : TJMaxx</t>
  </si>
  <si>
    <t>F: Rotiserrie Grill</t>
  </si>
  <si>
    <t>G: Ocean State JL</t>
  </si>
  <si>
    <t>F: Burlington Mall, Chinese</t>
  </si>
  <si>
    <t>M: Amazon: Oil Sprays</t>
  </si>
  <si>
    <t>M: Travel Bag: Marshalls</t>
  </si>
  <si>
    <t>G: Amazon - Lego Sets - NJ</t>
  </si>
  <si>
    <t xml:space="preserve">Grocery (Amazon)  - Stevia </t>
  </si>
  <si>
    <t>G: WalMart - Brownie for get together at home</t>
  </si>
  <si>
    <t>M: Haircut: RDP + Baba</t>
  </si>
  <si>
    <t>Grocery (Amazon) - Blue Harbor Salmon</t>
  </si>
  <si>
    <t>M: Amazon - Car seat gap filler</t>
  </si>
  <si>
    <t>Car Repair: Altima - Water Pump + Serpentine Belt</t>
  </si>
  <si>
    <t>MA: Lululemon</t>
  </si>
  <si>
    <t>M: TjMaxx</t>
  </si>
  <si>
    <t>Grocery : Ocean State JL</t>
  </si>
  <si>
    <t>F: Sichuan Gourmet, Framingham, MA -28</t>
  </si>
  <si>
    <t>MA: Shirt, Sears</t>
  </si>
  <si>
    <t>MA: Skechers Shoes (S)</t>
  </si>
  <si>
    <t>MG: TJX</t>
  </si>
  <si>
    <t>F: Wegmans - Pizza</t>
  </si>
  <si>
    <t>Grocery (TRUS)</t>
  </si>
  <si>
    <t>MA: Amazon - Sunglasses</t>
  </si>
  <si>
    <t xml:space="preserve">M: Amazon - Tricep Massager </t>
  </si>
  <si>
    <t>Meds: KP - Blood Test</t>
  </si>
  <si>
    <t>MA: Patagonia -</t>
  </si>
  <si>
    <t>Misc (India)</t>
  </si>
  <si>
    <t>Eye Care, Hudson</t>
  </si>
  <si>
    <t>F; LV</t>
  </si>
  <si>
    <t>M: Disney Stores - Christmas Gifts</t>
  </si>
  <si>
    <t>G: Charu - Wine Refrigerator - House Warming - Bed, Bath &amp; Beyond</t>
  </si>
  <si>
    <t>M: Amazon: Umbrella</t>
  </si>
  <si>
    <t xml:space="preserve">G: Amazon - Shivani's work white elephant gift </t>
  </si>
  <si>
    <t>F: Whole Foods</t>
  </si>
  <si>
    <t>Grocery (Amazon) - Premium Nuts</t>
  </si>
  <si>
    <t>M: Amazon - Exercise Ball</t>
  </si>
  <si>
    <t>M: Temu - Chirstams Gift</t>
  </si>
  <si>
    <t>Misc (Allen Solly)</t>
  </si>
  <si>
    <t>Food : Panera Bread</t>
  </si>
  <si>
    <t>M: Postage , Ticket</t>
  </si>
  <si>
    <t>E: BluffMaster</t>
  </si>
  <si>
    <t>F: P&amp;Z Pizza</t>
  </si>
  <si>
    <t>M: Dell Printer Cartridge</t>
  </si>
  <si>
    <t>M: Samsung Bluetooth (Newegg)</t>
  </si>
  <si>
    <t>EET: 101 Class in LV</t>
  </si>
  <si>
    <t xml:space="preserve">F: P&amp;S Pizza - Shameen - Ashish </t>
  </si>
  <si>
    <t>M: Amazon - Paw Patroller</t>
  </si>
  <si>
    <t>EET: Funcity, Viviana Mall</t>
  </si>
  <si>
    <t>G: Amazon GC - NJ - Birthday - Himani</t>
  </si>
  <si>
    <t>M: SteinMart - Grocery cart/Wagon</t>
  </si>
  <si>
    <t>G: Amazon - Candles</t>
  </si>
  <si>
    <t>G: Amazon - Secret santa for  Nish's friend - Saanya</t>
  </si>
  <si>
    <t>Food (The Taj)</t>
  </si>
  <si>
    <t>M: RL, Wrentham</t>
  </si>
  <si>
    <t>MH: Pyrex Storage</t>
  </si>
  <si>
    <t>G: Tommy Hilfiger watch for Aai</t>
  </si>
  <si>
    <t>F: (Hannaford: Shivani -grp potluck)</t>
  </si>
  <si>
    <t>Car: Audi brake light</t>
  </si>
  <si>
    <t>EET: Guardians of the Galazy - Redbox</t>
  </si>
  <si>
    <t>F: Zoodles, Viviana Mall</t>
  </si>
  <si>
    <t>G: Amazon Chirstmas gifts - Himani</t>
  </si>
  <si>
    <t>G: Amazon - Nutrition Book</t>
  </si>
  <si>
    <t>Grocery (Amazon) - Rolaids x 2</t>
  </si>
  <si>
    <t>Grocery (Amazon) - Deluxe Mixed Nuts</t>
  </si>
  <si>
    <t>G: Amazon - Roblox for Shivani's sis</t>
  </si>
  <si>
    <t>F: Starbucks via DD</t>
  </si>
  <si>
    <t>Misc (Planet M)</t>
  </si>
  <si>
    <t>M: Totes, Wrentham -15 Returned</t>
  </si>
  <si>
    <t>BJs Membership</t>
  </si>
  <si>
    <t>MH: Storage Tote</t>
  </si>
  <si>
    <t>Phone:iPhone 4S</t>
  </si>
  <si>
    <t>M: Car - Air</t>
  </si>
  <si>
    <t>F: Shaahi Darbar - Juices</t>
  </si>
  <si>
    <t>Grocery (Amazon) - Soap</t>
  </si>
  <si>
    <t>Grocery (Amazon) - Konjac Root</t>
  </si>
  <si>
    <t>G:Amazon - Charu's kids</t>
  </si>
  <si>
    <t>Grocery (Amazon) - Plant Protein</t>
  </si>
  <si>
    <t>M: Mailbox Keys</t>
  </si>
  <si>
    <t>Misc (Akbarallys)</t>
  </si>
  <si>
    <t>M: Postage + Stamps</t>
  </si>
  <si>
    <t>M: TJM : Wreath</t>
  </si>
  <si>
    <t>M: CVS : Misc</t>
  </si>
  <si>
    <t>M: Redbox Movies (District 9 + Angels n Demons)</t>
  </si>
  <si>
    <t>M: Amazon: Milk Storage Bags</t>
  </si>
  <si>
    <t>G: TJX (Shivani's teams Yankee swap)</t>
  </si>
  <si>
    <t>MA: Crazy8</t>
  </si>
  <si>
    <t>F: Wegmans - Cupcakes</t>
  </si>
  <si>
    <t>Transportation: Uber - Home to Airport</t>
  </si>
  <si>
    <t xml:space="preserve">M: Apple iPhones: 8Plus </t>
  </si>
  <si>
    <t>Grocery (Amazon) - Toilet Paper Roll x 3</t>
  </si>
  <si>
    <t>G:Amazon - Shalu's kids</t>
  </si>
  <si>
    <t>F: DoorDash - Shahi Darbar</t>
  </si>
  <si>
    <t>Misc (Tashkent )</t>
  </si>
  <si>
    <t xml:space="preserve">M: Cards </t>
  </si>
  <si>
    <t>F: Chinese</t>
  </si>
  <si>
    <t xml:space="preserve">F: Lunch: Shibu </t>
  </si>
  <si>
    <t>MA : Limited Pants : S</t>
  </si>
  <si>
    <t>M: Photos (Sears : Bad Experience) -30</t>
  </si>
  <si>
    <t>F: Soup for Shivani's potluck</t>
  </si>
  <si>
    <t>EET: Trip to Baroda - Air Tickets</t>
  </si>
  <si>
    <t>M: Bike Rack - Amazon</t>
  </si>
  <si>
    <t>Grocery (Amazon) - Seasoning</t>
  </si>
  <si>
    <t>Grocery (Amazon) - Oaker Oats</t>
  </si>
  <si>
    <t>M: Amaazon - Blender balde</t>
  </si>
  <si>
    <t xml:space="preserve">Car parking - San Jose. Christmas in the park </t>
  </si>
  <si>
    <t>Misc (Shoppers Stop)</t>
  </si>
  <si>
    <t>G: SnS Grocery</t>
  </si>
  <si>
    <t>G: Disney Store</t>
  </si>
  <si>
    <t>MA: Tommy Hilfiger: Wrentham</t>
  </si>
  <si>
    <t>MedS: Anishka (2 month apt)</t>
  </si>
  <si>
    <t>EET: Dawn of the Planet of the Apes - Amazon rental</t>
  </si>
  <si>
    <t>EET: Bridge of Spies - Showcase, Worcester</t>
  </si>
  <si>
    <t>Transportation: Paid Cab- Airport to Home</t>
  </si>
  <si>
    <t>MA: TNF Jacket</t>
  </si>
  <si>
    <t>Gorcery (Amazon) - Stone Pizza</t>
  </si>
  <si>
    <t>Grocery (Amazon)- Vbufaalo Seasoning</t>
  </si>
  <si>
    <t>Grocery (Amazon) - Dried Mulberry</t>
  </si>
  <si>
    <t>MA: Amazon - Canvas shoes x 1</t>
  </si>
  <si>
    <t>F- SJ - Christmas in the park - cotton candy</t>
  </si>
  <si>
    <t>F: Anniv Dinner (Bombay)</t>
  </si>
  <si>
    <t>F: Welcome India (Lunch)</t>
  </si>
  <si>
    <t>M: Photos: Roll Processing</t>
  </si>
  <si>
    <t>Gifts: Chocolates: Walmart</t>
  </si>
  <si>
    <t>G: Yankee Candle  (Ceramic candle stand)</t>
  </si>
  <si>
    <t>Meds: Vicks Cold lozenges</t>
  </si>
  <si>
    <t>F: Clinton Gourmet</t>
  </si>
  <si>
    <t>MA: Macy's shirts Ret -61</t>
  </si>
  <si>
    <t>EET: Willow TV: India Aus Tour</t>
  </si>
  <si>
    <t>MK: Amazon - Hand Mixer</t>
  </si>
  <si>
    <t xml:space="preserve">Grocery: Trader Joe's </t>
  </si>
  <si>
    <t>EET: Auto Rickshaw Trips - back and forth from the airport - INR 30 *4 *9</t>
  </si>
  <si>
    <t>Car: Parking SFO Airport - Pickup Aai Baba</t>
  </si>
  <si>
    <t xml:space="preserve">F: Yogurtland </t>
  </si>
  <si>
    <t>MA: Amazon - Swimsuit</t>
  </si>
  <si>
    <t>Food (Marches)</t>
  </si>
  <si>
    <t>M: JC Penny</t>
  </si>
  <si>
    <t>F: Hot Breads, Framingham</t>
  </si>
  <si>
    <t>G: Clinton Gourmet (Sunil , Ruta)</t>
  </si>
  <si>
    <t>F: Biryani</t>
  </si>
  <si>
    <t>Meds: Copay (Shivani)</t>
  </si>
  <si>
    <t>MH: Bookcases (2) - Walmart</t>
  </si>
  <si>
    <t>Meds: Dentist - SRP</t>
  </si>
  <si>
    <t>MA: Amazon - Sunglasses - Anti-glare</t>
  </si>
  <si>
    <t>MA: Gym Wear</t>
  </si>
  <si>
    <t>MA: Apple Watch for Sara - Nike+</t>
  </si>
  <si>
    <t>Misc (Christian Dior)</t>
  </si>
  <si>
    <t>M: Limited</t>
  </si>
  <si>
    <t>M: Mail Rebate To Kingston</t>
  </si>
  <si>
    <t>F: PF Changs, Boston, MA</t>
  </si>
  <si>
    <t>Car: car Wash</t>
  </si>
  <si>
    <t>MA: Target (Jackets)</t>
  </si>
  <si>
    <t>Car: 2010 Nissan Altima</t>
  </si>
  <si>
    <t>Meds: Lazarou copay</t>
  </si>
  <si>
    <t>Grocery (Milk: CVS)</t>
  </si>
  <si>
    <t>EET: Tickets to Edaville</t>
  </si>
  <si>
    <t>F: Anniversary - Bertucci's - SPM</t>
  </si>
  <si>
    <t xml:space="preserve">G: CTS </t>
  </si>
  <si>
    <t>Toll - Trip to DC</t>
  </si>
  <si>
    <t>F: Zambar, Sahar Airport</t>
  </si>
  <si>
    <t xml:space="preserve">M: Apple Watch Apps - </t>
  </si>
  <si>
    <t>Grocery (IG) - AB</t>
  </si>
  <si>
    <t>M: Amazon - Back Lumbar belt</t>
  </si>
  <si>
    <t>Grocery (Simpl'Snackin)</t>
  </si>
  <si>
    <t>Misc (Prudential Parking )</t>
  </si>
  <si>
    <t>M: TJMaxx</t>
  </si>
  <si>
    <t>C: Tolls, MA</t>
  </si>
  <si>
    <t>F: Grinders</t>
  </si>
  <si>
    <t>G: VS Sprays</t>
  </si>
  <si>
    <t>F: Edaville (Cotton Candy + Fried Dough)</t>
  </si>
  <si>
    <t>EET: Sara's first on stage perf. Christmas show SBS</t>
  </si>
  <si>
    <t>M: TJX - Secret Santa + M: Amazon</t>
  </si>
  <si>
    <t>Gas (Alitma) - Trip</t>
  </si>
  <si>
    <t xml:space="preserve">EET: Anniversary - Sara and Anishka decorated the house and we arranged games </t>
  </si>
  <si>
    <t xml:space="preserve">Grocery (IG) - Wolfe IG </t>
  </si>
  <si>
    <t>MA: Amazon - Amazfit watch</t>
  </si>
  <si>
    <t>Grocery (Amazon) - Deo</t>
  </si>
  <si>
    <t>Grocery (Amazon) - Nivea x 2</t>
  </si>
  <si>
    <t>EET: Birthday Trip</t>
  </si>
  <si>
    <t>C: Parking, Logan</t>
  </si>
  <si>
    <t>Car: Parking, Boston Harbor</t>
  </si>
  <si>
    <t>Car: parking ; Gaylord Texan</t>
  </si>
  <si>
    <t>F: Chipotle (with Sarveshi)</t>
  </si>
  <si>
    <t>G: The Limited: Pants for Aai</t>
  </si>
  <si>
    <t>Meds: ER (Oct+ CoPay)</t>
  </si>
  <si>
    <t>G: Postage USPS</t>
  </si>
  <si>
    <t>F: Dunkin - Ct</t>
  </si>
  <si>
    <t>bowling with Moana dolls and Gaga ball</t>
  </si>
  <si>
    <t>MH: Amazon - Ring Video DoorBell</t>
  </si>
  <si>
    <t>Grocery (Amazon) - Starbucks</t>
  </si>
  <si>
    <t xml:space="preserve">F:Taco Bell , Soledad,CA </t>
  </si>
  <si>
    <t>Misc(Car rental)</t>
  </si>
  <si>
    <t>Trans: La Gaurdia : JFK</t>
  </si>
  <si>
    <t>T: Transportation from NJ to LaGuardia, NY</t>
  </si>
  <si>
    <t>Parking: Logan airport</t>
  </si>
  <si>
    <t>Car: LivingSocial Detailing</t>
  </si>
  <si>
    <t>F: Mirchi, Shivani</t>
  </si>
  <si>
    <t>F: Starbucks - NJ</t>
  </si>
  <si>
    <t>F: Cocola Bakery with Aai Baba</t>
  </si>
  <si>
    <t>MH: Amazon - Ring Spotlight</t>
  </si>
  <si>
    <t xml:space="preserve">F:Starbucks Soledad, CA </t>
  </si>
  <si>
    <t>Gifts: packing</t>
  </si>
  <si>
    <t>G: Dec : Dabba Gang B'days</t>
  </si>
  <si>
    <t>MA: Calvin Klien</t>
  </si>
  <si>
    <t>CarFax Report for Nissan Altima</t>
  </si>
  <si>
    <t>F: Lunch (Sahara - Worcester)</t>
  </si>
  <si>
    <t>EET: Redbox - Planes</t>
  </si>
  <si>
    <t>MH: Amazon - Ring Indoor Cams</t>
  </si>
  <si>
    <t>Grocery (Amazon) - Almond Butter Powdered</t>
  </si>
  <si>
    <t>Grocery (Amazon) - Gingerbread Spice</t>
  </si>
  <si>
    <t>F: Danish Bakery, Santa Barbara</t>
  </si>
  <si>
    <t>Grocery (Shaws, Burlington)</t>
  </si>
  <si>
    <t>M: Amazon: Programming Interview</t>
  </si>
  <si>
    <t>MA: Target : Suits</t>
  </si>
  <si>
    <t>Birthday- Sara's Party + Gingerbread house + Xbox Games  = Fun</t>
  </si>
  <si>
    <t>Grocery - GNC - Quest Bars</t>
  </si>
  <si>
    <t>MH: Amazon - Ring Contact Sensors</t>
  </si>
  <si>
    <t>G: Amazon - Gift Basket for Christa</t>
  </si>
  <si>
    <t>F: KFC, Santa Barbara</t>
  </si>
  <si>
    <t>E: Bowling, AMF</t>
  </si>
  <si>
    <t>M: Shivani Wedding Prep</t>
  </si>
  <si>
    <t>F: P&amp;S Dinner: Miru &amp; Anand</t>
  </si>
  <si>
    <t>M: Nissan Altima FOB battery</t>
  </si>
  <si>
    <t>G: JC Penny's for Pat</t>
  </si>
  <si>
    <t>F: Nathan's - Maryland Service Center</t>
  </si>
  <si>
    <t>MK: WalMart Non stick Pan</t>
  </si>
  <si>
    <t>MA: Ross - Shoes - Rahul</t>
  </si>
  <si>
    <t>Grocery (Amazon) - Epic Bars x 24</t>
  </si>
  <si>
    <t>MH: Amazon - Wall Mount for Ring</t>
  </si>
  <si>
    <t>F: Guisppie Grill</t>
  </si>
  <si>
    <t>G: India Wedding prep</t>
  </si>
  <si>
    <t>Meds:CVS</t>
  </si>
  <si>
    <t xml:space="preserve">MA: Gymborre </t>
  </si>
  <si>
    <t>M: Condensate Pump - Amazon</t>
  </si>
  <si>
    <t>F: Dunkin - Maryland Service Center</t>
  </si>
  <si>
    <t>Grocery (Ross) - Sauces</t>
  </si>
  <si>
    <t>Grocery (Amazon) - Quest x 12 Rocky Road - 12</t>
  </si>
  <si>
    <t>Grocery (Amazon) - Hair Color x 6</t>
  </si>
  <si>
    <t>F: Aldi</t>
  </si>
  <si>
    <t>F: Lunch  Dragon</t>
  </si>
  <si>
    <t>M: FSA</t>
  </si>
  <si>
    <t>EET: Redbox 21 + Zohan</t>
  </si>
  <si>
    <t>M: Walmart ; Duct tape</t>
  </si>
  <si>
    <t>G: TJX - Ruta, Kathy, Josh Nadar</t>
  </si>
  <si>
    <t>F: Starbucks - NJ - Vince Lombardi Service Center</t>
  </si>
  <si>
    <t>MK: BB&amp;Y - Cuisinart 2QT Sauce Pan</t>
  </si>
  <si>
    <t xml:space="preserve">Grocery (World Market) </t>
  </si>
  <si>
    <t>Grocery (Amazon) - Gummies</t>
  </si>
  <si>
    <t>MH: Amazon - Outdoor Christmas Lights</t>
  </si>
  <si>
    <t>M: Amazon - Piano Books for Sara</t>
  </si>
  <si>
    <t>M: Amazon - Range + Sapiens</t>
  </si>
  <si>
    <t>MA: Jackets from Kohls</t>
  </si>
  <si>
    <t>G: Bday Car: Hannaford for Aai</t>
  </si>
  <si>
    <t>F: Sweet Cupcakes, Harvard Sq</t>
  </si>
  <si>
    <t>M: Bath and Body Works - Hand Soap  -17</t>
  </si>
  <si>
    <t>Parking: SF</t>
  </si>
  <si>
    <t>G: Kohls: Fleece Jackets for Aai Baba</t>
  </si>
  <si>
    <t>Grocery (WalMart) - Gingerbread House</t>
  </si>
  <si>
    <t>Grocery (Amazon) - Anti bacterial Soap</t>
  </si>
  <si>
    <t>MH: WalMart - Desk and Chair x 2</t>
  </si>
  <si>
    <t>G: Amazon - Swarovski Necklace</t>
  </si>
  <si>
    <t>M: Amazon (Seat Covers)</t>
  </si>
  <si>
    <t>F: Solvang - Ice Cream</t>
  </si>
  <si>
    <t>M: iParty</t>
  </si>
  <si>
    <t>MA: Kurtas/Sherwani (INR 4000)</t>
  </si>
  <si>
    <t>F: EMCU</t>
  </si>
  <si>
    <t>G: Christmas gift - Agastya</t>
  </si>
  <si>
    <t>Fees/Fines: Speeding Ticket - Fairfax County, VA - 79/55</t>
  </si>
  <si>
    <t>F: Lori's Diner -SF</t>
  </si>
  <si>
    <t xml:space="preserve">Grocery (Ross) - </t>
  </si>
  <si>
    <t>M: Amazon - Brush heads</t>
  </si>
  <si>
    <t xml:space="preserve">Grocery (Walgreens) </t>
  </si>
  <si>
    <t>Grocery (Amazon) - Pea Protein Crisps</t>
  </si>
  <si>
    <t>F: Solvang - Viking's Pizza - Pizza + Mozarella Sitcks</t>
  </si>
  <si>
    <t>M: Lipliner, Filenes</t>
  </si>
  <si>
    <t>M: Yamaha Keyboard (150)</t>
  </si>
  <si>
    <t>M: Books &amp; Xbox Cricket</t>
  </si>
  <si>
    <t>M: OBD Scanner -54</t>
  </si>
  <si>
    <t>F: Wasabi, Natick Mall</t>
  </si>
  <si>
    <t>M: Kinnectimals</t>
  </si>
  <si>
    <t>M: Amazon -Books</t>
  </si>
  <si>
    <t>M: Amazon - Car Kickmats</t>
  </si>
  <si>
    <t>G: Lori's Diner - SF (Pathak's)</t>
  </si>
  <si>
    <t>G: Ross - Y Staff</t>
  </si>
  <si>
    <t>Grocery (Amazon) - Tide</t>
  </si>
  <si>
    <t>Grocery (Amazon) - Chocolate Bark x 5</t>
  </si>
  <si>
    <t>M: Amazon - Ponchos</t>
  </si>
  <si>
    <t>G: Amazon - Ghirardelli Gift Box for Bernardo</t>
  </si>
  <si>
    <t>Grocery (Amazon) - Isopure</t>
  </si>
  <si>
    <t xml:space="preserve">F: Solvang: Danish Bakery - Rocky </t>
  </si>
  <si>
    <t>F: Lunch, Solomon Pond Mall</t>
  </si>
  <si>
    <t>M: Medicines Etc</t>
  </si>
  <si>
    <t>F: Chim Thai</t>
  </si>
  <si>
    <t>M: Xbox 360 with Kinect -50 GC</t>
  </si>
  <si>
    <t>M: Amazon - Gummies</t>
  </si>
  <si>
    <t>Grocery (Target) - Toothpaste</t>
  </si>
  <si>
    <t>MA: Merill Shoes - Rahul -70</t>
  </si>
  <si>
    <t>Grocery (Amazon) - Vacuum Seal Bags</t>
  </si>
  <si>
    <t>M: Rolls Developing Sns</t>
  </si>
  <si>
    <t>F: Welcome India</t>
  </si>
  <si>
    <t>G: Cards Walmart</t>
  </si>
  <si>
    <t>M: Ipad</t>
  </si>
  <si>
    <t>M: Xbox Dsiney game</t>
  </si>
  <si>
    <t>M: Walmart - Bookcases</t>
  </si>
  <si>
    <t xml:space="preserve">EET: Draft Day - Amazon </t>
  </si>
  <si>
    <t>Meds: Vision Co-pay</t>
  </si>
  <si>
    <t xml:space="preserve">MA: Target - Christmas Gifts - Kids </t>
  </si>
  <si>
    <t>M: Diddums</t>
  </si>
  <si>
    <t>M: Oximeter</t>
  </si>
  <si>
    <t>F: Johaal Chat</t>
  </si>
  <si>
    <t>G: Amazon - Secret Santa - Nish</t>
  </si>
  <si>
    <t>M: Borders</t>
  </si>
  <si>
    <t>G: Nook for Sarveshi</t>
  </si>
  <si>
    <t>EET: Star Wars - The Force Awakens - x 3 (with Sara)</t>
  </si>
  <si>
    <t>M: Amazon  - Harry Potter Coloring Book</t>
  </si>
  <si>
    <t>EET: Hike @Rancho-San Antonio</t>
  </si>
  <si>
    <t>M: Birthday Gift - Mug</t>
  </si>
  <si>
    <t>MA: Amazon - Boots ARP</t>
  </si>
  <si>
    <t>Grocery (Amazon)  - Alfa Alfa seeds</t>
  </si>
  <si>
    <t>M: WalMart (Fish Food)+ Rolls</t>
  </si>
  <si>
    <t>M: CVS Dayquil</t>
  </si>
  <si>
    <t>G; Walmart</t>
  </si>
  <si>
    <t>MA: Skechers shoes Ret -35</t>
  </si>
  <si>
    <t>Phone Service: Ooma: Amazon (Accounted in Jan 2013)</t>
  </si>
  <si>
    <t>Meds: Doc Copay - Blood Test</t>
  </si>
  <si>
    <t>M: Newegg - 64GB SDxC Card</t>
  </si>
  <si>
    <t>G: WalMart - Centrum</t>
  </si>
  <si>
    <t>Grocery (IG) - Jalebi + Samosas</t>
  </si>
  <si>
    <t>Grocery (Amazon) -Nescafe</t>
  </si>
  <si>
    <t>F: Crumbl Cookies</t>
  </si>
  <si>
    <t>E: Silver Springs, FL</t>
  </si>
  <si>
    <t>EET: Enchanted Village - Avon</t>
  </si>
  <si>
    <t>Grocery (Felipe's) - Turkish Deligh + Baklava</t>
  </si>
  <si>
    <t>MA: Amazon - Mens Formal Shoes -Rockport</t>
  </si>
  <si>
    <t>Grocery (WalMart) - Oil Sprays</t>
  </si>
  <si>
    <t>M: Apple - Iphone 13 Pro Max - Birthday Gift</t>
  </si>
  <si>
    <t>Grocery (Amazon) - Chocolate flavoring x 3</t>
  </si>
  <si>
    <t>Grocery (Amazon) - Outdoor Oulet</t>
  </si>
  <si>
    <t>MH: Griddle - Wayfair</t>
  </si>
  <si>
    <t>F: Lunch Bertucci</t>
  </si>
  <si>
    <t>Parking; Logan</t>
  </si>
  <si>
    <t>Car: Parking - North End - Dock Square Garage</t>
  </si>
  <si>
    <t>M: Amazon - MakerBot</t>
  </si>
  <si>
    <t>Grocery (Amazon) - PB Flour x 2</t>
  </si>
  <si>
    <t>M: Amazon - Lipsticks</t>
  </si>
  <si>
    <t>M (WalMart) - Lenovo Earbuds x 2</t>
  </si>
  <si>
    <t>M: Best Buy - iPhone case</t>
  </si>
  <si>
    <t>Grocey (Amazon) - Espresso Coffee Ground</t>
  </si>
  <si>
    <t>Treat : Sooraj, Bertucci</t>
  </si>
  <si>
    <t>M: Cart, Logan</t>
  </si>
  <si>
    <t>G: Sears</t>
  </si>
  <si>
    <t>G: GC for Pat (Macy's)</t>
  </si>
  <si>
    <t xml:space="preserve">EET: Nice Relaxing Birthday at home -Polar Express </t>
  </si>
  <si>
    <t>F: Gourmet India , Fanueil Hall</t>
  </si>
  <si>
    <t>M: Newgg - Sunglasses - Yellow - Night</t>
  </si>
  <si>
    <t>M: Cambelbak Insulated Water Bottle</t>
  </si>
  <si>
    <t>MA: Amazon (Choke3 Necklace)</t>
  </si>
  <si>
    <t>MA: Amazon : Girls Sandals</t>
  </si>
  <si>
    <t>MA: New York and Co</t>
  </si>
  <si>
    <t>Pet-Food: Amazon - Food + Treats</t>
  </si>
  <si>
    <t>M: Calling Card</t>
  </si>
  <si>
    <t>Meds: Centrum etc</t>
  </si>
  <si>
    <t>Cell Phone: Porting 508-454-7541 to GV</t>
  </si>
  <si>
    <t>F: Starbuckas, Fanueil Hall</t>
  </si>
  <si>
    <t xml:space="preserve">Kids: Classes - Minecraft Camp - Clinton </t>
  </si>
  <si>
    <t>Car: Car Wash - Thrifty - El Camino Real, MV</t>
  </si>
  <si>
    <t xml:space="preserve">Grocery (Amazon) - Chia </t>
  </si>
  <si>
    <t>MA: Amazon ( AXE Deo x 12)</t>
  </si>
  <si>
    <t>G: GO: Box of Chocolates</t>
  </si>
  <si>
    <t>EET: Spiderman No Way Home</t>
  </si>
  <si>
    <t>M: Amazon - Snorkelling Kit - 62</t>
  </si>
  <si>
    <t>G: Walmart NJ</t>
  </si>
  <si>
    <t xml:space="preserve">MK: Girddle - Amazon </t>
  </si>
  <si>
    <t>F: Lala Rokh , Boston, MA</t>
  </si>
  <si>
    <t>M: Amazon - Dinosaur Toys</t>
  </si>
  <si>
    <t>F: Greek, Fanueil Hall</t>
  </si>
  <si>
    <t>EET: Boston Commons</t>
  </si>
  <si>
    <t>Transportation: BART (MV to SFO - S+A+S)</t>
  </si>
  <si>
    <t>Grocery (Amazon) - Oven top cleaner</t>
  </si>
  <si>
    <t>MA: Amazon - Swim Trunks + Swim Rashguard</t>
  </si>
  <si>
    <t>F: lunch Subway, Jacksonville</t>
  </si>
  <si>
    <t>EET: Lincoln</t>
  </si>
  <si>
    <t>MA: Gap Outlet, Wrentham</t>
  </si>
  <si>
    <t>M: Christmas in Boston</t>
  </si>
  <si>
    <t>Grocery (Amazon) - Coffee x 2</t>
  </si>
  <si>
    <t>MH: Ikea - Billy Bookcase for Study</t>
  </si>
  <si>
    <t>M: Amazon - Seat Covers</t>
  </si>
  <si>
    <t>Grocery (Starbucks)</t>
  </si>
  <si>
    <t>ClasseS: Two trial Piano classes for Nish</t>
  </si>
  <si>
    <t>F: Dinner, Dennys' Miami</t>
  </si>
  <si>
    <t>Meds: Wisdom tooth extraction co-pay</t>
  </si>
  <si>
    <t>EET: Djano Unchained</t>
  </si>
  <si>
    <t>MA: TCP, Wrentham</t>
  </si>
  <si>
    <t>M: Amazon - Sleeping Bag</t>
  </si>
  <si>
    <t xml:space="preserve">EET: Worst Bday Evah! Half day at work </t>
  </si>
  <si>
    <t>Grocery (Amazon) - Cold Cream - St.Ives</t>
  </si>
  <si>
    <t>Grocery (Grocery Outlet) - 12x Quest</t>
  </si>
  <si>
    <t>MH: WalMart - Firepit</t>
  </si>
  <si>
    <t>F: Salt and Straw, Palo Alto</t>
  </si>
  <si>
    <t>E: Marriot Hotels, Florida</t>
  </si>
  <si>
    <t>Meds: CoPay Dental meds</t>
  </si>
  <si>
    <t>EET: Lunch @ Sooraj - Dinner @ Nadars</t>
  </si>
  <si>
    <t>F: Indian Street Café - Sunnyvale, CA</t>
  </si>
  <si>
    <t>Grocery (Amazon) - Glass Cleaner</t>
  </si>
  <si>
    <t>F: Biryaniz (Uber Eats) - 41 - 21</t>
  </si>
  <si>
    <t>MA: Amazon - Bralets</t>
  </si>
  <si>
    <t>Grocery (Amzon) - Black Cacao Powder</t>
  </si>
  <si>
    <t>E: Car Rental, Budget, Florida</t>
  </si>
  <si>
    <t>MA: TCP (Sara)</t>
  </si>
  <si>
    <t>MH: Ottoman and Chairs - TJX</t>
  </si>
  <si>
    <t>MA: TJX - Jacket</t>
  </si>
  <si>
    <t>G: Indian Street Café - Sunnyvale, CA</t>
  </si>
  <si>
    <t>F: Starbucks - Salted Caramel Mocha + 2 x Cake Pops 10-5</t>
  </si>
  <si>
    <t xml:space="preserve">F: Apna Bazaar </t>
  </si>
  <si>
    <t>Grocey (Amazon) - Kids Multivitamin</t>
  </si>
  <si>
    <t>F: Misc, Gas Stations</t>
  </si>
  <si>
    <t>G: TJX (Adi, Comstock, Marchesano, Pat)</t>
  </si>
  <si>
    <t>F: Cocola Bakery - Stanford Shopping Center - Pathak's forced buying</t>
  </si>
  <si>
    <t>EET: Ticket to Ride at home - Family game time + Treasure Hunt + Gingerbread house + Movie = The Princess Switch</t>
  </si>
  <si>
    <t>G: Amazon - Christmas Gifts - Shivani's Relatives</t>
  </si>
  <si>
    <t>Grocery (Amazon) - Detergents</t>
  </si>
  <si>
    <t>EET: Dunki x 2</t>
  </si>
  <si>
    <t>F: Lunch, Key West, Fl</t>
  </si>
  <si>
    <t>G: Toblerone, Amazon</t>
  </si>
  <si>
    <t>Car: Nissan (Oil change)</t>
  </si>
  <si>
    <t>M: Wrentham Outlets - Kids Car cart</t>
  </si>
  <si>
    <t>MA: Target - Pats T-shirt</t>
  </si>
  <si>
    <t>Grocery: TJX</t>
  </si>
  <si>
    <t>G: Centrum - Target for Aai</t>
  </si>
  <si>
    <t>EET: Christmas in the Park at San Jose</t>
  </si>
  <si>
    <t>Grocery (Amazon) - Vitamin Kids</t>
  </si>
  <si>
    <t>E: Parasailing (75 +12)</t>
  </si>
  <si>
    <t>M: WD 3TB Red Drives for Home Cloud- Amazon</t>
  </si>
  <si>
    <t>G: Target - NJ</t>
  </si>
  <si>
    <t>EET: Children's Fairyland Oakland</t>
  </si>
  <si>
    <t>M: Wireless B-Tooth Headset</t>
  </si>
  <si>
    <t>Car: Parking - San Jose</t>
  </si>
  <si>
    <t>M: Amazon - Weighing Scale -27</t>
  </si>
  <si>
    <t>M: Walmart - Apple Pencil</t>
  </si>
  <si>
    <t>Car: Car Wash - NA</t>
  </si>
  <si>
    <t>EET: Kinnect game</t>
  </si>
  <si>
    <t>M: Synology DS213j  - Newegg -</t>
  </si>
  <si>
    <t>M: Pet Smart - Acquarium Hood + Water treatment</t>
  </si>
  <si>
    <t>G: Children's Fairyland Oakland (Pathak's)</t>
  </si>
  <si>
    <t>Grocery (Amazon) - Tooth Paste</t>
  </si>
  <si>
    <t>EET: Star Wars: The Rise of the Skywalker</t>
  </si>
  <si>
    <t>M: Amazon - Clock (Math)</t>
  </si>
  <si>
    <t>EET: Magic Lights, Angel Stadium, Anaheim</t>
  </si>
  <si>
    <t>Grocery (Amazon) - Britstot</t>
  </si>
  <si>
    <t>Grocery (Amazon) - Psyllum Husk</t>
  </si>
  <si>
    <t>MK: Walmart: Ninja Mixer</t>
  </si>
  <si>
    <t>M: T Shirt, Jurassic Park</t>
  </si>
  <si>
    <t>Meds: Anishka - UCSF Children's Hospital ER - (Fall in Fairyland after Esha pushed Nish)</t>
  </si>
  <si>
    <t>G: Walmart - Fleece Pants - Aai</t>
  </si>
  <si>
    <t>MK: Amazon - Glass storage containers</t>
  </si>
  <si>
    <t>G: Amazon - Gift to Shalu for Anya</t>
  </si>
  <si>
    <t>F: In-Out Burgers</t>
  </si>
  <si>
    <t>Grocery (Amazon) - Red Hot buffalo</t>
  </si>
  <si>
    <t>MA: Amazon - Socks</t>
  </si>
  <si>
    <t>Meds: HSA: Stelo</t>
  </si>
  <si>
    <t>F: Lunch, Orlando, FL</t>
  </si>
  <si>
    <t>F: AuBon Pain, Logan Airport</t>
  </si>
  <si>
    <t>Car: Parking: Children's Fairyland Oakland</t>
  </si>
  <si>
    <t>M: Amazon - Heated Socks - 30</t>
  </si>
  <si>
    <t>F: Disney: California Adventure: Lucky Fortune Cookie</t>
  </si>
  <si>
    <t>Grocery (Amazon) - Pet Sprays</t>
  </si>
  <si>
    <t>EET: Birthday Trip to Santa Barbara, Pisxmo, Solvang</t>
  </si>
  <si>
    <t>F: Fresh city: Logan airport</t>
  </si>
  <si>
    <t>M: Amazon - iPhone 5s charger</t>
  </si>
  <si>
    <t>M: Amazon - Trash Can</t>
  </si>
  <si>
    <t>MA: Sweater Frocks for Sara - Zulily</t>
  </si>
  <si>
    <t>G: Kohls: Fleece Pants - Baba</t>
  </si>
  <si>
    <t>EET: Kids trip to Scality</t>
  </si>
  <si>
    <t>Grocery (Nijaya market)</t>
  </si>
  <si>
    <t>F: Disney: California Adventure: Churros</t>
  </si>
  <si>
    <t>EET: Hotel - Santa Maria - Candlewood Suites</t>
  </si>
  <si>
    <t>F: Ice Cream</t>
  </si>
  <si>
    <t>M: Meritline - SmartPhone Mount</t>
  </si>
  <si>
    <t>G: Amazon: Christmas: Agastya/Sharanya</t>
  </si>
  <si>
    <t>F: Muracci's Japanese</t>
  </si>
  <si>
    <t>EET: SF - Golden Gate Trail - Baker's Beach</t>
  </si>
  <si>
    <t>Grocery (Pure Traditions)</t>
  </si>
  <si>
    <t>F: Trip</t>
  </si>
  <si>
    <t>M: Accessories</t>
  </si>
  <si>
    <t>M: Target - Shelves</t>
  </si>
  <si>
    <t>Transportation: Uber - UCSF Children's Hosporal</t>
  </si>
  <si>
    <t>G: Amazon: Christmas: Shanaya</t>
  </si>
  <si>
    <t>M: Dollar Store - New Years Stuff</t>
  </si>
  <si>
    <t>Trans: Uber - Home to SJC</t>
  </si>
  <si>
    <t>M: Office Max - Cordless Phone</t>
  </si>
  <si>
    <t xml:space="preserve">Kids: Classes - Mindcraft Camp - Clinton </t>
  </si>
  <si>
    <t>MA: Amazon - Hogwarts T-shirt</t>
  </si>
  <si>
    <t>G: (Amazon) Waterproof Gloves for Aai</t>
  </si>
  <si>
    <t>MH: Homedepot (Paint)</t>
  </si>
  <si>
    <t>Trans: Uber - LV to Freemont Street</t>
  </si>
  <si>
    <t>F: Dinner, Gyro</t>
  </si>
  <si>
    <t>EET: Fairfield Inn Marriott, Anaheim, CA</t>
  </si>
  <si>
    <t>F: Steak Bugers, Freemont Street</t>
  </si>
  <si>
    <t>M: Amazon - Gillete Razor</t>
  </si>
  <si>
    <t>MA: SPM - H&amp;M</t>
  </si>
  <si>
    <t>EET: Birthday</t>
  </si>
  <si>
    <t>EET: Disney Parks Tickets</t>
  </si>
  <si>
    <t xml:space="preserve">Grocery (Safeway) </t>
  </si>
  <si>
    <t>F: Pinkdonut, Freemont Street</t>
  </si>
  <si>
    <t>F: Lunch</t>
  </si>
  <si>
    <t>M: Amazon - Gillete Razor Blades</t>
  </si>
  <si>
    <t>MA: SPM - Macy's - Ski Bib for Sara</t>
  </si>
  <si>
    <t>EET: Star Wars: The Last Jedi</t>
  </si>
  <si>
    <t>F: Biryaniz</t>
  </si>
  <si>
    <t>EET: Disney Parks Parking x 2</t>
  </si>
  <si>
    <t>Trans: Uber - Freemont - Mirage</t>
  </si>
  <si>
    <t>G: Gift Card for Pat - SPM</t>
  </si>
  <si>
    <t>F: Pho # 1, Sunnyvale</t>
  </si>
  <si>
    <t>F: Nijaya Market</t>
  </si>
  <si>
    <t xml:space="preserve">EET: Disney Genie+ </t>
  </si>
  <si>
    <t>F: The Venetian - Chipotle 30</t>
  </si>
  <si>
    <t>M: Playing Cards</t>
  </si>
  <si>
    <t>F: Pizza for Kids - P&amp;S</t>
  </si>
  <si>
    <t>Fees: AAA (SRP)</t>
  </si>
  <si>
    <t>M: Amazon - Merc Car batteries</t>
  </si>
  <si>
    <t>M: Amazon (Tampons)</t>
  </si>
  <si>
    <t>EET: Black Forest Cake + Gingerbread house _ Sugar Cookies decoration</t>
  </si>
  <si>
    <t>F: The Venetian - Lobster and me 35</t>
  </si>
  <si>
    <t>M: MiB Photo</t>
  </si>
  <si>
    <t>F: Meung Thai, At home party</t>
  </si>
  <si>
    <t>Meds: Glasses - Rahul - Vision Associates</t>
  </si>
  <si>
    <t xml:space="preserve">EET: Sunnyvale Temple </t>
  </si>
  <si>
    <t>F: Disneyland - Ronto Roasters</t>
  </si>
  <si>
    <t>EET: Uvas Canyon</t>
  </si>
  <si>
    <t>F: The Venetian - Water - 5</t>
  </si>
  <si>
    <t>EET: First Boston</t>
  </si>
  <si>
    <t>Grocery (Target) - Gain Laundry Detergent</t>
  </si>
  <si>
    <t>F: Christmas in the Park - San Jose - Cotton Candy</t>
  </si>
  <si>
    <t>F: Starbucks - DoubleTree</t>
  </si>
  <si>
    <t>F: Westfield Valley Center - Union Square - LobsterME</t>
  </si>
  <si>
    <t>MA: Zullily</t>
  </si>
  <si>
    <t>F: Walgreens</t>
  </si>
  <si>
    <t>Gifts from Fl</t>
  </si>
  <si>
    <t>F: Prudential Center</t>
  </si>
  <si>
    <t>OTE: Viriginia-Fairfax County - Traffic Violation  (79/55) = 6* (75-55) + 67</t>
  </si>
  <si>
    <t xml:space="preserve">EET: Rides: Christmas in the Park </t>
  </si>
  <si>
    <t>Grocery (Whole Foods) - Delivered to Hotel in Orlando - 78/2</t>
  </si>
  <si>
    <t>Car: Parking - Union Square</t>
  </si>
  <si>
    <t>MA: NYC</t>
  </si>
  <si>
    <t>F: The Venetian - Cafe Pan - Chicken Wings</t>
  </si>
  <si>
    <t>F: Lunch, silver Springs</t>
  </si>
  <si>
    <t>M: Light sabre, New Years</t>
  </si>
  <si>
    <t>M: Postage for speeding ticket - Virginia - Fairfax County</t>
  </si>
  <si>
    <t>G: Amazon (Waterproof Gloves)</t>
  </si>
  <si>
    <t xml:space="preserve">F: Beer -  DoubleTree , Orlando </t>
  </si>
  <si>
    <t>F: Ghirardelli Hot Chocolate</t>
  </si>
  <si>
    <t>Grocery (Lucky Markets)</t>
  </si>
  <si>
    <t>M: Amazon - Soft Toy Plushie Gift</t>
  </si>
  <si>
    <t>M: Glasses: SmartBuyGlasses</t>
  </si>
  <si>
    <t>F: The Venetian - Cocolini's</t>
  </si>
  <si>
    <t>F: Misc, Water , Pepsi</t>
  </si>
  <si>
    <t>M: iPhone 5s chargers</t>
  </si>
  <si>
    <t>MA: Van Heusen  - Belt + Earrings</t>
  </si>
  <si>
    <t>EET: Birthday with Family - Fun Day (Cakes + Cookies + Movie)</t>
  </si>
  <si>
    <t>F: Starbucks - Epcot</t>
  </si>
  <si>
    <t>M: BestBuy - Massager</t>
  </si>
  <si>
    <t>Grocery (Amazon Pantry)</t>
  </si>
  <si>
    <t>F: Ramsey burgers - 140</t>
  </si>
  <si>
    <t>F: Dinner, Orlando, Indian</t>
  </si>
  <si>
    <t xml:space="preserve">Car: Parking, Prudential </t>
  </si>
  <si>
    <t>MA: Wrentham - Columbia Sportswear - Jacket for Sara</t>
  </si>
  <si>
    <t>M: Amazon - Batteries</t>
  </si>
  <si>
    <t>EET: Movie - Ferdinaand (6 tickets)</t>
  </si>
  <si>
    <t>F: Les Homes Boulangerie et Patissierie</t>
  </si>
  <si>
    <t>M: Amazon - Car Polisher for Massage</t>
  </si>
  <si>
    <t>M: MyFitnessPal Premium</t>
  </si>
  <si>
    <t>EET: LA</t>
  </si>
  <si>
    <t>F: Starbucks -  Multiple 30 + 30 + 16 = 76</t>
  </si>
  <si>
    <t>M: Roll Develop</t>
  </si>
  <si>
    <t>G: Kohls - Beanie for Baba</t>
  </si>
  <si>
    <t>F: Margerita + Lemonade</t>
  </si>
  <si>
    <t>F: Biriyani and Kebob House - Koretown - LA</t>
  </si>
  <si>
    <t>M: SmartBuyGlasses - FSA Glasses - 373</t>
  </si>
  <si>
    <t>F: Walgreens - 9</t>
  </si>
  <si>
    <t>F: Lunch, Churros, Water</t>
  </si>
  <si>
    <t>EET: New Year's Party - Bayside Resort</t>
  </si>
  <si>
    <t>Car: Parking: San Jose</t>
  </si>
  <si>
    <t>G: Kohls - Leg warmers for Aai</t>
  </si>
  <si>
    <t>EET: Transportation Uber - MTV to SF</t>
  </si>
  <si>
    <t>Grocery (Amazon) - Imitation Vanilla</t>
  </si>
  <si>
    <t>F: Sushi Ippo, Koreatown - LA</t>
  </si>
  <si>
    <t>Grocery (Amazon) - Kids multivitamin</t>
  </si>
  <si>
    <t xml:space="preserve">F: Starbucks -  Multiple </t>
  </si>
  <si>
    <t>M: Universal Studios</t>
  </si>
  <si>
    <t>F: Beer - Shivani - Bayside</t>
  </si>
  <si>
    <t>Car: Parking: Union Square SFO</t>
  </si>
  <si>
    <t>EET: Transportation Uber - Orlando to Hotel</t>
  </si>
  <si>
    <t>F: Pho Legend, Koreatown - LA</t>
  </si>
  <si>
    <t>EET: Henry Cowell Redwood State Park</t>
  </si>
  <si>
    <t>F: Bachchannal Buffet</t>
  </si>
  <si>
    <t>F: Dinner, Universal</t>
  </si>
  <si>
    <t>EET: Bayside Resort - New Year's Package (12/31/15 - 1/2/2016 - 2 nights)</t>
  </si>
  <si>
    <t>EET: SF Christmas Lights</t>
  </si>
  <si>
    <t>EET: Transportation Uber - Hotel to Disney World - Epcot</t>
  </si>
  <si>
    <t>Grocery (Amazon) - LorAnn Flavoring</t>
  </si>
  <si>
    <t>F: Taco Bell</t>
  </si>
  <si>
    <t>EET: Ice Skating, Palo Alto</t>
  </si>
  <si>
    <t>F: Rainforest Cafe</t>
  </si>
  <si>
    <t>F: Beer + Water</t>
  </si>
  <si>
    <t>F: Bristol Farms - Westfield Mall - SF</t>
  </si>
  <si>
    <t xml:space="preserve">F: Ghirardelli Square </t>
  </si>
  <si>
    <t>EET: Transportation Uber - Disney World - Epcot to Hotel</t>
  </si>
  <si>
    <t>MA: Macy's New Balance Shoes</t>
  </si>
  <si>
    <t>Car: Parking - Santa Monica</t>
  </si>
  <si>
    <t>Fees: MyFitnessPal</t>
  </si>
  <si>
    <t>M: Camera Cell</t>
  </si>
  <si>
    <t>F: Beard Papa - Westfield Mall - SF</t>
  </si>
  <si>
    <t>G: Ghirardelli Square - Hot Cocoa for Aai Baba</t>
  </si>
  <si>
    <t>M: Amazon (Lighters)</t>
  </si>
  <si>
    <t>Trans: Uber - The Mirage - Sphere</t>
  </si>
  <si>
    <t>F: Milk Shake + Anacin</t>
  </si>
  <si>
    <t>F: Annie's Hot Dog - SFO street food</t>
  </si>
  <si>
    <t>M: VFS (Renunciation Application) - 232 x 2</t>
  </si>
  <si>
    <t>M: Apple Watch - Repair Program - Replacement</t>
  </si>
  <si>
    <t>Trans: Uber - The Venetian - LV Airport</t>
  </si>
  <si>
    <t>E: Disney Tickets</t>
  </si>
  <si>
    <t>F: Punjabi Kebab House - Eddy Street - SFO - Bad food</t>
  </si>
  <si>
    <t>M:Walgreens (Photos)</t>
  </si>
  <si>
    <t>F: The Venetian - Panda Express</t>
  </si>
  <si>
    <t>F: Lunch + Misc</t>
  </si>
  <si>
    <t>EET: Rogue One x4 - Century16</t>
  </si>
  <si>
    <t>EET: Muir Woods Parking + Cancellation Fee</t>
  </si>
  <si>
    <t>Grocery (Amazon) - Keto Granola + Bars - 14 + 15 + 11</t>
  </si>
  <si>
    <t>G: Amazon - Ghirardelli Gift Box for Sarveshi</t>
  </si>
  <si>
    <t>F: The Venetian - CurryPot</t>
  </si>
  <si>
    <t>EET: Redbox - Sully + Stork</t>
  </si>
  <si>
    <t>M: Asus Wifi Mesh x 3</t>
  </si>
  <si>
    <t>Trans: Uber - SJC - Home</t>
  </si>
  <si>
    <t>M: Artifacts, Disney Animal Kingdom</t>
  </si>
  <si>
    <t>M: Bed, Bath and Beyond - Gingerbread House</t>
  </si>
  <si>
    <t>F: Dunkin  - SJC Airport</t>
  </si>
  <si>
    <t>M: Mouse Gear</t>
  </si>
  <si>
    <t>MA: Marshalls - Shivani's shoes + Jackets for Girls</t>
  </si>
  <si>
    <t>G: Skechers: Shoes for Aai</t>
  </si>
  <si>
    <t>M: Mission Space Gear</t>
  </si>
  <si>
    <t>Car: America Tire: Nissan Altima: Tire replacement x 4 + 1 tire pressure sensor (66)</t>
  </si>
  <si>
    <t>EET: LV - New Years Trip</t>
  </si>
  <si>
    <t>F: Lunch, Moroccon</t>
  </si>
  <si>
    <t>M: NewEgg - HDMI Cable</t>
  </si>
  <si>
    <t>G: Marshalls (Jacket for Aai)</t>
  </si>
  <si>
    <t>F: Ice Cream, Epcot</t>
  </si>
  <si>
    <t>EET: Sing x4 - Century16</t>
  </si>
  <si>
    <t>EET: Chrismas in the Park - Rides</t>
  </si>
  <si>
    <t>G: Amazon (Jacket for Aai) - Columbia</t>
  </si>
  <si>
    <t>Lodging: The Mirage</t>
  </si>
  <si>
    <t>F: Dinner, Rainforest Café, Disney</t>
  </si>
  <si>
    <t xml:space="preserve">F: Zareen's </t>
  </si>
  <si>
    <t>Car Parking: San Jose</t>
  </si>
  <si>
    <t>EET: Sphere</t>
  </si>
  <si>
    <t>Gift : Birthday Treat, Adi</t>
  </si>
  <si>
    <t>M (Amazon) - Button cells</t>
  </si>
  <si>
    <t>M: Amazon - Watch Belts</t>
  </si>
  <si>
    <t>MA: Lee Jeans</t>
  </si>
  <si>
    <t>M: Amazon - Hooks</t>
  </si>
  <si>
    <t>M: Target: Christmas Stuff</t>
  </si>
  <si>
    <t>G: Amazon - Shivani's sisters 15 * 6</t>
  </si>
  <si>
    <t>M: Ikea - bed for Nish's room</t>
  </si>
  <si>
    <t>M: Amazon  - Bowls</t>
  </si>
  <si>
    <t>Parking: Great America</t>
  </si>
  <si>
    <t>MA: Amazon - SweatPants</t>
  </si>
  <si>
    <t>EET: Great America Parkway - Winterfest</t>
  </si>
  <si>
    <t>M: Starbucks - The Mirage - Breakfast</t>
  </si>
  <si>
    <t>Grocery (Amazon) - Starbucks Espresso Rast Ground Coffee</t>
  </si>
  <si>
    <t xml:space="preserve">2020 ESPP </t>
  </si>
  <si>
    <t>Stock</t>
  </si>
  <si>
    <t>Account</t>
  </si>
  <si>
    <t>Type</t>
  </si>
  <si>
    <t>Date Acquired</t>
  </si>
  <si>
    <t>Date Sold</t>
  </si>
  <si>
    <t>Total Proceeds</t>
  </si>
  <si>
    <t>Cost Basis</t>
  </si>
  <si>
    <t>Adj Cost Basis</t>
  </si>
  <si>
    <t>Reporting</t>
  </si>
  <si>
    <t xml:space="preserve">1099-B-Detail                           </t>
  </si>
  <si>
    <t>XXXXX3200</t>
  </si>
  <si>
    <t>ESPP</t>
  </si>
  <si>
    <t xml:space="preserve">MICROSOFT CORP MSFT 594918104                               </t>
  </si>
  <si>
    <t xml:space="preserve">SALE                </t>
  </si>
  <si>
    <t xml:space="preserve">SHORT TERM          </t>
  </si>
  <si>
    <t xml:space="preserve">COVERED             </t>
  </si>
  <si>
    <t xml:space="preserve">CASH IN LIEU        </t>
  </si>
  <si>
    <t>RSU</t>
  </si>
  <si>
    <t xml:space="preserve">1099-B-Subtotal-by-CUSIP                </t>
  </si>
  <si>
    <t xml:space="preserve">                    </t>
  </si>
  <si>
    <t>Jan'21</t>
  </si>
  <si>
    <t>Feb'21</t>
  </si>
  <si>
    <t>May'21</t>
  </si>
  <si>
    <t>Gross Income (Actual)</t>
  </si>
  <si>
    <t>GI Supplemental</t>
  </si>
  <si>
    <t>Total GI</t>
  </si>
  <si>
    <t>Housing</t>
  </si>
  <si>
    <t>Utility</t>
  </si>
  <si>
    <t>Transporation</t>
  </si>
  <si>
    <t>Other fixed</t>
  </si>
  <si>
    <t>Discretionary</t>
  </si>
  <si>
    <t>FCF</t>
  </si>
  <si>
    <t>Bonus</t>
  </si>
  <si>
    <t>Annual GI</t>
  </si>
  <si>
    <t>Annual Expense</t>
  </si>
  <si>
    <t>Monthly FCF</t>
  </si>
  <si>
    <t>FCF with Bonus</t>
  </si>
  <si>
    <t>Current Cash Balance</t>
  </si>
  <si>
    <t>Years to 0</t>
  </si>
  <si>
    <t>MSFT - Delta (401k) + ESPP</t>
  </si>
  <si>
    <t>Supplemental Income</t>
  </si>
  <si>
    <t>CB - Delta (401K)</t>
  </si>
  <si>
    <t>Additional Annual Gross Inc</t>
  </si>
  <si>
    <t>FCF (with Supplemental)</t>
  </si>
  <si>
    <t>Total Annual GI</t>
  </si>
  <si>
    <t>Annual FCF</t>
  </si>
  <si>
    <t>Gross Income Per Month Gap</t>
  </si>
  <si>
    <t xml:space="preserve">Gross Income </t>
  </si>
  <si>
    <t>Cash Balance</t>
  </si>
  <si>
    <t>Monthly - 2021</t>
  </si>
  <si>
    <t>Monthly 2022</t>
  </si>
  <si>
    <t xml:space="preserve">Audi </t>
  </si>
  <si>
    <t>Miles</t>
  </si>
  <si>
    <t xml:space="preserve"> MPM</t>
  </si>
  <si>
    <t>Altima</t>
  </si>
  <si>
    <t>MPM</t>
  </si>
  <si>
    <t>Altima 2</t>
  </si>
  <si>
    <t>2001 Audi  A4 1.8 T</t>
  </si>
  <si>
    <t>2002 Altima 2.5S</t>
  </si>
  <si>
    <t>2010 Altima 2.5SL</t>
  </si>
  <si>
    <t>2014 Merc  Benz ML350</t>
  </si>
  <si>
    <t>Current Mileage</t>
  </si>
  <si>
    <t>MPY</t>
  </si>
  <si>
    <t>Base Price</t>
  </si>
  <si>
    <t>Finance Charge</t>
  </si>
  <si>
    <t>Road Tax</t>
  </si>
  <si>
    <t>Inspection</t>
  </si>
  <si>
    <t>Registration</t>
  </si>
  <si>
    <t>Maintenance</t>
  </si>
  <si>
    <t>Sale Price</t>
  </si>
  <si>
    <t>TCO</t>
  </si>
  <si>
    <t>TCO/Mile</t>
  </si>
  <si>
    <t>Maintenance/100 Miles</t>
  </si>
  <si>
    <t>TCO/Month</t>
  </si>
  <si>
    <t>Ownership Period (Months)</t>
  </si>
  <si>
    <t>AVG MT /Yr</t>
  </si>
  <si>
    <t>AVG MT /Month</t>
  </si>
  <si>
    <t>AVG Total Cost/Month</t>
  </si>
  <si>
    <t>AVG Total Cost/ Year</t>
  </si>
  <si>
    <t>AVG Total Cost/ Mile</t>
  </si>
  <si>
    <t>Audi</t>
  </si>
  <si>
    <t xml:space="preserve"> Altima 02</t>
  </si>
  <si>
    <t>Altima'10</t>
  </si>
  <si>
    <t>Merc'14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</si>
  <si>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</si>
  <si>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</si>
  <si>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</si>
  <si>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</si>
  <si>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</si>
  <si>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</si>
  <si>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</si>
  <si>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</si>
  <si>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</si>
  <si>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</si>
  <si>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</si>
  <si>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</si>
  <si>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</si>
  <si>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</si>
  <si>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</si>
  <si>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 xml:space="preserve"> Altima</t>
  </si>
  <si>
    <t>Merc ML350</t>
  </si>
  <si>
    <t>EMC Stock</t>
  </si>
  <si>
    <t>Deal Price</t>
  </si>
  <si>
    <t>EMC - Cash out Price</t>
  </si>
  <si>
    <t>Trackin Stock Exchange Rate</t>
  </si>
  <si>
    <t>Tracking Stocking Price</t>
  </si>
  <si>
    <t>Units</t>
  </si>
  <si>
    <t>Price</t>
  </si>
  <si>
    <t>Value at 24</t>
  </si>
  <si>
    <t>Value @ DP</t>
  </si>
  <si>
    <t>Value @ CP</t>
  </si>
  <si>
    <t>TS Units</t>
  </si>
  <si>
    <t>TS Value</t>
  </si>
  <si>
    <t>TS Value @ CP</t>
  </si>
  <si>
    <t>Leave Now</t>
  </si>
  <si>
    <t>Options</t>
  </si>
  <si>
    <t>RSUs</t>
  </si>
  <si>
    <t>Stocks</t>
  </si>
  <si>
    <t>Total (RDP)</t>
  </si>
  <si>
    <t>Shares</t>
  </si>
  <si>
    <t>Total (SRP)</t>
  </si>
  <si>
    <t>Loss/Gain</t>
  </si>
  <si>
    <t>Total after Tax</t>
  </si>
  <si>
    <t>Stock Cash</t>
  </si>
  <si>
    <t>Cash Delta Now vs Deal (Stocks)</t>
  </si>
  <si>
    <t>Tracking Stock value for breakeven</t>
  </si>
  <si>
    <t>TS Appreciation</t>
  </si>
  <si>
    <t xml:space="preserve">Diff </t>
  </si>
  <si>
    <t>Schools</t>
  </si>
  <si>
    <t>After School</t>
  </si>
  <si>
    <t>Summer</t>
  </si>
  <si>
    <t xml:space="preserve">Curious Kids </t>
  </si>
  <si>
    <t>St Bernadette K-8</t>
  </si>
  <si>
    <t>Shrewsbury Montesorri (5 PM) - Pre-K</t>
  </si>
  <si>
    <t>Shrewsbury Montesorri (5PM) - Gr 1,2,3</t>
  </si>
  <si>
    <t>St Bernadette - PreK4</t>
  </si>
  <si>
    <t>St Bernadette - PreK4-5</t>
  </si>
  <si>
    <t>Scenario Analysis</t>
  </si>
  <si>
    <t>Sara</t>
  </si>
  <si>
    <t>Anishka</t>
  </si>
  <si>
    <t>Tuition</t>
  </si>
  <si>
    <t>Weekly</t>
  </si>
  <si>
    <t>Scenario 1</t>
  </si>
  <si>
    <t>STB</t>
  </si>
  <si>
    <t>CK</t>
  </si>
  <si>
    <t>Scenario 2</t>
  </si>
  <si>
    <t xml:space="preserve">STB </t>
  </si>
  <si>
    <t>STB-4</t>
  </si>
  <si>
    <t>Scenario 3</t>
  </si>
  <si>
    <t>STB-4-5</t>
  </si>
  <si>
    <t>Scenario 4</t>
  </si>
  <si>
    <t>SM</t>
  </si>
  <si>
    <t>Scenario 5</t>
  </si>
  <si>
    <t>Combined</t>
  </si>
  <si>
    <t>Diff with CK</t>
  </si>
  <si>
    <t>Diff with StB</t>
  </si>
  <si>
    <t>2 Private Schools</t>
  </si>
  <si>
    <t>Both Stb</t>
  </si>
  <si>
    <t>Stb and CK</t>
  </si>
  <si>
    <t>Stb and SM</t>
  </si>
  <si>
    <t>SM &amp; SM</t>
  </si>
  <si>
    <t>8th Grade</t>
  </si>
  <si>
    <t>/Week</t>
  </si>
  <si>
    <t>Pincushion</t>
  </si>
  <si>
    <t>1c</t>
  </si>
  <si>
    <t>Pincushion (5:30 PM)</t>
  </si>
  <si>
    <t>Shrewsbury Montesorri ( 5 PM)</t>
  </si>
  <si>
    <t>Applewild</t>
  </si>
  <si>
    <t>St Bernadette</t>
  </si>
  <si>
    <t>Shrewsbury Public Schools</t>
  </si>
  <si>
    <t>Hopkinton Public Schools</t>
  </si>
  <si>
    <t>Northborough Public Schools</t>
  </si>
  <si>
    <t>Fay school</t>
  </si>
  <si>
    <t>1a</t>
  </si>
  <si>
    <t>Pincushion (3:30 PM)</t>
  </si>
  <si>
    <t>1b</t>
  </si>
  <si>
    <t>Pincushion (4:30 PM)</t>
  </si>
  <si>
    <t>2a</t>
  </si>
  <si>
    <t>Shrewsbury Montesorri (5 PM)</t>
  </si>
  <si>
    <t>Nashoba (3PM)</t>
  </si>
  <si>
    <t>2b</t>
  </si>
  <si>
    <t>Shrewsbury Montesorri ( 5PM) - Gr 1,2,3</t>
  </si>
  <si>
    <t>Curious Kids</t>
  </si>
  <si>
    <t>NGCC for anishka</t>
  </si>
  <si>
    <t>Cost to sell/buy home</t>
  </si>
  <si>
    <t>COI</t>
  </si>
  <si>
    <t>Initial Inv</t>
  </si>
  <si>
    <t xml:space="preserve"> Public School + Day care for ARP</t>
  </si>
  <si>
    <t>Private Schools only</t>
  </si>
  <si>
    <t>NPV</t>
  </si>
  <si>
    <t>IRR</t>
  </si>
  <si>
    <t>2010 Rank</t>
  </si>
  <si>
    <t>2011 Rank</t>
  </si>
  <si>
    <t>2012 Rank</t>
  </si>
  <si>
    <t>2013 Rank</t>
  </si>
  <si>
    <t>Shrewsbury High</t>
  </si>
  <si>
    <t>Hopkinton High</t>
  </si>
  <si>
    <t>Algonquin</t>
  </si>
  <si>
    <t>Action-Boxborough</t>
  </si>
  <si>
    <t>Westford</t>
  </si>
  <si>
    <t>Harvard</t>
  </si>
  <si>
    <t>AMSA</t>
  </si>
  <si>
    <t>3-130</t>
  </si>
  <si>
    <t>Current</t>
  </si>
  <si>
    <t>Gen inv</t>
  </si>
  <si>
    <t>Total outgoing</t>
  </si>
  <si>
    <t>Current Assets</t>
  </si>
  <si>
    <t>Sell current</t>
  </si>
  <si>
    <t>Rent Current</t>
  </si>
  <si>
    <t>Rent current but no rental</t>
  </si>
  <si>
    <t>Refinance no Rental</t>
  </si>
  <si>
    <t>New mortgage</t>
  </si>
  <si>
    <t>Rental income</t>
  </si>
  <si>
    <t>Home expenses</t>
  </si>
  <si>
    <t>House pay off</t>
  </si>
  <si>
    <t>House pay off for LTV</t>
  </si>
  <si>
    <t>Cable+ Internet</t>
  </si>
  <si>
    <t>Snow/Lawn</t>
  </si>
  <si>
    <t>OOP Expenses</t>
  </si>
  <si>
    <t>Home expenses new</t>
  </si>
  <si>
    <t>Inc Monthly Exp</t>
  </si>
  <si>
    <t>SL</t>
  </si>
  <si>
    <t>ENTER VALUES</t>
  </si>
  <si>
    <t>LOAN SUMMARY</t>
  </si>
  <si>
    <t>INTEREST RATE COMPARISON</t>
  </si>
  <si>
    <t>Loan amount</t>
  </si>
  <si>
    <t>Scheduled payment</t>
  </si>
  <si>
    <t>Interest Rate</t>
  </si>
  <si>
    <t>Interest rate</t>
  </si>
  <si>
    <t>* SEE CURRENT *</t>
  </si>
  <si>
    <t>Scheduled number of payments</t>
  </si>
  <si>
    <t>Payment</t>
  </si>
  <si>
    <t> $2,395,000</t>
  </si>
  <si>
    <t>Loan term in years</t>
  </si>
  <si>
    <t>Actual number of payments</t>
  </si>
  <si>
    <t>Total Interest</t>
  </si>
  <si>
    <t>Payments made per year</t>
  </si>
  <si>
    <t>Years saved off original loan term</t>
  </si>
  <si>
    <t>Delta (Payment)</t>
  </si>
  <si>
    <t>Loan repayment start date</t>
  </si>
  <si>
    <t>Total early payments</t>
  </si>
  <si>
    <t>Delta (Interest)</t>
  </si>
  <si>
    <t>Total interest</t>
  </si>
  <si>
    <t>Delta Yrl (Payment)</t>
  </si>
  <si>
    <t>Optional extra payments</t>
  </si>
  <si>
    <t>LENDER NAME</t>
  </si>
  <si>
    <t>Wells Fargo</t>
  </si>
  <si>
    <t>PMT NO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</si>
  <si>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</si>
  <si>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</si>
  <si>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</si>
  <si>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</si>
  <si>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</si>
  <si>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</si>
  <si>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</si>
  <si>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</si>
  <si>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</si>
  <si>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Break-even</t>
  </si>
  <si>
    <t>yrs</t>
  </si>
  <si>
    <t>Sell</t>
  </si>
  <si>
    <t>Buy</t>
  </si>
  <si>
    <t>Price Point #1</t>
  </si>
  <si>
    <t>Price Point #2</t>
  </si>
  <si>
    <t>Price Point #3</t>
  </si>
  <si>
    <t>Price Point #4</t>
  </si>
  <si>
    <t>Price Point #5</t>
  </si>
  <si>
    <t>Price Point #6</t>
  </si>
  <si>
    <t>Price Point #7</t>
  </si>
  <si>
    <t>Price Point #8</t>
  </si>
  <si>
    <t>Price Point #9</t>
  </si>
  <si>
    <t>Purchase Price</t>
  </si>
  <si>
    <t>Downpayment - 10%</t>
  </si>
  <si>
    <t>Payoff</t>
  </si>
  <si>
    <t>Home improvements</t>
  </si>
  <si>
    <t xml:space="preserve">Monthly Mortgage - 4% </t>
  </si>
  <si>
    <t>Commission (5%)</t>
  </si>
  <si>
    <t>Taxes (16.11/1000)/month</t>
  </si>
  <si>
    <t>Excise Stamp Tax</t>
  </si>
  <si>
    <t>Recording Fees</t>
  </si>
  <si>
    <t>Appraisal</t>
  </si>
  <si>
    <t>Courier/Overnight Fees</t>
  </si>
  <si>
    <t>Credir Report</t>
  </si>
  <si>
    <t>Wire Fees</t>
  </si>
  <si>
    <t>Tax service fees</t>
  </si>
  <si>
    <t>Attorney Fees</t>
  </si>
  <si>
    <t>Flood Certification</t>
  </si>
  <si>
    <t>Mortgage discharge</t>
  </si>
  <si>
    <t>Municipal Lein Cert</t>
  </si>
  <si>
    <t>Condo move out fee</t>
  </si>
  <si>
    <t>Plot plan</t>
  </si>
  <si>
    <t>Association transfer fee</t>
  </si>
  <si>
    <t>Recording fees</t>
  </si>
  <si>
    <t>Staging expenses</t>
  </si>
  <si>
    <t>Bank Attorney fees</t>
  </si>
  <si>
    <t>Real Estate Taxes</t>
  </si>
  <si>
    <t>Title Insurance</t>
  </si>
  <si>
    <t>Condo Fee</t>
  </si>
  <si>
    <t>Courier/Overnight fees</t>
  </si>
  <si>
    <t>Appliances etc</t>
  </si>
  <si>
    <t>Warranty</t>
  </si>
  <si>
    <t>Scenario 1 (Best Case)</t>
  </si>
  <si>
    <t>Scenario 2 (Worst Case)</t>
  </si>
  <si>
    <t>Scenario 3 (Likely)</t>
  </si>
  <si>
    <t>Current Monthly Expenses</t>
  </si>
  <si>
    <t>MR 4%</t>
  </si>
  <si>
    <t>MR4.25%</t>
  </si>
  <si>
    <t>MR4.5%</t>
  </si>
  <si>
    <t>MR4.75%</t>
  </si>
  <si>
    <t>MR5%</t>
  </si>
  <si>
    <t>MR5.25%</t>
  </si>
  <si>
    <t>MR5.5%</t>
  </si>
  <si>
    <t>Downpayment %</t>
  </si>
  <si>
    <t xml:space="preserve">Downpayment </t>
  </si>
  <si>
    <t xml:space="preserve">Monthly Mortgage </t>
  </si>
  <si>
    <t>Total Monthly</t>
  </si>
  <si>
    <t>Total Upfront Exp.</t>
  </si>
  <si>
    <t>Analysis Sheet</t>
  </si>
  <si>
    <t>This sheet will include all the Python formulas generated by Copilot.</t>
  </si>
  <si>
    <t>Load data from Monthly, A156:P228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</si>
</sst>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&quot;$&quot;#,##0.00"/>
    <numFmt numFmtId="166" formatCode="&quot;$&quot;#,##0.00;[Red]&quot;$&quot;#,##0.00"/>
    <numFmt numFmtId="167" formatCode="[$CAD]\ #,##0.00;[Red][$CAD]\ #,##0.00"/>
    <numFmt numFmtId="168" formatCode="[$CAD]\ #,##0.00"/>
    <numFmt numFmtId="169" formatCode="[$INR]\ #,##0.00;[Red][$INR]\ #,##0.00"/>
    <numFmt numFmtId="170" formatCode="[$INR]\ #,##0.00_);[Red]\([$INR]\ #,##0.00\)"/>
    <numFmt numFmtId="171" formatCode="[$INR]\ #,##0.00_);\([$INR]\ #,##0.00\)"/>
    <numFmt numFmtId="172" formatCode="[$EUR]\ #,##0.00;[Red][$EUR]\ #,##0.00"/>
    <numFmt numFmtId="173" formatCode="0.00_);[Red]\(0.00\)"/>
    <numFmt numFmtId="174" formatCode="[$Rs.-4009]\ #,##0.00;[$Rs.-4009]\ \-#,##0.00"/>
    <numFmt numFmtId="175" formatCode="#,##0.00[$₹-4009]"/>
    <numFmt numFmtId="176" formatCode="_-[$$-409]* #,##0.00_ ;_-[$$-409]* \-#,##0.00\ ;_-[$$-409]* &quot;-&quot;??_ ;_-@_ "/>
    <numFmt numFmtId="177" formatCode="#,##0.00[$₹-44E];[Red]#,##0.00[$₹-44E]"/>
    <numFmt numFmtId="178" formatCode="_([$$-409]* #,##0.00_);_([$$-409]* \(#,##0.00\);_([$$-409]* &quot;-&quot;??_);_(@_)"/>
    <numFmt numFmtId="179" formatCode="[$₹-4009]\ #,##0.00;[$₹-4009]\ \-#,##0.00"/>
    <numFmt numFmtId="180" formatCode="_ [$₹-4009]\ * #,##0.00_ ;_ [$₹-4009]\ * \-#,##0.00_ ;_ [$₹-4009]\ * &quot;-&quot;??_ ;_ @_ "/>
    <numFmt numFmtId="181" formatCode="&quot;$&quot;#,##0.000;[Red]&quot;$&quot;#,##0.000"/>
    <numFmt numFmtId="182" formatCode="_(&quot;$&quot;* #,##0_);_(&quot;$&quot;* \(#,##0\);_(&quot;$&quot;* &quot;-&quot;??_);_(@_)"/>
    <numFmt numFmtId="183" formatCode="0.0%"/>
  </numFmts>
  <fonts count="20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"/>
      <name val="Verdana"/>
      <family val="2"/>
    </font>
    <font>
      <sz val="10"/>
      <color indexed="60"/>
      <name val="Arial"/>
      <family val="2"/>
    </font>
    <font>
      <sz val="10"/>
      <color indexed="62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u/>
      <sz val="10"/>
      <color theme="11"/>
      <name val="Arial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indexed="17"/>
      <name val="Calibri"/>
      <family val="2"/>
      <scheme val="minor"/>
    </font>
    <font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color indexed="17"/>
      <name val="Arial"/>
      <family val="2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4"/>
      <name val="Arial"/>
      <family val="2"/>
    </font>
    <font>
      <b/>
      <sz val="10"/>
      <color theme="0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b/>
      <sz val="10"/>
      <name val="Calibri"/>
      <family val="2"/>
      <scheme val="minor"/>
    </font>
    <font>
      <sz val="9"/>
      <color theme="0"/>
      <name val="Montserrat Regular"/>
    </font>
    <font>
      <sz val="9"/>
      <name val="Montserrat Regular"/>
    </font>
    <font>
      <b/>
      <sz val="9"/>
      <name val="Montserrat Regular"/>
    </font>
    <font>
      <b/>
      <sz val="9"/>
      <color theme="0"/>
      <name val="Montserrat Regula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theme="0"/>
      <name val="Montserrat Light"/>
    </font>
    <font>
      <sz val="9"/>
      <name val="Montserrat Light"/>
    </font>
    <font>
      <sz val="9"/>
      <color theme="1"/>
      <name val="Montserrat Light"/>
    </font>
    <font>
      <sz val="10"/>
      <name val="Montserrat Light"/>
    </font>
    <font>
      <sz val="9"/>
      <color indexed="10"/>
      <name val="Montserrat Light"/>
    </font>
    <font>
      <b/>
      <sz val="9"/>
      <name val="Montserrat Light"/>
    </font>
    <font>
      <b/>
      <sz val="9"/>
      <color indexed="10"/>
      <name val="Montserrat Light"/>
    </font>
    <font>
      <b/>
      <sz val="9"/>
      <color indexed="8"/>
      <name val="Montserrat Light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u/>
      <sz val="12"/>
      <color rgb="FF000064"/>
      <name val="Calibri"/>
      <family val="2"/>
      <scheme val="minor"/>
    </font>
    <font>
      <b/>
      <sz val="11"/>
      <color theme="1" tint="0.24994659260841701"/>
      <name val="Cambria"/>
      <family val="2"/>
      <scheme val="major"/>
    </font>
    <font>
      <b/>
      <sz val="16"/>
      <color theme="1" tint="0.24994659260841701"/>
      <name val="Cambria"/>
      <family val="2"/>
      <scheme val="major"/>
    </font>
    <font>
      <sz val="11"/>
      <name val="Montserrat Light"/>
    </font>
    <font>
      <b/>
      <sz val="11"/>
      <color theme="0"/>
      <name val="Montserrat Light"/>
    </font>
    <font>
      <sz val="11"/>
      <color theme="0"/>
      <name val="Montserrat Light"/>
    </font>
    <font>
      <sz val="11"/>
      <color theme="1" tint="0.249977111117893"/>
      <name val="Montserrat Light"/>
    </font>
    <font>
      <b/>
      <u/>
      <sz val="11"/>
      <color theme="1" tint="0.249977111117893"/>
      <name val="Montserrat Light"/>
    </font>
    <font>
      <b/>
      <sz val="11"/>
      <color theme="1" tint="0.249977111117893"/>
      <name val="Montserrat Light"/>
    </font>
    <font>
      <sz val="9"/>
      <name val="Garamond"/>
      <family val="1"/>
    </font>
    <font>
      <b/>
      <sz val="12"/>
      <color rgb="FF000000"/>
      <name val="Calibri"/>
      <family val="2"/>
    </font>
    <font>
      <b/>
      <sz val="12"/>
      <color rgb="FF222222"/>
      <name val="Calibri"/>
      <family val="2"/>
    </font>
    <font>
      <b/>
      <sz val="11"/>
      <name val="Montserrat Light"/>
    </font>
    <font>
      <sz val="9"/>
      <name val="MS Reference Sans Serif"/>
      <family val="2"/>
    </font>
    <font>
      <sz val="9"/>
      <color rgb="FFFF0000"/>
      <name val="MS Reference Sans Serif"/>
      <family val="2"/>
    </font>
    <font>
      <sz val="9"/>
      <color indexed="10"/>
      <name val="MS Reference Sans Serif"/>
      <family val="2"/>
    </font>
    <font>
      <sz val="9"/>
      <color theme="0"/>
      <name val="MS Reference Sans Serif"/>
      <family val="2"/>
    </font>
    <font>
      <sz val="9"/>
      <color theme="1"/>
      <name val="MS Reference Sans Serif"/>
      <family val="2"/>
    </font>
    <font>
      <b/>
      <sz val="9"/>
      <name val="MS Reference Sans Serif"/>
      <family val="2"/>
    </font>
    <font>
      <b/>
      <sz val="9"/>
      <color rgb="FFFF0000"/>
      <name val="MS Reference Sans Serif"/>
      <family val="2"/>
    </font>
    <font>
      <sz val="9"/>
      <color rgb="FF202437"/>
      <name val="MS Reference Sans Serif"/>
      <family val="2"/>
    </font>
    <font>
      <sz val="10"/>
      <name val="MS Reference Sans Serif"/>
      <family val="2"/>
    </font>
    <font>
      <b/>
      <sz val="10"/>
      <name val="MS Reference Sans Serif"/>
      <family val="2"/>
    </font>
    <font>
      <u/>
      <sz val="10"/>
      <color indexed="12"/>
      <name val="MS Reference Sans Serif"/>
      <family val="2"/>
    </font>
    <font>
      <b/>
      <sz val="9"/>
      <color indexed="10"/>
      <name val="MS Reference Sans Serif"/>
      <family val="2"/>
    </font>
    <font>
      <b/>
      <sz val="9"/>
      <color indexed="8"/>
      <name val="MS Reference Sans Serif"/>
      <family val="2"/>
    </font>
    <font>
      <sz val="8"/>
      <color theme="0"/>
      <name val="MS Reference Sans Serif"/>
      <family val="2"/>
    </font>
    <font>
      <sz val="8"/>
      <color theme="1"/>
      <name val="MS Reference Sans Serif"/>
      <family val="2"/>
    </font>
    <font>
      <sz val="12"/>
      <color rgb="FFFF0000"/>
      <name val="MS Reference Sans Serif"/>
      <family val="2"/>
    </font>
    <font>
      <sz val="10"/>
      <color indexed="10"/>
      <name val="MS Reference Sans Serif"/>
      <family val="2"/>
    </font>
    <font>
      <sz val="10"/>
      <color theme="0"/>
      <name val="MS Reference Sans Serif"/>
      <family val="2"/>
    </font>
    <font>
      <sz val="8"/>
      <name val="MS Reference Sans Serif"/>
      <family val="2"/>
    </font>
    <font>
      <u/>
      <sz val="11"/>
      <color theme="10"/>
      <name val="Calibri"/>
      <family val="2"/>
      <scheme val="minor"/>
    </font>
    <font>
      <sz val="8"/>
      <color indexed="10"/>
      <name val="MS Reference Sans Serif"/>
      <family val="2"/>
    </font>
    <font>
      <b/>
      <sz val="8"/>
      <color indexed="10"/>
      <name val="MS Reference Sans Serif"/>
      <family val="2"/>
    </font>
    <font>
      <b/>
      <sz val="8"/>
      <name val="MS Reference Sans Serif"/>
      <family val="2"/>
    </font>
    <font>
      <b/>
      <sz val="8"/>
      <color indexed="8"/>
      <name val="MS Reference Sans Serif"/>
      <family val="2"/>
    </font>
    <font>
      <sz val="9"/>
      <color rgb="FFFF0000"/>
      <name val="Arial"/>
      <family val="2"/>
    </font>
    <font>
      <sz val="9"/>
      <color indexed="10"/>
      <name val="Arial"/>
      <family val="2"/>
    </font>
    <font>
      <sz val="8"/>
      <color indexed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b/>
      <sz val="8"/>
      <color indexed="10"/>
      <name val="Helvetica"/>
      <family val="2"/>
    </font>
    <font>
      <b/>
      <sz val="8"/>
      <color indexed="8"/>
      <name val="Helvetica"/>
      <family val="2"/>
    </font>
    <font>
      <b/>
      <sz val="8"/>
      <color indexed="46"/>
      <name val="Helvetica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sz val="9"/>
      <color theme="1"/>
      <name val="Helvetica"/>
      <family val="2"/>
    </font>
    <font>
      <sz val="10"/>
      <color theme="1"/>
      <name val="Helvetica"/>
      <family val="2"/>
    </font>
    <font>
      <b/>
      <sz val="9"/>
      <color theme="1"/>
      <name val="Helvetica"/>
      <family val="2"/>
    </font>
    <font>
      <sz val="9"/>
      <name val="Microsoft JhengHei"/>
      <family val="2"/>
      <charset val="136"/>
    </font>
    <font>
      <b/>
      <sz val="9"/>
      <name val="Microsoft JhengHei"/>
      <family val="2"/>
      <charset val="136"/>
    </font>
    <font>
      <sz val="9"/>
      <color indexed="10"/>
      <name val="Microsoft JhengHei"/>
      <family val="2"/>
      <charset val="136"/>
    </font>
    <font>
      <u/>
      <sz val="10"/>
      <color indexed="12"/>
      <name val="Microsoft JhengHei"/>
      <family val="2"/>
      <charset val="136"/>
    </font>
    <font>
      <sz val="10"/>
      <name val="Microsoft JhengHei"/>
      <family val="2"/>
      <charset val="136"/>
    </font>
    <font>
      <b/>
      <sz val="9"/>
      <color indexed="10"/>
      <name val="Microsoft JhengHei"/>
      <family val="2"/>
      <charset val="136"/>
    </font>
    <font>
      <b/>
      <sz val="9"/>
      <color indexed="8"/>
      <name val="Microsoft JhengHei"/>
      <family val="2"/>
      <charset val="136"/>
    </font>
    <font>
      <sz val="9"/>
      <color rgb="FFFF0000"/>
      <name val="Microsoft JhengHei"/>
      <family val="2"/>
      <charset val="136"/>
    </font>
    <font>
      <sz val="10"/>
      <color indexed="10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u/>
      <sz val="10"/>
      <color indexed="12"/>
      <name val="Microsoft JhengHei"/>
      <family val="2"/>
      <charset val="136"/>
    </font>
    <font>
      <sz val="9"/>
      <color indexed="8"/>
      <name val="Microsoft JhengHei"/>
      <family val="2"/>
      <charset val="136"/>
    </font>
    <font>
      <b/>
      <sz val="9"/>
      <color theme="0"/>
      <name val="Microsoft YaHei"/>
      <family val="2"/>
      <charset val="134"/>
    </font>
    <font>
      <sz val="9"/>
      <color theme="0"/>
      <name val="Microsoft YaHei"/>
      <family val="2"/>
      <charset val="134"/>
    </font>
    <font>
      <sz val="9"/>
      <color indexed="8"/>
      <name val="Microsoft YaHei"/>
      <family val="2"/>
      <charset val="134"/>
    </font>
    <font>
      <u/>
      <sz val="9"/>
      <color theme="0"/>
      <name val="Microsoft YaHei"/>
      <family val="2"/>
      <charset val="134"/>
    </font>
    <font>
      <sz val="9"/>
      <color indexed="17"/>
      <name val="Microsoft YaHei"/>
      <family val="2"/>
      <charset val="134"/>
    </font>
    <font>
      <sz val="8"/>
      <color theme="1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u/>
      <sz val="9"/>
      <color theme="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8"/>
      <color theme="0"/>
      <name val="Arial"/>
      <family val="2"/>
    </font>
    <font>
      <u/>
      <sz val="8"/>
      <color theme="0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9"/>
      <color indexed="18"/>
      <name val="Arial"/>
      <family val="2"/>
    </font>
    <font>
      <sz val="8"/>
      <name val="Microsoft JhengHei"/>
      <family val="2"/>
      <charset val="136"/>
    </font>
    <font>
      <sz val="8"/>
      <color indexed="10"/>
      <name val="Microsoft JhengHei"/>
      <family val="2"/>
      <charset val="136"/>
    </font>
    <font>
      <sz val="8"/>
      <color rgb="FFFF0000"/>
      <name val="Microsoft JhengHei"/>
      <family val="2"/>
      <charset val="136"/>
    </font>
    <font>
      <sz val="9"/>
      <color theme="0"/>
      <name val="Microsoft JhengHei"/>
      <family val="2"/>
      <charset val="136"/>
    </font>
    <font>
      <u/>
      <sz val="9"/>
      <color theme="0"/>
      <name val="Microsoft JhengHei"/>
      <family val="2"/>
      <charset val="136"/>
    </font>
    <font>
      <sz val="9"/>
      <color rgb="FF444444"/>
      <name val="Microsoft JhengHei"/>
      <family val="2"/>
      <charset val="136"/>
    </font>
    <font>
      <sz val="9"/>
      <color theme="1"/>
      <name val="Microsoft JhengHei"/>
      <family val="2"/>
      <charset val="136"/>
    </font>
    <font>
      <sz val="9"/>
      <color theme="1" tint="4.9989318521683403E-2"/>
      <name val="Arial"/>
      <family val="2"/>
    </font>
    <font>
      <sz val="9"/>
      <color indexed="16"/>
      <name val="Arial"/>
      <family val="2"/>
    </font>
    <font>
      <sz val="9"/>
      <name val="Microsoft JhengHei"/>
    </font>
    <font>
      <sz val="9"/>
      <color rgb="FFFF0000"/>
      <name val="Microsoft JhengHei"/>
    </font>
    <font>
      <sz val="9"/>
      <color indexed="10"/>
      <name val="Microsoft JhengHei"/>
    </font>
    <font>
      <sz val="9"/>
      <color theme="1"/>
      <name val="Microsoft JhengHei"/>
    </font>
    <font>
      <b/>
      <sz val="9"/>
      <name val="Microsoft JhengHei"/>
    </font>
    <font>
      <b/>
      <sz val="9"/>
      <color indexed="10"/>
      <name val="Microsoft JhengHei"/>
    </font>
    <font>
      <b/>
      <sz val="9"/>
      <color indexed="8"/>
      <name val="Microsoft JhengHei"/>
    </font>
    <font>
      <sz val="8"/>
      <color theme="1" tint="0.34998626667073579"/>
      <name val="Source Sans Pro"/>
    </font>
    <font>
      <sz val="8"/>
      <color theme="1"/>
      <name val="Source Sans Pro"/>
    </font>
    <font>
      <sz val="8"/>
      <color indexed="8"/>
      <name val="Source Sans Pro"/>
    </font>
    <font>
      <sz val="8"/>
      <color indexed="56"/>
      <name val="Source Sans Pro"/>
    </font>
    <font>
      <sz val="8"/>
      <color theme="0"/>
      <name val="Source Sans Pro"/>
    </font>
    <font>
      <sz val="9"/>
      <color theme="1"/>
      <name val="Source Sans Pro"/>
    </font>
    <font>
      <u/>
      <sz val="8"/>
      <color theme="0"/>
      <name val="Source Sans Pro"/>
    </font>
    <font>
      <sz val="8"/>
      <color rgb="FFFF0000"/>
      <name val="Source Sans Pro"/>
    </font>
    <font>
      <sz val="8"/>
      <color indexed="19"/>
      <name val="Source Sans Pro"/>
    </font>
    <font>
      <sz val="8"/>
      <name val="Source Sans Pro"/>
    </font>
    <font>
      <sz val="9"/>
      <color rgb="FF000000"/>
      <name val="Microsoft JhengHei"/>
      <charset val="1"/>
    </font>
    <font>
      <sz val="9"/>
      <color rgb="FF000000"/>
      <name val="Microsoft JhengHei"/>
      <family val="2"/>
      <charset val="136"/>
    </font>
    <font>
      <sz val="9"/>
      <color rgb="FF000000"/>
      <name val="Microsoft JhengHei"/>
    </font>
    <font>
      <sz val="9"/>
      <color rgb="FF000000"/>
      <name val="Arial"/>
      <family val="2"/>
    </font>
    <font>
      <sz val="9"/>
      <color theme="0"/>
      <name val="Microsoft JhengHei"/>
    </font>
    <font>
      <u/>
      <sz val="9"/>
      <color theme="0"/>
      <name val="Microsoft JhengHei"/>
    </font>
    <font>
      <sz val="9"/>
      <color rgb="FF444444"/>
      <name val="Microsoft JhengHei"/>
    </font>
    <font>
      <sz val="9"/>
      <color indexed="8"/>
      <name val="Microsoft JhengHei"/>
    </font>
    <font>
      <sz val="8"/>
      <color theme="1"/>
      <name val="Microsoft JhengHei"/>
    </font>
    <font>
      <sz val="8"/>
      <color theme="0"/>
      <name val="Microsoft JhengHei"/>
    </font>
    <font>
      <b/>
      <sz val="8"/>
      <color theme="1"/>
      <name val="Microsoft JhengHei"/>
    </font>
    <font>
      <sz val="8"/>
      <color rgb="FF000000"/>
      <name val="Microsoft JhengHei"/>
    </font>
    <font>
      <sz val="8"/>
      <name val="Microsoft JhengHei"/>
    </font>
    <font>
      <sz val="8"/>
      <color rgb="FFFF0000"/>
      <name val="Microsoft JhengHei"/>
    </font>
    <font>
      <sz val="8"/>
      <color indexed="10"/>
      <name val="Microsoft JhengHei"/>
    </font>
    <font>
      <sz val="10"/>
      <color indexed="10"/>
      <name val="Microsoft JhengHei"/>
    </font>
    <font>
      <b/>
      <sz val="10"/>
      <name val="Microsoft JhengHei"/>
    </font>
    <font>
      <sz val="10"/>
      <name val="Microsoft JhengHei"/>
    </font>
    <font>
      <b/>
      <sz val="10"/>
      <color indexed="10"/>
      <name val="Microsoft JhengHei"/>
    </font>
    <font>
      <sz val="10"/>
      <color rgb="FFFF0000"/>
      <name val="Microsoft JhengHei"/>
    </font>
    <font>
      <b/>
      <sz val="10"/>
      <color indexed="8"/>
      <name val="Microsoft JhengHei"/>
    </font>
    <font>
      <b/>
      <sz val="9"/>
      <color theme="0"/>
      <name val="Microsoft JhengHei"/>
    </font>
    <font>
      <sz val="10"/>
      <color rgb="FF000000"/>
      <name val="Microsoft JhengHei"/>
    </font>
    <font>
      <b/>
      <sz val="9"/>
      <name val="Aptos Narrow"/>
    </font>
    <font>
      <sz val="9"/>
      <color indexed="10"/>
      <name val="Aptos Narrow"/>
    </font>
    <font>
      <u/>
      <sz val="10"/>
      <color indexed="12"/>
      <name val="Aptos Narrow"/>
    </font>
    <font>
      <b/>
      <sz val="9"/>
      <color indexed="10"/>
      <name val="Aptos Narrow"/>
    </font>
    <font>
      <sz val="9"/>
      <color theme="1"/>
      <name val="Aptos Narrow"/>
    </font>
    <font>
      <sz val="10"/>
      <color theme="1"/>
      <name val="Aptos Narrow"/>
    </font>
    <font>
      <sz val="10"/>
      <name val="Aptos Narrow"/>
    </font>
    <font>
      <sz val="9"/>
      <name val="Aptos Narrow"/>
    </font>
    <font>
      <b/>
      <sz val="9"/>
      <color theme="1"/>
      <name val="Aptos Narrow"/>
    </font>
    <font>
      <sz val="9"/>
      <color rgb="FF222222"/>
      <name val="Microsoft JhengHei"/>
    </font>
    <font>
      <sz val="11"/>
      <color rgb="FF040505"/>
      <name val="FF Mark"/>
      <charset val="1"/>
    </font>
    <font>
      <sz val="9"/>
      <name val="Arial"/>
    </font>
    <font>
      <sz val="10"/>
      <color indexed="10"/>
      <name val="Arial"/>
    </font>
    <font>
      <sz val="9"/>
      <color rgb="FF000000"/>
      <name val="Arial"/>
    </font>
    <font>
      <sz val="10"/>
      <color rgb="FF000000"/>
      <name val="Arial"/>
    </font>
    <font>
      <sz val="9"/>
      <color theme="1"/>
      <name val="Arial"/>
    </font>
    <font>
      <sz val="10"/>
      <color theme="1"/>
      <name val="Arial"/>
    </font>
    <font>
      <b/>
      <sz val="24"/>
      <color rgb="FF156082"/>
      <name val="Arial"/>
    </font>
    <font>
      <b/>
      <sz val="14"/>
      <color rgb="FF156082"/>
      <name val="Arial"/>
    </font>
    <font>
      <sz val="10"/>
      <name val="Arial"/>
      <charset val="1"/>
    </font>
    <font>
      <sz val="10"/>
      <color rgb="FF1C2436"/>
      <name val="Roboto"/>
      <charset val="1"/>
    </font>
    <font>
      <sz val="12"/>
      <color rgb="FF000000"/>
      <name val="Aptos Narrow"/>
      <family val="2"/>
    </font>
    <font>
      <u/>
      <sz val="9"/>
      <color indexed="12"/>
      <name val="Microsoft JhengHei"/>
    </font>
  </fonts>
  <fills count="11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3C93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lightGray"/>
    </fill>
    <fill>
      <patternFill patternType="solid">
        <fgColor theme="0"/>
        <b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D35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lightGray">
        <bgColor rgb="FF83C93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58C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gray0625">
        <bgColor rgb="FF008000"/>
      </patternFill>
    </fill>
    <fill>
      <patternFill patternType="gray0625">
        <bgColor theme="9" tint="-0.249977111117893"/>
      </patternFill>
    </fill>
    <fill>
      <patternFill patternType="gray0625">
        <bgColor theme="3" tint="-0.249977111117893"/>
      </patternFill>
    </fill>
    <fill>
      <patternFill patternType="gray0625">
        <bgColor theme="0"/>
      </patternFill>
    </fill>
    <fill>
      <patternFill patternType="gray0625"/>
    </fill>
    <fill>
      <patternFill patternType="gray0625">
        <bgColor rgb="FF800000"/>
      </patternFill>
    </fill>
    <fill>
      <patternFill patternType="gray0625">
        <bgColor theme="3" tint="0.39997558519241921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auto="1"/>
      </patternFill>
    </fill>
    <fill>
      <patternFill patternType="gray125">
        <bgColor theme="3" tint="-0.249977111117893"/>
      </patternFill>
    </fill>
    <fill>
      <patternFill patternType="gray125">
        <bgColor theme="0"/>
      </patternFill>
    </fill>
    <fill>
      <patternFill patternType="gray0625">
        <bgColor theme="5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gray0625">
        <bgColor rgb="FF0070C0"/>
      </patternFill>
    </fill>
    <fill>
      <patternFill patternType="gray0625">
        <bgColor theme="1" tint="0.499984740745262"/>
      </patternFill>
    </fill>
    <fill>
      <patternFill patternType="gray0625">
        <bgColor auto="1"/>
      </patternFill>
    </fill>
    <fill>
      <patternFill patternType="gray0625">
        <bgColor indexed="1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65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20394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0" tint="-0.14999847407452621"/>
        <bgColor auto="1"/>
      </patternFill>
    </fill>
    <fill>
      <patternFill patternType="solid">
        <fgColor auto="1"/>
        <bgColor auto="1"/>
      </patternFill>
    </fill>
    <fill>
      <patternFill patternType="solid">
        <fgColor rgb="FF008000"/>
        <bgColor auto="1"/>
      </patternFill>
    </fill>
    <fill>
      <patternFill patternType="solid">
        <fgColor rgb="FF800000"/>
        <bgColor auto="1"/>
      </patternFill>
    </fill>
    <fill>
      <patternFill patternType="solid">
        <fgColor indexed="19"/>
        <bgColor auto="1"/>
      </patternFill>
    </fill>
    <fill>
      <patternFill patternType="solid">
        <fgColor rgb="FF70AD47"/>
        <bgColor indexed="64"/>
      </patternFill>
    </fill>
    <fill>
      <patternFill patternType="gray0625">
        <bgColor rgb="FF00B05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auto="1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4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/>
      <top/>
      <bottom style="thick">
        <color rgb="FF155776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</borders>
  <cellStyleXfs count="1217">
    <xf numFmtId="0" fontId="0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1" fillId="23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/>
    <xf numFmtId="165" fontId="45" fillId="92" borderId="0" applyFont="0" applyFill="0" applyBorder="0" applyProtection="0">
      <alignment horizontal="right" indent="2"/>
    </xf>
    <xf numFmtId="14" fontId="45" fillId="0" borderId="0" applyFont="0" applyFill="0" applyBorder="0" applyAlignment="0"/>
    <xf numFmtId="1" fontId="45" fillId="91" borderId="0" applyFont="0" applyFill="0" applyBorder="0" applyAlignment="0"/>
    <xf numFmtId="0" fontId="46" fillId="93" borderId="0" applyNumberFormat="0" applyBorder="0" applyProtection="0">
      <alignment vertical="center" wrapText="1"/>
    </xf>
    <xf numFmtId="0" fontId="45" fillId="92" borderId="66" applyNumberFormat="0" applyProtection="0">
      <alignment horizontal="right"/>
    </xf>
    <xf numFmtId="0" fontId="44" fillId="0" borderId="67" applyNumberFormat="0" applyFill="0" applyProtection="0">
      <alignment vertical="center"/>
    </xf>
    <xf numFmtId="165" fontId="45" fillId="92" borderId="0" applyFont="0" applyFill="0" applyBorder="0" applyAlignment="0" applyProtection="0"/>
    <xf numFmtId="0" fontId="47" fillId="0" borderId="66" applyNumberFormat="0" applyProtection="0">
      <alignment vertical="center"/>
    </xf>
    <xf numFmtId="0" fontId="45" fillId="58" borderId="0" applyNumberFormat="0" applyFont="0" applyAlignment="0">
      <alignment horizontal="center" vertical="center" wrapText="1"/>
    </xf>
    <xf numFmtId="10" fontId="1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68" applyNumberFormat="0" applyFill="0" applyProtection="0">
      <alignment vertical="center"/>
    </xf>
    <xf numFmtId="0" fontId="50" fillId="0" borderId="69" applyNumberFormat="0" applyFill="0" applyProtection="0">
      <alignment vertical="center"/>
    </xf>
    <xf numFmtId="0" fontId="1" fillId="0" borderId="0"/>
    <xf numFmtId="0" fontId="80" fillId="0" borderId="0" applyNumberFormat="0" applyFill="0" applyBorder="0" applyAlignment="0" applyProtection="0"/>
  </cellStyleXfs>
  <cellXfs count="2349">
    <xf numFmtId="0" fontId="0" fillId="0" borderId="0" xfId="0"/>
    <xf numFmtId="0" fontId="7" fillId="10" borderId="0" xfId="0" applyFont="1" applyFill="1" applyProtection="1">
      <protection locked="0"/>
    </xf>
    <xf numFmtId="0" fontId="7" fillId="10" borderId="26" xfId="0" applyFont="1" applyFill="1" applyBorder="1" applyProtection="1">
      <protection locked="0"/>
    </xf>
    <xf numFmtId="0" fontId="7" fillId="10" borderId="7" xfId="0" applyFont="1" applyFill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2" xfId="0" applyFont="1" applyFill="1" applyBorder="1" applyProtection="1">
      <protection locked="0"/>
    </xf>
    <xf numFmtId="0" fontId="2" fillId="10" borderId="0" xfId="0" applyFont="1" applyFill="1" applyAlignment="1">
      <alignment horizontal="center"/>
    </xf>
    <xf numFmtId="0" fontId="2" fillId="0" borderId="0" xfId="0" applyFont="1"/>
    <xf numFmtId="0" fontId="7" fillId="8" borderId="12" xfId="0" applyFont="1" applyFill="1" applyBorder="1" applyProtection="1">
      <protection locked="0"/>
    </xf>
    <xf numFmtId="0" fontId="7" fillId="8" borderId="2" xfId="0" applyFont="1" applyFill="1" applyBorder="1" applyProtection="1">
      <protection locked="0"/>
    </xf>
    <xf numFmtId="0" fontId="2" fillId="8" borderId="2" xfId="0" applyFont="1" applyFill="1" applyBorder="1" applyAlignment="1">
      <alignment horizontal="center"/>
    </xf>
    <xf numFmtId="0" fontId="7" fillId="8" borderId="26" xfId="0" applyFont="1" applyFill="1" applyBorder="1" applyProtection="1">
      <protection locked="0"/>
    </xf>
    <xf numFmtId="0" fontId="7" fillId="8" borderId="33" xfId="0" applyFont="1" applyFill="1" applyBorder="1" applyProtection="1">
      <protection locked="0"/>
    </xf>
    <xf numFmtId="0" fontId="2" fillId="8" borderId="33" xfId="0" applyFont="1" applyFill="1" applyBorder="1" applyAlignment="1">
      <alignment horizontal="center"/>
    </xf>
    <xf numFmtId="7" fontId="2" fillId="10" borderId="0" xfId="0" applyNumberFormat="1" applyFont="1" applyFill="1" applyAlignment="1">
      <alignment horizontal="center"/>
    </xf>
    <xf numFmtId="0" fontId="7" fillId="14" borderId="7" xfId="0" applyFont="1" applyFill="1" applyBorder="1" applyProtection="1">
      <protection locked="0"/>
    </xf>
    <xf numFmtId="0" fontId="7" fillId="14" borderId="0" xfId="0" applyFont="1" applyFill="1" applyProtection="1">
      <protection locked="0"/>
    </xf>
    <xf numFmtId="7" fontId="8" fillId="11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7" fillId="10" borderId="33" xfId="0" applyFont="1" applyFill="1" applyBorder="1" applyProtection="1">
      <protection locked="0"/>
    </xf>
    <xf numFmtId="7" fontId="6" fillId="10" borderId="0" xfId="0" applyNumberFormat="1" applyFont="1" applyFill="1" applyAlignment="1">
      <alignment horizontal="center"/>
    </xf>
    <xf numFmtId="0" fontId="3" fillId="14" borderId="7" xfId="0" applyFont="1" applyFill="1" applyBorder="1" applyProtection="1">
      <protection locked="0"/>
    </xf>
    <xf numFmtId="0" fontId="3" fillId="10" borderId="7" xfId="0" applyFont="1" applyFill="1" applyBorder="1" applyProtection="1">
      <protection locked="0"/>
    </xf>
    <xf numFmtId="0" fontId="3" fillId="10" borderId="0" xfId="0" applyFont="1" applyFill="1" applyProtection="1">
      <protection locked="0"/>
    </xf>
    <xf numFmtId="165" fontId="6" fillId="10" borderId="33" xfId="0" applyNumberFormat="1" applyFont="1" applyFill="1" applyBorder="1" applyAlignment="1">
      <alignment horizontal="center"/>
    </xf>
    <xf numFmtId="7" fontId="0" fillId="0" borderId="0" xfId="0" applyNumberFormat="1"/>
    <xf numFmtId="0" fontId="2" fillId="24" borderId="12" xfId="0" applyFont="1" applyFill="1" applyBorder="1"/>
    <xf numFmtId="7" fontId="0" fillId="24" borderId="2" xfId="0" applyNumberFormat="1" applyFill="1" applyBorder="1"/>
    <xf numFmtId="0" fontId="0" fillId="24" borderId="2" xfId="0" applyFill="1" applyBorder="1"/>
    <xf numFmtId="7" fontId="0" fillId="24" borderId="0" xfId="0" applyNumberFormat="1" applyFill="1"/>
    <xf numFmtId="0" fontId="0" fillId="24" borderId="0" xfId="0" applyFill="1"/>
    <xf numFmtId="0" fontId="2" fillId="27" borderId="12" xfId="0" applyFont="1" applyFill="1" applyBorder="1"/>
    <xf numFmtId="7" fontId="0" fillId="27" borderId="2" xfId="0" applyNumberFormat="1" applyFill="1" applyBorder="1"/>
    <xf numFmtId="0" fontId="2" fillId="27" borderId="7" xfId="0" applyFont="1" applyFill="1" applyBorder="1"/>
    <xf numFmtId="7" fontId="0" fillId="27" borderId="0" xfId="0" applyNumberFormat="1" applyFill="1"/>
    <xf numFmtId="0" fontId="0" fillId="27" borderId="26" xfId="0" applyFill="1" applyBorder="1"/>
    <xf numFmtId="7" fontId="0" fillId="27" borderId="33" xfId="0" applyNumberFormat="1" applyFill="1" applyBorder="1"/>
    <xf numFmtId="7" fontId="0" fillId="28" borderId="2" xfId="0" applyNumberFormat="1" applyFill="1" applyBorder="1"/>
    <xf numFmtId="7" fontId="0" fillId="28" borderId="0" xfId="0" applyNumberFormat="1" applyFill="1"/>
    <xf numFmtId="0" fontId="2" fillId="19" borderId="2" xfId="0" applyFont="1" applyFill="1" applyBorder="1"/>
    <xf numFmtId="0" fontId="2" fillId="19" borderId="0" xfId="0" applyFont="1" applyFill="1"/>
    <xf numFmtId="0" fontId="0" fillId="19" borderId="33" xfId="0" applyFill="1" applyBorder="1"/>
    <xf numFmtId="7" fontId="0" fillId="17" borderId="1" xfId="0" applyNumberFormat="1" applyFill="1" applyBorder="1"/>
    <xf numFmtId="7" fontId="0" fillId="17" borderId="8" xfId="0" applyNumberFormat="1" applyFill="1" applyBorder="1"/>
    <xf numFmtId="0" fontId="0" fillId="17" borderId="33" xfId="0" applyFill="1" applyBorder="1"/>
    <xf numFmtId="7" fontId="0" fillId="17" borderId="27" xfId="0" applyNumberFormat="1" applyFill="1" applyBorder="1"/>
    <xf numFmtId="7" fontId="0" fillId="29" borderId="0" xfId="0" applyNumberFormat="1" applyFill="1"/>
    <xf numFmtId="7" fontId="0" fillId="19" borderId="0" xfId="0" applyNumberFormat="1" applyFill="1"/>
    <xf numFmtId="7" fontId="0" fillId="19" borderId="33" xfId="0" applyNumberFormat="1" applyFill="1" applyBorder="1"/>
    <xf numFmtId="7" fontId="0" fillId="19" borderId="2" xfId="0" applyNumberFormat="1" applyFill="1" applyBorder="1"/>
    <xf numFmtId="0" fontId="2" fillId="17" borderId="2" xfId="0" applyFont="1" applyFill="1" applyBorder="1"/>
    <xf numFmtId="0" fontId="2" fillId="17" borderId="0" xfId="0" applyFont="1" applyFill="1"/>
    <xf numFmtId="0" fontId="0" fillId="28" borderId="12" xfId="0" applyFill="1" applyBorder="1"/>
    <xf numFmtId="0" fontId="2" fillId="28" borderId="7" xfId="0" applyFont="1" applyFill="1" applyBorder="1"/>
    <xf numFmtId="0" fontId="0" fillId="28" borderId="7" xfId="0" applyFill="1" applyBorder="1"/>
    <xf numFmtId="0" fontId="2" fillId="29" borderId="2" xfId="0" applyFont="1" applyFill="1" applyBorder="1"/>
    <xf numFmtId="7" fontId="0" fillId="29" borderId="2" xfId="0" applyNumberFormat="1" applyFill="1" applyBorder="1"/>
    <xf numFmtId="0" fontId="2" fillId="29" borderId="0" xfId="0" applyFont="1" applyFill="1"/>
    <xf numFmtId="0" fontId="2" fillId="29" borderId="33" xfId="0" applyFont="1" applyFill="1" applyBorder="1"/>
    <xf numFmtId="7" fontId="0" fillId="29" borderId="33" xfId="0" applyNumberFormat="1" applyFill="1" applyBorder="1"/>
    <xf numFmtId="7" fontId="2" fillId="29" borderId="0" xfId="0" applyNumberFormat="1" applyFont="1" applyFill="1"/>
    <xf numFmtId="0" fontId="0" fillId="29" borderId="33" xfId="0" applyFill="1" applyBorder="1"/>
    <xf numFmtId="0" fontId="0" fillId="24" borderId="1" xfId="0" applyFill="1" applyBorder="1"/>
    <xf numFmtId="0" fontId="0" fillId="24" borderId="7" xfId="0" applyFill="1" applyBorder="1"/>
    <xf numFmtId="0" fontId="0" fillId="24" borderId="8" xfId="0" applyFill="1" applyBorder="1"/>
    <xf numFmtId="0" fontId="2" fillId="28" borderId="7" xfId="0" applyFont="1" applyFill="1" applyBorder="1" applyAlignment="1">
      <alignment horizontal="right"/>
    </xf>
    <xf numFmtId="0" fontId="2" fillId="28" borderId="7" xfId="0" applyFont="1" applyFill="1" applyBorder="1" applyAlignment="1">
      <alignment horizontal="left"/>
    </xf>
    <xf numFmtId="42" fontId="0" fillId="0" borderId="0" xfId="0" applyNumberFormat="1"/>
    <xf numFmtId="42" fontId="0" fillId="0" borderId="2" xfId="0" applyNumberFormat="1" applyBorder="1"/>
    <xf numFmtId="42" fontId="0" fillId="21" borderId="12" xfId="0" applyNumberFormat="1" applyFill="1" applyBorder="1"/>
    <xf numFmtId="0" fontId="0" fillId="21" borderId="7" xfId="0" applyFill="1" applyBorder="1"/>
    <xf numFmtId="42" fontId="0" fillId="0" borderId="8" xfId="0" applyNumberFormat="1" applyBorder="1"/>
    <xf numFmtId="42" fontId="0" fillId="21" borderId="7" xfId="0" applyNumberFormat="1" applyFill="1" applyBorder="1"/>
    <xf numFmtId="42" fontId="0" fillId="24" borderId="0" xfId="0" applyNumberFormat="1" applyFill="1"/>
    <xf numFmtId="42" fontId="0" fillId="24" borderId="8" xfId="0" applyNumberFormat="1" applyFill="1" applyBorder="1"/>
    <xf numFmtId="42" fontId="0" fillId="27" borderId="0" xfId="0" applyNumberFormat="1" applyFill="1"/>
    <xf numFmtId="42" fontId="0" fillId="27" borderId="8" xfId="0" applyNumberFormat="1" applyFill="1" applyBorder="1"/>
    <xf numFmtId="42" fontId="0" fillId="22" borderId="0" xfId="0" applyNumberFormat="1" applyFill="1"/>
    <xf numFmtId="42" fontId="0" fillId="22" borderId="8" xfId="0" applyNumberFormat="1" applyFill="1" applyBorder="1"/>
    <xf numFmtId="0" fontId="0" fillId="16" borderId="7" xfId="0" applyFill="1" applyBorder="1"/>
    <xf numFmtId="42" fontId="0" fillId="16" borderId="0" xfId="0" applyNumberFormat="1" applyFill="1"/>
    <xf numFmtId="42" fontId="0" fillId="16" borderId="8" xfId="0" applyNumberFormat="1" applyFill="1" applyBorder="1"/>
    <xf numFmtId="42" fontId="0" fillId="16" borderId="7" xfId="0" applyNumberFormat="1" applyFill="1" applyBorder="1"/>
    <xf numFmtId="0" fontId="0" fillId="0" borderId="7" xfId="0" applyBorder="1"/>
    <xf numFmtId="0" fontId="0" fillId="30" borderId="0" xfId="0" applyFill="1"/>
    <xf numFmtId="42" fontId="0" fillId="0" borderId="0" xfId="0" applyNumberFormat="1" applyAlignment="1">
      <alignment horizontal="center"/>
    </xf>
    <xf numFmtId="42" fontId="0" fillId="0" borderId="8" xfId="0" applyNumberFormat="1" applyBorder="1" applyAlignment="1">
      <alignment horizontal="center"/>
    </xf>
    <xf numFmtId="42" fontId="0" fillId="24" borderId="0" xfId="0" applyNumberFormat="1" applyFill="1" applyAlignment="1">
      <alignment horizontal="center"/>
    </xf>
    <xf numFmtId="42" fontId="2" fillId="24" borderId="0" xfId="0" applyNumberFormat="1" applyFont="1" applyFill="1" applyAlignment="1">
      <alignment horizontal="center"/>
    </xf>
    <xf numFmtId="42" fontId="0" fillId="24" borderId="8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42" fontId="0" fillId="27" borderId="0" xfId="0" applyNumberFormat="1" applyFill="1" applyAlignment="1">
      <alignment horizontal="center"/>
    </xf>
    <xf numFmtId="42" fontId="0" fillId="27" borderId="8" xfId="0" applyNumberFormat="1" applyFill="1" applyBorder="1" applyAlignment="1">
      <alignment horizontal="center"/>
    </xf>
    <xf numFmtId="42" fontId="0" fillId="22" borderId="0" xfId="0" applyNumberFormat="1" applyFill="1" applyAlignment="1">
      <alignment horizontal="center"/>
    </xf>
    <xf numFmtId="42" fontId="0" fillId="22" borderId="8" xfId="0" applyNumberFormat="1" applyFill="1" applyBorder="1" applyAlignment="1">
      <alignment horizontal="center"/>
    </xf>
    <xf numFmtId="8" fontId="0" fillId="27" borderId="0" xfId="0" applyNumberFormat="1" applyFill="1" applyAlignment="1">
      <alignment horizontal="center"/>
    </xf>
    <xf numFmtId="8" fontId="0" fillId="27" borderId="8" xfId="0" applyNumberFormat="1" applyFill="1" applyBorder="1" applyAlignment="1">
      <alignment horizontal="center"/>
    </xf>
    <xf numFmtId="42" fontId="2" fillId="21" borderId="7" xfId="0" applyNumberFormat="1" applyFont="1" applyFill="1" applyBorder="1"/>
    <xf numFmtId="37" fontId="11" fillId="0" borderId="0" xfId="1" applyNumberFormat="1" applyFont="1" applyAlignment="1">
      <alignment horizontal="center"/>
    </xf>
    <xf numFmtId="42" fontId="11" fillId="0" borderId="0" xfId="1" applyNumberFormat="1" applyFont="1"/>
    <xf numFmtId="42" fontId="11" fillId="0" borderId="0" xfId="1" applyNumberFormat="1" applyFont="1" applyAlignment="1">
      <alignment horizontal="center"/>
    </xf>
    <xf numFmtId="42" fontId="11" fillId="15" borderId="0" xfId="1" applyNumberFormat="1" applyFont="1" applyFill="1"/>
    <xf numFmtId="37" fontId="11" fillId="21" borderId="0" xfId="1" applyNumberFormat="1" applyFont="1" applyFill="1" applyAlignment="1">
      <alignment horizontal="center"/>
    </xf>
    <xf numFmtId="42" fontId="11" fillId="21" borderId="0" xfId="1" applyNumberFormat="1" applyFont="1" applyFill="1"/>
    <xf numFmtId="42" fontId="11" fillId="21" borderId="0" xfId="1" applyNumberFormat="1" applyFont="1" applyFill="1" applyAlignment="1">
      <alignment horizontal="center"/>
    </xf>
    <xf numFmtId="42" fontId="11" fillId="24" borderId="0" xfId="1" applyNumberFormat="1" applyFont="1" applyFill="1"/>
    <xf numFmtId="42" fontId="11" fillId="31" borderId="0" xfId="1" applyNumberFormat="1" applyFont="1" applyFill="1"/>
    <xf numFmtId="42" fontId="11" fillId="32" borderId="0" xfId="1" applyNumberFormat="1" applyFont="1" applyFill="1"/>
    <xf numFmtId="37" fontId="11" fillId="16" borderId="0" xfId="1" applyNumberFormat="1" applyFont="1" applyFill="1" applyAlignment="1">
      <alignment horizontal="center"/>
    </xf>
    <xf numFmtId="42" fontId="11" fillId="16" borderId="0" xfId="1" applyNumberFormat="1" applyFont="1" applyFill="1"/>
    <xf numFmtId="42" fontId="11" fillId="16" borderId="0" xfId="1" applyNumberFormat="1" applyFont="1" applyFill="1" applyAlignment="1">
      <alignment horizontal="center"/>
    </xf>
    <xf numFmtId="42" fontId="11" fillId="15" borderId="0" xfId="1" applyNumberFormat="1" applyFont="1" applyFill="1" applyAlignment="1">
      <alignment horizontal="center"/>
    </xf>
    <xf numFmtId="1" fontId="11" fillId="0" borderId="0" xfId="1" applyNumberFormat="1" applyFont="1" applyAlignment="1">
      <alignment horizontal="center"/>
    </xf>
    <xf numFmtId="1" fontId="11" fillId="0" borderId="0" xfId="1" applyNumberFormat="1" applyFont="1"/>
    <xf numFmtId="37" fontId="11" fillId="33" borderId="0" xfId="1" applyNumberFormat="1" applyFont="1" applyFill="1" applyAlignment="1">
      <alignment horizontal="center"/>
    </xf>
    <xf numFmtId="42" fontId="11" fillId="33" borderId="0" xfId="1" applyNumberFormat="1" applyFont="1" applyFill="1"/>
    <xf numFmtId="42" fontId="11" fillId="33" borderId="0" xfId="1" applyNumberFormat="1" applyFont="1" applyFill="1" applyAlignment="1">
      <alignment horizontal="center"/>
    </xf>
    <xf numFmtId="9" fontId="11" fillId="33" borderId="0" xfId="1" applyNumberFormat="1" applyFont="1" applyFill="1"/>
    <xf numFmtId="1" fontId="11" fillId="21" borderId="0" xfId="1" applyNumberFormat="1" applyFont="1" applyFill="1"/>
    <xf numFmtId="1" fontId="11" fillId="21" borderId="0" xfId="1" applyNumberFormat="1" applyFont="1" applyFill="1" applyAlignment="1">
      <alignment horizontal="center"/>
    </xf>
    <xf numFmtId="9" fontId="11" fillId="16" borderId="0" xfId="1" applyNumberFormat="1" applyFont="1" applyFill="1"/>
    <xf numFmtId="8" fontId="11" fillId="16" borderId="0" xfId="1" applyNumberFormat="1" applyFont="1" applyFill="1"/>
    <xf numFmtId="9" fontId="11" fillId="21" borderId="0" xfId="1" applyNumberFormat="1" applyFont="1" applyFill="1"/>
    <xf numFmtId="8" fontId="11" fillId="21" borderId="0" xfId="1" applyNumberFormat="1" applyFont="1" applyFill="1"/>
    <xf numFmtId="9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13" fontId="11" fillId="0" borderId="0" xfId="1" applyNumberFormat="1" applyFont="1" applyAlignment="1">
      <alignment horizontal="center"/>
    </xf>
    <xf numFmtId="0" fontId="13" fillId="15" borderId="0" xfId="0" applyFont="1" applyFill="1" applyAlignment="1">
      <alignment horizontal="center"/>
    </xf>
    <xf numFmtId="0" fontId="13" fillId="15" borderId="0" xfId="0" applyFont="1" applyFill="1"/>
    <xf numFmtId="0" fontId="13" fillId="4" borderId="0" xfId="0" applyFont="1" applyFill="1"/>
    <xf numFmtId="0" fontId="13" fillId="4" borderId="0" xfId="0" applyFont="1" applyFill="1" applyAlignment="1">
      <alignment horizontal="center"/>
    </xf>
    <xf numFmtId="37" fontId="11" fillId="20" borderId="0" xfId="1" applyNumberFormat="1" applyFont="1" applyFill="1" applyAlignment="1">
      <alignment horizontal="center"/>
    </xf>
    <xf numFmtId="42" fontId="11" fillId="20" borderId="0" xfId="1" applyNumberFormat="1" applyFont="1" applyFill="1"/>
    <xf numFmtId="42" fontId="11" fillId="20" borderId="0" xfId="1" applyNumberFormat="1" applyFont="1" applyFill="1" applyAlignment="1">
      <alignment horizontal="center"/>
    </xf>
    <xf numFmtId="42" fontId="11" fillId="0" borderId="0" xfId="1" applyNumberFormat="1" applyFont="1" applyAlignment="1">
      <alignment horizontal="right"/>
    </xf>
    <xf numFmtId="42" fontId="11" fillId="28" borderId="0" xfId="1" applyNumberFormat="1" applyFont="1" applyFill="1"/>
    <xf numFmtId="37" fontId="11" fillId="35" borderId="0" xfId="1" applyNumberFormat="1" applyFont="1" applyFill="1" applyAlignment="1">
      <alignment horizontal="center"/>
    </xf>
    <xf numFmtId="42" fontId="11" fillId="35" borderId="0" xfId="1" applyNumberFormat="1" applyFont="1" applyFill="1"/>
    <xf numFmtId="42" fontId="11" fillId="35" borderId="0" xfId="1" applyNumberFormat="1" applyFont="1" applyFill="1" applyAlignment="1">
      <alignment horizontal="center"/>
    </xf>
    <xf numFmtId="0" fontId="16" fillId="15" borderId="0" xfId="0" applyFont="1" applyFill="1" applyAlignment="1" applyProtection="1">
      <alignment horizontal="center"/>
      <protection locked="0"/>
    </xf>
    <xf numFmtId="0" fontId="10" fillId="15" borderId="0" xfId="0" applyFont="1" applyFill="1" applyAlignment="1" applyProtection="1">
      <alignment horizontal="center"/>
      <protection locked="0"/>
    </xf>
    <xf numFmtId="0" fontId="18" fillId="15" borderId="0" xfId="0" applyFont="1" applyFill="1" applyAlignment="1" applyProtection="1">
      <alignment horizontal="center"/>
      <protection locked="0"/>
    </xf>
    <xf numFmtId="0" fontId="10" fillId="15" borderId="0" xfId="0" applyFont="1" applyFill="1" applyProtection="1">
      <protection locked="0"/>
    </xf>
    <xf numFmtId="0" fontId="10" fillId="4" borderId="0" xfId="0" applyFont="1" applyFill="1" applyProtection="1">
      <protection locked="0"/>
    </xf>
    <xf numFmtId="0" fontId="16" fillId="4" borderId="0" xfId="0" applyFont="1" applyFill="1" applyAlignment="1" applyProtection="1">
      <alignment horizontal="center"/>
      <protection locked="0"/>
    </xf>
    <xf numFmtId="166" fontId="16" fillId="4" borderId="0" xfId="0" applyNumberFormat="1" applyFont="1" applyFill="1" applyAlignment="1" applyProtection="1">
      <alignment horizontal="center"/>
      <protection locked="0"/>
    </xf>
    <xf numFmtId="0" fontId="10" fillId="25" borderId="0" xfId="0" applyFont="1" applyFill="1" applyProtection="1">
      <protection locked="0"/>
    </xf>
    <xf numFmtId="0" fontId="10" fillId="34" borderId="0" xfId="0" applyFont="1" applyFill="1" applyProtection="1">
      <protection locked="0"/>
    </xf>
    <xf numFmtId="0" fontId="15" fillId="4" borderId="0" xfId="0" applyFont="1" applyFill="1" applyAlignment="1" applyProtection="1">
      <alignment horizontal="center"/>
      <protection locked="0"/>
    </xf>
    <xf numFmtId="44" fontId="11" fillId="0" borderId="0" xfId="1" applyFont="1"/>
    <xf numFmtId="7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9" borderId="37" xfId="0" applyFont="1" applyFill="1" applyBorder="1" applyAlignment="1">
      <alignment horizontal="center" vertical="center"/>
    </xf>
    <xf numFmtId="0" fontId="19" fillId="36" borderId="23" xfId="0" applyFont="1" applyFill="1" applyBorder="1" applyProtection="1">
      <protection locked="0"/>
    </xf>
    <xf numFmtId="42" fontId="11" fillId="52" borderId="0" xfId="1" applyNumberFormat="1" applyFont="1" applyFill="1" applyAlignment="1">
      <alignment horizontal="right"/>
    </xf>
    <xf numFmtId="42" fontId="11" fillId="52" borderId="0" xfId="1" applyNumberFormat="1" applyFont="1" applyFill="1"/>
    <xf numFmtId="42" fontId="11" fillId="0" borderId="23" xfId="1" applyNumberFormat="1" applyFont="1" applyBorder="1"/>
    <xf numFmtId="42" fontId="11" fillId="0" borderId="23" xfId="1" applyNumberFormat="1" applyFont="1" applyBorder="1" applyAlignment="1">
      <alignment horizontal="center"/>
    </xf>
    <xf numFmtId="42" fontId="21" fillId="53" borderId="23" xfId="1" applyNumberFormat="1" applyFont="1" applyFill="1" applyBorder="1"/>
    <xf numFmtId="42" fontId="21" fillId="53" borderId="23" xfId="1" applyNumberFormat="1" applyFont="1" applyFill="1" applyBorder="1" applyAlignment="1">
      <alignment horizontal="center"/>
    </xf>
    <xf numFmtId="42" fontId="21" fillId="54" borderId="23" xfId="1" applyNumberFormat="1" applyFont="1" applyFill="1" applyBorder="1"/>
    <xf numFmtId="42" fontId="21" fillId="54" borderId="23" xfId="1" applyNumberFormat="1" applyFont="1" applyFill="1" applyBorder="1" applyAlignment="1">
      <alignment horizontal="center"/>
    </xf>
    <xf numFmtId="164" fontId="21" fillId="54" borderId="23" xfId="1" applyNumberFormat="1" applyFont="1" applyFill="1" applyBorder="1" applyAlignment="1">
      <alignment horizontal="center"/>
    </xf>
    <xf numFmtId="0" fontId="23" fillId="0" borderId="23" xfId="0" applyFont="1" applyBorder="1"/>
    <xf numFmtId="0" fontId="23" fillId="0" borderId="2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48" borderId="23" xfId="0" applyFont="1" applyFill="1" applyBorder="1"/>
    <xf numFmtId="0" fontId="22" fillId="48" borderId="23" xfId="0" applyFont="1" applyFill="1" applyBorder="1" applyAlignment="1">
      <alignment horizontal="center"/>
    </xf>
    <xf numFmtId="176" fontId="23" fillId="0" borderId="23" xfId="0" applyNumberFormat="1" applyFont="1" applyBorder="1" applyAlignment="1">
      <alignment horizontal="left"/>
    </xf>
    <xf numFmtId="0" fontId="22" fillId="39" borderId="23" xfId="0" applyFont="1" applyFill="1" applyBorder="1"/>
    <xf numFmtId="0" fontId="22" fillId="39" borderId="23" xfId="0" applyFont="1" applyFill="1" applyBorder="1" applyAlignment="1">
      <alignment horizontal="center"/>
    </xf>
    <xf numFmtId="176" fontId="22" fillId="39" borderId="23" xfId="0" applyNumberFormat="1" applyFont="1" applyFill="1" applyBorder="1" applyAlignment="1">
      <alignment horizontal="left"/>
    </xf>
    <xf numFmtId="0" fontId="23" fillId="0" borderId="0" xfId="0" applyFont="1"/>
    <xf numFmtId="176" fontId="23" fillId="0" borderId="23" xfId="0" applyNumberFormat="1" applyFont="1" applyBorder="1" applyAlignment="1">
      <alignment horizontal="center"/>
    </xf>
    <xf numFmtId="2" fontId="23" fillId="0" borderId="23" xfId="0" applyNumberFormat="1" applyFont="1" applyBorder="1" applyAlignment="1">
      <alignment horizontal="center"/>
    </xf>
    <xf numFmtId="2" fontId="22" fillId="39" borderId="23" xfId="0" applyNumberFormat="1" applyFont="1" applyFill="1" applyBorder="1" applyAlignment="1">
      <alignment horizontal="center"/>
    </xf>
    <xf numFmtId="0" fontId="22" fillId="43" borderId="23" xfId="0" applyFont="1" applyFill="1" applyBorder="1"/>
    <xf numFmtId="0" fontId="22" fillId="43" borderId="23" xfId="0" applyFont="1" applyFill="1" applyBorder="1" applyAlignment="1">
      <alignment horizontal="center"/>
    </xf>
    <xf numFmtId="176" fontId="22" fillId="43" borderId="23" xfId="0" applyNumberFormat="1" applyFont="1" applyFill="1" applyBorder="1" applyAlignment="1">
      <alignment horizontal="left"/>
    </xf>
    <xf numFmtId="2" fontId="22" fillId="43" borderId="23" xfId="0" applyNumberFormat="1" applyFont="1" applyFill="1" applyBorder="1" applyAlignment="1">
      <alignment horizontal="center"/>
    </xf>
    <xf numFmtId="176" fontId="22" fillId="32" borderId="23" xfId="0" applyNumberFormat="1" applyFont="1" applyFill="1" applyBorder="1" applyAlignment="1">
      <alignment horizontal="left"/>
    </xf>
    <xf numFmtId="0" fontId="23" fillId="41" borderId="23" xfId="0" applyFont="1" applyFill="1" applyBorder="1"/>
    <xf numFmtId="0" fontId="23" fillId="41" borderId="23" xfId="0" applyFont="1" applyFill="1" applyBorder="1" applyAlignment="1">
      <alignment horizontal="center"/>
    </xf>
    <xf numFmtId="176" fontId="23" fillId="41" borderId="23" xfId="0" applyNumberFormat="1" applyFont="1" applyFill="1" applyBorder="1" applyAlignment="1">
      <alignment horizontal="center"/>
    </xf>
    <xf numFmtId="0" fontId="24" fillId="4" borderId="0" xfId="0" applyFont="1" applyFill="1"/>
    <xf numFmtId="8" fontId="20" fillId="56" borderId="23" xfId="0" applyNumberFormat="1" applyFont="1" applyFill="1" applyBorder="1" applyAlignment="1">
      <alignment horizontal="center"/>
    </xf>
    <xf numFmtId="0" fontId="21" fillId="50" borderId="7" xfId="0" applyFont="1" applyFill="1" applyBorder="1" applyAlignment="1" applyProtection="1">
      <alignment horizontal="left" vertical="center"/>
      <protection locked="0"/>
    </xf>
    <xf numFmtId="0" fontId="21" fillId="36" borderId="0" xfId="0" applyFont="1" applyFill="1" applyAlignment="1" applyProtection="1">
      <alignment horizontal="left" vertical="center"/>
      <protection locked="0"/>
    </xf>
    <xf numFmtId="0" fontId="21" fillId="36" borderId="0" xfId="0" applyFont="1" applyFill="1" applyAlignment="1" applyProtection="1">
      <alignment horizontal="right" vertical="center"/>
      <protection locked="0"/>
    </xf>
    <xf numFmtId="0" fontId="20" fillId="48" borderId="7" xfId="0" applyFont="1" applyFill="1" applyBorder="1" applyAlignment="1">
      <alignment horizontal="center"/>
    </xf>
    <xf numFmtId="0" fontId="20" fillId="48" borderId="0" xfId="0" applyFont="1" applyFill="1" applyAlignment="1">
      <alignment horizontal="center"/>
    </xf>
    <xf numFmtId="2" fontId="20" fillId="48" borderId="0" xfId="0" applyNumberFormat="1" applyFont="1" applyFill="1" applyAlignment="1">
      <alignment horizontal="center"/>
    </xf>
    <xf numFmtId="0" fontId="20" fillId="48" borderId="8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13" fillId="8" borderId="0" xfId="0" applyNumberFormat="1" applyFont="1" applyFill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3" fillId="15" borderId="23" xfId="0" applyFont="1" applyFill="1" applyBorder="1" applyAlignment="1">
      <alignment horizontal="center"/>
    </xf>
    <xf numFmtId="2" fontId="13" fillId="15" borderId="23" xfId="0" applyNumberFormat="1" applyFont="1" applyFill="1" applyBorder="1" applyAlignment="1">
      <alignment horizontal="center"/>
    </xf>
    <xf numFmtId="2" fontId="14" fillId="15" borderId="23" xfId="0" applyNumberFormat="1" applyFont="1" applyFill="1" applyBorder="1" applyAlignment="1">
      <alignment horizontal="center"/>
    </xf>
    <xf numFmtId="0" fontId="13" fillId="15" borderId="23" xfId="0" applyFont="1" applyFill="1" applyBorder="1"/>
    <xf numFmtId="1" fontId="13" fillId="15" borderId="23" xfId="0" applyNumberFormat="1" applyFont="1" applyFill="1" applyBorder="1" applyAlignment="1">
      <alignment horizontal="center"/>
    </xf>
    <xf numFmtId="0" fontId="13" fillId="7" borderId="0" xfId="0" applyFont="1" applyFill="1"/>
    <xf numFmtId="0" fontId="20" fillId="48" borderId="7" xfId="0" applyFont="1" applyFill="1" applyBorder="1"/>
    <xf numFmtId="0" fontId="20" fillId="48" borderId="36" xfId="0" applyFont="1" applyFill="1" applyBorder="1" applyAlignment="1">
      <alignment horizontal="center"/>
    </xf>
    <xf numFmtId="0" fontId="13" fillId="4" borderId="33" xfId="0" applyFont="1" applyFill="1" applyBorder="1"/>
    <xf numFmtId="0" fontId="14" fillId="15" borderId="23" xfId="0" applyFont="1" applyFill="1" applyBorder="1" applyAlignment="1">
      <alignment horizontal="center"/>
    </xf>
    <xf numFmtId="2" fontId="17" fillId="15" borderId="23" xfId="0" applyNumberFormat="1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14" fontId="20" fillId="48" borderId="7" xfId="0" applyNumberFormat="1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14" fontId="14" fillId="13" borderId="7" xfId="0" applyNumberFormat="1" applyFont="1" applyFill="1" applyBorder="1" applyAlignment="1">
      <alignment horizontal="center"/>
    </xf>
    <xf numFmtId="14" fontId="14" fillId="15" borderId="23" xfId="0" applyNumberFormat="1" applyFont="1" applyFill="1" applyBorder="1" applyAlignment="1">
      <alignment horizontal="center"/>
    </xf>
    <xf numFmtId="14" fontId="14" fillId="13" borderId="0" xfId="0" applyNumberFormat="1" applyFont="1" applyFill="1" applyAlignment="1">
      <alignment horizontal="center"/>
    </xf>
    <xf numFmtId="8" fontId="13" fillId="15" borderId="23" xfId="0" applyNumberFormat="1" applyFont="1" applyFill="1" applyBorder="1" applyAlignment="1">
      <alignment horizontal="center"/>
    </xf>
    <xf numFmtId="38" fontId="13" fillId="15" borderId="23" xfId="0" applyNumberFormat="1" applyFont="1" applyFill="1" applyBorder="1" applyAlignment="1">
      <alignment horizontal="center"/>
    </xf>
    <xf numFmtId="0" fontId="13" fillId="56" borderId="23" xfId="0" applyFont="1" applyFill="1" applyBorder="1" applyAlignment="1">
      <alignment horizontal="center"/>
    </xf>
    <xf numFmtId="0" fontId="20" fillId="56" borderId="23" xfId="0" applyFont="1" applyFill="1" applyBorder="1" applyAlignment="1">
      <alignment horizontal="center"/>
    </xf>
    <xf numFmtId="0" fontId="20" fillId="48" borderId="23" xfId="0" applyFont="1" applyFill="1" applyBorder="1" applyAlignment="1">
      <alignment horizontal="center"/>
    </xf>
    <xf numFmtId="0" fontId="13" fillId="15" borderId="23" xfId="0" applyFont="1" applyFill="1" applyBorder="1" applyAlignment="1">
      <alignment horizontal="right"/>
    </xf>
    <xf numFmtId="0" fontId="25" fillId="4" borderId="0" xfId="0" applyFont="1" applyFill="1" applyProtection="1">
      <protection locked="0"/>
    </xf>
    <xf numFmtId="42" fontId="21" fillId="39" borderId="23" xfId="1" applyNumberFormat="1" applyFont="1" applyFill="1" applyBorder="1"/>
    <xf numFmtId="42" fontId="21" fillId="39" borderId="23" xfId="1" applyNumberFormat="1" applyFont="1" applyFill="1" applyBorder="1" applyAlignment="1">
      <alignment horizontal="center"/>
    </xf>
    <xf numFmtId="164" fontId="21" fillId="39" borderId="23" xfId="1" applyNumberFormat="1" applyFont="1" applyFill="1" applyBorder="1" applyAlignment="1">
      <alignment horizontal="center"/>
    </xf>
    <xf numFmtId="164" fontId="21" fillId="53" borderId="23" xfId="1" applyNumberFormat="1" applyFont="1" applyFill="1" applyBorder="1" applyAlignment="1">
      <alignment horizontal="center"/>
    </xf>
    <xf numFmtId="42" fontId="21" fillId="50" borderId="23" xfId="1" applyNumberFormat="1" applyFont="1" applyFill="1" applyBorder="1"/>
    <xf numFmtId="42" fontId="21" fillId="50" borderId="23" xfId="1" applyNumberFormat="1" applyFont="1" applyFill="1" applyBorder="1" applyAlignment="1">
      <alignment horizontal="center"/>
    </xf>
    <xf numFmtId="164" fontId="21" fillId="50" borderId="23" xfId="1" applyNumberFormat="1" applyFont="1" applyFill="1" applyBorder="1" applyAlignment="1">
      <alignment horizontal="center"/>
    </xf>
    <xf numFmtId="42" fontId="21" fillId="44" borderId="23" xfId="1" applyNumberFormat="1" applyFont="1" applyFill="1" applyBorder="1"/>
    <xf numFmtId="42" fontId="21" fillId="44" borderId="23" xfId="1" applyNumberFormat="1" applyFont="1" applyFill="1" applyBorder="1" applyAlignment="1">
      <alignment horizontal="center"/>
    </xf>
    <xf numFmtId="0" fontId="23" fillId="38" borderId="23" xfId="0" applyFont="1" applyFill="1" applyBorder="1"/>
    <xf numFmtId="0" fontId="23" fillId="38" borderId="23" xfId="0" applyFont="1" applyFill="1" applyBorder="1" applyAlignment="1">
      <alignment horizontal="center"/>
    </xf>
    <xf numFmtId="178" fontId="23" fillId="38" borderId="23" xfId="0" applyNumberFormat="1" applyFont="1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9" fontId="13" fillId="0" borderId="0" xfId="3" applyFont="1" applyAlignment="1">
      <alignment horizontal="center"/>
    </xf>
    <xf numFmtId="178" fontId="23" fillId="0" borderId="0" xfId="0" applyNumberFormat="1" applyFont="1" applyAlignment="1">
      <alignment horizontal="center"/>
    </xf>
    <xf numFmtId="0" fontId="22" fillId="48" borderId="55" xfId="0" applyFont="1" applyFill="1" applyBorder="1" applyAlignment="1">
      <alignment horizontal="center"/>
    </xf>
    <xf numFmtId="176" fontId="23" fillId="0" borderId="55" xfId="0" applyNumberFormat="1" applyFont="1" applyBorder="1" applyAlignment="1">
      <alignment horizontal="left"/>
    </xf>
    <xf numFmtId="176" fontId="22" fillId="43" borderId="55" xfId="0" applyNumberFormat="1" applyFont="1" applyFill="1" applyBorder="1" applyAlignment="1">
      <alignment horizontal="left"/>
    </xf>
    <xf numFmtId="176" fontId="22" fillId="39" borderId="55" xfId="0" applyNumberFormat="1" applyFont="1" applyFill="1" applyBorder="1" applyAlignment="1">
      <alignment horizontal="left"/>
    </xf>
    <xf numFmtId="0" fontId="23" fillId="41" borderId="55" xfId="0" applyFont="1" applyFill="1" applyBorder="1" applyAlignment="1">
      <alignment horizontal="center"/>
    </xf>
    <xf numFmtId="178" fontId="23" fillId="38" borderId="55" xfId="0" applyNumberFormat="1" applyFont="1" applyFill="1" applyBorder="1" applyAlignment="1">
      <alignment horizontal="center"/>
    </xf>
    <xf numFmtId="0" fontId="22" fillId="48" borderId="22" xfId="0" applyFont="1" applyFill="1" applyBorder="1" applyAlignment="1">
      <alignment horizontal="center"/>
    </xf>
    <xf numFmtId="176" fontId="23" fillId="0" borderId="22" xfId="0" applyNumberFormat="1" applyFont="1" applyBorder="1" applyAlignment="1">
      <alignment horizontal="left"/>
    </xf>
    <xf numFmtId="176" fontId="22" fillId="43" borderId="22" xfId="0" applyNumberFormat="1" applyFont="1" applyFill="1" applyBorder="1" applyAlignment="1">
      <alignment horizontal="left"/>
    </xf>
    <xf numFmtId="176" fontId="22" fillId="39" borderId="22" xfId="0" applyNumberFormat="1" applyFont="1" applyFill="1" applyBorder="1" applyAlignment="1">
      <alignment horizontal="left"/>
    </xf>
    <xf numFmtId="176" fontId="0" fillId="41" borderId="22" xfId="0" applyNumberFormat="1" applyFill="1" applyBorder="1"/>
    <xf numFmtId="178" fontId="23" fillId="38" borderId="22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76" fontId="23" fillId="0" borderId="0" xfId="0" applyNumberFormat="1" applyFont="1" applyAlignment="1">
      <alignment horizontal="left"/>
    </xf>
    <xf numFmtId="176" fontId="22" fillId="0" borderId="0" xfId="0" applyNumberFormat="1" applyFont="1" applyAlignment="1">
      <alignment horizontal="left"/>
    </xf>
    <xf numFmtId="9" fontId="23" fillId="0" borderId="0" xfId="3" applyFont="1" applyAlignment="1">
      <alignment horizontal="center"/>
    </xf>
    <xf numFmtId="1" fontId="13" fillId="15" borderId="0" xfId="0" applyNumberFormat="1" applyFont="1" applyFill="1" applyAlignment="1">
      <alignment horizontal="center"/>
    </xf>
    <xf numFmtId="8" fontId="13" fillId="15" borderId="0" xfId="0" applyNumberFormat="1" applyFont="1" applyFill="1" applyAlignment="1">
      <alignment horizontal="center"/>
    </xf>
    <xf numFmtId="38" fontId="13" fillId="15" borderId="0" xfId="0" applyNumberFormat="1" applyFont="1" applyFill="1" applyAlignment="1">
      <alignment horizontal="center"/>
    </xf>
    <xf numFmtId="0" fontId="13" fillId="56" borderId="0" xfId="0" applyFont="1" applyFill="1" applyAlignment="1">
      <alignment horizontal="center"/>
    </xf>
    <xf numFmtId="8" fontId="20" fillId="56" borderId="0" xfId="0" applyNumberFormat="1" applyFont="1" applyFill="1" applyAlignment="1">
      <alignment horizontal="center"/>
    </xf>
    <xf numFmtId="0" fontId="23" fillId="38" borderId="0" xfId="0" applyFont="1" applyFill="1"/>
    <xf numFmtId="0" fontId="23" fillId="38" borderId="0" xfId="0" applyFont="1" applyFill="1" applyAlignment="1">
      <alignment horizontal="center"/>
    </xf>
    <xf numFmtId="178" fontId="23" fillId="38" borderId="0" xfId="0" applyNumberFormat="1" applyFont="1" applyFill="1" applyAlignment="1">
      <alignment horizontal="center"/>
    </xf>
    <xf numFmtId="44" fontId="23" fillId="0" borderId="0" xfId="1" applyFont="1" applyAlignment="1">
      <alignment horizontal="center"/>
    </xf>
    <xf numFmtId="0" fontId="16" fillId="75" borderId="0" xfId="0" applyFont="1" applyFill="1" applyAlignment="1" applyProtection="1">
      <alignment horizontal="center"/>
      <protection locked="0"/>
    </xf>
    <xf numFmtId="0" fontId="21" fillId="70" borderId="33" xfId="0" applyFont="1" applyFill="1" applyBorder="1" applyAlignment="1" applyProtection="1">
      <alignment horizontal="left" vertical="center"/>
      <protection locked="0"/>
    </xf>
    <xf numFmtId="0" fontId="21" fillId="70" borderId="12" xfId="0" applyFont="1" applyFill="1" applyBorder="1" applyAlignment="1" applyProtection="1">
      <alignment horizontal="left" vertical="center"/>
      <protection locked="0"/>
    </xf>
    <xf numFmtId="0" fontId="21" fillId="70" borderId="2" xfId="0" applyFont="1" applyFill="1" applyBorder="1" applyAlignment="1" applyProtection="1">
      <alignment horizontal="left" vertical="center"/>
      <protection locked="0"/>
    </xf>
    <xf numFmtId="0" fontId="21" fillId="70" borderId="23" xfId="0" applyFont="1" applyFill="1" applyBorder="1" applyAlignment="1">
      <alignment horizontal="center" vertical="center"/>
    </xf>
    <xf numFmtId="7" fontId="21" fillId="70" borderId="23" xfId="0" applyNumberFormat="1" applyFont="1" applyFill="1" applyBorder="1" applyAlignment="1">
      <alignment horizontal="center" vertical="center"/>
    </xf>
    <xf numFmtId="0" fontId="21" fillId="70" borderId="26" xfId="0" applyFont="1" applyFill="1" applyBorder="1" applyAlignment="1" applyProtection="1">
      <alignment horizontal="left" vertical="center"/>
      <protection locked="0"/>
    </xf>
    <xf numFmtId="0" fontId="19" fillId="49" borderId="7" xfId="0" applyFont="1" applyFill="1" applyBorder="1" applyAlignment="1" applyProtection="1">
      <alignment horizontal="center"/>
      <protection locked="0"/>
    </xf>
    <xf numFmtId="7" fontId="26" fillId="53" borderId="23" xfId="0" applyNumberFormat="1" applyFont="1" applyFill="1" applyBorder="1" applyAlignment="1">
      <alignment horizontal="center" vertical="center"/>
    </xf>
    <xf numFmtId="9" fontId="11" fillId="0" borderId="23" xfId="3" applyFont="1" applyBorder="1" applyAlignment="1">
      <alignment horizontal="center" vertical="center"/>
    </xf>
    <xf numFmtId="9" fontId="20" fillId="70" borderId="23" xfId="3" applyFont="1" applyFill="1" applyBorder="1" applyAlignment="1" applyProtection="1">
      <alignment horizontal="center" vertical="center"/>
      <protection locked="0"/>
    </xf>
    <xf numFmtId="9" fontId="20" fillId="48" borderId="23" xfId="3" applyFont="1" applyFill="1" applyBorder="1" applyAlignment="1">
      <alignment horizontal="center" vertical="center"/>
    </xf>
    <xf numFmtId="7" fontId="33" fillId="53" borderId="23" xfId="0" applyNumberFormat="1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left" vertical="center"/>
    </xf>
    <xf numFmtId="7" fontId="31" fillId="4" borderId="0" xfId="0" applyNumberFormat="1" applyFont="1" applyFill="1" applyAlignment="1">
      <alignment horizontal="center" vertical="center"/>
    </xf>
    <xf numFmtId="0" fontId="30" fillId="70" borderId="12" xfId="0" applyFont="1" applyFill="1" applyBorder="1" applyAlignment="1" applyProtection="1">
      <alignment horizontal="left" vertical="center"/>
      <protection locked="0"/>
    </xf>
    <xf numFmtId="0" fontId="30" fillId="70" borderId="2" xfId="0" applyFont="1" applyFill="1" applyBorder="1" applyAlignment="1" applyProtection="1">
      <alignment horizontal="left" vertical="center"/>
      <protection locked="0"/>
    </xf>
    <xf numFmtId="0" fontId="30" fillId="70" borderId="23" xfId="0" applyFont="1" applyFill="1" applyBorder="1" applyAlignment="1">
      <alignment horizontal="center" vertical="center"/>
    </xf>
    <xf numFmtId="0" fontId="30" fillId="70" borderId="26" xfId="0" applyFont="1" applyFill="1" applyBorder="1" applyAlignment="1" applyProtection="1">
      <alignment horizontal="left" vertical="center"/>
      <protection locked="0"/>
    </xf>
    <xf numFmtId="0" fontId="30" fillId="70" borderId="33" xfId="0" applyFont="1" applyFill="1" applyBorder="1" applyAlignment="1" applyProtection="1">
      <alignment horizontal="left" vertical="center"/>
      <protection locked="0"/>
    </xf>
    <xf numFmtId="7" fontId="30" fillId="70" borderId="23" xfId="0" applyNumberFormat="1" applyFont="1" applyFill="1" applyBorder="1" applyAlignment="1">
      <alignment horizontal="center" vertical="center"/>
    </xf>
    <xf numFmtId="0" fontId="36" fillId="36" borderId="23" xfId="0" applyFont="1" applyFill="1" applyBorder="1" applyProtection="1">
      <protection locked="0"/>
    </xf>
    <xf numFmtId="0" fontId="36" fillId="49" borderId="7" xfId="0" applyFont="1" applyFill="1" applyBorder="1" applyAlignment="1" applyProtection="1">
      <alignment horizontal="center"/>
      <protection locked="0"/>
    </xf>
    <xf numFmtId="166" fontId="36" fillId="70" borderId="23" xfId="0" applyNumberFormat="1" applyFont="1" applyFill="1" applyBorder="1" applyAlignment="1" applyProtection="1">
      <alignment horizontal="center"/>
      <protection locked="0"/>
    </xf>
    <xf numFmtId="0" fontId="36" fillId="50" borderId="7" xfId="0" applyFont="1" applyFill="1" applyBorder="1" applyAlignment="1" applyProtection="1">
      <alignment horizontal="left" vertical="center"/>
      <protection locked="0"/>
    </xf>
    <xf numFmtId="0" fontId="36" fillId="36" borderId="0" xfId="0" applyFont="1" applyFill="1" applyAlignment="1" applyProtection="1">
      <alignment horizontal="left" vertical="center"/>
      <protection locked="0"/>
    </xf>
    <xf numFmtId="44" fontId="37" fillId="0" borderId="23" xfId="1" applyFont="1" applyBorder="1" applyAlignment="1">
      <alignment horizontal="center" vertical="center"/>
    </xf>
    <xf numFmtId="0" fontId="36" fillId="36" borderId="0" xfId="0" applyFont="1" applyFill="1" applyAlignment="1" applyProtection="1">
      <alignment horizontal="right" vertical="center"/>
      <protection locked="0"/>
    </xf>
    <xf numFmtId="0" fontId="36" fillId="36" borderId="23" xfId="0" applyFont="1" applyFill="1" applyBorder="1" applyAlignment="1" applyProtection="1">
      <alignment vertical="center"/>
      <protection locked="0"/>
    </xf>
    <xf numFmtId="44" fontId="37" fillId="0" borderId="23" xfId="1" applyFont="1" applyBorder="1" applyAlignment="1">
      <alignment horizontal="center"/>
    </xf>
    <xf numFmtId="0" fontId="36" fillId="70" borderId="46" xfId="0" applyFont="1" applyFill="1" applyBorder="1" applyAlignment="1" applyProtection="1">
      <alignment horizontal="center"/>
      <protection locked="0"/>
    </xf>
    <xf numFmtId="9" fontId="36" fillId="37" borderId="23" xfId="3" applyFont="1" applyFill="1" applyBorder="1" applyAlignment="1">
      <alignment horizontal="center" vertical="center"/>
    </xf>
    <xf numFmtId="7" fontId="36" fillId="36" borderId="23" xfId="0" applyNumberFormat="1" applyFont="1" applyFill="1" applyBorder="1" applyAlignment="1">
      <alignment horizontal="center" vertical="center"/>
    </xf>
    <xf numFmtId="9" fontId="36" fillId="36" borderId="23" xfId="3" applyFont="1" applyFill="1" applyBorder="1" applyAlignment="1">
      <alignment horizontal="center" vertical="center"/>
    </xf>
    <xf numFmtId="0" fontId="39" fillId="4" borderId="0" xfId="0" applyFont="1" applyFill="1"/>
    <xf numFmtId="0" fontId="39" fillId="4" borderId="0" xfId="0" applyFont="1" applyFill="1" applyAlignment="1">
      <alignment horizontal="center"/>
    </xf>
    <xf numFmtId="44" fontId="39" fillId="4" borderId="0" xfId="1" applyFont="1" applyFill="1"/>
    <xf numFmtId="165" fontId="40" fillId="2" borderId="1" xfId="0" applyNumberFormat="1" applyFont="1" applyFill="1" applyBorder="1"/>
    <xf numFmtId="0" fontId="41" fillId="2" borderId="2" xfId="0" applyFont="1" applyFill="1" applyBorder="1"/>
    <xf numFmtId="166" fontId="40" fillId="2" borderId="2" xfId="0" applyNumberFormat="1" applyFont="1" applyFill="1" applyBorder="1"/>
    <xf numFmtId="165" fontId="40" fillId="2" borderId="2" xfId="0" applyNumberFormat="1" applyFont="1" applyFill="1" applyBorder="1"/>
    <xf numFmtId="165" fontId="40" fillId="2" borderId="13" xfId="0" applyNumberFormat="1" applyFont="1" applyFill="1" applyBorder="1"/>
    <xf numFmtId="165" fontId="40" fillId="2" borderId="1" xfId="0" applyNumberFormat="1" applyFont="1" applyFill="1" applyBorder="1" applyAlignment="1">
      <alignment horizontal="center"/>
    </xf>
    <xf numFmtId="0" fontId="41" fillId="3" borderId="3" xfId="0" applyFont="1" applyFill="1" applyBorder="1"/>
    <xf numFmtId="0" fontId="41" fillId="3" borderId="4" xfId="0" applyFont="1" applyFill="1" applyBorder="1"/>
    <xf numFmtId="166" fontId="42" fillId="3" borderId="5" xfId="0" applyNumberFormat="1" applyFont="1" applyFill="1" applyBorder="1"/>
    <xf numFmtId="165" fontId="42" fillId="3" borderId="6" xfId="0" applyNumberFormat="1" applyFont="1" applyFill="1" applyBorder="1"/>
    <xf numFmtId="165" fontId="42" fillId="3" borderId="38" xfId="0" applyNumberFormat="1" applyFont="1" applyFill="1" applyBorder="1"/>
    <xf numFmtId="166" fontId="42" fillId="3" borderId="4" xfId="0" applyNumberFormat="1" applyFont="1" applyFill="1" applyBorder="1"/>
    <xf numFmtId="165" fontId="42" fillId="3" borderId="6" xfId="0" applyNumberFormat="1" applyFont="1" applyFill="1" applyBorder="1" applyAlignment="1">
      <alignment horizontal="center"/>
    </xf>
    <xf numFmtId="166" fontId="42" fillId="3" borderId="22" xfId="0" applyNumberFormat="1" applyFont="1" applyFill="1" applyBorder="1"/>
    <xf numFmtId="0" fontId="41" fillId="3" borderId="23" xfId="0" applyFont="1" applyFill="1" applyBorder="1"/>
    <xf numFmtId="165" fontId="42" fillId="3" borderId="22" xfId="0" applyNumberFormat="1" applyFont="1" applyFill="1" applyBorder="1"/>
    <xf numFmtId="165" fontId="42" fillId="3" borderId="46" xfId="0" applyNumberFormat="1" applyFont="1" applyFill="1" applyBorder="1"/>
    <xf numFmtId="166" fontId="42" fillId="3" borderId="47" xfId="0" applyNumberFormat="1" applyFont="1" applyFill="1" applyBorder="1"/>
    <xf numFmtId="165" fontId="42" fillId="3" borderId="48" xfId="0" applyNumberFormat="1" applyFont="1" applyFill="1" applyBorder="1"/>
    <xf numFmtId="166" fontId="42" fillId="3" borderId="23" xfId="0" applyNumberFormat="1" applyFont="1" applyFill="1" applyBorder="1"/>
    <xf numFmtId="166" fontId="42" fillId="3" borderId="56" xfId="0" applyNumberFormat="1" applyFont="1" applyFill="1" applyBorder="1"/>
    <xf numFmtId="165" fontId="42" fillId="3" borderId="48" xfId="0" applyNumberFormat="1" applyFont="1" applyFill="1" applyBorder="1" applyAlignment="1">
      <alignment horizontal="center"/>
    </xf>
    <xf numFmtId="16" fontId="37" fillId="2" borderId="7" xfId="0" applyNumberFormat="1" applyFont="1" applyFill="1" applyBorder="1"/>
    <xf numFmtId="0" fontId="37" fillId="4" borderId="4" xfId="0" applyFont="1" applyFill="1" applyBorder="1"/>
    <xf numFmtId="166" fontId="40" fillId="4" borderId="4" xfId="0" applyNumberFormat="1" applyFont="1" applyFill="1" applyBorder="1"/>
    <xf numFmtId="166" fontId="40" fillId="4" borderId="8" xfId="0" applyNumberFormat="1" applyFont="1" applyFill="1" applyBorder="1"/>
    <xf numFmtId="166" fontId="40" fillId="4" borderId="0" xfId="0" applyNumberFormat="1" applyFont="1" applyFill="1"/>
    <xf numFmtId="0" fontId="37" fillId="4" borderId="54" xfId="0" applyFont="1" applyFill="1" applyBorder="1"/>
    <xf numFmtId="166" fontId="40" fillId="4" borderId="8" xfId="0" applyNumberFormat="1" applyFont="1" applyFill="1" applyBorder="1" applyAlignment="1">
      <alignment horizontal="center"/>
    </xf>
    <xf numFmtId="0" fontId="37" fillId="4" borderId="9" xfId="0" applyFont="1" applyFill="1" applyBorder="1"/>
    <xf numFmtId="166" fontId="40" fillId="4" borderId="9" xfId="0" applyNumberFormat="1" applyFont="1" applyFill="1" applyBorder="1"/>
    <xf numFmtId="16" fontId="37" fillId="2" borderId="29" xfId="0" applyNumberFormat="1" applyFont="1" applyFill="1" applyBorder="1"/>
    <xf numFmtId="0" fontId="37" fillId="4" borderId="11" xfId="0" applyFont="1" applyFill="1" applyBorder="1"/>
    <xf numFmtId="166" fontId="40" fillId="4" borderId="9" xfId="0" applyNumberFormat="1" applyFont="1" applyFill="1" applyBorder="1" applyAlignment="1">
      <alignment horizontal="center"/>
    </xf>
    <xf numFmtId="166" fontId="40" fillId="4" borderId="10" xfId="0" applyNumberFormat="1" applyFont="1" applyFill="1" applyBorder="1"/>
    <xf numFmtId="165" fontId="40" fillId="4" borderId="8" xfId="0" applyNumberFormat="1" applyFont="1" applyFill="1" applyBorder="1"/>
    <xf numFmtId="165" fontId="40" fillId="4" borderId="0" xfId="0" applyNumberFormat="1" applyFont="1" applyFill="1"/>
    <xf numFmtId="16" fontId="37" fillId="2" borderId="28" xfId="0" applyNumberFormat="1" applyFont="1" applyFill="1" applyBorder="1"/>
    <xf numFmtId="0" fontId="37" fillId="4" borderId="40" xfId="0" applyFont="1" applyFill="1" applyBorder="1"/>
    <xf numFmtId="166" fontId="40" fillId="4" borderId="11" xfId="0" applyNumberFormat="1" applyFont="1" applyFill="1" applyBorder="1"/>
    <xf numFmtId="166" fontId="40" fillId="4" borderId="34" xfId="0" applyNumberFormat="1" applyFont="1" applyFill="1" applyBorder="1"/>
    <xf numFmtId="166" fontId="41" fillId="5" borderId="12" xfId="0" applyNumberFormat="1" applyFont="1" applyFill="1" applyBorder="1"/>
    <xf numFmtId="166" fontId="41" fillId="5" borderId="13" xfId="0" applyNumberFormat="1" applyFont="1" applyFill="1" applyBorder="1"/>
    <xf numFmtId="166" fontId="42" fillId="5" borderId="1" xfId="0" applyNumberFormat="1" applyFont="1" applyFill="1" applyBorder="1"/>
    <xf numFmtId="166" fontId="42" fillId="5" borderId="2" xfId="0" applyNumberFormat="1" applyFont="1" applyFill="1" applyBorder="1"/>
    <xf numFmtId="166" fontId="43" fillId="3" borderId="14" xfId="0" applyNumberFormat="1" applyFont="1" applyFill="1" applyBorder="1"/>
    <xf numFmtId="166" fontId="43" fillId="3" borderId="15" xfId="0" applyNumberFormat="1" applyFont="1" applyFill="1" applyBorder="1"/>
    <xf numFmtId="166" fontId="43" fillId="3" borderId="16" xfId="0" applyNumberFormat="1" applyFont="1" applyFill="1" applyBorder="1"/>
    <xf numFmtId="166" fontId="43" fillId="3" borderId="17" xfId="0" applyNumberFormat="1" applyFont="1" applyFill="1" applyBorder="1"/>
    <xf numFmtId="166" fontId="43" fillId="3" borderId="45" xfId="0" applyNumberFormat="1" applyFont="1" applyFill="1" applyBorder="1"/>
    <xf numFmtId="0" fontId="41" fillId="6" borderId="18" xfId="0" applyFont="1" applyFill="1" applyBorder="1"/>
    <xf numFmtId="0" fontId="37" fillId="6" borderId="19" xfId="0" applyFont="1" applyFill="1" applyBorder="1"/>
    <xf numFmtId="166" fontId="40" fillId="6" borderId="18" xfId="0" applyNumberFormat="1" applyFont="1" applyFill="1" applyBorder="1"/>
    <xf numFmtId="165" fontId="40" fillId="6" borderId="20" xfId="0" applyNumberFormat="1" applyFont="1" applyFill="1" applyBorder="1"/>
    <xf numFmtId="16" fontId="37" fillId="2" borderId="26" xfId="0" applyNumberFormat="1" applyFont="1" applyFill="1" applyBorder="1"/>
    <xf numFmtId="0" fontId="37" fillId="4" borderId="32" xfId="0" applyFont="1" applyFill="1" applyBorder="1"/>
    <xf numFmtId="0" fontId="37" fillId="4" borderId="55" xfId="0" applyFont="1" applyFill="1" applyBorder="1"/>
    <xf numFmtId="166" fontId="40" fillId="4" borderId="23" xfId="0" applyNumberFormat="1" applyFont="1" applyFill="1" applyBorder="1"/>
    <xf numFmtId="166" fontId="40" fillId="4" borderId="46" xfId="0" applyNumberFormat="1" applyFont="1" applyFill="1" applyBorder="1"/>
    <xf numFmtId="16" fontId="37" fillId="4" borderId="11" xfId="0" applyNumberFormat="1" applyFont="1" applyFill="1" applyBorder="1"/>
    <xf numFmtId="166" fontId="40" fillId="4" borderId="54" xfId="0" applyNumberFormat="1" applyFont="1" applyFill="1" applyBorder="1"/>
    <xf numFmtId="16" fontId="37" fillId="4" borderId="40" xfId="0" applyNumberFormat="1" applyFont="1" applyFill="1" applyBorder="1"/>
    <xf numFmtId="166" fontId="40" fillId="4" borderId="40" xfId="0" applyNumberFormat="1" applyFont="1" applyFill="1" applyBorder="1"/>
    <xf numFmtId="0" fontId="41" fillId="3" borderId="29" xfId="0" applyFont="1" applyFill="1" applyBorder="1"/>
    <xf numFmtId="166" fontId="40" fillId="4" borderId="2" xfId="0" applyNumberFormat="1" applyFont="1" applyFill="1" applyBorder="1"/>
    <xf numFmtId="166" fontId="40" fillId="4" borderId="33" xfId="0" applyNumberFormat="1" applyFont="1" applyFill="1" applyBorder="1"/>
    <xf numFmtId="166" fontId="40" fillId="4" borderId="19" xfId="0" applyNumberFormat="1" applyFont="1" applyFill="1" applyBorder="1"/>
    <xf numFmtId="0" fontId="37" fillId="4" borderId="0" xfId="0" applyFont="1" applyFill="1"/>
    <xf numFmtId="166" fontId="40" fillId="4" borderId="49" xfId="0" applyNumberFormat="1" applyFont="1" applyFill="1" applyBorder="1"/>
    <xf numFmtId="166" fontId="40" fillId="4" borderId="27" xfId="0" applyNumberFormat="1" applyFont="1" applyFill="1" applyBorder="1"/>
    <xf numFmtId="166" fontId="41" fillId="5" borderId="7" xfId="0" applyNumberFormat="1" applyFont="1" applyFill="1" applyBorder="1"/>
    <xf numFmtId="166" fontId="41" fillId="5" borderId="50" xfId="0" applyNumberFormat="1" applyFont="1" applyFill="1" applyBorder="1"/>
    <xf numFmtId="0" fontId="37" fillId="0" borderId="0" xfId="0" applyFont="1"/>
    <xf numFmtId="0" fontId="37" fillId="2" borderId="24" xfId="0" applyFont="1" applyFill="1" applyBorder="1"/>
    <xf numFmtId="0" fontId="41" fillId="2" borderId="19" xfId="0" applyFont="1" applyFill="1" applyBorder="1"/>
    <xf numFmtId="166" fontId="40" fillId="2" borderId="19" xfId="0" applyNumberFormat="1" applyFont="1" applyFill="1" applyBorder="1"/>
    <xf numFmtId="165" fontId="40" fillId="2" borderId="20" xfId="0" applyNumberFormat="1" applyFont="1" applyFill="1" applyBorder="1"/>
    <xf numFmtId="0" fontId="41" fillId="2" borderId="44" xfId="0" applyFont="1" applyFill="1" applyBorder="1"/>
    <xf numFmtId="0" fontId="41" fillId="3" borderId="25" xfId="0" applyFont="1" applyFill="1" applyBorder="1"/>
    <xf numFmtId="0" fontId="41" fillId="3" borderId="21" xfId="0" applyFont="1" applyFill="1" applyBorder="1"/>
    <xf numFmtId="166" fontId="42" fillId="3" borderId="16" xfId="0" applyNumberFormat="1" applyFont="1" applyFill="1" applyBorder="1"/>
    <xf numFmtId="165" fontId="42" fillId="3" borderId="16" xfId="0" applyNumberFormat="1" applyFont="1" applyFill="1" applyBorder="1"/>
    <xf numFmtId="165" fontId="42" fillId="3" borderId="17" xfId="0" applyNumberFormat="1" applyFont="1" applyFill="1" applyBorder="1"/>
    <xf numFmtId="0" fontId="41" fillId="3" borderId="14" xfId="0" applyFont="1" applyFill="1" applyBorder="1"/>
    <xf numFmtId="16" fontId="37" fillId="4" borderId="9" xfId="0" applyNumberFormat="1" applyFont="1" applyFill="1" applyBorder="1"/>
    <xf numFmtId="175" fontId="40" fillId="4" borderId="8" xfId="0" applyNumberFormat="1" applyFont="1" applyFill="1" applyBorder="1"/>
    <xf numFmtId="175" fontId="40" fillId="4" borderId="10" xfId="0" applyNumberFormat="1" applyFont="1" applyFill="1" applyBorder="1"/>
    <xf numFmtId="165" fontId="40" fillId="4" borderId="10" xfId="0" applyNumberFormat="1" applyFont="1" applyFill="1" applyBorder="1"/>
    <xf numFmtId="175" fontId="40" fillId="4" borderId="9" xfId="0" applyNumberFormat="1" applyFont="1" applyFill="1" applyBorder="1"/>
    <xf numFmtId="165" fontId="40" fillId="4" borderId="9" xfId="0" applyNumberFormat="1" applyFont="1" applyFill="1" applyBorder="1"/>
    <xf numFmtId="165" fontId="42" fillId="5" borderId="1" xfId="0" applyNumberFormat="1" applyFont="1" applyFill="1" applyBorder="1"/>
    <xf numFmtId="165" fontId="40" fillId="4" borderId="10" xfId="0" applyNumberFormat="1" applyFont="1" applyFill="1" applyBorder="1" applyAlignment="1">
      <alignment horizontal="center"/>
    </xf>
    <xf numFmtId="165" fontId="43" fillId="3" borderId="16" xfId="0" applyNumberFormat="1" applyFont="1" applyFill="1" applyBorder="1"/>
    <xf numFmtId="165" fontId="40" fillId="6" borderId="18" xfId="0" applyNumberFormat="1" applyFont="1" applyFill="1" applyBorder="1"/>
    <xf numFmtId="0" fontId="36" fillId="62" borderId="62" xfId="0" applyFont="1" applyFill="1" applyBorder="1" applyAlignment="1">
      <alignment horizontal="left" vertical="center"/>
    </xf>
    <xf numFmtId="0" fontId="36" fillId="62" borderId="51" xfId="0" applyFont="1" applyFill="1" applyBorder="1" applyAlignment="1">
      <alignment horizontal="center" vertical="center"/>
    </xf>
    <xf numFmtId="0" fontId="36" fillId="62" borderId="29" xfId="0" applyFont="1" applyFill="1" applyBorder="1" applyAlignment="1">
      <alignment horizontal="center" vertical="center"/>
    </xf>
    <xf numFmtId="0" fontId="36" fillId="62" borderId="6" xfId="0" applyFont="1" applyFill="1" applyBorder="1" applyAlignment="1">
      <alignment horizontal="center" vertical="center"/>
    </xf>
    <xf numFmtId="0" fontId="36" fillId="62" borderId="38" xfId="0" applyFont="1" applyFill="1" applyBorder="1" applyAlignment="1">
      <alignment horizontal="center" vertical="center"/>
    </xf>
    <xf numFmtId="0" fontId="36" fillId="62" borderId="3" xfId="0" applyFont="1" applyFill="1" applyBorder="1" applyAlignment="1">
      <alignment horizontal="center" vertical="center"/>
    </xf>
    <xf numFmtId="0" fontId="36" fillId="48" borderId="23" xfId="2" applyFont="1" applyFill="1" applyBorder="1" applyAlignment="1" applyProtection="1">
      <alignment horizontal="left" vertical="center"/>
    </xf>
    <xf numFmtId="44" fontId="38" fillId="15" borderId="23" xfId="1" applyFont="1" applyFill="1" applyBorder="1" applyAlignment="1">
      <alignment horizontal="center" vertical="center"/>
    </xf>
    <xf numFmtId="44" fontId="37" fillId="15" borderId="23" xfId="1" applyFont="1" applyFill="1" applyBorder="1" applyAlignment="1">
      <alignment horizontal="center" vertical="center"/>
    </xf>
    <xf numFmtId="0" fontId="36" fillId="48" borderId="23" xfId="0" applyFont="1" applyFill="1" applyBorder="1" applyAlignment="1">
      <alignment horizontal="left" vertical="center"/>
    </xf>
    <xf numFmtId="44" fontId="36" fillId="70" borderId="23" xfId="1" applyFont="1" applyFill="1" applyBorder="1" applyAlignment="1">
      <alignment horizontal="center" vertical="center"/>
    </xf>
    <xf numFmtId="44" fontId="36" fillId="32" borderId="23" xfId="1" applyFont="1" applyFill="1" applyBorder="1" applyAlignment="1">
      <alignment horizontal="center" vertical="center"/>
    </xf>
    <xf numFmtId="0" fontId="36" fillId="53" borderId="23" xfId="0" applyFont="1" applyFill="1" applyBorder="1"/>
    <xf numFmtId="0" fontId="36" fillId="53" borderId="23" xfId="0" applyFont="1" applyFill="1" applyBorder="1" applyAlignment="1">
      <alignment horizontal="center"/>
    </xf>
    <xf numFmtId="0" fontId="36" fillId="48" borderId="23" xfId="0" applyFont="1" applyFill="1" applyBorder="1"/>
    <xf numFmtId="44" fontId="37" fillId="38" borderId="23" xfId="1" applyFont="1" applyFill="1" applyBorder="1" applyAlignment="1">
      <alignment horizontal="center"/>
    </xf>
    <xf numFmtId="44" fontId="36" fillId="50" borderId="23" xfId="1" applyFont="1" applyFill="1" applyBorder="1" applyAlignment="1">
      <alignment horizontal="center"/>
    </xf>
    <xf numFmtId="44" fontId="36" fillId="39" borderId="23" xfId="1" applyFont="1" applyFill="1" applyBorder="1" applyAlignment="1">
      <alignment horizontal="center"/>
    </xf>
    <xf numFmtId="44" fontId="37" fillId="22" borderId="23" xfId="1" applyFont="1" applyFill="1" applyBorder="1" applyAlignment="1">
      <alignment horizontal="center"/>
    </xf>
    <xf numFmtId="9" fontId="37" fillId="0" borderId="23" xfId="3" applyFont="1" applyBorder="1" applyAlignment="1">
      <alignment horizontal="center" vertical="center"/>
    </xf>
    <xf numFmtId="9" fontId="36" fillId="70" borderId="23" xfId="3" applyFont="1" applyFill="1" applyBorder="1" applyAlignment="1" applyProtection="1">
      <alignment horizontal="center"/>
      <protection locked="0"/>
    </xf>
    <xf numFmtId="0" fontId="30" fillId="53" borderId="23" xfId="0" applyFont="1" applyFill="1" applyBorder="1" applyAlignment="1">
      <alignment horizontal="center" vertical="center"/>
    </xf>
    <xf numFmtId="7" fontId="31" fillId="4" borderId="23" xfId="0" applyNumberFormat="1" applyFont="1" applyFill="1" applyBorder="1" applyAlignment="1">
      <alignment horizontal="center" vertical="center"/>
    </xf>
    <xf numFmtId="9" fontId="36" fillId="32" borderId="23" xfId="3" applyFont="1" applyFill="1" applyBorder="1" applyAlignment="1" applyProtection="1">
      <alignment horizontal="center"/>
      <protection locked="0"/>
    </xf>
    <xf numFmtId="0" fontId="31" fillId="49" borderId="23" xfId="0" applyFont="1" applyFill="1" applyBorder="1" applyAlignment="1">
      <alignment horizontal="left" vertical="center"/>
    </xf>
    <xf numFmtId="0" fontId="30" fillId="36" borderId="23" xfId="0" applyFont="1" applyFill="1" applyBorder="1" applyAlignment="1">
      <alignment horizontal="left" vertical="center"/>
    </xf>
    <xf numFmtId="166" fontId="38" fillId="0" borderId="23" xfId="0" applyNumberFormat="1" applyFont="1" applyBorder="1" applyAlignment="1" applyProtection="1">
      <alignment horizontal="center"/>
      <protection locked="0"/>
    </xf>
    <xf numFmtId="0" fontId="51" fillId="0" borderId="0" xfId="1201" applyFont="1"/>
    <xf numFmtId="1" fontId="39" fillId="58" borderId="0" xfId="1204" applyFont="1" applyFill="1" applyBorder="1" applyAlignment="1">
      <alignment horizontal="left"/>
    </xf>
    <xf numFmtId="14" fontId="39" fillId="0" borderId="0" xfId="1203" applyFont="1" applyFill="1" applyBorder="1" applyAlignment="1">
      <alignment horizontal="left"/>
    </xf>
    <xf numFmtId="165" fontId="39" fillId="0" borderId="0" xfId="1202" applyFont="1" applyFill="1" applyBorder="1">
      <alignment horizontal="right" indent="2"/>
    </xf>
    <xf numFmtId="1" fontId="39" fillId="0" borderId="0" xfId="1204" applyFont="1" applyFill="1" applyBorder="1" applyAlignment="1">
      <alignment horizontal="left"/>
    </xf>
    <xf numFmtId="0" fontId="52" fillId="94" borderId="0" xfId="1205" applyFont="1" applyFill="1">
      <alignment vertical="center" wrapText="1"/>
    </xf>
    <xf numFmtId="0" fontId="52" fillId="94" borderId="23" xfId="1213" applyFont="1" applyFill="1" applyBorder="1">
      <alignment vertical="center"/>
    </xf>
    <xf numFmtId="0" fontId="53" fillId="0" borderId="0" xfId="1201" applyFont="1"/>
    <xf numFmtId="0" fontId="52" fillId="94" borderId="55" xfId="1201" applyFont="1" applyFill="1" applyBorder="1" applyAlignment="1">
      <alignment vertical="center"/>
    </xf>
    <xf numFmtId="0" fontId="52" fillId="94" borderId="46" xfId="1201" applyFont="1" applyFill="1" applyBorder="1" applyAlignment="1">
      <alignment vertical="center"/>
    </xf>
    <xf numFmtId="0" fontId="52" fillId="94" borderId="22" xfId="1201" applyFont="1" applyFill="1" applyBorder="1" applyAlignment="1">
      <alignment vertical="center"/>
    </xf>
    <xf numFmtId="0" fontId="54" fillId="0" borderId="0" xfId="1201" applyFont="1"/>
    <xf numFmtId="165" fontId="54" fillId="92" borderId="23" xfId="1208" applyFont="1" applyBorder="1"/>
    <xf numFmtId="165" fontId="54" fillId="58" borderId="23" xfId="1210" applyNumberFormat="1" applyFont="1" applyBorder="1" applyAlignment="1"/>
    <xf numFmtId="0" fontId="54" fillId="0" borderId="23" xfId="1201" applyFont="1" applyBorder="1"/>
    <xf numFmtId="10" fontId="54" fillId="0" borderId="23" xfId="3" applyNumberFormat="1" applyFont="1" applyBorder="1"/>
    <xf numFmtId="0" fontId="55" fillId="0" borderId="23" xfId="1212" applyFont="1" applyBorder="1" applyAlignment="1">
      <alignment vertical="center"/>
    </xf>
    <xf numFmtId="10" fontId="54" fillId="92" borderId="23" xfId="1211" applyFont="1" applyFill="1" applyBorder="1" applyAlignment="1">
      <alignment horizontal="right"/>
    </xf>
    <xf numFmtId="1" fontId="54" fillId="58" borderId="23" xfId="1204" applyFont="1" applyFill="1" applyBorder="1" applyAlignment="1"/>
    <xf numFmtId="44" fontId="54" fillId="0" borderId="23" xfId="1" applyFont="1" applyBorder="1"/>
    <xf numFmtId="1" fontId="54" fillId="92" borderId="23" xfId="1204" applyFont="1" applyFill="1" applyBorder="1"/>
    <xf numFmtId="4" fontId="54" fillId="58" borderId="23" xfId="1210" applyNumberFormat="1" applyFont="1" applyBorder="1" applyAlignment="1"/>
    <xf numFmtId="44" fontId="54" fillId="0" borderId="23" xfId="1201" applyNumberFormat="1" applyFont="1" applyBorder="1"/>
    <xf numFmtId="14" fontId="54" fillId="92" borderId="23" xfId="1203" applyFont="1" applyFill="1" applyBorder="1"/>
    <xf numFmtId="165" fontId="54" fillId="92" borderId="23" xfId="1208" applyFont="1" applyFill="1" applyBorder="1"/>
    <xf numFmtId="0" fontId="56" fillId="0" borderId="23" xfId="1207" applyFont="1" applyBorder="1">
      <alignment vertical="center"/>
    </xf>
    <xf numFmtId="1" fontId="39" fillId="38" borderId="0" xfId="1204" applyFont="1" applyFill="1" applyBorder="1" applyAlignment="1">
      <alignment horizontal="left"/>
    </xf>
    <xf numFmtId="14" fontId="39" fillId="38" borderId="0" xfId="1203" applyFont="1" applyFill="1" applyBorder="1" applyAlignment="1">
      <alignment horizontal="left"/>
    </xf>
    <xf numFmtId="165" fontId="39" fillId="38" borderId="0" xfId="1202" applyFont="1" applyFill="1" applyBorder="1">
      <alignment horizontal="right" indent="2"/>
    </xf>
    <xf numFmtId="44" fontId="40" fillId="2" borderId="2" xfId="1" applyFont="1" applyFill="1" applyBorder="1"/>
    <xf numFmtId="44" fontId="42" fillId="3" borderId="5" xfId="1" applyFont="1" applyFill="1" applyBorder="1"/>
    <xf numFmtId="44" fontId="42" fillId="3" borderId="22" xfId="1" applyFont="1" applyFill="1" applyBorder="1"/>
    <xf numFmtId="44" fontId="40" fillId="4" borderId="4" xfId="1" applyFont="1" applyFill="1" applyBorder="1"/>
    <xf numFmtId="165" fontId="40" fillId="2" borderId="12" xfId="0" applyNumberFormat="1" applyFont="1" applyFill="1" applyBorder="1"/>
    <xf numFmtId="0" fontId="41" fillId="2" borderId="4" xfId="0" applyFont="1" applyFill="1" applyBorder="1"/>
    <xf numFmtId="165" fontId="40" fillId="2" borderId="58" xfId="0" applyNumberFormat="1" applyFont="1" applyFill="1" applyBorder="1"/>
    <xf numFmtId="165" fontId="40" fillId="2" borderId="70" xfId="0" applyNumberFormat="1" applyFont="1" applyFill="1" applyBorder="1"/>
    <xf numFmtId="165" fontId="42" fillId="3" borderId="5" xfId="0" applyNumberFormat="1" applyFont="1" applyFill="1" applyBorder="1"/>
    <xf numFmtId="166" fontId="42" fillId="3" borderId="46" xfId="0" applyNumberFormat="1" applyFont="1" applyFill="1" applyBorder="1"/>
    <xf numFmtId="44" fontId="39" fillId="4" borderId="0" xfId="0" applyNumberFormat="1" applyFont="1" applyFill="1"/>
    <xf numFmtId="44" fontId="40" fillId="2" borderId="2" xfId="0" applyNumberFormat="1" applyFont="1" applyFill="1" applyBorder="1"/>
    <xf numFmtId="44" fontId="42" fillId="3" borderId="5" xfId="0" applyNumberFormat="1" applyFont="1" applyFill="1" applyBorder="1"/>
    <xf numFmtId="44" fontId="42" fillId="3" borderId="22" xfId="0" applyNumberFormat="1" applyFont="1" applyFill="1" applyBorder="1"/>
    <xf numFmtId="166" fontId="36" fillId="70" borderId="23" xfId="0" applyNumberFormat="1" applyFont="1" applyFill="1" applyBorder="1" applyAlignment="1">
      <alignment horizontal="center"/>
    </xf>
    <xf numFmtId="0" fontId="54" fillId="0" borderId="23" xfId="1209" applyFont="1" applyBorder="1">
      <alignment vertical="center"/>
    </xf>
    <xf numFmtId="166" fontId="40" fillId="4" borderId="65" xfId="0" applyNumberFormat="1" applyFont="1" applyFill="1" applyBorder="1"/>
    <xf numFmtId="182" fontId="57" fillId="4" borderId="23" xfId="1" applyNumberFormat="1" applyFont="1" applyFill="1" applyBorder="1" applyAlignment="1">
      <alignment horizontal="left" vertical="center"/>
    </xf>
    <xf numFmtId="182" fontId="57" fillId="4" borderId="55" xfId="1" applyNumberFormat="1" applyFont="1" applyFill="1" applyBorder="1" applyAlignment="1">
      <alignment horizontal="left" vertical="center"/>
    </xf>
    <xf numFmtId="0" fontId="58" fillId="0" borderId="0" xfId="0" applyFont="1"/>
    <xf numFmtId="2" fontId="51" fillId="0" borderId="0" xfId="1201" applyNumberFormat="1" applyFont="1"/>
    <xf numFmtId="44" fontId="51" fillId="0" borderId="0" xfId="1" applyFont="1"/>
    <xf numFmtId="44" fontId="59" fillId="0" borderId="0" xfId="1" applyFont="1"/>
    <xf numFmtId="44" fontId="60" fillId="0" borderId="0" xfId="1" applyFont="1"/>
    <xf numFmtId="44" fontId="31" fillId="4" borderId="0" xfId="0" applyNumberFormat="1" applyFont="1" applyFill="1" applyAlignment="1">
      <alignment horizontal="center" vertical="center"/>
    </xf>
    <xf numFmtId="44" fontId="31" fillId="4" borderId="0" xfId="1" applyFont="1" applyFill="1" applyAlignment="1">
      <alignment horizontal="center" vertical="center"/>
    </xf>
    <xf numFmtId="44" fontId="31" fillId="24" borderId="0" xfId="0" applyNumberFormat="1" applyFont="1" applyFill="1" applyAlignment="1">
      <alignment horizontal="center" vertical="center"/>
    </xf>
    <xf numFmtId="44" fontId="30" fillId="32" borderId="0" xfId="0" applyNumberFormat="1" applyFont="1" applyFill="1" applyAlignment="1">
      <alignment horizontal="center" vertical="center"/>
    </xf>
    <xf numFmtId="44" fontId="30" fillId="88" borderId="0" xfId="0" applyNumberFormat="1" applyFont="1" applyFill="1" applyAlignment="1">
      <alignment horizontal="center" vertical="center"/>
    </xf>
    <xf numFmtId="0" fontId="30" fillId="88" borderId="0" xfId="0" applyFont="1" applyFill="1" applyAlignment="1">
      <alignment horizontal="center" vertical="center"/>
    </xf>
    <xf numFmtId="44" fontId="31" fillId="4" borderId="0" xfId="0" applyNumberFormat="1" applyFont="1" applyFill="1" applyAlignment="1">
      <alignment horizontal="left" vertical="center"/>
    </xf>
    <xf numFmtId="166" fontId="63" fillId="4" borderId="8" xfId="0" applyNumberFormat="1" applyFont="1" applyFill="1" applyBorder="1" applyAlignment="1">
      <alignment horizontal="center"/>
    </xf>
    <xf numFmtId="16" fontId="61" fillId="2" borderId="7" xfId="0" applyNumberFormat="1" applyFont="1" applyFill="1" applyBorder="1"/>
    <xf numFmtId="0" fontId="61" fillId="4" borderId="9" xfId="0" applyFont="1" applyFill="1" applyBorder="1"/>
    <xf numFmtId="166" fontId="63" fillId="4" borderId="9" xfId="0" applyNumberFormat="1" applyFont="1" applyFill="1" applyBorder="1"/>
    <xf numFmtId="166" fontId="63" fillId="4" borderId="10" xfId="0" applyNumberFormat="1" applyFont="1" applyFill="1" applyBorder="1"/>
    <xf numFmtId="166" fontId="63" fillId="4" borderId="8" xfId="0" applyNumberFormat="1" applyFont="1" applyFill="1" applyBorder="1"/>
    <xf numFmtId="166" fontId="65" fillId="38" borderId="23" xfId="0" applyNumberFormat="1" applyFont="1" applyFill="1" applyBorder="1" applyAlignment="1" applyProtection="1">
      <alignment horizontal="center"/>
      <protection locked="0"/>
    </xf>
    <xf numFmtId="0" fontId="64" fillId="39" borderId="12" xfId="0" applyFont="1" applyFill="1" applyBorder="1" applyAlignment="1" applyProtection="1">
      <alignment horizontal="left" vertical="center"/>
      <protection locked="0"/>
    </xf>
    <xf numFmtId="0" fontId="64" fillId="39" borderId="2" xfId="0" applyFont="1" applyFill="1" applyBorder="1" applyAlignment="1" applyProtection="1">
      <alignment horizontal="left" vertical="center"/>
      <protection locked="0"/>
    </xf>
    <xf numFmtId="7" fontId="64" fillId="32" borderId="23" xfId="0" applyNumberFormat="1" applyFont="1" applyFill="1" applyBorder="1" applyAlignment="1">
      <alignment horizontal="center" vertical="center"/>
    </xf>
    <xf numFmtId="7" fontId="64" fillId="63" borderId="23" xfId="0" applyNumberFormat="1" applyFont="1" applyFill="1" applyBorder="1" applyAlignment="1">
      <alignment horizontal="center" vertical="center"/>
    </xf>
    <xf numFmtId="7" fontId="64" fillId="39" borderId="23" xfId="0" applyNumberFormat="1" applyFont="1" applyFill="1" applyBorder="1" applyAlignment="1">
      <alignment horizontal="center" vertical="center"/>
    </xf>
    <xf numFmtId="7" fontId="64" fillId="64" borderId="23" xfId="0" applyNumberFormat="1" applyFont="1" applyFill="1" applyBorder="1" applyAlignment="1">
      <alignment horizontal="center" vertical="center"/>
    </xf>
    <xf numFmtId="0" fontId="61" fillId="4" borderId="0" xfId="0" applyFont="1" applyFill="1" applyAlignment="1">
      <alignment horizontal="left" vertical="center"/>
    </xf>
    <xf numFmtId="44" fontId="61" fillId="4" borderId="0" xfId="0" applyNumberFormat="1" applyFont="1" applyFill="1" applyAlignment="1">
      <alignment horizontal="left" vertical="center"/>
    </xf>
    <xf numFmtId="0" fontId="64" fillId="39" borderId="26" xfId="0" applyFont="1" applyFill="1" applyBorder="1" applyAlignment="1" applyProtection="1">
      <alignment horizontal="left" vertical="center"/>
      <protection locked="0"/>
    </xf>
    <xf numFmtId="0" fontId="64" fillId="39" borderId="33" xfId="0" applyFont="1" applyFill="1" applyBorder="1" applyAlignment="1" applyProtection="1">
      <alignment horizontal="left" vertical="center"/>
      <protection locked="0"/>
    </xf>
    <xf numFmtId="2" fontId="64" fillId="80" borderId="23" xfId="0" applyNumberFormat="1" applyFont="1" applyFill="1" applyBorder="1" applyAlignment="1">
      <alignment horizontal="center" vertical="center"/>
    </xf>
    <xf numFmtId="2" fontId="64" fillId="39" borderId="23" xfId="0" applyNumberFormat="1" applyFont="1" applyFill="1" applyBorder="1" applyAlignment="1">
      <alignment horizontal="center" vertical="center"/>
    </xf>
    <xf numFmtId="2" fontId="64" fillId="63" borderId="23" xfId="0" applyNumberFormat="1" applyFont="1" applyFill="1" applyBorder="1" applyAlignment="1">
      <alignment horizontal="center" vertical="center"/>
    </xf>
    <xf numFmtId="1" fontId="64" fillId="39" borderId="23" xfId="0" applyNumberFormat="1" applyFont="1" applyFill="1" applyBorder="1" applyAlignment="1">
      <alignment horizontal="center" vertical="center"/>
    </xf>
    <xf numFmtId="1" fontId="64" fillId="63" borderId="23" xfId="0" applyNumberFormat="1" applyFont="1" applyFill="1" applyBorder="1" applyAlignment="1">
      <alignment horizontal="center" vertical="center"/>
    </xf>
    <xf numFmtId="2" fontId="64" fillId="81" borderId="23" xfId="0" applyNumberFormat="1" applyFont="1" applyFill="1" applyBorder="1" applyAlignment="1">
      <alignment horizontal="center" vertical="center"/>
    </xf>
    <xf numFmtId="0" fontId="61" fillId="0" borderId="23" xfId="0" applyFont="1" applyBorder="1"/>
    <xf numFmtId="0" fontId="61" fillId="0" borderId="23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/>
    </xf>
    <xf numFmtId="182" fontId="61" fillId="0" borderId="23" xfId="1" applyNumberFormat="1" applyFont="1" applyBorder="1" applyAlignment="1">
      <alignment horizontal="center"/>
    </xf>
    <xf numFmtId="44" fontId="61" fillId="0" borderId="23" xfId="1" applyFont="1" applyBorder="1" applyAlignment="1">
      <alignment horizontal="center"/>
    </xf>
    <xf numFmtId="0" fontId="61" fillId="45" borderId="23" xfId="0" applyFont="1" applyFill="1" applyBorder="1" applyAlignment="1">
      <alignment horizontal="left" vertical="center"/>
    </xf>
    <xf numFmtId="182" fontId="61" fillId="58" borderId="23" xfId="1" applyNumberFormat="1" applyFont="1" applyFill="1" applyBorder="1" applyAlignment="1">
      <alignment horizontal="left" vertical="center"/>
    </xf>
    <xf numFmtId="182" fontId="61" fillId="18" borderId="23" xfId="1" applyNumberFormat="1" applyFont="1" applyFill="1" applyBorder="1" applyAlignment="1">
      <alignment horizontal="left" vertical="center"/>
    </xf>
    <xf numFmtId="0" fontId="64" fillId="32" borderId="23" xfId="0" applyFont="1" applyFill="1" applyBorder="1" applyAlignment="1">
      <alignment horizontal="center" vertical="center"/>
    </xf>
    <xf numFmtId="182" fontId="61" fillId="4" borderId="23" xfId="1" applyNumberFormat="1" applyFont="1" applyFill="1" applyBorder="1" applyAlignment="1">
      <alignment horizontal="left" vertical="center"/>
    </xf>
    <xf numFmtId="182" fontId="61" fillId="4" borderId="23" xfId="0" applyNumberFormat="1" applyFont="1" applyFill="1" applyBorder="1" applyAlignment="1">
      <alignment horizontal="center" vertical="center"/>
    </xf>
    <xf numFmtId="44" fontId="61" fillId="4" borderId="0" xfId="1" applyFont="1" applyFill="1" applyAlignment="1">
      <alignment horizontal="left" vertical="center"/>
    </xf>
    <xf numFmtId="0" fontId="61" fillId="45" borderId="23" xfId="0" applyFont="1" applyFill="1" applyBorder="1"/>
    <xf numFmtId="182" fontId="61" fillId="45" borderId="23" xfId="1" applyNumberFormat="1" applyFont="1" applyFill="1" applyBorder="1" applyAlignment="1">
      <alignment horizontal="center"/>
    </xf>
    <xf numFmtId="0" fontId="61" fillId="45" borderId="23" xfId="0" applyFont="1" applyFill="1" applyBorder="1" applyAlignment="1">
      <alignment horizontal="center"/>
    </xf>
    <xf numFmtId="9" fontId="61" fillId="4" borderId="0" xfId="3" applyFont="1" applyFill="1" applyAlignment="1">
      <alignment horizontal="left" vertical="center"/>
    </xf>
    <xf numFmtId="0" fontId="64" fillId="50" borderId="7" xfId="0" applyFont="1" applyFill="1" applyBorder="1" applyAlignment="1" applyProtection="1">
      <alignment horizontal="left" vertical="center"/>
      <protection locked="0"/>
    </xf>
    <xf numFmtId="0" fontId="64" fillId="36" borderId="0" xfId="0" applyFont="1" applyFill="1" applyAlignment="1" applyProtection="1">
      <alignment horizontal="left" vertical="center"/>
      <protection locked="0"/>
    </xf>
    <xf numFmtId="44" fontId="61" fillId="15" borderId="23" xfId="1" applyFont="1" applyFill="1" applyBorder="1" applyAlignment="1">
      <alignment horizontal="center" vertical="center"/>
    </xf>
    <xf numFmtId="44" fontId="61" fillId="61" borderId="23" xfId="1" applyFont="1" applyFill="1" applyBorder="1" applyAlignment="1">
      <alignment horizontal="center" vertical="center"/>
    </xf>
    <xf numFmtId="44" fontId="61" fillId="66" borderId="23" xfId="1" applyFont="1" applyFill="1" applyBorder="1" applyAlignment="1">
      <alignment horizontal="center" vertical="center"/>
    </xf>
    <xf numFmtId="7" fontId="61" fillId="4" borderId="0" xfId="0" applyNumberFormat="1" applyFont="1" applyFill="1" applyAlignment="1">
      <alignment horizontal="left" vertical="center"/>
    </xf>
    <xf numFmtId="166" fontId="61" fillId="15" borderId="23" xfId="1" applyNumberFormat="1" applyFont="1" applyFill="1" applyBorder="1" applyAlignment="1">
      <alignment horizontal="center" vertical="center"/>
    </xf>
    <xf numFmtId="182" fontId="61" fillId="4" borderId="23" xfId="0" applyNumberFormat="1" applyFont="1" applyFill="1" applyBorder="1" applyAlignment="1">
      <alignment horizontal="left" vertical="center"/>
    </xf>
    <xf numFmtId="0" fontId="64" fillId="36" borderId="0" xfId="0" applyFont="1" applyFill="1" applyAlignment="1" applyProtection="1">
      <alignment horizontal="right" vertical="center"/>
      <protection locked="0"/>
    </xf>
    <xf numFmtId="44" fontId="61" fillId="61" borderId="65" xfId="1" applyFont="1" applyFill="1" applyBorder="1" applyAlignment="1">
      <alignment horizontal="center" vertical="center"/>
    </xf>
    <xf numFmtId="9" fontId="61" fillId="0" borderId="23" xfId="0" applyNumberFormat="1" applyFont="1" applyBorder="1"/>
    <xf numFmtId="182" fontId="61" fillId="24" borderId="23" xfId="0" applyNumberFormat="1" applyFont="1" applyFill="1" applyBorder="1" applyAlignment="1">
      <alignment horizontal="left" vertical="center"/>
    </xf>
    <xf numFmtId="0" fontId="66" fillId="45" borderId="23" xfId="0" applyFont="1" applyFill="1" applyBorder="1"/>
    <xf numFmtId="182" fontId="66" fillId="45" borderId="23" xfId="1" applyNumberFormat="1" applyFont="1" applyFill="1" applyBorder="1" applyAlignment="1">
      <alignment horizontal="center"/>
    </xf>
    <xf numFmtId="0" fontId="66" fillId="45" borderId="23" xfId="0" applyFont="1" applyFill="1" applyBorder="1" applyAlignment="1">
      <alignment horizontal="center"/>
    </xf>
    <xf numFmtId="182" fontId="61" fillId="4" borderId="23" xfId="1" applyNumberFormat="1" applyFont="1" applyFill="1" applyBorder="1" applyAlignment="1">
      <alignment horizontal="center" vertical="center"/>
    </xf>
    <xf numFmtId="182" fontId="62" fillId="4" borderId="23" xfId="0" applyNumberFormat="1" applyFont="1" applyFill="1" applyBorder="1" applyAlignment="1">
      <alignment horizontal="center" vertical="center"/>
    </xf>
    <xf numFmtId="178" fontId="61" fillId="4" borderId="0" xfId="0" applyNumberFormat="1" applyFont="1" applyFill="1" applyAlignment="1">
      <alignment horizontal="left" vertical="center"/>
    </xf>
    <xf numFmtId="0" fontId="61" fillId="0" borderId="23" xfId="0" applyFont="1" applyBorder="1" applyAlignment="1">
      <alignment horizontal="left"/>
    </xf>
    <xf numFmtId="44" fontId="61" fillId="4" borderId="23" xfId="1" applyFont="1" applyFill="1" applyBorder="1" applyAlignment="1">
      <alignment horizontal="left" vertical="center"/>
    </xf>
    <xf numFmtId="44" fontId="61" fillId="24" borderId="23" xfId="1" applyFont="1" applyFill="1" applyBorder="1" applyAlignment="1">
      <alignment horizontal="left" vertical="center"/>
    </xf>
    <xf numFmtId="44" fontId="61" fillId="4" borderId="23" xfId="0" applyNumberFormat="1" applyFont="1" applyFill="1" applyBorder="1" applyAlignment="1">
      <alignment horizontal="left" vertical="center"/>
    </xf>
    <xf numFmtId="182" fontId="65" fillId="0" borderId="23" xfId="0" applyNumberFormat="1" applyFont="1" applyBorder="1" applyAlignment="1">
      <alignment horizontal="left" vertical="center"/>
    </xf>
    <xf numFmtId="44" fontId="61" fillId="79" borderId="23" xfId="0" applyNumberFormat="1" applyFont="1" applyFill="1" applyBorder="1" applyAlignment="1">
      <alignment horizontal="left" vertical="center"/>
    </xf>
    <xf numFmtId="0" fontId="66" fillId="0" borderId="23" xfId="0" applyFont="1" applyBorder="1" applyAlignment="1">
      <alignment horizontal="center"/>
    </xf>
    <xf numFmtId="44" fontId="61" fillId="86" borderId="23" xfId="0" applyNumberFormat="1" applyFont="1" applyFill="1" applyBorder="1" applyAlignment="1">
      <alignment horizontal="left" vertical="center"/>
    </xf>
    <xf numFmtId="182" fontId="61" fillId="0" borderId="23" xfId="0" applyNumberFormat="1" applyFont="1" applyBorder="1" applyAlignment="1">
      <alignment horizontal="center"/>
    </xf>
    <xf numFmtId="182" fontId="61" fillId="4" borderId="0" xfId="0" applyNumberFormat="1" applyFont="1" applyFill="1" applyAlignment="1">
      <alignment horizontal="left" vertical="center"/>
    </xf>
    <xf numFmtId="182" fontId="61" fillId="79" borderId="23" xfId="0" applyNumberFormat="1" applyFont="1" applyFill="1" applyBorder="1" applyAlignment="1">
      <alignment horizontal="left" vertical="center"/>
    </xf>
    <xf numFmtId="182" fontId="61" fillId="24" borderId="23" xfId="0" applyNumberFormat="1" applyFont="1" applyFill="1" applyBorder="1" applyAlignment="1">
      <alignment horizontal="center"/>
    </xf>
    <xf numFmtId="182" fontId="61" fillId="46" borderId="23" xfId="0" applyNumberFormat="1" applyFont="1" applyFill="1" applyBorder="1" applyAlignment="1">
      <alignment horizontal="left" vertical="center"/>
    </xf>
    <xf numFmtId="182" fontId="61" fillId="59" borderId="23" xfId="0" applyNumberFormat="1" applyFont="1" applyFill="1" applyBorder="1" applyAlignment="1">
      <alignment horizontal="left" vertical="center"/>
    </xf>
    <xf numFmtId="44" fontId="61" fillId="59" borderId="23" xfId="1" applyFont="1" applyFill="1" applyBorder="1" applyAlignment="1">
      <alignment horizontal="left" vertical="center"/>
    </xf>
    <xf numFmtId="44" fontId="61" fillId="24" borderId="23" xfId="1" applyFont="1" applyFill="1" applyBorder="1" applyAlignment="1">
      <alignment horizontal="center" vertical="center"/>
    </xf>
    <xf numFmtId="44" fontId="61" fillId="45" borderId="23" xfId="0" applyNumberFormat="1" applyFont="1" applyFill="1" applyBorder="1" applyAlignment="1">
      <alignment vertical="center"/>
    </xf>
    <xf numFmtId="0" fontId="61" fillId="4" borderId="23" xfId="0" applyFont="1" applyFill="1" applyBorder="1" applyAlignment="1">
      <alignment horizontal="left" vertical="center"/>
    </xf>
    <xf numFmtId="1" fontId="61" fillId="4" borderId="23" xfId="0" applyNumberFormat="1" applyFont="1" applyFill="1" applyBorder="1" applyAlignment="1">
      <alignment horizontal="right" vertical="center"/>
    </xf>
    <xf numFmtId="9" fontId="61" fillId="4" borderId="23" xfId="3" applyFont="1" applyFill="1" applyBorder="1" applyAlignment="1">
      <alignment horizontal="center" vertical="center"/>
    </xf>
    <xf numFmtId="0" fontId="61" fillId="15" borderId="0" xfId="0" applyFont="1" applyFill="1" applyAlignment="1">
      <alignment horizontal="left" vertical="center"/>
    </xf>
    <xf numFmtId="44" fontId="61" fillId="0" borderId="23" xfId="1" applyFont="1" applyBorder="1" applyAlignment="1">
      <alignment horizontal="left" indent="3"/>
    </xf>
    <xf numFmtId="44" fontId="61" fillId="15" borderId="0" xfId="1" applyFont="1" applyFill="1" applyBorder="1" applyAlignment="1">
      <alignment horizontal="left" indent="3"/>
    </xf>
    <xf numFmtId="0" fontId="61" fillId="15" borderId="0" xfId="0" applyFont="1" applyFill="1" applyAlignment="1">
      <alignment horizontal="center"/>
    </xf>
    <xf numFmtId="44" fontId="61" fillId="15" borderId="0" xfId="1" applyFont="1" applyFill="1" applyBorder="1" applyAlignment="1">
      <alignment horizontal="left" vertical="center"/>
    </xf>
    <xf numFmtId="0" fontId="61" fillId="15" borderId="0" xfId="0" applyFont="1" applyFill="1"/>
    <xf numFmtId="44" fontId="61" fillId="4" borderId="4" xfId="0" applyNumberFormat="1" applyFont="1" applyFill="1" applyBorder="1" applyAlignment="1">
      <alignment horizontal="left" vertical="center"/>
    </xf>
    <xf numFmtId="9" fontId="61" fillId="4" borderId="4" xfId="0" applyNumberFormat="1" applyFont="1" applyFill="1" applyBorder="1" applyAlignment="1">
      <alignment horizontal="left" vertical="center"/>
    </xf>
    <xf numFmtId="0" fontId="61" fillId="4" borderId="4" xfId="0" applyFont="1" applyFill="1" applyBorder="1" applyAlignment="1">
      <alignment horizontal="left" vertical="center"/>
    </xf>
    <xf numFmtId="9" fontId="61" fillId="4" borderId="23" xfId="3" applyFont="1" applyFill="1" applyBorder="1" applyAlignment="1">
      <alignment horizontal="left" vertical="center"/>
    </xf>
    <xf numFmtId="183" fontId="61" fillId="4" borderId="23" xfId="3" applyNumberFormat="1" applyFont="1" applyFill="1" applyBorder="1" applyAlignment="1">
      <alignment horizontal="left" vertical="center"/>
    </xf>
    <xf numFmtId="44" fontId="61" fillId="4" borderId="0" xfId="0" applyNumberFormat="1" applyFont="1" applyFill="1" applyAlignment="1">
      <alignment horizontal="center" vertical="center"/>
    </xf>
    <xf numFmtId="0" fontId="61" fillId="4" borderId="0" xfId="0" applyFont="1" applyFill="1" applyAlignment="1">
      <alignment horizontal="center" vertical="center"/>
    </xf>
    <xf numFmtId="182" fontId="61" fillId="59" borderId="23" xfId="1" applyNumberFormat="1" applyFont="1" applyFill="1" applyBorder="1" applyAlignment="1">
      <alignment horizontal="left" vertical="center"/>
    </xf>
    <xf numFmtId="182" fontId="64" fillId="32" borderId="23" xfId="0" applyNumberFormat="1" applyFont="1" applyFill="1" applyBorder="1" applyAlignment="1">
      <alignment horizontal="left" vertical="center"/>
    </xf>
    <xf numFmtId="182" fontId="64" fillId="32" borderId="55" xfId="0" applyNumberFormat="1" applyFont="1" applyFill="1" applyBorder="1" applyAlignment="1">
      <alignment horizontal="left" vertical="center"/>
    </xf>
    <xf numFmtId="182" fontId="64" fillId="32" borderId="73" xfId="0" applyNumberFormat="1" applyFont="1" applyFill="1" applyBorder="1" applyAlignment="1">
      <alignment horizontal="left" vertical="center"/>
    </xf>
    <xf numFmtId="182" fontId="61" fillId="4" borderId="55" xfId="1" applyNumberFormat="1" applyFont="1" applyFill="1" applyBorder="1" applyAlignment="1">
      <alignment horizontal="left" vertical="center"/>
    </xf>
    <xf numFmtId="182" fontId="61" fillId="4" borderId="73" xfId="1" applyNumberFormat="1" applyFont="1" applyFill="1" applyBorder="1" applyAlignment="1">
      <alignment horizontal="left" vertical="center"/>
    </xf>
    <xf numFmtId="182" fontId="61" fillId="4" borderId="0" xfId="0" applyNumberFormat="1" applyFont="1" applyFill="1" applyAlignment="1">
      <alignment horizontal="center" vertical="center"/>
    </xf>
    <xf numFmtId="44" fontId="61" fillId="15" borderId="4" xfId="1" applyFont="1" applyFill="1" applyBorder="1" applyAlignment="1">
      <alignment horizontal="center" vertical="center"/>
    </xf>
    <xf numFmtId="44" fontId="61" fillId="15" borderId="0" xfId="1" applyFont="1" applyFill="1" applyBorder="1" applyAlignment="1">
      <alignment horizontal="center" vertical="center"/>
    </xf>
    <xf numFmtId="44" fontId="61" fillId="24" borderId="4" xfId="1" applyFont="1" applyFill="1" applyBorder="1" applyAlignment="1">
      <alignment horizontal="center" vertical="center"/>
    </xf>
    <xf numFmtId="182" fontId="61" fillId="4" borderId="55" xfId="0" applyNumberFormat="1" applyFont="1" applyFill="1" applyBorder="1" applyAlignment="1">
      <alignment horizontal="left" vertical="center"/>
    </xf>
    <xf numFmtId="9" fontId="61" fillId="4" borderId="0" xfId="3" applyFont="1" applyFill="1" applyAlignment="1">
      <alignment horizontal="center" vertical="center"/>
    </xf>
    <xf numFmtId="182" fontId="61" fillId="59" borderId="55" xfId="0" applyNumberFormat="1" applyFont="1" applyFill="1" applyBorder="1" applyAlignment="1">
      <alignment horizontal="left" vertical="center"/>
    </xf>
    <xf numFmtId="182" fontId="61" fillId="102" borderId="73" xfId="0" applyNumberFormat="1" applyFont="1" applyFill="1" applyBorder="1" applyAlignment="1">
      <alignment horizontal="left" vertical="center"/>
    </xf>
    <xf numFmtId="0" fontId="61" fillId="45" borderId="74" xfId="0" applyFont="1" applyFill="1" applyBorder="1" applyAlignment="1">
      <alignment horizontal="left" vertical="center"/>
    </xf>
    <xf numFmtId="182" fontId="61" fillId="4" borderId="55" xfId="1" applyNumberFormat="1" applyFont="1" applyFill="1" applyBorder="1" applyAlignment="1">
      <alignment horizontal="center" vertical="center"/>
    </xf>
    <xf numFmtId="182" fontId="61" fillId="59" borderId="73" xfId="0" applyNumberFormat="1" applyFont="1" applyFill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44" fontId="61" fillId="4" borderId="55" xfId="0" applyNumberFormat="1" applyFont="1" applyFill="1" applyBorder="1" applyAlignment="1">
      <alignment horizontal="left" vertical="center"/>
    </xf>
    <xf numFmtId="44" fontId="61" fillId="24" borderId="55" xfId="1" applyFont="1" applyFill="1" applyBorder="1" applyAlignment="1">
      <alignment horizontal="left" vertical="center"/>
    </xf>
    <xf numFmtId="44" fontId="61" fillId="24" borderId="73" xfId="1" applyFont="1" applyFill="1" applyBorder="1" applyAlignment="1">
      <alignment horizontal="left" vertical="center"/>
    </xf>
    <xf numFmtId="44" fontId="61" fillId="4" borderId="73" xfId="0" applyNumberFormat="1" applyFont="1" applyFill="1" applyBorder="1" applyAlignment="1">
      <alignment horizontal="left" vertical="center"/>
    </xf>
    <xf numFmtId="0" fontId="64" fillId="70" borderId="7" xfId="0" applyFont="1" applyFill="1" applyBorder="1" applyAlignment="1" applyProtection="1">
      <alignment horizontal="left" vertical="center"/>
      <protection locked="0"/>
    </xf>
    <xf numFmtId="0" fontId="64" fillId="70" borderId="0" xfId="0" applyFont="1" applyFill="1" applyAlignment="1" applyProtection="1">
      <alignment horizontal="left" vertical="center"/>
      <protection locked="0"/>
    </xf>
    <xf numFmtId="44" fontId="64" fillId="70" borderId="4" xfId="1" applyFont="1" applyFill="1" applyBorder="1" applyAlignment="1">
      <alignment horizontal="center" vertical="center"/>
    </xf>
    <xf numFmtId="44" fontId="64" fillId="39" borderId="4" xfId="1" applyFont="1" applyFill="1" applyBorder="1" applyAlignment="1">
      <alignment horizontal="center" vertical="center"/>
    </xf>
    <xf numFmtId="44" fontId="64" fillId="63" borderId="4" xfId="1" applyFont="1" applyFill="1" applyBorder="1" applyAlignment="1">
      <alignment horizontal="center" vertical="center"/>
    </xf>
    <xf numFmtId="44" fontId="64" fillId="64" borderId="4" xfId="1" applyFont="1" applyFill="1" applyBorder="1" applyAlignment="1">
      <alignment horizontal="center" vertical="center"/>
    </xf>
    <xf numFmtId="182" fontId="61" fillId="4" borderId="73" xfId="0" applyNumberFormat="1" applyFont="1" applyFill="1" applyBorder="1" applyAlignment="1">
      <alignment horizontal="left" vertical="center"/>
    </xf>
    <xf numFmtId="0" fontId="65" fillId="0" borderId="23" xfId="0" applyFont="1" applyBorder="1" applyAlignment="1" applyProtection="1">
      <alignment horizontal="left" vertical="center"/>
      <protection locked="0"/>
    </xf>
    <xf numFmtId="44" fontId="65" fillId="0" borderId="23" xfId="1" applyFont="1" applyBorder="1" applyAlignment="1">
      <alignment horizontal="center" vertical="center"/>
    </xf>
    <xf numFmtId="0" fontId="65" fillId="0" borderId="23" xfId="0" applyFont="1" applyBorder="1" applyAlignment="1">
      <alignment horizontal="left" vertical="center"/>
    </xf>
    <xf numFmtId="44" fontId="67" fillId="0" borderId="23" xfId="1" applyFont="1" applyBorder="1" applyAlignment="1">
      <alignment horizontal="center" vertical="center"/>
    </xf>
    <xf numFmtId="182" fontId="65" fillId="0" borderId="55" xfId="0" applyNumberFormat="1" applyFont="1" applyBorder="1" applyAlignment="1">
      <alignment horizontal="left" vertical="center"/>
    </xf>
    <xf numFmtId="182" fontId="65" fillId="0" borderId="73" xfId="0" applyNumberFormat="1" applyFont="1" applyBorder="1" applyAlignment="1">
      <alignment horizontal="left" vertical="center"/>
    </xf>
    <xf numFmtId="9" fontId="65" fillId="0" borderId="23" xfId="3" applyFont="1" applyBorder="1" applyAlignment="1">
      <alignment horizontal="center" vertical="center"/>
    </xf>
    <xf numFmtId="9" fontId="65" fillId="15" borderId="23" xfId="3" applyFont="1" applyFill="1" applyBorder="1" applyAlignment="1">
      <alignment horizontal="center" vertical="center"/>
    </xf>
    <xf numFmtId="9" fontId="65" fillId="67" borderId="23" xfId="3" applyFont="1" applyFill="1" applyBorder="1" applyAlignment="1">
      <alignment horizontal="center" vertical="center"/>
    </xf>
    <xf numFmtId="9" fontId="65" fillId="4" borderId="23" xfId="3" applyFont="1" applyFill="1" applyBorder="1" applyAlignment="1">
      <alignment horizontal="center" vertical="center"/>
    </xf>
    <xf numFmtId="44" fontId="61" fillId="79" borderId="55" xfId="0" applyNumberFormat="1" applyFont="1" applyFill="1" applyBorder="1" applyAlignment="1">
      <alignment horizontal="left" vertical="center"/>
    </xf>
    <xf numFmtId="44" fontId="61" fillId="79" borderId="73" xfId="0" applyNumberFormat="1" applyFont="1" applyFill="1" applyBorder="1" applyAlignment="1">
      <alignment horizontal="left" vertical="center"/>
    </xf>
    <xf numFmtId="9" fontId="61" fillId="4" borderId="0" xfId="3" applyFont="1" applyFill="1" applyAlignment="1">
      <alignment horizontal="right" vertical="center"/>
    </xf>
    <xf numFmtId="44" fontId="61" fillId="4" borderId="23" xfId="1" applyFont="1" applyFill="1" applyBorder="1" applyAlignment="1">
      <alignment horizontal="center" vertical="center"/>
    </xf>
    <xf numFmtId="44" fontId="61" fillId="67" borderId="23" xfId="1" applyFont="1" applyFill="1" applyBorder="1" applyAlignment="1">
      <alignment horizontal="center" vertical="center"/>
    </xf>
    <xf numFmtId="44" fontId="61" fillId="86" borderId="55" xfId="0" applyNumberFormat="1" applyFont="1" applyFill="1" applyBorder="1" applyAlignment="1">
      <alignment horizontal="left" vertical="center"/>
    </xf>
    <xf numFmtId="44" fontId="61" fillId="86" borderId="73" xfId="0" applyNumberFormat="1" applyFont="1" applyFill="1" applyBorder="1" applyAlignment="1">
      <alignment horizontal="left" vertical="center"/>
    </xf>
    <xf numFmtId="182" fontId="61" fillId="41" borderId="23" xfId="0" applyNumberFormat="1" applyFont="1" applyFill="1" applyBorder="1" applyAlignment="1">
      <alignment horizontal="left" vertical="center"/>
    </xf>
    <xf numFmtId="182" fontId="61" fillId="41" borderId="55" xfId="0" applyNumberFormat="1" applyFont="1" applyFill="1" applyBorder="1" applyAlignment="1">
      <alignment horizontal="left" vertical="center"/>
    </xf>
    <xf numFmtId="182" fontId="61" fillId="41" borderId="73" xfId="0" applyNumberFormat="1" applyFont="1" applyFill="1" applyBorder="1" applyAlignment="1">
      <alignment horizontal="left" vertical="center"/>
    </xf>
    <xf numFmtId="0" fontId="64" fillId="15" borderId="0" xfId="0" applyFont="1" applyFill="1" applyAlignment="1">
      <alignment horizontal="left" vertical="center"/>
    </xf>
    <xf numFmtId="0" fontId="64" fillId="72" borderId="23" xfId="0" applyFont="1" applyFill="1" applyBorder="1" applyAlignment="1">
      <alignment horizontal="left" vertical="center"/>
    </xf>
    <xf numFmtId="44" fontId="64" fillId="72" borderId="23" xfId="1" applyFont="1" applyFill="1" applyBorder="1" applyAlignment="1">
      <alignment horizontal="center" vertical="center"/>
    </xf>
    <xf numFmtId="44" fontId="64" fillId="50" borderId="23" xfId="1" applyFont="1" applyFill="1" applyBorder="1" applyAlignment="1">
      <alignment horizontal="center" vertical="center"/>
    </xf>
    <xf numFmtId="44" fontId="64" fillId="68" borderId="23" xfId="1" applyFont="1" applyFill="1" applyBorder="1" applyAlignment="1">
      <alignment horizontal="left" vertical="center"/>
    </xf>
    <xf numFmtId="44" fontId="64" fillId="50" borderId="23" xfId="1" applyFont="1" applyFill="1" applyBorder="1" applyAlignment="1">
      <alignment horizontal="left" vertical="center"/>
    </xf>
    <xf numFmtId="0" fontId="64" fillId="15" borderId="11" xfId="0" applyFont="1" applyFill="1" applyBorder="1" applyAlignment="1">
      <alignment vertical="center"/>
    </xf>
    <xf numFmtId="0" fontId="64" fillId="70" borderId="23" xfId="0" applyFont="1" applyFill="1" applyBorder="1" applyAlignment="1">
      <alignment horizontal="left" vertical="center"/>
    </xf>
    <xf numFmtId="44" fontId="64" fillId="70" borderId="23" xfId="1" applyFont="1" applyFill="1" applyBorder="1" applyAlignment="1">
      <alignment horizontal="center" vertical="center"/>
    </xf>
    <xf numFmtId="44" fontId="64" fillId="39" borderId="23" xfId="1" applyFont="1" applyFill="1" applyBorder="1" applyAlignment="1">
      <alignment horizontal="center" vertical="center"/>
    </xf>
    <xf numFmtId="44" fontId="64" fillId="63" borderId="23" xfId="1" applyFont="1" applyFill="1" applyBorder="1" applyAlignment="1">
      <alignment horizontal="center" vertical="center"/>
    </xf>
    <xf numFmtId="10" fontId="65" fillId="0" borderId="23" xfId="3" applyNumberFormat="1" applyFont="1" applyBorder="1" applyAlignment="1">
      <alignment horizontal="right" vertical="center"/>
    </xf>
    <xf numFmtId="10" fontId="64" fillId="39" borderId="23" xfId="3" applyNumberFormat="1" applyFont="1" applyFill="1" applyBorder="1" applyAlignment="1">
      <alignment horizontal="center" vertical="center"/>
    </xf>
    <xf numFmtId="10" fontId="64" fillId="63" borderId="23" xfId="3" applyNumberFormat="1" applyFont="1" applyFill="1" applyBorder="1" applyAlignment="1">
      <alignment horizontal="center" vertical="center"/>
    </xf>
    <xf numFmtId="44" fontId="65" fillId="4" borderId="23" xfId="1" applyFont="1" applyFill="1" applyBorder="1" applyAlignment="1">
      <alignment horizontal="center" vertical="center"/>
    </xf>
    <xf numFmtId="44" fontId="61" fillId="59" borderId="55" xfId="1" applyFont="1" applyFill="1" applyBorder="1" applyAlignment="1">
      <alignment horizontal="left" vertical="center"/>
    </xf>
    <xf numFmtId="44" fontId="61" fillId="45" borderId="23" xfId="0" applyNumberFormat="1" applyFont="1" applyFill="1" applyBorder="1" applyAlignment="1">
      <alignment horizontal="center" vertical="center"/>
    </xf>
    <xf numFmtId="44" fontId="64" fillId="57" borderId="23" xfId="1" applyFont="1" applyFill="1" applyBorder="1" applyAlignment="1">
      <alignment horizontal="center" vertical="center"/>
    </xf>
    <xf numFmtId="44" fontId="64" fillId="69" borderId="23" xfId="1" applyFont="1" applyFill="1" applyBorder="1" applyAlignment="1">
      <alignment horizontal="center" vertical="center"/>
    </xf>
    <xf numFmtId="0" fontId="61" fillId="4" borderId="23" xfId="0" applyFont="1" applyFill="1" applyBorder="1" applyAlignment="1">
      <alignment horizontal="center" vertical="center"/>
    </xf>
    <xf numFmtId="1" fontId="61" fillId="4" borderId="23" xfId="0" applyNumberFormat="1" applyFont="1" applyFill="1" applyBorder="1" applyAlignment="1">
      <alignment horizontal="center" vertical="center"/>
    </xf>
    <xf numFmtId="44" fontId="65" fillId="27" borderId="23" xfId="1" applyFont="1" applyFill="1" applyBorder="1" applyAlignment="1">
      <alignment horizontal="center" vertical="center"/>
    </xf>
    <xf numFmtId="44" fontId="65" fillId="78" borderId="23" xfId="1" applyFont="1" applyFill="1" applyBorder="1" applyAlignment="1">
      <alignment horizontal="center" vertical="center"/>
    </xf>
    <xf numFmtId="0" fontId="65" fillId="27" borderId="23" xfId="0" applyFont="1" applyFill="1" applyBorder="1" applyAlignment="1">
      <alignment horizontal="left" vertical="center"/>
    </xf>
    <xf numFmtId="44" fontId="65" fillId="19" borderId="23" xfId="1" applyFont="1" applyFill="1" applyBorder="1" applyAlignment="1">
      <alignment horizontal="center" vertical="center"/>
    </xf>
    <xf numFmtId="44" fontId="64" fillId="32" borderId="23" xfId="1" applyFont="1" applyFill="1" applyBorder="1" applyAlignment="1">
      <alignment horizontal="center" vertical="center"/>
    </xf>
    <xf numFmtId="9" fontId="64" fillId="39" borderId="23" xfId="3" applyFont="1" applyFill="1" applyBorder="1" applyAlignment="1">
      <alignment horizontal="center" vertical="center"/>
    </xf>
    <xf numFmtId="9" fontId="64" fillId="63" borderId="23" xfId="3" applyFont="1" applyFill="1" applyBorder="1" applyAlignment="1">
      <alignment horizontal="center" vertical="center"/>
    </xf>
    <xf numFmtId="0" fontId="61" fillId="4" borderId="0" xfId="0" applyFont="1" applyFill="1" applyAlignment="1">
      <alignment horizontal="right" vertical="center"/>
    </xf>
    <xf numFmtId="0" fontId="65" fillId="15" borderId="23" xfId="0" applyFont="1" applyFill="1" applyBorder="1" applyAlignment="1">
      <alignment horizontal="left" vertical="center"/>
    </xf>
    <xf numFmtId="0" fontId="61" fillId="67" borderId="23" xfId="0" applyFont="1" applyFill="1" applyBorder="1" applyAlignment="1">
      <alignment horizontal="center" vertical="center"/>
    </xf>
    <xf numFmtId="0" fontId="65" fillId="15" borderId="23" xfId="0" applyFont="1" applyFill="1" applyBorder="1" applyAlignment="1">
      <alignment horizontal="right" vertical="center"/>
    </xf>
    <xf numFmtId="44" fontId="61" fillId="0" borderId="23" xfId="1" applyFont="1" applyBorder="1" applyAlignment="1">
      <alignment horizontal="center" vertical="center"/>
    </xf>
    <xf numFmtId="44" fontId="61" fillId="4" borderId="23" xfId="0" applyNumberFormat="1" applyFont="1" applyFill="1" applyBorder="1" applyAlignment="1">
      <alignment horizontal="center" vertical="center"/>
    </xf>
    <xf numFmtId="44" fontId="61" fillId="0" borderId="23" xfId="0" applyNumberFormat="1" applyFont="1" applyBorder="1" applyAlignment="1">
      <alignment horizontal="center" vertical="center"/>
    </xf>
    <xf numFmtId="44" fontId="64" fillId="32" borderId="23" xfId="0" applyNumberFormat="1" applyFont="1" applyFill="1" applyBorder="1" applyAlignment="1">
      <alignment horizontal="center" vertical="center"/>
    </xf>
    <xf numFmtId="44" fontId="61" fillId="24" borderId="23" xfId="0" applyNumberFormat="1" applyFont="1" applyFill="1" applyBorder="1" applyAlignment="1">
      <alignment horizontal="center" vertical="center"/>
    </xf>
    <xf numFmtId="44" fontId="61" fillId="4" borderId="0" xfId="0" applyNumberFormat="1" applyFont="1" applyFill="1" applyAlignment="1">
      <alignment horizontal="right" vertical="center"/>
    </xf>
    <xf numFmtId="0" fontId="64" fillId="71" borderId="23" xfId="0" applyFont="1" applyFill="1" applyBorder="1" applyAlignment="1">
      <alignment horizontal="right" vertical="center"/>
    </xf>
    <xf numFmtId="44" fontId="64" fillId="71" borderId="23" xfId="1" applyFont="1" applyFill="1" applyBorder="1" applyAlignment="1">
      <alignment horizontal="center" vertical="center"/>
    </xf>
    <xf numFmtId="44" fontId="61" fillId="67" borderId="23" xfId="1" applyFont="1" applyFill="1" applyBorder="1" applyAlignment="1">
      <alignment horizontal="right" vertical="center"/>
    </xf>
    <xf numFmtId="44" fontId="61" fillId="4" borderId="23" xfId="1" applyFont="1" applyFill="1" applyBorder="1" applyAlignment="1">
      <alignment horizontal="right" vertical="center"/>
    </xf>
    <xf numFmtId="0" fontId="61" fillId="4" borderId="23" xfId="0" applyFont="1" applyFill="1" applyBorder="1" applyAlignment="1">
      <alignment horizontal="right" vertical="center"/>
    </xf>
    <xf numFmtId="0" fontId="61" fillId="4" borderId="23" xfId="0" applyFont="1" applyFill="1" applyBorder="1" applyAlignment="1">
      <alignment vertical="center"/>
    </xf>
    <xf numFmtId="44" fontId="61" fillId="4" borderId="23" xfId="1" applyFont="1" applyFill="1" applyBorder="1" applyAlignment="1">
      <alignment vertical="center"/>
    </xf>
    <xf numFmtId="44" fontId="61" fillId="4" borderId="0" xfId="1" applyFont="1" applyFill="1" applyAlignment="1">
      <alignment horizontal="center" vertical="center"/>
    </xf>
    <xf numFmtId="44" fontId="61" fillId="4" borderId="23" xfId="0" applyNumberFormat="1" applyFont="1" applyFill="1" applyBorder="1" applyAlignment="1">
      <alignment vertical="center"/>
    </xf>
    <xf numFmtId="44" fontId="67" fillId="4" borderId="23" xfId="0" applyNumberFormat="1" applyFont="1" applyFill="1" applyBorder="1" applyAlignment="1">
      <alignment horizontal="center" vertical="center"/>
    </xf>
    <xf numFmtId="0" fontId="68" fillId="0" borderId="0" xfId="0" applyFont="1"/>
    <xf numFmtId="10" fontId="61" fillId="4" borderId="0" xfId="0" applyNumberFormat="1" applyFont="1" applyFill="1" applyAlignment="1">
      <alignment horizontal="center" vertical="center"/>
    </xf>
    <xf numFmtId="178" fontId="61" fillId="4" borderId="23" xfId="0" applyNumberFormat="1" applyFont="1" applyFill="1" applyBorder="1" applyAlignment="1">
      <alignment vertical="center"/>
    </xf>
    <xf numFmtId="16" fontId="61" fillId="4" borderId="23" xfId="0" applyNumberFormat="1" applyFont="1" applyFill="1" applyBorder="1" applyAlignment="1">
      <alignment horizontal="center" vertical="center"/>
    </xf>
    <xf numFmtId="2" fontId="61" fillId="4" borderId="23" xfId="3" applyNumberFormat="1" applyFont="1" applyFill="1" applyBorder="1" applyAlignment="1">
      <alignment horizontal="center" vertical="center"/>
    </xf>
    <xf numFmtId="7" fontId="61" fillId="4" borderId="23" xfId="0" applyNumberFormat="1" applyFont="1" applyFill="1" applyBorder="1" applyAlignment="1">
      <alignment horizontal="center" vertical="center"/>
    </xf>
    <xf numFmtId="166" fontId="61" fillId="4" borderId="23" xfId="0" applyNumberFormat="1" applyFont="1" applyFill="1" applyBorder="1" applyAlignment="1">
      <alignment horizontal="center" vertical="center"/>
    </xf>
    <xf numFmtId="9" fontId="61" fillId="4" borderId="23" xfId="0" applyNumberFormat="1" applyFont="1" applyFill="1" applyBorder="1" applyAlignment="1">
      <alignment horizontal="center" vertical="center"/>
    </xf>
    <xf numFmtId="0" fontId="61" fillId="4" borderId="0" xfId="0" applyFont="1" applyFill="1" applyAlignment="1">
      <alignment vertical="center"/>
    </xf>
    <xf numFmtId="44" fontId="61" fillId="24" borderId="0" xfId="0" applyNumberFormat="1" applyFont="1" applyFill="1" applyAlignment="1">
      <alignment horizontal="center" vertical="center"/>
    </xf>
    <xf numFmtId="44" fontId="61" fillId="87" borderId="0" xfId="1" applyFont="1" applyFill="1" applyAlignment="1">
      <alignment horizontal="center" vertical="center"/>
    </xf>
    <xf numFmtId="44" fontId="61" fillId="38" borderId="0" xfId="0" applyNumberFormat="1" applyFont="1" applyFill="1" applyAlignment="1">
      <alignment horizontal="center" vertical="center"/>
    </xf>
    <xf numFmtId="44" fontId="61" fillId="88" borderId="0" xfId="0" applyNumberFormat="1" applyFont="1" applyFill="1" applyAlignment="1">
      <alignment horizontal="center" vertical="center"/>
    </xf>
    <xf numFmtId="44" fontId="61" fillId="59" borderId="0" xfId="0" applyNumberFormat="1" applyFont="1" applyFill="1" applyAlignment="1">
      <alignment horizontal="center" vertical="center"/>
    </xf>
    <xf numFmtId="44" fontId="61" fillId="87" borderId="0" xfId="0" applyNumberFormat="1" applyFont="1" applyFill="1" applyAlignment="1">
      <alignment horizontal="center" vertical="center"/>
    </xf>
    <xf numFmtId="0" fontId="61" fillId="5" borderId="12" xfId="0" applyFont="1" applyFill="1" applyBorder="1"/>
    <xf numFmtId="0" fontId="66" fillId="5" borderId="2" xfId="0" applyFont="1" applyFill="1" applyBorder="1"/>
    <xf numFmtId="166" fontId="63" fillId="5" borderId="2" xfId="0" applyNumberFormat="1" applyFont="1" applyFill="1" applyBorder="1"/>
    <xf numFmtId="165" fontId="63" fillId="5" borderId="1" xfId="0" applyNumberFormat="1" applyFont="1" applyFill="1" applyBorder="1"/>
    <xf numFmtId="166" fontId="63" fillId="2" borderId="19" xfId="0" applyNumberFormat="1" applyFont="1" applyFill="1" applyBorder="1"/>
    <xf numFmtId="0" fontId="66" fillId="2" borderId="19" xfId="0" applyFont="1" applyFill="1" applyBorder="1"/>
    <xf numFmtId="165" fontId="63" fillId="2" borderId="20" xfId="0" applyNumberFormat="1" applyFont="1" applyFill="1" applyBorder="1"/>
    <xf numFmtId="0" fontId="69" fillId="0" borderId="0" xfId="0" applyFont="1"/>
    <xf numFmtId="166" fontId="63" fillId="2" borderId="24" xfId="0" applyNumberFormat="1" applyFont="1" applyFill="1" applyBorder="1"/>
    <xf numFmtId="0" fontId="66" fillId="3" borderId="3" xfId="0" applyFont="1" applyFill="1" applyBorder="1"/>
    <xf numFmtId="0" fontId="66" fillId="3" borderId="4" xfId="0" applyFont="1" applyFill="1" applyBorder="1"/>
    <xf numFmtId="166" fontId="72" fillId="3" borderId="5" xfId="0" applyNumberFormat="1" applyFont="1" applyFill="1" applyBorder="1"/>
    <xf numFmtId="165" fontId="72" fillId="3" borderId="6" xfId="0" applyNumberFormat="1" applyFont="1" applyFill="1" applyBorder="1"/>
    <xf numFmtId="165" fontId="72" fillId="3" borderId="6" xfId="0" applyNumberFormat="1" applyFont="1" applyFill="1" applyBorder="1" applyAlignment="1">
      <alignment horizontal="center"/>
    </xf>
    <xf numFmtId="0" fontId="66" fillId="3" borderId="23" xfId="0" applyFont="1" applyFill="1" applyBorder="1"/>
    <xf numFmtId="166" fontId="72" fillId="3" borderId="22" xfId="0" applyNumberFormat="1" applyFont="1" applyFill="1" applyBorder="1"/>
    <xf numFmtId="165" fontId="72" fillId="3" borderId="22" xfId="0" applyNumberFormat="1" applyFont="1" applyFill="1" applyBorder="1"/>
    <xf numFmtId="165" fontId="72" fillId="3" borderId="16" xfId="0" applyNumberFormat="1" applyFont="1" applyFill="1" applyBorder="1"/>
    <xf numFmtId="0" fontId="66" fillId="3" borderId="21" xfId="0" applyFont="1" applyFill="1" applyBorder="1"/>
    <xf numFmtId="166" fontId="72" fillId="3" borderId="16" xfId="0" applyNumberFormat="1" applyFont="1" applyFill="1" applyBorder="1"/>
    <xf numFmtId="0" fontId="69" fillId="4" borderId="0" xfId="0" applyFont="1" applyFill="1"/>
    <xf numFmtId="0" fontId="61" fillId="4" borderId="4" xfId="0" applyFont="1" applyFill="1" applyBorder="1"/>
    <xf numFmtId="166" fontId="63" fillId="4" borderId="4" xfId="0" applyNumberFormat="1" applyFont="1" applyFill="1" applyBorder="1"/>
    <xf numFmtId="8" fontId="63" fillId="4" borderId="9" xfId="0" applyNumberFormat="1" applyFont="1" applyFill="1" applyBorder="1" applyAlignment="1">
      <alignment horizontal="center"/>
    </xf>
    <xf numFmtId="0" fontId="61" fillId="4" borderId="11" xfId="0" applyFont="1" applyFill="1" applyBorder="1"/>
    <xf numFmtId="44" fontId="63" fillId="4" borderId="9" xfId="1" applyFont="1" applyFill="1" applyBorder="1" applyAlignment="1">
      <alignment horizontal="center"/>
    </xf>
    <xf numFmtId="166" fontId="63" fillId="4" borderId="9" xfId="0" applyNumberFormat="1" applyFont="1" applyFill="1" applyBorder="1" applyAlignment="1">
      <alignment horizontal="center"/>
    </xf>
    <xf numFmtId="165" fontId="63" fillId="4" borderId="8" xfId="0" applyNumberFormat="1" applyFont="1" applyFill="1" applyBorder="1"/>
    <xf numFmtId="165" fontId="63" fillId="4" borderId="9" xfId="0" applyNumberFormat="1" applyFont="1" applyFill="1" applyBorder="1" applyAlignment="1">
      <alignment horizontal="center"/>
    </xf>
    <xf numFmtId="44" fontId="63" fillId="4" borderId="9" xfId="1" applyFont="1" applyFill="1" applyBorder="1"/>
    <xf numFmtId="0" fontId="61" fillId="4" borderId="32" xfId="0" applyFont="1" applyFill="1" applyBorder="1"/>
    <xf numFmtId="166" fontId="66" fillId="5" borderId="12" xfId="0" applyNumberFormat="1" applyFont="1" applyFill="1" applyBorder="1"/>
    <xf numFmtId="166" fontId="66" fillId="5" borderId="13" xfId="0" applyNumberFormat="1" applyFont="1" applyFill="1" applyBorder="1"/>
    <xf numFmtId="166" fontId="72" fillId="5" borderId="1" xfId="0" applyNumberFormat="1" applyFont="1" applyFill="1" applyBorder="1"/>
    <xf numFmtId="166" fontId="72" fillId="5" borderId="1" xfId="0" applyNumberFormat="1" applyFont="1" applyFill="1" applyBorder="1" applyAlignment="1">
      <alignment horizontal="center"/>
    </xf>
    <xf numFmtId="166" fontId="73" fillId="3" borderId="14" xfId="0" applyNumberFormat="1" applyFont="1" applyFill="1" applyBorder="1"/>
    <xf numFmtId="166" fontId="73" fillId="3" borderId="15" xfId="0" applyNumberFormat="1" applyFont="1" applyFill="1" applyBorder="1"/>
    <xf numFmtId="166" fontId="73" fillId="3" borderId="16" xfId="0" applyNumberFormat="1" applyFont="1" applyFill="1" applyBorder="1"/>
    <xf numFmtId="166" fontId="73" fillId="3" borderId="17" xfId="0" applyNumberFormat="1" applyFont="1" applyFill="1" applyBorder="1"/>
    <xf numFmtId="0" fontId="61" fillId="6" borderId="19" xfId="0" applyFont="1" applyFill="1" applyBorder="1"/>
    <xf numFmtId="166" fontId="63" fillId="6" borderId="18" xfId="0" applyNumberFormat="1" applyFont="1" applyFill="1" applyBorder="1"/>
    <xf numFmtId="165" fontId="63" fillId="6" borderId="20" xfId="0" applyNumberFormat="1" applyFont="1" applyFill="1" applyBorder="1"/>
    <xf numFmtId="166" fontId="63" fillId="6" borderId="18" xfId="0" applyNumberFormat="1" applyFont="1" applyFill="1" applyBorder="1" applyAlignment="1">
      <alignment horizontal="center"/>
    </xf>
    <xf numFmtId="166" fontId="73" fillId="3" borderId="17" xfId="0" applyNumberFormat="1" applyFont="1" applyFill="1" applyBorder="1" applyAlignment="1">
      <alignment horizontal="center"/>
    </xf>
    <xf numFmtId="165" fontId="63" fillId="6" borderId="20" xfId="0" applyNumberFormat="1" applyFont="1" applyFill="1" applyBorder="1" applyAlignment="1">
      <alignment horizontal="center"/>
    </xf>
    <xf numFmtId="44" fontId="75" fillId="0" borderId="23" xfId="1" applyFont="1" applyBorder="1" applyAlignment="1">
      <alignment horizontal="center"/>
    </xf>
    <xf numFmtId="0" fontId="75" fillId="0" borderId="23" xfId="0" applyFont="1" applyBorder="1" applyAlignment="1">
      <alignment horizontal="center"/>
    </xf>
    <xf numFmtId="0" fontId="76" fillId="4" borderId="0" xfId="0" applyFont="1" applyFill="1" applyAlignment="1">
      <alignment horizontal="center" vertical="top"/>
    </xf>
    <xf numFmtId="0" fontId="69" fillId="4" borderId="0" xfId="0" applyFont="1" applyFill="1" applyAlignment="1">
      <alignment horizontal="left"/>
    </xf>
    <xf numFmtId="0" fontId="69" fillId="4" borderId="0" xfId="0" applyFont="1" applyFill="1" applyAlignment="1">
      <alignment horizontal="center"/>
    </xf>
    <xf numFmtId="44" fontId="69" fillId="4" borderId="0" xfId="1" applyFont="1" applyFill="1"/>
    <xf numFmtId="165" fontId="63" fillId="2" borderId="1" xfId="0" applyNumberFormat="1" applyFont="1" applyFill="1" applyBorder="1"/>
    <xf numFmtId="0" fontId="66" fillId="2" borderId="2" xfId="0" applyFont="1" applyFill="1" applyBorder="1"/>
    <xf numFmtId="166" fontId="63" fillId="2" borderId="2" xfId="0" applyNumberFormat="1" applyFont="1" applyFill="1" applyBorder="1"/>
    <xf numFmtId="165" fontId="63" fillId="2" borderId="2" xfId="0" applyNumberFormat="1" applyFont="1" applyFill="1" applyBorder="1"/>
    <xf numFmtId="165" fontId="63" fillId="2" borderId="13" xfId="0" applyNumberFormat="1" applyFont="1" applyFill="1" applyBorder="1"/>
    <xf numFmtId="165" fontId="63" fillId="2" borderId="1" xfId="0" applyNumberFormat="1" applyFont="1" applyFill="1" applyBorder="1" applyAlignment="1">
      <alignment horizontal="left"/>
    </xf>
    <xf numFmtId="0" fontId="71" fillId="2" borderId="2" xfId="2" applyFont="1" applyFill="1" applyBorder="1" applyAlignment="1" applyProtection="1"/>
    <xf numFmtId="165" fontId="63" fillId="2" borderId="2" xfId="0" applyNumberFormat="1" applyFont="1" applyFill="1" applyBorder="1" applyAlignment="1">
      <alignment horizontal="center"/>
    </xf>
    <xf numFmtId="166" fontId="63" fillId="2" borderId="2" xfId="0" applyNumberFormat="1" applyFont="1" applyFill="1" applyBorder="1" applyAlignment="1">
      <alignment horizontal="center"/>
    </xf>
    <xf numFmtId="165" fontId="63" fillId="2" borderId="1" xfId="0" applyNumberFormat="1" applyFont="1" applyFill="1" applyBorder="1" applyAlignment="1">
      <alignment horizontal="center"/>
    </xf>
    <xf numFmtId="44" fontId="63" fillId="2" borderId="2" xfId="1" applyFont="1" applyFill="1" applyBorder="1" applyAlignment="1">
      <alignment horizontal="center"/>
    </xf>
    <xf numFmtId="165" fontId="72" fillId="3" borderId="38" xfId="0" applyNumberFormat="1" applyFont="1" applyFill="1" applyBorder="1"/>
    <xf numFmtId="165" fontId="72" fillId="3" borderId="6" xfId="0" applyNumberFormat="1" applyFont="1" applyFill="1" applyBorder="1" applyAlignment="1">
      <alignment horizontal="left"/>
    </xf>
    <xf numFmtId="166" fontId="72" fillId="3" borderId="4" xfId="0" applyNumberFormat="1" applyFont="1" applyFill="1" applyBorder="1"/>
    <xf numFmtId="165" fontId="72" fillId="3" borderId="38" xfId="0" applyNumberFormat="1" applyFont="1" applyFill="1" applyBorder="1" applyAlignment="1">
      <alignment horizontal="center"/>
    </xf>
    <xf numFmtId="166" fontId="72" fillId="3" borderId="4" xfId="0" applyNumberFormat="1" applyFont="1" applyFill="1" applyBorder="1" applyAlignment="1">
      <alignment horizontal="center"/>
    </xf>
    <xf numFmtId="44" fontId="72" fillId="3" borderId="4" xfId="1" applyFont="1" applyFill="1" applyBorder="1" applyAlignment="1">
      <alignment horizontal="center"/>
    </xf>
    <xf numFmtId="165" fontId="72" fillId="3" borderId="46" xfId="0" applyNumberFormat="1" applyFont="1" applyFill="1" applyBorder="1"/>
    <xf numFmtId="166" fontId="72" fillId="3" borderId="47" xfId="0" applyNumberFormat="1" applyFont="1" applyFill="1" applyBorder="1"/>
    <xf numFmtId="165" fontId="72" fillId="3" borderId="48" xfId="0" applyNumberFormat="1" applyFont="1" applyFill="1" applyBorder="1"/>
    <xf numFmtId="165" fontId="72" fillId="3" borderId="48" xfId="0" applyNumberFormat="1" applyFont="1" applyFill="1" applyBorder="1" applyAlignment="1">
      <alignment horizontal="left"/>
    </xf>
    <xf numFmtId="0" fontId="66" fillId="3" borderId="55" xfId="0" applyFont="1" applyFill="1" applyBorder="1"/>
    <xf numFmtId="166" fontId="72" fillId="3" borderId="23" xfId="0" applyNumberFormat="1" applyFont="1" applyFill="1" applyBorder="1"/>
    <xf numFmtId="165" fontId="72" fillId="3" borderId="46" xfId="0" applyNumberFormat="1" applyFont="1" applyFill="1" applyBorder="1" applyAlignment="1">
      <alignment horizontal="center"/>
    </xf>
    <xf numFmtId="166" fontId="72" fillId="3" borderId="56" xfId="0" applyNumberFormat="1" applyFont="1" applyFill="1" applyBorder="1"/>
    <xf numFmtId="166" fontId="72" fillId="3" borderId="23" xfId="0" applyNumberFormat="1" applyFont="1" applyFill="1" applyBorder="1" applyAlignment="1">
      <alignment horizontal="center"/>
    </xf>
    <xf numFmtId="165" fontId="72" fillId="3" borderId="48" xfId="0" applyNumberFormat="1" applyFont="1" applyFill="1" applyBorder="1" applyAlignment="1">
      <alignment horizontal="center"/>
    </xf>
    <xf numFmtId="44" fontId="72" fillId="3" borderId="23" xfId="1" applyFont="1" applyFill="1" applyBorder="1" applyAlignment="1">
      <alignment horizontal="center"/>
    </xf>
    <xf numFmtId="166" fontId="63" fillId="4" borderId="0" xfId="0" applyNumberFormat="1" applyFont="1" applyFill="1"/>
    <xf numFmtId="166" fontId="63" fillId="4" borderId="8" xfId="0" applyNumberFormat="1" applyFont="1" applyFill="1" applyBorder="1" applyAlignment="1">
      <alignment horizontal="left"/>
    </xf>
    <xf numFmtId="0" fontId="61" fillId="4" borderId="54" xfId="0" applyFont="1" applyFill="1" applyBorder="1"/>
    <xf numFmtId="166" fontId="63" fillId="4" borderId="0" xfId="0" applyNumberFormat="1" applyFont="1" applyFill="1" applyAlignment="1">
      <alignment horizontal="center"/>
    </xf>
    <xf numFmtId="166" fontId="63" fillId="4" borderId="4" xfId="0" applyNumberFormat="1" applyFont="1" applyFill="1" applyBorder="1" applyAlignment="1">
      <alignment horizontal="center"/>
    </xf>
    <xf numFmtId="44" fontId="63" fillId="4" borderId="4" xfId="1" applyFont="1" applyFill="1" applyBorder="1" applyAlignment="1">
      <alignment horizontal="center"/>
    </xf>
    <xf numFmtId="16" fontId="61" fillId="2" borderId="29" xfId="0" applyNumberFormat="1" applyFont="1" applyFill="1" applyBorder="1"/>
    <xf numFmtId="166" fontId="63" fillId="4" borderId="38" xfId="0" applyNumberFormat="1" applyFont="1" applyFill="1" applyBorder="1" applyAlignment="1">
      <alignment horizontal="center"/>
    </xf>
    <xf numFmtId="166" fontId="63" fillId="4" borderId="6" xfId="0" applyNumberFormat="1" applyFont="1" applyFill="1" applyBorder="1" applyAlignment="1">
      <alignment horizontal="center"/>
    </xf>
    <xf numFmtId="16" fontId="61" fillId="2" borderId="0" xfId="0" applyNumberFormat="1" applyFont="1" applyFill="1"/>
    <xf numFmtId="0" fontId="61" fillId="4" borderId="5" xfId="0" applyFont="1" applyFill="1" applyBorder="1"/>
    <xf numFmtId="165" fontId="63" fillId="4" borderId="9" xfId="0" applyNumberFormat="1" applyFont="1" applyFill="1" applyBorder="1" applyAlignment="1">
      <alignment horizontal="left"/>
    </xf>
    <xf numFmtId="7" fontId="77" fillId="4" borderId="0" xfId="0" applyNumberFormat="1" applyFont="1" applyFill="1" applyAlignment="1">
      <alignment horizontal="center"/>
    </xf>
    <xf numFmtId="7" fontId="77" fillId="4" borderId="8" xfId="0" applyNumberFormat="1" applyFont="1" applyFill="1" applyBorder="1" applyAlignment="1">
      <alignment horizontal="center"/>
    </xf>
    <xf numFmtId="166" fontId="63" fillId="4" borderId="9" xfId="0" applyNumberFormat="1" applyFont="1" applyFill="1" applyBorder="1" applyAlignment="1">
      <alignment horizontal="left"/>
    </xf>
    <xf numFmtId="165" fontId="63" fillId="4" borderId="0" xfId="0" applyNumberFormat="1" applyFont="1" applyFill="1"/>
    <xf numFmtId="165" fontId="63" fillId="4" borderId="8" xfId="0" applyNumberFormat="1" applyFont="1" applyFill="1" applyBorder="1" applyAlignment="1">
      <alignment horizontal="left"/>
    </xf>
    <xf numFmtId="174" fontId="63" fillId="4" borderId="9" xfId="0" applyNumberFormat="1" applyFont="1" applyFill="1" applyBorder="1" applyAlignment="1">
      <alignment horizontal="center"/>
    </xf>
    <xf numFmtId="8" fontId="77" fillId="4" borderId="8" xfId="0" applyNumberFormat="1" applyFont="1" applyFill="1" applyBorder="1" applyAlignment="1">
      <alignment horizontal="center"/>
    </xf>
    <xf numFmtId="171" fontId="63" fillId="4" borderId="8" xfId="0" applyNumberFormat="1" applyFont="1" applyFill="1" applyBorder="1" applyAlignment="1">
      <alignment horizontal="left"/>
    </xf>
    <xf numFmtId="8" fontId="63" fillId="4" borderId="9" xfId="0" applyNumberFormat="1" applyFont="1" applyFill="1" applyBorder="1" applyAlignment="1">
      <alignment horizontal="left"/>
    </xf>
    <xf numFmtId="16" fontId="61" fillId="2" borderId="28" xfId="0" applyNumberFormat="1" applyFont="1" applyFill="1" applyBorder="1"/>
    <xf numFmtId="0" fontId="61" fillId="4" borderId="40" xfId="0" applyFont="1" applyFill="1" applyBorder="1"/>
    <xf numFmtId="8" fontId="63" fillId="4" borderId="65" xfId="0" applyNumberFormat="1" applyFont="1" applyFill="1" applyBorder="1" applyAlignment="1">
      <alignment horizontal="left"/>
    </xf>
    <xf numFmtId="0" fontId="69" fillId="4" borderId="39" xfId="0" applyFont="1" applyFill="1" applyBorder="1" applyAlignment="1">
      <alignment horizontal="center"/>
    </xf>
    <xf numFmtId="8" fontId="63" fillId="4" borderId="0" xfId="0" applyNumberFormat="1" applyFont="1" applyFill="1" applyAlignment="1">
      <alignment horizontal="center"/>
    </xf>
    <xf numFmtId="0" fontId="69" fillId="4" borderId="8" xfId="0" applyFont="1" applyFill="1" applyBorder="1" applyAlignment="1">
      <alignment horizontal="center"/>
    </xf>
    <xf numFmtId="8" fontId="63" fillId="4" borderId="8" xfId="0" applyNumberFormat="1" applyFont="1" applyFill="1" applyBorder="1" applyAlignment="1">
      <alignment horizontal="center"/>
    </xf>
    <xf numFmtId="166" fontId="63" fillId="4" borderId="11" xfId="0" applyNumberFormat="1" applyFont="1" applyFill="1" applyBorder="1"/>
    <xf numFmtId="166" fontId="63" fillId="4" borderId="34" xfId="0" applyNumberFormat="1" applyFont="1" applyFill="1" applyBorder="1"/>
    <xf numFmtId="171" fontId="63" fillId="4" borderId="34" xfId="0" applyNumberFormat="1" applyFont="1" applyFill="1" applyBorder="1" applyAlignment="1">
      <alignment horizontal="left"/>
    </xf>
    <xf numFmtId="172" fontId="63" fillId="4" borderId="8" xfId="0" applyNumberFormat="1" applyFont="1" applyFill="1" applyBorder="1" applyAlignment="1">
      <alignment horizontal="left"/>
    </xf>
    <xf numFmtId="166" fontId="72" fillId="5" borderId="2" xfId="0" applyNumberFormat="1" applyFont="1" applyFill="1" applyBorder="1"/>
    <xf numFmtId="166" fontId="73" fillId="3" borderId="45" xfId="0" applyNumberFormat="1" applyFont="1" applyFill="1" applyBorder="1"/>
    <xf numFmtId="0" fontId="66" fillId="6" borderId="18" xfId="0" applyFont="1" applyFill="1" applyBorder="1"/>
    <xf numFmtId="165" fontId="63" fillId="6" borderId="19" xfId="0" applyNumberFormat="1" applyFont="1" applyFill="1" applyBorder="1"/>
    <xf numFmtId="172" fontId="63" fillId="4" borderId="0" xfId="0" applyNumberFormat="1" applyFont="1" applyFill="1" applyAlignment="1">
      <alignment horizontal="center"/>
    </xf>
    <xf numFmtId="171" fontId="63" fillId="4" borderId="0" xfId="0" applyNumberFormat="1" applyFont="1" applyFill="1" applyAlignment="1">
      <alignment horizontal="center"/>
    </xf>
    <xf numFmtId="172" fontId="63" fillId="4" borderId="8" xfId="0" applyNumberFormat="1" applyFont="1" applyFill="1" applyBorder="1" applyAlignment="1">
      <alignment horizontal="center"/>
    </xf>
    <xf numFmtId="16" fontId="61" fillId="2" borderId="26" xfId="0" applyNumberFormat="1" applyFont="1" applyFill="1" applyBorder="1"/>
    <xf numFmtId="166" fontId="63" fillId="4" borderId="32" xfId="0" applyNumberFormat="1" applyFont="1" applyFill="1" applyBorder="1" applyAlignment="1">
      <alignment horizontal="center"/>
    </xf>
    <xf numFmtId="171" fontId="63" fillId="4" borderId="27" xfId="0" applyNumberFormat="1" applyFont="1" applyFill="1" applyBorder="1" applyAlignment="1">
      <alignment horizontal="center"/>
    </xf>
    <xf numFmtId="166" fontId="72" fillId="5" borderId="13" xfId="0" applyNumberFormat="1" applyFont="1" applyFill="1" applyBorder="1" applyAlignment="1">
      <alignment horizontal="center"/>
    </xf>
    <xf numFmtId="166" fontId="73" fillId="3" borderId="15" xfId="0" applyNumberFormat="1" applyFont="1" applyFill="1" applyBorder="1" applyAlignment="1">
      <alignment horizontal="center"/>
    </xf>
    <xf numFmtId="44" fontId="72" fillId="5" borderId="13" xfId="1" applyFont="1" applyFill="1" applyBorder="1" applyAlignment="1">
      <alignment horizontal="center"/>
    </xf>
    <xf numFmtId="44" fontId="73" fillId="3" borderId="15" xfId="1" applyFont="1" applyFill="1" applyBorder="1" applyAlignment="1">
      <alignment horizontal="center"/>
    </xf>
    <xf numFmtId="44" fontId="63" fillId="6" borderId="18" xfId="1" applyFont="1" applyFill="1" applyBorder="1" applyAlignment="1">
      <alignment horizontal="center"/>
    </xf>
    <xf numFmtId="0" fontId="61" fillId="0" borderId="0" xfId="0" applyFont="1"/>
    <xf numFmtId="0" fontId="78" fillId="56" borderId="0" xfId="0" applyFont="1" applyFill="1"/>
    <xf numFmtId="14" fontId="78" fillId="53" borderId="23" xfId="0" applyNumberFormat="1" applyFont="1" applyFill="1" applyBorder="1" applyAlignment="1">
      <alignment horizontal="center"/>
    </xf>
    <xf numFmtId="44" fontId="69" fillId="0" borderId="23" xfId="1" applyFont="1" applyBorder="1"/>
    <xf numFmtId="44" fontId="69" fillId="0" borderId="23" xfId="0" applyNumberFormat="1" applyFont="1" applyBorder="1"/>
    <xf numFmtId="44" fontId="78" fillId="70" borderId="23" xfId="1" applyFont="1" applyFill="1" applyBorder="1"/>
    <xf numFmtId="44" fontId="78" fillId="32" borderId="23" xfId="0" applyNumberFormat="1" applyFont="1" applyFill="1" applyBorder="1"/>
    <xf numFmtId="44" fontId="69" fillId="0" borderId="22" xfId="0" applyNumberFormat="1" applyFont="1" applyBorder="1"/>
    <xf numFmtId="2" fontId="69" fillId="0" borderId="23" xfId="0" applyNumberFormat="1" applyFont="1" applyBorder="1" applyAlignment="1">
      <alignment horizontal="center"/>
    </xf>
    <xf numFmtId="9" fontId="69" fillId="0" borderId="23" xfId="3" applyFont="1" applyBorder="1"/>
    <xf numFmtId="44" fontId="69" fillId="0" borderId="23" xfId="0" applyNumberFormat="1" applyFont="1" applyBorder="1" applyAlignment="1">
      <alignment horizontal="center"/>
    </xf>
    <xf numFmtId="44" fontId="69" fillId="0" borderId="23" xfId="1" applyFont="1" applyBorder="1" applyAlignment="1">
      <alignment horizontal="center"/>
    </xf>
    <xf numFmtId="44" fontId="69" fillId="0" borderId="4" xfId="1" applyFont="1" applyBorder="1"/>
    <xf numFmtId="0" fontId="78" fillId="53" borderId="23" xfId="0" applyFont="1" applyFill="1" applyBorder="1"/>
    <xf numFmtId="44" fontId="78" fillId="70" borderId="23" xfId="0" applyNumberFormat="1" applyFont="1" applyFill="1" applyBorder="1"/>
    <xf numFmtId="0" fontId="78" fillId="72" borderId="0" xfId="0" applyFont="1" applyFill="1"/>
    <xf numFmtId="0" fontId="69" fillId="0" borderId="0" xfId="0" applyFont="1" applyAlignment="1">
      <alignment horizontal="right"/>
    </xf>
    <xf numFmtId="44" fontId="69" fillId="0" borderId="0" xfId="0" applyNumberFormat="1" applyFont="1"/>
    <xf numFmtId="44" fontId="69" fillId="0" borderId="4" xfId="0" applyNumberFormat="1" applyFont="1" applyBorder="1"/>
    <xf numFmtId="44" fontId="78" fillId="32" borderId="4" xfId="0" applyNumberFormat="1" applyFont="1" applyFill="1" applyBorder="1"/>
    <xf numFmtId="4" fontId="69" fillId="0" borderId="0" xfId="0" applyNumberFormat="1" applyFont="1"/>
    <xf numFmtId="0" fontId="69" fillId="15" borderId="0" xfId="0" applyFont="1" applyFill="1"/>
    <xf numFmtId="0" fontId="69" fillId="15" borderId="0" xfId="0" applyFont="1" applyFill="1" applyAlignment="1">
      <alignment horizontal="center"/>
    </xf>
    <xf numFmtId="0" fontId="70" fillId="0" borderId="23" xfId="0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0" fontId="70" fillId="0" borderId="23" xfId="0" applyFont="1" applyBorder="1"/>
    <xf numFmtId="0" fontId="79" fillId="0" borderId="23" xfId="0" applyFont="1" applyBorder="1"/>
    <xf numFmtId="0" fontId="70" fillId="0" borderId="23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/>
    </xf>
    <xf numFmtId="178" fontId="69" fillId="0" borderId="23" xfId="0" applyNumberFormat="1" applyFont="1" applyBorder="1" applyAlignment="1">
      <alignment horizontal="center" vertical="center"/>
    </xf>
    <xf numFmtId="165" fontId="69" fillId="0" borderId="23" xfId="0" applyNumberFormat="1" applyFont="1" applyBorder="1" applyAlignment="1">
      <alignment horizontal="center" vertical="center"/>
    </xf>
    <xf numFmtId="3" fontId="69" fillId="0" borderId="23" xfId="0" applyNumberFormat="1" applyFont="1" applyBorder="1" applyAlignment="1">
      <alignment horizontal="center" vertical="center"/>
    </xf>
    <xf numFmtId="178" fontId="69" fillId="0" borderId="23" xfId="1" applyNumberFormat="1" applyFont="1" applyBorder="1" applyAlignment="1">
      <alignment horizontal="center" vertical="center"/>
    </xf>
    <xf numFmtId="0" fontId="69" fillId="0" borderId="23" xfId="0" applyFont="1" applyBorder="1"/>
    <xf numFmtId="14" fontId="69" fillId="0" borderId="23" xfId="0" applyNumberFormat="1" applyFont="1" applyBorder="1"/>
    <xf numFmtId="165" fontId="69" fillId="24" borderId="23" xfId="0" applyNumberFormat="1" applyFont="1" applyFill="1" applyBorder="1" applyAlignment="1">
      <alignment horizontal="center" vertical="center"/>
    </xf>
    <xf numFmtId="0" fontId="75" fillId="0" borderId="0" xfId="0" applyFont="1"/>
    <xf numFmtId="0" fontId="79" fillId="0" borderId="0" xfId="0" applyFont="1"/>
    <xf numFmtId="0" fontId="79" fillId="4" borderId="0" xfId="0" applyFont="1" applyFill="1"/>
    <xf numFmtId="0" fontId="65" fillId="0" borderId="0" xfId="0" applyFont="1"/>
    <xf numFmtId="0" fontId="64" fillId="0" borderId="0" xfId="0" applyFont="1"/>
    <xf numFmtId="0" fontId="74" fillId="0" borderId="0" xfId="0" applyFont="1"/>
    <xf numFmtId="0" fontId="74" fillId="4" borderId="0" xfId="0" applyFont="1" applyFill="1"/>
    <xf numFmtId="0" fontId="79" fillId="0" borderId="23" xfId="0" applyFont="1" applyBorder="1" applyAlignment="1">
      <alignment horizontal="center"/>
    </xf>
    <xf numFmtId="44" fontId="79" fillId="0" borderId="23" xfId="1" applyFont="1" applyBorder="1" applyAlignment="1">
      <alignment horizontal="center"/>
    </xf>
    <xf numFmtId="2" fontId="79" fillId="0" borderId="23" xfId="0" applyNumberFormat="1" applyFont="1" applyBorder="1" applyAlignment="1">
      <alignment horizontal="center"/>
    </xf>
    <xf numFmtId="44" fontId="65" fillId="0" borderId="0" xfId="0" applyNumberFormat="1" applyFont="1"/>
    <xf numFmtId="0" fontId="66" fillId="2" borderId="3" xfId="0" applyFont="1" applyFill="1" applyBorder="1"/>
    <xf numFmtId="165" fontId="72" fillId="3" borderId="45" xfId="0" applyNumberFormat="1" applyFont="1" applyFill="1" applyBorder="1"/>
    <xf numFmtId="0" fontId="66" fillId="3" borderId="71" xfId="0" applyFont="1" applyFill="1" applyBorder="1"/>
    <xf numFmtId="166" fontId="72" fillId="3" borderId="72" xfId="0" applyNumberFormat="1" applyFont="1" applyFill="1" applyBorder="1"/>
    <xf numFmtId="165" fontId="72" fillId="3" borderId="72" xfId="0" applyNumberFormat="1" applyFont="1" applyFill="1" applyBorder="1"/>
    <xf numFmtId="0" fontId="66" fillId="3" borderId="44" xfId="0" applyFont="1" applyFill="1" applyBorder="1"/>
    <xf numFmtId="165" fontId="72" fillId="3" borderId="20" xfId="0" applyNumberFormat="1" applyFont="1" applyFill="1" applyBorder="1"/>
    <xf numFmtId="16" fontId="79" fillId="2" borderId="7" xfId="0" applyNumberFormat="1" applyFont="1" applyFill="1" applyBorder="1"/>
    <xf numFmtId="0" fontId="79" fillId="4" borderId="9" xfId="0" applyFont="1" applyFill="1" applyBorder="1"/>
    <xf numFmtId="166" fontId="81" fillId="4" borderId="8" xfId="0" applyNumberFormat="1" applyFont="1" applyFill="1" applyBorder="1" applyAlignment="1">
      <alignment horizontal="center"/>
    </xf>
    <xf numFmtId="44" fontId="81" fillId="4" borderId="10" xfId="0" applyNumberFormat="1" applyFont="1" applyFill="1" applyBorder="1"/>
    <xf numFmtId="0" fontId="79" fillId="4" borderId="65" xfId="0" applyFont="1" applyFill="1" applyBorder="1"/>
    <xf numFmtId="166" fontId="82" fillId="5" borderId="1" xfId="0" applyNumberFormat="1" applyFont="1" applyFill="1" applyBorder="1"/>
    <xf numFmtId="166" fontId="83" fillId="5" borderId="13" xfId="0" applyNumberFormat="1" applyFont="1" applyFill="1" applyBorder="1"/>
    <xf numFmtId="166" fontId="83" fillId="5" borderId="8" xfId="0" applyNumberFormat="1" applyFont="1" applyFill="1" applyBorder="1"/>
    <xf numFmtId="44" fontId="82" fillId="5" borderId="1" xfId="0" applyNumberFormat="1" applyFont="1" applyFill="1" applyBorder="1"/>
    <xf numFmtId="166" fontId="84" fillId="3" borderId="17" xfId="0" applyNumberFormat="1" applyFont="1" applyFill="1" applyBorder="1"/>
    <xf numFmtId="166" fontId="84" fillId="3" borderId="15" xfId="0" applyNumberFormat="1" applyFont="1" applyFill="1" applyBorder="1"/>
    <xf numFmtId="44" fontId="84" fillId="3" borderId="16" xfId="0" applyNumberFormat="1" applyFont="1" applyFill="1" applyBorder="1"/>
    <xf numFmtId="165" fontId="81" fillId="6" borderId="20" xfId="0" applyNumberFormat="1" applyFont="1" applyFill="1" applyBorder="1"/>
    <xf numFmtId="0" fontId="83" fillId="6" borderId="18" xfId="0" applyFont="1" applyFill="1" applyBorder="1"/>
    <xf numFmtId="0" fontId="79" fillId="6" borderId="19" xfId="0" applyFont="1" applyFill="1" applyBorder="1"/>
    <xf numFmtId="44" fontId="81" fillId="6" borderId="18" xfId="0" applyNumberFormat="1" applyFont="1" applyFill="1" applyBorder="1"/>
    <xf numFmtId="9" fontId="79" fillId="0" borderId="23" xfId="3" applyFont="1" applyBorder="1" applyAlignment="1">
      <alignment horizontal="center"/>
    </xf>
    <xf numFmtId="44" fontId="75" fillId="0" borderId="23" xfId="0" applyNumberFormat="1" applyFont="1" applyBorder="1" applyAlignment="1">
      <alignment horizontal="center"/>
    </xf>
    <xf numFmtId="44" fontId="79" fillId="0" borderId="23" xfId="0" applyNumberFormat="1" applyFont="1" applyBorder="1" applyAlignment="1">
      <alignment horizontal="center"/>
    </xf>
    <xf numFmtId="9" fontId="75" fillId="0" borderId="23" xfId="3" applyFont="1" applyBorder="1" applyAlignment="1">
      <alignment horizontal="center"/>
    </xf>
    <xf numFmtId="0" fontId="74" fillId="71" borderId="23" xfId="0" applyFont="1" applyFill="1" applyBorder="1" applyAlignment="1">
      <alignment horizontal="center"/>
    </xf>
    <xf numFmtId="178" fontId="40" fillId="4" borderId="10" xfId="0" applyNumberFormat="1" applyFont="1" applyFill="1" applyBorder="1"/>
    <xf numFmtId="178" fontId="42" fillId="5" borderId="1" xfId="0" applyNumberFormat="1" applyFont="1" applyFill="1" applyBorder="1"/>
    <xf numFmtId="178" fontId="43" fillId="3" borderId="16" xfId="0" applyNumberFormat="1" applyFont="1" applyFill="1" applyBorder="1"/>
    <xf numFmtId="178" fontId="40" fillId="6" borderId="18" xfId="0" applyNumberFormat="1" applyFont="1" applyFill="1" applyBorder="1"/>
    <xf numFmtId="16" fontId="10" fillId="2" borderId="7" xfId="0" applyNumberFormat="1" applyFont="1" applyFill="1" applyBorder="1"/>
    <xf numFmtId="0" fontId="10" fillId="90" borderId="9" xfId="0" applyFont="1" applyFill="1" applyBorder="1"/>
    <xf numFmtId="44" fontId="85" fillId="90" borderId="10" xfId="0" applyNumberFormat="1" applyFont="1" applyFill="1" applyBorder="1" applyAlignment="1">
      <alignment horizontal="center"/>
    </xf>
    <xf numFmtId="8" fontId="85" fillId="90" borderId="8" xfId="0" applyNumberFormat="1" applyFont="1" applyFill="1" applyBorder="1" applyAlignment="1">
      <alignment horizontal="center"/>
    </xf>
    <xf numFmtId="166" fontId="86" fillId="4" borderId="8" xfId="0" applyNumberFormat="1" applyFont="1" applyFill="1" applyBorder="1" applyAlignment="1">
      <alignment horizontal="center"/>
    </xf>
    <xf numFmtId="178" fontId="85" fillId="90" borderId="10" xfId="0" applyNumberFormat="1" applyFont="1" applyFill="1" applyBorder="1" applyAlignment="1">
      <alignment horizontal="center"/>
    </xf>
    <xf numFmtId="0" fontId="10" fillId="4" borderId="11" xfId="0" applyFont="1" applyFill="1" applyBorder="1"/>
    <xf numFmtId="166" fontId="86" fillId="4" borderId="9" xfId="0" applyNumberFormat="1" applyFont="1" applyFill="1" applyBorder="1"/>
    <xf numFmtId="0" fontId="10" fillId="4" borderId="9" xfId="0" applyFont="1" applyFill="1" applyBorder="1"/>
    <xf numFmtId="44" fontId="86" fillId="4" borderId="9" xfId="0" applyNumberFormat="1" applyFont="1" applyFill="1" applyBorder="1"/>
    <xf numFmtId="178" fontId="86" fillId="4" borderId="9" xfId="1" applyNumberFormat="1" applyFont="1" applyFill="1" applyBorder="1"/>
    <xf numFmtId="166" fontId="86" fillId="4" borderId="10" xfId="0" applyNumberFormat="1" applyFont="1" applyFill="1" applyBorder="1"/>
    <xf numFmtId="178" fontId="86" fillId="4" borderId="9" xfId="0" applyNumberFormat="1" applyFont="1" applyFill="1" applyBorder="1"/>
    <xf numFmtId="44" fontId="86" fillId="4" borderId="9" xfId="1" applyFont="1" applyFill="1" applyBorder="1"/>
    <xf numFmtId="178" fontId="86" fillId="4" borderId="10" xfId="1" applyNumberFormat="1" applyFont="1" applyFill="1" applyBorder="1"/>
    <xf numFmtId="178" fontId="86" fillId="4" borderId="10" xfId="0" applyNumberFormat="1" applyFont="1" applyFill="1" applyBorder="1"/>
    <xf numFmtId="165" fontId="86" fillId="4" borderId="10" xfId="0" applyNumberFormat="1" applyFont="1" applyFill="1" applyBorder="1"/>
    <xf numFmtId="166" fontId="86" fillId="4" borderId="8" xfId="0" applyNumberFormat="1" applyFont="1" applyFill="1" applyBorder="1"/>
    <xf numFmtId="165" fontId="86" fillId="4" borderId="10" xfId="0" applyNumberFormat="1" applyFont="1" applyFill="1" applyBorder="1" applyAlignment="1">
      <alignment horizontal="center"/>
    </xf>
    <xf numFmtId="178" fontId="86" fillId="4" borderId="10" xfId="0" applyNumberFormat="1" applyFont="1" applyFill="1" applyBorder="1" applyAlignment="1">
      <alignment horizontal="center"/>
    </xf>
    <xf numFmtId="0" fontId="37" fillId="4" borderId="8" xfId="0" applyFont="1" applyFill="1" applyBorder="1"/>
    <xf numFmtId="0" fontId="10" fillId="4" borderId="0" xfId="0" applyFont="1" applyFill="1"/>
    <xf numFmtId="165" fontId="37" fillId="4" borderId="0" xfId="0" applyNumberFormat="1" applyFont="1" applyFill="1"/>
    <xf numFmtId="166" fontId="87" fillId="2" borderId="19" xfId="0" applyNumberFormat="1" applyFont="1" applyFill="1" applyBorder="1"/>
    <xf numFmtId="0" fontId="88" fillId="2" borderId="19" xfId="0" applyFont="1" applyFill="1" applyBorder="1"/>
    <xf numFmtId="165" fontId="87" fillId="2" borderId="20" xfId="0" applyNumberFormat="1" applyFont="1" applyFill="1" applyBorder="1"/>
    <xf numFmtId="165" fontId="87" fillId="2" borderId="19" xfId="0" applyNumberFormat="1" applyFont="1" applyFill="1" applyBorder="1"/>
    <xf numFmtId="166" fontId="87" fillId="2" borderId="24" xfId="0" applyNumberFormat="1" applyFont="1" applyFill="1" applyBorder="1"/>
    <xf numFmtId="0" fontId="89" fillId="0" borderId="0" xfId="0" applyFont="1"/>
    <xf numFmtId="0" fontId="88" fillId="3" borderId="3" xfId="0" applyFont="1" applyFill="1" applyBorder="1"/>
    <xf numFmtId="0" fontId="88" fillId="3" borderId="4" xfId="0" applyFont="1" applyFill="1" applyBorder="1"/>
    <xf numFmtId="166" fontId="90" fillId="3" borderId="5" xfId="0" applyNumberFormat="1" applyFont="1" applyFill="1" applyBorder="1"/>
    <xf numFmtId="165" fontId="90" fillId="3" borderId="6" xfId="0" applyNumberFormat="1" applyFont="1" applyFill="1" applyBorder="1"/>
    <xf numFmtId="165" fontId="90" fillId="3" borderId="38" xfId="0" applyNumberFormat="1" applyFont="1" applyFill="1" applyBorder="1"/>
    <xf numFmtId="165" fontId="90" fillId="3" borderId="16" xfId="0" applyNumberFormat="1" applyFont="1" applyFill="1" applyBorder="1"/>
    <xf numFmtId="0" fontId="88" fillId="3" borderId="21" xfId="0" applyFont="1" applyFill="1" applyBorder="1"/>
    <xf numFmtId="166" fontId="90" fillId="3" borderId="16" xfId="0" applyNumberFormat="1" applyFont="1" applyFill="1" applyBorder="1"/>
    <xf numFmtId="165" fontId="90" fillId="3" borderId="45" xfId="0" applyNumberFormat="1" applyFont="1" applyFill="1" applyBorder="1"/>
    <xf numFmtId="165" fontId="90" fillId="3" borderId="25" xfId="0" applyNumberFormat="1" applyFont="1" applyFill="1" applyBorder="1"/>
    <xf numFmtId="165" fontId="90" fillId="3" borderId="17" xfId="0" applyNumberFormat="1" applyFont="1" applyFill="1" applyBorder="1"/>
    <xf numFmtId="16" fontId="89" fillId="2" borderId="7" xfId="0" applyNumberFormat="1" applyFont="1" applyFill="1" applyBorder="1"/>
    <xf numFmtId="0" fontId="89" fillId="4" borderId="9" xfId="0" applyFont="1" applyFill="1" applyBorder="1"/>
    <xf numFmtId="166" fontId="87" fillId="4" borderId="9" xfId="0" applyNumberFormat="1" applyFont="1" applyFill="1" applyBorder="1"/>
    <xf numFmtId="166" fontId="87" fillId="4" borderId="8" xfId="0" applyNumberFormat="1" applyFont="1" applyFill="1" applyBorder="1"/>
    <xf numFmtId="166" fontId="87" fillId="4" borderId="0" xfId="0" applyNumberFormat="1" applyFont="1" applyFill="1"/>
    <xf numFmtId="16" fontId="89" fillId="2" borderId="12" xfId="0" applyNumberFormat="1" applyFont="1" applyFill="1" applyBorder="1"/>
    <xf numFmtId="0" fontId="89" fillId="4" borderId="30" xfId="0" applyFont="1" applyFill="1" applyBorder="1"/>
    <xf numFmtId="166" fontId="87" fillId="4" borderId="30" xfId="0" applyNumberFormat="1" applyFont="1" applyFill="1" applyBorder="1"/>
    <xf numFmtId="166" fontId="87" fillId="4" borderId="1" xfId="0" applyNumberFormat="1" applyFont="1" applyFill="1" applyBorder="1"/>
    <xf numFmtId="0" fontId="89" fillId="4" borderId="4" xfId="0" applyFont="1" applyFill="1" applyBorder="1"/>
    <xf numFmtId="0" fontId="89" fillId="4" borderId="11" xfId="0" applyFont="1" applyFill="1" applyBorder="1"/>
    <xf numFmtId="16" fontId="89" fillId="38" borderId="7" xfId="0" applyNumberFormat="1" applyFont="1" applyFill="1" applyBorder="1"/>
    <xf numFmtId="0" fontId="89" fillId="38" borderId="11" xfId="0" applyFont="1" applyFill="1" applyBorder="1"/>
    <xf numFmtId="166" fontId="87" fillId="38" borderId="9" xfId="0" applyNumberFormat="1" applyFont="1" applyFill="1" applyBorder="1"/>
    <xf numFmtId="166" fontId="87" fillId="38" borderId="8" xfId="0" applyNumberFormat="1" applyFont="1" applyFill="1" applyBorder="1" applyAlignment="1">
      <alignment horizontal="center"/>
    </xf>
    <xf numFmtId="166" fontId="87" fillId="4" borderId="10" xfId="0" applyNumberFormat="1" applyFont="1" applyFill="1" applyBorder="1"/>
    <xf numFmtId="165" fontId="87" fillId="4" borderId="8" xfId="0" applyNumberFormat="1" applyFont="1" applyFill="1" applyBorder="1"/>
    <xf numFmtId="166" fontId="87" fillId="4" borderId="8" xfId="0" applyNumberFormat="1" applyFont="1" applyFill="1" applyBorder="1" applyAlignment="1">
      <alignment horizontal="center"/>
    </xf>
    <xf numFmtId="178" fontId="87" fillId="4" borderId="9" xfId="0" applyNumberFormat="1" applyFont="1" applyFill="1" applyBorder="1"/>
    <xf numFmtId="165" fontId="87" fillId="4" borderId="0" xfId="0" applyNumberFormat="1" applyFont="1" applyFill="1"/>
    <xf numFmtId="0" fontId="89" fillId="4" borderId="0" xfId="0" applyFont="1" applyFill="1"/>
    <xf numFmtId="16" fontId="89" fillId="2" borderId="7" xfId="0" applyNumberFormat="1" applyFont="1" applyFill="1" applyBorder="1" applyAlignment="1">
      <alignment horizontal="center"/>
    </xf>
    <xf numFmtId="16" fontId="89" fillId="2" borderId="24" xfId="0" applyNumberFormat="1" applyFont="1" applyFill="1" applyBorder="1"/>
    <xf numFmtId="0" fontId="89" fillId="4" borderId="43" xfId="0" applyFont="1" applyFill="1" applyBorder="1"/>
    <xf numFmtId="166" fontId="87" fillId="4" borderId="44" xfId="0" applyNumberFormat="1" applyFont="1" applyFill="1" applyBorder="1"/>
    <xf numFmtId="166" fontId="87" fillId="4" borderId="20" xfId="0" applyNumberFormat="1" applyFont="1" applyFill="1" applyBorder="1"/>
    <xf numFmtId="16" fontId="89" fillId="2" borderId="31" xfId="0" applyNumberFormat="1" applyFont="1" applyFill="1" applyBorder="1"/>
    <xf numFmtId="166" fontId="88" fillId="5" borderId="12" xfId="0" applyNumberFormat="1" applyFont="1" applyFill="1" applyBorder="1"/>
    <xf numFmtId="166" fontId="88" fillId="5" borderId="13" xfId="0" applyNumberFormat="1" applyFont="1" applyFill="1" applyBorder="1"/>
    <xf numFmtId="166" fontId="90" fillId="5" borderId="1" xfId="0" applyNumberFormat="1" applyFont="1" applyFill="1" applyBorder="1"/>
    <xf numFmtId="166" fontId="91" fillId="3" borderId="14" xfId="0" applyNumberFormat="1" applyFont="1" applyFill="1" applyBorder="1"/>
    <xf numFmtId="166" fontId="91" fillId="3" borderId="15" xfId="0" applyNumberFormat="1" applyFont="1" applyFill="1" applyBorder="1"/>
    <xf numFmtId="166" fontId="91" fillId="3" borderId="16" xfId="0" applyNumberFormat="1" applyFont="1" applyFill="1" applyBorder="1"/>
    <xf numFmtId="166" fontId="91" fillId="3" borderId="17" xfId="0" applyNumberFormat="1" applyFont="1" applyFill="1" applyBorder="1"/>
    <xf numFmtId="0" fontId="88" fillId="6" borderId="24" xfId="0" applyFont="1" applyFill="1" applyBorder="1"/>
    <xf numFmtId="0" fontId="89" fillId="6" borderId="19" xfId="0" applyFont="1" applyFill="1" applyBorder="1"/>
    <xf numFmtId="166" fontId="87" fillId="6" borderId="18" xfId="0" applyNumberFormat="1" applyFont="1" applyFill="1" applyBorder="1"/>
    <xf numFmtId="165" fontId="87" fillId="6" borderId="20" xfId="0" applyNumberFormat="1" applyFont="1" applyFill="1" applyBorder="1"/>
    <xf numFmtId="166" fontId="88" fillId="5" borderId="36" xfId="0" applyNumberFormat="1" applyFont="1" applyFill="1" applyBorder="1"/>
    <xf numFmtId="166" fontId="92" fillId="5" borderId="13" xfId="0" applyNumberFormat="1" applyFont="1" applyFill="1" applyBorder="1"/>
    <xf numFmtId="178" fontId="0" fillId="0" borderId="0" xfId="0" applyNumberForma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0" fillId="111" borderId="0" xfId="0" applyNumberFormat="1" applyFill="1" applyAlignment="1">
      <alignment horizontal="center"/>
    </xf>
    <xf numFmtId="178" fontId="0" fillId="111" borderId="0" xfId="0" applyNumberFormat="1" applyFill="1"/>
    <xf numFmtId="0" fontId="93" fillId="3" borderId="3" xfId="0" applyFont="1" applyFill="1" applyBorder="1"/>
    <xf numFmtId="0" fontId="93" fillId="3" borderId="25" xfId="0" applyFont="1" applyFill="1" applyBorder="1"/>
    <xf numFmtId="16" fontId="95" fillId="11" borderId="31" xfId="0" applyNumberFormat="1" applyFont="1" applyFill="1" applyBorder="1"/>
    <xf numFmtId="0" fontId="95" fillId="4" borderId="9" xfId="0" applyFont="1" applyFill="1" applyBorder="1"/>
    <xf numFmtId="44" fontId="95" fillId="90" borderId="10" xfId="0" applyNumberFormat="1" applyFont="1" applyFill="1" applyBorder="1" applyAlignment="1">
      <alignment horizontal="center"/>
    </xf>
    <xf numFmtId="16" fontId="95" fillId="11" borderId="7" xfId="0" applyNumberFormat="1" applyFont="1" applyFill="1" applyBorder="1"/>
    <xf numFmtId="166" fontId="97" fillId="5" borderId="12" xfId="0" applyNumberFormat="1" applyFont="1" applyFill="1" applyBorder="1"/>
    <xf numFmtId="166" fontId="97" fillId="3" borderId="14" xfId="0" applyNumberFormat="1" applyFont="1" applyFill="1" applyBorder="1"/>
    <xf numFmtId="0" fontId="97" fillId="6" borderId="24" xfId="0" applyFont="1" applyFill="1" applyBorder="1"/>
    <xf numFmtId="0" fontId="96" fillId="0" borderId="0" xfId="0" applyFont="1"/>
    <xf numFmtId="0" fontId="10" fillId="5" borderId="12" xfId="0" applyFont="1" applyFill="1" applyBorder="1"/>
    <xf numFmtId="0" fontId="98" fillId="11" borderId="12" xfId="0" applyFont="1" applyFill="1" applyBorder="1"/>
    <xf numFmtId="0" fontId="99" fillId="11" borderId="2" xfId="0" applyFont="1" applyFill="1" applyBorder="1"/>
    <xf numFmtId="166" fontId="100" fillId="11" borderId="2" xfId="0" applyNumberFormat="1" applyFont="1" applyFill="1" applyBorder="1"/>
    <xf numFmtId="165" fontId="100" fillId="11" borderId="1" xfId="0" applyNumberFormat="1" applyFont="1" applyFill="1" applyBorder="1"/>
    <xf numFmtId="166" fontId="100" fillId="2" borderId="19" xfId="0" applyNumberFormat="1" applyFont="1" applyFill="1" applyBorder="1"/>
    <xf numFmtId="0" fontId="99" fillId="2" borderId="19" xfId="0" applyFont="1" applyFill="1" applyBorder="1"/>
    <xf numFmtId="165" fontId="100" fillId="2" borderId="20" xfId="0" applyNumberFormat="1" applyFont="1" applyFill="1" applyBorder="1"/>
    <xf numFmtId="0" fontId="101" fillId="2" borderId="19" xfId="2" applyFont="1" applyFill="1" applyBorder="1" applyAlignment="1" applyProtection="1"/>
    <xf numFmtId="166" fontId="100" fillId="2" borderId="24" xfId="0" applyNumberFormat="1" applyFont="1" applyFill="1" applyBorder="1"/>
    <xf numFmtId="0" fontId="102" fillId="0" borderId="0" xfId="0" applyFont="1"/>
    <xf numFmtId="0" fontId="99" fillId="3" borderId="3" xfId="0" applyFont="1" applyFill="1" applyBorder="1"/>
    <xf numFmtId="0" fontId="99" fillId="3" borderId="4" xfId="0" applyFont="1" applyFill="1" applyBorder="1"/>
    <xf numFmtId="166" fontId="103" fillId="3" borderId="5" xfId="0" applyNumberFormat="1" applyFont="1" applyFill="1" applyBorder="1"/>
    <xf numFmtId="165" fontId="103" fillId="3" borderId="6" xfId="0" applyNumberFormat="1" applyFont="1" applyFill="1" applyBorder="1"/>
    <xf numFmtId="0" fontId="99" fillId="3" borderId="29" xfId="0" applyFont="1" applyFill="1" applyBorder="1"/>
    <xf numFmtId="0" fontId="99" fillId="3" borderId="30" xfId="0" applyFont="1" applyFill="1" applyBorder="1"/>
    <xf numFmtId="166" fontId="103" fillId="3" borderId="30" xfId="0" applyNumberFormat="1" applyFont="1" applyFill="1" applyBorder="1"/>
    <xf numFmtId="0" fontId="99" fillId="3" borderId="23" xfId="0" applyFont="1" applyFill="1" applyBorder="1"/>
    <xf numFmtId="166" fontId="103" fillId="3" borderId="22" xfId="0" applyNumberFormat="1" applyFont="1" applyFill="1" applyBorder="1"/>
    <xf numFmtId="165" fontId="103" fillId="3" borderId="22" xfId="0" applyNumberFormat="1" applyFont="1" applyFill="1" applyBorder="1"/>
    <xf numFmtId="165" fontId="103" fillId="3" borderId="16" xfId="0" applyNumberFormat="1" applyFont="1" applyFill="1" applyBorder="1"/>
    <xf numFmtId="0" fontId="99" fillId="3" borderId="21" xfId="0" applyFont="1" applyFill="1" applyBorder="1"/>
    <xf numFmtId="166" fontId="103" fillId="3" borderId="16" xfId="0" applyNumberFormat="1" applyFont="1" applyFill="1" applyBorder="1"/>
    <xf numFmtId="165" fontId="103" fillId="3" borderId="14" xfId="0" applyNumberFormat="1" applyFont="1" applyFill="1" applyBorder="1"/>
    <xf numFmtId="166" fontId="103" fillId="3" borderId="21" xfId="0" applyNumberFormat="1" applyFont="1" applyFill="1" applyBorder="1"/>
    <xf numFmtId="165" fontId="103" fillId="3" borderId="17" xfId="0" applyNumberFormat="1" applyFont="1" applyFill="1" applyBorder="1"/>
    <xf numFmtId="16" fontId="98" fillId="2" borderId="7" xfId="0" applyNumberFormat="1" applyFont="1" applyFill="1" applyBorder="1"/>
    <xf numFmtId="166" fontId="100" fillId="4" borderId="8" xfId="0" applyNumberFormat="1" applyFont="1" applyFill="1" applyBorder="1" applyAlignment="1">
      <alignment horizontal="center"/>
    </xf>
    <xf numFmtId="0" fontId="98" fillId="4" borderId="9" xfId="0" applyFont="1" applyFill="1" applyBorder="1"/>
    <xf numFmtId="165" fontId="100" fillId="4" borderId="9" xfId="0" applyNumberFormat="1" applyFont="1" applyFill="1" applyBorder="1"/>
    <xf numFmtId="0" fontId="98" fillId="4" borderId="9" xfId="0" applyFont="1" applyFill="1" applyBorder="1" applyAlignment="1">
      <alignment horizontal="right"/>
    </xf>
    <xf numFmtId="166" fontId="99" fillId="5" borderId="13" xfId="0" applyNumberFormat="1" applyFont="1" applyFill="1" applyBorder="1"/>
    <xf numFmtId="166" fontId="103" fillId="5" borderId="1" xfId="0" applyNumberFormat="1" applyFont="1" applyFill="1" applyBorder="1"/>
    <xf numFmtId="166" fontId="104" fillId="3" borderId="14" xfId="0" applyNumberFormat="1" applyFont="1" applyFill="1" applyBorder="1"/>
    <xf numFmtId="166" fontId="104" fillId="3" borderId="15" xfId="0" applyNumberFormat="1" applyFont="1" applyFill="1" applyBorder="1"/>
    <xf numFmtId="166" fontId="104" fillId="3" borderId="16" xfId="0" applyNumberFormat="1" applyFont="1" applyFill="1" applyBorder="1"/>
    <xf numFmtId="166" fontId="104" fillId="3" borderId="17" xfId="0" applyNumberFormat="1" applyFont="1" applyFill="1" applyBorder="1"/>
    <xf numFmtId="0" fontId="99" fillId="6" borderId="24" xfId="0" applyFont="1" applyFill="1" applyBorder="1"/>
    <xf numFmtId="0" fontId="98" fillId="6" borderId="19" xfId="0" applyFont="1" applyFill="1" applyBorder="1"/>
    <xf numFmtId="166" fontId="100" fillId="6" borderId="18" xfId="0" applyNumberFormat="1" applyFont="1" applyFill="1" applyBorder="1"/>
    <xf numFmtId="165" fontId="100" fillId="6" borderId="20" xfId="0" applyNumberFormat="1" applyFont="1" applyFill="1" applyBorder="1"/>
    <xf numFmtId="0" fontId="98" fillId="4" borderId="4" xfId="0" applyFont="1" applyFill="1" applyBorder="1"/>
    <xf numFmtId="166" fontId="100" fillId="4" borderId="4" xfId="0" applyNumberFormat="1" applyFont="1" applyFill="1" applyBorder="1"/>
    <xf numFmtId="166" fontId="100" fillId="4" borderId="8" xfId="0" applyNumberFormat="1" applyFont="1" applyFill="1" applyBorder="1"/>
    <xf numFmtId="16" fontId="98" fillId="4" borderId="9" xfId="0" applyNumberFormat="1" applyFont="1" applyFill="1" applyBorder="1"/>
    <xf numFmtId="166" fontId="100" fillId="4" borderId="9" xfId="0" applyNumberFormat="1" applyFont="1" applyFill="1" applyBorder="1"/>
    <xf numFmtId="0" fontId="98" fillId="90" borderId="9" xfId="0" applyFont="1" applyFill="1" applyBorder="1"/>
    <xf numFmtId="44" fontId="105" fillId="90" borderId="10" xfId="0" applyNumberFormat="1" applyFont="1" applyFill="1" applyBorder="1" applyAlignment="1">
      <alignment horizontal="center"/>
    </xf>
    <xf numFmtId="8" fontId="105" fillId="90" borderId="8" xfId="0" applyNumberFormat="1" applyFont="1" applyFill="1" applyBorder="1" applyAlignment="1">
      <alignment horizontal="center"/>
    </xf>
    <xf numFmtId="0" fontId="98" fillId="4" borderId="11" xfId="0" applyFont="1" applyFill="1" applyBorder="1"/>
    <xf numFmtId="166" fontId="100" fillId="4" borderId="10" xfId="0" applyNumberFormat="1" applyFont="1" applyFill="1" applyBorder="1"/>
    <xf numFmtId="165" fontId="100" fillId="4" borderId="8" xfId="0" applyNumberFormat="1" applyFont="1" applyFill="1" applyBorder="1"/>
    <xf numFmtId="166" fontId="100" fillId="4" borderId="9" xfId="0" applyNumberFormat="1" applyFont="1" applyFill="1" applyBorder="1" applyAlignment="1">
      <alignment horizontal="center"/>
    </xf>
    <xf numFmtId="166" fontId="100" fillId="4" borderId="9" xfId="0" applyNumberFormat="1" applyFont="1" applyFill="1" applyBorder="1" applyAlignment="1">
      <alignment horizontal="right"/>
    </xf>
    <xf numFmtId="7" fontId="100" fillId="4" borderId="9" xfId="0" applyNumberFormat="1" applyFont="1" applyFill="1" applyBorder="1"/>
    <xf numFmtId="166" fontId="99" fillId="5" borderId="12" xfId="0" applyNumberFormat="1" applyFont="1" applyFill="1" applyBorder="1"/>
    <xf numFmtId="0" fontId="98" fillId="4" borderId="9" xfId="0" applyFont="1" applyFill="1" applyBorder="1" applyAlignment="1">
      <alignment horizontal="left"/>
    </xf>
    <xf numFmtId="0" fontId="98" fillId="0" borderId="0" xfId="0" applyFont="1"/>
    <xf numFmtId="166" fontId="100" fillId="0" borderId="8" xfId="0" applyNumberFormat="1" applyFont="1" applyBorder="1"/>
    <xf numFmtId="0" fontId="98" fillId="5" borderId="12" xfId="0" applyFont="1" applyFill="1" applyBorder="1"/>
    <xf numFmtId="0" fontId="99" fillId="5" borderId="2" xfId="0" applyFont="1" applyFill="1" applyBorder="1"/>
    <xf numFmtId="166" fontId="100" fillId="5" borderId="2" xfId="0" applyNumberFormat="1" applyFont="1" applyFill="1" applyBorder="1"/>
    <xf numFmtId="165" fontId="100" fillId="5" borderId="1" xfId="0" applyNumberFormat="1" applyFont="1" applyFill="1" applyBorder="1"/>
    <xf numFmtId="165" fontId="100" fillId="2" borderId="19" xfId="0" applyNumberFormat="1" applyFont="1" applyFill="1" applyBorder="1"/>
    <xf numFmtId="165" fontId="103" fillId="3" borderId="38" xfId="0" applyNumberFormat="1" applyFont="1" applyFill="1" applyBorder="1"/>
    <xf numFmtId="165" fontId="103" fillId="3" borderId="45" xfId="0" applyNumberFormat="1" applyFont="1" applyFill="1" applyBorder="1"/>
    <xf numFmtId="165" fontId="103" fillId="3" borderId="25" xfId="0" applyNumberFormat="1" applyFont="1" applyFill="1" applyBorder="1"/>
    <xf numFmtId="178" fontId="100" fillId="4" borderId="9" xfId="0" applyNumberFormat="1" applyFont="1" applyFill="1" applyBorder="1"/>
    <xf numFmtId="178" fontId="103" fillId="5" borderId="1" xfId="0" applyNumberFormat="1" applyFont="1" applyFill="1" applyBorder="1"/>
    <xf numFmtId="178" fontId="104" fillId="3" borderId="16" xfId="0" applyNumberFormat="1" applyFont="1" applyFill="1" applyBorder="1"/>
    <xf numFmtId="178" fontId="100" fillId="6" borderId="18" xfId="0" applyNumberFormat="1" applyFont="1" applyFill="1" applyBorder="1"/>
    <xf numFmtId="8" fontId="106" fillId="4" borderId="8" xfId="0" applyNumberFormat="1" applyFont="1" applyFill="1" applyBorder="1" applyAlignment="1">
      <alignment horizontal="center"/>
    </xf>
    <xf numFmtId="44" fontId="100" fillId="4" borderId="9" xfId="1" applyFont="1" applyFill="1" applyBorder="1" applyAlignment="1">
      <alignment horizontal="center"/>
    </xf>
    <xf numFmtId="44" fontId="100" fillId="4" borderId="9" xfId="0" applyNumberFormat="1" applyFont="1" applyFill="1" applyBorder="1"/>
    <xf numFmtId="44" fontId="100" fillId="4" borderId="9" xfId="1" applyFont="1" applyFill="1" applyBorder="1"/>
    <xf numFmtId="0" fontId="98" fillId="4" borderId="0" xfId="0" applyFont="1" applyFill="1"/>
    <xf numFmtId="44" fontId="103" fillId="5" borderId="13" xfId="1" applyFont="1" applyFill="1" applyBorder="1" applyAlignment="1">
      <alignment horizontal="center"/>
    </xf>
    <xf numFmtId="166" fontId="103" fillId="5" borderId="1" xfId="0" applyNumberFormat="1" applyFont="1" applyFill="1" applyBorder="1" applyAlignment="1">
      <alignment horizontal="center"/>
    </xf>
    <xf numFmtId="44" fontId="104" fillId="3" borderId="15" xfId="1" applyFont="1" applyFill="1" applyBorder="1" applyAlignment="1">
      <alignment horizontal="center"/>
    </xf>
    <xf numFmtId="166" fontId="104" fillId="3" borderId="17" xfId="0" applyNumberFormat="1" applyFont="1" applyFill="1" applyBorder="1" applyAlignment="1">
      <alignment horizontal="center"/>
    </xf>
    <xf numFmtId="0" fontId="99" fillId="6" borderId="18" xfId="0" applyFont="1" applyFill="1" applyBorder="1"/>
    <xf numFmtId="44" fontId="100" fillId="6" borderId="18" xfId="1" applyFont="1" applyFill="1" applyBorder="1" applyAlignment="1">
      <alignment horizontal="center"/>
    </xf>
    <xf numFmtId="165" fontId="100" fillId="6" borderId="20" xfId="0" applyNumberFormat="1" applyFont="1" applyFill="1" applyBorder="1" applyAlignment="1">
      <alignment horizontal="center"/>
    </xf>
    <xf numFmtId="0" fontId="102" fillId="4" borderId="0" xfId="0" applyFont="1" applyFill="1"/>
    <xf numFmtId="44" fontId="102" fillId="4" borderId="0" xfId="1" applyFont="1" applyFill="1"/>
    <xf numFmtId="0" fontId="102" fillId="4" borderId="0" xfId="0" applyFont="1" applyFill="1" applyAlignment="1">
      <alignment horizontal="center"/>
    </xf>
    <xf numFmtId="16" fontId="98" fillId="4" borderId="7" xfId="0" applyNumberFormat="1" applyFont="1" applyFill="1" applyBorder="1"/>
    <xf numFmtId="0" fontId="107" fillId="0" borderId="0" xfId="0" applyFont="1"/>
    <xf numFmtId="0" fontId="108" fillId="0" borderId="0" xfId="0" applyFont="1"/>
    <xf numFmtId="0" fontId="109" fillId="2" borderId="19" xfId="2" applyFont="1" applyFill="1" applyBorder="1" applyAlignment="1" applyProtection="1"/>
    <xf numFmtId="0" fontId="107" fillId="4" borderId="0" xfId="0" applyFont="1" applyFill="1"/>
    <xf numFmtId="8" fontId="110" fillId="4" borderId="9" xfId="0" applyNumberFormat="1" applyFont="1" applyFill="1" applyBorder="1"/>
    <xf numFmtId="0" fontId="107" fillId="0" borderId="0" xfId="0" applyFont="1" applyAlignment="1">
      <alignment horizontal="center"/>
    </xf>
    <xf numFmtId="44" fontId="107" fillId="0" borderId="0" xfId="0" applyNumberFormat="1" applyFont="1" applyAlignment="1">
      <alignment horizontal="center"/>
    </xf>
    <xf numFmtId="166" fontId="100" fillId="2" borderId="19" xfId="0" applyNumberFormat="1" applyFont="1" applyFill="1" applyBorder="1" applyAlignment="1">
      <alignment horizontal="center"/>
    </xf>
    <xf numFmtId="165" fontId="100" fillId="2" borderId="20" xfId="0" applyNumberFormat="1" applyFont="1" applyFill="1" applyBorder="1" applyAlignment="1">
      <alignment horizontal="center"/>
    </xf>
    <xf numFmtId="44" fontId="100" fillId="2" borderId="19" xfId="0" applyNumberFormat="1" applyFont="1" applyFill="1" applyBorder="1" applyAlignment="1">
      <alignment horizontal="center"/>
    </xf>
    <xf numFmtId="166" fontId="103" fillId="3" borderId="5" xfId="0" applyNumberFormat="1" applyFont="1" applyFill="1" applyBorder="1" applyAlignment="1">
      <alignment horizontal="center"/>
    </xf>
    <xf numFmtId="166" fontId="103" fillId="3" borderId="30" xfId="0" applyNumberFormat="1" applyFont="1" applyFill="1" applyBorder="1" applyAlignment="1">
      <alignment horizontal="center"/>
    </xf>
    <xf numFmtId="165" fontId="103" fillId="3" borderId="6" xfId="0" applyNumberFormat="1" applyFont="1" applyFill="1" applyBorder="1" applyAlignment="1">
      <alignment horizontal="center"/>
    </xf>
    <xf numFmtId="44" fontId="103" fillId="3" borderId="30" xfId="0" applyNumberFormat="1" applyFont="1" applyFill="1" applyBorder="1" applyAlignment="1">
      <alignment horizontal="center"/>
    </xf>
    <xf numFmtId="166" fontId="103" fillId="3" borderId="16" xfId="0" applyNumberFormat="1" applyFont="1" applyFill="1" applyBorder="1" applyAlignment="1">
      <alignment horizontal="center"/>
    </xf>
    <xf numFmtId="166" fontId="103" fillId="3" borderId="21" xfId="0" applyNumberFormat="1" applyFont="1" applyFill="1" applyBorder="1" applyAlignment="1">
      <alignment horizontal="center"/>
    </xf>
    <xf numFmtId="165" fontId="103" fillId="3" borderId="17" xfId="0" applyNumberFormat="1" applyFont="1" applyFill="1" applyBorder="1" applyAlignment="1">
      <alignment horizontal="center"/>
    </xf>
    <xf numFmtId="44" fontId="103" fillId="3" borderId="21" xfId="0" applyNumberFormat="1" applyFont="1" applyFill="1" applyBorder="1" applyAlignment="1">
      <alignment horizontal="center"/>
    </xf>
    <xf numFmtId="16" fontId="98" fillId="2" borderId="12" xfId="0" applyNumberFormat="1" applyFont="1" applyFill="1" applyBorder="1"/>
    <xf numFmtId="0" fontId="98" fillId="4" borderId="30" xfId="0" applyFont="1" applyFill="1" applyBorder="1"/>
    <xf numFmtId="166" fontId="100" fillId="4" borderId="30" xfId="0" applyNumberFormat="1" applyFont="1" applyFill="1" applyBorder="1"/>
    <xf numFmtId="166" fontId="100" fillId="4" borderId="1" xfId="0" applyNumberFormat="1" applyFont="1" applyFill="1" applyBorder="1"/>
    <xf numFmtId="8" fontId="100" fillId="4" borderId="30" xfId="0" applyNumberFormat="1" applyFont="1" applyFill="1" applyBorder="1"/>
    <xf numFmtId="8" fontId="100" fillId="4" borderId="30" xfId="0" applyNumberFormat="1" applyFont="1" applyFill="1" applyBorder="1" applyAlignment="1">
      <alignment horizontal="center"/>
    </xf>
    <xf numFmtId="8" fontId="100" fillId="4" borderId="9" xfId="0" applyNumberFormat="1" applyFont="1" applyFill="1" applyBorder="1"/>
    <xf numFmtId="8" fontId="100" fillId="4" borderId="9" xfId="0" applyNumberFormat="1" applyFont="1" applyFill="1" applyBorder="1" applyAlignment="1">
      <alignment horizontal="right"/>
    </xf>
    <xf numFmtId="8" fontId="100" fillId="4" borderId="9" xfId="0" applyNumberFormat="1" applyFont="1" applyFill="1" applyBorder="1" applyAlignment="1">
      <alignment horizontal="center"/>
    </xf>
    <xf numFmtId="8" fontId="100" fillId="4" borderId="10" xfId="0" applyNumberFormat="1" applyFont="1" applyFill="1" applyBorder="1"/>
    <xf numFmtId="8" fontId="100" fillId="4" borderId="10" xfId="0" applyNumberFormat="1" applyFont="1" applyFill="1" applyBorder="1" applyAlignment="1">
      <alignment horizontal="right"/>
    </xf>
    <xf numFmtId="8" fontId="100" fillId="4" borderId="10" xfId="0" applyNumberFormat="1" applyFont="1" applyFill="1" applyBorder="1" applyAlignment="1">
      <alignment horizontal="center"/>
    </xf>
    <xf numFmtId="44" fontId="100" fillId="4" borderId="9" xfId="0" applyNumberFormat="1" applyFont="1" applyFill="1" applyBorder="1" applyAlignment="1">
      <alignment horizontal="center"/>
    </xf>
    <xf numFmtId="44" fontId="100" fillId="4" borderId="10" xfId="1" applyFont="1" applyFill="1" applyBorder="1" applyAlignment="1">
      <alignment horizontal="center"/>
    </xf>
    <xf numFmtId="16" fontId="98" fillId="51" borderId="7" xfId="0" applyNumberFormat="1" applyFont="1" applyFill="1" applyBorder="1"/>
    <xf numFmtId="179" fontId="100" fillId="4" borderId="9" xfId="0" applyNumberFormat="1" applyFont="1" applyFill="1" applyBorder="1" applyAlignment="1">
      <alignment horizontal="center"/>
    </xf>
    <xf numFmtId="44" fontId="100" fillId="4" borderId="8" xfId="1" applyFont="1" applyFill="1" applyBorder="1"/>
    <xf numFmtId="178" fontId="100" fillId="4" borderId="9" xfId="1" applyNumberFormat="1" applyFont="1" applyFill="1" applyBorder="1" applyAlignment="1">
      <alignment horizontal="center"/>
    </xf>
    <xf numFmtId="16" fontId="98" fillId="2" borderId="31" xfId="0" applyNumberFormat="1" applyFont="1" applyFill="1" applyBorder="1"/>
    <xf numFmtId="0" fontId="98" fillId="4" borderId="8" xfId="0" applyFont="1" applyFill="1" applyBorder="1"/>
    <xf numFmtId="180" fontId="100" fillId="4" borderId="9" xfId="0" applyNumberFormat="1" applyFont="1" applyFill="1" applyBorder="1" applyAlignment="1">
      <alignment horizontal="center"/>
    </xf>
    <xf numFmtId="44" fontId="100" fillId="4" borderId="9" xfId="1" applyFont="1" applyFill="1" applyBorder="1" applyAlignment="1">
      <alignment horizontal="left"/>
    </xf>
    <xf numFmtId="166" fontId="100" fillId="15" borderId="8" xfId="0" applyNumberFormat="1" applyFont="1" applyFill="1" applyBorder="1"/>
    <xf numFmtId="0" fontId="98" fillId="4" borderId="32" xfId="0" applyFont="1" applyFill="1" applyBorder="1"/>
    <xf numFmtId="166" fontId="100" fillId="4" borderId="32" xfId="0" applyNumberFormat="1" applyFont="1" applyFill="1" applyBorder="1"/>
    <xf numFmtId="166" fontId="104" fillId="3" borderId="16" xfId="0" applyNumberFormat="1" applyFont="1" applyFill="1" applyBorder="1" applyAlignment="1">
      <alignment horizontal="center"/>
    </xf>
    <xf numFmtId="44" fontId="103" fillId="5" borderId="1" xfId="0" applyNumberFormat="1" applyFont="1" applyFill="1" applyBorder="1" applyAlignment="1">
      <alignment horizontal="center"/>
    </xf>
    <xf numFmtId="166" fontId="100" fillId="6" borderId="18" xfId="0" applyNumberFormat="1" applyFont="1" applyFill="1" applyBorder="1" applyAlignment="1">
      <alignment horizontal="center"/>
    </xf>
    <xf numFmtId="44" fontId="104" fillId="3" borderId="16" xfId="0" applyNumberFormat="1" applyFont="1" applyFill="1" applyBorder="1" applyAlignment="1">
      <alignment horizontal="center"/>
    </xf>
    <xf numFmtId="0" fontId="102" fillId="0" borderId="0" xfId="0" applyFont="1" applyAlignment="1">
      <alignment horizontal="center"/>
    </xf>
    <xf numFmtId="44" fontId="100" fillId="6" borderId="18" xfId="0" applyNumberFormat="1" applyFont="1" applyFill="1" applyBorder="1" applyAlignment="1">
      <alignment horizontal="center"/>
    </xf>
    <xf numFmtId="44" fontId="102" fillId="0" borderId="0" xfId="0" applyNumberFormat="1" applyFont="1" applyAlignment="1">
      <alignment horizontal="center"/>
    </xf>
    <xf numFmtId="0" fontId="113" fillId="54" borderId="11" xfId="0" applyFont="1" applyFill="1" applyBorder="1" applyAlignment="1" applyProtection="1">
      <alignment horizontal="center"/>
      <protection locked="0"/>
    </xf>
    <xf numFmtId="0" fontId="113" fillId="54" borderId="0" xfId="0" applyFont="1" applyFill="1" applyAlignment="1" applyProtection="1">
      <alignment horizontal="center"/>
      <protection locked="0"/>
    </xf>
    <xf numFmtId="0" fontId="112" fillId="70" borderId="23" xfId="2" applyFont="1" applyFill="1" applyBorder="1" applyAlignment="1" applyProtection="1">
      <alignment horizontal="center"/>
    </xf>
    <xf numFmtId="0" fontId="112" fillId="70" borderId="23" xfId="0" applyFont="1" applyFill="1" applyBorder="1" applyAlignment="1">
      <alignment horizontal="center"/>
    </xf>
    <xf numFmtId="0" fontId="114" fillId="56" borderId="23" xfId="2" applyFont="1" applyFill="1" applyBorder="1" applyAlignment="1">
      <alignment horizontal="center"/>
      <protection locked="0"/>
    </xf>
    <xf numFmtId="0" fontId="112" fillId="56" borderId="23" xfId="0" applyFont="1" applyFill="1" applyBorder="1" applyAlignment="1" applyProtection="1">
      <alignment horizontal="center"/>
      <protection locked="0"/>
    </xf>
    <xf numFmtId="10" fontId="115" fillId="47" borderId="23" xfId="0" applyNumberFormat="1" applyFont="1" applyFill="1" applyBorder="1" applyAlignment="1" applyProtection="1">
      <alignment horizontal="center"/>
      <protection locked="0"/>
    </xf>
    <xf numFmtId="0" fontId="112" fillId="47" borderId="23" xfId="0" applyFont="1" applyFill="1" applyBorder="1" applyAlignment="1" applyProtection="1">
      <alignment horizontal="center"/>
      <protection locked="0"/>
    </xf>
    <xf numFmtId="0" fontId="112" fillId="36" borderId="11" xfId="0" applyFont="1" applyFill="1" applyBorder="1" applyAlignment="1" applyProtection="1">
      <alignment horizontal="center"/>
      <protection locked="0"/>
    </xf>
    <xf numFmtId="0" fontId="112" fillId="36" borderId="0" xfId="0" applyFont="1" applyFill="1" applyAlignment="1" applyProtection="1">
      <alignment horizontal="left"/>
      <protection locked="0"/>
    </xf>
    <xf numFmtId="166" fontId="113" fillId="15" borderId="23" xfId="0" applyNumberFormat="1" applyFont="1" applyFill="1" applyBorder="1" applyAlignment="1" applyProtection="1">
      <alignment horizontal="center" wrapText="1"/>
      <protection locked="0"/>
    </xf>
    <xf numFmtId="166" fontId="113" fillId="15" borderId="23" xfId="0" applyNumberFormat="1" applyFont="1" applyFill="1" applyBorder="1" applyAlignment="1" applyProtection="1">
      <alignment horizontal="center"/>
      <protection locked="0"/>
    </xf>
    <xf numFmtId="165" fontId="113" fillId="15" borderId="23" xfId="0" applyNumberFormat="1" applyFont="1" applyFill="1" applyBorder="1" applyAlignment="1" applyProtection="1">
      <alignment horizontal="center"/>
      <protection locked="0"/>
    </xf>
    <xf numFmtId="165" fontId="113" fillId="0" borderId="23" xfId="0" applyNumberFormat="1" applyFont="1" applyBorder="1" applyAlignment="1" applyProtection="1">
      <alignment horizontal="center"/>
      <protection locked="0"/>
    </xf>
    <xf numFmtId="165" fontId="113" fillId="0" borderId="23" xfId="0" applyNumberFormat="1" applyFont="1" applyBorder="1" applyAlignment="1" applyProtection="1">
      <alignment horizontal="center" wrapText="1"/>
      <protection locked="0"/>
    </xf>
    <xf numFmtId="166" fontId="116" fillId="0" borderId="23" xfId="0" applyNumberFormat="1" applyFont="1" applyBorder="1" applyAlignment="1" applyProtection="1">
      <alignment horizontal="center"/>
      <protection locked="0"/>
    </xf>
    <xf numFmtId="166" fontId="113" fillId="38" borderId="23" xfId="0" applyNumberFormat="1" applyFont="1" applyFill="1" applyBorder="1" applyAlignment="1" applyProtection="1">
      <alignment horizontal="center"/>
      <protection locked="0"/>
    </xf>
    <xf numFmtId="10" fontId="115" fillId="38" borderId="23" xfId="0" applyNumberFormat="1" applyFont="1" applyFill="1" applyBorder="1" applyAlignment="1" applyProtection="1">
      <alignment horizontal="center"/>
      <protection locked="0"/>
    </xf>
    <xf numFmtId="10" fontId="115" fillId="45" borderId="23" xfId="0" applyNumberFormat="1" applyFont="1" applyFill="1" applyBorder="1" applyAlignment="1" applyProtection="1">
      <alignment horizontal="center"/>
      <protection locked="0"/>
    </xf>
    <xf numFmtId="166" fontId="117" fillId="38" borderId="23" xfId="0" applyNumberFormat="1" applyFont="1" applyFill="1" applyBorder="1" applyAlignment="1" applyProtection="1">
      <alignment horizontal="center"/>
      <protection locked="0"/>
    </xf>
    <xf numFmtId="165" fontId="117" fillId="0" borderId="23" xfId="1" applyNumberFormat="1" applyFont="1" applyBorder="1" applyAlignment="1">
      <alignment horizontal="center" vertical="center"/>
    </xf>
    <xf numFmtId="166" fontId="112" fillId="47" borderId="23" xfId="0" applyNumberFormat="1" applyFont="1" applyFill="1" applyBorder="1" applyAlignment="1" applyProtection="1">
      <alignment horizontal="center"/>
      <protection locked="0"/>
    </xf>
    <xf numFmtId="10" fontId="112" fillId="47" borderId="23" xfId="0" applyNumberFormat="1" applyFont="1" applyFill="1" applyBorder="1" applyAlignment="1" applyProtection="1">
      <alignment horizontal="center"/>
      <protection locked="0"/>
    </xf>
    <xf numFmtId="0" fontId="112" fillId="36" borderId="23" xfId="0" applyFont="1" applyFill="1" applyBorder="1" applyProtection="1">
      <protection locked="0"/>
    </xf>
    <xf numFmtId="0" fontId="112" fillId="49" borderId="7" xfId="0" applyFont="1" applyFill="1" applyBorder="1" applyAlignment="1" applyProtection="1">
      <alignment horizontal="center"/>
      <protection locked="0"/>
    </xf>
    <xf numFmtId="166" fontId="112" fillId="70" borderId="23" xfId="0" applyNumberFormat="1" applyFont="1" applyFill="1" applyBorder="1" applyAlignment="1" applyProtection="1">
      <alignment horizontal="center"/>
      <protection locked="0"/>
    </xf>
    <xf numFmtId="0" fontId="117" fillId="75" borderId="0" xfId="0" applyFont="1" applyFill="1" applyAlignment="1" applyProtection="1">
      <alignment horizontal="center"/>
      <protection locked="0"/>
    </xf>
    <xf numFmtId="0" fontId="112" fillId="70" borderId="47" xfId="0" applyFont="1" applyFill="1" applyBorder="1" applyProtection="1">
      <protection locked="0"/>
    </xf>
    <xf numFmtId="0" fontId="112" fillId="70" borderId="23" xfId="0" applyFont="1" applyFill="1" applyBorder="1" applyProtection="1">
      <protection locked="0"/>
    </xf>
    <xf numFmtId="10" fontId="115" fillId="70" borderId="23" xfId="0" applyNumberFormat="1" applyFont="1" applyFill="1" applyBorder="1" applyAlignment="1" applyProtection="1">
      <alignment horizontal="center"/>
      <protection locked="0"/>
    </xf>
    <xf numFmtId="0" fontId="0" fillId="4" borderId="0" xfId="0" applyFill="1"/>
    <xf numFmtId="166" fontId="119" fillId="3" borderId="16" xfId="0" applyNumberFormat="1" applyFont="1" applyFill="1" applyBorder="1"/>
    <xf numFmtId="166" fontId="119" fillId="3" borderId="17" xfId="0" applyNumberFormat="1" applyFont="1" applyFill="1" applyBorder="1"/>
    <xf numFmtId="166" fontId="119" fillId="3" borderId="14" xfId="0" applyNumberFormat="1" applyFont="1" applyFill="1" applyBorder="1"/>
    <xf numFmtId="166" fontId="119" fillId="3" borderId="15" xfId="0" applyNumberFormat="1" applyFont="1" applyFill="1" applyBorder="1"/>
    <xf numFmtId="44" fontId="119" fillId="3" borderId="16" xfId="0" applyNumberFormat="1" applyFont="1" applyFill="1" applyBorder="1"/>
    <xf numFmtId="166" fontId="119" fillId="3" borderId="45" xfId="0" applyNumberFormat="1" applyFont="1" applyFill="1" applyBorder="1"/>
    <xf numFmtId="0" fontId="120" fillId="47" borderId="7" xfId="0" applyFont="1" applyFill="1" applyBorder="1" applyAlignment="1" applyProtection="1">
      <alignment horizontal="center"/>
      <protection locked="0"/>
    </xf>
    <xf numFmtId="0" fontId="121" fillId="47" borderId="0" xfId="0" applyFont="1" applyFill="1" applyProtection="1">
      <protection locked="0"/>
    </xf>
    <xf numFmtId="166" fontId="121" fillId="47" borderId="0" xfId="0" applyNumberFormat="1" applyFont="1" applyFill="1" applyAlignment="1" applyProtection="1">
      <alignment horizontal="center"/>
      <protection locked="0"/>
    </xf>
    <xf numFmtId="0" fontId="121" fillId="47" borderId="0" xfId="0" applyFont="1" applyFill="1" applyAlignment="1" applyProtection="1">
      <alignment horizontal="center"/>
      <protection locked="0"/>
    </xf>
    <xf numFmtId="0" fontId="121" fillId="47" borderId="8" xfId="0" applyFont="1" applyFill="1" applyBorder="1" applyAlignment="1" applyProtection="1">
      <alignment horizontal="center"/>
      <protection locked="0"/>
    </xf>
    <xf numFmtId="0" fontId="118" fillId="0" borderId="0" xfId="0" applyFont="1"/>
    <xf numFmtId="0" fontId="121" fillId="73" borderId="52" xfId="0" applyFont="1" applyFill="1" applyBorder="1" applyProtection="1">
      <protection locked="0"/>
    </xf>
    <xf numFmtId="0" fontId="121" fillId="73" borderId="65" xfId="0" applyFont="1" applyFill="1" applyBorder="1" applyProtection="1">
      <protection locked="0"/>
    </xf>
    <xf numFmtId="166" fontId="121" fillId="73" borderId="65" xfId="2" applyNumberFormat="1" applyFont="1" applyFill="1" applyBorder="1" applyAlignment="1">
      <alignment horizontal="center"/>
      <protection locked="0"/>
    </xf>
    <xf numFmtId="0" fontId="122" fillId="73" borderId="65" xfId="2" applyFont="1" applyFill="1" applyBorder="1" applyAlignment="1">
      <alignment horizontal="center"/>
      <protection locked="0"/>
    </xf>
    <xf numFmtId="0" fontId="121" fillId="73" borderId="63" xfId="0" applyFont="1" applyFill="1" applyBorder="1" applyAlignment="1" applyProtection="1">
      <alignment horizontal="center"/>
      <protection locked="0"/>
    </xf>
    <xf numFmtId="0" fontId="121" fillId="36" borderId="23" xfId="0" applyFont="1" applyFill="1" applyBorder="1" applyProtection="1">
      <protection locked="0"/>
    </xf>
    <xf numFmtId="166" fontId="123" fillId="15" borderId="23" xfId="0" applyNumberFormat="1" applyFont="1" applyFill="1" applyBorder="1" applyAlignment="1" applyProtection="1">
      <alignment horizontal="center"/>
      <protection locked="0"/>
    </xf>
    <xf numFmtId="166" fontId="123" fillId="4" borderId="23" xfId="0" applyNumberFormat="1" applyFont="1" applyFill="1" applyBorder="1" applyAlignment="1" applyProtection="1">
      <alignment horizontal="center"/>
      <protection locked="0"/>
    </xf>
    <xf numFmtId="166" fontId="124" fillId="38" borderId="23" xfId="0" applyNumberFormat="1" applyFont="1" applyFill="1" applyBorder="1" applyAlignment="1" applyProtection="1">
      <alignment horizontal="center"/>
      <protection locked="0"/>
    </xf>
    <xf numFmtId="10" fontId="124" fillId="38" borderId="61" xfId="0" applyNumberFormat="1" applyFont="1" applyFill="1" applyBorder="1" applyAlignment="1" applyProtection="1">
      <alignment horizontal="center"/>
      <protection locked="0"/>
    </xf>
    <xf numFmtId="181" fontId="123" fillId="0" borderId="23" xfId="0" applyNumberFormat="1" applyFont="1" applyBorder="1" applyAlignment="1" applyProtection="1">
      <alignment horizontal="center"/>
      <protection locked="0"/>
    </xf>
    <xf numFmtId="166" fontId="123" fillId="0" borderId="23" xfId="0" applyNumberFormat="1" applyFont="1" applyBorder="1" applyAlignment="1" applyProtection="1">
      <alignment horizontal="center"/>
      <protection locked="0"/>
    </xf>
    <xf numFmtId="0" fontId="121" fillId="49" borderId="7" xfId="0" applyFont="1" applyFill="1" applyBorder="1" applyAlignment="1" applyProtection="1">
      <alignment horizontal="center"/>
      <protection locked="0"/>
    </xf>
    <xf numFmtId="166" fontId="123" fillId="0" borderId="4" xfId="0" applyNumberFormat="1" applyFont="1" applyBorder="1" applyAlignment="1" applyProtection="1">
      <alignment horizontal="center"/>
      <protection locked="0"/>
    </xf>
    <xf numFmtId="166" fontId="124" fillId="38" borderId="4" xfId="0" applyNumberFormat="1" applyFont="1" applyFill="1" applyBorder="1" applyAlignment="1" applyProtection="1">
      <alignment horizontal="center"/>
      <protection locked="0"/>
    </xf>
    <xf numFmtId="10" fontId="124" fillId="38" borderId="62" xfId="0" applyNumberFormat="1" applyFont="1" applyFill="1" applyBorder="1" applyAlignment="1" applyProtection="1">
      <alignment horizontal="center"/>
      <protection locked="0"/>
    </xf>
    <xf numFmtId="0" fontId="121" fillId="70" borderId="47" xfId="0" applyFont="1" applyFill="1" applyBorder="1" applyProtection="1">
      <protection locked="0"/>
    </xf>
    <xf numFmtId="0" fontId="121" fillId="70" borderId="23" xfId="0" applyFont="1" applyFill="1" applyBorder="1" applyProtection="1">
      <protection locked="0"/>
    </xf>
    <xf numFmtId="166" fontId="121" fillId="70" borderId="23" xfId="0" applyNumberFormat="1" applyFont="1" applyFill="1" applyBorder="1" applyAlignment="1" applyProtection="1">
      <alignment horizontal="center"/>
      <protection locked="0"/>
    </xf>
    <xf numFmtId="10" fontId="121" fillId="70" borderId="61" xfId="0" applyNumberFormat="1" applyFont="1" applyFill="1" applyBorder="1" applyAlignment="1" applyProtection="1">
      <alignment horizontal="center"/>
      <protection locked="0"/>
    </xf>
    <xf numFmtId="0" fontId="121" fillId="70" borderId="25" xfId="0" applyFont="1" applyFill="1" applyBorder="1" applyProtection="1">
      <protection locked="0"/>
    </xf>
    <xf numFmtId="0" fontId="121" fillId="70" borderId="21" xfId="0" applyFont="1" applyFill="1" applyBorder="1" applyProtection="1">
      <protection locked="0"/>
    </xf>
    <xf numFmtId="10" fontId="121" fillId="70" borderId="21" xfId="0" applyNumberFormat="1" applyFont="1" applyFill="1" applyBorder="1" applyAlignment="1" applyProtection="1">
      <alignment horizontal="center"/>
      <protection locked="0"/>
    </xf>
    <xf numFmtId="0" fontId="121" fillId="70" borderId="64" xfId="0" applyFont="1" applyFill="1" applyBorder="1" applyAlignment="1" applyProtection="1">
      <alignment horizontal="center"/>
      <protection locked="0"/>
    </xf>
    <xf numFmtId="0" fontId="121" fillId="36" borderId="23" xfId="0" applyFont="1" applyFill="1" applyBorder="1" applyAlignment="1" applyProtection="1">
      <alignment horizontal="right"/>
      <protection locked="0"/>
    </xf>
    <xf numFmtId="166" fontId="123" fillId="38" borderId="23" xfId="0" applyNumberFormat="1" applyFont="1" applyFill="1" applyBorder="1" applyAlignment="1" applyProtection="1">
      <alignment horizontal="center"/>
      <protection locked="0"/>
    </xf>
    <xf numFmtId="166" fontId="123" fillId="107" borderId="23" xfId="0" applyNumberFormat="1" applyFont="1" applyFill="1" applyBorder="1" applyAlignment="1" applyProtection="1">
      <alignment horizontal="center"/>
      <protection locked="0"/>
    </xf>
    <xf numFmtId="166" fontId="123" fillId="38" borderId="23" xfId="0" applyNumberFormat="1" applyFont="1" applyFill="1" applyBorder="1" applyAlignment="1">
      <alignment horizontal="center"/>
    </xf>
    <xf numFmtId="0" fontId="125" fillId="73" borderId="52" xfId="0" applyFont="1" applyFill="1" applyBorder="1" applyProtection="1">
      <protection locked="0"/>
    </xf>
    <xf numFmtId="0" fontId="125" fillId="73" borderId="65" xfId="0" applyFont="1" applyFill="1" applyBorder="1" applyProtection="1">
      <protection locked="0"/>
    </xf>
    <xf numFmtId="166" fontId="125" fillId="73" borderId="65" xfId="2" applyNumberFormat="1" applyFont="1" applyFill="1" applyBorder="1" applyAlignment="1">
      <alignment horizontal="center"/>
      <protection locked="0"/>
    </xf>
    <xf numFmtId="0" fontId="126" fillId="73" borderId="65" xfId="2" applyFont="1" applyFill="1" applyBorder="1" applyAlignment="1">
      <alignment horizontal="center"/>
      <protection locked="0"/>
    </xf>
    <xf numFmtId="0" fontId="125" fillId="73" borderId="63" xfId="0" applyFont="1" applyFill="1" applyBorder="1" applyAlignment="1" applyProtection="1">
      <alignment horizontal="center"/>
      <protection locked="0"/>
    </xf>
    <xf numFmtId="0" fontId="125" fillId="36" borderId="23" xfId="0" applyFont="1" applyFill="1" applyBorder="1" applyProtection="1">
      <protection locked="0"/>
    </xf>
    <xf numFmtId="166" fontId="127" fillId="15" borderId="23" xfId="0" applyNumberFormat="1" applyFont="1" applyFill="1" applyBorder="1" applyAlignment="1" applyProtection="1">
      <alignment horizontal="center"/>
      <protection locked="0"/>
    </xf>
    <xf numFmtId="166" fontId="128" fillId="38" borderId="23" xfId="0" applyNumberFormat="1" applyFont="1" applyFill="1" applyBorder="1" applyAlignment="1" applyProtection="1">
      <alignment horizontal="center"/>
      <protection locked="0"/>
    </xf>
    <xf numFmtId="10" fontId="128" fillId="38" borderId="61" xfId="0" applyNumberFormat="1" applyFont="1" applyFill="1" applyBorder="1" applyAlignment="1" applyProtection="1">
      <alignment horizontal="center"/>
      <protection locked="0"/>
    </xf>
    <xf numFmtId="0" fontId="125" fillId="36" borderId="23" xfId="0" applyFont="1" applyFill="1" applyBorder="1" applyAlignment="1" applyProtection="1">
      <alignment horizontal="right"/>
      <protection locked="0"/>
    </xf>
    <xf numFmtId="166" fontId="127" fillId="4" borderId="23" xfId="0" applyNumberFormat="1" applyFont="1" applyFill="1" applyBorder="1" applyAlignment="1" applyProtection="1">
      <alignment horizontal="center"/>
      <protection locked="0"/>
    </xf>
    <xf numFmtId="166" fontId="127" fillId="38" borderId="23" xfId="0" applyNumberFormat="1" applyFont="1" applyFill="1" applyBorder="1" applyAlignment="1" applyProtection="1">
      <alignment horizontal="center"/>
      <protection locked="0"/>
    </xf>
    <xf numFmtId="166" fontId="127" fillId="0" borderId="23" xfId="0" applyNumberFormat="1" applyFont="1" applyBorder="1" applyAlignment="1" applyProtection="1">
      <alignment horizontal="center"/>
      <protection locked="0"/>
    </xf>
    <xf numFmtId="166" fontId="127" fillId="38" borderId="23" xfId="0" applyNumberFormat="1" applyFont="1" applyFill="1" applyBorder="1" applyAlignment="1">
      <alignment horizontal="center"/>
    </xf>
    <xf numFmtId="166" fontId="127" fillId="0" borderId="23" xfId="0" applyNumberFormat="1" applyFont="1" applyBorder="1" applyAlignment="1">
      <alignment horizontal="center"/>
    </xf>
    <xf numFmtId="0" fontId="125" fillId="49" borderId="7" xfId="0" applyFont="1" applyFill="1" applyBorder="1" applyAlignment="1" applyProtection="1">
      <alignment horizontal="center"/>
      <protection locked="0"/>
    </xf>
    <xf numFmtId="166" fontId="127" fillId="0" borderId="4" xfId="0" applyNumberFormat="1" applyFont="1" applyBorder="1" applyAlignment="1" applyProtection="1">
      <alignment horizontal="center"/>
      <protection locked="0"/>
    </xf>
    <xf numFmtId="166" fontId="128" fillId="38" borderId="4" xfId="0" applyNumberFormat="1" applyFont="1" applyFill="1" applyBorder="1" applyAlignment="1" applyProtection="1">
      <alignment horizontal="center"/>
      <protection locked="0"/>
    </xf>
    <xf numFmtId="10" fontId="128" fillId="38" borderId="62" xfId="0" applyNumberFormat="1" applyFont="1" applyFill="1" applyBorder="1" applyAlignment="1" applyProtection="1">
      <alignment horizontal="center"/>
      <protection locked="0"/>
    </xf>
    <xf numFmtId="0" fontId="125" fillId="70" borderId="47" xfId="0" applyFont="1" applyFill="1" applyBorder="1" applyProtection="1">
      <protection locked="0"/>
    </xf>
    <xf numFmtId="0" fontId="125" fillId="70" borderId="23" xfId="0" applyFont="1" applyFill="1" applyBorder="1" applyProtection="1">
      <protection locked="0"/>
    </xf>
    <xf numFmtId="166" fontId="125" fillId="70" borderId="23" xfId="0" applyNumberFormat="1" applyFont="1" applyFill="1" applyBorder="1" applyAlignment="1" applyProtection="1">
      <alignment horizontal="center"/>
      <protection locked="0"/>
    </xf>
    <xf numFmtId="10" fontId="125" fillId="70" borderId="61" xfId="0" applyNumberFormat="1" applyFont="1" applyFill="1" applyBorder="1" applyAlignment="1" applyProtection="1">
      <alignment horizontal="center"/>
      <protection locked="0"/>
    </xf>
    <xf numFmtId="0" fontId="125" fillId="70" borderId="25" xfId="0" applyFont="1" applyFill="1" applyBorder="1" applyProtection="1">
      <protection locked="0"/>
    </xf>
    <xf numFmtId="0" fontId="125" fillId="70" borderId="21" xfId="0" applyFont="1" applyFill="1" applyBorder="1" applyProtection="1">
      <protection locked="0"/>
    </xf>
    <xf numFmtId="10" fontId="125" fillId="70" borderId="21" xfId="0" applyNumberFormat="1" applyFont="1" applyFill="1" applyBorder="1" applyAlignment="1" applyProtection="1">
      <alignment horizontal="center"/>
      <protection locked="0"/>
    </xf>
    <xf numFmtId="0" fontId="125" fillId="70" borderId="64" xfId="0" applyFont="1" applyFill="1" applyBorder="1" applyAlignment="1" applyProtection="1">
      <alignment horizontal="center"/>
      <protection locked="0"/>
    </xf>
    <xf numFmtId="0" fontId="121" fillId="37" borderId="7" xfId="0" applyFont="1" applyFill="1" applyBorder="1" applyAlignment="1" applyProtection="1">
      <alignment horizontal="center" vertical="center"/>
      <protection locked="0"/>
    </xf>
    <xf numFmtId="166" fontId="123" fillId="15" borderId="23" xfId="0" quotePrefix="1" applyNumberFormat="1" applyFont="1" applyFill="1" applyBorder="1" applyAlignment="1" applyProtection="1">
      <alignment horizontal="center"/>
      <protection locked="0"/>
    </xf>
    <xf numFmtId="166" fontId="129" fillId="7" borderId="23" xfId="0" applyNumberFormat="1" applyFont="1" applyFill="1" applyBorder="1" applyAlignment="1" applyProtection="1">
      <alignment horizontal="center"/>
      <protection locked="0"/>
    </xf>
    <xf numFmtId="166" fontId="129" fillId="4" borderId="23" xfId="0" applyNumberFormat="1" applyFont="1" applyFill="1" applyBorder="1" applyAlignment="1" applyProtection="1">
      <alignment horizontal="center"/>
      <protection locked="0"/>
    </xf>
    <xf numFmtId="166" fontId="123" fillId="11" borderId="23" xfId="0" applyNumberFormat="1" applyFont="1" applyFill="1" applyBorder="1" applyAlignment="1" applyProtection="1">
      <alignment horizontal="center"/>
      <protection locked="0"/>
    </xf>
    <xf numFmtId="166" fontId="123" fillId="77" borderId="23" xfId="0" applyNumberFormat="1" applyFont="1" applyFill="1" applyBorder="1" applyAlignment="1" applyProtection="1">
      <alignment horizontal="center"/>
      <protection locked="0"/>
    </xf>
    <xf numFmtId="166" fontId="123" fillId="1" borderId="23" xfId="0" applyNumberFormat="1" applyFont="1" applyFill="1" applyBorder="1" applyAlignment="1" applyProtection="1">
      <alignment horizontal="center"/>
      <protection locked="0"/>
    </xf>
    <xf numFmtId="181" fontId="123" fillId="1" borderId="23" xfId="0" applyNumberFormat="1" applyFont="1" applyFill="1" applyBorder="1" applyAlignment="1" applyProtection="1">
      <alignment horizontal="center"/>
      <protection locked="0"/>
    </xf>
    <xf numFmtId="166" fontId="123" fillId="1" borderId="4" xfId="0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0" borderId="0" xfId="0" applyFont="1" applyAlignment="1">
      <alignment vertical="center"/>
    </xf>
    <xf numFmtId="44" fontId="10" fillId="0" borderId="0" xfId="1" applyFont="1"/>
    <xf numFmtId="10" fontId="10" fillId="0" borderId="0" xfId="0" applyNumberFormat="1" applyFont="1"/>
    <xf numFmtId="44" fontId="10" fillId="0" borderId="0" xfId="0" applyNumberFormat="1" applyFont="1"/>
    <xf numFmtId="9" fontId="10" fillId="0" borderId="0" xfId="0" applyNumberFormat="1" applyFont="1"/>
    <xf numFmtId="166" fontId="10" fillId="0" borderId="0" xfId="0" applyNumberFormat="1" applyFont="1"/>
    <xf numFmtId="165" fontId="10" fillId="0" borderId="0" xfId="1" applyNumberFormat="1" applyFont="1" applyAlignment="1">
      <alignment horizontal="center" vertical="center"/>
    </xf>
    <xf numFmtId="44" fontId="86" fillId="4" borderId="9" xfId="1" applyFont="1" applyFill="1" applyBorder="1" applyAlignment="1">
      <alignment horizontal="center"/>
    </xf>
    <xf numFmtId="8" fontId="86" fillId="4" borderId="8" xfId="0" applyNumberFormat="1" applyFont="1" applyFill="1" applyBorder="1" applyAlignment="1">
      <alignment horizontal="center"/>
    </xf>
    <xf numFmtId="16" fontId="10" fillId="4" borderId="11" xfId="0" applyNumberFormat="1" applyFont="1" applyFill="1" applyBorder="1"/>
    <xf numFmtId="166" fontId="93" fillId="5" borderId="12" xfId="0" applyNumberFormat="1" applyFont="1" applyFill="1" applyBorder="1"/>
    <xf numFmtId="166" fontId="93" fillId="5" borderId="13" xfId="0" applyNumberFormat="1" applyFont="1" applyFill="1" applyBorder="1"/>
    <xf numFmtId="16" fontId="10" fillId="89" borderId="7" xfId="0" applyNumberFormat="1" applyFont="1" applyFill="1" applyBorder="1"/>
    <xf numFmtId="44" fontId="86" fillId="4" borderId="10" xfId="1" applyFont="1" applyFill="1" applyBorder="1" applyAlignment="1">
      <alignment horizontal="center"/>
    </xf>
    <xf numFmtId="16" fontId="10" fillId="2" borderId="31" xfId="0" applyNumberFormat="1" applyFont="1" applyFill="1" applyBorder="1"/>
    <xf numFmtId="0" fontId="10" fillId="4" borderId="10" xfId="0" applyFont="1" applyFill="1" applyBorder="1"/>
    <xf numFmtId="165" fontId="86" fillId="4" borderId="8" xfId="0" applyNumberFormat="1" applyFont="1" applyFill="1" applyBorder="1"/>
    <xf numFmtId="44" fontId="86" fillId="4" borderId="10" xfId="1" applyFont="1" applyFill="1" applyBorder="1"/>
    <xf numFmtId="16" fontId="10" fillId="2" borderId="26" xfId="0" applyNumberFormat="1" applyFont="1" applyFill="1" applyBorder="1"/>
    <xf numFmtId="0" fontId="10" fillId="4" borderId="32" xfId="0" applyFont="1" applyFill="1" applyBorder="1"/>
    <xf numFmtId="166" fontId="86" fillId="4" borderId="32" xfId="0" applyNumberFormat="1" applyFont="1" applyFill="1" applyBorder="1"/>
    <xf numFmtId="44" fontId="86" fillId="4" borderId="10" xfId="0" applyNumberFormat="1" applyFont="1" applyFill="1" applyBorder="1"/>
    <xf numFmtId="166" fontId="86" fillId="4" borderId="0" xfId="0" applyNumberFormat="1" applyFont="1" applyFill="1"/>
    <xf numFmtId="16" fontId="10" fillId="2" borderId="12" xfId="0" applyNumberFormat="1" applyFont="1" applyFill="1" applyBorder="1"/>
    <xf numFmtId="0" fontId="10" fillId="4" borderId="30" xfId="0" applyFont="1" applyFill="1" applyBorder="1"/>
    <xf numFmtId="166" fontId="86" fillId="4" borderId="30" xfId="0" applyNumberFormat="1" applyFont="1" applyFill="1" applyBorder="1"/>
    <xf numFmtId="16" fontId="10" fillId="2" borderId="24" xfId="0" applyNumberFormat="1" applyFont="1" applyFill="1" applyBorder="1"/>
    <xf numFmtId="0" fontId="10" fillId="4" borderId="44" xfId="0" applyFont="1" applyFill="1" applyBorder="1"/>
    <xf numFmtId="166" fontId="86" fillId="4" borderId="44" xfId="0" applyNumberFormat="1" applyFont="1" applyFill="1" applyBorder="1"/>
    <xf numFmtId="16" fontId="10" fillId="4" borderId="9" xfId="0" applyNumberFormat="1" applyFont="1" applyFill="1" applyBorder="1"/>
    <xf numFmtId="166" fontId="86" fillId="4" borderId="11" xfId="0" applyNumberFormat="1" applyFont="1" applyFill="1" applyBorder="1"/>
    <xf numFmtId="0" fontId="10" fillId="4" borderId="65" xfId="0" applyFont="1" applyFill="1" applyBorder="1"/>
    <xf numFmtId="166" fontId="94" fillId="5" borderId="1" xfId="0" applyNumberFormat="1" applyFont="1" applyFill="1" applyBorder="1"/>
    <xf numFmtId="166" fontId="93" fillId="5" borderId="8" xfId="0" applyNumberFormat="1" applyFont="1" applyFill="1" applyBorder="1"/>
    <xf numFmtId="44" fontId="94" fillId="5" borderId="1" xfId="0" applyNumberFormat="1" applyFont="1" applyFill="1" applyBorder="1"/>
    <xf numFmtId="166" fontId="86" fillId="6" borderId="18" xfId="0" applyNumberFormat="1" applyFont="1" applyFill="1" applyBorder="1"/>
    <xf numFmtId="165" fontId="86" fillId="6" borderId="20" xfId="0" applyNumberFormat="1" applyFont="1" applyFill="1" applyBorder="1"/>
    <xf numFmtId="0" fontId="93" fillId="6" borderId="18" xfId="0" applyFont="1" applyFill="1" applyBorder="1"/>
    <xf numFmtId="0" fontId="10" fillId="6" borderId="19" xfId="0" applyFont="1" applyFill="1" applyBorder="1"/>
    <xf numFmtId="44" fontId="86" fillId="6" borderId="18" xfId="0" applyNumberFormat="1" applyFont="1" applyFill="1" applyBorder="1"/>
    <xf numFmtId="44" fontId="10" fillId="4" borderId="0" xfId="0" applyNumberFormat="1" applyFont="1" applyFill="1"/>
    <xf numFmtId="166" fontId="94" fillId="5" borderId="2" xfId="0" applyNumberFormat="1" applyFont="1" applyFill="1" applyBorder="1"/>
    <xf numFmtId="165" fontId="86" fillId="6" borderId="19" xfId="0" applyNumberFormat="1" applyFont="1" applyFill="1" applyBorder="1"/>
    <xf numFmtId="0" fontId="130" fillId="46" borderId="11" xfId="0" applyFont="1" applyFill="1" applyBorder="1"/>
    <xf numFmtId="178" fontId="131" fillId="46" borderId="9" xfId="0" applyNumberFormat="1" applyFont="1" applyFill="1" applyBorder="1"/>
    <xf numFmtId="178" fontId="132" fillId="109" borderId="9" xfId="0" applyNumberFormat="1" applyFont="1" applyFill="1" applyBorder="1" applyAlignment="1">
      <alignment horizontal="center"/>
    </xf>
    <xf numFmtId="0" fontId="130" fillId="110" borderId="11" xfId="0" applyFont="1" applyFill="1" applyBorder="1" applyAlignment="1">
      <alignment horizontal="left"/>
    </xf>
    <xf numFmtId="178" fontId="132" fillId="110" borderId="9" xfId="0" applyNumberFormat="1" applyFont="1" applyFill="1" applyBorder="1" applyAlignment="1">
      <alignment horizontal="center"/>
    </xf>
    <xf numFmtId="0" fontId="130" fillId="109" borderId="11" xfId="0" applyFont="1" applyFill="1" applyBorder="1" applyAlignment="1">
      <alignment horizontal="left"/>
    </xf>
    <xf numFmtId="178" fontId="132" fillId="110" borderId="9" xfId="0" applyNumberFormat="1" applyFont="1" applyFill="1" applyBorder="1" applyAlignment="1">
      <alignment horizontal="left"/>
    </xf>
    <xf numFmtId="0" fontId="133" fillId="73" borderId="52" xfId="0" applyFont="1" applyFill="1" applyBorder="1" applyAlignment="1" applyProtection="1">
      <alignment vertical="center"/>
      <protection locked="0"/>
    </xf>
    <xf numFmtId="0" fontId="133" fillId="73" borderId="65" xfId="0" applyFont="1" applyFill="1" applyBorder="1" applyAlignment="1" applyProtection="1">
      <alignment vertical="center"/>
      <protection locked="0"/>
    </xf>
    <xf numFmtId="166" fontId="133" fillId="73" borderId="65" xfId="2" applyNumberFormat="1" applyFont="1" applyFill="1" applyBorder="1" applyAlignment="1">
      <alignment horizontal="center" vertical="center"/>
      <protection locked="0"/>
    </xf>
    <xf numFmtId="0" fontId="134" fillId="73" borderId="65" xfId="2" applyFont="1" applyFill="1" applyBorder="1" applyAlignment="1">
      <alignment horizontal="center" vertical="center"/>
      <protection locked="0"/>
    </xf>
    <xf numFmtId="0" fontId="133" fillId="73" borderId="63" xfId="0" applyFont="1" applyFill="1" applyBorder="1" applyAlignment="1" applyProtection="1">
      <alignment horizontal="center" vertical="center"/>
      <protection locked="0"/>
    </xf>
    <xf numFmtId="0" fontId="133" fillId="36" borderId="55" xfId="0" applyFont="1" applyFill="1" applyBorder="1" applyAlignment="1" applyProtection="1">
      <alignment vertical="center"/>
      <protection locked="0"/>
    </xf>
    <xf numFmtId="166" fontId="135" fillId="0" borderId="73" xfId="0" quotePrefix="1" applyNumberFormat="1" applyFont="1" applyBorder="1" applyAlignment="1">
      <alignment vertical="center"/>
    </xf>
    <xf numFmtId="166" fontId="136" fillId="38" borderId="22" xfId="0" applyNumberFormat="1" applyFont="1" applyFill="1" applyBorder="1" applyAlignment="1" applyProtection="1">
      <alignment horizontal="center" vertical="center"/>
      <protection locked="0"/>
    </xf>
    <xf numFmtId="10" fontId="136" fillId="38" borderId="61" xfId="0" applyNumberFormat="1" applyFont="1" applyFill="1" applyBorder="1" applyAlignment="1" applyProtection="1">
      <alignment horizontal="center" vertical="center"/>
      <protection locked="0"/>
    </xf>
    <xf numFmtId="0" fontId="133" fillId="36" borderId="23" xfId="0" applyFont="1" applyFill="1" applyBorder="1" applyAlignment="1" applyProtection="1">
      <alignment vertical="center"/>
      <protection locked="0"/>
    </xf>
    <xf numFmtId="166" fontId="136" fillId="38" borderId="23" xfId="0" applyNumberFormat="1" applyFont="1" applyFill="1" applyBorder="1" applyAlignment="1" applyProtection="1">
      <alignment horizontal="center" vertical="center"/>
      <protection locked="0"/>
    </xf>
    <xf numFmtId="0" fontId="133" fillId="49" borderId="7" xfId="0" applyFont="1" applyFill="1" applyBorder="1" applyAlignment="1" applyProtection="1">
      <alignment horizontal="center" vertical="center"/>
      <protection locked="0"/>
    </xf>
    <xf numFmtId="166" fontId="136" fillId="38" borderId="4" xfId="0" applyNumberFormat="1" applyFont="1" applyFill="1" applyBorder="1" applyAlignment="1" applyProtection="1">
      <alignment horizontal="center" vertical="center"/>
      <protection locked="0"/>
    </xf>
    <xf numFmtId="10" fontId="136" fillId="38" borderId="62" xfId="0" applyNumberFormat="1" applyFont="1" applyFill="1" applyBorder="1" applyAlignment="1" applyProtection="1">
      <alignment horizontal="center" vertical="center"/>
      <protection locked="0"/>
    </xf>
    <xf numFmtId="0" fontId="133" fillId="70" borderId="47" xfId="0" applyFont="1" applyFill="1" applyBorder="1" applyAlignment="1" applyProtection="1">
      <alignment vertical="center"/>
      <protection locked="0"/>
    </xf>
    <xf numFmtId="0" fontId="133" fillId="70" borderId="23" xfId="0" applyFont="1" applyFill="1" applyBorder="1" applyAlignment="1" applyProtection="1">
      <alignment vertical="center"/>
      <protection locked="0"/>
    </xf>
    <xf numFmtId="166" fontId="133" fillId="70" borderId="23" xfId="0" applyNumberFormat="1" applyFont="1" applyFill="1" applyBorder="1" applyAlignment="1" applyProtection="1">
      <alignment horizontal="center" vertical="center"/>
      <protection locked="0"/>
    </xf>
    <xf numFmtId="10" fontId="133" fillId="70" borderId="61" xfId="0" applyNumberFormat="1" applyFont="1" applyFill="1" applyBorder="1" applyAlignment="1" applyProtection="1">
      <alignment horizontal="center" vertical="center"/>
      <protection locked="0"/>
    </xf>
    <xf numFmtId="0" fontId="133" fillId="70" borderId="25" xfId="0" applyFont="1" applyFill="1" applyBorder="1" applyAlignment="1" applyProtection="1">
      <alignment vertical="center"/>
      <protection locked="0"/>
    </xf>
    <xf numFmtId="0" fontId="133" fillId="70" borderId="21" xfId="0" applyFont="1" applyFill="1" applyBorder="1" applyAlignment="1" applyProtection="1">
      <alignment vertical="center"/>
      <protection locked="0"/>
    </xf>
    <xf numFmtId="10" fontId="133" fillId="70" borderId="21" xfId="0" applyNumberFormat="1" applyFont="1" applyFill="1" applyBorder="1" applyAlignment="1" applyProtection="1">
      <alignment horizontal="center" vertical="center"/>
      <protection locked="0"/>
    </xf>
    <xf numFmtId="0" fontId="133" fillId="70" borderId="64" xfId="0" applyFont="1" applyFill="1" applyBorder="1" applyAlignment="1" applyProtection="1">
      <alignment horizontal="center" vertical="center"/>
      <protection locked="0"/>
    </xf>
    <xf numFmtId="166" fontId="137" fillId="26" borderId="65" xfId="0" applyNumberFormat="1" applyFont="1" applyFill="1" applyBorder="1" applyAlignment="1">
      <alignment horizontal="center" vertical="center"/>
    </xf>
    <xf numFmtId="166" fontId="137" fillId="0" borderId="65" xfId="0" applyNumberFormat="1" applyFont="1" applyBorder="1" applyAlignment="1">
      <alignment horizontal="center" vertical="center"/>
    </xf>
    <xf numFmtId="166" fontId="137" fillId="26" borderId="23" xfId="0" applyNumberFormat="1" applyFont="1" applyFill="1" applyBorder="1" applyAlignment="1">
      <alignment horizontal="center" vertical="center"/>
    </xf>
    <xf numFmtId="0" fontId="138" fillId="48" borderId="38" xfId="0" applyFont="1" applyFill="1" applyBorder="1" applyAlignment="1">
      <alignment vertical="center"/>
    </xf>
    <xf numFmtId="0" fontId="138" fillId="48" borderId="5" xfId="0" applyFont="1" applyFill="1" applyBorder="1" applyAlignment="1">
      <alignment vertical="center"/>
    </xf>
    <xf numFmtId="0" fontId="138" fillId="48" borderId="39" xfId="0" applyFont="1" applyFill="1" applyBorder="1" applyAlignment="1">
      <alignment vertical="center"/>
    </xf>
    <xf numFmtId="0" fontId="138" fillId="48" borderId="60" xfId="0" applyFont="1" applyFill="1" applyBorder="1" applyAlignment="1">
      <alignment vertical="center"/>
    </xf>
    <xf numFmtId="166" fontId="100" fillId="2" borderId="82" xfId="0" applyNumberFormat="1" applyFont="1" applyFill="1" applyBorder="1"/>
    <xf numFmtId="0" fontId="101" fillId="2" borderId="83" xfId="2" applyFont="1" applyFill="1" applyBorder="1" applyAlignment="1" applyProtection="1"/>
    <xf numFmtId="166" fontId="100" fillId="2" borderId="83" xfId="0" applyNumberFormat="1" applyFont="1" applyFill="1" applyBorder="1"/>
    <xf numFmtId="165" fontId="100" fillId="2" borderId="84" xfId="0" applyNumberFormat="1" applyFont="1" applyFill="1" applyBorder="1"/>
    <xf numFmtId="0" fontId="99" fillId="3" borderId="85" xfId="0" applyFont="1" applyFill="1" applyBorder="1"/>
    <xf numFmtId="165" fontId="103" fillId="3" borderId="86" xfId="0" applyNumberFormat="1" applyFont="1" applyFill="1" applyBorder="1"/>
    <xf numFmtId="165" fontId="103" fillId="3" borderId="87" xfId="0" applyNumberFormat="1" applyFont="1" applyFill="1" applyBorder="1"/>
    <xf numFmtId="165" fontId="103" fillId="3" borderId="88" xfId="0" applyNumberFormat="1" applyFont="1" applyFill="1" applyBorder="1"/>
    <xf numFmtId="166" fontId="100" fillId="4" borderId="90" xfId="0" applyNumberFormat="1" applyFont="1" applyFill="1" applyBorder="1" applyAlignment="1">
      <alignment horizontal="center"/>
    </xf>
    <xf numFmtId="166" fontId="131" fillId="4" borderId="90" xfId="0" applyNumberFormat="1" applyFont="1" applyFill="1" applyBorder="1" applyAlignment="1">
      <alignment horizontal="center" vertical="top"/>
    </xf>
    <xf numFmtId="9" fontId="131" fillId="4" borderId="90" xfId="3" applyFont="1" applyFill="1" applyBorder="1" applyAlignment="1">
      <alignment horizontal="center" vertical="top"/>
    </xf>
    <xf numFmtId="16" fontId="98" fillId="2" borderId="89" xfId="0" applyNumberFormat="1" applyFont="1" applyFill="1" applyBorder="1"/>
    <xf numFmtId="166" fontId="99" fillId="5" borderId="91" xfId="0" applyNumberFormat="1" applyFont="1" applyFill="1" applyBorder="1"/>
    <xf numFmtId="166" fontId="104" fillId="3" borderId="87" xfId="0" applyNumberFormat="1" applyFont="1" applyFill="1" applyBorder="1"/>
    <xf numFmtId="166" fontId="103" fillId="5" borderId="92" xfId="0" applyNumberFormat="1" applyFont="1" applyFill="1" applyBorder="1"/>
    <xf numFmtId="0" fontId="99" fillId="6" borderId="93" xfId="0" applyFont="1" applyFill="1" applyBorder="1"/>
    <xf numFmtId="166" fontId="104" fillId="3" borderId="94" xfId="0" applyNumberFormat="1" applyFont="1" applyFill="1" applyBorder="1"/>
    <xf numFmtId="178" fontId="104" fillId="3" borderId="95" xfId="0" applyNumberFormat="1" applyFont="1" applyFill="1" applyBorder="1"/>
    <xf numFmtId="166" fontId="104" fillId="3" borderId="96" xfId="0" applyNumberFormat="1" applyFont="1" applyFill="1" applyBorder="1"/>
    <xf numFmtId="166" fontId="100" fillId="4" borderId="0" xfId="0" applyNumberFormat="1" applyFont="1" applyFill="1" applyAlignment="1">
      <alignment horizontal="center"/>
    </xf>
    <xf numFmtId="166" fontId="103" fillId="5" borderId="2" xfId="0" applyNumberFormat="1" applyFont="1" applyFill="1" applyBorder="1"/>
    <xf numFmtId="166" fontId="104" fillId="3" borderId="45" xfId="0" applyNumberFormat="1" applyFont="1" applyFill="1" applyBorder="1"/>
    <xf numFmtId="165" fontId="100" fillId="6" borderId="19" xfId="0" applyNumberFormat="1" applyFont="1" applyFill="1" applyBorder="1"/>
    <xf numFmtId="0" fontId="98" fillId="6" borderId="33" xfId="0" applyFont="1" applyFill="1" applyBorder="1"/>
    <xf numFmtId="178" fontId="100" fillId="6" borderId="37" xfId="0" applyNumberFormat="1" applyFont="1" applyFill="1" applyBorder="1"/>
    <xf numFmtId="165" fontId="100" fillId="6" borderId="27" xfId="0" applyNumberFormat="1" applyFont="1" applyFill="1" applyBorder="1"/>
    <xf numFmtId="166" fontId="124" fillId="15" borderId="23" xfId="0" applyNumberFormat="1" applyFont="1" applyFill="1" applyBorder="1" applyAlignment="1" applyProtection="1">
      <alignment horizontal="center"/>
      <protection locked="0"/>
    </xf>
    <xf numFmtId="0" fontId="130" fillId="46" borderId="11" xfId="0" applyFont="1" applyFill="1" applyBorder="1" applyAlignment="1">
      <alignment horizontal="left"/>
    </xf>
    <xf numFmtId="0" fontId="130" fillId="109" borderId="11" xfId="0" applyFont="1" applyFill="1" applyBorder="1" applyAlignment="1">
      <alignment horizontal="left" vertical="center"/>
    </xf>
    <xf numFmtId="0" fontId="121" fillId="36" borderId="23" xfId="0" applyFont="1" applyFill="1" applyBorder="1" applyAlignment="1">
      <alignment horizontal="center" vertical="center"/>
    </xf>
    <xf numFmtId="0" fontId="122" fillId="36" borderId="23" xfId="2" applyFont="1" applyFill="1" applyBorder="1" applyAlignment="1" applyProtection="1">
      <alignment horizontal="center" vertical="center"/>
    </xf>
    <xf numFmtId="0" fontId="121" fillId="37" borderId="23" xfId="0" applyFont="1" applyFill="1" applyBorder="1" applyAlignment="1">
      <alignment horizontal="center" vertical="center"/>
    </xf>
    <xf numFmtId="166" fontId="121" fillId="53" borderId="65" xfId="0" applyNumberFormat="1" applyFont="1" applyFill="1" applyBorder="1" applyAlignment="1">
      <alignment horizontal="center" vertical="center"/>
    </xf>
    <xf numFmtId="166" fontId="124" fillId="48" borderId="65" xfId="0" applyNumberFormat="1" applyFont="1" applyFill="1" applyBorder="1" applyAlignment="1">
      <alignment horizontal="center" vertical="center"/>
    </xf>
    <xf numFmtId="166" fontId="121" fillId="37" borderId="65" xfId="0" applyNumberFormat="1" applyFont="1" applyFill="1" applyBorder="1" applyAlignment="1">
      <alignment horizontal="center" vertical="center"/>
    </xf>
    <xf numFmtId="0" fontId="121" fillId="72" borderId="23" xfId="0" applyFont="1" applyFill="1" applyBorder="1" applyAlignment="1">
      <alignment horizontal="center" vertical="center"/>
    </xf>
    <xf numFmtId="166" fontId="124" fillId="46" borderId="23" xfId="0" applyNumberFormat="1" applyFont="1" applyFill="1" applyBorder="1" applyAlignment="1">
      <alignment horizontal="center" vertical="center"/>
    </xf>
    <xf numFmtId="0" fontId="121" fillId="56" borderId="23" xfId="0" applyFont="1" applyFill="1" applyBorder="1" applyAlignment="1">
      <alignment horizontal="center" vertical="center"/>
    </xf>
    <xf numFmtId="166" fontId="124" fillId="18" borderId="23" xfId="0" applyNumberFormat="1" applyFont="1" applyFill="1" applyBorder="1" applyAlignment="1">
      <alignment horizontal="center" vertical="center"/>
    </xf>
    <xf numFmtId="0" fontId="121" fillId="39" borderId="23" xfId="0" applyFont="1" applyFill="1" applyBorder="1" applyAlignment="1">
      <alignment horizontal="center" vertical="center"/>
    </xf>
    <xf numFmtId="44" fontId="124" fillId="58" borderId="23" xfId="0" applyNumberFormat="1" applyFont="1" applyFill="1" applyBorder="1" applyAlignment="1">
      <alignment horizontal="center" vertical="center"/>
    </xf>
    <xf numFmtId="44" fontId="124" fillId="58" borderId="65" xfId="0" applyNumberFormat="1" applyFont="1" applyFill="1" applyBorder="1" applyAlignment="1">
      <alignment horizontal="center" vertical="center"/>
    </xf>
    <xf numFmtId="10" fontId="124" fillId="58" borderId="23" xfId="0" applyNumberFormat="1" applyFont="1" applyFill="1" applyBorder="1" applyAlignment="1">
      <alignment horizontal="center" vertical="center"/>
    </xf>
    <xf numFmtId="7" fontId="124" fillId="58" borderId="23" xfId="0" applyNumberFormat="1" applyFont="1" applyFill="1" applyBorder="1" applyAlignment="1">
      <alignment horizontal="center" vertical="center"/>
    </xf>
    <xf numFmtId="165" fontId="124" fillId="58" borderId="23" xfId="0" applyNumberFormat="1" applyFont="1" applyFill="1" applyBorder="1" applyAlignment="1">
      <alignment horizontal="center" vertical="center"/>
    </xf>
    <xf numFmtId="0" fontId="121" fillId="71" borderId="23" xfId="0" applyFont="1" applyFill="1" applyBorder="1" applyAlignment="1">
      <alignment horizontal="center" vertical="center"/>
    </xf>
    <xf numFmtId="7" fontId="124" fillId="79" borderId="23" xfId="0" applyNumberFormat="1" applyFont="1" applyFill="1" applyBorder="1" applyAlignment="1">
      <alignment horizontal="center" vertical="center"/>
    </xf>
    <xf numFmtId="7" fontId="124" fillId="79" borderId="55" xfId="0" applyNumberFormat="1" applyFont="1" applyFill="1" applyBorder="1" applyAlignment="1">
      <alignment horizontal="center" vertical="center"/>
    </xf>
    <xf numFmtId="7" fontId="124" fillId="79" borderId="11" xfId="0" applyNumberFormat="1" applyFont="1" applyFill="1" applyBorder="1" applyAlignment="1">
      <alignment horizontal="center" vertical="center"/>
    </xf>
    <xf numFmtId="166" fontId="121" fillId="53" borderId="11" xfId="0" applyNumberFormat="1" applyFont="1" applyFill="1" applyBorder="1" applyAlignment="1">
      <alignment horizontal="center" vertical="center"/>
    </xf>
    <xf numFmtId="166" fontId="124" fillId="48" borderId="0" xfId="0" applyNumberFormat="1" applyFont="1" applyFill="1" applyAlignment="1">
      <alignment horizontal="center" vertical="center"/>
    </xf>
    <xf numFmtId="166" fontId="121" fillId="37" borderId="0" xfId="0" applyNumberFormat="1" applyFont="1" applyFill="1" applyAlignment="1">
      <alignment horizontal="center" vertical="center"/>
    </xf>
    <xf numFmtId="166" fontId="121" fillId="37" borderId="10" xfId="0" applyNumberFormat="1" applyFont="1" applyFill="1" applyBorder="1" applyAlignment="1">
      <alignment horizontal="center" vertical="center"/>
    </xf>
    <xf numFmtId="0" fontId="121" fillId="40" borderId="23" xfId="0" applyFont="1" applyFill="1" applyBorder="1" applyAlignment="1">
      <alignment horizontal="center" vertical="center"/>
    </xf>
    <xf numFmtId="10" fontId="124" fillId="59" borderId="23" xfId="0" applyNumberFormat="1" applyFont="1" applyFill="1" applyBorder="1" applyAlignment="1">
      <alignment horizontal="center" vertical="center"/>
    </xf>
    <xf numFmtId="10" fontId="124" fillId="59" borderId="55" xfId="0" applyNumberFormat="1" applyFont="1" applyFill="1" applyBorder="1" applyAlignment="1">
      <alignment horizontal="center" vertical="center"/>
    </xf>
    <xf numFmtId="166" fontId="110" fillId="4" borderId="73" xfId="0" applyNumberFormat="1" applyFont="1" applyFill="1" applyBorder="1" applyAlignment="1" applyProtection="1">
      <alignment horizontal="center" vertical="center"/>
      <protection locked="0"/>
    </xf>
    <xf numFmtId="166" fontId="110" fillId="38" borderId="65" xfId="0" applyNumberFormat="1" applyFont="1" applyFill="1" applyBorder="1" applyAlignment="1" applyProtection="1">
      <alignment horizontal="center" vertical="center"/>
      <protection locked="0"/>
    </xf>
    <xf numFmtId="166" fontId="110" fillId="38" borderId="23" xfId="0" applyNumberFormat="1" applyFont="1" applyFill="1" applyBorder="1" applyAlignment="1" applyProtection="1">
      <alignment horizontal="center" vertical="center"/>
      <protection locked="0"/>
    </xf>
    <xf numFmtId="166" fontId="110" fillId="4" borderId="23" xfId="0" applyNumberFormat="1" applyFont="1" applyFill="1" applyBorder="1" applyAlignment="1" applyProtection="1">
      <alignment horizontal="center" vertical="center"/>
      <protection locked="0"/>
    </xf>
    <xf numFmtId="166" fontId="110" fillId="0" borderId="23" xfId="0" applyNumberFormat="1" applyFont="1" applyBorder="1" applyAlignment="1" applyProtection="1">
      <alignment horizontal="center" vertical="center"/>
      <protection locked="0"/>
    </xf>
    <xf numFmtId="166" fontId="110" fillId="15" borderId="23" xfId="0" applyNumberFormat="1" applyFont="1" applyFill="1" applyBorder="1" applyAlignment="1" applyProtection="1">
      <alignment horizontal="center" vertical="center"/>
      <protection locked="0"/>
    </xf>
    <xf numFmtId="166" fontId="110" fillId="0" borderId="4" xfId="0" applyNumberFormat="1" applyFont="1" applyBorder="1" applyAlignment="1" applyProtection="1">
      <alignment horizontal="center" vertical="center"/>
      <protection locked="0"/>
    </xf>
    <xf numFmtId="166" fontId="100" fillId="4" borderId="0" xfId="0" applyNumberFormat="1" applyFont="1" applyFill="1"/>
    <xf numFmtId="178" fontId="105" fillId="90" borderId="10" xfId="0" applyNumberFormat="1" applyFont="1" applyFill="1" applyBorder="1" applyAlignment="1">
      <alignment horizontal="center"/>
    </xf>
    <xf numFmtId="178" fontId="100" fillId="4" borderId="10" xfId="0" applyNumberFormat="1" applyFont="1" applyFill="1" applyBorder="1"/>
    <xf numFmtId="44" fontId="100" fillId="4" borderId="10" xfId="1" applyFont="1" applyFill="1" applyBorder="1"/>
    <xf numFmtId="178" fontId="105" fillId="90" borderId="90" xfId="0" applyNumberFormat="1" applyFont="1" applyFill="1" applyBorder="1" applyAlignment="1">
      <alignment horizontal="center"/>
    </xf>
    <xf numFmtId="166" fontId="100" fillId="4" borderId="34" xfId="0" applyNumberFormat="1" applyFont="1" applyFill="1" applyBorder="1"/>
    <xf numFmtId="177" fontId="100" fillId="4" borderId="9" xfId="0" applyNumberFormat="1" applyFont="1" applyFill="1" applyBorder="1"/>
    <xf numFmtId="166" fontId="100" fillId="4" borderId="11" xfId="0" applyNumberFormat="1" applyFont="1" applyFill="1" applyBorder="1"/>
    <xf numFmtId="166" fontId="105" fillId="90" borderId="8" xfId="0" applyNumberFormat="1" applyFont="1" applyFill="1" applyBorder="1" applyAlignment="1">
      <alignment horizontal="center"/>
    </xf>
    <xf numFmtId="0" fontId="98" fillId="0" borderId="8" xfId="0" applyFont="1" applyBorder="1"/>
    <xf numFmtId="16" fontId="139" fillId="89" borderId="7" xfId="0" applyNumberFormat="1" applyFont="1" applyFill="1" applyBorder="1"/>
    <xf numFmtId="0" fontId="139" fillId="90" borderId="9" xfId="0" applyFont="1" applyFill="1" applyBorder="1"/>
    <xf numFmtId="44" fontId="140" fillId="90" borderId="10" xfId="0" applyNumberFormat="1" applyFont="1" applyFill="1" applyBorder="1" applyAlignment="1">
      <alignment horizontal="center"/>
    </xf>
    <xf numFmtId="16" fontId="139" fillId="2" borderId="7" xfId="0" applyNumberFormat="1" applyFont="1" applyFill="1" applyBorder="1"/>
    <xf numFmtId="166" fontId="141" fillId="4" borderId="8" xfId="0" applyNumberFormat="1" applyFont="1" applyFill="1" applyBorder="1" applyAlignment="1">
      <alignment horizontal="center"/>
    </xf>
    <xf numFmtId="0" fontId="139" fillId="4" borderId="9" xfId="0" applyFont="1" applyFill="1" applyBorder="1"/>
    <xf numFmtId="16" fontId="139" fillId="2" borderId="89" xfId="0" applyNumberFormat="1" applyFont="1" applyFill="1" applyBorder="1"/>
    <xf numFmtId="178" fontId="140" fillId="90" borderId="10" xfId="0" applyNumberFormat="1" applyFont="1" applyFill="1" applyBorder="1" applyAlignment="1">
      <alignment horizontal="center"/>
    </xf>
    <xf numFmtId="166" fontId="141" fillId="4" borderId="90" xfId="0" applyNumberFormat="1" applyFont="1" applyFill="1" applyBorder="1" applyAlignment="1">
      <alignment horizontal="center"/>
    </xf>
    <xf numFmtId="0" fontId="139" fillId="4" borderId="11" xfId="0" applyFont="1" applyFill="1" applyBorder="1"/>
    <xf numFmtId="44" fontId="141" fillId="4" borderId="9" xfId="1" applyFont="1" applyFill="1" applyBorder="1" applyAlignment="1">
      <alignment horizontal="center"/>
    </xf>
    <xf numFmtId="166" fontId="141" fillId="4" borderId="8" xfId="0" applyNumberFormat="1" applyFont="1" applyFill="1" applyBorder="1"/>
    <xf numFmtId="166" fontId="141" fillId="4" borderId="9" xfId="0" applyNumberFormat="1" applyFont="1" applyFill="1" applyBorder="1" applyAlignment="1">
      <alignment horizontal="center"/>
    </xf>
    <xf numFmtId="44" fontId="141" fillId="4" borderId="9" xfId="0" applyNumberFormat="1" applyFont="1" applyFill="1" applyBorder="1"/>
    <xf numFmtId="0" fontId="142" fillId="4" borderId="9" xfId="0" applyFont="1" applyFill="1" applyBorder="1"/>
    <xf numFmtId="44" fontId="142" fillId="90" borderId="10" xfId="0" applyNumberFormat="1" applyFont="1" applyFill="1" applyBorder="1" applyAlignment="1">
      <alignment horizontal="center"/>
    </xf>
    <xf numFmtId="166" fontId="141" fillId="4" borderId="10" xfId="0" applyNumberFormat="1" applyFont="1" applyFill="1" applyBorder="1" applyAlignment="1">
      <alignment horizontal="center"/>
    </xf>
    <xf numFmtId="44" fontId="141" fillId="4" borderId="10" xfId="0" applyNumberFormat="1" applyFont="1" applyFill="1" applyBorder="1" applyAlignment="1">
      <alignment horizontal="center"/>
    </xf>
    <xf numFmtId="44" fontId="141" fillId="4" borderId="9" xfId="0" applyNumberFormat="1" applyFont="1" applyFill="1" applyBorder="1" applyAlignment="1">
      <alignment horizontal="center"/>
    </xf>
    <xf numFmtId="44" fontId="141" fillId="4" borderId="10" xfId="1" applyFont="1" applyFill="1" applyBorder="1" applyAlignment="1">
      <alignment horizontal="center"/>
    </xf>
    <xf numFmtId="165" fontId="141" fillId="4" borderId="8" xfId="0" applyNumberFormat="1" applyFont="1" applyFill="1" applyBorder="1"/>
    <xf numFmtId="165" fontId="141" fillId="4" borderId="9" xfId="0" applyNumberFormat="1" applyFont="1" applyFill="1" applyBorder="1" applyAlignment="1">
      <alignment horizontal="center"/>
    </xf>
    <xf numFmtId="44" fontId="141" fillId="4" borderId="8" xfId="1" applyFont="1" applyFill="1" applyBorder="1"/>
    <xf numFmtId="7" fontId="141" fillId="4" borderId="9" xfId="0" applyNumberFormat="1" applyFont="1" applyFill="1" applyBorder="1" applyAlignment="1">
      <alignment horizontal="center"/>
    </xf>
    <xf numFmtId="16" fontId="139" fillId="4" borderId="9" xfId="0" applyNumberFormat="1" applyFont="1" applyFill="1" applyBorder="1"/>
    <xf numFmtId="44" fontId="141" fillId="4" borderId="9" xfId="1" applyFont="1" applyFill="1" applyBorder="1"/>
    <xf numFmtId="166" fontId="141" fillId="15" borderId="8" xfId="0" applyNumberFormat="1" applyFont="1" applyFill="1" applyBorder="1"/>
    <xf numFmtId="166" fontId="143" fillId="5" borderId="12" xfId="0" applyNumberFormat="1" applyFont="1" applyFill="1" applyBorder="1"/>
    <xf numFmtId="166" fontId="143" fillId="5" borderId="13" xfId="0" applyNumberFormat="1" applyFont="1" applyFill="1" applyBorder="1"/>
    <xf numFmtId="44" fontId="144" fillId="5" borderId="1" xfId="0" applyNumberFormat="1" applyFont="1" applyFill="1" applyBorder="1" applyAlignment="1">
      <alignment horizontal="center"/>
    </xf>
    <xf numFmtId="166" fontId="144" fillId="5" borderId="1" xfId="0" applyNumberFormat="1" applyFont="1" applyFill="1" applyBorder="1" applyAlignment="1">
      <alignment horizontal="center"/>
    </xf>
    <xf numFmtId="166" fontId="145" fillId="3" borderId="14" xfId="0" applyNumberFormat="1" applyFont="1" applyFill="1" applyBorder="1"/>
    <xf numFmtId="166" fontId="145" fillId="3" borderId="15" xfId="0" applyNumberFormat="1" applyFont="1" applyFill="1" applyBorder="1"/>
    <xf numFmtId="44" fontId="145" fillId="3" borderId="16" xfId="0" applyNumberFormat="1" applyFont="1" applyFill="1" applyBorder="1" applyAlignment="1">
      <alignment horizontal="center"/>
    </xf>
    <xf numFmtId="166" fontId="145" fillId="3" borderId="17" xfId="0" applyNumberFormat="1" applyFont="1" applyFill="1" applyBorder="1" applyAlignment="1">
      <alignment horizontal="center"/>
    </xf>
    <xf numFmtId="0" fontId="143" fillId="6" borderId="24" xfId="0" applyFont="1" applyFill="1" applyBorder="1"/>
    <xf numFmtId="0" fontId="139" fillId="6" borderId="19" xfId="0" applyFont="1" applyFill="1" applyBorder="1"/>
    <xf numFmtId="44" fontId="141" fillId="6" borderId="18" xfId="0" applyNumberFormat="1" applyFont="1" applyFill="1" applyBorder="1" applyAlignment="1">
      <alignment horizontal="center"/>
    </xf>
    <xf numFmtId="165" fontId="141" fillId="6" borderId="20" xfId="0" applyNumberFormat="1" applyFont="1" applyFill="1" applyBorder="1" applyAlignment="1">
      <alignment horizontal="center"/>
    </xf>
    <xf numFmtId="166" fontId="145" fillId="3" borderId="16" xfId="0" applyNumberFormat="1" applyFont="1" applyFill="1" applyBorder="1" applyAlignment="1">
      <alignment horizontal="center"/>
    </xf>
    <xf numFmtId="166" fontId="141" fillId="6" borderId="18" xfId="0" applyNumberFormat="1" applyFont="1" applyFill="1" applyBorder="1" applyAlignment="1">
      <alignment horizontal="center"/>
    </xf>
    <xf numFmtId="8" fontId="140" fillId="90" borderId="8" xfId="0" applyNumberFormat="1" applyFont="1" applyFill="1" applyBorder="1" applyAlignment="1">
      <alignment horizontal="center"/>
    </xf>
    <xf numFmtId="0" fontId="139" fillId="0" borderId="0" xfId="0" applyFont="1"/>
    <xf numFmtId="0" fontId="139" fillId="46" borderId="11" xfId="0" applyFont="1" applyFill="1" applyBorder="1"/>
    <xf numFmtId="178" fontId="141" fillId="46" borderId="9" xfId="0" applyNumberFormat="1" applyFont="1" applyFill="1" applyBorder="1"/>
    <xf numFmtId="10" fontId="141" fillId="4" borderId="90" xfId="0" applyNumberFormat="1" applyFont="1" applyFill="1" applyBorder="1" applyAlignment="1">
      <alignment horizontal="center" vertical="top"/>
    </xf>
    <xf numFmtId="0" fontId="139" fillId="46" borderId="11" xfId="0" applyFont="1" applyFill="1" applyBorder="1" applyAlignment="1">
      <alignment horizontal="left"/>
    </xf>
    <xf numFmtId="0" fontId="139" fillId="109" borderId="11" xfId="0" applyFont="1" applyFill="1" applyBorder="1" applyAlignment="1">
      <alignment horizontal="left" vertical="center"/>
    </xf>
    <xf numFmtId="178" fontId="140" fillId="109" borderId="9" xfId="0" applyNumberFormat="1" applyFont="1" applyFill="1" applyBorder="1" applyAlignment="1">
      <alignment horizontal="center"/>
    </xf>
    <xf numFmtId="0" fontId="139" fillId="109" borderId="11" xfId="0" applyFont="1" applyFill="1" applyBorder="1" applyAlignment="1">
      <alignment horizontal="left"/>
    </xf>
    <xf numFmtId="44" fontId="139" fillId="0" borderId="0" xfId="0" applyNumberFormat="1" applyFont="1" applyAlignment="1">
      <alignment horizontal="center"/>
    </xf>
    <xf numFmtId="0" fontId="139" fillId="0" borderId="0" xfId="0" applyFont="1" applyAlignment="1">
      <alignment horizontal="center"/>
    </xf>
    <xf numFmtId="0" fontId="146" fillId="72" borderId="0" xfId="0" applyFont="1" applyFill="1" applyAlignment="1">
      <alignment horizontal="center" vertical="center"/>
    </xf>
    <xf numFmtId="0" fontId="146" fillId="95" borderId="0" xfId="0" applyFont="1" applyFill="1" applyAlignment="1">
      <alignment horizontal="center" vertical="center"/>
    </xf>
    <xf numFmtId="0" fontId="146" fillId="82" borderId="0" xfId="0" applyFont="1" applyFill="1" applyAlignment="1">
      <alignment horizontal="center" vertical="center"/>
    </xf>
    <xf numFmtId="0" fontId="147" fillId="0" borderId="0" xfId="0" applyFont="1" applyAlignment="1">
      <alignment horizontal="center" vertical="center"/>
    </xf>
    <xf numFmtId="1" fontId="146" fillId="48" borderId="23" xfId="0" applyNumberFormat="1" applyFont="1" applyFill="1" applyBorder="1" applyAlignment="1">
      <alignment horizontal="center" vertical="center"/>
    </xf>
    <xf numFmtId="0" fontId="147" fillId="0" borderId="23" xfId="0" applyFont="1" applyBorder="1" applyAlignment="1">
      <alignment horizontal="center" vertical="center"/>
    </xf>
    <xf numFmtId="0" fontId="148" fillId="41" borderId="23" xfId="0" applyFont="1" applyFill="1" applyBorder="1" applyAlignment="1">
      <alignment horizontal="center" vertical="center"/>
    </xf>
    <xf numFmtId="44" fontId="149" fillId="0" borderId="23" xfId="1" applyFont="1" applyBorder="1" applyAlignment="1">
      <alignment horizontal="center" vertical="center"/>
    </xf>
    <xf numFmtId="44" fontId="149" fillId="0" borderId="23" xfId="1" applyFont="1" applyFill="1" applyBorder="1" applyAlignment="1">
      <alignment horizontal="center" vertical="center"/>
    </xf>
    <xf numFmtId="7" fontId="149" fillId="0" borderId="23" xfId="0" applyNumberFormat="1" applyFont="1" applyBorder="1" applyAlignment="1">
      <alignment horizontal="center" vertical="center"/>
    </xf>
    <xf numFmtId="7" fontId="149" fillId="84" borderId="23" xfId="0" applyNumberFormat="1" applyFont="1" applyFill="1" applyBorder="1" applyAlignment="1">
      <alignment horizontal="center" vertical="center"/>
    </xf>
    <xf numFmtId="7" fontId="149" fillId="74" borderId="23" xfId="0" applyNumberFormat="1" applyFont="1" applyFill="1" applyBorder="1" applyAlignment="1">
      <alignment horizontal="center" vertical="center"/>
    </xf>
    <xf numFmtId="44" fontId="149" fillId="0" borderId="23" xfId="0" applyNumberFormat="1" applyFont="1" applyBorder="1" applyAlignment="1">
      <alignment horizontal="center" vertical="center"/>
    </xf>
    <xf numFmtId="44" fontId="149" fillId="84" borderId="23" xfId="0" applyNumberFormat="1" applyFont="1" applyFill="1" applyBorder="1" applyAlignment="1">
      <alignment horizontal="center" vertical="center"/>
    </xf>
    <xf numFmtId="44" fontId="149" fillId="74" borderId="23" xfId="0" applyNumberFormat="1" applyFont="1" applyFill="1" applyBorder="1" applyAlignment="1">
      <alignment horizontal="center" vertical="center"/>
    </xf>
    <xf numFmtId="0" fontId="150" fillId="70" borderId="23" xfId="0" applyFont="1" applyFill="1" applyBorder="1" applyAlignment="1">
      <alignment horizontal="center" vertical="center"/>
    </xf>
    <xf numFmtId="44" fontId="150" fillId="70" borderId="23" xfId="1" applyFont="1" applyFill="1" applyBorder="1" applyAlignment="1">
      <alignment horizontal="center" vertical="center"/>
    </xf>
    <xf numFmtId="44" fontId="150" fillId="106" borderId="23" xfId="1" applyFont="1" applyFill="1" applyBorder="1" applyAlignment="1">
      <alignment horizontal="center" vertical="center"/>
    </xf>
    <xf numFmtId="44" fontId="150" fillId="103" borderId="23" xfId="1" applyFont="1" applyFill="1" applyBorder="1" applyAlignment="1">
      <alignment horizontal="center" vertical="center"/>
    </xf>
    <xf numFmtId="9" fontId="151" fillId="0" borderId="23" xfId="3" applyFont="1" applyFill="1" applyBorder="1" applyAlignment="1">
      <alignment horizontal="center" vertical="center"/>
    </xf>
    <xf numFmtId="10" fontId="150" fillId="70" borderId="23" xfId="0" applyNumberFormat="1" applyFont="1" applyFill="1" applyBorder="1" applyAlignment="1">
      <alignment horizontal="center" vertical="center"/>
    </xf>
    <xf numFmtId="10" fontId="150" fillId="106" borderId="23" xfId="0" applyNumberFormat="1" applyFont="1" applyFill="1" applyBorder="1" applyAlignment="1">
      <alignment horizontal="center" vertical="center"/>
    </xf>
    <xf numFmtId="10" fontId="150" fillId="103" borderId="23" xfId="0" applyNumberFormat="1" applyFont="1" applyFill="1" applyBorder="1" applyAlignment="1">
      <alignment horizontal="center" vertical="center"/>
    </xf>
    <xf numFmtId="0" fontId="148" fillId="86" borderId="23" xfId="0" applyFont="1" applyFill="1" applyBorder="1" applyAlignment="1">
      <alignment horizontal="center" vertical="center"/>
    </xf>
    <xf numFmtId="44" fontId="148" fillId="0" borderId="23" xfId="1" applyFont="1" applyBorder="1" applyAlignment="1">
      <alignment horizontal="center" vertical="center"/>
    </xf>
    <xf numFmtId="44" fontId="148" fillId="0" borderId="23" xfId="1" applyFont="1" applyFill="1" applyBorder="1" applyAlignment="1">
      <alignment horizontal="center" vertical="center"/>
    </xf>
    <xf numFmtId="44" fontId="148" fillId="74" borderId="23" xfId="1" applyFont="1" applyFill="1" applyBorder="1" applyAlignment="1">
      <alignment horizontal="center" vertical="center"/>
    </xf>
    <xf numFmtId="44" fontId="148" fillId="84" borderId="23" xfId="1" applyFont="1" applyFill="1" applyBorder="1" applyAlignment="1">
      <alignment horizontal="center" vertical="center"/>
    </xf>
    <xf numFmtId="0" fontId="149" fillId="0" borderId="23" xfId="0" applyFont="1" applyBorder="1" applyAlignment="1">
      <alignment horizontal="center" vertical="center"/>
    </xf>
    <xf numFmtId="10" fontId="149" fillId="0" borderId="23" xfId="0" applyNumberFormat="1" applyFont="1" applyBorder="1" applyAlignment="1">
      <alignment horizontal="center" vertical="center"/>
    </xf>
    <xf numFmtId="10" fontId="149" fillId="74" borderId="23" xfId="0" applyNumberFormat="1" applyFont="1" applyFill="1" applyBorder="1" applyAlignment="1">
      <alignment horizontal="center" vertical="center"/>
    </xf>
    <xf numFmtId="10" fontId="149" fillId="84" borderId="23" xfId="0" applyNumberFormat="1" applyFont="1" applyFill="1" applyBorder="1" applyAlignment="1">
      <alignment horizontal="center" vertical="center"/>
    </xf>
    <xf numFmtId="0" fontId="150" fillId="50" borderId="23" xfId="0" applyFont="1" applyFill="1" applyBorder="1" applyAlignment="1">
      <alignment horizontal="center" vertical="center"/>
    </xf>
    <xf numFmtId="44" fontId="150" fillId="50" borderId="23" xfId="1" applyFont="1" applyFill="1" applyBorder="1" applyAlignment="1">
      <alignment horizontal="center" vertical="center"/>
    </xf>
    <xf numFmtId="166" fontId="150" fillId="50" borderId="23" xfId="1" applyNumberFormat="1" applyFont="1" applyFill="1" applyBorder="1" applyAlignment="1">
      <alignment horizontal="center" vertical="center"/>
    </xf>
    <xf numFmtId="166" fontId="150" fillId="100" borderId="23" xfId="1" applyNumberFormat="1" applyFont="1" applyFill="1" applyBorder="1" applyAlignment="1">
      <alignment horizontal="center" vertical="center"/>
    </xf>
    <xf numFmtId="44" fontId="150" fillId="100" borderId="23" xfId="1" applyFont="1" applyFill="1" applyBorder="1" applyAlignment="1">
      <alignment horizontal="center" vertical="center"/>
    </xf>
    <xf numFmtId="44" fontId="150" fillId="68" borderId="23" xfId="1" applyFont="1" applyFill="1" applyBorder="1" applyAlignment="1">
      <alignment horizontal="center" vertical="center"/>
    </xf>
    <xf numFmtId="10" fontId="150" fillId="50" borderId="23" xfId="0" applyNumberFormat="1" applyFont="1" applyFill="1" applyBorder="1" applyAlignment="1">
      <alignment horizontal="center" vertical="center"/>
    </xf>
    <xf numFmtId="10" fontId="150" fillId="100" borderId="23" xfId="0" applyNumberFormat="1" applyFont="1" applyFill="1" applyBorder="1" applyAlignment="1">
      <alignment horizontal="center" vertical="center"/>
    </xf>
    <xf numFmtId="10" fontId="150" fillId="68" borderId="23" xfId="0" applyNumberFormat="1" applyFont="1" applyFill="1" applyBorder="1" applyAlignment="1">
      <alignment horizontal="center" vertical="center"/>
    </xf>
    <xf numFmtId="0" fontId="152" fillId="48" borderId="23" xfId="2" applyFont="1" applyFill="1" applyBorder="1" applyAlignment="1" applyProtection="1">
      <alignment horizontal="center" vertical="center"/>
    </xf>
    <xf numFmtId="10" fontId="150" fillId="56" borderId="23" xfId="0" applyNumberFormat="1" applyFont="1" applyFill="1" applyBorder="1" applyAlignment="1">
      <alignment horizontal="center" vertical="center"/>
    </xf>
    <xf numFmtId="10" fontId="150" fillId="96" borderId="23" xfId="0" applyNumberFormat="1" applyFont="1" applyFill="1" applyBorder="1" applyAlignment="1">
      <alignment horizontal="center" vertical="center"/>
    </xf>
    <xf numFmtId="10" fontId="150" fillId="83" borderId="23" xfId="0" applyNumberFormat="1" applyFont="1" applyFill="1" applyBorder="1" applyAlignment="1">
      <alignment horizontal="center" vertical="center"/>
    </xf>
    <xf numFmtId="0" fontId="150" fillId="48" borderId="23" xfId="0" applyFont="1" applyFill="1" applyBorder="1" applyAlignment="1">
      <alignment horizontal="center" vertical="center"/>
    </xf>
    <xf numFmtId="44" fontId="150" fillId="56" borderId="23" xfId="1" applyFont="1" applyFill="1" applyBorder="1" applyAlignment="1">
      <alignment horizontal="center" vertical="center"/>
    </xf>
    <xf numFmtId="44" fontId="150" fillId="96" borderId="23" xfId="1" applyFont="1" applyFill="1" applyBorder="1" applyAlignment="1">
      <alignment horizontal="center" vertical="center"/>
    </xf>
    <xf numFmtId="44" fontId="150" fillId="83" borderId="23" xfId="1" applyFont="1" applyFill="1" applyBorder="1" applyAlignment="1">
      <alignment horizontal="center" vertical="center"/>
    </xf>
    <xf numFmtId="0" fontId="150" fillId="70" borderId="23" xfId="2" applyFont="1" applyFill="1" applyBorder="1" applyAlignment="1" applyProtection="1">
      <alignment horizontal="center" vertical="center"/>
    </xf>
    <xf numFmtId="44" fontId="150" fillId="70" borderId="23" xfId="0" applyNumberFormat="1" applyFont="1" applyFill="1" applyBorder="1" applyAlignment="1">
      <alignment horizontal="center" vertical="center"/>
    </xf>
    <xf numFmtId="44" fontId="150" fillId="106" borderId="23" xfId="0" applyNumberFormat="1" applyFont="1" applyFill="1" applyBorder="1" applyAlignment="1">
      <alignment horizontal="center" vertical="center"/>
    </xf>
    <xf numFmtId="44" fontId="150" fillId="103" borderId="23" xfId="0" applyNumberFormat="1" applyFont="1" applyFill="1" applyBorder="1" applyAlignment="1">
      <alignment horizontal="center" vertical="center"/>
    </xf>
    <xf numFmtId="0" fontId="150" fillId="57" borderId="23" xfId="0" applyFont="1" applyFill="1" applyBorder="1" applyAlignment="1">
      <alignment horizontal="center" vertical="center"/>
    </xf>
    <xf numFmtId="44" fontId="149" fillId="74" borderId="23" xfId="1" applyFont="1" applyFill="1" applyBorder="1" applyAlignment="1">
      <alignment horizontal="center" vertical="center"/>
    </xf>
    <xf numFmtId="44" fontId="149" fillId="84" borderId="23" xfId="1" applyFont="1" applyFill="1" applyBorder="1" applyAlignment="1">
      <alignment horizontal="center" vertical="center"/>
    </xf>
    <xf numFmtId="0" fontId="150" fillId="57" borderId="23" xfId="2" applyFont="1" applyFill="1" applyBorder="1" applyAlignment="1" applyProtection="1">
      <alignment horizontal="center" vertical="center"/>
    </xf>
    <xf numFmtId="0" fontId="150" fillId="39" borderId="23" xfId="0" applyFont="1" applyFill="1" applyBorder="1" applyAlignment="1">
      <alignment horizontal="center" vertical="center"/>
    </xf>
    <xf numFmtId="44" fontId="153" fillId="0" borderId="23" xfId="1" applyFont="1" applyBorder="1" applyAlignment="1">
      <alignment horizontal="center" vertical="center"/>
    </xf>
    <xf numFmtId="0" fontId="148" fillId="0" borderId="23" xfId="0" applyFont="1" applyBorder="1" applyAlignment="1">
      <alignment horizontal="center" vertical="center"/>
    </xf>
    <xf numFmtId="10" fontId="148" fillId="0" borderId="23" xfId="0" applyNumberFormat="1" applyFont="1" applyBorder="1" applyAlignment="1">
      <alignment horizontal="center" vertical="center"/>
    </xf>
    <xf numFmtId="10" fontId="148" fillId="74" borderId="23" xfId="0" applyNumberFormat="1" applyFont="1" applyFill="1" applyBorder="1" applyAlignment="1">
      <alignment horizontal="center" vertical="center"/>
    </xf>
    <xf numFmtId="10" fontId="148" fillId="84" borderId="23" xfId="0" applyNumberFormat="1" applyFont="1" applyFill="1" applyBorder="1" applyAlignment="1">
      <alignment horizontal="center" vertical="center"/>
    </xf>
    <xf numFmtId="0" fontId="150" fillId="104" borderId="23" xfId="0" applyFont="1" applyFill="1" applyBorder="1" applyAlignment="1">
      <alignment horizontal="center" vertical="center"/>
    </xf>
    <xf numFmtId="173" fontId="148" fillId="0" borderId="23" xfId="0" applyNumberFormat="1" applyFont="1" applyBorder="1" applyAlignment="1">
      <alignment horizontal="center" vertical="center"/>
    </xf>
    <xf numFmtId="173" fontId="148" fillId="74" borderId="23" xfId="0" applyNumberFormat="1" applyFont="1" applyFill="1" applyBorder="1" applyAlignment="1">
      <alignment horizontal="center" vertical="center"/>
    </xf>
    <xf numFmtId="173" fontId="148" fillId="84" borderId="23" xfId="0" applyNumberFormat="1" applyFont="1" applyFill="1" applyBorder="1" applyAlignment="1">
      <alignment horizontal="center" vertical="center"/>
    </xf>
    <xf numFmtId="2" fontId="148" fillId="0" borderId="23" xfId="0" applyNumberFormat="1" applyFont="1" applyBorder="1" applyAlignment="1">
      <alignment horizontal="center" vertical="center"/>
    </xf>
    <xf numFmtId="2" fontId="148" fillId="74" borderId="23" xfId="0" applyNumberFormat="1" applyFont="1" applyFill="1" applyBorder="1" applyAlignment="1">
      <alignment horizontal="center" vertical="center"/>
    </xf>
    <xf numFmtId="2" fontId="148" fillId="84" borderId="23" xfId="0" applyNumberFormat="1" applyFont="1" applyFill="1" applyBorder="1" applyAlignment="1">
      <alignment horizontal="center" vertical="center"/>
    </xf>
    <xf numFmtId="0" fontId="154" fillId="12" borderId="23" xfId="0" applyFont="1" applyFill="1" applyBorder="1" applyAlignment="1">
      <alignment horizontal="center" vertical="center"/>
    </xf>
    <xf numFmtId="166" fontId="149" fillId="12" borderId="23" xfId="0" applyNumberFormat="1" applyFont="1" applyFill="1" applyBorder="1" applyAlignment="1">
      <alignment horizontal="center" vertical="center"/>
    </xf>
    <xf numFmtId="166" fontId="149" fillId="101" borderId="23" xfId="0" applyNumberFormat="1" applyFont="1" applyFill="1" applyBorder="1" applyAlignment="1">
      <alignment horizontal="center" vertical="center"/>
    </xf>
    <xf numFmtId="166" fontId="149" fillId="85" borderId="23" xfId="0" applyNumberFormat="1" applyFont="1" applyFill="1" applyBorder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5" fillId="4" borderId="0" xfId="0" applyFont="1" applyFill="1" applyAlignment="1">
      <alignment horizontal="center" vertical="center"/>
    </xf>
    <xf numFmtId="0" fontId="155" fillId="75" borderId="0" xfId="0" applyFont="1" applyFill="1" applyAlignment="1">
      <alignment horizontal="center" vertical="center"/>
    </xf>
    <xf numFmtId="0" fontId="155" fillId="67" borderId="0" xfId="0" applyFont="1" applyFill="1" applyAlignment="1">
      <alignment horizontal="center" vertical="center"/>
    </xf>
    <xf numFmtId="0" fontId="155" fillId="60" borderId="23" xfId="0" applyFont="1" applyFill="1" applyBorder="1" applyAlignment="1">
      <alignment horizontal="center" vertical="center"/>
    </xf>
    <xf numFmtId="0" fontId="155" fillId="38" borderId="23" xfId="0" applyFont="1" applyFill="1" applyBorder="1" applyAlignment="1">
      <alignment horizontal="center" vertical="center"/>
    </xf>
    <xf numFmtId="0" fontId="155" fillId="74" borderId="0" xfId="0" applyFont="1" applyFill="1" applyAlignment="1">
      <alignment horizontal="center" vertical="center"/>
    </xf>
    <xf numFmtId="0" fontId="155" fillId="98" borderId="0" xfId="0" applyFont="1" applyFill="1" applyAlignment="1">
      <alignment horizontal="center" vertical="center"/>
    </xf>
    <xf numFmtId="0" fontId="155" fillId="84" borderId="0" xfId="0" applyFont="1" applyFill="1" applyAlignment="1">
      <alignment horizontal="center" vertical="center"/>
    </xf>
    <xf numFmtId="0" fontId="155" fillId="46" borderId="23" xfId="0" applyFont="1" applyFill="1" applyBorder="1" applyAlignment="1">
      <alignment horizontal="center" vertical="center"/>
    </xf>
    <xf numFmtId="44" fontId="155" fillId="46" borderId="23" xfId="1" applyFont="1" applyFill="1" applyBorder="1" applyAlignment="1">
      <alignment horizontal="center" vertical="center"/>
    </xf>
    <xf numFmtId="2" fontId="155" fillId="46" borderId="23" xfId="0" applyNumberFormat="1" applyFont="1" applyFill="1" applyBorder="1" applyAlignment="1">
      <alignment horizontal="center" vertical="center"/>
    </xf>
    <xf numFmtId="0" fontId="155" fillId="0" borderId="23" xfId="0" applyFont="1" applyBorder="1" applyAlignment="1">
      <alignment horizontal="center" vertical="center"/>
    </xf>
    <xf numFmtId="0" fontId="155" fillId="45" borderId="23" xfId="0" applyFont="1" applyFill="1" applyBorder="1" applyAlignment="1">
      <alignment horizontal="center" vertical="center"/>
    </xf>
    <xf numFmtId="178" fontId="155" fillId="45" borderId="23" xfId="0" applyNumberFormat="1" applyFont="1" applyFill="1" applyBorder="1" applyAlignment="1">
      <alignment horizontal="center" vertical="center"/>
    </xf>
    <xf numFmtId="165" fontId="155" fillId="45" borderId="23" xfId="0" applyNumberFormat="1" applyFont="1" applyFill="1" applyBorder="1" applyAlignment="1">
      <alignment horizontal="center" vertical="center"/>
    </xf>
    <xf numFmtId="3" fontId="155" fillId="45" borderId="23" xfId="0" applyNumberFormat="1" applyFont="1" applyFill="1" applyBorder="1" applyAlignment="1">
      <alignment horizontal="center" vertical="center"/>
    </xf>
    <xf numFmtId="178" fontId="155" fillId="45" borderId="23" xfId="1" applyNumberFormat="1" applyFont="1" applyFill="1" applyBorder="1" applyAlignment="1">
      <alignment horizontal="center" vertical="center"/>
    </xf>
    <xf numFmtId="44" fontId="155" fillId="45" borderId="23" xfId="1" applyFont="1" applyFill="1" applyBorder="1" applyAlignment="1">
      <alignment horizontal="center" vertical="center"/>
    </xf>
    <xf numFmtId="2" fontId="155" fillId="45" borderId="23" xfId="1" applyNumberFormat="1" applyFont="1" applyFill="1" applyBorder="1" applyAlignment="1">
      <alignment horizontal="center" vertical="center"/>
    </xf>
    <xf numFmtId="178" fontId="155" fillId="38" borderId="23" xfId="0" applyNumberFormat="1" applyFont="1" applyFill="1" applyBorder="1" applyAlignment="1">
      <alignment horizontal="center" vertical="center"/>
    </xf>
    <xf numFmtId="165" fontId="155" fillId="38" borderId="23" xfId="0" applyNumberFormat="1" applyFont="1" applyFill="1" applyBorder="1" applyAlignment="1">
      <alignment horizontal="center" vertical="center"/>
    </xf>
    <xf numFmtId="3" fontId="155" fillId="38" borderId="23" xfId="0" applyNumberFormat="1" applyFont="1" applyFill="1" applyBorder="1" applyAlignment="1">
      <alignment horizontal="center" vertical="center"/>
    </xf>
    <xf numFmtId="178" fontId="155" fillId="38" borderId="23" xfId="1" applyNumberFormat="1" applyFont="1" applyFill="1" applyBorder="1" applyAlignment="1">
      <alignment horizontal="center" vertical="center"/>
    </xf>
    <xf numFmtId="44" fontId="155" fillId="38" borderId="23" xfId="1" applyFont="1" applyFill="1" applyBorder="1" applyAlignment="1">
      <alignment horizontal="center" vertical="center"/>
    </xf>
    <xf numFmtId="2" fontId="155" fillId="38" borderId="23" xfId="1" applyNumberFormat="1" applyFont="1" applyFill="1" applyBorder="1" applyAlignment="1">
      <alignment horizontal="center" vertical="center"/>
    </xf>
    <xf numFmtId="3" fontId="155" fillId="0" borderId="23" xfId="0" applyNumberFormat="1" applyFont="1" applyBorder="1" applyAlignment="1">
      <alignment horizontal="center" vertical="center"/>
    </xf>
    <xf numFmtId="178" fontId="155" fillId="0" borderId="23" xfId="0" applyNumberFormat="1" applyFont="1" applyBorder="1" applyAlignment="1">
      <alignment horizontal="center" vertical="center"/>
    </xf>
    <xf numFmtId="165" fontId="155" fillId="0" borderId="23" xfId="0" applyNumberFormat="1" applyFont="1" applyBorder="1" applyAlignment="1">
      <alignment horizontal="center" vertical="center"/>
    </xf>
    <xf numFmtId="178" fontId="155" fillId="0" borderId="23" xfId="1" applyNumberFormat="1" applyFont="1" applyBorder="1" applyAlignment="1">
      <alignment horizontal="center" vertical="center"/>
    </xf>
    <xf numFmtId="44" fontId="155" fillId="0" borderId="23" xfId="1" applyFont="1" applyBorder="1" applyAlignment="1">
      <alignment horizontal="center" vertical="center"/>
    </xf>
    <xf numFmtId="2" fontId="155" fillId="0" borderId="23" xfId="1" applyNumberFormat="1" applyFont="1" applyBorder="1" applyAlignment="1">
      <alignment horizontal="center" vertical="center"/>
    </xf>
    <xf numFmtId="165" fontId="155" fillId="0" borderId="0" xfId="0" applyNumberFormat="1" applyFont="1" applyAlignment="1">
      <alignment horizontal="center" vertical="center"/>
    </xf>
    <xf numFmtId="3" fontId="155" fillId="0" borderId="0" xfId="0" applyNumberFormat="1" applyFont="1" applyAlignment="1">
      <alignment horizontal="center" vertical="center"/>
    </xf>
    <xf numFmtId="2" fontId="155" fillId="0" borderId="23" xfId="0" applyNumberFormat="1" applyFont="1" applyBorder="1" applyAlignment="1">
      <alignment horizontal="center" vertical="center"/>
    </xf>
    <xf numFmtId="44" fontId="155" fillId="0" borderId="23" xfId="0" applyNumberFormat="1" applyFont="1" applyBorder="1" applyAlignment="1">
      <alignment horizontal="center" vertical="center"/>
    </xf>
    <xf numFmtId="0" fontId="155" fillId="2" borderId="0" xfId="0" applyFont="1" applyFill="1" applyAlignment="1">
      <alignment horizontal="center" vertical="center"/>
    </xf>
    <xf numFmtId="44" fontId="155" fillId="46" borderId="23" xfId="0" applyNumberFormat="1" applyFont="1" applyFill="1" applyBorder="1" applyAlignment="1">
      <alignment horizontal="center" vertical="center"/>
    </xf>
    <xf numFmtId="0" fontId="156" fillId="0" borderId="0" xfId="0" applyFont="1"/>
    <xf numFmtId="16" fontId="157" fillId="2" borderId="7" xfId="0" applyNumberFormat="1" applyFont="1" applyFill="1" applyBorder="1"/>
    <xf numFmtId="0" fontId="158" fillId="4" borderId="9" xfId="0" applyFont="1" applyFill="1" applyBorder="1"/>
    <xf numFmtId="178" fontId="158" fillId="90" borderId="10" xfId="0" applyNumberFormat="1" applyFont="1" applyFill="1" applyBorder="1" applyAlignment="1">
      <alignment horizontal="center"/>
    </xf>
    <xf numFmtId="166" fontId="158" fillId="4" borderId="90" xfId="0" applyNumberFormat="1" applyFont="1" applyFill="1" applyBorder="1" applyAlignment="1">
      <alignment horizontal="center"/>
    </xf>
    <xf numFmtId="44" fontId="158" fillId="90" borderId="10" xfId="0" applyNumberFormat="1" applyFont="1" applyFill="1" applyBorder="1" applyAlignment="1">
      <alignment horizontal="center"/>
    </xf>
    <xf numFmtId="166" fontId="41" fillId="5" borderId="36" xfId="0" applyNumberFormat="1" applyFont="1" applyFill="1" applyBorder="1"/>
    <xf numFmtId="166" fontId="42" fillId="5" borderId="36" xfId="0" applyNumberFormat="1" applyFont="1" applyFill="1" applyBorder="1"/>
    <xf numFmtId="166" fontId="42" fillId="5" borderId="8" xfId="0" applyNumberFormat="1" applyFont="1" applyFill="1" applyBorder="1"/>
    <xf numFmtId="166" fontId="93" fillId="5" borderId="7" xfId="0" applyNumberFormat="1" applyFont="1" applyFill="1" applyBorder="1"/>
    <xf numFmtId="166" fontId="93" fillId="5" borderId="36" xfId="0" applyNumberFormat="1" applyFont="1" applyFill="1" applyBorder="1"/>
    <xf numFmtId="44" fontId="94" fillId="5" borderId="36" xfId="1" applyFont="1" applyFill="1" applyBorder="1"/>
    <xf numFmtId="166" fontId="94" fillId="5" borderId="8" xfId="0" applyNumberFormat="1" applyFont="1" applyFill="1" applyBorder="1" applyAlignment="1">
      <alignment horizontal="center"/>
    </xf>
    <xf numFmtId="16" fontId="37" fillId="2" borderId="97" xfId="0" applyNumberFormat="1" applyFont="1" applyFill="1" applyBorder="1"/>
    <xf numFmtId="0" fontId="37" fillId="4" borderId="98" xfId="0" applyFont="1" applyFill="1" applyBorder="1"/>
    <xf numFmtId="166" fontId="40" fillId="4" borderId="98" xfId="0" applyNumberFormat="1" applyFont="1" applyFill="1" applyBorder="1"/>
    <xf numFmtId="16" fontId="37" fillId="2" borderId="98" xfId="0" applyNumberFormat="1" applyFont="1" applyFill="1" applyBorder="1"/>
    <xf numFmtId="16" fontId="10" fillId="2" borderId="98" xfId="0" applyNumberFormat="1" applyFont="1" applyFill="1" applyBorder="1"/>
    <xf numFmtId="0" fontId="10" fillId="4" borderId="98" xfId="0" applyFont="1" applyFill="1" applyBorder="1"/>
    <xf numFmtId="166" fontId="86" fillId="4" borderId="98" xfId="0" applyNumberFormat="1" applyFont="1" applyFill="1" applyBorder="1"/>
    <xf numFmtId="166" fontId="86" fillId="4" borderId="98" xfId="0" applyNumberFormat="1" applyFont="1" applyFill="1" applyBorder="1" applyAlignment="1">
      <alignment horizontal="center"/>
    </xf>
    <xf numFmtId="44" fontId="86" fillId="4" borderId="98" xfId="1" applyFont="1" applyFill="1" applyBorder="1"/>
    <xf numFmtId="166" fontId="86" fillId="4" borderId="99" xfId="0" applyNumberFormat="1" applyFont="1" applyFill="1" applyBorder="1" applyAlignment="1">
      <alignment horizontal="center"/>
    </xf>
    <xf numFmtId="165" fontId="40" fillId="2" borderId="100" xfId="0" applyNumberFormat="1" applyFont="1" applyFill="1" applyBorder="1"/>
    <xf numFmtId="0" fontId="41" fillId="2" borderId="101" xfId="0" applyFont="1" applyFill="1" applyBorder="1"/>
    <xf numFmtId="44" fontId="40" fillId="2" borderId="102" xfId="0" applyNumberFormat="1" applyFont="1" applyFill="1" applyBorder="1"/>
    <xf numFmtId="165" fontId="40" fillId="2" borderId="103" xfId="0" applyNumberFormat="1" applyFont="1" applyFill="1" applyBorder="1"/>
    <xf numFmtId="0" fontId="41" fillId="3" borderId="85" xfId="0" applyFont="1" applyFill="1" applyBorder="1"/>
    <xf numFmtId="165" fontId="42" fillId="3" borderId="86" xfId="0" applyNumberFormat="1" applyFont="1" applyFill="1" applyBorder="1"/>
    <xf numFmtId="166" fontId="42" fillId="3" borderId="104" xfId="0" applyNumberFormat="1" applyFont="1" applyFill="1" applyBorder="1"/>
    <xf numFmtId="0" fontId="41" fillId="3" borderId="105" xfId="0" applyFont="1" applyFill="1" applyBorder="1"/>
    <xf numFmtId="44" fontId="42" fillId="3" borderId="95" xfId="0" applyNumberFormat="1" applyFont="1" applyFill="1" applyBorder="1"/>
    <xf numFmtId="165" fontId="42" fillId="3" borderId="96" xfId="0" applyNumberFormat="1" applyFont="1" applyFill="1" applyBorder="1"/>
    <xf numFmtId="44" fontId="159" fillId="4" borderId="10" xfId="0" applyNumberFormat="1" applyFont="1" applyFill="1" applyBorder="1"/>
    <xf numFmtId="16" fontId="159" fillId="2" borderId="7" xfId="0" applyNumberFormat="1" applyFont="1" applyFill="1" applyBorder="1"/>
    <xf numFmtId="166" fontId="159" fillId="4" borderId="8" xfId="0" applyNumberFormat="1" applyFont="1" applyFill="1" applyBorder="1" applyAlignment="1">
      <alignment horizontal="center"/>
    </xf>
    <xf numFmtId="0" fontId="160" fillId="73" borderId="52" xfId="0" applyFont="1" applyFill="1" applyBorder="1" applyProtection="1">
      <protection locked="0"/>
    </xf>
    <xf numFmtId="0" fontId="160" fillId="73" borderId="65" xfId="0" applyFont="1" applyFill="1" applyBorder="1" applyProtection="1">
      <protection locked="0"/>
    </xf>
    <xf numFmtId="166" fontId="160" fillId="73" borderId="65" xfId="2" applyNumberFormat="1" applyFont="1" applyFill="1" applyBorder="1" applyAlignment="1">
      <alignment horizontal="center"/>
      <protection locked="0"/>
    </xf>
    <xf numFmtId="0" fontId="161" fillId="73" borderId="65" xfId="2" applyFont="1" applyFill="1" applyBorder="1" applyAlignment="1">
      <alignment horizontal="center"/>
      <protection locked="0"/>
    </xf>
    <xf numFmtId="0" fontId="160" fillId="36" borderId="23" xfId="0" applyFont="1" applyFill="1" applyBorder="1" applyProtection="1">
      <protection locked="0"/>
    </xf>
    <xf numFmtId="166" fontId="162" fillId="0" borderId="73" xfId="0" quotePrefix="1" applyNumberFormat="1" applyFont="1" applyBorder="1" applyAlignment="1">
      <alignment horizontal="center" vertical="center"/>
    </xf>
    <xf numFmtId="166" fontId="142" fillId="38" borderId="23" xfId="0" applyNumberFormat="1" applyFont="1" applyFill="1" applyBorder="1" applyAlignment="1" applyProtection="1">
      <alignment horizontal="center"/>
      <protection locked="0"/>
    </xf>
    <xf numFmtId="166" fontId="163" fillId="4" borderId="23" xfId="0" applyNumberFormat="1" applyFont="1" applyFill="1" applyBorder="1" applyAlignment="1" applyProtection="1">
      <alignment horizontal="center"/>
      <protection locked="0"/>
    </xf>
    <xf numFmtId="166" fontId="163" fillId="4" borderId="73" xfId="0" applyNumberFormat="1" applyFont="1" applyFill="1" applyBorder="1" applyAlignment="1" applyProtection="1">
      <alignment horizontal="center" vertical="center"/>
      <protection locked="0"/>
    </xf>
    <xf numFmtId="166" fontId="163" fillId="15" borderId="23" xfId="0" applyNumberFormat="1" applyFont="1" applyFill="1" applyBorder="1" applyAlignment="1" applyProtection="1">
      <alignment horizontal="center"/>
      <protection locked="0"/>
    </xf>
    <xf numFmtId="181" fontId="163" fillId="0" borderId="23" xfId="0" applyNumberFormat="1" applyFont="1" applyBorder="1" applyAlignment="1" applyProtection="1">
      <alignment horizontal="center"/>
      <protection locked="0"/>
    </xf>
    <xf numFmtId="166" fontId="163" fillId="45" borderId="23" xfId="0" applyNumberFormat="1" applyFont="1" applyFill="1" applyBorder="1" applyAlignment="1" applyProtection="1">
      <alignment horizontal="center"/>
      <protection locked="0"/>
    </xf>
    <xf numFmtId="166" fontId="163" fillId="38" borderId="23" xfId="0" applyNumberFormat="1" applyFont="1" applyFill="1" applyBorder="1" applyAlignment="1" applyProtection="1">
      <alignment horizontal="center" vertical="center"/>
      <protection locked="0"/>
    </xf>
    <xf numFmtId="166" fontId="163" fillId="0" borderId="23" xfId="0" applyNumberFormat="1" applyFont="1" applyBorder="1" applyAlignment="1" applyProtection="1">
      <alignment horizontal="center"/>
      <protection locked="0"/>
    </xf>
    <xf numFmtId="0" fontId="160" fillId="49" borderId="7" xfId="0" applyFont="1" applyFill="1" applyBorder="1" applyAlignment="1" applyProtection="1">
      <alignment horizontal="center"/>
      <protection locked="0"/>
    </xf>
    <xf numFmtId="166" fontId="163" fillId="0" borderId="4" xfId="0" applyNumberFormat="1" applyFont="1" applyBorder="1" applyAlignment="1" applyProtection="1">
      <alignment horizontal="center"/>
      <protection locked="0"/>
    </xf>
    <xf numFmtId="166" fontId="142" fillId="38" borderId="4" xfId="0" applyNumberFormat="1" applyFont="1" applyFill="1" applyBorder="1" applyAlignment="1" applyProtection="1">
      <alignment horizontal="center"/>
      <protection locked="0"/>
    </xf>
    <xf numFmtId="0" fontId="160" fillId="70" borderId="47" xfId="0" applyFont="1" applyFill="1" applyBorder="1" applyProtection="1">
      <protection locked="0"/>
    </xf>
    <xf numFmtId="0" fontId="160" fillId="70" borderId="23" xfId="0" applyFont="1" applyFill="1" applyBorder="1" applyProtection="1">
      <protection locked="0"/>
    </xf>
    <xf numFmtId="166" fontId="160" fillId="70" borderId="23" xfId="0" applyNumberFormat="1" applyFont="1" applyFill="1" applyBorder="1" applyAlignment="1" applyProtection="1">
      <alignment horizontal="center"/>
      <protection locked="0"/>
    </xf>
    <xf numFmtId="0" fontId="160" fillId="70" borderId="25" xfId="0" applyFont="1" applyFill="1" applyBorder="1" applyProtection="1">
      <protection locked="0"/>
    </xf>
    <xf numFmtId="0" fontId="160" fillId="70" borderId="21" xfId="0" applyFont="1" applyFill="1" applyBorder="1" applyProtection="1">
      <protection locked="0"/>
    </xf>
    <xf numFmtId="10" fontId="160" fillId="70" borderId="21" xfId="0" applyNumberFormat="1" applyFont="1" applyFill="1" applyBorder="1" applyAlignment="1" applyProtection="1">
      <alignment horizontal="center"/>
      <protection locked="0"/>
    </xf>
    <xf numFmtId="166" fontId="163" fillId="38" borderId="23" xfId="0" applyNumberFormat="1" applyFont="1" applyFill="1" applyBorder="1" applyAlignment="1" applyProtection="1">
      <alignment horizontal="center"/>
      <protection locked="0"/>
    </xf>
    <xf numFmtId="1" fontId="164" fillId="94" borderId="23" xfId="0" applyNumberFormat="1" applyFont="1" applyFill="1" applyBorder="1" applyAlignment="1">
      <alignment horizontal="center" vertical="center"/>
    </xf>
    <xf numFmtId="1" fontId="164" fillId="72" borderId="23" xfId="0" applyNumberFormat="1" applyFont="1" applyFill="1" applyBorder="1" applyAlignment="1">
      <alignment horizontal="center" vertical="center"/>
    </xf>
    <xf numFmtId="1" fontId="164" fillId="21" borderId="23" xfId="0" applyNumberFormat="1" applyFont="1" applyFill="1" applyBorder="1" applyAlignment="1">
      <alignment horizontal="center" vertical="center"/>
    </xf>
    <xf numFmtId="1" fontId="165" fillId="48" borderId="23" xfId="0" applyNumberFormat="1" applyFont="1" applyFill="1" applyBorder="1" applyAlignment="1">
      <alignment horizontal="center" vertical="center"/>
    </xf>
    <xf numFmtId="0" fontId="164" fillId="46" borderId="23" xfId="4" applyFont="1" applyFill="1" applyBorder="1" applyAlignment="1">
      <alignment horizontal="center" vertical="center"/>
    </xf>
    <xf numFmtId="44" fontId="164" fillId="38" borderId="23" xfId="1" applyFont="1" applyFill="1" applyBorder="1" applyAlignment="1">
      <alignment horizontal="center" vertical="center"/>
    </xf>
    <xf numFmtId="44" fontId="164" fillId="97" borderId="23" xfId="1" applyFont="1" applyFill="1" applyBorder="1" applyAlignment="1">
      <alignment horizontal="center" vertical="center"/>
    </xf>
    <xf numFmtId="9" fontId="164" fillId="38" borderId="23" xfId="3" applyFont="1" applyFill="1" applyBorder="1" applyAlignment="1">
      <alignment horizontal="center" vertical="center"/>
    </xf>
    <xf numFmtId="44" fontId="164" fillId="38" borderId="23" xfId="3" applyNumberFormat="1" applyFont="1" applyFill="1" applyBorder="1" applyAlignment="1">
      <alignment horizontal="center" vertical="center"/>
    </xf>
    <xf numFmtId="44" fontId="164" fillId="0" borderId="23" xfId="1" applyFont="1" applyBorder="1" applyAlignment="1">
      <alignment horizontal="center" vertical="center"/>
    </xf>
    <xf numFmtId="44" fontId="164" fillId="0" borderId="23" xfId="1" applyFont="1" applyFill="1" applyBorder="1" applyAlignment="1">
      <alignment horizontal="center" vertical="center"/>
    </xf>
    <xf numFmtId="44" fontId="164" fillId="74" borderId="23" xfId="1" applyFont="1" applyFill="1" applyBorder="1" applyAlignment="1">
      <alignment horizontal="center" vertical="center"/>
    </xf>
    <xf numFmtId="0" fontId="164" fillId="0" borderId="23" xfId="0" applyFont="1" applyBorder="1" applyAlignment="1">
      <alignment horizontal="center" vertical="center"/>
    </xf>
    <xf numFmtId="9" fontId="164" fillId="0" borderId="23" xfId="3" applyFont="1" applyFill="1" applyBorder="1" applyAlignment="1">
      <alignment horizontal="center" vertical="center"/>
    </xf>
    <xf numFmtId="44" fontId="164" fillId="0" borderId="23" xfId="3" applyNumberFormat="1" applyFont="1" applyFill="1" applyBorder="1" applyAlignment="1">
      <alignment horizontal="center" vertical="center"/>
    </xf>
    <xf numFmtId="0" fontId="164" fillId="86" borderId="23" xfId="2" applyFont="1" applyFill="1" applyBorder="1" applyAlignment="1" applyProtection="1">
      <alignment horizontal="center" vertical="center"/>
    </xf>
    <xf numFmtId="0" fontId="164" fillId="86" borderId="23" xfId="0" applyFont="1" applyFill="1" applyBorder="1" applyAlignment="1">
      <alignment horizontal="center" vertical="center"/>
    </xf>
    <xf numFmtId="44" fontId="164" fillId="75" borderId="23" xfId="1" applyFont="1" applyFill="1" applyBorder="1" applyAlignment="1">
      <alignment horizontal="center" vertical="center"/>
    </xf>
    <xf numFmtId="44" fontId="164" fillId="4" borderId="23" xfId="1" applyFont="1" applyFill="1" applyBorder="1" applyAlignment="1">
      <alignment horizontal="center" vertical="center"/>
    </xf>
    <xf numFmtId="44" fontId="166" fillId="0" borderId="23" xfId="1" applyFont="1" applyFill="1" applyBorder="1" applyAlignment="1">
      <alignment horizontal="center" vertical="center"/>
    </xf>
    <xf numFmtId="0" fontId="164" fillId="38" borderId="23" xfId="0" applyFont="1" applyFill="1" applyBorder="1" applyAlignment="1">
      <alignment horizontal="center" vertical="center"/>
    </xf>
    <xf numFmtId="0" fontId="164" fillId="42" borderId="23" xfId="0" applyFont="1" applyFill="1" applyBorder="1" applyAlignment="1">
      <alignment horizontal="center" vertical="center"/>
    </xf>
    <xf numFmtId="166" fontId="164" fillId="0" borderId="23" xfId="0" applyNumberFormat="1" applyFont="1" applyBorder="1" applyAlignment="1">
      <alignment horizontal="center" vertical="center"/>
    </xf>
    <xf numFmtId="166" fontId="164" fillId="74" borderId="23" xfId="0" applyNumberFormat="1" applyFont="1" applyFill="1" applyBorder="1" applyAlignment="1">
      <alignment horizontal="center" vertical="center"/>
    </xf>
    <xf numFmtId="10" fontId="164" fillId="38" borderId="23" xfId="0" applyNumberFormat="1" applyFont="1" applyFill="1" applyBorder="1" applyAlignment="1">
      <alignment horizontal="center" vertical="center"/>
    </xf>
    <xf numFmtId="10" fontId="164" fillId="0" borderId="23" xfId="0" applyNumberFormat="1" applyFont="1" applyBorder="1" applyAlignment="1">
      <alignment horizontal="center" vertical="center"/>
    </xf>
    <xf numFmtId="10" fontId="164" fillId="4" borderId="23" xfId="0" applyNumberFormat="1" applyFont="1" applyFill="1" applyBorder="1" applyAlignment="1">
      <alignment horizontal="center" vertical="center"/>
    </xf>
    <xf numFmtId="10" fontId="164" fillId="75" borderId="23" xfId="0" applyNumberFormat="1" applyFont="1" applyFill="1" applyBorder="1" applyAlignment="1">
      <alignment horizontal="center" vertical="center"/>
    </xf>
    <xf numFmtId="10" fontId="164" fillId="74" borderId="23" xfId="0" applyNumberFormat="1" applyFont="1" applyFill="1" applyBorder="1" applyAlignment="1">
      <alignment horizontal="center" vertical="center"/>
    </xf>
    <xf numFmtId="7" fontId="164" fillId="0" borderId="23" xfId="1" applyNumberFormat="1" applyFont="1" applyBorder="1" applyAlignment="1">
      <alignment horizontal="center" vertical="center"/>
    </xf>
    <xf numFmtId="44" fontId="164" fillId="0" borderId="23" xfId="0" applyNumberFormat="1" applyFont="1" applyBorder="1" applyAlignment="1">
      <alignment horizontal="center" vertical="center"/>
    </xf>
    <xf numFmtId="0" fontId="164" fillId="38" borderId="23" xfId="2" applyFont="1" applyFill="1" applyBorder="1" applyAlignment="1" applyProtection="1">
      <alignment horizontal="center" vertical="center"/>
    </xf>
    <xf numFmtId="0" fontId="164" fillId="39" borderId="23" xfId="0" applyFont="1" applyFill="1" applyBorder="1" applyAlignment="1">
      <alignment horizontal="center" vertical="center"/>
    </xf>
    <xf numFmtId="44" fontId="164" fillId="39" borderId="23" xfId="1" applyFont="1" applyFill="1" applyBorder="1" applyAlignment="1">
      <alignment horizontal="center" vertical="center"/>
    </xf>
    <xf numFmtId="44" fontId="164" fillId="99" borderId="23" xfId="1" applyFont="1" applyFill="1" applyBorder="1" applyAlignment="1">
      <alignment horizontal="center" vertical="center"/>
    </xf>
    <xf numFmtId="10" fontId="164" fillId="39" borderId="23" xfId="0" applyNumberFormat="1" applyFont="1" applyFill="1" applyBorder="1" applyAlignment="1">
      <alignment horizontal="center" vertical="center"/>
    </xf>
    <xf numFmtId="10" fontId="164" fillId="99" borderId="23" xfId="0" applyNumberFormat="1" applyFont="1" applyFill="1" applyBorder="1" applyAlignment="1">
      <alignment horizontal="center" vertical="center"/>
    </xf>
    <xf numFmtId="0" fontId="164" fillId="45" borderId="23" xfId="0" applyFont="1" applyFill="1" applyBorder="1" applyAlignment="1">
      <alignment horizontal="center" vertical="center"/>
    </xf>
    <xf numFmtId="8" fontId="164" fillId="0" borderId="23" xfId="1" applyNumberFormat="1" applyFont="1" applyFill="1" applyBorder="1" applyAlignment="1">
      <alignment horizontal="center" vertical="center"/>
    </xf>
    <xf numFmtId="44" fontId="164" fillId="74" borderId="23" xfId="0" applyNumberFormat="1" applyFont="1" applyFill="1" applyBorder="1" applyAlignment="1">
      <alignment horizontal="center" vertical="center"/>
    </xf>
    <xf numFmtId="10" fontId="164" fillId="0" borderId="23" xfId="0" quotePrefix="1" applyNumberFormat="1" applyFont="1" applyBorder="1" applyAlignment="1">
      <alignment horizontal="center" vertical="center"/>
    </xf>
    <xf numFmtId="44" fontId="164" fillId="0" borderId="23" xfId="1" quotePrefix="1" applyFont="1" applyBorder="1" applyAlignment="1">
      <alignment horizontal="center" vertical="center"/>
    </xf>
    <xf numFmtId="44" fontId="164" fillId="0" borderId="23" xfId="1" quotePrefix="1" applyFont="1" applyFill="1" applyBorder="1" applyAlignment="1">
      <alignment horizontal="center" vertical="center"/>
    </xf>
    <xf numFmtId="44" fontId="164" fillId="75" borderId="23" xfId="1" quotePrefix="1" applyFont="1" applyFill="1" applyBorder="1" applyAlignment="1">
      <alignment horizontal="center" vertical="center"/>
    </xf>
    <xf numFmtId="44" fontId="164" fillId="4" borderId="23" xfId="1" quotePrefix="1" applyFont="1" applyFill="1" applyBorder="1" applyAlignment="1">
      <alignment horizontal="center" vertical="center"/>
    </xf>
    <xf numFmtId="0" fontId="164" fillId="41" borderId="23" xfId="0" applyFont="1" applyFill="1" applyBorder="1" applyAlignment="1">
      <alignment horizontal="center" vertical="center"/>
    </xf>
    <xf numFmtId="7" fontId="164" fillId="0" borderId="23" xfId="0" applyNumberFormat="1" applyFont="1" applyBorder="1" applyAlignment="1">
      <alignment horizontal="center" vertical="center"/>
    </xf>
    <xf numFmtId="178" fontId="164" fillId="0" borderId="23" xfId="0" applyNumberFormat="1" applyFont="1" applyBorder="1" applyAlignment="1">
      <alignment horizontal="center" vertical="center"/>
    </xf>
    <xf numFmtId="7" fontId="164" fillId="74" borderId="23" xfId="0" applyNumberFormat="1" applyFont="1" applyFill="1" applyBorder="1" applyAlignment="1">
      <alignment horizontal="center" vertical="center"/>
    </xf>
    <xf numFmtId="7" fontId="164" fillId="84" borderId="23" xfId="0" applyNumberFormat="1" applyFont="1" applyFill="1" applyBorder="1" applyAlignment="1">
      <alignment horizontal="center" vertical="center"/>
    </xf>
    <xf numFmtId="178" fontId="167" fillId="0" borderId="0" xfId="0" applyNumberFormat="1" applyFont="1"/>
    <xf numFmtId="16" fontId="168" fillId="2" borderId="7" xfId="0" applyNumberFormat="1" applyFont="1" applyFill="1" applyBorder="1"/>
    <xf numFmtId="0" fontId="168" fillId="90" borderId="9" xfId="0" applyFont="1" applyFill="1" applyBorder="1"/>
    <xf numFmtId="44" fontId="169" fillId="90" borderId="10" xfId="0" applyNumberFormat="1" applyFont="1" applyFill="1" applyBorder="1" applyAlignment="1">
      <alignment horizontal="center"/>
    </xf>
    <xf numFmtId="8" fontId="169" fillId="90" borderId="8" xfId="0" applyNumberFormat="1" applyFont="1" applyFill="1" applyBorder="1" applyAlignment="1">
      <alignment horizontal="center"/>
    </xf>
    <xf numFmtId="166" fontId="170" fillId="4" borderId="8" xfId="0" applyNumberFormat="1" applyFont="1" applyFill="1" applyBorder="1" applyAlignment="1">
      <alignment horizontal="center"/>
    </xf>
    <xf numFmtId="0" fontId="168" fillId="4" borderId="9" xfId="0" applyFont="1" applyFill="1" applyBorder="1"/>
    <xf numFmtId="166" fontId="170" fillId="4" borderId="9" xfId="0" applyNumberFormat="1" applyFont="1" applyFill="1" applyBorder="1"/>
    <xf numFmtId="0" fontId="168" fillId="4" borderId="11" xfId="0" applyFont="1" applyFill="1" applyBorder="1"/>
    <xf numFmtId="44" fontId="170" fillId="4" borderId="9" xfId="0" applyNumberFormat="1" applyFont="1" applyFill="1" applyBorder="1"/>
    <xf numFmtId="178" fontId="170" fillId="4" borderId="9" xfId="0" applyNumberFormat="1" applyFont="1" applyFill="1" applyBorder="1"/>
    <xf numFmtId="166" fontId="170" fillId="4" borderId="10" xfId="0" applyNumberFormat="1" applyFont="1" applyFill="1" applyBorder="1"/>
    <xf numFmtId="178" fontId="170" fillId="4" borderId="10" xfId="0" applyNumberFormat="1" applyFont="1" applyFill="1" applyBorder="1"/>
    <xf numFmtId="0" fontId="168" fillId="0" borderId="0" xfId="0" applyFont="1"/>
    <xf numFmtId="165" fontId="170" fillId="4" borderId="10" xfId="0" applyNumberFormat="1" applyFont="1" applyFill="1" applyBorder="1" applyAlignment="1">
      <alignment horizontal="center"/>
    </xf>
    <xf numFmtId="178" fontId="170" fillId="4" borderId="10" xfId="0" applyNumberFormat="1" applyFont="1" applyFill="1" applyBorder="1" applyAlignment="1">
      <alignment horizontal="center"/>
    </xf>
    <xf numFmtId="166" fontId="170" fillId="4" borderId="8" xfId="0" applyNumberFormat="1" applyFont="1" applyFill="1" applyBorder="1"/>
    <xf numFmtId="166" fontId="171" fillId="2" borderId="19" xfId="0" applyNumberFormat="1" applyFont="1" applyFill="1" applyBorder="1"/>
    <xf numFmtId="0" fontId="172" fillId="2" borderId="19" xfId="0" applyFont="1" applyFill="1" applyBorder="1"/>
    <xf numFmtId="165" fontId="171" fillId="2" borderId="20" xfId="0" applyNumberFormat="1" applyFont="1" applyFill="1" applyBorder="1"/>
    <xf numFmtId="166" fontId="171" fillId="2" borderId="24" xfId="0" applyNumberFormat="1" applyFont="1" applyFill="1" applyBorder="1"/>
    <xf numFmtId="0" fontId="173" fillId="0" borderId="0" xfId="0" applyFont="1"/>
    <xf numFmtId="0" fontId="172" fillId="3" borderId="3" xfId="0" applyFont="1" applyFill="1" applyBorder="1"/>
    <xf numFmtId="0" fontId="172" fillId="3" borderId="4" xfId="0" applyFont="1" applyFill="1" applyBorder="1"/>
    <xf numFmtId="166" fontId="174" fillId="3" borderId="5" xfId="0" applyNumberFormat="1" applyFont="1" applyFill="1" applyBorder="1"/>
    <xf numFmtId="165" fontId="174" fillId="3" borderId="6" xfId="0" applyNumberFormat="1" applyFont="1" applyFill="1" applyBorder="1"/>
    <xf numFmtId="165" fontId="174" fillId="3" borderId="16" xfId="0" applyNumberFormat="1" applyFont="1" applyFill="1" applyBorder="1"/>
    <xf numFmtId="0" fontId="172" fillId="3" borderId="21" xfId="0" applyFont="1" applyFill="1" applyBorder="1"/>
    <xf numFmtId="166" fontId="174" fillId="3" borderId="16" xfId="0" applyNumberFormat="1" applyFont="1" applyFill="1" applyBorder="1"/>
    <xf numFmtId="165" fontId="174" fillId="3" borderId="17" xfId="0" applyNumberFormat="1" applyFont="1" applyFill="1" applyBorder="1"/>
    <xf numFmtId="0" fontId="172" fillId="3" borderId="57" xfId="0" applyFont="1" applyFill="1" applyBorder="1"/>
    <xf numFmtId="166" fontId="174" fillId="3" borderId="21" xfId="0" applyNumberFormat="1" applyFont="1" applyFill="1" applyBorder="1"/>
    <xf numFmtId="165" fontId="174" fillId="3" borderId="25" xfId="0" applyNumberFormat="1" applyFont="1" applyFill="1" applyBorder="1"/>
    <xf numFmtId="166" fontId="174" fillId="3" borderId="4" xfId="0" applyNumberFormat="1" applyFont="1" applyFill="1" applyBorder="1"/>
    <xf numFmtId="16" fontId="173" fillId="2" borderId="12" xfId="0" applyNumberFormat="1" applyFont="1" applyFill="1" applyBorder="1"/>
    <xf numFmtId="0" fontId="173" fillId="4" borderId="30" xfId="0" applyFont="1" applyFill="1" applyBorder="1"/>
    <xf numFmtId="166" fontId="171" fillId="4" borderId="30" xfId="0" applyNumberFormat="1" applyFont="1" applyFill="1" applyBorder="1"/>
    <xf numFmtId="166" fontId="171" fillId="4" borderId="1" xfId="0" applyNumberFormat="1" applyFont="1" applyFill="1" applyBorder="1"/>
    <xf numFmtId="0" fontId="173" fillId="4" borderId="41" xfId="0" applyFont="1" applyFill="1" applyBorder="1"/>
    <xf numFmtId="166" fontId="171" fillId="4" borderId="4" xfId="0" applyNumberFormat="1" applyFont="1" applyFill="1" applyBorder="1"/>
    <xf numFmtId="16" fontId="173" fillId="2" borderId="7" xfId="0" applyNumberFormat="1" applyFont="1" applyFill="1" applyBorder="1"/>
    <xf numFmtId="0" fontId="173" fillId="4" borderId="11" xfId="0" applyFont="1" applyFill="1" applyBorder="1"/>
    <xf numFmtId="166" fontId="171" fillId="4" borderId="9" xfId="0" applyNumberFormat="1" applyFont="1" applyFill="1" applyBorder="1"/>
    <xf numFmtId="166" fontId="171" fillId="4" borderId="8" xfId="0" applyNumberFormat="1" applyFont="1" applyFill="1" applyBorder="1"/>
    <xf numFmtId="16" fontId="173" fillId="89" borderId="7" xfId="0" applyNumberFormat="1" applyFont="1" applyFill="1" applyBorder="1"/>
    <xf numFmtId="0" fontId="173" fillId="90" borderId="9" xfId="0" applyFont="1" applyFill="1" applyBorder="1"/>
    <xf numFmtId="44" fontId="175" fillId="90" borderId="10" xfId="0" applyNumberFormat="1" applyFont="1" applyFill="1" applyBorder="1" applyAlignment="1">
      <alignment horizontal="center"/>
    </xf>
    <xf numFmtId="8" fontId="175" fillId="90" borderId="8" xfId="0" applyNumberFormat="1" applyFont="1" applyFill="1" applyBorder="1" applyAlignment="1">
      <alignment horizontal="center"/>
    </xf>
    <xf numFmtId="166" fontId="171" fillId="4" borderId="8" xfId="0" applyNumberFormat="1" applyFont="1" applyFill="1" applyBorder="1" applyAlignment="1">
      <alignment horizontal="center"/>
    </xf>
    <xf numFmtId="0" fontId="173" fillId="4" borderId="9" xfId="0" applyFont="1" applyFill="1" applyBorder="1"/>
    <xf numFmtId="0" fontId="173" fillId="4" borderId="4" xfId="0" applyFont="1" applyFill="1" applyBorder="1"/>
    <xf numFmtId="16" fontId="173" fillId="2" borderId="29" xfId="0" applyNumberFormat="1" applyFont="1" applyFill="1" applyBorder="1"/>
    <xf numFmtId="166" fontId="171" fillId="4" borderId="6" xfId="0" applyNumberFormat="1" applyFont="1" applyFill="1" applyBorder="1"/>
    <xf numFmtId="0" fontId="173" fillId="4" borderId="9" xfId="0" applyFont="1" applyFill="1" applyBorder="1" applyAlignment="1">
      <alignment horizontal="right"/>
    </xf>
    <xf numFmtId="166" fontId="171" fillId="4" borderId="10" xfId="0" applyNumberFormat="1" applyFont="1" applyFill="1" applyBorder="1"/>
    <xf numFmtId="165" fontId="171" fillId="4" borderId="8" xfId="0" applyNumberFormat="1" applyFont="1" applyFill="1" applyBorder="1"/>
    <xf numFmtId="16" fontId="173" fillId="108" borderId="75" xfId="0" applyNumberFormat="1" applyFont="1" applyFill="1" applyBorder="1"/>
    <xf numFmtId="0" fontId="173" fillId="46" borderId="11" xfId="0" applyFont="1" applyFill="1" applyBorder="1"/>
    <xf numFmtId="178" fontId="171" fillId="46" borderId="9" xfId="0" applyNumberFormat="1" applyFont="1" applyFill="1" applyBorder="1"/>
    <xf numFmtId="166" fontId="171" fillId="4" borderId="76" xfId="0" applyNumberFormat="1" applyFont="1" applyFill="1" applyBorder="1" applyAlignment="1">
      <alignment horizontal="center" vertical="top"/>
    </xf>
    <xf numFmtId="0" fontId="173" fillId="46" borderId="11" xfId="0" applyFont="1" applyFill="1" applyBorder="1" applyAlignment="1">
      <alignment horizontal="right"/>
    </xf>
    <xf numFmtId="9" fontId="171" fillId="4" borderId="76" xfId="3" applyFont="1" applyFill="1" applyBorder="1" applyAlignment="1">
      <alignment horizontal="center" vertical="top"/>
    </xf>
    <xf numFmtId="166" fontId="171" fillId="4" borderId="9" xfId="0" applyNumberFormat="1" applyFont="1" applyFill="1" applyBorder="1" applyAlignment="1">
      <alignment horizontal="center" vertical="center"/>
    </xf>
    <xf numFmtId="178" fontId="175" fillId="109" borderId="9" xfId="0" applyNumberFormat="1" applyFont="1" applyFill="1" applyBorder="1" applyAlignment="1">
      <alignment horizontal="center"/>
    </xf>
    <xf numFmtId="10" fontId="171" fillId="4" borderId="76" xfId="0" applyNumberFormat="1" applyFont="1" applyFill="1" applyBorder="1" applyAlignment="1">
      <alignment horizontal="center" vertical="top"/>
    </xf>
    <xf numFmtId="0" fontId="173" fillId="110" borderId="11" xfId="0" applyFont="1" applyFill="1" applyBorder="1" applyAlignment="1">
      <alignment horizontal="left"/>
    </xf>
    <xf numFmtId="178" fontId="175" fillId="110" borderId="9" xfId="0" applyNumberFormat="1" applyFont="1" applyFill="1" applyBorder="1" applyAlignment="1">
      <alignment horizontal="center"/>
    </xf>
    <xf numFmtId="0" fontId="173" fillId="109" borderId="11" xfId="0" applyFont="1" applyFill="1" applyBorder="1" applyAlignment="1">
      <alignment horizontal="right"/>
    </xf>
    <xf numFmtId="16" fontId="173" fillId="2" borderId="28" xfId="0" applyNumberFormat="1" applyFont="1" applyFill="1" applyBorder="1"/>
    <xf numFmtId="0" fontId="173" fillId="4" borderId="65" xfId="0" applyFont="1" applyFill="1" applyBorder="1"/>
    <xf numFmtId="166" fontId="171" fillId="4" borderId="65" xfId="0" applyNumberFormat="1" applyFont="1" applyFill="1" applyBorder="1"/>
    <xf numFmtId="166" fontId="171" fillId="4" borderId="53" xfId="0" applyNumberFormat="1" applyFont="1" applyFill="1" applyBorder="1"/>
    <xf numFmtId="0" fontId="173" fillId="110" borderId="11" xfId="0" applyFont="1" applyFill="1" applyBorder="1"/>
    <xf numFmtId="0" fontId="173" fillId="109" borderId="11" xfId="0" applyFont="1" applyFill="1" applyBorder="1" applyAlignment="1">
      <alignment horizontal="left"/>
    </xf>
    <xf numFmtId="16" fontId="173" fillId="4" borderId="9" xfId="0" applyNumberFormat="1" applyFont="1" applyFill="1" applyBorder="1"/>
    <xf numFmtId="178" fontId="175" fillId="110" borderId="9" xfId="0" applyNumberFormat="1" applyFont="1" applyFill="1" applyBorder="1" applyAlignment="1">
      <alignment horizontal="left"/>
    </xf>
    <xf numFmtId="0" fontId="173" fillId="4" borderId="0" xfId="0" applyFont="1" applyFill="1"/>
    <xf numFmtId="166" fontId="175" fillId="90" borderId="8" xfId="0" applyNumberFormat="1" applyFont="1" applyFill="1" applyBorder="1" applyAlignment="1">
      <alignment horizontal="center"/>
    </xf>
    <xf numFmtId="0" fontId="173" fillId="4" borderId="54" xfId="0" applyFont="1" applyFill="1" applyBorder="1"/>
    <xf numFmtId="0" fontId="173" fillId="0" borderId="0" xfId="0" applyFont="1" applyAlignment="1">
      <alignment readingOrder="1"/>
    </xf>
    <xf numFmtId="0" fontId="173" fillId="4" borderId="40" xfId="0" applyFont="1" applyFill="1" applyBorder="1"/>
    <xf numFmtId="16" fontId="173" fillId="2" borderId="56" xfId="0" applyNumberFormat="1" applyFont="1" applyFill="1" applyBorder="1"/>
    <xf numFmtId="0" fontId="173" fillId="4" borderId="55" xfId="0" applyFont="1" applyFill="1" applyBorder="1"/>
    <xf numFmtId="166" fontId="171" fillId="4" borderId="23" xfId="0" applyNumberFormat="1" applyFont="1" applyFill="1" applyBorder="1"/>
    <xf numFmtId="166" fontId="171" fillId="4" borderId="48" xfId="0" applyNumberFormat="1" applyFont="1" applyFill="1" applyBorder="1"/>
    <xf numFmtId="165" fontId="171" fillId="4" borderId="10" xfId="0" applyNumberFormat="1" applyFont="1" applyFill="1" applyBorder="1"/>
    <xf numFmtId="166" fontId="175" fillId="4" borderId="9" xfId="0" applyNumberFormat="1" applyFont="1" applyFill="1" applyBorder="1"/>
    <xf numFmtId="16" fontId="173" fillId="2" borderId="31" xfId="0" applyNumberFormat="1" applyFont="1" applyFill="1" applyBorder="1"/>
    <xf numFmtId="0" fontId="173" fillId="4" borderId="8" xfId="0" applyFont="1" applyFill="1" applyBorder="1"/>
    <xf numFmtId="0" fontId="173" fillId="4" borderId="32" xfId="0" applyFont="1" applyFill="1" applyBorder="1"/>
    <xf numFmtId="166" fontId="171" fillId="4" borderId="32" xfId="0" applyNumberFormat="1" applyFont="1" applyFill="1" applyBorder="1"/>
    <xf numFmtId="166" fontId="172" fillId="5" borderId="12" xfId="0" applyNumberFormat="1" applyFont="1" applyFill="1" applyBorder="1"/>
    <xf numFmtId="166" fontId="172" fillId="5" borderId="13" xfId="0" applyNumberFormat="1" applyFont="1" applyFill="1" applyBorder="1"/>
    <xf numFmtId="166" fontId="174" fillId="5" borderId="1" xfId="0" applyNumberFormat="1" applyFont="1" applyFill="1" applyBorder="1"/>
    <xf numFmtId="166" fontId="174" fillId="5" borderId="58" xfId="0" applyNumberFormat="1" applyFont="1" applyFill="1" applyBorder="1"/>
    <xf numFmtId="166" fontId="176" fillId="3" borderId="14" xfId="0" applyNumberFormat="1" applyFont="1" applyFill="1" applyBorder="1"/>
    <xf numFmtId="166" fontId="176" fillId="3" borderId="15" xfId="0" applyNumberFormat="1" applyFont="1" applyFill="1" applyBorder="1"/>
    <xf numFmtId="166" fontId="176" fillId="3" borderId="16" xfId="0" applyNumberFormat="1" applyFont="1" applyFill="1" applyBorder="1"/>
    <xf numFmtId="166" fontId="176" fillId="3" borderId="17" xfId="0" applyNumberFormat="1" applyFont="1" applyFill="1" applyBorder="1"/>
    <xf numFmtId="166" fontId="176" fillId="3" borderId="21" xfId="0" applyNumberFormat="1" applyFont="1" applyFill="1" applyBorder="1"/>
    <xf numFmtId="0" fontId="172" fillId="6" borderId="24" xfId="0" applyFont="1" applyFill="1" applyBorder="1"/>
    <xf numFmtId="0" fontId="173" fillId="6" borderId="19" xfId="0" applyFont="1" applyFill="1" applyBorder="1"/>
    <xf numFmtId="166" fontId="171" fillId="6" borderId="18" xfId="0" applyNumberFormat="1" applyFont="1" applyFill="1" applyBorder="1"/>
    <xf numFmtId="165" fontId="171" fillId="6" borderId="20" xfId="0" applyNumberFormat="1" applyFont="1" applyFill="1" applyBorder="1"/>
    <xf numFmtId="166" fontId="171" fillId="6" borderId="59" xfId="0" applyNumberFormat="1" applyFont="1" applyFill="1" applyBorder="1"/>
    <xf numFmtId="166" fontId="172" fillId="5" borderId="36" xfId="0" applyNumberFormat="1" applyFont="1" applyFill="1" applyBorder="1"/>
    <xf numFmtId="166" fontId="174" fillId="5" borderId="8" xfId="0" applyNumberFormat="1" applyFont="1" applyFill="1" applyBorder="1"/>
    <xf numFmtId="16" fontId="173" fillId="4" borderId="31" xfId="0" applyNumberFormat="1" applyFont="1" applyFill="1" applyBorder="1"/>
    <xf numFmtId="16" fontId="173" fillId="4" borderId="4" xfId="0" applyNumberFormat="1" applyFont="1" applyFill="1" applyBorder="1"/>
    <xf numFmtId="16" fontId="173" fillId="2" borderId="26" xfId="0" applyNumberFormat="1" applyFont="1" applyFill="1" applyBorder="1"/>
    <xf numFmtId="166" fontId="171" fillId="4" borderId="27" xfId="0" applyNumberFormat="1" applyFont="1" applyFill="1" applyBorder="1"/>
    <xf numFmtId="166" fontId="172" fillId="5" borderId="35" xfId="0" applyNumberFormat="1" applyFont="1" applyFill="1" applyBorder="1"/>
    <xf numFmtId="166" fontId="172" fillId="5" borderId="30" xfId="0" applyNumberFormat="1" applyFont="1" applyFill="1" applyBorder="1"/>
    <xf numFmtId="166" fontId="174" fillId="5" borderId="30" xfId="0" applyNumberFormat="1" applyFont="1" applyFill="1" applyBorder="1"/>
    <xf numFmtId="166" fontId="176" fillId="3" borderId="25" xfId="0" applyNumberFormat="1" applyFont="1" applyFill="1" applyBorder="1"/>
    <xf numFmtId="166" fontId="171" fillId="6" borderId="19" xfId="0" applyNumberFormat="1" applyFont="1" applyFill="1" applyBorder="1"/>
    <xf numFmtId="0" fontId="172" fillId="6" borderId="18" xfId="0" applyFont="1" applyFill="1" applyBorder="1"/>
    <xf numFmtId="0" fontId="173" fillId="6" borderId="24" xfId="0" applyFont="1" applyFill="1" applyBorder="1"/>
    <xf numFmtId="16" fontId="173" fillId="11" borderId="31" xfId="0" applyNumberFormat="1" applyFont="1" applyFill="1" applyBorder="1"/>
    <xf numFmtId="16" fontId="173" fillId="11" borderId="7" xfId="0" applyNumberFormat="1" applyFont="1" applyFill="1" applyBorder="1"/>
    <xf numFmtId="16" fontId="173" fillId="105" borderId="7" xfId="0" applyNumberFormat="1" applyFont="1" applyFill="1" applyBorder="1"/>
    <xf numFmtId="0" fontId="173" fillId="90" borderId="11" xfId="0" applyFont="1" applyFill="1" applyBorder="1"/>
    <xf numFmtId="44" fontId="175" fillId="90" borderId="9" xfId="0" applyNumberFormat="1" applyFont="1" applyFill="1" applyBorder="1" applyAlignment="1">
      <alignment horizontal="center"/>
    </xf>
    <xf numFmtId="8" fontId="175" fillId="90" borderId="0" xfId="0" applyNumberFormat="1" applyFont="1" applyFill="1" applyAlignment="1">
      <alignment horizontal="center"/>
    </xf>
    <xf numFmtId="178" fontId="171" fillId="4" borderId="9" xfId="0" applyNumberFormat="1" applyFont="1" applyFill="1" applyBorder="1"/>
    <xf numFmtId="166" fontId="171" fillId="4" borderId="76" xfId="0" applyNumberFormat="1" applyFont="1" applyFill="1" applyBorder="1" applyAlignment="1">
      <alignment horizontal="center"/>
    </xf>
    <xf numFmtId="166" fontId="171" fillId="4" borderId="0" xfId="0" applyNumberFormat="1" applyFont="1" applyFill="1" applyAlignment="1">
      <alignment horizontal="center"/>
    </xf>
    <xf numFmtId="0" fontId="173" fillId="109" borderId="11" xfId="0" applyFont="1" applyFill="1" applyBorder="1" applyAlignment="1">
      <alignment horizontal="right" vertical="center"/>
    </xf>
    <xf numFmtId="165" fontId="171" fillId="4" borderId="34" xfId="0" applyNumberFormat="1" applyFont="1" applyFill="1" applyBorder="1"/>
    <xf numFmtId="178" fontId="175" fillId="90" borderId="9" xfId="0" applyNumberFormat="1" applyFont="1" applyFill="1" applyBorder="1" applyAlignment="1">
      <alignment horizontal="center"/>
    </xf>
    <xf numFmtId="166" fontId="175" fillId="90" borderId="76" xfId="0" applyNumberFormat="1" applyFont="1" applyFill="1" applyBorder="1" applyAlignment="1">
      <alignment horizontal="center"/>
    </xf>
    <xf numFmtId="16" fontId="173" fillId="55" borderId="7" xfId="0" applyNumberFormat="1" applyFont="1" applyFill="1" applyBorder="1"/>
    <xf numFmtId="16" fontId="173" fillId="38" borderId="75" xfId="0" applyNumberFormat="1" applyFont="1" applyFill="1" applyBorder="1"/>
    <xf numFmtId="16" fontId="173" fillId="24" borderId="7" xfId="0" applyNumberFormat="1" applyFont="1" applyFill="1" applyBorder="1"/>
    <xf numFmtId="7" fontId="171" fillId="4" borderId="9" xfId="0" applyNumberFormat="1" applyFont="1" applyFill="1" applyBorder="1"/>
    <xf numFmtId="165" fontId="171" fillId="4" borderId="9" xfId="0" applyNumberFormat="1" applyFont="1" applyFill="1" applyBorder="1"/>
    <xf numFmtId="16" fontId="173" fillId="11" borderId="0" xfId="0" applyNumberFormat="1" applyFont="1" applyFill="1"/>
    <xf numFmtId="166" fontId="174" fillId="5" borderId="1" xfId="0" applyNumberFormat="1" applyFont="1" applyFill="1" applyBorder="1" applyAlignment="1">
      <alignment horizontal="center"/>
    </xf>
    <xf numFmtId="166" fontId="176" fillId="3" borderId="17" xfId="0" applyNumberFormat="1" applyFont="1" applyFill="1" applyBorder="1" applyAlignment="1">
      <alignment horizontal="center"/>
    </xf>
    <xf numFmtId="165" fontId="171" fillId="6" borderId="20" xfId="0" applyNumberFormat="1" applyFont="1" applyFill="1" applyBorder="1" applyAlignment="1">
      <alignment horizontal="center"/>
    </xf>
    <xf numFmtId="0" fontId="173" fillId="0" borderId="0" xfId="0" applyFont="1" applyAlignment="1">
      <alignment horizontal="center"/>
    </xf>
    <xf numFmtId="166" fontId="174" fillId="5" borderId="2" xfId="0" applyNumberFormat="1" applyFont="1" applyFill="1" applyBorder="1" applyAlignment="1">
      <alignment horizontal="center"/>
    </xf>
    <xf numFmtId="166" fontId="176" fillId="3" borderId="45" xfId="0" applyNumberFormat="1" applyFont="1" applyFill="1" applyBorder="1" applyAlignment="1">
      <alignment horizontal="center"/>
    </xf>
    <xf numFmtId="165" fontId="171" fillId="6" borderId="19" xfId="0" applyNumberFormat="1" applyFont="1" applyFill="1" applyBorder="1" applyAlignment="1">
      <alignment horizontal="center"/>
    </xf>
    <xf numFmtId="0" fontId="173" fillId="4" borderId="11" xfId="0" applyFont="1" applyFill="1" applyBorder="1" applyAlignment="1">
      <alignment vertical="top"/>
    </xf>
    <xf numFmtId="178" fontId="171" fillId="4" borderId="9" xfId="0" applyNumberFormat="1" applyFont="1" applyFill="1" applyBorder="1" applyAlignment="1">
      <alignment vertical="top"/>
    </xf>
    <xf numFmtId="16" fontId="173" fillId="38" borderId="75" xfId="0" applyNumberFormat="1" applyFont="1" applyFill="1" applyBorder="1" applyAlignment="1">
      <alignment vertical="top"/>
    </xf>
    <xf numFmtId="44" fontId="171" fillId="4" borderId="9" xfId="1" applyFont="1" applyFill="1" applyBorder="1" applyAlignment="1">
      <alignment vertical="top"/>
    </xf>
    <xf numFmtId="166" fontId="63" fillId="2" borderId="82" xfId="0" applyNumberFormat="1" applyFont="1" applyFill="1" applyBorder="1"/>
    <xf numFmtId="0" fontId="66" fillId="2" borderId="83" xfId="0" applyFont="1" applyFill="1" applyBorder="1"/>
    <xf numFmtId="166" fontId="63" fillId="2" borderId="83" xfId="0" applyNumberFormat="1" applyFont="1" applyFill="1" applyBorder="1"/>
    <xf numFmtId="165" fontId="63" fillId="2" borderId="84" xfId="0" applyNumberFormat="1" applyFont="1" applyFill="1" applyBorder="1"/>
    <xf numFmtId="0" fontId="66" fillId="2" borderId="108" xfId="0" applyFont="1" applyFill="1" applyBorder="1"/>
    <xf numFmtId="165" fontId="72" fillId="3" borderId="86" xfId="0" applyNumberFormat="1" applyFont="1" applyFill="1" applyBorder="1"/>
    <xf numFmtId="165" fontId="72" fillId="3" borderId="109" xfId="0" applyNumberFormat="1" applyFont="1" applyFill="1" applyBorder="1"/>
    <xf numFmtId="165" fontId="72" fillId="3" borderId="110" xfId="0" applyNumberFormat="1" applyFont="1" applyFill="1" applyBorder="1"/>
    <xf numFmtId="16" fontId="173" fillId="2" borderId="89" xfId="0" applyNumberFormat="1" applyFont="1" applyFill="1" applyBorder="1"/>
    <xf numFmtId="166" fontId="171" fillId="4" borderId="90" xfId="0" applyNumberFormat="1" applyFont="1" applyFill="1" applyBorder="1" applyAlignment="1">
      <alignment horizontal="center"/>
    </xf>
    <xf numFmtId="166" fontId="171" fillId="4" borderId="90" xfId="0" applyNumberFormat="1" applyFont="1" applyFill="1" applyBorder="1" applyAlignment="1">
      <alignment horizontal="center" vertical="top"/>
    </xf>
    <xf numFmtId="10" fontId="171" fillId="4" borderId="90" xfId="0" applyNumberFormat="1" applyFont="1" applyFill="1" applyBorder="1" applyAlignment="1">
      <alignment horizontal="center" vertical="top"/>
    </xf>
    <xf numFmtId="166" fontId="172" fillId="5" borderId="111" xfId="0" applyNumberFormat="1" applyFont="1" applyFill="1" applyBorder="1"/>
    <xf numFmtId="166" fontId="174" fillId="5" borderId="92" xfId="0" applyNumberFormat="1" applyFont="1" applyFill="1" applyBorder="1"/>
    <xf numFmtId="166" fontId="176" fillId="3" borderId="112" xfId="0" applyNumberFormat="1" applyFont="1" applyFill="1" applyBorder="1"/>
    <xf numFmtId="166" fontId="176" fillId="3" borderId="88" xfId="0" applyNumberFormat="1" applyFont="1" applyFill="1" applyBorder="1"/>
    <xf numFmtId="0" fontId="172" fillId="6" borderId="113" xfId="0" applyFont="1" applyFill="1" applyBorder="1"/>
    <xf numFmtId="0" fontId="173" fillId="6" borderId="114" xfId="0" applyFont="1" applyFill="1" applyBorder="1"/>
    <xf numFmtId="166" fontId="171" fillId="6" borderId="115" xfId="0" applyNumberFormat="1" applyFont="1" applyFill="1" applyBorder="1"/>
    <xf numFmtId="165" fontId="171" fillId="6" borderId="116" xfId="0" applyNumberFormat="1" applyFont="1" applyFill="1" applyBorder="1"/>
    <xf numFmtId="165" fontId="63" fillId="2" borderId="19" xfId="0" applyNumberFormat="1" applyFont="1" applyFill="1" applyBorder="1"/>
    <xf numFmtId="165" fontId="72" fillId="3" borderId="19" xfId="0" applyNumberFormat="1" applyFont="1" applyFill="1" applyBorder="1"/>
    <xf numFmtId="166" fontId="174" fillId="5" borderId="2" xfId="0" applyNumberFormat="1" applyFont="1" applyFill="1" applyBorder="1"/>
    <xf numFmtId="166" fontId="176" fillId="3" borderId="45" xfId="0" applyNumberFormat="1" applyFont="1" applyFill="1" applyBorder="1"/>
    <xf numFmtId="165" fontId="171" fillId="6" borderId="19" xfId="0" applyNumberFormat="1" applyFont="1" applyFill="1" applyBorder="1"/>
    <xf numFmtId="0" fontId="173" fillId="0" borderId="11" xfId="0" applyFont="1" applyBorder="1" applyAlignment="1">
      <alignment horizontal="left"/>
    </xf>
    <xf numFmtId="178" fontId="175" fillId="0" borderId="10" xfId="0" applyNumberFormat="1" applyFont="1" applyBorder="1" applyAlignment="1">
      <alignment horizontal="left"/>
    </xf>
    <xf numFmtId="10" fontId="171" fillId="0" borderId="90" xfId="0" applyNumberFormat="1" applyFont="1" applyBorder="1" applyAlignment="1">
      <alignment horizontal="center" vertical="top"/>
    </xf>
    <xf numFmtId="0" fontId="173" fillId="90" borderId="0" xfId="0" applyFont="1" applyFill="1"/>
    <xf numFmtId="178" fontId="171" fillId="4" borderId="117" xfId="0" applyNumberFormat="1" applyFont="1" applyFill="1" applyBorder="1"/>
    <xf numFmtId="178" fontId="171" fillId="46" borderId="117" xfId="0" applyNumberFormat="1" applyFont="1" applyFill="1" applyBorder="1"/>
    <xf numFmtId="178" fontId="175" fillId="109" borderId="117" xfId="0" applyNumberFormat="1" applyFont="1" applyFill="1" applyBorder="1" applyAlignment="1">
      <alignment horizontal="center"/>
    </xf>
    <xf numFmtId="178" fontId="175" fillId="110" borderId="117" xfId="0" applyNumberFormat="1" applyFont="1" applyFill="1" applyBorder="1" applyAlignment="1">
      <alignment horizontal="center"/>
    </xf>
    <xf numFmtId="178" fontId="175" fillId="110" borderId="117" xfId="0" applyNumberFormat="1" applyFont="1" applyFill="1" applyBorder="1" applyAlignment="1">
      <alignment horizontal="left"/>
    </xf>
    <xf numFmtId="178" fontId="175" fillId="90" borderId="117" xfId="0" applyNumberFormat="1" applyFont="1" applyFill="1" applyBorder="1" applyAlignment="1">
      <alignment horizontal="center"/>
    </xf>
    <xf numFmtId="178" fontId="171" fillId="4" borderId="117" xfId="0" applyNumberFormat="1" applyFont="1" applyFill="1" applyBorder="1" applyAlignment="1">
      <alignment vertical="top"/>
    </xf>
    <xf numFmtId="44" fontId="171" fillId="4" borderId="117" xfId="1" applyFont="1" applyFill="1" applyBorder="1" applyAlignment="1">
      <alignment vertical="top"/>
    </xf>
    <xf numFmtId="16" fontId="173" fillId="108" borderId="117" xfId="0" applyNumberFormat="1" applyFont="1" applyFill="1" applyBorder="1"/>
    <xf numFmtId="16" fontId="173" fillId="108" borderId="76" xfId="0" applyNumberFormat="1" applyFont="1" applyFill="1" applyBorder="1"/>
    <xf numFmtId="16" fontId="173" fillId="38" borderId="76" xfId="0" applyNumberFormat="1" applyFont="1" applyFill="1" applyBorder="1"/>
    <xf numFmtId="16" fontId="173" fillId="38" borderId="117" xfId="0" applyNumberFormat="1" applyFont="1" applyFill="1" applyBorder="1"/>
    <xf numFmtId="16" fontId="173" fillId="38" borderId="117" xfId="0" applyNumberFormat="1" applyFont="1" applyFill="1" applyBorder="1" applyAlignment="1">
      <alignment vertical="top"/>
    </xf>
    <xf numFmtId="0" fontId="173" fillId="46" borderId="0" xfId="0" applyFont="1" applyFill="1"/>
    <xf numFmtId="0" fontId="173" fillId="46" borderId="0" xfId="0" applyFont="1" applyFill="1" applyAlignment="1">
      <alignment horizontal="right"/>
    </xf>
    <xf numFmtId="0" fontId="173" fillId="109" borderId="0" xfId="0" applyFont="1" applyFill="1" applyAlignment="1">
      <alignment horizontal="right" vertical="center"/>
    </xf>
    <xf numFmtId="0" fontId="173" fillId="110" borderId="0" xfId="0" applyFont="1" applyFill="1" applyAlignment="1">
      <alignment horizontal="left"/>
    </xf>
    <xf numFmtId="0" fontId="173" fillId="109" borderId="0" xfId="0" applyFont="1" applyFill="1" applyAlignment="1">
      <alignment horizontal="right"/>
    </xf>
    <xf numFmtId="0" fontId="173" fillId="110" borderId="0" xfId="0" applyFont="1" applyFill="1"/>
    <xf numFmtId="0" fontId="173" fillId="109" borderId="0" xfId="0" applyFont="1" applyFill="1" applyAlignment="1">
      <alignment horizontal="left"/>
    </xf>
    <xf numFmtId="0" fontId="173" fillId="4" borderId="0" xfId="0" applyFont="1" applyFill="1" applyAlignment="1">
      <alignment vertical="top"/>
    </xf>
    <xf numFmtId="0" fontId="139" fillId="0" borderId="0" xfId="0" applyFont="1" applyAlignment="1">
      <alignment horizontal="center" vertical="center"/>
    </xf>
    <xf numFmtId="0" fontId="139" fillId="0" borderId="0" xfId="0" applyFont="1" applyAlignment="1">
      <alignment horizontal="center" vertical="center" wrapText="1"/>
    </xf>
    <xf numFmtId="0" fontId="160" fillId="53" borderId="81" xfId="0" applyFont="1" applyFill="1" applyBorder="1" applyAlignment="1">
      <alignment horizontal="center" vertical="center" wrapText="1"/>
    </xf>
    <xf numFmtId="0" fontId="160" fillId="53" borderId="73" xfId="0" applyFont="1" applyFill="1" applyBorder="1" applyAlignment="1">
      <alignment horizontal="center" vertical="center" wrapText="1"/>
    </xf>
    <xf numFmtId="0" fontId="160" fillId="53" borderId="106" xfId="0" applyFont="1" applyFill="1" applyBorder="1" applyAlignment="1">
      <alignment horizontal="center" vertical="center" wrapText="1"/>
    </xf>
    <xf numFmtId="0" fontId="177" fillId="53" borderId="107" xfId="0" applyFont="1" applyFill="1" applyBorder="1" applyAlignment="1">
      <alignment horizontal="center" vertical="center" wrapText="1"/>
    </xf>
    <xf numFmtId="0" fontId="160" fillId="48" borderId="81" xfId="0" applyFont="1" applyFill="1" applyBorder="1" applyAlignment="1">
      <alignment vertical="center"/>
    </xf>
    <xf numFmtId="0" fontId="139" fillId="112" borderId="73" xfId="0" applyFont="1" applyFill="1" applyBorder="1" applyAlignment="1">
      <alignment horizontal="center" vertical="center"/>
    </xf>
    <xf numFmtId="0" fontId="139" fillId="52" borderId="73" xfId="0" applyFont="1" applyFill="1" applyBorder="1" applyAlignment="1">
      <alignment horizontal="center" vertical="center"/>
    </xf>
    <xf numFmtId="0" fontId="139" fillId="43" borderId="73" xfId="0" applyFont="1" applyFill="1" applyBorder="1" applyAlignment="1">
      <alignment horizontal="center" vertical="center"/>
    </xf>
    <xf numFmtId="0" fontId="139" fillId="71" borderId="73" xfId="0" applyFont="1" applyFill="1" applyBorder="1" applyAlignment="1">
      <alignment horizontal="center" vertical="center"/>
    </xf>
    <xf numFmtId="0" fontId="139" fillId="0" borderId="0" xfId="0" applyFont="1" applyAlignment="1">
      <alignment vertical="center"/>
    </xf>
    <xf numFmtId="0" fontId="160" fillId="48" borderId="81" xfId="0" applyFont="1" applyFill="1" applyBorder="1" applyAlignment="1">
      <alignment horizontal="center" vertical="center"/>
    </xf>
    <xf numFmtId="0" fontId="139" fillId="15" borderId="73" xfId="0" applyFont="1" applyFill="1" applyBorder="1" applyAlignment="1">
      <alignment horizontal="center" vertical="center"/>
    </xf>
    <xf numFmtId="178" fontId="139" fillId="15" borderId="73" xfId="0" applyNumberFormat="1" applyFont="1" applyFill="1" applyBorder="1" applyAlignment="1">
      <alignment horizontal="center" vertical="center"/>
    </xf>
    <xf numFmtId="178" fontId="139" fillId="0" borderId="0" xfId="0" applyNumberFormat="1" applyFont="1" applyAlignment="1">
      <alignment horizontal="center" vertical="center"/>
    </xf>
    <xf numFmtId="0" fontId="160" fillId="48" borderId="73" xfId="0" applyFont="1" applyFill="1" applyBorder="1" applyAlignment="1">
      <alignment horizontal="center" vertical="center"/>
    </xf>
    <xf numFmtId="0" fontId="158" fillId="15" borderId="73" xfId="0" applyFont="1" applyFill="1" applyBorder="1" applyAlignment="1">
      <alignment horizontal="center" vertical="center"/>
    </xf>
    <xf numFmtId="0" fontId="139" fillId="0" borderId="73" xfId="0" applyFont="1" applyBorder="1" applyAlignment="1">
      <alignment horizontal="center" vertical="center"/>
    </xf>
    <xf numFmtId="178" fontId="139" fillId="0" borderId="73" xfId="0" applyNumberFormat="1" applyFont="1" applyBorder="1" applyAlignment="1">
      <alignment horizontal="center" vertical="center"/>
    </xf>
    <xf numFmtId="0" fontId="172" fillId="6" borderId="0" xfId="0" applyFont="1" applyFill="1"/>
    <xf numFmtId="0" fontId="173" fillId="6" borderId="0" xfId="0" applyFont="1" applyFill="1"/>
    <xf numFmtId="166" fontId="171" fillId="6" borderId="0" xfId="0" applyNumberFormat="1" applyFont="1" applyFill="1"/>
    <xf numFmtId="165" fontId="171" fillId="6" borderId="0" xfId="0" applyNumberFormat="1" applyFont="1" applyFill="1"/>
    <xf numFmtId="166" fontId="172" fillId="5" borderId="7" xfId="0" applyNumberFormat="1" applyFont="1" applyFill="1" applyBorder="1"/>
    <xf numFmtId="166" fontId="174" fillId="5" borderId="0" xfId="0" applyNumberFormat="1" applyFont="1" applyFill="1"/>
    <xf numFmtId="166" fontId="174" fillId="5" borderId="8" xfId="0" applyNumberFormat="1" applyFont="1" applyFill="1" applyBorder="1" applyAlignment="1">
      <alignment horizontal="center"/>
    </xf>
    <xf numFmtId="166" fontId="176" fillId="3" borderId="26" xfId="0" applyNumberFormat="1" applyFont="1" applyFill="1" applyBorder="1"/>
    <xf numFmtId="166" fontId="176" fillId="3" borderId="33" xfId="0" applyNumberFormat="1" applyFont="1" applyFill="1" applyBorder="1"/>
    <xf numFmtId="166" fontId="176" fillId="3" borderId="33" xfId="0" applyNumberFormat="1" applyFont="1" applyFill="1" applyBorder="1" applyAlignment="1">
      <alignment horizontal="center"/>
    </xf>
    <xf numFmtId="0" fontId="173" fillId="11" borderId="23" xfId="0" applyFont="1" applyFill="1" applyBorder="1"/>
    <xf numFmtId="0" fontId="172" fillId="11" borderId="23" xfId="0" applyFont="1" applyFill="1" applyBorder="1"/>
    <xf numFmtId="166" fontId="171" fillId="11" borderId="23" xfId="0" applyNumberFormat="1" applyFont="1" applyFill="1" applyBorder="1"/>
    <xf numFmtId="165" fontId="171" fillId="11" borderId="23" xfId="0" applyNumberFormat="1" applyFont="1" applyFill="1" applyBorder="1"/>
    <xf numFmtId="165" fontId="171" fillId="11" borderId="23" xfId="0" applyNumberFormat="1" applyFont="1" applyFill="1" applyBorder="1" applyAlignment="1">
      <alignment horizontal="center"/>
    </xf>
    <xf numFmtId="166" fontId="171" fillId="24" borderId="23" xfId="0" applyNumberFormat="1" applyFont="1" applyFill="1" applyBorder="1"/>
    <xf numFmtId="0" fontId="172" fillId="24" borderId="23" xfId="0" applyFont="1" applyFill="1" applyBorder="1"/>
    <xf numFmtId="165" fontId="171" fillId="24" borderId="23" xfId="0" applyNumberFormat="1" applyFont="1" applyFill="1" applyBorder="1" applyAlignment="1">
      <alignment horizontal="center"/>
    </xf>
    <xf numFmtId="166" fontId="171" fillId="38" borderId="23" xfId="0" applyNumberFormat="1" applyFont="1" applyFill="1" applyBorder="1"/>
    <xf numFmtId="165" fontId="171" fillId="24" borderId="74" xfId="0" applyNumberFormat="1" applyFont="1" applyFill="1" applyBorder="1" applyAlignment="1">
      <alignment horizontal="center"/>
    </xf>
    <xf numFmtId="0" fontId="173" fillId="0" borderId="23" xfId="0" applyFont="1" applyBorder="1"/>
    <xf numFmtId="0" fontId="172" fillId="3" borderId="23" xfId="0" applyFont="1" applyFill="1" applyBorder="1"/>
    <xf numFmtId="166" fontId="174" fillId="3" borderId="23" xfId="0" applyNumberFormat="1" applyFont="1" applyFill="1" applyBorder="1"/>
    <xf numFmtId="165" fontId="174" fillId="3" borderId="23" xfId="0" applyNumberFormat="1" applyFont="1" applyFill="1" applyBorder="1"/>
    <xf numFmtId="165" fontId="174" fillId="3" borderId="23" xfId="0" applyNumberFormat="1" applyFont="1" applyFill="1" applyBorder="1" applyAlignment="1">
      <alignment horizontal="center"/>
    </xf>
    <xf numFmtId="0" fontId="172" fillId="38" borderId="23" xfId="0" applyFont="1" applyFill="1" applyBorder="1"/>
    <xf numFmtId="165" fontId="174" fillId="3" borderId="74" xfId="0" applyNumberFormat="1" applyFont="1" applyFill="1" applyBorder="1" applyAlignment="1">
      <alignment horizontal="center"/>
    </xf>
    <xf numFmtId="165" fontId="174" fillId="38" borderId="23" xfId="0" applyNumberFormat="1" applyFont="1" applyFill="1" applyBorder="1"/>
    <xf numFmtId="0" fontId="178" fillId="0" borderId="0" xfId="0" applyFont="1"/>
    <xf numFmtId="0" fontId="178" fillId="0" borderId="117" xfId="0" applyFont="1" applyBorder="1"/>
    <xf numFmtId="166" fontId="172" fillId="5" borderId="77" xfId="0" applyNumberFormat="1" applyFont="1" applyFill="1" applyBorder="1"/>
    <xf numFmtId="166" fontId="174" fillId="5" borderId="76" xfId="0" applyNumberFormat="1" applyFont="1" applyFill="1" applyBorder="1" applyAlignment="1">
      <alignment horizontal="center"/>
    </xf>
    <xf numFmtId="0" fontId="173" fillId="4" borderId="78" xfId="0" applyFont="1" applyFill="1" applyBorder="1" applyAlignment="1">
      <alignment vertical="top"/>
    </xf>
    <xf numFmtId="44" fontId="171" fillId="4" borderId="79" xfId="1" applyFont="1" applyFill="1" applyBorder="1" applyAlignment="1">
      <alignment vertical="top"/>
    </xf>
    <xf numFmtId="166" fontId="171" fillId="4" borderId="80" xfId="0" applyNumberFormat="1" applyFont="1" applyFill="1" applyBorder="1" applyAlignment="1">
      <alignment horizontal="center" vertical="top"/>
    </xf>
    <xf numFmtId="166" fontId="176" fillId="3" borderId="118" xfId="0" applyNumberFormat="1" applyFont="1" applyFill="1" applyBorder="1" applyAlignment="1">
      <alignment horizontal="center"/>
    </xf>
    <xf numFmtId="165" fontId="171" fillId="6" borderId="119" xfId="0" applyNumberFormat="1" applyFont="1" applyFill="1" applyBorder="1" applyAlignment="1">
      <alignment horizontal="center"/>
    </xf>
    <xf numFmtId="0" fontId="173" fillId="0" borderId="0" xfId="0" applyFont="1" applyAlignment="1">
      <alignment vertical="top"/>
    </xf>
    <xf numFmtId="0" fontId="179" fillId="5" borderId="2" xfId="0" applyFont="1" applyFill="1" applyBorder="1"/>
    <xf numFmtId="166" fontId="180" fillId="5" borderId="2" xfId="0" applyNumberFormat="1" applyFont="1" applyFill="1" applyBorder="1"/>
    <xf numFmtId="165" fontId="180" fillId="5" borderId="1" xfId="0" applyNumberFormat="1" applyFont="1" applyFill="1" applyBorder="1"/>
    <xf numFmtId="166" fontId="180" fillId="2" borderId="19" xfId="0" applyNumberFormat="1" applyFont="1" applyFill="1" applyBorder="1"/>
    <xf numFmtId="0" fontId="179" fillId="2" borderId="19" xfId="0" applyFont="1" applyFill="1" applyBorder="1"/>
    <xf numFmtId="165" fontId="180" fillId="2" borderId="20" xfId="0" applyNumberFormat="1" applyFont="1" applyFill="1" applyBorder="1"/>
    <xf numFmtId="165" fontId="180" fillId="2" borderId="19" xfId="0" applyNumberFormat="1" applyFont="1" applyFill="1" applyBorder="1"/>
    <xf numFmtId="166" fontId="180" fillId="2" borderId="24" xfId="0" applyNumberFormat="1" applyFont="1" applyFill="1" applyBorder="1"/>
    <xf numFmtId="0" fontId="181" fillId="2" borderId="19" xfId="2" applyFont="1" applyFill="1" applyBorder="1" applyAlignment="1" applyProtection="1"/>
    <xf numFmtId="0" fontId="179" fillId="3" borderId="4" xfId="0" applyFont="1" applyFill="1" applyBorder="1"/>
    <xf numFmtId="166" fontId="182" fillId="3" borderId="5" xfId="0" applyNumberFormat="1" applyFont="1" applyFill="1" applyBorder="1"/>
    <xf numFmtId="165" fontId="182" fillId="3" borderId="6" xfId="0" applyNumberFormat="1" applyFont="1" applyFill="1" applyBorder="1"/>
    <xf numFmtId="0" fontId="179" fillId="3" borderId="5" xfId="0" applyFont="1" applyFill="1" applyBorder="1"/>
    <xf numFmtId="0" fontId="179" fillId="3" borderId="3" xfId="0" applyFont="1" applyFill="1" applyBorder="1"/>
    <xf numFmtId="165" fontId="182" fillId="3" borderId="38" xfId="0" applyNumberFormat="1" applyFont="1" applyFill="1" applyBorder="1"/>
    <xf numFmtId="0" fontId="179" fillId="3" borderId="29" xfId="0" applyFont="1" applyFill="1" applyBorder="1"/>
    <xf numFmtId="0" fontId="179" fillId="3" borderId="30" xfId="0" applyFont="1" applyFill="1" applyBorder="1"/>
    <xf numFmtId="166" fontId="182" fillId="3" borderId="30" xfId="0" applyNumberFormat="1" applyFont="1" applyFill="1" applyBorder="1"/>
    <xf numFmtId="0" fontId="179" fillId="3" borderId="21" xfId="0" applyFont="1" applyFill="1" applyBorder="1"/>
    <xf numFmtId="166" fontId="182" fillId="3" borderId="16" xfId="0" applyNumberFormat="1" applyFont="1" applyFill="1" applyBorder="1"/>
    <xf numFmtId="165" fontId="182" fillId="3" borderId="17" xfId="0" applyNumberFormat="1" applyFont="1" applyFill="1" applyBorder="1"/>
    <xf numFmtId="165" fontId="182" fillId="3" borderId="16" xfId="0" applyNumberFormat="1" applyFont="1" applyFill="1" applyBorder="1"/>
    <xf numFmtId="165" fontId="182" fillId="3" borderId="45" xfId="0" applyNumberFormat="1" applyFont="1" applyFill="1" applyBorder="1"/>
    <xf numFmtId="165" fontId="182" fillId="3" borderId="14" xfId="0" applyNumberFormat="1" applyFont="1" applyFill="1" applyBorder="1"/>
    <xf numFmtId="166" fontId="182" fillId="3" borderId="21" xfId="0" applyNumberFormat="1" applyFont="1" applyFill="1" applyBorder="1"/>
    <xf numFmtId="0" fontId="183" fillId="4" borderId="9" xfId="0" applyFont="1" applyFill="1" applyBorder="1"/>
    <xf numFmtId="166" fontId="183" fillId="4" borderId="9" xfId="0" applyNumberFormat="1" applyFont="1" applyFill="1" applyBorder="1"/>
    <xf numFmtId="166" fontId="183" fillId="4" borderId="8" xfId="0" applyNumberFormat="1" applyFont="1" applyFill="1" applyBorder="1"/>
    <xf numFmtId="16" fontId="183" fillId="2" borderId="12" xfId="0" applyNumberFormat="1" applyFont="1" applyFill="1" applyBorder="1"/>
    <xf numFmtId="0" fontId="183" fillId="4" borderId="30" xfId="0" applyFont="1" applyFill="1" applyBorder="1"/>
    <xf numFmtId="166" fontId="183" fillId="4" borderId="30" xfId="0" applyNumberFormat="1" applyFont="1" applyFill="1" applyBorder="1"/>
    <xf numFmtId="166" fontId="183" fillId="4" borderId="1" xfId="0" applyNumberFormat="1" applyFont="1" applyFill="1" applyBorder="1"/>
    <xf numFmtId="166" fontId="183" fillId="4" borderId="2" xfId="0" applyNumberFormat="1" applyFont="1" applyFill="1" applyBorder="1"/>
    <xf numFmtId="16" fontId="183" fillId="89" borderId="7" xfId="0" applyNumberFormat="1" applyFont="1" applyFill="1" applyBorder="1"/>
    <xf numFmtId="0" fontId="183" fillId="90" borderId="9" xfId="0" applyFont="1" applyFill="1" applyBorder="1"/>
    <xf numFmtId="44" fontId="183" fillId="90" borderId="10" xfId="0" applyNumberFormat="1" applyFont="1" applyFill="1" applyBorder="1" applyAlignment="1">
      <alignment horizontal="center"/>
    </xf>
    <xf numFmtId="8" fontId="184" fillId="90" borderId="8" xfId="0" applyNumberFormat="1" applyFont="1" applyFill="1" applyBorder="1" applyAlignment="1">
      <alignment horizontal="center"/>
    </xf>
    <xf numFmtId="16" fontId="183" fillId="2" borderId="7" xfId="0" applyNumberFormat="1" applyFont="1" applyFill="1" applyBorder="1"/>
    <xf numFmtId="166" fontId="183" fillId="4" borderId="8" xfId="0" applyNumberFormat="1" applyFont="1" applyFill="1" applyBorder="1" applyAlignment="1">
      <alignment horizontal="center"/>
    </xf>
    <xf numFmtId="166" fontId="183" fillId="4" borderId="0" xfId="0" applyNumberFormat="1" applyFont="1" applyFill="1"/>
    <xf numFmtId="166" fontId="183" fillId="4" borderId="10" xfId="0" applyNumberFormat="1" applyFont="1" applyFill="1" applyBorder="1"/>
    <xf numFmtId="165" fontId="183" fillId="4" borderId="8" xfId="0" applyNumberFormat="1" applyFont="1" applyFill="1" applyBorder="1"/>
    <xf numFmtId="0" fontId="183" fillId="4" borderId="11" xfId="0" applyFont="1" applyFill="1" applyBorder="1"/>
    <xf numFmtId="165" fontId="183" fillId="4" borderId="0" xfId="0" applyNumberFormat="1" applyFont="1" applyFill="1"/>
    <xf numFmtId="0" fontId="183" fillId="4" borderId="11" xfId="0" applyFont="1" applyFill="1" applyBorder="1" applyAlignment="1">
      <alignment vertical="top"/>
    </xf>
    <xf numFmtId="44" fontId="183" fillId="4" borderId="9" xfId="1" applyFont="1" applyFill="1" applyBorder="1" applyAlignment="1">
      <alignment vertical="top"/>
    </xf>
    <xf numFmtId="0" fontId="183" fillId="4" borderId="41" xfId="0" applyFont="1" applyFill="1" applyBorder="1"/>
    <xf numFmtId="167" fontId="183" fillId="4" borderId="30" xfId="0" applyNumberFormat="1" applyFont="1" applyFill="1" applyBorder="1"/>
    <xf numFmtId="167" fontId="183" fillId="4" borderId="9" xfId="0" applyNumberFormat="1" applyFont="1" applyFill="1" applyBorder="1"/>
    <xf numFmtId="165" fontId="183" fillId="4" borderId="9" xfId="0" applyNumberFormat="1" applyFont="1" applyFill="1" applyBorder="1"/>
    <xf numFmtId="7" fontId="183" fillId="4" borderId="9" xfId="0" applyNumberFormat="1" applyFont="1" applyFill="1" applyBorder="1"/>
    <xf numFmtId="168" fontId="183" fillId="4" borderId="9" xfId="0" applyNumberFormat="1" applyFont="1" applyFill="1" applyBorder="1"/>
    <xf numFmtId="0" fontId="183" fillId="4" borderId="8" xfId="0" applyFont="1" applyFill="1" applyBorder="1"/>
    <xf numFmtId="0" fontId="183" fillId="4" borderId="0" xfId="0" applyFont="1" applyFill="1"/>
    <xf numFmtId="16" fontId="183" fillId="2" borderId="7" xfId="0" applyNumberFormat="1" applyFont="1" applyFill="1" applyBorder="1" applyAlignment="1">
      <alignment vertical="top"/>
    </xf>
    <xf numFmtId="16" fontId="183" fillId="2" borderId="26" xfId="0" applyNumberFormat="1" applyFont="1" applyFill="1" applyBorder="1"/>
    <xf numFmtId="0" fontId="183" fillId="4" borderId="42" xfId="0" applyFont="1" applyFill="1" applyBorder="1"/>
    <xf numFmtId="168" fontId="183" fillId="4" borderId="32" xfId="0" applyNumberFormat="1" applyFont="1" applyFill="1" applyBorder="1"/>
    <xf numFmtId="166" fontId="183" fillId="4" borderId="33" xfId="0" applyNumberFormat="1" applyFont="1" applyFill="1" applyBorder="1"/>
    <xf numFmtId="168" fontId="183" fillId="4" borderId="30" xfId="0" applyNumberFormat="1" applyFont="1" applyFill="1" applyBorder="1"/>
    <xf numFmtId="0" fontId="186" fillId="4" borderId="9" xfId="0" applyFont="1" applyFill="1" applyBorder="1" applyAlignment="1">
      <alignment horizontal="left"/>
    </xf>
    <xf numFmtId="165" fontId="180" fillId="4" borderId="9" xfId="0" applyNumberFormat="1" applyFont="1" applyFill="1" applyBorder="1"/>
    <xf numFmtId="166" fontId="180" fillId="4" borderId="8" xfId="0" applyNumberFormat="1" applyFont="1" applyFill="1" applyBorder="1" applyAlignment="1">
      <alignment horizontal="center"/>
    </xf>
    <xf numFmtId="166" fontId="183" fillId="4" borderId="32" xfId="0" applyNumberFormat="1" applyFont="1" applyFill="1" applyBorder="1"/>
    <xf numFmtId="166" fontId="187" fillId="5" borderId="13" xfId="0" applyNumberFormat="1" applyFont="1" applyFill="1" applyBorder="1"/>
    <xf numFmtId="166" fontId="187" fillId="5" borderId="1" xfId="0" applyNumberFormat="1" applyFont="1" applyFill="1" applyBorder="1"/>
    <xf numFmtId="166" fontId="187" fillId="5" borderId="12" xfId="0" applyNumberFormat="1" applyFont="1" applyFill="1" applyBorder="1"/>
    <xf numFmtId="166" fontId="187" fillId="5" borderId="2" xfId="0" applyNumberFormat="1" applyFont="1" applyFill="1" applyBorder="1"/>
    <xf numFmtId="166" fontId="187" fillId="3" borderId="15" xfId="0" applyNumberFormat="1" applyFont="1" applyFill="1" applyBorder="1"/>
    <xf numFmtId="166" fontId="187" fillId="3" borderId="16" xfId="0" applyNumberFormat="1" applyFont="1" applyFill="1" applyBorder="1"/>
    <xf numFmtId="166" fontId="187" fillId="3" borderId="17" xfId="0" applyNumberFormat="1" applyFont="1" applyFill="1" applyBorder="1"/>
    <xf numFmtId="166" fontId="187" fillId="3" borderId="14" xfId="0" applyNumberFormat="1" applyFont="1" applyFill="1" applyBorder="1"/>
    <xf numFmtId="166" fontId="187" fillId="3" borderId="45" xfId="0" applyNumberFormat="1" applyFont="1" applyFill="1" applyBorder="1"/>
    <xf numFmtId="0" fontId="183" fillId="6" borderId="19" xfId="0" applyFont="1" applyFill="1" applyBorder="1"/>
    <xf numFmtId="166" fontId="183" fillId="6" borderId="19" xfId="0" applyNumberFormat="1" applyFont="1" applyFill="1" applyBorder="1"/>
    <xf numFmtId="165" fontId="183" fillId="6" borderId="20" xfId="0" applyNumberFormat="1" applyFont="1" applyFill="1" applyBorder="1"/>
    <xf numFmtId="0" fontId="187" fillId="6" borderId="24" xfId="0" applyFont="1" applyFill="1" applyBorder="1"/>
    <xf numFmtId="166" fontId="183" fillId="6" borderId="18" xfId="0" applyNumberFormat="1" applyFont="1" applyFill="1" applyBorder="1"/>
    <xf numFmtId="165" fontId="183" fillId="6" borderId="19" xfId="0" applyNumberFormat="1" applyFont="1" applyFill="1" applyBorder="1"/>
    <xf numFmtId="0" fontId="184" fillId="0" borderId="0" xfId="0" applyFont="1"/>
    <xf numFmtId="0" fontId="185" fillId="0" borderId="0" xfId="0" applyFont="1"/>
    <xf numFmtId="16" fontId="186" fillId="108" borderId="117" xfId="0" applyNumberFormat="1" applyFont="1" applyFill="1" applyBorder="1"/>
    <xf numFmtId="0" fontId="186" fillId="4" borderId="0" xfId="0" applyFont="1" applyFill="1"/>
    <xf numFmtId="178" fontId="180" fillId="4" borderId="117" xfId="0" applyNumberFormat="1" applyFont="1" applyFill="1" applyBorder="1"/>
    <xf numFmtId="166" fontId="180" fillId="4" borderId="76" xfId="0" applyNumberFormat="1" applyFont="1" applyFill="1" applyBorder="1" applyAlignment="1">
      <alignment horizontal="center"/>
    </xf>
    <xf numFmtId="16" fontId="142" fillId="2" borderId="7" xfId="0" applyNumberFormat="1" applyFont="1" applyFill="1" applyBorder="1"/>
    <xf numFmtId="165" fontId="170" fillId="4" borderId="10" xfId="0" applyNumberFormat="1" applyFont="1" applyFill="1" applyBorder="1"/>
    <xf numFmtId="0" fontId="139" fillId="4" borderId="117" xfId="0" applyFont="1" applyFill="1" applyBorder="1"/>
    <xf numFmtId="0" fontId="188" fillId="0" borderId="117" xfId="0" applyFont="1" applyBorder="1"/>
    <xf numFmtId="0" fontId="188" fillId="0" borderId="117" xfId="0" applyFont="1" applyBorder="1" applyAlignment="1">
      <alignment wrapText="1"/>
    </xf>
    <xf numFmtId="166" fontId="141" fillId="4" borderId="10" xfId="0" applyNumberFormat="1" applyFont="1" applyFill="1" applyBorder="1"/>
    <xf numFmtId="165" fontId="141" fillId="4" borderId="10" xfId="0" applyNumberFormat="1" applyFont="1" applyFill="1" applyBorder="1"/>
    <xf numFmtId="165" fontId="188" fillId="0" borderId="117" xfId="1208" applyFont="1" applyFill="1" applyBorder="1"/>
    <xf numFmtId="16" fontId="139" fillId="11" borderId="7" xfId="0" applyNumberFormat="1" applyFont="1" applyFill="1" applyBorder="1"/>
    <xf numFmtId="0" fontId="139" fillId="4" borderId="4" xfId="0" applyFont="1" applyFill="1" applyBorder="1"/>
    <xf numFmtId="166" fontId="141" fillId="4" borderId="4" xfId="0" applyNumberFormat="1" applyFont="1" applyFill="1" applyBorder="1"/>
    <xf numFmtId="166" fontId="141" fillId="4" borderId="9" xfId="0" applyNumberFormat="1" applyFont="1" applyFill="1" applyBorder="1"/>
    <xf numFmtId="0" fontId="142" fillId="4" borderId="117" xfId="0" applyFont="1" applyFill="1" applyBorder="1"/>
    <xf numFmtId="16" fontId="139" fillId="2" borderId="29" xfId="0" applyNumberFormat="1" applyFont="1" applyFill="1" applyBorder="1"/>
    <xf numFmtId="169" fontId="141" fillId="4" borderId="4" xfId="0" applyNumberFormat="1" applyFont="1" applyFill="1" applyBorder="1"/>
    <xf numFmtId="166" fontId="141" fillId="4" borderId="6" xfId="0" applyNumberFormat="1" applyFont="1" applyFill="1" applyBorder="1"/>
    <xf numFmtId="169" fontId="141" fillId="4" borderId="9" xfId="0" applyNumberFormat="1" applyFont="1" applyFill="1" applyBorder="1"/>
    <xf numFmtId="169" fontId="141" fillId="4" borderId="10" xfId="0" applyNumberFormat="1" applyFont="1" applyFill="1" applyBorder="1"/>
    <xf numFmtId="166" fontId="141" fillId="4" borderId="9" xfId="0" applyNumberFormat="1" applyFont="1" applyFill="1" applyBorder="1" applyAlignment="1">
      <alignment horizontal="right"/>
    </xf>
    <xf numFmtId="166" fontId="141" fillId="15" borderId="9" xfId="0" applyNumberFormat="1" applyFont="1" applyFill="1" applyBorder="1"/>
    <xf numFmtId="165" fontId="141" fillId="4" borderId="9" xfId="0" applyNumberFormat="1" applyFont="1" applyFill="1" applyBorder="1"/>
    <xf numFmtId="166" fontId="141" fillId="0" borderId="9" xfId="0" applyNumberFormat="1" applyFont="1" applyBorder="1"/>
    <xf numFmtId="170" fontId="141" fillId="4" borderId="9" xfId="0" applyNumberFormat="1" applyFont="1" applyFill="1" applyBorder="1"/>
    <xf numFmtId="0" fontId="139" fillId="4" borderId="11" xfId="0" applyFont="1" applyFill="1" applyBorder="1" applyAlignment="1">
      <alignment horizontal="right"/>
    </xf>
    <xf numFmtId="0" fontId="139" fillId="4" borderId="9" xfId="0" applyFont="1" applyFill="1" applyBorder="1" applyAlignment="1">
      <alignment horizontal="right"/>
    </xf>
    <xf numFmtId="7" fontId="141" fillId="4" borderId="9" xfId="0" applyNumberFormat="1" applyFont="1" applyFill="1" applyBorder="1"/>
    <xf numFmtId="0" fontId="139" fillId="4" borderId="11" xfId="0" applyFont="1" applyFill="1" applyBorder="1" applyAlignment="1">
      <alignment horizontal="left"/>
    </xf>
    <xf numFmtId="0" fontId="139" fillId="90" borderId="117" xfId="0" applyFont="1" applyFill="1" applyBorder="1"/>
    <xf numFmtId="166" fontId="144" fillId="5" borderId="1" xfId="0" applyNumberFormat="1" applyFont="1" applyFill="1" applyBorder="1"/>
    <xf numFmtId="0" fontId="139" fillId="4" borderId="9" xfId="0" applyFont="1" applyFill="1" applyBorder="1" applyAlignment="1">
      <alignment horizontal="left"/>
    </xf>
    <xf numFmtId="166" fontId="145" fillId="3" borderId="16" xfId="0" applyNumberFormat="1" applyFont="1" applyFill="1" applyBorder="1"/>
    <xf numFmtId="166" fontId="145" fillId="3" borderId="17" xfId="0" applyNumberFormat="1" applyFont="1" applyFill="1" applyBorder="1"/>
    <xf numFmtId="166" fontId="141" fillId="6" borderId="18" xfId="0" applyNumberFormat="1" applyFont="1" applyFill="1" applyBorder="1"/>
    <xf numFmtId="165" fontId="141" fillId="6" borderId="20" xfId="0" applyNumberFormat="1" applyFont="1" applyFill="1" applyBorder="1"/>
    <xf numFmtId="0" fontId="139" fillId="4" borderId="117" xfId="0" applyFont="1" applyFill="1" applyBorder="1" applyAlignment="1">
      <alignment horizontal="left"/>
    </xf>
    <xf numFmtId="166" fontId="141" fillId="0" borderId="8" xfId="0" applyNumberFormat="1" applyFont="1" applyBorder="1"/>
    <xf numFmtId="166" fontId="141" fillId="6" borderId="19" xfId="0" applyNumberFormat="1" applyFont="1" applyFill="1" applyBorder="1"/>
    <xf numFmtId="0" fontId="139" fillId="4" borderId="117" xfId="0" applyFont="1" applyFill="1" applyBorder="1" applyAlignment="1">
      <alignment horizontal="right"/>
    </xf>
    <xf numFmtId="0" fontId="98" fillId="4" borderId="9" xfId="0" applyFont="1" applyFill="1" applyBorder="1" applyAlignment="1">
      <alignment wrapText="1"/>
    </xf>
    <xf numFmtId="44" fontId="141" fillId="4" borderId="9" xfId="0" applyNumberFormat="1" applyFont="1" applyFill="1" applyBorder="1" applyAlignment="1">
      <alignment horizontal="center" vertical="center"/>
    </xf>
    <xf numFmtId="44" fontId="142" fillId="4" borderId="9" xfId="0" applyNumberFormat="1" applyFont="1" applyFill="1" applyBorder="1" applyAlignment="1">
      <alignment horizontal="left" vertical="top"/>
    </xf>
    <xf numFmtId="44" fontId="142" fillId="4" borderId="9" xfId="0" applyNumberFormat="1" applyFont="1" applyFill="1" applyBorder="1" applyAlignment="1">
      <alignment horizontal="center"/>
    </xf>
    <xf numFmtId="0" fontId="65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4" fillId="4" borderId="0" xfId="0" applyFont="1" applyFill="1" applyAlignment="1">
      <alignment vertical="center"/>
    </xf>
    <xf numFmtId="44" fontId="164" fillId="0" borderId="23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" fontId="189" fillId="0" borderId="0" xfId="0" applyNumberFormat="1" applyFont="1" applyAlignment="1">
      <alignment wrapText="1"/>
    </xf>
    <xf numFmtId="0" fontId="139" fillId="0" borderId="11" xfId="0" applyFont="1" applyBorder="1" applyAlignment="1">
      <alignment horizontal="left" vertical="center"/>
    </xf>
    <xf numFmtId="0" fontId="139" fillId="0" borderId="11" xfId="0" applyFont="1" applyBorder="1" applyAlignment="1">
      <alignment horizontal="left"/>
    </xf>
    <xf numFmtId="16" fontId="136" fillId="2" borderId="7" xfId="0" applyNumberFormat="1" applyFont="1" applyFill="1" applyBorder="1"/>
    <xf numFmtId="0" fontId="136" fillId="4" borderId="9" xfId="0" applyFont="1" applyFill="1" applyBorder="1"/>
    <xf numFmtId="166" fontId="142" fillId="4" borderId="90" xfId="0" applyNumberFormat="1" applyFont="1" applyFill="1" applyBorder="1" applyAlignment="1">
      <alignment horizontal="center"/>
    </xf>
    <xf numFmtId="44" fontId="136" fillId="4" borderId="9" xfId="1" applyFont="1" applyFill="1" applyBorder="1"/>
    <xf numFmtId="44" fontId="124" fillId="4" borderId="9" xfId="1" applyFont="1" applyFill="1" applyBorder="1"/>
    <xf numFmtId="16" fontId="190" fillId="2" borderId="7" xfId="0" applyNumberFormat="1" applyFont="1" applyFill="1" applyBorder="1"/>
    <xf numFmtId="178" fontId="191" fillId="4" borderId="117" xfId="0" applyNumberFormat="1" applyFont="1" applyFill="1" applyBorder="1"/>
    <xf numFmtId="166" fontId="191" fillId="4" borderId="76" xfId="0" applyNumberFormat="1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9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6" fontId="192" fillId="4" borderId="90" xfId="0" applyNumberFormat="1" applyFont="1" applyFill="1" applyBorder="1" applyAlignment="1">
      <alignment horizontal="center"/>
    </xf>
    <xf numFmtId="0" fontId="190" fillId="4" borderId="0" xfId="0" applyFont="1" applyFill="1"/>
    <xf numFmtId="0" fontId="192" fillId="4" borderId="0" xfId="0" applyFont="1" applyFill="1"/>
    <xf numFmtId="0" fontId="193" fillId="0" borderId="0" xfId="0" applyFont="1"/>
    <xf numFmtId="0" fontId="190" fillId="4" borderId="0" xfId="0" applyFont="1" applyFill="1" applyAlignment="1">
      <alignment horizontal="right"/>
    </xf>
    <xf numFmtId="0" fontId="37" fillId="2" borderId="82" xfId="0" applyFont="1" applyFill="1" applyBorder="1"/>
    <xf numFmtId="0" fontId="41" fillId="2" borderId="121" xfId="0" applyFont="1" applyFill="1" applyBorder="1"/>
    <xf numFmtId="166" fontId="40" fillId="2" borderId="83" xfId="0" applyNumberFormat="1" applyFont="1" applyFill="1" applyBorder="1"/>
    <xf numFmtId="165" fontId="40" fillId="2" borderId="84" xfId="0" applyNumberFormat="1" applyFont="1" applyFill="1" applyBorder="1"/>
    <xf numFmtId="0" fontId="41" fillId="3" borderId="87" xfId="0" applyFont="1" applyFill="1" applyBorder="1"/>
    <xf numFmtId="165" fontId="42" fillId="3" borderId="88" xfId="0" applyNumberFormat="1" applyFont="1" applyFill="1" applyBorder="1"/>
    <xf numFmtId="16" fontId="192" fillId="2" borderId="89" xfId="0" applyNumberFormat="1" applyFont="1" applyFill="1" applyBorder="1"/>
    <xf numFmtId="165" fontId="40" fillId="2" borderId="19" xfId="0" applyNumberFormat="1" applyFont="1" applyFill="1" applyBorder="1"/>
    <xf numFmtId="165" fontId="42" fillId="3" borderId="45" xfId="0" applyNumberFormat="1" applyFont="1" applyFill="1" applyBorder="1"/>
    <xf numFmtId="166" fontId="158" fillId="4" borderId="0" xfId="0" applyNumberFormat="1" applyFont="1" applyFill="1" applyAlignment="1">
      <alignment horizontal="center"/>
    </xf>
    <xf numFmtId="166" fontId="86" fillId="4" borderId="0" xfId="0" applyNumberFormat="1" applyFont="1" applyFill="1" applyAlignment="1">
      <alignment horizontal="center"/>
    </xf>
    <xf numFmtId="178" fontId="192" fillId="90" borderId="124" xfId="0" applyNumberFormat="1" applyFont="1" applyFill="1" applyBorder="1" applyAlignment="1">
      <alignment horizontal="center"/>
    </xf>
    <xf numFmtId="44" fontId="192" fillId="90" borderId="125" xfId="0" applyNumberFormat="1" applyFont="1" applyFill="1" applyBorder="1" applyAlignment="1">
      <alignment horizontal="center"/>
    </xf>
    <xf numFmtId="178" fontId="192" fillId="4" borderId="125" xfId="0" applyNumberFormat="1" applyFont="1" applyFill="1" applyBorder="1"/>
    <xf numFmtId="0" fontId="192" fillId="4" borderId="11" xfId="0" applyFont="1" applyFill="1" applyBorder="1"/>
    <xf numFmtId="0" fontId="192" fillId="90" borderId="11" xfId="0" applyFont="1" applyFill="1" applyBorder="1"/>
    <xf numFmtId="0" fontId="85" fillId="90" borderId="10" xfId="0" applyFont="1" applyFill="1" applyBorder="1"/>
    <xf numFmtId="8" fontId="85" fillId="90" borderId="10" xfId="0" applyNumberFormat="1" applyFont="1" applyFill="1" applyBorder="1"/>
    <xf numFmtId="16" fontId="194" fillId="2" borderId="89" xfId="0" applyNumberFormat="1" applyFont="1" applyFill="1" applyBorder="1"/>
    <xf numFmtId="0" fontId="194" fillId="4" borderId="11" xfId="0" applyFont="1" applyFill="1" applyBorder="1"/>
    <xf numFmtId="178" fontId="194" fillId="4" borderId="125" xfId="0" applyNumberFormat="1" applyFont="1" applyFill="1" applyBorder="1"/>
    <xf numFmtId="166" fontId="194" fillId="4" borderId="90" xfId="0" applyNumberFormat="1" applyFont="1" applyFill="1" applyBorder="1" applyAlignment="1">
      <alignment horizontal="center"/>
    </xf>
    <xf numFmtId="178" fontId="194" fillId="4" borderId="125" xfId="0" applyNumberFormat="1" applyFont="1" applyFill="1" applyBorder="1" applyAlignment="1">
      <alignment horizontal="center"/>
    </xf>
    <xf numFmtId="14" fontId="194" fillId="4" borderId="122" xfId="0" applyNumberFormat="1" applyFont="1" applyFill="1" applyBorder="1"/>
    <xf numFmtId="8" fontId="194" fillId="4" borderId="125" xfId="0" applyNumberFormat="1" applyFont="1" applyFill="1" applyBorder="1"/>
    <xf numFmtId="14" fontId="194" fillId="4" borderId="89" xfId="0" applyNumberFormat="1" applyFont="1" applyFill="1" applyBorder="1"/>
    <xf numFmtId="15" fontId="195" fillId="0" borderId="89" xfId="0" applyNumberFormat="1" applyFont="1" applyBorder="1"/>
    <xf numFmtId="165" fontId="195" fillId="0" borderId="125" xfId="0" applyNumberFormat="1" applyFont="1" applyBorder="1"/>
    <xf numFmtId="16" fontId="194" fillId="4" borderId="89" xfId="0" applyNumberFormat="1" applyFont="1" applyFill="1" applyBorder="1"/>
    <xf numFmtId="15" fontId="194" fillId="4" borderId="89" xfId="0" applyNumberFormat="1" applyFont="1" applyFill="1" applyBorder="1"/>
    <xf numFmtId="16" fontId="194" fillId="4" borderId="123" xfId="0" applyNumberFormat="1" applyFont="1" applyFill="1" applyBorder="1"/>
    <xf numFmtId="0" fontId="194" fillId="4" borderId="120" xfId="0" applyFont="1" applyFill="1" applyBorder="1"/>
    <xf numFmtId="165" fontId="195" fillId="0" borderId="126" xfId="0" applyNumberFormat="1" applyFont="1" applyBorder="1"/>
    <xf numFmtId="0" fontId="194" fillId="4" borderId="9" xfId="0" applyFont="1" applyFill="1" applyBorder="1"/>
    <xf numFmtId="178" fontId="194" fillId="4" borderId="10" xfId="0" applyNumberFormat="1" applyFont="1" applyFill="1" applyBorder="1" applyAlignment="1">
      <alignment horizontal="center"/>
    </xf>
    <xf numFmtId="16" fontId="10" fillId="89" borderId="89" xfId="0" applyNumberFormat="1" applyFont="1" applyFill="1" applyBorder="1"/>
    <xf numFmtId="178" fontId="194" fillId="4" borderId="0" xfId="0" applyNumberFormat="1" applyFont="1" applyFill="1" applyAlignment="1">
      <alignment horizontal="left" wrapText="1"/>
    </xf>
    <xf numFmtId="178" fontId="194" fillId="4" borderId="0" xfId="0" applyNumberFormat="1" applyFont="1" applyFill="1" applyAlignment="1">
      <alignment wrapText="1"/>
    </xf>
    <xf numFmtId="0" fontId="194" fillId="4" borderId="0" xfId="0" applyFont="1" applyFill="1" applyAlignment="1">
      <alignment wrapText="1"/>
    </xf>
    <xf numFmtId="0" fontId="195" fillId="0" borderId="0" xfId="0" applyFont="1" applyAlignment="1">
      <alignment wrapText="1"/>
    </xf>
    <xf numFmtId="0" fontId="194" fillId="4" borderId="0" xfId="0" applyFont="1" applyFill="1"/>
    <xf numFmtId="16" fontId="10" fillId="2" borderId="89" xfId="0" applyNumberFormat="1" applyFont="1" applyFill="1" applyBorder="1"/>
    <xf numFmtId="166" fontId="86" fillId="4" borderId="90" xfId="0" applyNumberFormat="1" applyFont="1" applyFill="1" applyBorder="1" applyAlignment="1">
      <alignment horizontal="center"/>
    </xf>
    <xf numFmtId="16" fontId="37" fillId="2" borderId="123" xfId="0" applyNumberFormat="1" applyFont="1" applyFill="1" applyBorder="1"/>
    <xf numFmtId="0" fontId="10" fillId="4" borderId="127" xfId="0" applyFont="1" applyFill="1" applyBorder="1"/>
    <xf numFmtId="178" fontId="86" fillId="4" borderId="128" xfId="0" applyNumberFormat="1" applyFont="1" applyFill="1" applyBorder="1" applyAlignment="1">
      <alignment horizontal="center"/>
    </xf>
    <xf numFmtId="166" fontId="86" fillId="4" borderId="129" xfId="0" applyNumberFormat="1" applyFont="1" applyFill="1" applyBorder="1" applyAlignment="1">
      <alignment horizontal="center"/>
    </xf>
    <xf numFmtId="0" fontId="196" fillId="0" borderId="0" xfId="0" applyFont="1"/>
    <xf numFmtId="0" fontId="197" fillId="0" borderId="0" xfId="0" applyFont="1"/>
    <xf numFmtId="0" fontId="159" fillId="15" borderId="73" xfId="0" applyFont="1" applyFill="1" applyBorder="1"/>
    <xf numFmtId="0" fontId="199" fillId="113" borderId="131" xfId="0" applyFont="1" applyFill="1" applyBorder="1" applyAlignment="1">
      <alignment readingOrder="1"/>
    </xf>
    <xf numFmtId="14" fontId="199" fillId="113" borderId="131" xfId="0" applyNumberFormat="1" applyFont="1" applyFill="1" applyBorder="1" applyAlignment="1">
      <alignment readingOrder="1"/>
    </xf>
    <xf numFmtId="0" fontId="198" fillId="113" borderId="131" xfId="0" applyFont="1" applyFill="1" applyBorder="1" applyAlignment="1">
      <alignment readingOrder="1"/>
    </xf>
    <xf numFmtId="8" fontId="199" fillId="113" borderId="132" xfId="0" applyNumberFormat="1" applyFont="1" applyFill="1" applyBorder="1" applyAlignment="1">
      <alignment readingOrder="1"/>
    </xf>
    <xf numFmtId="0" fontId="199" fillId="113" borderId="134" xfId="0" applyFont="1" applyFill="1" applyBorder="1" applyAlignment="1">
      <alignment readingOrder="1"/>
    </xf>
    <xf numFmtId="14" fontId="199" fillId="113" borderId="134" xfId="0" applyNumberFormat="1" applyFont="1" applyFill="1" applyBorder="1" applyAlignment="1">
      <alignment readingOrder="1"/>
    </xf>
    <xf numFmtId="0" fontId="198" fillId="113" borderId="134" xfId="0" applyFont="1" applyFill="1" applyBorder="1" applyAlignment="1">
      <alignment readingOrder="1"/>
    </xf>
    <xf numFmtId="8" fontId="199" fillId="113" borderId="135" xfId="0" applyNumberFormat="1" applyFont="1" applyFill="1" applyBorder="1" applyAlignment="1">
      <alignment readingOrder="1"/>
    </xf>
    <xf numFmtId="0" fontId="5" fillId="113" borderId="134" xfId="2" applyFill="1" applyBorder="1" applyAlignment="1" applyProtection="1">
      <alignment readingOrder="1"/>
    </xf>
    <xf numFmtId="0" fontId="199" fillId="113" borderId="137" xfId="0" applyFont="1" applyFill="1" applyBorder="1" applyAlignment="1">
      <alignment readingOrder="1"/>
    </xf>
    <xf numFmtId="14" fontId="199" fillId="113" borderId="137" xfId="0" applyNumberFormat="1" applyFont="1" applyFill="1" applyBorder="1" applyAlignment="1">
      <alignment readingOrder="1"/>
    </xf>
    <xf numFmtId="0" fontId="198" fillId="113" borderId="137" xfId="0" applyFont="1" applyFill="1" applyBorder="1" applyAlignment="1">
      <alignment readingOrder="1"/>
    </xf>
    <xf numFmtId="8" fontId="199" fillId="113" borderId="138" xfId="0" applyNumberFormat="1" applyFont="1" applyFill="1" applyBorder="1" applyAlignment="1">
      <alignment readingOrder="1"/>
    </xf>
    <xf numFmtId="14" fontId="199" fillId="113" borderId="130" xfId="0" applyNumberFormat="1" applyFont="1" applyFill="1" applyBorder="1" applyAlignment="1">
      <alignment readingOrder="1"/>
    </xf>
    <xf numFmtId="14" fontId="199" fillId="113" borderId="133" xfId="0" applyNumberFormat="1" applyFont="1" applyFill="1" applyBorder="1" applyAlignment="1">
      <alignment readingOrder="1"/>
    </xf>
    <xf numFmtId="14" fontId="199" fillId="113" borderId="136" xfId="0" applyNumberFormat="1" applyFont="1" applyFill="1" applyBorder="1" applyAlignment="1">
      <alignment readingOrder="1"/>
    </xf>
    <xf numFmtId="0" fontId="199" fillId="113" borderId="131" xfId="0" applyFont="1" applyFill="1" applyBorder="1" applyAlignment="1">
      <alignment wrapText="1" readingOrder="1"/>
    </xf>
    <xf numFmtId="0" fontId="199" fillId="113" borderId="134" xfId="0" applyFont="1" applyFill="1" applyBorder="1" applyAlignment="1">
      <alignment wrapText="1" readingOrder="1"/>
    </xf>
    <xf numFmtId="0" fontId="5" fillId="113" borderId="134" xfId="2" applyFill="1" applyBorder="1" applyAlignment="1" applyProtection="1">
      <alignment wrapText="1" readingOrder="1"/>
    </xf>
    <xf numFmtId="0" fontId="199" fillId="113" borderId="137" xfId="0" applyFont="1" applyFill="1" applyBorder="1" applyAlignment="1">
      <alignment wrapText="1" readingOrder="1"/>
    </xf>
    <xf numFmtId="15" fontId="200" fillId="0" borderId="0" xfId="0" applyNumberFormat="1" applyFont="1" applyFill="1" applyBorder="1" applyAlignment="1"/>
    <xf numFmtId="8" fontId="200" fillId="0" borderId="0" xfId="0" applyNumberFormat="1" applyFont="1" applyFill="1" applyBorder="1" applyAlignment="1"/>
    <xf numFmtId="0" fontId="200" fillId="0" borderId="0" xfId="0" applyFont="1" applyFill="1" applyBorder="1" applyAlignment="1">
      <alignment wrapText="1"/>
    </xf>
    <xf numFmtId="16" fontId="198" fillId="113" borderId="73" xfId="0" applyNumberFormat="1" applyFont="1" applyFill="1" applyBorder="1" applyAlignment="1">
      <alignment readingOrder="1"/>
    </xf>
    <xf numFmtId="0" fontId="198" fillId="113" borderId="139" xfId="0" applyFont="1" applyFill="1" applyBorder="1" applyAlignment="1">
      <alignment readingOrder="1"/>
    </xf>
    <xf numFmtId="14" fontId="198" fillId="114" borderId="140" xfId="0" applyNumberFormat="1" applyFont="1" applyFill="1" applyBorder="1" applyAlignment="1">
      <alignment readingOrder="1"/>
    </xf>
    <xf numFmtId="0" fontId="198" fillId="114" borderId="138" xfId="0" applyFont="1" applyFill="1" applyBorder="1" applyAlignment="1">
      <alignment readingOrder="1"/>
    </xf>
    <xf numFmtId="14" fontId="198" fillId="113" borderId="140" xfId="0" applyNumberFormat="1" applyFont="1" applyFill="1" applyBorder="1" applyAlignment="1">
      <alignment readingOrder="1"/>
    </xf>
    <xf numFmtId="0" fontId="198" fillId="113" borderId="138" xfId="0" applyFont="1" applyFill="1" applyBorder="1" applyAlignment="1">
      <alignment readingOrder="1"/>
    </xf>
    <xf numFmtId="0" fontId="198" fillId="113" borderId="139" xfId="0" applyFont="1" applyFill="1" applyBorder="1" applyAlignment="1">
      <alignment wrapText="1" readingOrder="1"/>
    </xf>
    <xf numFmtId="0" fontId="198" fillId="114" borderId="138" xfId="0" applyFont="1" applyFill="1" applyBorder="1" applyAlignment="1">
      <alignment wrapText="1" readingOrder="1"/>
    </xf>
    <xf numFmtId="0" fontId="198" fillId="113" borderId="138" xfId="0" applyFont="1" applyFill="1" applyBorder="1" applyAlignment="1">
      <alignment wrapText="1" readingOrder="1"/>
    </xf>
    <xf numFmtId="44" fontId="175" fillId="0" borderId="117" xfId="0" applyNumberFormat="1" applyFont="1" applyBorder="1"/>
    <xf numFmtId="16" fontId="173" fillId="38" borderId="76" xfId="0" applyNumberFormat="1" applyFont="1" applyFill="1" applyBorder="1" applyAlignment="1">
      <alignment wrapText="1"/>
    </xf>
    <xf numFmtId="16" fontId="173" fillId="38" borderId="117" xfId="0" applyNumberFormat="1" applyFont="1" applyFill="1" applyBorder="1" applyAlignment="1">
      <alignment wrapText="1"/>
    </xf>
    <xf numFmtId="0" fontId="177" fillId="53" borderId="73" xfId="0" applyFont="1" applyFill="1" applyBorder="1" applyAlignment="1">
      <alignment horizontal="center" vertical="center" wrapText="1"/>
    </xf>
    <xf numFmtId="0" fontId="177" fillId="53" borderId="141" xfId="0" applyFont="1" applyFill="1" applyBorder="1" applyAlignment="1">
      <alignment horizontal="center" vertical="center" wrapText="1"/>
    </xf>
    <xf numFmtId="0" fontId="139" fillId="71" borderId="81" xfId="0" applyFont="1" applyFill="1" applyBorder="1" applyAlignment="1">
      <alignment horizontal="center" vertical="center"/>
    </xf>
    <xf numFmtId="178" fontId="139" fillId="15" borderId="81" xfId="0" applyNumberFormat="1" applyFont="1" applyFill="1" applyBorder="1" applyAlignment="1">
      <alignment horizontal="center" vertical="center"/>
    </xf>
    <xf numFmtId="0" fontId="139" fillId="15" borderId="81" xfId="0" applyFont="1" applyFill="1" applyBorder="1" applyAlignment="1">
      <alignment horizontal="center" vertical="center"/>
    </xf>
    <xf numFmtId="14" fontId="139" fillId="0" borderId="130" xfId="0" applyNumberFormat="1" applyFont="1" applyBorder="1" applyAlignment="1">
      <alignment wrapText="1" readingOrder="1"/>
    </xf>
    <xf numFmtId="0" fontId="139" fillId="0" borderId="131" xfId="0" applyFont="1" applyBorder="1" applyAlignment="1">
      <alignment readingOrder="1"/>
    </xf>
    <xf numFmtId="8" fontId="140" fillId="0" borderId="132" xfId="0" applyNumberFormat="1" applyFont="1" applyBorder="1" applyAlignment="1">
      <alignment readingOrder="1"/>
    </xf>
    <xf numFmtId="0" fontId="158" fillId="0" borderId="0" xfId="0" applyFont="1"/>
    <xf numFmtId="14" fontId="139" fillId="0" borderId="133" xfId="0" applyNumberFormat="1" applyFont="1" applyBorder="1" applyAlignment="1">
      <alignment wrapText="1" readingOrder="1"/>
    </xf>
    <xf numFmtId="0" fontId="139" fillId="0" borderId="134" xfId="0" applyFont="1" applyBorder="1" applyAlignment="1">
      <alignment readingOrder="1"/>
    </xf>
    <xf numFmtId="0" fontId="201" fillId="0" borderId="134" xfId="2" applyFont="1" applyBorder="1" applyAlignment="1" applyProtection="1">
      <alignment readingOrder="1"/>
    </xf>
    <xf numFmtId="8" fontId="140" fillId="0" borderId="135" xfId="0" applyNumberFormat="1" applyFont="1" applyBorder="1" applyAlignment="1">
      <alignment readingOrder="1"/>
    </xf>
    <xf numFmtId="8" fontId="139" fillId="0" borderId="135" xfId="0" applyNumberFormat="1" applyFont="1" applyBorder="1" applyAlignment="1">
      <alignment readingOrder="1"/>
    </xf>
    <xf numFmtId="14" fontId="139" fillId="0" borderId="136" xfId="0" applyNumberFormat="1" applyFont="1" applyBorder="1" applyAlignment="1">
      <alignment wrapText="1" readingOrder="1"/>
    </xf>
    <xf numFmtId="0" fontId="139" fillId="0" borderId="137" xfId="0" applyFont="1" applyBorder="1" applyAlignment="1">
      <alignment readingOrder="1"/>
    </xf>
    <xf numFmtId="0" fontId="139" fillId="0" borderId="135" xfId="0" applyFont="1" applyBorder="1" applyAlignment="1">
      <alignment readingOrder="1"/>
    </xf>
    <xf numFmtId="8" fontId="140" fillId="0" borderId="138" xfId="0" applyNumberFormat="1" applyFont="1" applyBorder="1" applyAlignment="1">
      <alignment readingOrder="1"/>
    </xf>
    <xf numFmtId="0" fontId="139" fillId="4" borderId="9" xfId="0" applyFont="1" applyFill="1" applyBorder="1" applyAlignment="1">
      <alignment wrapText="1"/>
    </xf>
    <xf numFmtId="166" fontId="36" fillId="37" borderId="4" xfId="0" applyNumberFormat="1" applyFont="1" applyFill="1" applyBorder="1" applyAlignment="1" applyProtection="1">
      <alignment horizontal="center" vertical="center"/>
      <protection locked="0"/>
    </xf>
    <xf numFmtId="166" fontId="36" fillId="37" borderId="65" xfId="0" applyNumberFormat="1" applyFont="1" applyFill="1" applyBorder="1" applyAlignment="1" applyProtection="1">
      <alignment horizontal="center" vertical="center"/>
      <protection locked="0"/>
    </xf>
    <xf numFmtId="44" fontId="36" fillId="37" borderId="23" xfId="1" applyFont="1" applyFill="1" applyBorder="1" applyAlignment="1">
      <alignment horizontal="center" vertical="center"/>
    </xf>
    <xf numFmtId="9" fontId="36" fillId="70" borderId="23" xfId="3" applyFont="1" applyFill="1" applyBorder="1" applyAlignment="1">
      <alignment horizontal="center" vertical="center"/>
    </xf>
    <xf numFmtId="0" fontId="36" fillId="70" borderId="22" xfId="0" applyFont="1" applyFill="1" applyBorder="1" applyAlignment="1" applyProtection="1">
      <alignment horizontal="center"/>
      <protection locked="0"/>
    </xf>
    <xf numFmtId="166" fontId="112" fillId="37" borderId="4" xfId="0" applyNumberFormat="1" applyFont="1" applyFill="1" applyBorder="1" applyAlignment="1" applyProtection="1">
      <alignment horizontal="center" vertical="center"/>
      <protection locked="0"/>
    </xf>
    <xf numFmtId="166" fontId="112" fillId="37" borderId="65" xfId="0" applyNumberFormat="1" applyFont="1" applyFill="1" applyBorder="1" applyAlignment="1" applyProtection="1">
      <alignment horizontal="center" vertical="center"/>
      <protection locked="0"/>
    </xf>
    <xf numFmtId="44" fontId="64" fillId="37" borderId="23" xfId="1" applyFont="1" applyFill="1" applyBorder="1" applyAlignment="1">
      <alignment horizontal="center" vertical="center"/>
    </xf>
    <xf numFmtId="44" fontId="64" fillId="37" borderId="4" xfId="1" applyFont="1" applyFill="1" applyBorder="1" applyAlignment="1">
      <alignment horizontal="center" vertical="center"/>
    </xf>
    <xf numFmtId="44" fontId="64" fillId="37" borderId="65" xfId="1" applyFont="1" applyFill="1" applyBorder="1" applyAlignment="1">
      <alignment horizontal="center" vertical="center"/>
    </xf>
    <xf numFmtId="44" fontId="64" fillId="65" borderId="65" xfId="1" applyFont="1" applyFill="1" applyBorder="1" applyAlignment="1">
      <alignment horizontal="center" vertical="center"/>
    </xf>
    <xf numFmtId="166" fontId="64" fillId="37" borderId="65" xfId="1" applyNumberFormat="1" applyFont="1" applyFill="1" applyBorder="1" applyAlignment="1">
      <alignment horizontal="center" vertical="center"/>
    </xf>
    <xf numFmtId="0" fontId="64" fillId="37" borderId="7" xfId="0" applyFont="1" applyFill="1" applyBorder="1" applyAlignment="1" applyProtection="1">
      <alignment horizontal="center" vertical="center"/>
      <protection locked="0"/>
    </xf>
    <xf numFmtId="0" fontId="64" fillId="37" borderId="0" xfId="0" applyFont="1" applyFill="1" applyAlignment="1" applyProtection="1">
      <alignment horizontal="center" vertical="center"/>
      <protection locked="0"/>
    </xf>
    <xf numFmtId="44" fontId="64" fillId="65" borderId="23" xfId="1" applyFont="1" applyFill="1" applyBorder="1" applyAlignment="1">
      <alignment horizontal="center" vertical="center"/>
    </xf>
    <xf numFmtId="0" fontId="64" fillId="50" borderId="7" xfId="0" applyFont="1" applyFill="1" applyBorder="1" applyAlignment="1" applyProtection="1">
      <alignment horizontal="center" vertical="center"/>
      <protection locked="0"/>
    </xf>
    <xf numFmtId="0" fontId="121" fillId="37" borderId="29" xfId="0" applyFont="1" applyFill="1" applyBorder="1" applyAlignment="1" applyProtection="1">
      <alignment horizontal="center" vertical="center"/>
      <protection locked="0"/>
    </xf>
    <xf numFmtId="0" fontId="121" fillId="37" borderId="5" xfId="0" applyFont="1" applyFill="1" applyBorder="1" applyAlignment="1" applyProtection="1">
      <alignment horizontal="center" vertical="center"/>
      <protection locked="0"/>
    </xf>
    <xf numFmtId="0" fontId="121" fillId="37" borderId="28" xfId="0" applyFont="1" applyFill="1" applyBorder="1" applyAlignment="1" applyProtection="1">
      <alignment horizontal="center" vertical="center"/>
      <protection locked="0"/>
    </xf>
    <xf numFmtId="0" fontId="121" fillId="37" borderId="60" xfId="0" applyFont="1" applyFill="1" applyBorder="1" applyAlignment="1" applyProtection="1">
      <alignment horizontal="center" vertical="center"/>
      <protection locked="0"/>
    </xf>
    <xf numFmtId="0" fontId="121" fillId="70" borderId="24" xfId="0" applyFont="1" applyFill="1" applyBorder="1" applyAlignment="1" applyProtection="1">
      <alignment horizontal="center"/>
      <protection locked="0"/>
    </xf>
    <xf numFmtId="0" fontId="121" fillId="70" borderId="19" xfId="0" applyFont="1" applyFill="1" applyBorder="1" applyAlignment="1" applyProtection="1">
      <alignment horizontal="center"/>
      <protection locked="0"/>
    </xf>
    <xf numFmtId="0" fontId="121" fillId="70" borderId="20" xfId="0" applyFont="1" applyFill="1" applyBorder="1" applyAlignment="1" applyProtection="1">
      <alignment horizontal="center"/>
      <protection locked="0"/>
    </xf>
    <xf numFmtId="9" fontId="21" fillId="37" borderId="23" xfId="3" applyFont="1" applyFill="1" applyBorder="1" applyAlignment="1">
      <alignment horizontal="center" vertical="center"/>
    </xf>
    <xf numFmtId="0" fontId="121" fillId="37" borderId="29" xfId="0" applyFont="1" applyFill="1" applyBorder="1" applyAlignment="1" applyProtection="1">
      <alignment horizontal="center" vertical="center"/>
      <protection locked="0"/>
    </xf>
    <xf numFmtId="0" fontId="121" fillId="37" borderId="5" xfId="0" applyFont="1" applyFill="1" applyBorder="1" applyAlignment="1" applyProtection="1">
      <alignment horizontal="center" vertical="center"/>
      <protection locked="0"/>
    </xf>
    <xf numFmtId="0" fontId="121" fillId="37" borderId="28" xfId="0" applyFont="1" applyFill="1" applyBorder="1" applyAlignment="1" applyProtection="1">
      <alignment horizontal="center" vertical="center"/>
      <protection locked="0"/>
    </xf>
    <xf numFmtId="0" fontId="121" fillId="37" borderId="60" xfId="0" applyFont="1" applyFill="1" applyBorder="1" applyAlignment="1" applyProtection="1">
      <alignment horizontal="center" vertical="center"/>
      <protection locked="0"/>
    </xf>
    <xf numFmtId="166" fontId="121" fillId="37" borderId="4" xfId="0" applyNumberFormat="1" applyFont="1" applyFill="1" applyBorder="1" applyAlignment="1" applyProtection="1">
      <alignment horizontal="center" vertical="center"/>
      <protection locked="0"/>
    </xf>
    <xf numFmtId="166" fontId="121" fillId="37" borderId="65" xfId="0" applyNumberFormat="1" applyFont="1" applyFill="1" applyBorder="1" applyAlignment="1" applyProtection="1">
      <alignment horizontal="center" vertical="center"/>
      <protection locked="0"/>
    </xf>
    <xf numFmtId="10" fontId="121" fillId="37" borderId="62" xfId="0" applyNumberFormat="1" applyFont="1" applyFill="1" applyBorder="1" applyAlignment="1" applyProtection="1">
      <alignment horizontal="center" vertical="center"/>
      <protection locked="0"/>
    </xf>
    <xf numFmtId="10" fontId="121" fillId="37" borderId="63" xfId="0" applyNumberFormat="1" applyFont="1" applyFill="1" applyBorder="1" applyAlignment="1" applyProtection="1">
      <alignment horizontal="center" vertical="center"/>
      <protection locked="0"/>
    </xf>
    <xf numFmtId="10" fontId="133" fillId="37" borderId="62" xfId="0" applyNumberFormat="1" applyFont="1" applyFill="1" applyBorder="1" applyAlignment="1" applyProtection="1">
      <alignment horizontal="center" vertical="center"/>
      <protection locked="0"/>
    </xf>
    <xf numFmtId="10" fontId="133" fillId="37" borderId="63" xfId="0" applyNumberFormat="1" applyFont="1" applyFill="1" applyBorder="1" applyAlignment="1" applyProtection="1">
      <alignment horizontal="center" vertical="center"/>
      <protection locked="0"/>
    </xf>
    <xf numFmtId="0" fontId="133" fillId="49" borderId="3" xfId="0" applyFont="1" applyFill="1" applyBorder="1" applyAlignment="1" applyProtection="1">
      <alignment horizontal="center" vertical="center"/>
      <protection locked="0"/>
    </xf>
    <xf numFmtId="0" fontId="133" fillId="49" borderId="31" xfId="0" applyFont="1" applyFill="1" applyBorder="1" applyAlignment="1" applyProtection="1">
      <alignment horizontal="center" vertical="center"/>
      <protection locked="0"/>
    </xf>
    <xf numFmtId="166" fontId="133" fillId="37" borderId="4" xfId="0" applyNumberFormat="1" applyFont="1" applyFill="1" applyBorder="1" applyAlignment="1" applyProtection="1">
      <alignment horizontal="center" vertical="center"/>
      <protection locked="0"/>
    </xf>
    <xf numFmtId="166" fontId="133" fillId="37" borderId="65" xfId="0" applyNumberFormat="1" applyFont="1" applyFill="1" applyBorder="1" applyAlignment="1" applyProtection="1">
      <alignment horizontal="center" vertical="center"/>
      <protection locked="0"/>
    </xf>
    <xf numFmtId="0" fontId="133" fillId="37" borderId="29" xfId="0" applyFont="1" applyFill="1" applyBorder="1" applyAlignment="1" applyProtection="1">
      <alignment horizontal="center" vertical="center"/>
      <protection locked="0"/>
    </xf>
    <xf numFmtId="0" fontId="133" fillId="37" borderId="5" xfId="0" applyFont="1" applyFill="1" applyBorder="1" applyAlignment="1" applyProtection="1">
      <alignment horizontal="center" vertical="center"/>
      <protection locked="0"/>
    </xf>
    <xf numFmtId="0" fontId="133" fillId="37" borderId="28" xfId="0" applyFont="1" applyFill="1" applyBorder="1" applyAlignment="1" applyProtection="1">
      <alignment horizontal="center" vertical="center"/>
      <protection locked="0"/>
    </xf>
    <xf numFmtId="0" fontId="133" fillId="37" borderId="60" xfId="0" applyFont="1" applyFill="1" applyBorder="1" applyAlignment="1" applyProtection="1">
      <alignment horizontal="center" vertical="center"/>
      <protection locked="0"/>
    </xf>
    <xf numFmtId="0" fontId="121" fillId="49" borderId="3" xfId="0" applyFont="1" applyFill="1" applyBorder="1" applyAlignment="1" applyProtection="1">
      <alignment horizontal="center"/>
      <protection locked="0"/>
    </xf>
    <xf numFmtId="0" fontId="121" fillId="49" borderId="31" xfId="0" applyFont="1" applyFill="1" applyBorder="1" applyAlignment="1" applyProtection="1">
      <alignment horizontal="center"/>
      <protection locked="0"/>
    </xf>
    <xf numFmtId="0" fontId="121" fillId="49" borderId="52" xfId="0" applyFont="1" applyFill="1" applyBorder="1" applyAlignment="1" applyProtection="1">
      <alignment horizontal="center"/>
      <protection locked="0"/>
    </xf>
    <xf numFmtId="0" fontId="121" fillId="70" borderId="24" xfId="0" applyFont="1" applyFill="1" applyBorder="1" applyAlignment="1" applyProtection="1">
      <alignment horizontal="center"/>
      <protection locked="0"/>
    </xf>
    <xf numFmtId="0" fontId="121" fillId="70" borderId="19" xfId="0" applyFont="1" applyFill="1" applyBorder="1" applyAlignment="1" applyProtection="1">
      <alignment horizontal="center"/>
      <protection locked="0"/>
    </xf>
    <xf numFmtId="0" fontId="121" fillId="70" borderId="20" xfId="0" applyFont="1" applyFill="1" applyBorder="1" applyAlignment="1" applyProtection="1">
      <alignment horizontal="center"/>
      <protection locked="0"/>
    </xf>
    <xf numFmtId="0" fontId="160" fillId="70" borderId="24" xfId="0" applyFont="1" applyFill="1" applyBorder="1" applyAlignment="1" applyProtection="1">
      <alignment horizontal="center"/>
      <protection locked="0"/>
    </xf>
    <xf numFmtId="0" fontId="160" fillId="70" borderId="19" xfId="0" applyFont="1" applyFill="1" applyBorder="1" applyAlignment="1" applyProtection="1">
      <alignment horizontal="center"/>
      <protection locked="0"/>
    </xf>
    <xf numFmtId="0" fontId="160" fillId="37" borderId="29" xfId="0" applyFont="1" applyFill="1" applyBorder="1" applyAlignment="1" applyProtection="1">
      <alignment horizontal="center" vertical="center"/>
      <protection locked="0"/>
    </xf>
    <xf numFmtId="0" fontId="160" fillId="37" borderId="5" xfId="0" applyFont="1" applyFill="1" applyBorder="1" applyAlignment="1" applyProtection="1">
      <alignment horizontal="center" vertical="center"/>
      <protection locked="0"/>
    </xf>
    <xf numFmtId="0" fontId="160" fillId="37" borderId="28" xfId="0" applyFont="1" applyFill="1" applyBorder="1" applyAlignment="1" applyProtection="1">
      <alignment horizontal="center" vertical="center"/>
      <protection locked="0"/>
    </xf>
    <xf numFmtId="0" fontId="160" fillId="37" borderId="60" xfId="0" applyFont="1" applyFill="1" applyBorder="1" applyAlignment="1" applyProtection="1">
      <alignment horizontal="center" vertical="center"/>
      <protection locked="0"/>
    </xf>
    <xf numFmtId="166" fontId="160" fillId="37" borderId="4" xfId="0" applyNumberFormat="1" applyFont="1" applyFill="1" applyBorder="1" applyAlignment="1" applyProtection="1">
      <alignment horizontal="center" vertical="center"/>
      <protection locked="0"/>
    </xf>
    <xf numFmtId="166" fontId="160" fillId="37" borderId="65" xfId="0" applyNumberFormat="1" applyFont="1" applyFill="1" applyBorder="1" applyAlignment="1" applyProtection="1">
      <alignment horizontal="center" vertical="center"/>
      <protection locked="0"/>
    </xf>
    <xf numFmtId="0" fontId="160" fillId="49" borderId="3" xfId="0" applyFont="1" applyFill="1" applyBorder="1" applyAlignment="1" applyProtection="1">
      <alignment horizontal="center"/>
      <protection locked="0"/>
    </xf>
    <xf numFmtId="0" fontId="160" fillId="49" borderId="31" xfId="0" applyFont="1" applyFill="1" applyBorder="1" applyAlignment="1" applyProtection="1">
      <alignment horizontal="center"/>
      <protection locked="0"/>
    </xf>
    <xf numFmtId="0" fontId="160" fillId="49" borderId="52" xfId="0" applyFont="1" applyFill="1" applyBorder="1" applyAlignment="1" applyProtection="1">
      <alignment horizontal="center"/>
      <protection locked="0"/>
    </xf>
    <xf numFmtId="0" fontId="133" fillId="49" borderId="52" xfId="0" applyFont="1" applyFill="1" applyBorder="1" applyAlignment="1" applyProtection="1">
      <alignment horizontal="center" vertical="center"/>
      <protection locked="0"/>
    </xf>
    <xf numFmtId="166" fontId="133" fillId="37" borderId="9" xfId="0" applyNumberFormat="1" applyFont="1" applyFill="1" applyBorder="1" applyAlignment="1" applyProtection="1">
      <alignment horizontal="center" vertical="center"/>
      <protection locked="0"/>
    </xf>
    <xf numFmtId="0" fontId="133" fillId="70" borderId="24" xfId="0" applyFont="1" applyFill="1" applyBorder="1" applyAlignment="1" applyProtection="1">
      <alignment horizontal="center" vertical="center"/>
      <protection locked="0"/>
    </xf>
    <xf numFmtId="0" fontId="133" fillId="70" borderId="19" xfId="0" applyFont="1" applyFill="1" applyBorder="1" applyAlignment="1" applyProtection="1">
      <alignment horizontal="center" vertical="center"/>
      <protection locked="0"/>
    </xf>
    <xf numFmtId="0" fontId="133" fillId="70" borderId="20" xfId="0" applyFont="1" applyFill="1" applyBorder="1" applyAlignment="1" applyProtection="1">
      <alignment horizontal="center" vertical="center"/>
      <protection locked="0"/>
    </xf>
    <xf numFmtId="0" fontId="125" fillId="70" borderId="24" xfId="0" applyFont="1" applyFill="1" applyBorder="1" applyAlignment="1" applyProtection="1">
      <alignment horizontal="center"/>
      <protection locked="0"/>
    </xf>
    <xf numFmtId="0" fontId="125" fillId="70" borderId="19" xfId="0" applyFont="1" applyFill="1" applyBorder="1" applyAlignment="1" applyProtection="1">
      <alignment horizontal="center"/>
      <protection locked="0"/>
    </xf>
    <xf numFmtId="0" fontId="125" fillId="70" borderId="20" xfId="0" applyFont="1" applyFill="1" applyBorder="1" applyAlignment="1" applyProtection="1">
      <alignment horizontal="center"/>
      <protection locked="0"/>
    </xf>
    <xf numFmtId="0" fontId="125" fillId="37" borderId="29" xfId="0" applyFont="1" applyFill="1" applyBorder="1" applyAlignment="1" applyProtection="1">
      <alignment horizontal="center" vertical="center"/>
      <protection locked="0"/>
    </xf>
    <xf numFmtId="0" fontId="125" fillId="37" borderId="5" xfId="0" applyFont="1" applyFill="1" applyBorder="1" applyAlignment="1" applyProtection="1">
      <alignment horizontal="center" vertical="center"/>
      <protection locked="0"/>
    </xf>
    <xf numFmtId="0" fontId="125" fillId="37" borderId="28" xfId="0" applyFont="1" applyFill="1" applyBorder="1" applyAlignment="1" applyProtection="1">
      <alignment horizontal="center" vertical="center"/>
      <protection locked="0"/>
    </xf>
    <xf numFmtId="0" fontId="125" fillId="37" borderId="60" xfId="0" applyFont="1" applyFill="1" applyBorder="1" applyAlignment="1" applyProtection="1">
      <alignment horizontal="center" vertical="center"/>
      <protection locked="0"/>
    </xf>
    <xf numFmtId="166" fontId="125" fillId="37" borderId="4" xfId="0" applyNumberFormat="1" applyFont="1" applyFill="1" applyBorder="1" applyAlignment="1" applyProtection="1">
      <alignment horizontal="center" vertical="center"/>
      <protection locked="0"/>
    </xf>
    <xf numFmtId="166" fontId="125" fillId="37" borderId="65" xfId="0" applyNumberFormat="1" applyFont="1" applyFill="1" applyBorder="1" applyAlignment="1" applyProtection="1">
      <alignment horizontal="center" vertical="center"/>
      <protection locked="0"/>
    </xf>
    <xf numFmtId="10" fontId="125" fillId="37" borderId="62" xfId="0" applyNumberFormat="1" applyFont="1" applyFill="1" applyBorder="1" applyAlignment="1" applyProtection="1">
      <alignment horizontal="center" vertical="center"/>
      <protection locked="0"/>
    </xf>
    <xf numFmtId="10" fontId="125" fillId="37" borderId="63" xfId="0" applyNumberFormat="1" applyFont="1" applyFill="1" applyBorder="1" applyAlignment="1" applyProtection="1">
      <alignment horizontal="center" vertical="center"/>
      <protection locked="0"/>
    </xf>
    <xf numFmtId="0" fontId="125" fillId="49" borderId="3" xfId="0" applyFont="1" applyFill="1" applyBorder="1" applyAlignment="1" applyProtection="1">
      <alignment horizontal="center"/>
      <protection locked="0"/>
    </xf>
    <xf numFmtId="0" fontId="125" fillId="49" borderId="31" xfId="0" applyFont="1" applyFill="1" applyBorder="1" applyAlignment="1" applyProtection="1">
      <alignment horizontal="center"/>
      <protection locked="0"/>
    </xf>
    <xf numFmtId="0" fontId="125" fillId="49" borderId="52" xfId="0" applyFont="1" applyFill="1" applyBorder="1" applyAlignment="1" applyProtection="1">
      <alignment horizontal="center"/>
      <protection locked="0"/>
    </xf>
    <xf numFmtId="166" fontId="121" fillId="76" borderId="4" xfId="0" applyNumberFormat="1" applyFont="1" applyFill="1" applyBorder="1" applyAlignment="1" applyProtection="1">
      <alignment horizontal="center" vertical="center"/>
      <protection locked="0"/>
    </xf>
    <xf numFmtId="166" fontId="121" fillId="76" borderId="65" xfId="0" applyNumberFormat="1" applyFont="1" applyFill="1" applyBorder="1" applyAlignment="1" applyProtection="1">
      <alignment horizontal="center" vertical="center"/>
      <protection locked="0"/>
    </xf>
    <xf numFmtId="10" fontId="121" fillId="48" borderId="54" xfId="0" applyNumberFormat="1" applyFont="1" applyFill="1" applyBorder="1" applyAlignment="1">
      <alignment horizontal="center" vertical="center"/>
    </xf>
    <xf numFmtId="10" fontId="121" fillId="48" borderId="38" xfId="0" applyNumberFormat="1" applyFont="1" applyFill="1" applyBorder="1" applyAlignment="1">
      <alignment horizontal="center" vertical="center"/>
    </xf>
    <xf numFmtId="10" fontId="121" fillId="48" borderId="40" xfId="0" applyNumberFormat="1" applyFont="1" applyFill="1" applyBorder="1" applyAlignment="1">
      <alignment horizontal="center" vertical="center"/>
    </xf>
    <xf numFmtId="10" fontId="121" fillId="48" borderId="39" xfId="0" applyNumberFormat="1" applyFont="1" applyFill="1" applyBorder="1" applyAlignment="1">
      <alignment horizontal="center" vertical="center"/>
    </xf>
    <xf numFmtId="166" fontId="36" fillId="37" borderId="4" xfId="0" applyNumberFormat="1" applyFont="1" applyFill="1" applyBorder="1" applyAlignment="1" applyProtection="1">
      <alignment horizontal="center" vertical="center"/>
      <protection locked="0"/>
    </xf>
    <xf numFmtId="166" fontId="36" fillId="37" borderId="65" xfId="0" applyNumberFormat="1" applyFont="1" applyFill="1" applyBorder="1" applyAlignment="1" applyProtection="1">
      <alignment horizontal="center" vertical="center"/>
      <protection locked="0"/>
    </xf>
    <xf numFmtId="44" fontId="36" fillId="37" borderId="23" xfId="1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1" fillId="9" borderId="37" xfId="0" applyFont="1" applyFill="1" applyBorder="1" applyAlignment="1">
      <alignment horizontal="center" vertical="center"/>
    </xf>
    <xf numFmtId="0" fontId="36" fillId="36" borderId="55" xfId="0" applyFont="1" applyFill="1" applyBorder="1" applyAlignment="1">
      <alignment horizontal="center" vertical="center"/>
    </xf>
    <xf numFmtId="0" fontId="36" fillId="36" borderId="22" xfId="0" applyFont="1" applyFill="1" applyBorder="1" applyAlignment="1">
      <alignment horizontal="center" vertical="center"/>
    </xf>
    <xf numFmtId="0" fontId="36" fillId="70" borderId="56" xfId="0" applyFont="1" applyFill="1" applyBorder="1" applyAlignment="1" applyProtection="1">
      <alignment horizontal="center"/>
      <protection locked="0"/>
    </xf>
    <xf numFmtId="0" fontId="36" fillId="70" borderId="22" xfId="0" applyFont="1" applyFill="1" applyBorder="1" applyAlignment="1" applyProtection="1">
      <alignment horizontal="center"/>
      <protection locked="0"/>
    </xf>
    <xf numFmtId="0" fontId="32" fillId="45" borderId="55" xfId="0" applyFont="1" applyFill="1" applyBorder="1" applyAlignment="1">
      <alignment horizontal="center" vertical="center"/>
    </xf>
    <xf numFmtId="0" fontId="32" fillId="45" borderId="22" xfId="0" applyFont="1" applyFill="1" applyBorder="1" applyAlignment="1">
      <alignment horizontal="center" vertical="center"/>
    </xf>
    <xf numFmtId="0" fontId="36" fillId="37" borderId="12" xfId="0" applyFont="1" applyFill="1" applyBorder="1" applyAlignment="1" applyProtection="1">
      <alignment horizontal="center" vertical="center"/>
      <protection locked="0"/>
    </xf>
    <xf numFmtId="0" fontId="36" fillId="37" borderId="2" xfId="0" applyFont="1" applyFill="1" applyBorder="1" applyAlignment="1" applyProtection="1">
      <alignment horizontal="center" vertical="center"/>
      <protection locked="0"/>
    </xf>
    <xf numFmtId="0" fontId="36" fillId="37" borderId="7" xfId="0" applyFont="1" applyFill="1" applyBorder="1" applyAlignment="1" applyProtection="1">
      <alignment horizontal="center" vertical="center"/>
      <protection locked="0"/>
    </xf>
    <xf numFmtId="0" fontId="36" fillId="37" borderId="0" xfId="0" applyFont="1" applyFill="1" applyAlignment="1" applyProtection="1">
      <alignment horizontal="center" vertical="center"/>
      <protection locked="0"/>
    </xf>
    <xf numFmtId="0" fontId="36" fillId="49" borderId="3" xfId="0" applyFont="1" applyFill="1" applyBorder="1" applyAlignment="1" applyProtection="1">
      <alignment horizontal="center"/>
      <protection locked="0"/>
    </xf>
    <xf numFmtId="0" fontId="36" fillId="49" borderId="52" xfId="0" applyFont="1" applyFill="1" applyBorder="1" applyAlignment="1" applyProtection="1">
      <alignment horizontal="center"/>
      <protection locked="0"/>
    </xf>
    <xf numFmtId="0" fontId="36" fillId="49" borderId="31" xfId="0" applyFont="1" applyFill="1" applyBorder="1" applyAlignment="1" applyProtection="1">
      <alignment horizontal="center"/>
      <protection locked="0"/>
    </xf>
    <xf numFmtId="0" fontId="36" fillId="37" borderId="29" xfId="0" applyFont="1" applyFill="1" applyBorder="1" applyAlignment="1" applyProtection="1">
      <alignment horizontal="center" vertical="center"/>
      <protection locked="0"/>
    </xf>
    <xf numFmtId="0" fontId="36" fillId="37" borderId="5" xfId="0" applyFont="1" applyFill="1" applyBorder="1" applyAlignment="1" applyProtection="1">
      <alignment horizontal="center" vertical="center"/>
      <protection locked="0"/>
    </xf>
    <xf numFmtId="0" fontId="36" fillId="37" borderId="28" xfId="0" applyFont="1" applyFill="1" applyBorder="1" applyAlignment="1" applyProtection="1">
      <alignment horizontal="center" vertical="center"/>
      <protection locked="0"/>
    </xf>
    <xf numFmtId="0" fontId="36" fillId="37" borderId="60" xfId="0" applyFont="1" applyFill="1" applyBorder="1" applyAlignment="1" applyProtection="1">
      <alignment horizontal="center" vertical="center"/>
      <protection locked="0"/>
    </xf>
    <xf numFmtId="9" fontId="36" fillId="32" borderId="23" xfId="3" applyFont="1" applyFill="1" applyBorder="1" applyAlignment="1">
      <alignment horizontal="center" vertical="center"/>
    </xf>
    <xf numFmtId="9" fontId="36" fillId="70" borderId="23" xfId="3" applyFont="1" applyFill="1" applyBorder="1" applyAlignment="1">
      <alignment horizontal="center" vertical="center"/>
    </xf>
    <xf numFmtId="166" fontId="112" fillId="37" borderId="4" xfId="0" applyNumberFormat="1" applyFont="1" applyFill="1" applyBorder="1" applyAlignment="1" applyProtection="1">
      <alignment horizontal="center" vertical="center"/>
      <protection locked="0"/>
    </xf>
    <xf numFmtId="166" fontId="112" fillId="37" borderId="65" xfId="0" applyNumberFormat="1" applyFont="1" applyFill="1" applyBorder="1" applyAlignment="1" applyProtection="1">
      <alignment horizontal="center" vertical="center"/>
      <protection locked="0"/>
    </xf>
    <xf numFmtId="166" fontId="112" fillId="47" borderId="4" xfId="0" applyNumberFormat="1" applyFont="1" applyFill="1" applyBorder="1" applyAlignment="1" applyProtection="1">
      <alignment horizontal="center" vertical="center"/>
      <protection locked="0"/>
    </xf>
    <xf numFmtId="166" fontId="112" fillId="47" borderId="65" xfId="0" applyNumberFormat="1" applyFont="1" applyFill="1" applyBorder="1" applyAlignment="1" applyProtection="1">
      <alignment horizontal="center" vertical="center"/>
      <protection locked="0"/>
    </xf>
    <xf numFmtId="165" fontId="112" fillId="47" borderId="4" xfId="0" applyNumberFormat="1" applyFont="1" applyFill="1" applyBorder="1" applyAlignment="1" applyProtection="1">
      <alignment horizontal="center" vertical="center"/>
      <protection locked="0"/>
    </xf>
    <xf numFmtId="165" fontId="112" fillId="47" borderId="65" xfId="0" applyNumberFormat="1" applyFont="1" applyFill="1" applyBorder="1" applyAlignment="1" applyProtection="1">
      <alignment horizontal="center" vertical="center"/>
      <protection locked="0"/>
    </xf>
    <xf numFmtId="0" fontId="111" fillId="32" borderId="0" xfId="0" applyFont="1" applyFill="1" applyAlignment="1" applyProtection="1">
      <alignment horizontal="center" vertical="center"/>
      <protection locked="0"/>
    </xf>
    <xf numFmtId="0" fontId="111" fillId="32" borderId="39" xfId="0" applyFont="1" applyFill="1" applyBorder="1" applyAlignment="1" applyProtection="1">
      <alignment horizontal="center" vertical="center"/>
      <protection locked="0"/>
    </xf>
    <xf numFmtId="0" fontId="111" fillId="54" borderId="11" xfId="0" applyFont="1" applyFill="1" applyBorder="1" applyAlignment="1" applyProtection="1">
      <alignment horizontal="center" vertical="center"/>
      <protection locked="0"/>
    </xf>
    <xf numFmtId="0" fontId="111" fillId="54" borderId="0" xfId="0" applyFont="1" applyFill="1" applyAlignment="1" applyProtection="1">
      <alignment horizontal="center" vertical="center"/>
      <protection locked="0"/>
    </xf>
    <xf numFmtId="0" fontId="112" fillId="47" borderId="11" xfId="0" applyFont="1" applyFill="1" applyBorder="1" applyAlignment="1" applyProtection="1">
      <alignment horizontal="center" vertical="center"/>
      <protection locked="0"/>
    </xf>
    <xf numFmtId="0" fontId="112" fillId="47" borderId="10" xfId="0" applyFont="1" applyFill="1" applyBorder="1" applyAlignment="1" applyProtection="1">
      <alignment horizontal="center" vertical="center"/>
      <protection locked="0"/>
    </xf>
    <xf numFmtId="0" fontId="112" fillId="37" borderId="29" xfId="0" applyFont="1" applyFill="1" applyBorder="1" applyAlignment="1" applyProtection="1">
      <alignment horizontal="center" vertical="center"/>
      <protection locked="0"/>
    </xf>
    <xf numFmtId="0" fontId="112" fillId="37" borderId="5" xfId="0" applyFont="1" applyFill="1" applyBorder="1" applyAlignment="1" applyProtection="1">
      <alignment horizontal="center" vertical="center"/>
      <protection locked="0"/>
    </xf>
    <xf numFmtId="0" fontId="112" fillId="37" borderId="28" xfId="0" applyFont="1" applyFill="1" applyBorder="1" applyAlignment="1" applyProtection="1">
      <alignment horizontal="center" vertical="center"/>
      <protection locked="0"/>
    </xf>
    <xf numFmtId="0" fontId="112" fillId="37" borderId="60" xfId="0" applyFont="1" applyFill="1" applyBorder="1" applyAlignment="1" applyProtection="1">
      <alignment horizontal="center" vertical="center"/>
      <protection locked="0"/>
    </xf>
    <xf numFmtId="166" fontId="112" fillId="47" borderId="0" xfId="0" applyNumberFormat="1" applyFont="1" applyFill="1" applyAlignment="1" applyProtection="1">
      <alignment horizontal="center" vertical="center"/>
      <protection locked="0"/>
    </xf>
    <xf numFmtId="166" fontId="112" fillId="47" borderId="10" xfId="0" applyNumberFormat="1" applyFont="1" applyFill="1" applyBorder="1" applyAlignment="1" applyProtection="1">
      <alignment horizontal="center" vertical="center"/>
      <protection locked="0"/>
    </xf>
    <xf numFmtId="166" fontId="112" fillId="47" borderId="39" xfId="0" applyNumberFormat="1" applyFont="1" applyFill="1" applyBorder="1" applyAlignment="1" applyProtection="1">
      <alignment horizontal="center" vertical="center"/>
      <protection locked="0"/>
    </xf>
    <xf numFmtId="166" fontId="112" fillId="47" borderId="60" xfId="0" applyNumberFormat="1" applyFont="1" applyFill="1" applyBorder="1" applyAlignment="1" applyProtection="1">
      <alignment horizontal="center" vertical="center"/>
      <protection locked="0"/>
    </xf>
    <xf numFmtId="10" fontId="112" fillId="47" borderId="4" xfId="0" applyNumberFormat="1" applyFont="1" applyFill="1" applyBorder="1" applyAlignment="1" applyProtection="1">
      <alignment horizontal="center" vertical="center"/>
      <protection locked="0"/>
    </xf>
    <xf numFmtId="10" fontId="112" fillId="47" borderId="65" xfId="0" applyNumberFormat="1" applyFont="1" applyFill="1" applyBorder="1" applyAlignment="1" applyProtection="1">
      <alignment horizontal="center" vertical="center"/>
      <protection locked="0"/>
    </xf>
    <xf numFmtId="0" fontId="112" fillId="49" borderId="3" xfId="0" applyFont="1" applyFill="1" applyBorder="1" applyAlignment="1" applyProtection="1">
      <alignment horizontal="center"/>
      <protection locked="0"/>
    </xf>
    <xf numFmtId="0" fontId="112" fillId="49" borderId="31" xfId="0" applyFont="1" applyFill="1" applyBorder="1" applyAlignment="1" applyProtection="1">
      <alignment horizontal="center"/>
      <protection locked="0"/>
    </xf>
    <xf numFmtId="0" fontId="112" fillId="49" borderId="52" xfId="0" applyFont="1" applyFill="1" applyBorder="1" applyAlignment="1" applyProtection="1">
      <alignment horizontal="center"/>
      <protection locked="0"/>
    </xf>
    <xf numFmtId="44" fontId="64" fillId="37" borderId="4" xfId="1" applyFont="1" applyFill="1" applyBorder="1" applyAlignment="1">
      <alignment horizontal="center" vertical="center"/>
    </xf>
    <xf numFmtId="44" fontId="64" fillId="37" borderId="65" xfId="1" applyFont="1" applyFill="1" applyBorder="1" applyAlignment="1">
      <alignment horizontal="center" vertical="center"/>
    </xf>
    <xf numFmtId="0" fontId="64" fillId="37" borderId="7" xfId="0" applyFont="1" applyFill="1" applyBorder="1" applyAlignment="1" applyProtection="1">
      <alignment horizontal="center" vertical="center"/>
      <protection locked="0"/>
    </xf>
    <xf numFmtId="0" fontId="64" fillId="37" borderId="0" xfId="0" applyFont="1" applyFill="1" applyAlignment="1" applyProtection="1">
      <alignment horizontal="center" vertical="center"/>
      <protection locked="0"/>
    </xf>
    <xf numFmtId="44" fontId="64" fillId="37" borderId="23" xfId="1" applyFont="1" applyFill="1" applyBorder="1" applyAlignment="1">
      <alignment horizontal="center" vertical="center"/>
    </xf>
    <xf numFmtId="44" fontId="64" fillId="65" borderId="23" xfId="1" applyFont="1" applyFill="1" applyBorder="1" applyAlignment="1">
      <alignment horizontal="center" vertical="center"/>
    </xf>
    <xf numFmtId="0" fontId="64" fillId="50" borderId="7" xfId="0" applyFont="1" applyFill="1" applyBorder="1" applyAlignment="1" applyProtection="1">
      <alignment horizontal="center" vertical="center"/>
      <protection locked="0"/>
    </xf>
    <xf numFmtId="44" fontId="64" fillId="65" borderId="4" xfId="1" applyFont="1" applyFill="1" applyBorder="1" applyAlignment="1">
      <alignment horizontal="center" vertical="center"/>
    </xf>
    <xf numFmtId="44" fontId="64" fillId="65" borderId="65" xfId="1" applyFont="1" applyFill="1" applyBorder="1" applyAlignment="1">
      <alignment horizontal="center" vertical="center"/>
    </xf>
    <xf numFmtId="0" fontId="64" fillId="37" borderId="12" xfId="0" applyFont="1" applyFill="1" applyBorder="1" applyAlignment="1" applyProtection="1">
      <alignment horizontal="center" vertical="center"/>
      <protection locked="0"/>
    </xf>
    <xf numFmtId="0" fontId="64" fillId="37" borderId="2" xfId="0" applyFont="1" applyFill="1" applyBorder="1" applyAlignment="1" applyProtection="1">
      <alignment horizontal="center" vertical="center"/>
      <protection locked="0"/>
    </xf>
    <xf numFmtId="166" fontId="64" fillId="37" borderId="4" xfId="1" applyNumberFormat="1" applyFont="1" applyFill="1" applyBorder="1" applyAlignment="1">
      <alignment horizontal="center" vertical="center"/>
    </xf>
    <xf numFmtId="166" fontId="64" fillId="37" borderId="65" xfId="1" applyNumberFormat="1" applyFont="1" applyFill="1" applyBorder="1" applyAlignment="1">
      <alignment horizontal="center" vertical="center"/>
    </xf>
    <xf numFmtId="166" fontId="64" fillId="37" borderId="4" xfId="0" applyNumberFormat="1" applyFont="1" applyFill="1" applyBorder="1" applyAlignment="1" applyProtection="1">
      <alignment horizontal="center" vertical="center"/>
      <protection locked="0"/>
    </xf>
    <xf numFmtId="166" fontId="64" fillId="37" borderId="65" xfId="0" applyNumberFormat="1" applyFont="1" applyFill="1" applyBorder="1" applyAlignment="1" applyProtection="1">
      <alignment horizontal="center" vertical="center"/>
      <protection locked="0"/>
    </xf>
    <xf numFmtId="44" fontId="61" fillId="4" borderId="39" xfId="0" applyNumberFormat="1" applyFont="1" applyFill="1" applyBorder="1" applyAlignment="1">
      <alignment horizontal="center" vertical="center"/>
    </xf>
    <xf numFmtId="0" fontId="64" fillId="0" borderId="0" xfId="0" applyFont="1" applyAlignment="1" applyProtection="1">
      <alignment horizontal="center" vertical="center"/>
      <protection locked="0"/>
    </xf>
    <xf numFmtId="0" fontId="19" fillId="37" borderId="56" xfId="0" applyFont="1" applyFill="1" applyBorder="1" applyAlignment="1" applyProtection="1">
      <alignment horizontal="center" vertical="center"/>
      <protection locked="0"/>
    </xf>
    <xf numFmtId="0" fontId="19" fillId="37" borderId="22" xfId="0" applyFont="1" applyFill="1" applyBorder="1" applyAlignment="1" applyProtection="1">
      <alignment horizontal="center" vertical="center"/>
      <protection locked="0"/>
    </xf>
    <xf numFmtId="9" fontId="20" fillId="37" borderId="4" xfId="3" applyFont="1" applyFill="1" applyBorder="1" applyAlignment="1" applyProtection="1">
      <alignment horizontal="center" vertical="center"/>
      <protection locked="0"/>
    </xf>
    <xf numFmtId="9" fontId="20" fillId="37" borderId="65" xfId="3" applyFont="1" applyFill="1" applyBorder="1" applyAlignment="1" applyProtection="1">
      <alignment horizontal="center" vertical="center"/>
      <protection locked="0"/>
    </xf>
    <xf numFmtId="0" fontId="19" fillId="49" borderId="3" xfId="0" applyFont="1" applyFill="1" applyBorder="1" applyAlignment="1" applyProtection="1">
      <alignment horizontal="center"/>
      <protection locked="0"/>
    </xf>
    <xf numFmtId="0" fontId="19" fillId="49" borderId="52" xfId="0" applyFont="1" applyFill="1" applyBorder="1" applyAlignment="1" applyProtection="1">
      <alignment horizontal="center"/>
      <protection locked="0"/>
    </xf>
    <xf numFmtId="0" fontId="19" fillId="37" borderId="29" xfId="0" applyFont="1" applyFill="1" applyBorder="1" applyAlignment="1" applyProtection="1">
      <alignment horizontal="center" vertical="center"/>
      <protection locked="0"/>
    </xf>
    <xf numFmtId="0" fontId="19" fillId="37" borderId="5" xfId="0" applyFont="1" applyFill="1" applyBorder="1" applyAlignment="1" applyProtection="1">
      <alignment horizontal="center" vertical="center"/>
      <protection locked="0"/>
    </xf>
    <xf numFmtId="0" fontId="19" fillId="37" borderId="28" xfId="0" applyFont="1" applyFill="1" applyBorder="1" applyAlignment="1" applyProtection="1">
      <alignment horizontal="center" vertical="center"/>
      <protection locked="0"/>
    </xf>
    <xf numFmtId="0" fontId="19" fillId="37" borderId="60" xfId="0" applyFont="1" applyFill="1" applyBorder="1" applyAlignment="1" applyProtection="1">
      <alignment horizontal="center" vertical="center"/>
      <protection locked="0"/>
    </xf>
    <xf numFmtId="0" fontId="19" fillId="49" borderId="31" xfId="0" applyFont="1" applyFill="1" applyBorder="1" applyAlignment="1" applyProtection="1">
      <alignment horizontal="center"/>
      <protection locked="0"/>
    </xf>
    <xf numFmtId="9" fontId="21" fillId="37" borderId="23" xfId="3" applyFont="1" applyFill="1" applyBorder="1" applyAlignment="1">
      <alignment horizontal="center" vertical="center"/>
    </xf>
    <xf numFmtId="0" fontId="21" fillId="37" borderId="7" xfId="0" applyFont="1" applyFill="1" applyBorder="1" applyAlignment="1" applyProtection="1">
      <alignment horizontal="center" vertical="center"/>
      <protection locked="0"/>
    </xf>
    <xf numFmtId="0" fontId="21" fillId="37" borderId="0" xfId="0" applyFont="1" applyFill="1" applyAlignment="1" applyProtection="1">
      <alignment horizontal="center" vertical="center"/>
      <protection locked="0"/>
    </xf>
    <xf numFmtId="0" fontId="29" fillId="45" borderId="55" xfId="0" applyFont="1" applyFill="1" applyBorder="1" applyAlignment="1">
      <alignment horizontal="center" vertical="center"/>
    </xf>
    <xf numFmtId="0" fontId="29" fillId="45" borderId="22" xfId="0" applyFont="1" applyFill="1" applyBorder="1" applyAlignment="1">
      <alignment horizontal="center" vertical="center"/>
    </xf>
    <xf numFmtId="0" fontId="21" fillId="37" borderId="12" xfId="0" applyFont="1" applyFill="1" applyBorder="1" applyAlignment="1" applyProtection="1">
      <alignment horizontal="center" vertical="center"/>
      <protection locked="0"/>
    </xf>
    <xf numFmtId="0" fontId="21" fillId="37" borderId="2" xfId="0" applyFont="1" applyFill="1" applyBorder="1" applyAlignment="1" applyProtection="1">
      <alignment horizontal="center" vertical="center"/>
      <protection locked="0"/>
    </xf>
    <xf numFmtId="0" fontId="19" fillId="70" borderId="56" xfId="0" applyFont="1" applyFill="1" applyBorder="1" applyAlignment="1" applyProtection="1">
      <alignment horizontal="center" vertical="center"/>
      <protection locked="0"/>
    </xf>
    <xf numFmtId="0" fontId="19" fillId="70" borderId="22" xfId="0" applyFont="1" applyFill="1" applyBorder="1" applyAlignment="1" applyProtection="1">
      <alignment horizontal="center" vertical="center"/>
      <protection locked="0"/>
    </xf>
    <xf numFmtId="0" fontId="20" fillId="48" borderId="55" xfId="0" applyFont="1" applyFill="1" applyBorder="1" applyAlignment="1">
      <alignment horizontal="center" vertical="center"/>
    </xf>
    <xf numFmtId="0" fontId="20" fillId="48" borderId="22" xfId="0" applyFont="1" applyFill="1" applyBorder="1" applyAlignment="1">
      <alignment horizontal="center" vertical="center"/>
    </xf>
    <xf numFmtId="0" fontId="54" fillId="0" borderId="23" xfId="1209" applyFont="1" applyBorder="1" applyAlignment="1">
      <alignment vertical="center"/>
    </xf>
    <xf numFmtId="0" fontId="54" fillId="92" borderId="23" xfId="1206" applyFont="1" applyBorder="1" applyAlignment="1">
      <alignment horizontal="right"/>
    </xf>
  </cellXfs>
  <cellStyles count="1217">
    <cellStyle name="40% - Accent1" xfId="4" builtinId="31"/>
    <cellStyle name="Amount" xfId="1208" xr:uid="{22819FED-72E1-DD48-A801-693B558E3609}"/>
    <cellStyle name="Currency" xfId="1" builtinId="4"/>
    <cellStyle name="Date" xfId="1203" xr:uid="{3E323AF8-A98D-0942-8D42-69492143F5D4}"/>
    <cellStyle name="Explanatory Text 2" xfId="1209" xr:uid="{AE79D2ED-21CB-4745-BFB8-D255F3712E54}"/>
    <cellStyle name="Followed Hyperlink" xfId="621" builtinId="9" hidden="1"/>
    <cellStyle name="Followed Hyperlink" xfId="222" builtinId="9" hidden="1"/>
    <cellStyle name="Followed Hyperlink" xfId="197" builtinId="9" hidden="1"/>
    <cellStyle name="Followed Hyperlink" xfId="354" builtinId="9" hidden="1"/>
    <cellStyle name="Followed Hyperlink" xfId="894" builtinId="9" hidden="1"/>
    <cellStyle name="Followed Hyperlink" xfId="555" builtinId="9" hidden="1"/>
    <cellStyle name="Followed Hyperlink" xfId="1055" builtinId="9" hidden="1"/>
    <cellStyle name="Followed Hyperlink" xfId="585" builtinId="9" hidden="1"/>
    <cellStyle name="Followed Hyperlink" xfId="410" builtinId="9" hidden="1"/>
    <cellStyle name="Followed Hyperlink" xfId="985" builtinId="9" hidden="1"/>
    <cellStyle name="Followed Hyperlink" xfId="36" builtinId="9" hidden="1"/>
    <cellStyle name="Followed Hyperlink" xfId="1099" builtinId="9" hidden="1"/>
    <cellStyle name="Followed Hyperlink" xfId="700" builtinId="9" hidden="1"/>
    <cellStyle name="Followed Hyperlink" xfId="138" builtinId="9" hidden="1"/>
    <cellStyle name="Followed Hyperlink" xfId="1059" builtinId="9" hidden="1"/>
    <cellStyle name="Followed Hyperlink" xfId="156" builtinId="9" hidden="1"/>
    <cellStyle name="Followed Hyperlink" xfId="229" builtinId="9" hidden="1"/>
    <cellStyle name="Followed Hyperlink" xfId="211" builtinId="9" hidden="1"/>
    <cellStyle name="Followed Hyperlink" xfId="1146" builtinId="9" hidden="1"/>
    <cellStyle name="Followed Hyperlink" xfId="149" builtinId="9" hidden="1"/>
    <cellStyle name="Followed Hyperlink" xfId="195" builtinId="9" hidden="1"/>
    <cellStyle name="Followed Hyperlink" xfId="1168" builtinId="9" hidden="1"/>
    <cellStyle name="Followed Hyperlink" xfId="902" builtinId="9" hidden="1"/>
    <cellStyle name="Followed Hyperlink" xfId="212" builtinId="9" hidden="1"/>
    <cellStyle name="Followed Hyperlink" xfId="915" builtinId="9" hidden="1"/>
    <cellStyle name="Followed Hyperlink" xfId="1191" builtinId="9" hidden="1"/>
    <cellStyle name="Followed Hyperlink" xfId="131" builtinId="9" hidden="1"/>
    <cellStyle name="Followed Hyperlink" xfId="155" builtinId="9" hidden="1"/>
    <cellStyle name="Followed Hyperlink" xfId="1025" builtinId="9" hidden="1"/>
    <cellStyle name="Followed Hyperlink" xfId="723" builtinId="9" hidden="1"/>
    <cellStyle name="Followed Hyperlink" xfId="1056" builtinId="9" hidden="1"/>
    <cellStyle name="Followed Hyperlink" xfId="49" builtinId="9" hidden="1"/>
    <cellStyle name="Followed Hyperlink" xfId="666" builtinId="9" hidden="1"/>
    <cellStyle name="Followed Hyperlink" xfId="487" builtinId="9" hidden="1"/>
    <cellStyle name="Followed Hyperlink" xfId="1169" builtinId="9" hidden="1"/>
    <cellStyle name="Followed Hyperlink" xfId="673" builtinId="9" hidden="1"/>
    <cellStyle name="Followed Hyperlink" xfId="1128" builtinId="9" hidden="1"/>
    <cellStyle name="Followed Hyperlink" xfId="991" builtinId="9" hidden="1"/>
    <cellStyle name="Followed Hyperlink" xfId="475" builtinId="9" hidden="1"/>
    <cellStyle name="Followed Hyperlink" xfId="898" builtinId="9" hidden="1"/>
    <cellStyle name="Followed Hyperlink" xfId="425" builtinId="9" hidden="1"/>
    <cellStyle name="Followed Hyperlink" xfId="913" builtinId="9" hidden="1"/>
    <cellStyle name="Followed Hyperlink" xfId="739" builtinId="9" hidden="1"/>
    <cellStyle name="Followed Hyperlink" xfId="157" builtinId="9" hidden="1"/>
    <cellStyle name="Followed Hyperlink" xfId="582" builtinId="9" hidden="1"/>
    <cellStyle name="Followed Hyperlink" xfId="144" builtinId="9" hidden="1"/>
    <cellStyle name="Followed Hyperlink" xfId="1141" builtinId="9" hidden="1"/>
    <cellStyle name="Followed Hyperlink" xfId="1131" builtinId="9" hidden="1"/>
    <cellStyle name="Followed Hyperlink" xfId="260" builtinId="9" hidden="1"/>
    <cellStyle name="Followed Hyperlink" xfId="140" builtinId="9" hidden="1"/>
    <cellStyle name="Followed Hyperlink" xfId="1200" builtinId="9" hidden="1"/>
    <cellStyle name="Followed Hyperlink" xfId="927" builtinId="9" hidden="1"/>
    <cellStyle name="Followed Hyperlink" xfId="851" builtinId="9" hidden="1"/>
    <cellStyle name="Followed Hyperlink" xfId="745" builtinId="9" hidden="1"/>
    <cellStyle name="Followed Hyperlink" xfId="400" builtinId="9" hidden="1"/>
    <cellStyle name="Followed Hyperlink" xfId="906" builtinId="9" hidden="1"/>
    <cellStyle name="Followed Hyperlink" xfId="103" builtinId="9" hidden="1"/>
    <cellStyle name="Followed Hyperlink" xfId="706" builtinId="9" hidden="1"/>
    <cellStyle name="Followed Hyperlink" xfId="172" builtinId="9" hidden="1"/>
    <cellStyle name="Followed Hyperlink" xfId="1018" builtinId="9" hidden="1"/>
    <cellStyle name="Followed Hyperlink" xfId="970" builtinId="9" hidden="1"/>
    <cellStyle name="Followed Hyperlink" xfId="337" builtinId="9" hidden="1"/>
    <cellStyle name="Followed Hyperlink" xfId="307" builtinId="9" hidden="1"/>
    <cellStyle name="Followed Hyperlink" xfId="1182" builtinId="9" hidden="1"/>
    <cellStyle name="Followed Hyperlink" xfId="252" builtinId="9" hidden="1"/>
    <cellStyle name="Followed Hyperlink" xfId="276" builtinId="9" hidden="1"/>
    <cellStyle name="Followed Hyperlink" xfId="343" builtinId="9" hidden="1"/>
    <cellStyle name="Followed Hyperlink" xfId="1035" builtinId="9" hidden="1"/>
    <cellStyle name="Followed Hyperlink" xfId="489" builtinId="9" hidden="1"/>
    <cellStyle name="Followed Hyperlink" xfId="1021" builtinId="9" hidden="1"/>
    <cellStyle name="Followed Hyperlink" xfId="453" builtinId="9" hidden="1"/>
    <cellStyle name="Followed Hyperlink" xfId="296" builtinId="9" hidden="1"/>
    <cellStyle name="Followed Hyperlink" xfId="78" builtinId="9" hidden="1"/>
    <cellStyle name="Followed Hyperlink" xfId="284" builtinId="9" hidden="1"/>
    <cellStyle name="Followed Hyperlink" xfId="329" builtinId="9" hidden="1"/>
    <cellStyle name="Followed Hyperlink" xfId="724" builtinId="9" hidden="1"/>
    <cellStyle name="Followed Hyperlink" xfId="421" builtinId="9" hidden="1"/>
    <cellStyle name="Followed Hyperlink" xfId="877" builtinId="9" hidden="1"/>
    <cellStyle name="Followed Hyperlink" xfId="19" builtinId="9" hidden="1"/>
    <cellStyle name="Followed Hyperlink" xfId="704" builtinId="9" hidden="1"/>
    <cellStyle name="Followed Hyperlink" xfId="566" builtinId="9" hidden="1"/>
    <cellStyle name="Followed Hyperlink" xfId="1104" builtinId="9" hidden="1"/>
    <cellStyle name="Followed Hyperlink" xfId="455" builtinId="9" hidden="1"/>
    <cellStyle name="Followed Hyperlink" xfId="656" builtinId="9" hidden="1"/>
    <cellStyle name="Followed Hyperlink" xfId="540" builtinId="9" hidden="1"/>
    <cellStyle name="Followed Hyperlink" xfId="365" builtinId="9" hidden="1"/>
    <cellStyle name="Followed Hyperlink" xfId="11" builtinId="9" hidden="1"/>
    <cellStyle name="Followed Hyperlink" xfId="850" builtinId="9" hidden="1"/>
    <cellStyle name="Followed Hyperlink" xfId="293" builtinId="9" hidden="1"/>
    <cellStyle name="Followed Hyperlink" xfId="572" builtinId="9" hidden="1"/>
    <cellStyle name="Followed Hyperlink" xfId="341" builtinId="9" hidden="1"/>
    <cellStyle name="Followed Hyperlink" xfId="654" builtinId="9" hidden="1"/>
    <cellStyle name="Followed Hyperlink" xfId="320" builtinId="9" hidden="1"/>
    <cellStyle name="Followed Hyperlink" xfId="643" builtinId="9" hidden="1"/>
    <cellStyle name="Followed Hyperlink" xfId="924" builtinId="9" hidden="1"/>
    <cellStyle name="Followed Hyperlink" xfId="696" builtinId="9" hidden="1"/>
    <cellStyle name="Followed Hyperlink" xfId="258" builtinId="9" hidden="1"/>
    <cellStyle name="Followed Hyperlink" xfId="649" builtinId="9" hidden="1"/>
    <cellStyle name="Followed Hyperlink" xfId="129" builtinId="9" hidden="1"/>
    <cellStyle name="Followed Hyperlink" xfId="714" builtinId="9" hidden="1"/>
    <cellStyle name="Followed Hyperlink" xfId="1038" builtinId="9" hidden="1"/>
    <cellStyle name="Followed Hyperlink" xfId="225" builtinId="9" hidden="1"/>
    <cellStyle name="Followed Hyperlink" xfId="1005" builtinId="9" hidden="1"/>
    <cellStyle name="Followed Hyperlink" xfId="461" builtinId="9" hidden="1"/>
    <cellStyle name="Followed Hyperlink" xfId="21" builtinId="9" hidden="1"/>
    <cellStyle name="Followed Hyperlink" xfId="642" builtinId="9" hidden="1"/>
    <cellStyle name="Followed Hyperlink" xfId="1024" builtinId="9" hidden="1"/>
    <cellStyle name="Followed Hyperlink" xfId="896" builtinId="9" hidden="1"/>
    <cellStyle name="Followed Hyperlink" xfId="114" builtinId="9" hidden="1"/>
    <cellStyle name="Followed Hyperlink" xfId="65" builtinId="9" hidden="1"/>
    <cellStyle name="Followed Hyperlink" xfId="388" builtinId="9" hidden="1"/>
    <cellStyle name="Followed Hyperlink" xfId="478" builtinId="9" hidden="1"/>
    <cellStyle name="Followed Hyperlink" xfId="981" builtinId="9" hidden="1"/>
    <cellStyle name="Followed Hyperlink" xfId="579" builtinId="9" hidden="1"/>
    <cellStyle name="Followed Hyperlink" xfId="574" builtinId="9" hidden="1"/>
    <cellStyle name="Followed Hyperlink" xfId="287" builtinId="9" hidden="1"/>
    <cellStyle name="Followed Hyperlink" xfId="881" builtinId="9" hidden="1"/>
    <cellStyle name="Followed Hyperlink" xfId="1019" builtinId="9" hidden="1"/>
    <cellStyle name="Followed Hyperlink" xfId="544" builtinId="9" hidden="1"/>
    <cellStyle name="Followed Hyperlink" xfId="1162" builtinId="9" hidden="1"/>
    <cellStyle name="Followed Hyperlink" xfId="892" builtinId="9" hidden="1"/>
    <cellStyle name="Followed Hyperlink" xfId="969" builtinId="9" hidden="1"/>
    <cellStyle name="Followed Hyperlink" xfId="345" builtinId="9" hidden="1"/>
    <cellStyle name="Followed Hyperlink" xfId="112" builtinId="9" hidden="1"/>
    <cellStyle name="Followed Hyperlink" xfId="1195" builtinId="9" hidden="1"/>
    <cellStyle name="Followed Hyperlink" xfId="528" builtinId="9" hidden="1"/>
    <cellStyle name="Followed Hyperlink" xfId="319" builtinId="9" hidden="1"/>
    <cellStyle name="Followed Hyperlink" xfId="884" builtinId="9" hidden="1"/>
    <cellStyle name="Followed Hyperlink" xfId="88" builtinId="9" hidden="1"/>
    <cellStyle name="Followed Hyperlink" xfId="45" builtinId="9" hidden="1"/>
    <cellStyle name="Followed Hyperlink" xfId="108" builtinId="9" hidden="1"/>
    <cellStyle name="Followed Hyperlink" xfId="1065" builtinId="9" hidden="1"/>
    <cellStyle name="Followed Hyperlink" xfId="551" builtinId="9" hidden="1"/>
    <cellStyle name="Followed Hyperlink" xfId="746" builtinId="9" hidden="1"/>
    <cellStyle name="Followed Hyperlink" xfId="311" builtinId="9" hidden="1"/>
    <cellStyle name="Followed Hyperlink" xfId="201" builtinId="9" hidden="1"/>
    <cellStyle name="Followed Hyperlink" xfId="5" builtinId="9" hidden="1"/>
    <cellStyle name="Followed Hyperlink" xfId="786" builtinId="9" hidden="1"/>
    <cellStyle name="Followed Hyperlink" xfId="516" builtinId="9" hidden="1"/>
    <cellStyle name="Followed Hyperlink" xfId="79" builtinId="9" hidden="1"/>
    <cellStyle name="Followed Hyperlink" xfId="668" builtinId="9" hidden="1"/>
    <cellStyle name="Followed Hyperlink" xfId="1185" builtinId="9" hidden="1"/>
    <cellStyle name="Followed Hyperlink" xfId="880" builtinId="9" hidden="1"/>
    <cellStyle name="Followed Hyperlink" xfId="1188" builtinId="9" hidden="1"/>
    <cellStyle name="Followed Hyperlink" xfId="831" builtinId="9" hidden="1"/>
    <cellStyle name="Followed Hyperlink" xfId="1042" builtinId="9" hidden="1"/>
    <cellStyle name="Followed Hyperlink" xfId="558" builtinId="9" hidden="1"/>
    <cellStyle name="Followed Hyperlink" xfId="100" builtinId="9" hidden="1"/>
    <cellStyle name="Followed Hyperlink" xfId="237" builtinId="9" hidden="1"/>
    <cellStyle name="Followed Hyperlink" xfId="611" builtinId="9" hidden="1"/>
    <cellStyle name="Followed Hyperlink" xfId="958" builtinId="9" hidden="1"/>
    <cellStyle name="Followed Hyperlink" xfId="912" builtinId="9" hidden="1"/>
    <cellStyle name="Followed Hyperlink" xfId="375" builtinId="9" hidden="1"/>
    <cellStyle name="Followed Hyperlink" xfId="37" builtinId="9" hidden="1"/>
    <cellStyle name="Followed Hyperlink" xfId="334" builtinId="9" hidden="1"/>
    <cellStyle name="Followed Hyperlink" xfId="330" builtinId="9" hidden="1"/>
    <cellStyle name="Followed Hyperlink" xfId="430" builtinId="9" hidden="1"/>
    <cellStyle name="Followed Hyperlink" xfId="208" builtinId="9" hidden="1"/>
    <cellStyle name="Followed Hyperlink" xfId="705" builtinId="9" hidden="1"/>
    <cellStyle name="Followed Hyperlink" xfId="662" builtinId="9" hidden="1"/>
    <cellStyle name="Followed Hyperlink" xfId="645" builtinId="9" hidden="1"/>
    <cellStyle name="Followed Hyperlink" xfId="1127" builtinId="9" hidden="1"/>
    <cellStyle name="Followed Hyperlink" xfId="38" builtinId="9" hidden="1"/>
    <cellStyle name="Followed Hyperlink" xfId="949" builtinId="9" hidden="1"/>
    <cellStyle name="Followed Hyperlink" xfId="535" builtinId="9" hidden="1"/>
    <cellStyle name="Followed Hyperlink" xfId="956" builtinId="9" hidden="1"/>
    <cellStyle name="Followed Hyperlink" xfId="583" builtinId="9" hidden="1"/>
    <cellStyle name="Followed Hyperlink" xfId="733" builtinId="9" hidden="1"/>
    <cellStyle name="Followed Hyperlink" xfId="717" builtinId="9" hidden="1"/>
    <cellStyle name="Followed Hyperlink" xfId="510" builtinId="9" hidden="1"/>
    <cellStyle name="Followed Hyperlink" xfId="300" builtinId="9" hidden="1"/>
    <cellStyle name="Followed Hyperlink" xfId="885" builtinId="9" hidden="1"/>
    <cellStyle name="Followed Hyperlink" xfId="1009" builtinId="9" hidden="1"/>
    <cellStyle name="Followed Hyperlink" xfId="264" builtinId="9" hidden="1"/>
    <cellStyle name="Followed Hyperlink" xfId="328" builtinId="9" hidden="1"/>
    <cellStyle name="Followed Hyperlink" xfId="182" builtinId="9" hidden="1"/>
    <cellStyle name="Followed Hyperlink" xfId="937" builtinId="9" hidden="1"/>
    <cellStyle name="Followed Hyperlink" xfId="814" builtinId="9" hidden="1"/>
    <cellStyle name="Followed Hyperlink" xfId="623" builtinId="9" hidden="1"/>
    <cellStyle name="Followed Hyperlink" xfId="844" builtinId="9" hidden="1"/>
    <cellStyle name="Followed Hyperlink" xfId="187" builtinId="9" hidden="1"/>
    <cellStyle name="Followed Hyperlink" xfId="804" builtinId="9" hidden="1"/>
    <cellStyle name="Followed Hyperlink" xfId="599" builtinId="9" hidden="1"/>
    <cellStyle name="Followed Hyperlink" xfId="543" builtinId="9" hidden="1"/>
    <cellStyle name="Followed Hyperlink" xfId="689" builtinId="9" hidden="1"/>
    <cellStyle name="Followed Hyperlink" xfId="597" builtinId="9" hidden="1"/>
    <cellStyle name="Followed Hyperlink" xfId="922" builtinId="9" hidden="1"/>
    <cellStyle name="Followed Hyperlink" xfId="801" builtinId="9" hidden="1"/>
    <cellStyle name="Followed Hyperlink" xfId="873" builtinId="9" hidden="1"/>
    <cellStyle name="Followed Hyperlink" xfId="509" builtinId="9" hidden="1"/>
    <cellStyle name="Followed Hyperlink" xfId="616" builtinId="9" hidden="1"/>
    <cellStyle name="Followed Hyperlink" xfId="335" builtinId="9" hidden="1"/>
    <cellStyle name="Followed Hyperlink" xfId="69" builtinId="9" hidden="1"/>
    <cellStyle name="Followed Hyperlink" xfId="1039" builtinId="9" hidden="1"/>
    <cellStyle name="Followed Hyperlink" xfId="962" builtinId="9" hidden="1"/>
    <cellStyle name="Followed Hyperlink" xfId="192" builtinId="9" hidden="1"/>
    <cellStyle name="Followed Hyperlink" xfId="1163" builtinId="9" hidden="1"/>
    <cellStyle name="Followed Hyperlink" xfId="667" builtinId="9" hidden="1"/>
    <cellStyle name="Followed Hyperlink" xfId="162" builtinId="9" hidden="1"/>
    <cellStyle name="Followed Hyperlink" xfId="639" builtinId="9" hidden="1"/>
    <cellStyle name="Followed Hyperlink" xfId="941" builtinId="9" hidden="1"/>
    <cellStyle name="Followed Hyperlink" xfId="794" builtinId="9" hidden="1"/>
    <cellStyle name="Followed Hyperlink" xfId="1058" builtinId="9" hidden="1"/>
    <cellStyle name="Followed Hyperlink" xfId="452" builtinId="9" hidden="1"/>
    <cellStyle name="Followed Hyperlink" xfId="1111" builtinId="9" hidden="1"/>
    <cellStyle name="Followed Hyperlink" xfId="86" builtinId="9" hidden="1"/>
    <cellStyle name="Followed Hyperlink" xfId="761" builtinId="9" hidden="1"/>
    <cellStyle name="Followed Hyperlink" xfId="750" builtinId="9" hidden="1"/>
    <cellStyle name="Followed Hyperlink" xfId="53" builtinId="9" hidden="1"/>
    <cellStyle name="Followed Hyperlink" xfId="976" builtinId="9" hidden="1"/>
    <cellStyle name="Followed Hyperlink" xfId="670" builtinId="9" hidden="1"/>
    <cellStyle name="Followed Hyperlink" xfId="530" builtinId="9" hidden="1"/>
    <cellStyle name="Followed Hyperlink" xfId="617" builtinId="9" hidden="1"/>
    <cellStyle name="Followed Hyperlink" xfId="531" builtinId="9" hidden="1"/>
    <cellStyle name="Followed Hyperlink" xfId="1175" builtinId="9" hidden="1"/>
    <cellStyle name="Followed Hyperlink" xfId="491" builtinId="9" hidden="1"/>
    <cellStyle name="Followed Hyperlink" xfId="713" builtinId="9" hidden="1"/>
    <cellStyle name="Followed Hyperlink" xfId="438" builtinId="9" hidden="1"/>
    <cellStyle name="Followed Hyperlink" xfId="1062" builtinId="9" hidden="1"/>
    <cellStyle name="Followed Hyperlink" xfId="634" builtinId="9" hidden="1"/>
    <cellStyle name="Followed Hyperlink" xfId="671" builtinId="9" hidden="1"/>
    <cellStyle name="Followed Hyperlink" xfId="515" builtinId="9" hidden="1"/>
    <cellStyle name="Followed Hyperlink" xfId="1084" builtinId="9" hidden="1"/>
    <cellStyle name="Followed Hyperlink" xfId="647" builtinId="9" hidden="1"/>
    <cellStyle name="Followed Hyperlink" xfId="522" builtinId="9" hidden="1"/>
    <cellStyle name="Followed Hyperlink" xfId="10" builtinId="9" hidden="1"/>
    <cellStyle name="Followed Hyperlink" xfId="978" builtinId="9" hidden="1"/>
    <cellStyle name="Followed Hyperlink" xfId="974" builtinId="9" hidden="1"/>
    <cellStyle name="Followed Hyperlink" xfId="547" builtinId="9" hidden="1"/>
    <cellStyle name="Followed Hyperlink" xfId="838" builtinId="9" hidden="1"/>
    <cellStyle name="Followed Hyperlink" xfId="1072" builtinId="9" hidden="1"/>
    <cellStyle name="Followed Hyperlink" xfId="986" builtinId="9" hidden="1"/>
    <cellStyle name="Followed Hyperlink" xfId="289" builtinId="9" hidden="1"/>
    <cellStyle name="Followed Hyperlink" xfId="1011" builtinId="9" hidden="1"/>
    <cellStyle name="Followed Hyperlink" xfId="942" builtinId="9" hidden="1"/>
    <cellStyle name="Followed Hyperlink" xfId="799" builtinId="9" hidden="1"/>
    <cellStyle name="Followed Hyperlink" xfId="294" builtinId="9" hidden="1"/>
    <cellStyle name="Followed Hyperlink" xfId="1183" builtinId="9" hidden="1"/>
    <cellStyle name="Followed Hyperlink" xfId="481" builtinId="9" hidden="1"/>
    <cellStyle name="Followed Hyperlink" xfId="767" builtinId="9" hidden="1"/>
    <cellStyle name="Followed Hyperlink" xfId="360" builtinId="9" hidden="1"/>
    <cellStyle name="Followed Hyperlink" xfId="347" builtinId="9" hidden="1"/>
    <cellStyle name="Followed Hyperlink" xfId="953" builtinId="9" hidden="1"/>
    <cellStyle name="Followed Hyperlink" xfId="249" builtinId="9" hidden="1"/>
    <cellStyle name="Followed Hyperlink" xfId="73" builtinId="9" hidden="1"/>
    <cellStyle name="Followed Hyperlink" xfId="1002" builtinId="9" hidden="1"/>
    <cellStyle name="Followed Hyperlink" xfId="1086" builtinId="9" hidden="1"/>
    <cellStyle name="Followed Hyperlink" xfId="1078" builtinId="9" hidden="1"/>
    <cellStyle name="Followed Hyperlink" xfId="322" builtinId="9" hidden="1"/>
    <cellStyle name="Followed Hyperlink" xfId="909" builtinId="9" hidden="1"/>
    <cellStyle name="Followed Hyperlink" xfId="578" builtinId="9" hidden="1"/>
    <cellStyle name="Followed Hyperlink" xfId="106" builtinId="9" hidden="1"/>
    <cellStyle name="Followed Hyperlink" xfId="259" builtinId="9" hidden="1"/>
    <cellStyle name="Followed Hyperlink" xfId="545" builtinId="9" hidden="1"/>
    <cellStyle name="Followed Hyperlink" xfId="161" builtinId="9" hidden="1"/>
    <cellStyle name="Followed Hyperlink" xfId="370" builtinId="9" hidden="1"/>
    <cellStyle name="Followed Hyperlink" xfId="807" builtinId="9" hidden="1"/>
    <cellStyle name="Followed Hyperlink" xfId="191" builtinId="9" hidden="1"/>
    <cellStyle name="Followed Hyperlink" xfId="987" builtinId="9" hidden="1"/>
    <cellStyle name="Followed Hyperlink" xfId="718" builtinId="9" hidden="1"/>
    <cellStyle name="Followed Hyperlink" xfId="408" builtinId="9" hidden="1"/>
    <cellStyle name="Followed Hyperlink" xfId="465" builtinId="9" hidden="1"/>
    <cellStyle name="Followed Hyperlink" xfId="1189" builtinId="9" hidden="1"/>
    <cellStyle name="Followed Hyperlink" xfId="57" builtinId="9" hidden="1"/>
    <cellStyle name="Followed Hyperlink" xfId="1179" builtinId="9" hidden="1"/>
    <cellStyle name="Followed Hyperlink" xfId="127" builtinId="9" hidden="1"/>
    <cellStyle name="Followed Hyperlink" xfId="605" builtinId="9" hidden="1"/>
    <cellStyle name="Followed Hyperlink" xfId="364" builtinId="9" hidden="1"/>
    <cellStyle name="Followed Hyperlink" xfId="608" builtinId="9" hidden="1"/>
    <cellStyle name="Followed Hyperlink" xfId="726" builtinId="9" hidden="1"/>
    <cellStyle name="Followed Hyperlink" xfId="332" builtinId="9" hidden="1"/>
    <cellStyle name="Followed Hyperlink" xfId="325" builtinId="9" hidden="1"/>
    <cellStyle name="Followed Hyperlink" xfId="1119" builtinId="9" hidden="1"/>
    <cellStyle name="Followed Hyperlink" xfId="1173" builtinId="9" hidden="1"/>
    <cellStyle name="Followed Hyperlink" xfId="46" builtinId="9" hidden="1"/>
    <cellStyle name="Followed Hyperlink" xfId="916" builtinId="9" hidden="1"/>
    <cellStyle name="Followed Hyperlink" xfId="586" builtinId="9" hidden="1"/>
    <cellStyle name="Followed Hyperlink" xfId="141" builtinId="9" hidden="1"/>
    <cellStyle name="Followed Hyperlink" xfId="432" builtinId="9" hidden="1"/>
    <cellStyle name="Followed Hyperlink" xfId="613" builtinId="9" hidden="1"/>
    <cellStyle name="Followed Hyperlink" xfId="721" builtinId="9" hidden="1"/>
    <cellStyle name="Followed Hyperlink" xfId="457" builtinId="9" hidden="1"/>
    <cellStyle name="Followed Hyperlink" xfId="255" builtinId="9" hidden="1"/>
    <cellStyle name="Followed Hyperlink" xfId="66" builtinId="9" hidden="1"/>
    <cellStyle name="Followed Hyperlink" xfId="15" builtinId="9" hidden="1"/>
    <cellStyle name="Followed Hyperlink" xfId="1069" builtinId="9" hidden="1"/>
    <cellStyle name="Followed Hyperlink" xfId="1087" builtinId="9" hidden="1"/>
    <cellStyle name="Followed Hyperlink" xfId="1151" builtinId="9" hidden="1"/>
    <cellStyle name="Followed Hyperlink" xfId="669" builtinId="9" hidden="1"/>
    <cellStyle name="Followed Hyperlink" xfId="1178" builtinId="9" hidden="1"/>
    <cellStyle name="Followed Hyperlink" xfId="602" builtinId="9" hidden="1"/>
    <cellStyle name="Followed Hyperlink" xfId="716" builtinId="9" hidden="1"/>
    <cellStyle name="Followed Hyperlink" xfId="207" builtinId="9" hidden="1"/>
    <cellStyle name="Followed Hyperlink" xfId="374" builtinId="9" hidden="1"/>
    <cellStyle name="Followed Hyperlink" xfId="121" builtinId="9" hidden="1"/>
    <cellStyle name="Followed Hyperlink" xfId="665" builtinId="9" hidden="1"/>
    <cellStyle name="Followed Hyperlink" xfId="247" builtinId="9" hidden="1"/>
    <cellStyle name="Followed Hyperlink" xfId="1016" builtinId="9" hidden="1"/>
    <cellStyle name="Followed Hyperlink" xfId="240" builtinId="9" hidden="1"/>
    <cellStyle name="Followed Hyperlink" xfId="997" builtinId="9" hidden="1"/>
    <cellStyle name="Followed Hyperlink" xfId="1133" builtinId="9" hidden="1"/>
    <cellStyle name="Followed Hyperlink" xfId="672" builtinId="9" hidden="1"/>
    <cellStyle name="Followed Hyperlink" xfId="878" builtinId="9" hidden="1"/>
    <cellStyle name="Followed Hyperlink" xfId="655" builtinId="9" hidden="1"/>
    <cellStyle name="Followed Hyperlink" xfId="653" builtinId="9" hidden="1"/>
    <cellStyle name="Followed Hyperlink" xfId="784" builtinId="9" hidden="1"/>
    <cellStyle name="Followed Hyperlink" xfId="433" builtinId="9" hidden="1"/>
    <cellStyle name="Followed Hyperlink" xfId="406" builtinId="9" hidden="1"/>
    <cellStyle name="Followed Hyperlink" xfId="41" builtinId="9" hidden="1"/>
    <cellStyle name="Followed Hyperlink" xfId="31" builtinId="9" hidden="1"/>
    <cellStyle name="Followed Hyperlink" xfId="798" builtinId="9" hidden="1"/>
    <cellStyle name="Followed Hyperlink" xfId="1192" builtinId="9" hidden="1"/>
    <cellStyle name="Followed Hyperlink" xfId="1063" builtinId="9" hidden="1"/>
    <cellStyle name="Followed Hyperlink" xfId="842" builtinId="9" hidden="1"/>
    <cellStyle name="Followed Hyperlink" xfId="189" builtinId="9" hidden="1"/>
    <cellStyle name="Followed Hyperlink" xfId="271" builtinId="9" hidden="1"/>
    <cellStyle name="Followed Hyperlink" xfId="1034" builtinId="9" hidden="1"/>
    <cellStyle name="Followed Hyperlink" xfId="1100" builtinId="9" hidden="1"/>
    <cellStyle name="Followed Hyperlink" xfId="32" builtinId="9" hidden="1"/>
    <cellStyle name="Followed Hyperlink" xfId="683" builtinId="9" hidden="1"/>
    <cellStyle name="Followed Hyperlink" xfId="610" builtinId="9" hidden="1"/>
    <cellStyle name="Followed Hyperlink" xfId="479" builtinId="9" hidden="1"/>
    <cellStyle name="Followed Hyperlink" xfId="20" builtinId="9" hidden="1"/>
    <cellStyle name="Followed Hyperlink" xfId="620" builtinId="9" hidden="1"/>
    <cellStyle name="Followed Hyperlink" xfId="708" builtinId="9" hidden="1"/>
    <cellStyle name="Followed Hyperlink" xfId="773" builtinId="9" hidden="1"/>
    <cellStyle name="Followed Hyperlink" xfId="286" builtinId="9" hidden="1"/>
    <cellStyle name="Followed Hyperlink" xfId="134" builtinId="9" hidden="1"/>
    <cellStyle name="Followed Hyperlink" xfId="1147" builtinId="9" hidden="1"/>
    <cellStyle name="Followed Hyperlink" xfId="889" builtinId="9" hidden="1"/>
    <cellStyle name="Followed Hyperlink" xfId="231" builtinId="9" hidden="1"/>
    <cellStyle name="Followed Hyperlink" xfId="652" builtinId="9" hidden="1"/>
    <cellStyle name="Followed Hyperlink" xfId="505" builtinId="9" hidden="1"/>
    <cellStyle name="Followed Hyperlink" xfId="473" builtinId="9" hidden="1"/>
    <cellStyle name="Followed Hyperlink" xfId="1148" builtinId="9" hidden="1"/>
    <cellStyle name="Followed Hyperlink" xfId="748" builtinId="9" hidden="1"/>
    <cellStyle name="Followed Hyperlink" xfId="454" builtinId="9" hidden="1"/>
    <cellStyle name="Followed Hyperlink" xfId="6" builtinId="9" hidden="1"/>
    <cellStyle name="Followed Hyperlink" xfId="546" builtinId="9" hidden="1"/>
    <cellStyle name="Followed Hyperlink" xfId="297" builtinId="9" hidden="1"/>
    <cellStyle name="Followed Hyperlink" xfId="781" builtinId="9" hidden="1"/>
    <cellStyle name="Followed Hyperlink" xfId="755" builtinId="9" hidden="1"/>
    <cellStyle name="Followed Hyperlink" xfId="105" builtinId="9" hidden="1"/>
    <cellStyle name="Followed Hyperlink" xfId="1153" builtinId="9" hidden="1"/>
    <cellStyle name="Followed Hyperlink" xfId="699" builtinId="9" hidden="1"/>
    <cellStyle name="Followed Hyperlink" xfId="1096" builtinId="9" hidden="1"/>
    <cellStyle name="Followed Hyperlink" xfId="691" builtinId="9" hidden="1"/>
    <cellStyle name="Followed Hyperlink" xfId="471" builtinId="9" hidden="1"/>
    <cellStyle name="Followed Hyperlink" xfId="891" builtinId="9" hidden="1"/>
    <cellStyle name="Followed Hyperlink" xfId="171" builtinId="9" hidden="1"/>
    <cellStyle name="Followed Hyperlink" xfId="447" builtinId="9" hidden="1"/>
    <cellStyle name="Followed Hyperlink" xfId="331" builtinId="9" hidden="1"/>
    <cellStyle name="Followed Hyperlink" xfId="960" builtinId="9" hidden="1"/>
    <cellStyle name="Followed Hyperlink" xfId="606" builtinId="9" hidden="1"/>
    <cellStyle name="Followed Hyperlink" xfId="1046" builtinId="9" hidden="1"/>
    <cellStyle name="Followed Hyperlink" xfId="467" builtinId="9" hidden="1"/>
    <cellStyle name="Followed Hyperlink" xfId="1080" builtinId="9" hidden="1"/>
    <cellStyle name="Followed Hyperlink" xfId="815" builtinId="9" hidden="1"/>
    <cellStyle name="Followed Hyperlink" xfId="116" builtinId="9" hidden="1"/>
    <cellStyle name="Followed Hyperlink" xfId="470" builtinId="9" hidden="1"/>
    <cellStyle name="Followed Hyperlink" xfId="107" builtinId="9" hidden="1"/>
    <cellStyle name="Followed Hyperlink" xfId="180" builtinId="9" hidden="1"/>
    <cellStyle name="Followed Hyperlink" xfId="472" builtinId="9" hidden="1"/>
    <cellStyle name="Followed Hyperlink" xfId="901" builtinId="9" hidden="1"/>
    <cellStyle name="Followed Hyperlink" xfId="1101" builtinId="9" hidden="1"/>
    <cellStyle name="Followed Hyperlink" xfId="377" builtinId="9" hidden="1"/>
    <cellStyle name="Followed Hyperlink" xfId="458" builtinId="9" hidden="1"/>
    <cellStyle name="Followed Hyperlink" xfId="350" builtinId="9" hidden="1"/>
    <cellStyle name="Followed Hyperlink" xfId="1197" builtinId="9" hidden="1"/>
    <cellStyle name="Followed Hyperlink" xfId="903" builtinId="9" hidden="1"/>
    <cellStyle name="Followed Hyperlink" xfId="904" builtinId="9" hidden="1"/>
    <cellStyle name="Followed Hyperlink" xfId="527" builtinId="9" hidden="1"/>
    <cellStyle name="Followed Hyperlink" xfId="936" builtinId="9" hidden="1"/>
    <cellStyle name="Followed Hyperlink" xfId="251" builtinId="9" hidden="1"/>
    <cellStyle name="Followed Hyperlink" xfId="1051" builtinId="9" hidden="1"/>
    <cellStyle name="Followed Hyperlink" xfId="711" builtinId="9" hidden="1"/>
    <cellStyle name="Followed Hyperlink" xfId="631" builtinId="9" hidden="1"/>
    <cellStyle name="Followed Hyperlink" xfId="417" builtinId="9" hidden="1"/>
    <cellStyle name="Followed Hyperlink" xfId="600" builtinId="9" hidden="1"/>
    <cellStyle name="Followed Hyperlink" xfId="659" builtinId="9" hidden="1"/>
    <cellStyle name="Followed Hyperlink" xfId="352" builtinId="9" hidden="1"/>
    <cellStyle name="Followed Hyperlink" xfId="955" builtinId="9" hidden="1"/>
    <cellStyle name="Followed Hyperlink" xfId="559" builtinId="9" hidden="1"/>
    <cellStyle name="Followed Hyperlink" xfId="194" builtinId="9" hidden="1"/>
    <cellStyle name="Followed Hyperlink" xfId="687" builtinId="9" hidden="1"/>
    <cellStyle name="Followed Hyperlink" xfId="1114" builtinId="9" hidden="1"/>
    <cellStyle name="Followed Hyperlink" xfId="395" builtinId="9" hidden="1"/>
    <cellStyle name="Followed Hyperlink" xfId="363" builtinId="9" hidden="1"/>
    <cellStyle name="Followed Hyperlink" xfId="496" builtinId="9" hidden="1"/>
    <cellStyle name="Followed Hyperlink" xfId="926" builtinId="9" hidden="1"/>
    <cellStyle name="Followed Hyperlink" xfId="742" builtinId="9" hidden="1"/>
    <cellStyle name="Followed Hyperlink" xfId="1134" builtinId="9" hidden="1"/>
    <cellStyle name="Followed Hyperlink" xfId="1124" builtinId="9" hidden="1"/>
    <cellStyle name="Followed Hyperlink" xfId="164" builtinId="9" hidden="1"/>
    <cellStyle name="Followed Hyperlink" xfId="682" builtinId="9" hidden="1"/>
    <cellStyle name="Followed Hyperlink" xfId="1077" builtinId="9" hidden="1"/>
    <cellStyle name="Followed Hyperlink" xfId="405" builtinId="9" hidden="1"/>
    <cellStyle name="Followed Hyperlink" xfId="42" builtinId="9" hidden="1"/>
    <cellStyle name="Followed Hyperlink" xfId="762" builtinId="9" hidden="1"/>
    <cellStyle name="Followed Hyperlink" xfId="443" builtinId="9" hidden="1"/>
    <cellStyle name="Followed Hyperlink" xfId="1172" builtinId="9" hidden="1"/>
    <cellStyle name="Followed Hyperlink" xfId="444" builtinId="9" hidden="1"/>
    <cellStyle name="Followed Hyperlink" xfId="1117" builtinId="9" hidden="1"/>
    <cellStyle name="Followed Hyperlink" xfId="1143" builtinId="9" hidden="1"/>
    <cellStyle name="Followed Hyperlink" xfId="992" builtinId="9" hidden="1"/>
    <cellStyle name="Followed Hyperlink" xfId="1112" builtinId="9" hidden="1"/>
    <cellStyle name="Followed Hyperlink" xfId="1176" builtinId="9" hidden="1"/>
    <cellStyle name="Followed Hyperlink" xfId="267" builtinId="9" hidden="1"/>
    <cellStyle name="Followed Hyperlink" xfId="526" builtinId="9" hidden="1"/>
    <cellStyle name="Followed Hyperlink" xfId="342" builtinId="9" hidden="1"/>
    <cellStyle name="Followed Hyperlink" xfId="768" builtinId="9" hidden="1"/>
    <cellStyle name="Followed Hyperlink" xfId="995" builtinId="9" hidden="1"/>
    <cellStyle name="Followed Hyperlink" xfId="624" builtinId="9" hidden="1"/>
    <cellStyle name="Followed Hyperlink" xfId="397" builtinId="9" hidden="1"/>
    <cellStyle name="Followed Hyperlink" xfId="1049" builtinId="9" hidden="1"/>
    <cellStyle name="Followed Hyperlink" xfId="174" builtinId="9" hidden="1"/>
    <cellStyle name="Followed Hyperlink" xfId="1138" builtinId="9" hidden="1"/>
    <cellStyle name="Followed Hyperlink" xfId="165" builtinId="9" hidden="1"/>
    <cellStyle name="Followed Hyperlink" xfId="701" builtinId="9" hidden="1"/>
    <cellStyle name="Followed Hyperlink" xfId="719" builtinId="9" hidden="1"/>
    <cellStyle name="Followed Hyperlink" xfId="169" builtinId="9" hidden="1"/>
    <cellStyle name="Followed Hyperlink" xfId="28" builtinId="9" hidden="1"/>
    <cellStyle name="Followed Hyperlink" xfId="292" builtinId="9" hidden="1"/>
    <cellStyle name="Followed Hyperlink" xfId="35" builtinId="9" hidden="1"/>
    <cellStyle name="Followed Hyperlink" xfId="446" builtinId="9" hidden="1"/>
    <cellStyle name="Followed Hyperlink" xfId="1137" builtinId="9" hidden="1"/>
    <cellStyle name="Followed Hyperlink" xfId="415" builtinId="9" hidden="1"/>
    <cellStyle name="Followed Hyperlink" xfId="209" builtinId="9" hidden="1"/>
    <cellStyle name="Followed Hyperlink" xfId="44" builtinId="9" hidden="1"/>
    <cellStyle name="Followed Hyperlink" xfId="336" builtinId="9" hidden="1"/>
    <cellStyle name="Followed Hyperlink" xfId="1036" builtinId="9" hidden="1"/>
    <cellStyle name="Followed Hyperlink" xfId="820" builtinId="9" hidden="1"/>
    <cellStyle name="Followed Hyperlink" xfId="355" builtinId="9" hidden="1"/>
    <cellStyle name="Followed Hyperlink" xfId="77" builtinId="9" hidden="1"/>
    <cellStyle name="Followed Hyperlink" xfId="1092" builtinId="9" hidden="1"/>
    <cellStyle name="Followed Hyperlink" xfId="399" builtinId="9" hidden="1"/>
    <cellStyle name="Followed Hyperlink" xfId="488" builtinId="9" hidden="1"/>
    <cellStyle name="Followed Hyperlink" xfId="507" builtinId="9" hidden="1"/>
    <cellStyle name="Followed Hyperlink" xfId="782" builtinId="9" hidden="1"/>
    <cellStyle name="Followed Hyperlink" xfId="752" builtinId="9" hidden="1"/>
    <cellStyle name="Followed Hyperlink" xfId="254" builtinId="9" hidden="1"/>
    <cellStyle name="Followed Hyperlink" xfId="382" builtinId="9" hidden="1"/>
    <cellStyle name="Followed Hyperlink" xfId="935" builtinId="9" hidden="1"/>
    <cellStyle name="Followed Hyperlink" xfId="227" builtinId="9" hidden="1"/>
    <cellStyle name="Followed Hyperlink" xfId="148" builtinId="9" hidden="1"/>
    <cellStyle name="Followed Hyperlink" xfId="607" builtinId="9" hidden="1"/>
    <cellStyle name="Followed Hyperlink" xfId="203" builtinId="9" hidden="1"/>
    <cellStyle name="Followed Hyperlink" xfId="234" builtinId="9" hidden="1"/>
    <cellStyle name="Followed Hyperlink" xfId="848" builtinId="9" hidden="1"/>
    <cellStyle name="Followed Hyperlink" xfId="690" builtinId="9" hidden="1"/>
    <cellStyle name="Followed Hyperlink" xfId="870" builtinId="9" hidden="1"/>
    <cellStyle name="Followed Hyperlink" xfId="407" builtinId="9" hidden="1"/>
    <cellStyle name="Followed Hyperlink" xfId="137" builtinId="9" hidden="1"/>
    <cellStyle name="Followed Hyperlink" xfId="863" builtinId="9" hidden="1"/>
    <cellStyle name="Followed Hyperlink" xfId="418" builtinId="9" hidden="1"/>
    <cellStyle name="Followed Hyperlink" xfId="484" builtinId="9" hidden="1"/>
    <cellStyle name="Followed Hyperlink" xfId="1030" builtinId="9" hidden="1"/>
    <cellStyle name="Followed Hyperlink" xfId="456" builtinId="9" hidden="1"/>
    <cellStyle name="Followed Hyperlink" xfId="1091" builtinId="9" hidden="1"/>
    <cellStyle name="Followed Hyperlink" xfId="651" builtinId="9" hidden="1"/>
    <cellStyle name="Followed Hyperlink" xfId="1136" builtinId="9" hidden="1"/>
    <cellStyle name="Followed Hyperlink" xfId="389" builtinId="9" hidden="1"/>
    <cellStyle name="Followed Hyperlink" xfId="1093" builtinId="9" hidden="1"/>
    <cellStyle name="Followed Hyperlink" xfId="372" builtinId="9" hidden="1"/>
    <cellStyle name="Followed Hyperlink" xfId="29" builtinId="9" hidden="1"/>
    <cellStyle name="Followed Hyperlink" xfId="595" builtinId="9" hidden="1"/>
    <cellStyle name="Followed Hyperlink" xfId="1013" builtinId="9" hidden="1"/>
    <cellStyle name="Followed Hyperlink" xfId="636" builtinId="9" hidden="1"/>
    <cellStyle name="Followed Hyperlink" xfId="944" builtinId="9" hidden="1"/>
    <cellStyle name="Followed Hyperlink" xfId="1126" builtinId="9" hidden="1"/>
    <cellStyle name="Followed Hyperlink" xfId="907" builtinId="9" hidden="1"/>
    <cellStyle name="Followed Hyperlink" xfId="1082" builtinId="9" hidden="1"/>
    <cellStyle name="Followed Hyperlink" xfId="246" builtinId="9" hidden="1"/>
    <cellStyle name="Followed Hyperlink" xfId="876" builtinId="9" hidden="1"/>
    <cellStyle name="Followed Hyperlink" xfId="1102" builtinId="9" hidden="1"/>
    <cellStyle name="Followed Hyperlink" xfId="641" builtinId="9" hidden="1"/>
    <cellStyle name="Followed Hyperlink" xfId="1028" builtinId="9" hidden="1"/>
    <cellStyle name="Followed Hyperlink" xfId="1015" builtinId="9" hidden="1"/>
    <cellStyle name="Followed Hyperlink" xfId="1061" builtinId="9" hidden="1"/>
    <cellStyle name="Followed Hyperlink" xfId="680" builtinId="9" hidden="1"/>
    <cellStyle name="Followed Hyperlink" xfId="202" builtinId="9" hidden="1"/>
    <cellStyle name="Followed Hyperlink" xfId="710" builtinId="9" hidden="1"/>
    <cellStyle name="Followed Hyperlink" xfId="1076" builtinId="9" hidden="1"/>
    <cellStyle name="Followed Hyperlink" xfId="1110" builtinId="9" hidden="1"/>
    <cellStyle name="Followed Hyperlink" xfId="1075" builtinId="9" hidden="1"/>
    <cellStyle name="Followed Hyperlink" xfId="265" builtinId="9" hidden="1"/>
    <cellStyle name="Followed Hyperlink" xfId="51" builtinId="9" hidden="1"/>
    <cellStyle name="Followed Hyperlink" xfId="390" builtinId="9" hidden="1"/>
    <cellStyle name="Followed Hyperlink" xfId="414" builtinId="9" hidden="1"/>
    <cellStyle name="Followed Hyperlink" xfId="626" builtinId="9" hidden="1"/>
    <cellStyle name="Followed Hyperlink" xfId="422" builtinId="9" hidden="1"/>
    <cellStyle name="Followed Hyperlink" xfId="1022" builtinId="9" hidden="1"/>
    <cellStyle name="Followed Hyperlink" xfId="1125" builtinId="9" hidden="1"/>
    <cellStyle name="Followed Hyperlink" xfId="279" builtinId="9" hidden="1"/>
    <cellStyle name="Followed Hyperlink" xfId="694" builtinId="9" hidden="1"/>
    <cellStyle name="Followed Hyperlink" xfId="1029" builtinId="9" hidden="1"/>
    <cellStyle name="Followed Hyperlink" xfId="226" builtinId="9" hidden="1"/>
    <cellStyle name="Followed Hyperlink" xfId="143" builtinId="9" hidden="1"/>
    <cellStyle name="Followed Hyperlink" xfId="398" builtinId="9" hidden="1"/>
    <cellStyle name="Followed Hyperlink" xfId="905" builtinId="9" hidden="1"/>
    <cellStyle name="Followed Hyperlink" xfId="609" builtinId="9" hidden="1"/>
    <cellStyle name="Followed Hyperlink" xfId="130" builtinId="9" hidden="1"/>
    <cellStyle name="Followed Hyperlink" xfId="348" builtinId="9" hidden="1"/>
    <cellStyle name="Followed Hyperlink" xfId="58" builtinId="9" hidden="1"/>
    <cellStyle name="Followed Hyperlink" xfId="486" builtinId="9" hidden="1"/>
    <cellStyle name="Followed Hyperlink" xfId="1193" builtinId="9" hidden="1"/>
    <cellStyle name="Followed Hyperlink" xfId="772" builtinId="9" hidden="1"/>
    <cellStyle name="Followed Hyperlink" xfId="685" builtinId="9" hidden="1"/>
    <cellStyle name="Followed Hyperlink" xfId="619" builtinId="9" hidden="1"/>
    <cellStyle name="Followed Hyperlink" xfId="862" builtinId="9" hidden="1"/>
    <cellStyle name="Followed Hyperlink" xfId="39" builtinId="9" hidden="1"/>
    <cellStyle name="Followed Hyperlink" xfId="1001" builtinId="9" hidden="1"/>
    <cellStyle name="Followed Hyperlink" xfId="993" builtinId="9" hidden="1"/>
    <cellStyle name="Followed Hyperlink" xfId="839" builtinId="9" hidden="1"/>
    <cellStyle name="Followed Hyperlink" xfId="836" builtinId="9" hidden="1"/>
    <cellStyle name="Followed Hyperlink" xfId="1031" builtinId="9" hidden="1"/>
    <cellStyle name="Followed Hyperlink" xfId="751" builtinId="9" hidden="1"/>
    <cellStyle name="Followed Hyperlink" xfId="1070" builtinId="9" hidden="1"/>
    <cellStyle name="Followed Hyperlink" xfId="725" builtinId="9" hidden="1"/>
    <cellStyle name="Followed Hyperlink" xfId="780" builtinId="9" hidden="1"/>
    <cellStyle name="Followed Hyperlink" xfId="464" builtinId="9" hidden="1"/>
    <cellStyle name="Followed Hyperlink" xfId="1033" builtinId="9" hidden="1"/>
    <cellStyle name="Followed Hyperlink" xfId="529" builtinId="9" hidden="1"/>
    <cellStyle name="Followed Hyperlink" xfId="1109" builtinId="9" hidden="1"/>
    <cellStyle name="Followed Hyperlink" xfId="177" builtinId="9" hidden="1"/>
    <cellStyle name="Followed Hyperlink" xfId="1057" builtinId="9" hidden="1"/>
    <cellStyle name="Followed Hyperlink" xfId="366" builtinId="9" hidden="1"/>
    <cellStyle name="Followed Hyperlink" xfId="638" builtinId="9" hidden="1"/>
    <cellStyle name="Followed Hyperlink" xfId="198" builtinId="9" hidden="1"/>
    <cellStyle name="Followed Hyperlink" xfId="160" builtinId="9" hidden="1"/>
    <cellStyle name="Followed Hyperlink" xfId="214" builtinId="9" hidden="1"/>
    <cellStyle name="Followed Hyperlink" xfId="758" builtinId="9" hidden="1"/>
    <cellStyle name="Followed Hyperlink" xfId="675" builtinId="9" hidden="1"/>
    <cellStyle name="Followed Hyperlink" xfId="349" builtinId="9" hidden="1"/>
    <cellStyle name="Followed Hyperlink" xfId="552" builtinId="9" hidden="1"/>
    <cellStyle name="Followed Hyperlink" xfId="280" builtinId="9" hidden="1"/>
    <cellStyle name="Followed Hyperlink" xfId="1187" builtinId="9" hidden="1"/>
    <cellStyle name="Followed Hyperlink" xfId="27" builtinId="9" hidden="1"/>
    <cellStyle name="Followed Hyperlink" xfId="243" builtinId="9" hidden="1"/>
    <cellStyle name="Followed Hyperlink" xfId="356" builtinId="9" hidden="1"/>
    <cellStyle name="Followed Hyperlink" xfId="549" builtinId="9" hidden="1"/>
    <cellStyle name="Followed Hyperlink" xfId="883" builtinId="9" hidden="1"/>
    <cellStyle name="Followed Hyperlink" xfId="1121" builtinId="9" hidden="1"/>
    <cellStyle name="Followed Hyperlink" xfId="712" builtinId="9" hidden="1"/>
    <cellStyle name="Followed Hyperlink" xfId="353" builtinId="9" hidden="1"/>
    <cellStyle name="Followed Hyperlink" xfId="92" builtinId="9" hidden="1"/>
    <cellStyle name="Followed Hyperlink" xfId="771" builtinId="9" hidden="1"/>
    <cellStyle name="Followed Hyperlink" xfId="403" builtinId="9" hidden="1"/>
    <cellStyle name="Followed Hyperlink" xfId="756" builtinId="9" hidden="1"/>
    <cellStyle name="Followed Hyperlink" xfId="805" builtinId="9" hidden="1"/>
    <cellStyle name="Followed Hyperlink" xfId="413" builtinId="9" hidden="1"/>
    <cellStyle name="Followed Hyperlink" xfId="401" builtinId="9" hidden="1"/>
    <cellStyle name="Followed Hyperlink" xfId="396" builtinId="9" hidden="1"/>
    <cellStyle name="Followed Hyperlink" xfId="503" builtinId="9" hidden="1"/>
    <cellStyle name="Followed Hyperlink" xfId="934" builtinId="9" hidden="1"/>
    <cellStyle name="Followed Hyperlink" xfId="888" builtinId="9" hidden="1"/>
    <cellStyle name="Followed Hyperlink" xfId="847" builtinId="9" hidden="1"/>
    <cellStyle name="Followed Hyperlink" xfId="819" builtinId="9" hidden="1"/>
    <cellStyle name="Followed Hyperlink" xfId="961" builtinId="9" hidden="1"/>
    <cellStyle name="Followed Hyperlink" xfId="910" builtinId="9" hidden="1"/>
    <cellStyle name="Followed Hyperlink" xfId="16" builtinId="9" hidden="1"/>
    <cellStyle name="Followed Hyperlink" xfId="817" builtinId="9" hidden="1"/>
    <cellStyle name="Followed Hyperlink" xfId="145" builtinId="9" hidden="1"/>
    <cellStyle name="Followed Hyperlink" xfId="627" builtinId="9" hidden="1"/>
    <cellStyle name="Followed Hyperlink" xfId="34" builtinId="9" hidden="1"/>
    <cellStyle name="Followed Hyperlink" xfId="879" builtinId="9" hidden="1"/>
    <cellStyle name="Followed Hyperlink" xfId="285" builtinId="9" hidden="1"/>
    <cellStyle name="Followed Hyperlink" xfId="964" builtinId="9" hidden="1"/>
    <cellStyle name="Followed Hyperlink" xfId="1160" builtinId="9" hidden="1"/>
    <cellStyle name="Followed Hyperlink" xfId="1012" builtinId="9" hidden="1"/>
    <cellStyle name="Followed Hyperlink" xfId="759" builtinId="9" hidden="1"/>
    <cellStyle name="Followed Hyperlink" xfId="269" builtinId="9" hidden="1"/>
    <cellStyle name="Followed Hyperlink" xfId="1154" builtinId="9" hidden="1"/>
    <cellStyle name="Followed Hyperlink" xfId="14" builtinId="9" hidden="1"/>
    <cellStyle name="Followed Hyperlink" xfId="918" builtinId="9" hidden="1"/>
    <cellStyle name="Followed Hyperlink" xfId="929" builtinId="9" hidden="1"/>
    <cellStyle name="Followed Hyperlink" xfId="695" builtinId="9" hidden="1"/>
    <cellStyle name="Followed Hyperlink" xfId="593" builtinId="9" hidden="1"/>
    <cellStyle name="Followed Hyperlink" xfId="681" builtinId="9" hidden="1"/>
    <cellStyle name="Followed Hyperlink" xfId="648" builtinId="9" hidden="1"/>
    <cellStyle name="Followed Hyperlink" xfId="132" builtinId="9" hidden="1"/>
    <cellStyle name="Followed Hyperlink" xfId="816" builtinId="9" hidden="1"/>
    <cellStyle name="Followed Hyperlink" xfId="26" builtinId="9" hidden="1"/>
    <cellStyle name="Followed Hyperlink" xfId="223" builtinId="9" hidden="1"/>
    <cellStyle name="Followed Hyperlink" xfId="123" builtinId="9" hidden="1"/>
    <cellStyle name="Followed Hyperlink" xfId="1054" builtinId="9" hidden="1"/>
    <cellStyle name="Followed Hyperlink" xfId="538" builtinId="9" hidden="1"/>
    <cellStyle name="Followed Hyperlink" xfId="524" builtinId="9" hidden="1"/>
    <cellStyle name="Followed Hyperlink" xfId="1198" builtinId="9" hidden="1"/>
    <cellStyle name="Followed Hyperlink" xfId="1071" builtinId="9" hidden="1"/>
    <cellStyle name="Followed Hyperlink" xfId="313" builtinId="9" hidden="1"/>
    <cellStyle name="Followed Hyperlink" xfId="233" builtinId="9" hidden="1"/>
    <cellStyle name="Followed Hyperlink" xfId="895" builtinId="9" hidden="1"/>
    <cellStyle name="Followed Hyperlink" xfId="818" builtinId="9" hidden="1"/>
    <cellStyle name="Followed Hyperlink" xfId="1144" builtinId="9" hidden="1"/>
    <cellStyle name="Followed Hyperlink" xfId="1140" builtinId="9" hidden="1"/>
    <cellStyle name="Followed Hyperlink" xfId="928" builtinId="9" hidden="1"/>
    <cellStyle name="Followed Hyperlink" xfId="402" builtinId="9" hidden="1"/>
    <cellStyle name="Followed Hyperlink" xfId="945" builtinId="9" hidden="1"/>
    <cellStyle name="Followed Hyperlink" xfId="205" builtinId="9" hidden="1"/>
    <cellStyle name="Followed Hyperlink" xfId="541" builtinId="9" hidden="1"/>
    <cellStyle name="Followed Hyperlink" xfId="542" builtinId="9" hidden="1"/>
    <cellStyle name="Followed Hyperlink" xfId="163" builtinId="9" hidden="1"/>
    <cellStyle name="Followed Hyperlink" xfId="769" builtinId="9" hidden="1"/>
    <cellStyle name="Followed Hyperlink" xfId="61" builtinId="9" hidden="1"/>
    <cellStyle name="Followed Hyperlink" xfId="508" builtinId="9" hidden="1"/>
    <cellStyle name="Followed Hyperlink" xfId="232" builtinId="9" hidden="1"/>
    <cellStyle name="Followed Hyperlink" xfId="506" builtinId="9" hidden="1"/>
    <cellStyle name="Followed Hyperlink" xfId="196" builtinId="9" hidden="1"/>
    <cellStyle name="Followed Hyperlink" xfId="301" builtinId="9" hidden="1"/>
    <cellStyle name="Followed Hyperlink" xfId="68" builtinId="9" hidden="1"/>
    <cellStyle name="Followed Hyperlink" xfId="434" builtinId="9" hidden="1"/>
    <cellStyle name="Followed Hyperlink" xfId="1032" builtinId="9" hidden="1"/>
    <cellStyle name="Followed Hyperlink" xfId="139" builtinId="9" hidden="1"/>
    <cellStyle name="Followed Hyperlink" xfId="33" builtinId="9" hidden="1"/>
    <cellStyle name="Followed Hyperlink" xfId="753" builtinId="9" hidden="1"/>
    <cellStyle name="Followed Hyperlink" xfId="1166" builtinId="9" hidden="1"/>
    <cellStyle name="Followed Hyperlink" xfId="1048" builtinId="9" hidden="1"/>
    <cellStyle name="Followed Hyperlink" xfId="938" builtinId="9" hidden="1"/>
    <cellStyle name="Followed Hyperlink" xfId="219" builtinId="9" hidden="1"/>
    <cellStyle name="Followed Hyperlink" xfId="445" builtinId="9" hidden="1"/>
    <cellStyle name="Followed Hyperlink" xfId="1196" builtinId="9" hidden="1"/>
    <cellStyle name="Followed Hyperlink" xfId="779" builtinId="9" hidden="1"/>
    <cellStyle name="Followed Hyperlink" xfId="789" builtinId="9" hidden="1"/>
    <cellStyle name="Followed Hyperlink" xfId="273" builtinId="9" hidden="1"/>
    <cellStyle name="Followed Hyperlink" xfId="853" builtinId="9" hidden="1"/>
    <cellStyle name="Followed Hyperlink" xfId="1040" builtinId="9" hidden="1"/>
    <cellStyle name="Followed Hyperlink" xfId="575" builtinId="9" hidden="1"/>
    <cellStyle name="Followed Hyperlink" xfId="525" builtinId="9" hidden="1"/>
    <cellStyle name="Followed Hyperlink" xfId="911" builtinId="9" hidden="1"/>
    <cellStyle name="Followed Hyperlink" xfId="338" builtinId="9" hidden="1"/>
    <cellStyle name="Followed Hyperlink" xfId="720" builtinId="9" hidden="1"/>
    <cellStyle name="Followed Hyperlink" xfId="511" builtinId="9" hidden="1"/>
    <cellStyle name="Followed Hyperlink" xfId="796" builtinId="9" hidden="1"/>
    <cellStyle name="Followed Hyperlink" xfId="376" builtinId="9" hidden="1"/>
    <cellStyle name="Followed Hyperlink" xfId="126" builtinId="9" hidden="1"/>
    <cellStyle name="Followed Hyperlink" xfId="104" builtinId="9" hidden="1"/>
    <cellStyle name="Followed Hyperlink" xfId="933" builtinId="9" hidden="1"/>
    <cellStyle name="Followed Hyperlink" xfId="1026" builtinId="9" hidden="1"/>
    <cellStyle name="Followed Hyperlink" xfId="791" builtinId="9" hidden="1"/>
    <cellStyle name="Followed Hyperlink" xfId="614" builtinId="9" hidden="1"/>
    <cellStyle name="Followed Hyperlink" xfId="333" builtinId="9" hidden="1"/>
    <cellStyle name="Followed Hyperlink" xfId="1060" builtinId="9" hidden="1"/>
    <cellStyle name="Followed Hyperlink" xfId="702" builtinId="9" hidden="1"/>
    <cellStyle name="Followed Hyperlink" xfId="1064" builtinId="9" hidden="1"/>
    <cellStyle name="Followed Hyperlink" xfId="590" builtinId="9" hidden="1"/>
    <cellStyle name="Followed Hyperlink" xfId="802" builtinId="9" hidden="1"/>
    <cellStyle name="Followed Hyperlink" xfId="940" builtinId="9" hidden="1"/>
    <cellStyle name="Followed Hyperlink" xfId="897" builtinId="9" hidden="1"/>
    <cellStyle name="Followed Hyperlink" xfId="1106" builtinId="9" hidden="1"/>
    <cellStyle name="Followed Hyperlink" xfId="843" builtinId="9" hidden="1"/>
    <cellStyle name="Followed Hyperlink" xfId="204" builtinId="9" hidden="1"/>
    <cellStyle name="Followed Hyperlink" xfId="113" builtinId="9" hidden="1"/>
    <cellStyle name="Followed Hyperlink" xfId="1145" builtinId="9" hidden="1"/>
    <cellStyle name="Followed Hyperlink" xfId="93" builtinId="9" hidden="1"/>
    <cellStyle name="Followed Hyperlink" xfId="1161" builtinId="9" hidden="1"/>
    <cellStyle name="Followed Hyperlink" xfId="774" builtinId="9" hidden="1"/>
    <cellStyle name="Followed Hyperlink" xfId="270" builtinId="9" hidden="1"/>
    <cellStyle name="Followed Hyperlink" xfId="12" builtinId="9" hidden="1"/>
    <cellStyle name="Followed Hyperlink" xfId="91" builtinId="9" hidden="1"/>
    <cellStyle name="Followed Hyperlink" xfId="244" builtinId="9" hidden="1"/>
    <cellStyle name="Followed Hyperlink" xfId="887" builtinId="9" hidden="1"/>
    <cellStyle name="Followed Hyperlink" xfId="686" builtinId="9" hidden="1"/>
    <cellStyle name="Followed Hyperlink" xfId="323" builtinId="9" hidden="1"/>
    <cellStyle name="Followed Hyperlink" xfId="409" builtinId="9" hidden="1"/>
    <cellStyle name="Followed Hyperlink" xfId="381" builtinId="9" hidden="1"/>
    <cellStyle name="Followed Hyperlink" xfId="573" builtinId="9" hidden="1"/>
    <cellStyle name="Followed Hyperlink" xfId="803" builtinId="9" hidden="1"/>
    <cellStyle name="Followed Hyperlink" xfId="302" builtinId="9" hidden="1"/>
    <cellStyle name="Followed Hyperlink" xfId="1073" builtinId="9" hidden="1"/>
    <cellStyle name="Followed Hyperlink" xfId="170" builtinId="9" hidden="1"/>
    <cellStyle name="Followed Hyperlink" xfId="199" builtinId="9" hidden="1"/>
    <cellStyle name="Followed Hyperlink" xfId="95" builtinId="9" hidden="1"/>
    <cellStyle name="Followed Hyperlink" xfId="584" builtinId="9" hidden="1"/>
    <cellStyle name="Followed Hyperlink" xfId="1004" builtinId="9" hidden="1"/>
    <cellStyle name="Followed Hyperlink" xfId="303" builtinId="9" hidden="1"/>
    <cellStyle name="Followed Hyperlink" xfId="1150" builtinId="9" hidden="1"/>
    <cellStyle name="Followed Hyperlink" xfId="744" builtinId="9" hidden="1"/>
    <cellStyle name="Followed Hyperlink" xfId="989" builtinId="9" hidden="1"/>
    <cellStyle name="Followed Hyperlink" xfId="532" builtinId="9" hidden="1"/>
    <cellStyle name="Followed Hyperlink" xfId="71" builtinId="9" hidden="1"/>
    <cellStyle name="Followed Hyperlink" xfId="967" builtinId="9" hidden="1"/>
    <cellStyle name="Followed Hyperlink" xfId="1130" builtinId="9" hidden="1"/>
    <cellStyle name="Followed Hyperlink" xfId="81" builtinId="9" hidden="1"/>
    <cellStyle name="Followed Hyperlink" xfId="954" builtinId="9" hidden="1"/>
    <cellStyle name="Followed Hyperlink" xfId="871" builtinId="9" hidden="1"/>
    <cellStyle name="Followed Hyperlink" xfId="824" builtinId="9" hidden="1"/>
    <cellStyle name="Followed Hyperlink" xfId="536" builtinId="9" hidden="1"/>
    <cellStyle name="Followed Hyperlink" xfId="603" builtinId="9" hidden="1"/>
    <cellStyle name="Followed Hyperlink" xfId="466" builtinId="9" hidden="1"/>
    <cellStyle name="Followed Hyperlink" xfId="299" builtinId="9" hidden="1"/>
    <cellStyle name="Followed Hyperlink" xfId="678" builtinId="9" hidden="1"/>
    <cellStyle name="Followed Hyperlink" xfId="76" builtinId="9" hidden="1"/>
    <cellStyle name="Followed Hyperlink" xfId="18" builtinId="9" hidden="1"/>
    <cellStyle name="Followed Hyperlink" xfId="592" builtinId="9" hidden="1"/>
    <cellStyle name="Followed Hyperlink" xfId="261" builtinId="9" hidden="1"/>
    <cellStyle name="Followed Hyperlink" xfId="493" builtinId="9" hidden="1"/>
    <cellStyle name="Followed Hyperlink" xfId="1171" builtinId="9" hidden="1"/>
    <cellStyle name="Followed Hyperlink" xfId="1066" builtinId="9" hidden="1"/>
    <cellStyle name="Followed Hyperlink" xfId="688" builtinId="9" hidden="1"/>
    <cellStyle name="Followed Hyperlink" xfId="1041" builtinId="9" hidden="1"/>
    <cellStyle name="Followed Hyperlink" xfId="765" builtinId="9" hidden="1"/>
    <cellStyle name="Followed Hyperlink" xfId="977" builtinId="9" hidden="1"/>
    <cellStyle name="Followed Hyperlink" xfId="463" builtinId="9" hidden="1"/>
    <cellStyle name="Followed Hyperlink" xfId="74" builtinId="9" hidden="1"/>
    <cellStyle name="Followed Hyperlink" xfId="1044" builtinId="9" hidden="1"/>
    <cellStyle name="Followed Hyperlink" xfId="874" builtinId="9" hidden="1"/>
    <cellStyle name="Followed Hyperlink" xfId="358" builtinId="9" hidden="1"/>
    <cellStyle name="Followed Hyperlink" xfId="939" builtinId="9" hidden="1"/>
    <cellStyle name="Followed Hyperlink" xfId="770" builtinId="9" hidden="1"/>
    <cellStyle name="Followed Hyperlink" xfId="43" builtinId="9" hidden="1"/>
    <cellStyle name="Followed Hyperlink" xfId="749" builtinId="9" hidden="1"/>
    <cellStyle name="Followed Hyperlink" xfId="1123" builtinId="9" hidden="1"/>
    <cellStyle name="Followed Hyperlink" xfId="1157" builtinId="9" hidden="1"/>
    <cellStyle name="Followed Hyperlink" xfId="625" builtinId="9" hidden="1"/>
    <cellStyle name="Followed Hyperlink" xfId="275" builtinId="9" hidden="1"/>
    <cellStyle name="Followed Hyperlink" xfId="808" builtinId="9" hidden="1"/>
    <cellStyle name="Followed Hyperlink" xfId="983" builtinId="9" hidden="1"/>
    <cellStyle name="Followed Hyperlink" xfId="860" builtinId="9" hidden="1"/>
    <cellStyle name="Followed Hyperlink" xfId="235" builtinId="9" hidden="1"/>
    <cellStyle name="Followed Hyperlink" xfId="241" builtinId="9" hidden="1"/>
    <cellStyle name="Followed Hyperlink" xfId="537" builtinId="9" hidden="1"/>
    <cellStyle name="Followed Hyperlink" xfId="64" builtinId="9" hidden="1"/>
    <cellStyle name="Followed Hyperlink" xfId="598" builtinId="9" hidden="1"/>
    <cellStyle name="Followed Hyperlink" xfId="972" builtinId="9" hidden="1"/>
    <cellStyle name="Followed Hyperlink" xfId="554" builtinId="9" hidden="1"/>
    <cellStyle name="Followed Hyperlink" xfId="178" builtinId="9" hidden="1"/>
    <cellStyle name="Followed Hyperlink" xfId="1067" builtinId="9" hidden="1"/>
    <cellStyle name="Followed Hyperlink" xfId="988" builtinId="9" hidden="1"/>
    <cellStyle name="Followed Hyperlink" xfId="181" builtinId="9" hidden="1"/>
    <cellStyle name="Followed Hyperlink" xfId="973" builtinId="9" hidden="1"/>
    <cellStyle name="Followed Hyperlink" xfId="324" builtinId="9" hidden="1"/>
    <cellStyle name="Followed Hyperlink" xfId="588" builtinId="9" hidden="1"/>
    <cellStyle name="Followed Hyperlink" xfId="125" builtinId="9" hidden="1"/>
    <cellStyle name="Followed Hyperlink" xfId="373" builtinId="9" hidden="1"/>
    <cellStyle name="Followed Hyperlink" xfId="856" builtinId="9" hidden="1"/>
    <cellStyle name="Followed Hyperlink" xfId="925" builtinId="9" hidden="1"/>
    <cellStyle name="Followed Hyperlink" xfId="797" builtinId="9" hidden="1"/>
    <cellStyle name="Followed Hyperlink" xfId="693" builtinId="9" hidden="1"/>
    <cellStyle name="Followed Hyperlink" xfId="728" builtinId="9" hidden="1"/>
    <cellStyle name="Followed Hyperlink" xfId="450" builtinId="9" hidden="1"/>
    <cellStyle name="Followed Hyperlink" xfId="52" builtinId="9" hidden="1"/>
    <cellStyle name="Followed Hyperlink" xfId="1158" builtinId="9" hidden="1"/>
    <cellStyle name="Followed Hyperlink" xfId="315" builtinId="9" hidden="1"/>
    <cellStyle name="Followed Hyperlink" xfId="278" builtinId="9" hidden="1"/>
    <cellStyle name="Followed Hyperlink" xfId="190" builtinId="9" hidden="1"/>
    <cellStyle name="Followed Hyperlink" xfId="965" builtinId="9" hidden="1"/>
    <cellStyle name="Followed Hyperlink" xfId="378" builtinId="9" hidden="1"/>
    <cellStyle name="Followed Hyperlink" xfId="210" builtinId="9" hidden="1"/>
    <cellStyle name="Followed Hyperlink" xfId="60" builtinId="9" hidden="1"/>
    <cellStyle name="Followed Hyperlink" xfId="740" builtinId="9" hidden="1"/>
    <cellStyle name="Followed Hyperlink" xfId="869" builtinId="9" hidden="1"/>
    <cellStyle name="Followed Hyperlink" xfId="263" builtinId="9" hidden="1"/>
    <cellStyle name="Followed Hyperlink" xfId="660" builtinId="9" hidden="1"/>
    <cellStyle name="Followed Hyperlink" xfId="971" builtinId="9" hidden="1"/>
    <cellStyle name="Followed Hyperlink" xfId="72" builtinId="9" hidden="1"/>
    <cellStyle name="Followed Hyperlink" xfId="245" builtinId="9" hidden="1"/>
    <cellStyle name="Followed Hyperlink" xfId="431" builtinId="9" hidden="1"/>
    <cellStyle name="Followed Hyperlink" xfId="391" builtinId="9" hidden="1"/>
    <cellStyle name="Followed Hyperlink" xfId="951" builtinId="9" hidden="1"/>
    <cellStyle name="Followed Hyperlink" xfId="975" builtinId="9" hidden="1"/>
    <cellStyle name="Followed Hyperlink" xfId="709" builtinId="9" hidden="1"/>
    <cellStyle name="Followed Hyperlink" xfId="568" builtinId="9" hidden="1"/>
    <cellStyle name="Followed Hyperlink" xfId="900" builtinId="9" hidden="1"/>
    <cellStyle name="Followed Hyperlink" xfId="168" builtinId="9" hidden="1"/>
    <cellStyle name="Followed Hyperlink" xfId="316" builtinId="9" hidden="1"/>
    <cellStyle name="Followed Hyperlink" xfId="785" builtinId="9" hidden="1"/>
    <cellStyle name="Followed Hyperlink" xfId="266" builtinId="9" hidden="1"/>
    <cellStyle name="Followed Hyperlink" xfId="947" builtinId="9" hidden="1"/>
    <cellStyle name="Followed Hyperlink" xfId="111" builtinId="9" hidden="1"/>
    <cellStyle name="Followed Hyperlink" xfId="731" builtinId="9" hidden="1"/>
    <cellStyle name="Followed Hyperlink" xfId="22" builtinId="9" hidden="1"/>
    <cellStyle name="Followed Hyperlink" xfId="8" builtinId="9" hidden="1"/>
    <cellStyle name="Followed Hyperlink" xfId="176" builtinId="9" hidden="1"/>
    <cellStyle name="Followed Hyperlink" xfId="564" builtinId="9" hidden="1"/>
    <cellStyle name="Followed Hyperlink" xfId="640" builtinId="9" hidden="1"/>
    <cellStyle name="Followed Hyperlink" xfId="562" builtinId="9" hidden="1"/>
    <cellStyle name="Followed Hyperlink" xfId="412" builtinId="9" hidden="1"/>
    <cellStyle name="Followed Hyperlink" xfId="1085" builtinId="9" hidden="1"/>
    <cellStyle name="Followed Hyperlink" xfId="154" builtinId="9" hidden="1"/>
    <cellStyle name="Followed Hyperlink" xfId="498" builtinId="9" hidden="1"/>
    <cellStyle name="Followed Hyperlink" xfId="1165" builtinId="9" hidden="1"/>
    <cellStyle name="Followed Hyperlink" xfId="533" builtinId="9" hidden="1"/>
    <cellStyle name="Followed Hyperlink" xfId="474" builtinId="9" hidden="1"/>
    <cellStyle name="Followed Hyperlink" xfId="268" builtinId="9" hidden="1"/>
    <cellStyle name="Followed Hyperlink" xfId="790" builtinId="9" hidden="1"/>
    <cellStyle name="Followed Hyperlink" xfId="948" builtinId="9" hidden="1"/>
    <cellStyle name="Followed Hyperlink" xfId="567" builtinId="9" hidden="1"/>
    <cellStyle name="Followed Hyperlink" xfId="1108" builtinId="9" hidden="1"/>
    <cellStyle name="Followed Hyperlink" xfId="979" builtinId="9" hidden="1"/>
    <cellStyle name="Followed Hyperlink" xfId="865" builtinId="9" hidden="1"/>
    <cellStyle name="Followed Hyperlink" xfId="1097" builtinId="9" hidden="1"/>
    <cellStyle name="Followed Hyperlink" xfId="1170" builtinId="9" hidden="1"/>
    <cellStyle name="Followed Hyperlink" xfId="40" builtinId="9" hidden="1"/>
    <cellStyle name="Followed Hyperlink" xfId="1052" builtinId="9" hidden="1"/>
    <cellStyle name="Followed Hyperlink" xfId="1027" builtinId="9" hidden="1"/>
    <cellStyle name="Followed Hyperlink" xfId="735" builtinId="9" hidden="1"/>
    <cellStyle name="Followed Hyperlink" xfId="339" builtinId="9" hidden="1"/>
    <cellStyle name="Followed Hyperlink" xfId="460" builtinId="9" hidden="1"/>
    <cellStyle name="Followed Hyperlink" xfId="200" builtinId="9" hidden="1"/>
    <cellStyle name="Followed Hyperlink" xfId="1149" builtinId="9" hidden="1"/>
    <cellStyle name="Followed Hyperlink" xfId="855" builtinId="9" hidden="1"/>
    <cellStyle name="Followed Hyperlink" xfId="419" builtinId="9" hidden="1"/>
    <cellStyle name="Followed Hyperlink" xfId="1155" builtinId="9" hidden="1"/>
    <cellStyle name="Followed Hyperlink" xfId="996" builtinId="9" hidden="1"/>
    <cellStyle name="Followed Hyperlink" xfId="1090" builtinId="9" hidden="1"/>
    <cellStyle name="Followed Hyperlink" xfId="142" builtinId="9" hidden="1"/>
    <cellStyle name="Followed Hyperlink" xfId="1159" builtinId="9" hidden="1"/>
    <cellStyle name="Followed Hyperlink" xfId="821" builtinId="9" hidden="1"/>
    <cellStyle name="Followed Hyperlink" xfId="383" builtinId="9" hidden="1"/>
    <cellStyle name="Followed Hyperlink" xfId="757" builtinId="9" hidden="1"/>
    <cellStyle name="Followed Hyperlink" xfId="47" builtinId="9" hidden="1"/>
    <cellStyle name="Followed Hyperlink" xfId="1023" builtinId="9" hidden="1"/>
    <cellStyle name="Followed Hyperlink" xfId="75" builtinId="9" hidden="1"/>
    <cellStyle name="Followed Hyperlink" xfId="518" builtinId="9" hidden="1"/>
    <cellStyle name="Followed Hyperlink" xfId="908" builtinId="9" hidden="1"/>
    <cellStyle name="Followed Hyperlink" xfId="886" builtinId="9" hidden="1"/>
    <cellStyle name="Followed Hyperlink" xfId="253" builtinId="9" hidden="1"/>
    <cellStyle name="Followed Hyperlink" xfId="102" builtinId="9" hidden="1"/>
    <cellStyle name="Followed Hyperlink" xfId="476" builtinId="9" hidden="1"/>
    <cellStyle name="Followed Hyperlink" xfId="122" builtinId="9" hidden="1"/>
    <cellStyle name="Followed Hyperlink" xfId="563" builtinId="9" hidden="1"/>
    <cellStyle name="Followed Hyperlink" xfId="359" builtinId="9" hidden="1"/>
    <cellStyle name="Followed Hyperlink" xfId="800" builtinId="9" hidden="1"/>
    <cellStyle name="Followed Hyperlink" xfId="1006" builtinId="9" hidden="1"/>
    <cellStyle name="Followed Hyperlink" xfId="663" builtinId="9" hidden="1"/>
    <cellStyle name="Followed Hyperlink" xfId="216" builtinId="9" hidden="1"/>
    <cellStyle name="Followed Hyperlink" xfId="367" builtinId="9" hidden="1"/>
    <cellStyle name="Followed Hyperlink" xfId="841" builtinId="9" hidden="1"/>
    <cellStyle name="Followed Hyperlink" xfId="570" builtinId="9" hidden="1"/>
    <cellStyle name="Followed Hyperlink" xfId="115" builtinId="9" hidden="1"/>
    <cellStyle name="Followed Hyperlink" xfId="1167" builtinId="9" hidden="1"/>
    <cellStyle name="Followed Hyperlink" xfId="846" builtinId="9" hidden="1"/>
    <cellStyle name="Followed Hyperlink" xfId="952" builtinId="9" hidden="1"/>
    <cellStyle name="Followed Hyperlink" xfId="917" builtinId="9" hidden="1"/>
    <cellStyle name="Followed Hyperlink" xfId="420" builtinId="9" hidden="1"/>
    <cellStyle name="Followed Hyperlink" xfId="25" builtinId="9" hidden="1"/>
    <cellStyle name="Followed Hyperlink" xfId="468" builtinId="9" hidden="1"/>
    <cellStyle name="Followed Hyperlink" xfId="919" builtinId="9" hidden="1"/>
    <cellStyle name="Followed Hyperlink" xfId="813" builtinId="9" hidden="1"/>
    <cellStyle name="Followed Hyperlink" xfId="136" builtinId="9" hidden="1"/>
    <cellStyle name="Followed Hyperlink" xfId="893" builtinId="9" hidden="1"/>
    <cellStyle name="Followed Hyperlink" xfId="84" builtinId="9" hidden="1"/>
    <cellStyle name="Followed Hyperlink" xfId="521" builtinId="9" hidden="1"/>
    <cellStyle name="Followed Hyperlink" xfId="386" builtinId="9" hidden="1"/>
    <cellStyle name="Followed Hyperlink" xfId="175" builtinId="9" hidden="1"/>
    <cellStyle name="Followed Hyperlink" xfId="146" builtinId="9" hidden="1"/>
    <cellStyle name="Followed Hyperlink" xfId="428" builtinId="9" hidden="1"/>
    <cellStyle name="Followed Hyperlink" xfId="30" builtinId="9" hidden="1"/>
    <cellStyle name="Followed Hyperlink" xfId="1050" builtinId="9" hidden="1"/>
    <cellStyle name="Followed Hyperlink" xfId="565" builtinId="9" hidden="1"/>
    <cellStyle name="Followed Hyperlink" xfId="557" builtinId="9" hidden="1"/>
    <cellStyle name="Followed Hyperlink" xfId="1083" builtinId="9" hidden="1"/>
    <cellStyle name="Followed Hyperlink" xfId="632" builtinId="9" hidden="1"/>
    <cellStyle name="Followed Hyperlink" xfId="715" builtinId="9" hidden="1"/>
    <cellStyle name="Followed Hyperlink" xfId="890" builtinId="9" hidden="1"/>
    <cellStyle name="Followed Hyperlink" xfId="834" builtinId="9" hidden="1"/>
    <cellStyle name="Followed Hyperlink" xfId="151" builtinId="9" hidden="1"/>
    <cellStyle name="Followed Hyperlink" xfId="380" builtinId="9" hidden="1"/>
    <cellStyle name="Followed Hyperlink" xfId="451" builtinId="9" hidden="1"/>
    <cellStyle name="Followed Hyperlink" xfId="1122" builtinId="9" hidden="1"/>
    <cellStyle name="Followed Hyperlink" xfId="787" builtinId="9" hidden="1"/>
    <cellStyle name="Followed Hyperlink" xfId="825" builtinId="9" hidden="1"/>
    <cellStyle name="Followed Hyperlink" xfId="440" builtinId="9" hidden="1"/>
    <cellStyle name="Followed Hyperlink" xfId="272" builtinId="9" hidden="1"/>
    <cellStyle name="Followed Hyperlink" xfId="411" builtinId="9" hidden="1"/>
    <cellStyle name="Followed Hyperlink" xfId="379" builtinId="9" hidden="1"/>
    <cellStyle name="Followed Hyperlink" xfId="587" builtinId="9" hidden="1"/>
    <cellStyle name="Followed Hyperlink" xfId="94" builtinId="9" hidden="1"/>
    <cellStyle name="Followed Hyperlink" xfId="661" builtinId="9" hidden="1"/>
    <cellStyle name="Followed Hyperlink" xfId="361" builtinId="9" hidden="1"/>
    <cellStyle name="Followed Hyperlink" xfId="54" builtinId="9" hidden="1"/>
    <cellStyle name="Followed Hyperlink" xfId="968" builtinId="9" hidden="1"/>
    <cellStyle name="Followed Hyperlink" xfId="135" builtinId="9" hidden="1"/>
    <cellStyle name="Followed Hyperlink" xfId="932" builtinId="9" hidden="1"/>
    <cellStyle name="Followed Hyperlink" xfId="931" builtinId="9" hidden="1"/>
    <cellStyle name="Followed Hyperlink" xfId="369" builtinId="9" hidden="1"/>
    <cellStyle name="Followed Hyperlink" xfId="914" builtinId="9" hidden="1"/>
    <cellStyle name="Followed Hyperlink" xfId="87" builtinId="9" hidden="1"/>
    <cellStyle name="Followed Hyperlink" xfId="984" builtinId="9" hidden="1"/>
    <cellStyle name="Followed Hyperlink" xfId="615" builtinId="9" hidden="1"/>
    <cellStyle name="Followed Hyperlink" xfId="776" builtinId="9" hidden="1"/>
    <cellStyle name="Followed Hyperlink" xfId="101" builtinId="9" hidden="1"/>
    <cellStyle name="Followed Hyperlink" xfId="520" builtinId="9" hidden="1"/>
    <cellStyle name="Followed Hyperlink" xfId="923" builtinId="9" hidden="1"/>
    <cellStyle name="Followed Hyperlink" xfId="658" builtinId="9" hidden="1"/>
    <cellStyle name="Followed Hyperlink" xfId="96" builtinId="9" hidden="1"/>
    <cellStyle name="Followed Hyperlink" xfId="777" builtinId="9" hidden="1"/>
    <cellStyle name="Followed Hyperlink" xfId="861" builtinId="9" hidden="1"/>
    <cellStyle name="Followed Hyperlink" xfId="281" builtinId="9" hidden="1"/>
    <cellStyle name="Followed Hyperlink" xfId="449" builtinId="9" hidden="1"/>
    <cellStyle name="Followed Hyperlink" xfId="1194" builtinId="9" hidden="1"/>
    <cellStyle name="Followed Hyperlink" xfId="119" builtinId="9" hidden="1"/>
    <cellStyle name="Followed Hyperlink" xfId="679" builtinId="9" hidden="1"/>
    <cellStyle name="Followed Hyperlink" xfId="703" builtinId="9" hidden="1"/>
    <cellStyle name="Followed Hyperlink" xfId="424" builtinId="9" hidden="1"/>
    <cellStyle name="Followed Hyperlink" xfId="298" builtinId="9" hidden="1"/>
    <cellStyle name="Followed Hyperlink" xfId="393" builtinId="9" hidden="1"/>
    <cellStyle name="Followed Hyperlink" xfId="730" builtinId="9" hidden="1"/>
    <cellStyle name="Followed Hyperlink" xfId="394" builtinId="9" hidden="1"/>
    <cellStyle name="Followed Hyperlink" xfId="741" builtinId="9" hidden="1"/>
    <cellStyle name="Followed Hyperlink" xfId="236" builtinId="9" hidden="1"/>
    <cellStyle name="Followed Hyperlink" xfId="185" builtinId="9" hidden="1"/>
    <cellStyle name="Followed Hyperlink" xfId="387" builtinId="9" hidden="1"/>
    <cellStyle name="Followed Hyperlink" xfId="186" builtinId="9" hidden="1"/>
    <cellStyle name="Followed Hyperlink" xfId="1139" builtinId="9" hidden="1"/>
    <cellStyle name="Followed Hyperlink" xfId="829" builtinId="9" hidden="1"/>
    <cellStyle name="Followed Hyperlink" xfId="426" builtinId="9" hidden="1"/>
    <cellStyle name="Followed Hyperlink" xfId="1007" builtinId="9" hidden="1"/>
    <cellStyle name="Followed Hyperlink" xfId="1174" builtinId="9" hidden="1"/>
    <cellStyle name="Followed Hyperlink" xfId="1045" builtinId="9" hidden="1"/>
    <cellStyle name="Followed Hyperlink" xfId="159" builtinId="9" hidden="1"/>
    <cellStyle name="Followed Hyperlink" xfId="806" builtinId="9" hidden="1"/>
    <cellStyle name="Followed Hyperlink" xfId="1105" builtinId="9" hidden="1"/>
    <cellStyle name="Followed Hyperlink" xfId="866" builtinId="9" hidden="1"/>
    <cellStyle name="Followed Hyperlink" xfId="513" builtinId="9" hidden="1"/>
    <cellStyle name="Followed Hyperlink" xfId="539" builtinId="9" hidden="1"/>
    <cellStyle name="Followed Hyperlink" xfId="501" builtinId="9" hidden="1"/>
    <cellStyle name="Followed Hyperlink" xfId="795" builtinId="9" hidden="1"/>
    <cellStyle name="Followed Hyperlink" xfId="650" builtinId="9" hidden="1"/>
    <cellStyle name="Followed Hyperlink" xfId="500" builtinId="9" hidden="1"/>
    <cellStyle name="Followed Hyperlink" xfId="404" builtinId="9" hidden="1"/>
    <cellStyle name="Followed Hyperlink" xfId="485" builtinId="9" hidden="1"/>
    <cellStyle name="Followed Hyperlink" xfId="754" builtinId="9" hidden="1"/>
    <cellStyle name="Followed Hyperlink" xfId="327" builtinId="9" hidden="1"/>
    <cellStyle name="Followed Hyperlink" xfId="581" builtinId="9" hidden="1"/>
    <cellStyle name="Followed Hyperlink" xfId="1156" builtinId="9" hidden="1"/>
    <cellStyle name="Followed Hyperlink" xfId="1120" builtinId="9" hidden="1"/>
    <cellStyle name="Followed Hyperlink" xfId="437" builtinId="9" hidden="1"/>
    <cellStyle name="Followed Hyperlink" xfId="56" builtinId="9" hidden="1"/>
    <cellStyle name="Followed Hyperlink" xfId="499" builtinId="9" hidden="1"/>
    <cellStyle name="Followed Hyperlink" xfId="124" builtinId="9" hidden="1"/>
    <cellStyle name="Followed Hyperlink" xfId="674" builtinId="9" hidden="1"/>
    <cellStyle name="Followed Hyperlink" xfId="872" builtinId="9" hidden="1"/>
    <cellStyle name="Followed Hyperlink" xfId="990" builtinId="9" hidden="1"/>
    <cellStyle name="Followed Hyperlink" xfId="117" builtinId="9" hidden="1"/>
    <cellStyle name="Followed Hyperlink" xfId="630" builtinId="9" hidden="1"/>
    <cellStyle name="Followed Hyperlink" xfId="830" builtinId="9" hidden="1"/>
    <cellStyle name="Followed Hyperlink" xfId="845" builtinId="9" hidden="1"/>
    <cellStyle name="Followed Hyperlink" xfId="492" builtinId="9" hidden="1"/>
    <cellStyle name="Followed Hyperlink" xfId="305" builtinId="9" hidden="1"/>
    <cellStyle name="Followed Hyperlink" xfId="747" builtinId="9" hidden="1"/>
    <cellStyle name="Followed Hyperlink" xfId="644" builtinId="9" hidden="1"/>
    <cellStyle name="Followed Hyperlink" xfId="622" builtinId="9" hidden="1"/>
    <cellStyle name="Followed Hyperlink" xfId="867" builtinId="9" hidden="1"/>
    <cellStyle name="Followed Hyperlink" xfId="282" builtinId="9" hidden="1"/>
    <cellStyle name="Followed Hyperlink" xfId="999" builtinId="9" hidden="1"/>
    <cellStyle name="Followed Hyperlink" xfId="179" builtinId="9" hidden="1"/>
    <cellStyle name="Followed Hyperlink" xfId="310" builtinId="9" hidden="1"/>
    <cellStyle name="Followed Hyperlink" xfId="957" builtinId="9" hidden="1"/>
    <cellStyle name="Followed Hyperlink" xfId="943" builtinId="9" hidden="1"/>
    <cellStyle name="Followed Hyperlink" xfId="416" builtinId="9" hidden="1"/>
    <cellStyle name="Followed Hyperlink" xfId="188" builtinId="9" hidden="1"/>
    <cellStyle name="Followed Hyperlink" xfId="840" builtinId="9" hidden="1"/>
    <cellStyle name="Followed Hyperlink" xfId="1068" builtinId="9" hidden="1"/>
    <cellStyle name="Followed Hyperlink" xfId="288" builtinId="9" hidden="1"/>
    <cellStyle name="Followed Hyperlink" xfId="98" builtinId="9" hidden="1"/>
    <cellStyle name="Followed Hyperlink" xfId="994" builtinId="9" hidden="1"/>
    <cellStyle name="Followed Hyperlink" xfId="809" builtinId="9" hidden="1"/>
    <cellStyle name="Followed Hyperlink" xfId="238" builtinId="9" hidden="1"/>
    <cellStyle name="Followed Hyperlink" xfId="184" builtinId="9" hidden="1"/>
    <cellStyle name="Followed Hyperlink" xfId="23" builtinId="9" hidden="1"/>
    <cellStyle name="Followed Hyperlink" xfId="775" builtinId="9" hidden="1"/>
    <cellStyle name="Followed Hyperlink" xfId="1017" builtinId="9" hidden="1"/>
    <cellStyle name="Followed Hyperlink" xfId="89" builtinId="9" hidden="1"/>
    <cellStyle name="Followed Hyperlink" xfId="553" builtinId="9" hidden="1"/>
    <cellStyle name="Followed Hyperlink" xfId="1180" builtinId="9" hidden="1"/>
    <cellStyle name="Followed Hyperlink" xfId="1186" builtinId="9" hidden="1"/>
    <cellStyle name="Followed Hyperlink" xfId="344" builtinId="9" hidden="1"/>
    <cellStyle name="Followed Hyperlink" xfId="67" builtinId="9" hidden="1"/>
    <cellStyle name="Followed Hyperlink" xfId="1098" builtinId="9" hidden="1"/>
    <cellStyle name="Followed Hyperlink" xfId="183" builtinId="9" hidden="1"/>
    <cellStyle name="Followed Hyperlink" xfId="482" builtinId="9" hidden="1"/>
    <cellStyle name="Followed Hyperlink" xfId="1014" builtinId="9" hidden="1"/>
    <cellStyle name="Followed Hyperlink" xfId="118" builtinId="9" hidden="1"/>
    <cellStyle name="Followed Hyperlink" xfId="629" builtinId="9" hidden="1"/>
    <cellStyle name="Followed Hyperlink" xfId="556" builtinId="9" hidden="1"/>
    <cellStyle name="Followed Hyperlink" xfId="963" builtinId="9" hidden="1"/>
    <cellStyle name="Followed Hyperlink" xfId="206" builtinId="9" hidden="1"/>
    <cellStyle name="Followed Hyperlink" xfId="1164" builtinId="9" hidden="1"/>
    <cellStyle name="Followed Hyperlink" xfId="523" builtinId="9" hidden="1"/>
    <cellStyle name="Followed Hyperlink" xfId="1103" builtinId="9" hidden="1"/>
    <cellStyle name="Followed Hyperlink" xfId="618" builtinId="9" hidden="1"/>
    <cellStyle name="Followed Hyperlink" xfId="722" builtinId="9" hidden="1"/>
    <cellStyle name="Followed Hyperlink" xfId="166" builtinId="9" hidden="1"/>
    <cellStyle name="Followed Hyperlink" xfId="628" builtinId="9" hidden="1"/>
    <cellStyle name="Followed Hyperlink" xfId="1088" builtinId="9" hidden="1"/>
    <cellStyle name="Followed Hyperlink" xfId="462" builtinId="9" hidden="1"/>
    <cellStyle name="Followed Hyperlink" xfId="314" builtinId="9" hidden="1"/>
    <cellStyle name="Followed Hyperlink" xfId="193" builtinId="9" hidden="1"/>
    <cellStyle name="Followed Hyperlink" xfId="340" builtinId="9" hidden="1"/>
    <cellStyle name="Followed Hyperlink" xfId="110" builtinId="9" hidden="1"/>
    <cellStyle name="Followed Hyperlink" xfId="248" builtinId="9" hidden="1"/>
    <cellStyle name="Followed Hyperlink" xfId="436" builtinId="9" hidden="1"/>
    <cellStyle name="Followed Hyperlink" xfId="1010" builtinId="9" hidden="1"/>
    <cellStyle name="Followed Hyperlink" xfId="173" builtinId="9" hidden="1"/>
    <cellStyle name="Followed Hyperlink" xfId="435" builtinId="9" hidden="1"/>
    <cellStyle name="Followed Hyperlink" xfId="1095" builtinId="9" hidden="1"/>
    <cellStyle name="Followed Hyperlink" xfId="950" builtinId="9" hidden="1"/>
    <cellStyle name="Followed Hyperlink" xfId="392" builtinId="9" hidden="1"/>
    <cellStyle name="Followed Hyperlink" xfId="218" builtinId="9" hidden="1"/>
    <cellStyle name="Followed Hyperlink" xfId="882" builtinId="9" hidden="1"/>
    <cellStyle name="Followed Hyperlink" xfId="150" builtinId="9" hidden="1"/>
    <cellStyle name="Followed Hyperlink" xfId="70" builtinId="9" hidden="1"/>
    <cellStyle name="Followed Hyperlink" xfId="220" builtinId="9" hidden="1"/>
    <cellStyle name="Followed Hyperlink" xfId="637" builtinId="9" hidden="1"/>
    <cellStyle name="Followed Hyperlink" xfId="561" builtinId="9" hidden="1"/>
    <cellStyle name="Followed Hyperlink" xfId="362" builtinId="9" hidden="1"/>
    <cellStyle name="Followed Hyperlink" xfId="133" builtinId="9" hidden="1"/>
    <cellStyle name="Followed Hyperlink" xfId="1199" builtinId="9" hidden="1"/>
    <cellStyle name="Followed Hyperlink" xfId="811" builtinId="9" hidden="1"/>
    <cellStyle name="Followed Hyperlink" xfId="221" builtinId="9" hidden="1"/>
    <cellStyle name="Followed Hyperlink" xfId="859" builtinId="9" hidden="1"/>
    <cellStyle name="Followed Hyperlink" xfId="429" builtinId="9" hidden="1"/>
    <cellStyle name="Followed Hyperlink" xfId="1118" builtinId="9" hidden="1"/>
    <cellStyle name="Followed Hyperlink" xfId="371" builtinId="9" hidden="1"/>
    <cellStyle name="Followed Hyperlink" xfId="875" builtinId="9" hidden="1"/>
    <cellStyle name="Followed Hyperlink" xfId="224" builtinId="9" hidden="1"/>
    <cellStyle name="Followed Hyperlink" xfId="326" builtinId="9" hidden="1"/>
    <cellStyle name="Followed Hyperlink" xfId="635" builtinId="9" hidden="1"/>
    <cellStyle name="Followed Hyperlink" xfId="120" builtinId="9" hidden="1"/>
    <cellStyle name="Followed Hyperlink" xfId="764" builtinId="9" hidden="1"/>
    <cellStyle name="Followed Hyperlink" xfId="589" builtinId="9" hidden="1"/>
    <cellStyle name="Followed Hyperlink" xfId="1177" builtinId="9" hidden="1"/>
    <cellStyle name="Followed Hyperlink" xfId="982" builtinId="9" hidden="1"/>
    <cellStyle name="Followed Hyperlink" xfId="793" builtinId="9" hidden="1"/>
    <cellStyle name="Followed Hyperlink" xfId="312" builtinId="9" hidden="1"/>
    <cellStyle name="Followed Hyperlink" xfId="849" builtinId="9" hidden="1"/>
    <cellStyle name="Followed Hyperlink" xfId="483" builtinId="9" hidden="1"/>
    <cellStyle name="Followed Hyperlink" xfId="677" builtinId="9" hidden="1"/>
    <cellStyle name="Followed Hyperlink" xfId="317" builtinId="9" hidden="1"/>
    <cellStyle name="Followed Hyperlink" xfId="998" builtinId="9" hidden="1"/>
    <cellStyle name="Followed Hyperlink" xfId="827" builtinId="9" hidden="1"/>
    <cellStyle name="Followed Hyperlink" xfId="596" builtinId="9" hidden="1"/>
    <cellStyle name="Followed Hyperlink" xfId="560" builtinId="9" hidden="1"/>
    <cellStyle name="Followed Hyperlink" xfId="519" builtinId="9" hidden="1"/>
    <cellStyle name="Followed Hyperlink" xfId="1152" builtinId="9" hidden="1"/>
    <cellStyle name="Followed Hyperlink" xfId="213" builtinId="9" hidden="1"/>
    <cellStyle name="Followed Hyperlink" xfId="291" builtinId="9" hidden="1"/>
    <cellStyle name="Followed Hyperlink" xfId="55" builtinId="9" hidden="1"/>
    <cellStyle name="Followed Hyperlink" xfId="727" builtinId="9" hidden="1"/>
    <cellStyle name="Followed Hyperlink" xfId="571" builtinId="9" hidden="1"/>
    <cellStyle name="Followed Hyperlink" xfId="147" builtinId="9" hidden="1"/>
    <cellStyle name="Followed Hyperlink" xfId="822" builtinId="9" hidden="1"/>
    <cellStyle name="Followed Hyperlink" xfId="1003" builtinId="9" hidden="1"/>
    <cellStyle name="Followed Hyperlink" xfId="48" builtinId="9" hidden="1"/>
    <cellStyle name="Followed Hyperlink" xfId="13" builtinId="9" hidden="1"/>
    <cellStyle name="Followed Hyperlink" xfId="217" builtinId="9" hidden="1"/>
    <cellStyle name="Followed Hyperlink" xfId="826" builtinId="9" hidden="1"/>
    <cellStyle name="Followed Hyperlink" xfId="80" builtinId="9" hidden="1"/>
    <cellStyle name="Followed Hyperlink" xfId="1000" builtinId="9" hidden="1"/>
    <cellStyle name="Followed Hyperlink" xfId="257" builtinId="9" hidden="1"/>
    <cellStyle name="Followed Hyperlink" xfId="1132" builtinId="9" hidden="1"/>
    <cellStyle name="Followed Hyperlink" xfId="439" builtinId="9" hidden="1"/>
    <cellStyle name="Followed Hyperlink" xfId="646" builtinId="9" hidden="1"/>
    <cellStyle name="Followed Hyperlink" xfId="684" builtinId="9" hidden="1"/>
    <cellStyle name="Followed Hyperlink" xfId="109" builtinId="9" hidden="1"/>
    <cellStyle name="Followed Hyperlink" xfId="158" builtinId="9" hidden="1"/>
    <cellStyle name="Followed Hyperlink" xfId="368" builtinId="9" hidden="1"/>
    <cellStyle name="Followed Hyperlink" xfId="576" builtinId="9" hidden="1"/>
    <cellStyle name="Followed Hyperlink" xfId="384" builtinId="9" hidden="1"/>
    <cellStyle name="Followed Hyperlink" xfId="490" builtinId="9" hidden="1"/>
    <cellStyle name="Followed Hyperlink" xfId="692" builtinId="9" hidden="1"/>
    <cellStyle name="Followed Hyperlink" xfId="766" builtinId="9" hidden="1"/>
    <cellStyle name="Followed Hyperlink" xfId="698" builtinId="9" hidden="1"/>
    <cellStyle name="Followed Hyperlink" xfId="1190" builtinId="9" hidden="1"/>
    <cellStyle name="Followed Hyperlink" xfId="308" builtinId="9" hidden="1"/>
    <cellStyle name="Followed Hyperlink" xfId="242" builtinId="9" hidden="1"/>
    <cellStyle name="Followed Hyperlink" xfId="868" builtinId="9" hidden="1"/>
    <cellStyle name="Followed Hyperlink" xfId="966" builtinId="9" hidden="1"/>
    <cellStyle name="Followed Hyperlink" xfId="230" builtinId="9" hidden="1"/>
    <cellStyle name="Followed Hyperlink" xfId="250" builtinId="9" hidden="1"/>
    <cellStyle name="Followed Hyperlink" xfId="920" builtinId="9" hidden="1"/>
    <cellStyle name="Followed Hyperlink" xfId="697" builtinId="9" hidden="1"/>
    <cellStyle name="Followed Hyperlink" xfId="810" builtinId="9" hidden="1"/>
    <cellStyle name="Followed Hyperlink" xfId="1142" builtinId="9" hidden="1"/>
    <cellStyle name="Followed Hyperlink" xfId="959" builtinId="9" hidden="1"/>
    <cellStyle name="Followed Hyperlink" xfId="788" builtinId="9" hidden="1"/>
    <cellStyle name="Followed Hyperlink" xfId="304" builtinId="9" hidden="1"/>
    <cellStyle name="Followed Hyperlink" xfId="318" builtinId="9" hidden="1"/>
    <cellStyle name="Followed Hyperlink" xfId="1089" builtinId="9" hidden="1"/>
    <cellStyle name="Followed Hyperlink" xfId="504" builtinId="9" hidden="1"/>
    <cellStyle name="Followed Hyperlink" xfId="152" builtinId="9" hidden="1"/>
    <cellStyle name="Followed Hyperlink" xfId="239" builtinId="9" hidden="1"/>
    <cellStyle name="Followed Hyperlink" xfId="385" builtinId="9" hidden="1"/>
    <cellStyle name="Followed Hyperlink" xfId="283" builtinId="9" hidden="1"/>
    <cellStyle name="Followed Hyperlink" xfId="256" builtinId="9" hidden="1"/>
    <cellStyle name="Followed Hyperlink" xfId="783" builtinId="9" hidden="1"/>
    <cellStyle name="Followed Hyperlink" xfId="763" builtinId="9" hidden="1"/>
    <cellStyle name="Followed Hyperlink" xfId="778" builtinId="9" hidden="1"/>
    <cellStyle name="Followed Hyperlink" xfId="1094" builtinId="9" hidden="1"/>
    <cellStyle name="Followed Hyperlink" xfId="1053" builtinId="9" hidden="1"/>
    <cellStyle name="Followed Hyperlink" xfId="427" builtinId="9" hidden="1"/>
    <cellStyle name="Followed Hyperlink" xfId="930" builtinId="9" hidden="1"/>
    <cellStyle name="Followed Hyperlink" xfId="351" builtinId="9" hidden="1"/>
    <cellStyle name="Followed Hyperlink" xfId="707" builtinId="9" hidden="1"/>
    <cellStyle name="Followed Hyperlink" xfId="459" builtinId="9" hidden="1"/>
    <cellStyle name="Followed Hyperlink" xfId="548" builtinId="9" hidden="1"/>
    <cellStyle name="Followed Hyperlink" xfId="854" builtinId="9" hidden="1"/>
    <cellStyle name="Followed Hyperlink" xfId="1081" builtinId="9" hidden="1"/>
    <cellStyle name="Followed Hyperlink" xfId="1020" builtinId="9" hidden="1"/>
    <cellStyle name="Followed Hyperlink" xfId="1181" builtinId="9" hidden="1"/>
    <cellStyle name="Followed Hyperlink" xfId="729" builtinId="9" hidden="1"/>
    <cellStyle name="Followed Hyperlink" xfId="290" builtinId="9" hidden="1"/>
    <cellStyle name="Followed Hyperlink" xfId="1135" builtinId="9" hidden="1"/>
    <cellStyle name="Followed Hyperlink" xfId="664" builtinId="9" hidden="1"/>
    <cellStyle name="Followed Hyperlink" xfId="591" builtinId="9" hidden="1"/>
    <cellStyle name="Followed Hyperlink" xfId="577" builtinId="9" hidden="1"/>
    <cellStyle name="Followed Hyperlink" xfId="24" builtinId="9" hidden="1"/>
    <cellStyle name="Followed Hyperlink" xfId="792" builtinId="9" hidden="1"/>
    <cellStyle name="Followed Hyperlink" xfId="85" builtinId="9" hidden="1"/>
    <cellStyle name="Followed Hyperlink" xfId="812" builtinId="9" hidden="1"/>
    <cellStyle name="Followed Hyperlink" xfId="517" builtinId="9" hidden="1"/>
    <cellStyle name="Followed Hyperlink" xfId="7" builtinId="9" hidden="1"/>
    <cellStyle name="Followed Hyperlink" xfId="743" builtinId="9" hidden="1"/>
    <cellStyle name="Followed Hyperlink" xfId="921" builtinId="9" hidden="1"/>
    <cellStyle name="Followed Hyperlink" xfId="1129" builtinId="9" hidden="1"/>
    <cellStyle name="Followed Hyperlink" xfId="469" builtinId="9" hidden="1"/>
    <cellStyle name="Followed Hyperlink" xfId="604" builtinId="9" hidden="1"/>
    <cellStyle name="Followed Hyperlink" xfId="494" builtinId="9" hidden="1"/>
    <cellStyle name="Followed Hyperlink" xfId="128" builtinId="9" hidden="1"/>
    <cellStyle name="Followed Hyperlink" xfId="274" builtinId="9" hidden="1"/>
    <cellStyle name="Followed Hyperlink" xfId="946" builtinId="9" hidden="1"/>
    <cellStyle name="Followed Hyperlink" xfId="17" builtinId="9" hidden="1"/>
    <cellStyle name="Followed Hyperlink" xfId="737" builtinId="9" hidden="1"/>
    <cellStyle name="Followed Hyperlink" xfId="864" builtinId="9" hidden="1"/>
    <cellStyle name="Followed Hyperlink" xfId="215" builtinId="9" hidden="1"/>
    <cellStyle name="Followed Hyperlink" xfId="97" builtinId="9" hidden="1"/>
    <cellStyle name="Followed Hyperlink" xfId="828" builtinId="9" hidden="1"/>
    <cellStyle name="Followed Hyperlink" xfId="309" builtinId="9" hidden="1"/>
    <cellStyle name="Followed Hyperlink" xfId="837" builtinId="9" hidden="1"/>
    <cellStyle name="Followed Hyperlink" xfId="306" builtinId="9" hidden="1"/>
    <cellStyle name="Followed Hyperlink" xfId="858" builtinId="9" hidden="1"/>
    <cellStyle name="Followed Hyperlink" xfId="899" builtinId="9" hidden="1"/>
    <cellStyle name="Followed Hyperlink" xfId="760" builtinId="9" hidden="1"/>
    <cellStyle name="Followed Hyperlink" xfId="167" builtinId="9" hidden="1"/>
    <cellStyle name="Followed Hyperlink" xfId="857" builtinId="9" hidden="1"/>
    <cellStyle name="Followed Hyperlink" xfId="633" builtinId="9" hidden="1"/>
    <cellStyle name="Followed Hyperlink" xfId="833" builtinId="9" hidden="1"/>
    <cellStyle name="Followed Hyperlink" xfId="423" builtinId="9" hidden="1"/>
    <cellStyle name="Followed Hyperlink" xfId="823" builtinId="9" hidden="1"/>
    <cellStyle name="Followed Hyperlink" xfId="1043" builtinId="9" hidden="1"/>
    <cellStyle name="Followed Hyperlink" xfId="1037" builtinId="9" hidden="1"/>
    <cellStyle name="Followed Hyperlink" xfId="495" builtinId="9" hidden="1"/>
    <cellStyle name="Followed Hyperlink" xfId="502" builtinId="9" hidden="1"/>
    <cellStyle name="Followed Hyperlink" xfId="1047" builtinId="9" hidden="1"/>
    <cellStyle name="Followed Hyperlink" xfId="594" builtinId="9" hidden="1"/>
    <cellStyle name="Followed Hyperlink" xfId="153" builtinId="9" hidden="1"/>
    <cellStyle name="Followed Hyperlink" xfId="676" builtinId="9" hidden="1"/>
    <cellStyle name="Followed Hyperlink" xfId="832" builtinId="9" hidden="1"/>
    <cellStyle name="Followed Hyperlink" xfId="732" builtinId="9" hidden="1"/>
    <cellStyle name="Followed Hyperlink" xfId="357" builtinId="9" hidden="1"/>
    <cellStyle name="Followed Hyperlink" xfId="448" builtinId="9" hidden="1"/>
    <cellStyle name="Followed Hyperlink" xfId="1115" builtinId="9" hidden="1"/>
    <cellStyle name="Followed Hyperlink" xfId="550" builtinId="9" hidden="1"/>
    <cellStyle name="Followed Hyperlink" xfId="1113" builtinId="9" hidden="1"/>
    <cellStyle name="Followed Hyperlink" xfId="63" builtinId="9" hidden="1"/>
    <cellStyle name="Followed Hyperlink" xfId="441" builtinId="9" hidden="1"/>
    <cellStyle name="Followed Hyperlink" xfId="736" builtinId="9" hidden="1"/>
    <cellStyle name="Followed Hyperlink" xfId="480" builtinId="9" hidden="1"/>
    <cellStyle name="Followed Hyperlink" xfId="321" builtinId="9" hidden="1"/>
    <cellStyle name="Followed Hyperlink" xfId="835" builtinId="9" hidden="1"/>
    <cellStyle name="Followed Hyperlink" xfId="1116" builtinId="9" hidden="1"/>
    <cellStyle name="Followed Hyperlink" xfId="514" builtinId="9" hidden="1"/>
    <cellStyle name="Followed Hyperlink" xfId="99" builtinId="9" hidden="1"/>
    <cellStyle name="Followed Hyperlink" xfId="90" builtinId="9" hidden="1"/>
    <cellStyle name="Followed Hyperlink" xfId="612" builtinId="9" hidden="1"/>
    <cellStyle name="Followed Hyperlink" xfId="82" builtinId="9" hidden="1"/>
    <cellStyle name="Followed Hyperlink" xfId="601" builtinId="9" hidden="1"/>
    <cellStyle name="Followed Hyperlink" xfId="734" builtinId="9" hidden="1"/>
    <cellStyle name="Followed Hyperlink" xfId="442" builtinId="9" hidden="1"/>
    <cellStyle name="Followed Hyperlink" xfId="580" builtinId="9" hidden="1"/>
    <cellStyle name="Followed Hyperlink" xfId="50" builtinId="9" hidden="1"/>
    <cellStyle name="Followed Hyperlink" xfId="497" builtinId="9" hidden="1"/>
    <cellStyle name="Followed Hyperlink" xfId="346" builtinId="9" hidden="1"/>
    <cellStyle name="Followed Hyperlink" xfId="657" builtinId="9" hidden="1"/>
    <cellStyle name="Followed Hyperlink" xfId="852" builtinId="9" hidden="1"/>
    <cellStyle name="Followed Hyperlink" xfId="228" builtinId="9" hidden="1"/>
    <cellStyle name="Followed Hyperlink" xfId="569" builtinId="9" hidden="1"/>
    <cellStyle name="Followed Hyperlink" xfId="9" builtinId="9" hidden="1"/>
    <cellStyle name="Followed Hyperlink" xfId="62" builtinId="9" hidden="1"/>
    <cellStyle name="Followed Hyperlink" xfId="1079" builtinId="9" hidden="1"/>
    <cellStyle name="Followed Hyperlink" xfId="59" builtinId="9" hidden="1"/>
    <cellStyle name="Followed Hyperlink" xfId="1107" builtinId="9" hidden="1"/>
    <cellStyle name="Followed Hyperlink" xfId="534" builtinId="9" hidden="1"/>
    <cellStyle name="Followed Hyperlink" xfId="262" builtinId="9" hidden="1"/>
    <cellStyle name="Followed Hyperlink" xfId="512" builtinId="9" hidden="1"/>
    <cellStyle name="Followed Hyperlink" xfId="277" builtinId="9" hidden="1"/>
    <cellStyle name="Followed Hyperlink" xfId="980" builtinId="9" hidden="1"/>
    <cellStyle name="Followed Hyperlink" xfId="477" builtinId="9" hidden="1"/>
    <cellStyle name="Followed Hyperlink" xfId="1184" builtinId="9" hidden="1"/>
    <cellStyle name="Followed Hyperlink" xfId="83" builtinId="9" hidden="1"/>
    <cellStyle name="Followed Hyperlink" xfId="1008" builtinId="9" hidden="1"/>
    <cellStyle name="Followed Hyperlink" xfId="738" builtinId="9" hidden="1"/>
    <cellStyle name="Followed Hyperlink" xfId="1074" builtinId="9" hidden="1"/>
    <cellStyle name="Followed Hyperlink" xfId="295" builtinId="9" hidden="1"/>
    <cellStyle name="Heading 1 2" xfId="1214" xr:uid="{01BBA336-0C69-5146-879A-0F0D75FAF0AE}"/>
    <cellStyle name="Heading 2 2" xfId="1213" xr:uid="{AE942CCA-4197-BC4E-98CE-66805B34754A}"/>
    <cellStyle name="Heading 3 2" xfId="1207" xr:uid="{37023A2C-4174-A243-B365-517ED0450DBB}"/>
    <cellStyle name="Heading 4 2" xfId="1205" xr:uid="{C5C661F4-5C95-8547-9B2B-D807F9CC4DBE}"/>
    <cellStyle name="Hyperlink" xfId="2" builtinId="8"/>
    <cellStyle name="Hyperlink 2" xfId="1212" xr:uid="{70006446-447F-F142-81DC-7EB1B687AFA9}"/>
    <cellStyle name="Hyperlink 3" xfId="1216" xr:uid="{17871163-4DDC-854E-9A9C-38CB8CCA9107}"/>
    <cellStyle name="Input 2" xfId="1206" xr:uid="{FE70F195-8D4A-1E49-9E1B-8644282FD43E}"/>
    <cellStyle name="Loan Summary" xfId="1210" xr:uid="{AD0AAB13-2328-8B4D-A5F8-314F08E00BDB}"/>
    <cellStyle name="Normal" xfId="0" builtinId="0"/>
    <cellStyle name="Normal 2" xfId="1201" xr:uid="{18DBD5E9-749F-D744-B4B5-051F78AD291F}"/>
    <cellStyle name="Normal 3" xfId="1215" xr:uid="{62B3C9AA-5F40-D345-90B2-20A75FCA6D2F}"/>
    <cellStyle name="Number" xfId="1204" xr:uid="{9252982E-7585-CA47-AD18-215D07A3D51D}"/>
    <cellStyle name="Percent" xfId="3" builtinId="5"/>
    <cellStyle name="Percent 2" xfId="1211" xr:uid="{010B2B3A-6E45-5949-AB3D-CAE3E73CC1B6}"/>
    <cellStyle name="Table Amount" xfId="1202" xr:uid="{FDEBF75D-C64E-5246-88F5-A23D2AB84A3F}"/>
  </cellStyles>
  <dxfs count="1392"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</dxf>
    <dxf>
      <font>
        <strike val="0"/>
        <outline val="0"/>
        <shadow val="0"/>
        <vertAlign val="baseline"/>
        <name val="Montserrat Light"/>
        <scheme val="none"/>
      </font>
      <fill>
        <patternFill patternType="solid">
          <fgColor indexed="64"/>
          <bgColor rgb="FF00B0F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</border>
    </dxf>
    <dxf>
      <font>
        <name val="Microsoft JhengHei"/>
      </font>
      <fill>
        <patternFill patternType="solid">
          <fgColor indexed="64"/>
          <bgColor theme="0" tint="-0.14999847407452621"/>
        </patternFill>
      </fill>
      <alignment horizontal="right"/>
    </dxf>
    <dxf>
      <font>
        <color theme="0"/>
        <name val="Microsoft JhengHei"/>
      </font>
      <fill>
        <patternFill patternType="solid">
          <fgColor indexed="64"/>
          <bgColor theme="3"/>
        </patternFill>
      </fill>
      <alignment horizont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</border>
    </dxf>
    <dxf>
      <font>
        <name val="Microsoft JhengHei"/>
      </font>
      <fill>
        <patternFill patternType="solid">
          <fgColor indexed="64"/>
          <bgColor theme="0" tint="-0.14999847407452621"/>
        </patternFill>
      </fill>
      <alignment horizontal="right"/>
    </dxf>
    <dxf>
      <font>
        <color theme="0"/>
        <name val="Microsoft JhengHei"/>
      </font>
      <fill>
        <patternFill patternType="solid">
          <fgColor indexed="64"/>
          <bgColor theme="3"/>
        </patternFill>
      </fill>
      <alignment horizont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numFmt numFmtId="178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JhengHei"/>
        <scheme val="none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Microsoft JhengHei"/>
      </font>
      <fill>
        <patternFill patternType="solid">
          <fgColor indexed="64"/>
          <bgColor theme="0" tint="-0.14999847407452621"/>
        </patternFill>
      </fill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Microsoft JhengHei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24994659260841701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1" tint="0.24994659260841701"/>
      </font>
      <fill>
        <patternFill>
          <bgColor rgb="FFF2F2F2"/>
        </patternFill>
      </fill>
    </dxf>
    <dxf>
      <font>
        <color theme="1" tint="0.24994659260841701"/>
      </font>
    </dxf>
    <dxf>
      <font>
        <b/>
        <i val="0"/>
        <color theme="1" tint="0.24994659260841701"/>
      </font>
      <fill>
        <patternFill>
          <bgColor rgb="FFD9D9D9"/>
        </patternFill>
      </fill>
    </dxf>
    <dxf>
      <font>
        <color theme="1" tint="0.24994659260841701"/>
      </font>
      <border>
        <bottom style="medium">
          <color auto="1"/>
        </bottom>
      </border>
    </dxf>
  </dxfs>
  <tableStyles count="1" defaultTableStyle="TableStyleMedium2" defaultPivotStyle="PivotStyleLight16">
    <tableStyle name="Money" pivot="0" count="4" xr9:uid="{16100F1F-D89D-8B4F-934C-73EA7E0C54C8}">
      <tableStyleElement type="wholeTable" dxfId="1391"/>
      <tableStyleElement type="headerRow" dxfId="1390"/>
      <tableStyleElement type="firstRowStripe" dxfId="1389"/>
      <tableStyleElement type="secondRowStripe" dxfId="1388"/>
    </tableStyle>
  </tableStyles>
  <colors>
    <mruColors>
      <color rgb="FF83C937"/>
      <color rgb="FFFFFF66"/>
      <color rgb="FF99D3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'APM-Yearly'!$A$6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'APM-Yearly'!$C$6:$S$6</c:f>
              <c:numCache>
                <c:formatCode>_("$"* #,##0.00_);_("$"* \(#,##0.00\);_("$"* "-"??_);_(@_)</c:formatCode>
                <c:ptCount val="17"/>
                <c:pt idx="0">
                  <c:v>1075</c:v>
                </c:pt>
                <c:pt idx="1">
                  <c:v>1075.25</c:v>
                </c:pt>
                <c:pt idx="2">
                  <c:v>1672.9166666666667</c:v>
                </c:pt>
                <c:pt idx="3">
                  <c:v>2662.25</c:v>
                </c:pt>
                <c:pt idx="4">
                  <c:v>2629.9166666666665</c:v>
                </c:pt>
                <c:pt idx="5">
                  <c:v>2544.5</c:v>
                </c:pt>
                <c:pt idx="6">
                  <c:v>2585.130518283273</c:v>
                </c:pt>
                <c:pt idx="7">
                  <c:v>2624.8072243153879</c:v>
                </c:pt>
                <c:pt idx="8">
                  <c:v>2457.9498997924775</c:v>
                </c:pt>
                <c:pt idx="9">
                  <c:v>2574.616566459144</c:v>
                </c:pt>
                <c:pt idx="10">
                  <c:v>2476.0332331258105</c:v>
                </c:pt>
                <c:pt idx="11">
                  <c:v>3555.399966597492</c:v>
                </c:pt>
                <c:pt idx="12">
                  <c:v>1701.25</c:v>
                </c:pt>
                <c:pt idx="13">
                  <c:v>1706.5833333333333</c:v>
                </c:pt>
                <c:pt idx="14">
                  <c:v>2937.4166666666665</c:v>
                </c:pt>
                <c:pt idx="15">
                  <c:v>4304</c:v>
                </c:pt>
                <c:pt idx="16">
                  <c:v>4518.25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E-C645-B4A2-AE6249915A27}"/>
            </c:ext>
          </c:extLst>
        </c:ser>
        <c:ser>
          <c:idx val="1"/>
          <c:order val="1"/>
          <c:tx>
            <c:strRef>
              <c:f>'APM-Yearly'!$A$20</c:f>
              <c:strCache>
                <c:ptCount val="1"/>
                <c:pt idx="0">
                  <c:v>Car 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'APM-Yearly'!$C$20:$S$20</c:f>
              <c:numCache>
                <c:formatCode>_("$"* #,##0.00_);_("$"* \(#,##0.00\);_("$"* "-"??_);_(@_)</c:formatCode>
                <c:ptCount val="17"/>
                <c:pt idx="0">
                  <c:v>966.66666666666674</c:v>
                </c:pt>
                <c:pt idx="1">
                  <c:v>1728.9999999999998</c:v>
                </c:pt>
                <c:pt idx="2">
                  <c:v>1999.4999999999998</c:v>
                </c:pt>
                <c:pt idx="3">
                  <c:v>406.41666666666669</c:v>
                </c:pt>
                <c:pt idx="4">
                  <c:v>560.41666666666663</c:v>
                </c:pt>
                <c:pt idx="5">
                  <c:v>357.91666666666669</c:v>
                </c:pt>
                <c:pt idx="6">
                  <c:v>355.25000000000006</c:v>
                </c:pt>
                <c:pt idx="7">
                  <c:v>246.58333333333337</c:v>
                </c:pt>
                <c:pt idx="8">
                  <c:v>775.58333333333337</c:v>
                </c:pt>
                <c:pt idx="9">
                  <c:v>802.41666666666663</c:v>
                </c:pt>
                <c:pt idx="10">
                  <c:v>722.58333333333337</c:v>
                </c:pt>
                <c:pt idx="11">
                  <c:v>703.83333333333326</c:v>
                </c:pt>
                <c:pt idx="12">
                  <c:v>710</c:v>
                </c:pt>
                <c:pt idx="13">
                  <c:v>228.41666666666663</c:v>
                </c:pt>
                <c:pt idx="14">
                  <c:v>718</c:v>
                </c:pt>
                <c:pt idx="15">
                  <c:v>1120.9166666666667</c:v>
                </c:pt>
                <c:pt idx="16">
                  <c:v>1352.1111111111111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E-C645-B4A2-AE6249915A27}"/>
            </c:ext>
          </c:extLst>
        </c:ser>
        <c:ser>
          <c:idx val="2"/>
          <c:order val="2"/>
          <c:tx>
            <c:strRef>
              <c:f>'APM-Yearly'!$A$28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'APM-Yearly'!$C$28:$S$28</c:f>
              <c:numCache>
                <c:formatCode>_("$"* #,##0.00_);_("$"* \(#,##0.00\);_("$"* "-"??_);_(@_)</c:formatCode>
                <c:ptCount val="17"/>
                <c:pt idx="0">
                  <c:v>275.5</c:v>
                </c:pt>
                <c:pt idx="1">
                  <c:v>242.58333333333334</c:v>
                </c:pt>
                <c:pt idx="2">
                  <c:v>189.25</c:v>
                </c:pt>
                <c:pt idx="3">
                  <c:v>239.16666666666669</c:v>
                </c:pt>
                <c:pt idx="4">
                  <c:v>229.58333333333331</c:v>
                </c:pt>
                <c:pt idx="5">
                  <c:v>293.5</c:v>
                </c:pt>
                <c:pt idx="6">
                  <c:v>403.99999999999994</c:v>
                </c:pt>
                <c:pt idx="7">
                  <c:v>283.33333333333337</c:v>
                </c:pt>
                <c:pt idx="8">
                  <c:v>362.66666666666669</c:v>
                </c:pt>
                <c:pt idx="9">
                  <c:v>263.58333333333331</c:v>
                </c:pt>
                <c:pt idx="10">
                  <c:v>324.25</c:v>
                </c:pt>
                <c:pt idx="11">
                  <c:v>426</c:v>
                </c:pt>
                <c:pt idx="12">
                  <c:v>442.5</c:v>
                </c:pt>
                <c:pt idx="13">
                  <c:v>292.33333333333337</c:v>
                </c:pt>
                <c:pt idx="14">
                  <c:v>279.66666666666669</c:v>
                </c:pt>
                <c:pt idx="15">
                  <c:v>448.66666666666663</c:v>
                </c:pt>
                <c:pt idx="16">
                  <c:v>604.75000000000011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E-C645-B4A2-AE6249915A27}"/>
            </c:ext>
          </c:extLst>
        </c:ser>
        <c:ser>
          <c:idx val="3"/>
          <c:order val="3"/>
          <c:tx>
            <c:strRef>
              <c:f>'APM-Yearly'!$A$34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'APM-Yearly'!$C$34:$S$34</c:f>
              <c:numCache>
                <c:formatCode>_("$"* #,##0.00_);_("$"* \(#,##0.00\);_("$"* "-"??_);_(@_)</c:formatCode>
                <c:ptCount val="17"/>
                <c:pt idx="0">
                  <c:v>478</c:v>
                </c:pt>
                <c:pt idx="1">
                  <c:v>517.91666666666674</c:v>
                </c:pt>
                <c:pt idx="2">
                  <c:v>287.16666666666669</c:v>
                </c:pt>
                <c:pt idx="3">
                  <c:v>273.75</c:v>
                </c:pt>
                <c:pt idx="4">
                  <c:v>271.25</c:v>
                </c:pt>
                <c:pt idx="5">
                  <c:v>324.66666666666663</c:v>
                </c:pt>
                <c:pt idx="6">
                  <c:v>490.91666666666669</c:v>
                </c:pt>
                <c:pt idx="7">
                  <c:v>509.58333333333331</c:v>
                </c:pt>
                <c:pt idx="8">
                  <c:v>533.75</c:v>
                </c:pt>
                <c:pt idx="9">
                  <c:v>603.16666666666663</c:v>
                </c:pt>
                <c:pt idx="10">
                  <c:v>783.66666666666674</c:v>
                </c:pt>
                <c:pt idx="11">
                  <c:v>745.83333333333337</c:v>
                </c:pt>
                <c:pt idx="12">
                  <c:v>897.66666666666663</c:v>
                </c:pt>
                <c:pt idx="13">
                  <c:v>942.5</c:v>
                </c:pt>
                <c:pt idx="14">
                  <c:v>838.25</c:v>
                </c:pt>
                <c:pt idx="15">
                  <c:v>761.33333333333337</c:v>
                </c:pt>
                <c:pt idx="16">
                  <c:v>885.91666666666674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FE-C645-B4A2-AE6249915A27}"/>
            </c:ext>
          </c:extLst>
        </c:ser>
        <c:ser>
          <c:idx val="4"/>
          <c:order val="4"/>
          <c:tx>
            <c:strRef>
              <c:f>'APM-Yearly'!$A$38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'APM-Yearly'!$C$38:$S$38</c:f>
              <c:numCache>
                <c:formatCode>_("$"* #,##0.00_);_("$"* \(#,##0.00\);_("$"* "-"??_);_(@_)</c:formatCode>
                <c:ptCount val="17"/>
                <c:pt idx="0">
                  <c:v>550.33333333333337</c:v>
                </c:pt>
                <c:pt idx="1">
                  <c:v>421.08333333333337</c:v>
                </c:pt>
                <c:pt idx="2">
                  <c:v>364.24999999999994</c:v>
                </c:pt>
                <c:pt idx="3">
                  <c:v>457.58333333333331</c:v>
                </c:pt>
                <c:pt idx="4">
                  <c:v>428.91666666666663</c:v>
                </c:pt>
                <c:pt idx="5">
                  <c:v>421.58333333333331</c:v>
                </c:pt>
                <c:pt idx="6">
                  <c:v>456.91666666666663</c:v>
                </c:pt>
                <c:pt idx="7">
                  <c:v>474.16666666666663</c:v>
                </c:pt>
                <c:pt idx="8">
                  <c:v>409.58333333333326</c:v>
                </c:pt>
                <c:pt idx="9">
                  <c:v>389.00000000000006</c:v>
                </c:pt>
                <c:pt idx="10">
                  <c:v>418.33333333333331</c:v>
                </c:pt>
                <c:pt idx="11">
                  <c:v>370.66666666666669</c:v>
                </c:pt>
                <c:pt idx="12">
                  <c:v>462.75</c:v>
                </c:pt>
                <c:pt idx="13">
                  <c:v>302.66666666666669</c:v>
                </c:pt>
                <c:pt idx="14">
                  <c:v>299.66666666666669</c:v>
                </c:pt>
                <c:pt idx="15">
                  <c:v>357.16666666666669</c:v>
                </c:pt>
                <c:pt idx="16">
                  <c:v>329.66666666666663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FE-C645-B4A2-AE6249915A27}"/>
            </c:ext>
          </c:extLst>
        </c:ser>
        <c:ser>
          <c:idx val="5"/>
          <c:order val="5"/>
          <c:tx>
            <c:strRef>
              <c:f>'APM-Yearly'!$A$48</c:f>
              <c:strCache>
                <c:ptCount val="1"/>
                <c:pt idx="0">
                  <c:v>Misc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'APM-Yearly'!$C$48:$S$48</c:f>
              <c:numCache>
                <c:formatCode>"$"#,##0.00;[Red]"$"#,##0.00</c:formatCode>
                <c:ptCount val="17"/>
                <c:pt idx="0">
                  <c:v>1477.1666666666667</c:v>
                </c:pt>
                <c:pt idx="1">
                  <c:v>923.66666666666674</c:v>
                </c:pt>
                <c:pt idx="2">
                  <c:v>886.25</c:v>
                </c:pt>
                <c:pt idx="3">
                  <c:v>498.66666666666669</c:v>
                </c:pt>
                <c:pt idx="4">
                  <c:v>669.41666666666674</c:v>
                </c:pt>
                <c:pt idx="5">
                  <c:v>762.16666666666674</c:v>
                </c:pt>
                <c:pt idx="6">
                  <c:v>602.5</c:v>
                </c:pt>
                <c:pt idx="7">
                  <c:v>419.83333333333331</c:v>
                </c:pt>
                <c:pt idx="8">
                  <c:v>1165</c:v>
                </c:pt>
                <c:pt idx="9">
                  <c:v>920.41666666666663</c:v>
                </c:pt>
                <c:pt idx="10">
                  <c:v>922.41666666666674</c:v>
                </c:pt>
                <c:pt idx="11">
                  <c:v>1306.25</c:v>
                </c:pt>
                <c:pt idx="12">
                  <c:v>1392.25</c:v>
                </c:pt>
                <c:pt idx="13">
                  <c:v>1458.9166666666667</c:v>
                </c:pt>
                <c:pt idx="14">
                  <c:v>1572.75</c:v>
                </c:pt>
                <c:pt idx="15">
                  <c:v>898.08333333333326</c:v>
                </c:pt>
                <c:pt idx="16">
                  <c:v>1309.9166666666665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FE-C645-B4A2-AE6249915A27}"/>
            </c:ext>
          </c:extLst>
        </c:ser>
        <c:ser>
          <c:idx val="6"/>
          <c:order val="6"/>
          <c:tx>
            <c:strRef>
              <c:f>'APM-Yearly'!$A$57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4"/>
              <c:layout>
                <c:manualLayout>
                  <c:x val="9.9019820727343499E-3"/>
                  <c:y val="-3.11765421477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E-C645-B4A2-AE6249915A2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'APM-Yearly'!$C$57:$S$57</c:f>
              <c:numCache>
                <c:formatCode>"$"#,##0.00;[Red]"$"#,##0.00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632.75</c:v>
                </c:pt>
                <c:pt idx="6">
                  <c:v>347.83333333333331</c:v>
                </c:pt>
                <c:pt idx="7">
                  <c:v>1224.25</c:v>
                </c:pt>
                <c:pt idx="8">
                  <c:v>2705.416666666667</c:v>
                </c:pt>
                <c:pt idx="9">
                  <c:v>1574.8333333333333</c:v>
                </c:pt>
                <c:pt idx="10">
                  <c:v>2901.166666666667</c:v>
                </c:pt>
                <c:pt idx="11">
                  <c:v>2596.0833333333335</c:v>
                </c:pt>
                <c:pt idx="12">
                  <c:v>2391</c:v>
                </c:pt>
                <c:pt idx="13">
                  <c:v>2468</c:v>
                </c:pt>
                <c:pt idx="14">
                  <c:v>1724.8333333333333</c:v>
                </c:pt>
                <c:pt idx="15">
                  <c:v>1940.2916666666665</c:v>
                </c:pt>
                <c:pt idx="16">
                  <c:v>2149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FE-C645-B4A2-AE6249915A27}"/>
            </c:ext>
          </c:extLst>
        </c:ser>
        <c:ser>
          <c:idx val="7"/>
          <c:order val="7"/>
          <c:tx>
            <c:strRef>
              <c:f>'APM-Yearly'!$A$61</c:f>
              <c:strCache>
                <c:ptCount val="1"/>
                <c:pt idx="0">
                  <c:v>Health &amp; Life 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4.6764813221690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FE-C645-B4A2-AE6249915A27}"/>
                </c:ext>
              </c:extLst>
            </c:dLbl>
            <c:dLbl>
              <c:idx val="1"/>
              <c:layout>
                <c:manualLayout>
                  <c:x val="-1.65033034545574E-3"/>
                  <c:y val="3.2908572267115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FE-C645-B4A2-AE6249915A27}"/>
                </c:ext>
              </c:extLst>
            </c:dLbl>
            <c:dLbl>
              <c:idx val="2"/>
              <c:layout>
                <c:manualLayout>
                  <c:x val="8.2516517272783203E-4"/>
                  <c:y val="3.1176542147793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FE-C645-B4A2-AE6249915A27}"/>
                </c:ext>
              </c:extLst>
            </c:dLbl>
            <c:dLbl>
              <c:idx val="4"/>
              <c:layout>
                <c:manualLayout>
                  <c:x val="-3.0255706816847997E-17"/>
                  <c:y val="-5.8889024056943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FE-C645-B4A2-AE6249915A27}"/>
                </c:ext>
              </c:extLst>
            </c:dLbl>
            <c:dLbl>
              <c:idx val="5"/>
              <c:layout>
                <c:manualLayout>
                  <c:x val="0"/>
                  <c:y val="1.3856240954574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FE-C645-B4A2-AE6249915A27}"/>
                </c:ext>
              </c:extLst>
            </c:dLbl>
            <c:dLbl>
              <c:idx val="13"/>
              <c:layout>
                <c:manualLayout>
                  <c:x val="8.2516517272786195E-4"/>
                  <c:y val="4.5032783102368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FE-C645-B4A2-AE6249915A27}"/>
                </c:ext>
              </c:extLst>
            </c:dLbl>
            <c:dLbl>
              <c:idx val="14"/>
              <c:layout>
                <c:manualLayout>
                  <c:x val="0"/>
                  <c:y val="3.81046626250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FE-C645-B4A2-AE6249915A27}"/>
                </c:ext>
              </c:extLst>
            </c:dLbl>
            <c:dLbl>
              <c:idx val="15"/>
              <c:layout>
                <c:manualLayout>
                  <c:x val="2.4754955181835901E-3"/>
                  <c:y val="2.944451202847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FE-C645-B4A2-AE6249915A2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'APM-Yearly'!$C$64:$S$64</c:f>
              <c:numCache>
                <c:formatCode>_("$"* #,##0.00_);_("$"* \(#,##0.00\);_("$"* "-"??_);_(@_)</c:formatCode>
                <c:ptCount val="17"/>
                <c:pt idx="0">
                  <c:v>37.833333333333336</c:v>
                </c:pt>
                <c:pt idx="1">
                  <c:v>70.166666666666671</c:v>
                </c:pt>
                <c:pt idx="2">
                  <c:v>25</c:v>
                </c:pt>
                <c:pt idx="3">
                  <c:v>17.416666666666668</c:v>
                </c:pt>
                <c:pt idx="4">
                  <c:v>37.916666666666664</c:v>
                </c:pt>
                <c:pt idx="5">
                  <c:v>23.083333333333332</c:v>
                </c:pt>
                <c:pt idx="6">
                  <c:v>113.16666666666667</c:v>
                </c:pt>
                <c:pt idx="7">
                  <c:v>110.91666666666667</c:v>
                </c:pt>
                <c:pt idx="8">
                  <c:v>130.25</c:v>
                </c:pt>
                <c:pt idx="9">
                  <c:v>52.5</c:v>
                </c:pt>
                <c:pt idx="10">
                  <c:v>46</c:v>
                </c:pt>
                <c:pt idx="11">
                  <c:v>52.5</c:v>
                </c:pt>
                <c:pt idx="12">
                  <c:v>105.33333333333333</c:v>
                </c:pt>
                <c:pt idx="13">
                  <c:v>78.083333333333329</c:v>
                </c:pt>
                <c:pt idx="14">
                  <c:v>44.166666666666664</c:v>
                </c:pt>
                <c:pt idx="15">
                  <c:v>17.583333333333332</c:v>
                </c:pt>
                <c:pt idx="16">
                  <c:v>32.833333333333336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8FE-C645-B4A2-AE6249915A27}"/>
            </c:ext>
          </c:extLst>
        </c:ser>
        <c:ser>
          <c:idx val="8"/>
          <c:order val="8"/>
          <c:tx>
            <c:strRef>
              <c:f>'APM-Yearly'!$A$67</c:f>
              <c:strCache>
                <c:ptCount val="1"/>
                <c:pt idx="0">
                  <c:v>Gen Ex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4"/>
              <c:layout>
                <c:manualLayout>
                  <c:x val="-3.0255706816847997E-17"/>
                  <c:y val="2.59804517898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FE-C645-B4A2-AE6249915A2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'APM-Yearly'!$C$67:$S$67</c:f>
              <c:numCache>
                <c:formatCode>"$"#,##0.00;[Red]"$"#,##0.00</c:formatCode>
                <c:ptCount val="17"/>
                <c:pt idx="0">
                  <c:v>614</c:v>
                </c:pt>
                <c:pt idx="1">
                  <c:v>403.41666666666669</c:v>
                </c:pt>
                <c:pt idx="2">
                  <c:v>884</c:v>
                </c:pt>
                <c:pt idx="3">
                  <c:v>406.25</c:v>
                </c:pt>
                <c:pt idx="4">
                  <c:v>21.333333333333332</c:v>
                </c:pt>
                <c:pt idx="5">
                  <c:v>236</c:v>
                </c:pt>
                <c:pt idx="6">
                  <c:v>431</c:v>
                </c:pt>
                <c:pt idx="7">
                  <c:v>403.41666666666669</c:v>
                </c:pt>
                <c:pt idx="8">
                  <c:v>403.41666666666669</c:v>
                </c:pt>
                <c:pt idx="9">
                  <c:v>40</c:v>
                </c:pt>
                <c:pt idx="10">
                  <c:v>24.083333333333336</c:v>
                </c:pt>
                <c:pt idx="11">
                  <c:v>5.75</c:v>
                </c:pt>
                <c:pt idx="12">
                  <c:v>618.25</c:v>
                </c:pt>
                <c:pt idx="13">
                  <c:v>132.33333333333334</c:v>
                </c:pt>
                <c:pt idx="14">
                  <c:v>144.08333333333331</c:v>
                </c:pt>
                <c:pt idx="15">
                  <c:v>85</c:v>
                </c:pt>
                <c:pt idx="16">
                  <c:v>105.08333333333333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8FE-C645-B4A2-AE6249915A27}"/>
            </c:ext>
          </c:extLst>
        </c:ser>
        <c:ser>
          <c:idx val="9"/>
          <c:order val="9"/>
          <c:tx>
            <c:strRef>
              <c:f>'APM-Yearly'!$A$72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'APM-Yearly'!$C$4:$S$4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'APM-Yearly'!$C$72:$S$72</c:f>
              <c:numCache>
                <c:formatCode>"$"#,##0.00;[Red]"$"#,##0.00</c:formatCode>
                <c:ptCount val="17"/>
                <c:pt idx="0">
                  <c:v>916.66666666666674</c:v>
                </c:pt>
                <c:pt idx="1">
                  <c:v>671.5</c:v>
                </c:pt>
                <c:pt idx="2">
                  <c:v>230</c:v>
                </c:pt>
                <c:pt idx="3">
                  <c:v>1752.1666666666667</c:v>
                </c:pt>
                <c:pt idx="4">
                  <c:v>1788.3333333333333</c:v>
                </c:pt>
                <c:pt idx="5">
                  <c:v>1712.75</c:v>
                </c:pt>
                <c:pt idx="6">
                  <c:v>891.66666666666663</c:v>
                </c:pt>
                <c:pt idx="7">
                  <c:v>413.41666666666669</c:v>
                </c:pt>
                <c:pt idx="8">
                  <c:v>671.5</c:v>
                </c:pt>
                <c:pt idx="9">
                  <c:v>739.58333333333337</c:v>
                </c:pt>
                <c:pt idx="10">
                  <c:v>820.41666666666663</c:v>
                </c:pt>
                <c:pt idx="11">
                  <c:v>958.33333333333337</c:v>
                </c:pt>
                <c:pt idx="12">
                  <c:v>639.16666666666663</c:v>
                </c:pt>
                <c:pt idx="13">
                  <c:v>750</c:v>
                </c:pt>
                <c:pt idx="14">
                  <c:v>583.33333333333337</c:v>
                </c:pt>
                <c:pt idx="15">
                  <c:v>708.33333333333337</c:v>
                </c:pt>
                <c:pt idx="16">
                  <c:v>888.91666666666663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8FE-C645-B4A2-AE624991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-2119225968"/>
        <c:axId val="-2119223008"/>
      </c:barChart>
      <c:catAx>
        <c:axId val="-211922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-2119223008"/>
        <c:crosses val="autoZero"/>
        <c:auto val="1"/>
        <c:lblAlgn val="ctr"/>
        <c:lblOffset val="100"/>
        <c:noMultiLvlLbl val="0"/>
      </c:catAx>
      <c:valAx>
        <c:axId val="-211922300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-2119225968"/>
        <c:crosses val="autoZero"/>
        <c:crossBetween val="between"/>
      </c:valAx>
      <c:spPr>
        <a:noFill/>
      </c:spPr>
    </c:plotArea>
    <c:legend>
      <c:legendPos val="r"/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zero"/>
    <c:showDLblsOverMax val="0"/>
  </c:chart>
  <c:spPr>
    <a:noFill/>
    <a:ln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1799" l="0.70000000000000395" r="0.70000000000000395" t="0.75000000000001799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'Yearly-PI'!$A$6</c:f>
              <c:strCache>
                <c:ptCount val="1"/>
                <c:pt idx="0">
                  <c:v>Home</c:v>
                </c:pt>
              </c:strCache>
            </c:strRef>
          </c:tx>
          <c:val>
            <c:numRef>
              <c:f>'Yearly-PI'!$C$6:$L$6</c:f>
              <c:numCache>
                <c:formatCode>0%</c:formatCode>
                <c:ptCount val="10"/>
                <c:pt idx="0">
                  <c:v>0.11076970000473992</c:v>
                </c:pt>
                <c:pt idx="1">
                  <c:v>9.3087178599255471E-2</c:v>
                </c:pt>
                <c:pt idx="2">
                  <c:v>0.13737297704177645</c:v>
                </c:pt>
                <c:pt idx="3">
                  <c:v>0.19961884528867785</c:v>
                </c:pt>
                <c:pt idx="4">
                  <c:v>0.171886233415394</c:v>
                </c:pt>
                <c:pt idx="5">
                  <c:v>0.15556110310113458</c:v>
                </c:pt>
                <c:pt idx="6">
                  <c:v>0.1513217606456424</c:v>
                </c:pt>
                <c:pt idx="7">
                  <c:v>0.14745486703174798</c:v>
                </c:pt>
                <c:pt idx="8">
                  <c:v>0.12591591994353019</c:v>
                </c:pt>
                <c:pt idx="9">
                  <c:v>0.12778574624138034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E-EA44-8E67-39938B52F685}"/>
            </c:ext>
          </c:extLst>
        </c:ser>
        <c:ser>
          <c:idx val="1"/>
          <c:order val="1"/>
          <c:tx>
            <c:strRef>
              <c:f>'Yearly-PI'!$A$20</c:f>
              <c:strCache>
                <c:ptCount val="1"/>
                <c:pt idx="0">
                  <c:v>Car </c:v>
                </c:pt>
              </c:strCache>
            </c:strRef>
          </c:tx>
          <c:val>
            <c:numRef>
              <c:f>'Yearly-PI'!$C$20:$L$20</c:f>
              <c:numCache>
                <c:formatCode>0%</c:formatCode>
                <c:ptCount val="10"/>
                <c:pt idx="0">
                  <c:v>9.9606862019766124E-2</c:v>
                </c:pt>
                <c:pt idx="1">
                  <c:v>0.14968401004242057</c:v>
                </c:pt>
                <c:pt idx="2">
                  <c:v>0.16419064563588465</c:v>
                </c:pt>
                <c:pt idx="3">
                  <c:v>3.0473631592101973E-2</c:v>
                </c:pt>
                <c:pt idx="4">
                  <c:v>3.662774231498224E-2</c:v>
                </c:pt>
                <c:pt idx="5">
                  <c:v>2.1881670852799275E-2</c:v>
                </c:pt>
                <c:pt idx="6">
                  <c:v>2.0794716200659497E-2</c:v>
                </c:pt>
                <c:pt idx="7">
                  <c:v>1.3852412585612031E-2</c:v>
                </c:pt>
                <c:pt idx="8">
                  <c:v>3.9731602714026627E-2</c:v>
                </c:pt>
                <c:pt idx="9">
                  <c:v>3.98262847688967E-2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E-EA44-8E67-39938B52F685}"/>
            </c:ext>
          </c:extLst>
        </c:ser>
        <c:ser>
          <c:idx val="2"/>
          <c:order val="2"/>
          <c:tx>
            <c:strRef>
              <c:f>'Yearly-PI'!$A$28</c:f>
              <c:strCache>
                <c:ptCount val="1"/>
                <c:pt idx="0">
                  <c:v>Transportation</c:v>
                </c:pt>
              </c:strCache>
            </c:strRef>
          </c:tx>
          <c:val>
            <c:numRef>
              <c:f>'Yearly-PI'!$C$28:$L$28</c:f>
              <c:numCache>
                <c:formatCode>0%</c:formatCode>
                <c:ptCount val="10"/>
                <c:pt idx="0">
                  <c:v>2.8387955675633347E-2</c:v>
                </c:pt>
                <c:pt idx="1">
                  <c:v>2.1001067728623781E-2</c:v>
                </c:pt>
                <c:pt idx="2">
                  <c:v>1.5540424949532967E-2</c:v>
                </c:pt>
                <c:pt idx="3">
                  <c:v>1.7933016745813546E-2</c:v>
                </c:pt>
                <c:pt idx="4">
                  <c:v>1.5005119714167446E-2</c:v>
                </c:pt>
                <c:pt idx="5">
                  <c:v>1.794347956776695E-2</c:v>
                </c:pt>
                <c:pt idx="6">
                  <c:v>2.3648319057189129E-2</c:v>
                </c:pt>
                <c:pt idx="7">
                  <c:v>1.5916932338993207E-2</c:v>
                </c:pt>
                <c:pt idx="8">
                  <c:v>1.8578697218377984E-2</c:v>
                </c:pt>
                <c:pt idx="9">
                  <c:v>1.3082411332850792E-2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E-EA44-8E67-39938B52F685}"/>
            </c:ext>
          </c:extLst>
        </c:ser>
        <c:ser>
          <c:idx val="3"/>
          <c:order val="3"/>
          <c:tx>
            <c:strRef>
              <c:f>'Yearly-PI'!$A$34</c:f>
              <c:strCache>
                <c:ptCount val="1"/>
                <c:pt idx="0">
                  <c:v>Food</c:v>
                </c:pt>
              </c:strCache>
            </c:strRef>
          </c:tx>
          <c:val>
            <c:numRef>
              <c:f>'Yearly-PI'!$C$34:$L$34</c:f>
              <c:numCache>
                <c:formatCode>0%</c:formatCode>
                <c:ptCount val="10"/>
                <c:pt idx="0">
                  <c:v>4.9253875909084352E-2</c:v>
                </c:pt>
                <c:pt idx="1">
                  <c:v>4.4837387816350674E-2</c:v>
                </c:pt>
                <c:pt idx="2">
                  <c:v>2.3580935436411536E-2</c:v>
                </c:pt>
                <c:pt idx="3">
                  <c:v>2.0526118470382403E-2</c:v>
                </c:pt>
                <c:pt idx="4">
                  <c:v>1.772837193089475E-2</c:v>
                </c:pt>
                <c:pt idx="5">
                  <c:v>1.9848891651340156E-2</c:v>
                </c:pt>
                <c:pt idx="6">
                  <c:v>2.8736024662933405E-2</c:v>
                </c:pt>
                <c:pt idx="7">
                  <c:v>2.8627070956748078E-2</c:v>
                </c:pt>
                <c:pt idx="8">
                  <c:v>2.7342958567029181E-2</c:v>
                </c:pt>
                <c:pt idx="9">
                  <c:v>2.9936924826801777E-2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E-EA44-8E67-39938B52F685}"/>
            </c:ext>
          </c:extLst>
        </c:ser>
        <c:ser>
          <c:idx val="4"/>
          <c:order val="4"/>
          <c:tx>
            <c:strRef>
              <c:f>'Yearly-PI'!$A$38</c:f>
              <c:strCache>
                <c:ptCount val="1"/>
                <c:pt idx="0">
                  <c:v>Utilities</c:v>
                </c:pt>
              </c:strCache>
            </c:strRef>
          </c:tx>
          <c:val>
            <c:numRef>
              <c:f>'Yearly-PI'!$C$38:$L$38</c:f>
              <c:numCache>
                <c:formatCode>0%</c:formatCode>
                <c:ptCount val="10"/>
                <c:pt idx="0">
                  <c:v>5.6707216963666852E-2</c:v>
                </c:pt>
                <c:pt idx="1">
                  <c:v>3.6454275243124695E-2</c:v>
                </c:pt>
                <c:pt idx="2">
                  <c:v>2.9910699011188289E-2</c:v>
                </c:pt>
                <c:pt idx="3">
                  <c:v>3.4310172456885779E-2</c:v>
                </c:pt>
                <c:pt idx="4">
                  <c:v>2.8033158318990874E-2</c:v>
                </c:pt>
                <c:pt idx="5">
                  <c:v>2.5774009975392677E-2</c:v>
                </c:pt>
                <c:pt idx="6">
                  <c:v>2.6745819593764025E-2</c:v>
                </c:pt>
                <c:pt idx="7">
                  <c:v>2.6637454414373922E-2</c:v>
                </c:pt>
                <c:pt idx="8">
                  <c:v>2.0982145410920909E-2</c:v>
                </c:pt>
                <c:pt idx="9">
                  <c:v>1.930720711405232E-2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DE-EA44-8E67-39938B52F685}"/>
            </c:ext>
          </c:extLst>
        </c:ser>
        <c:ser>
          <c:idx val="5"/>
          <c:order val="5"/>
          <c:tx>
            <c:strRef>
              <c:f>'Yearly-PI'!$A$48</c:f>
              <c:strCache>
                <c:ptCount val="1"/>
                <c:pt idx="0">
                  <c:v>Misc </c:v>
                </c:pt>
              </c:strCache>
            </c:strRef>
          </c:tx>
          <c:val>
            <c:numRef>
              <c:f>'Yearly-PI'!$C$48:$L$48</c:f>
              <c:numCache>
                <c:formatCode>0%</c:formatCode>
                <c:ptCount val="10"/>
                <c:pt idx="0">
                  <c:v>0.15220958932434261</c:v>
                </c:pt>
                <c:pt idx="1">
                  <c:v>7.9964216662338022E-2</c:v>
                </c:pt>
                <c:pt idx="2">
                  <c:v>7.2775173640811597E-2</c:v>
                </c:pt>
                <c:pt idx="3">
                  <c:v>3.739065233691577E-2</c:v>
                </c:pt>
                <c:pt idx="4">
                  <c:v>4.3751770113940873E-2</c:v>
                </c:pt>
                <c:pt idx="5">
                  <c:v>4.6595986407381176E-2</c:v>
                </c:pt>
                <c:pt idx="6">
                  <c:v>3.5267604534545666E-2</c:v>
                </c:pt>
                <c:pt idx="7">
                  <c:v>2.3585148565837582E-2</c:v>
                </c:pt>
                <c:pt idx="8">
                  <c:v>5.9680649612344719E-2</c:v>
                </c:pt>
                <c:pt idx="9">
                  <c:v>4.568296970323648E-2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E-EA44-8E67-39938B52F685}"/>
            </c:ext>
          </c:extLst>
        </c:ser>
        <c:ser>
          <c:idx val="6"/>
          <c:order val="6"/>
          <c:tx>
            <c:strRef>
              <c:f>'Yearly-PI'!$A$58</c:f>
              <c:strCache>
                <c:ptCount val="1"/>
              </c:strCache>
            </c:strRef>
          </c:tx>
          <c:val>
            <c:numRef>
              <c:f>'Yearly-PI'!$C$57:$L$57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3.8683941044308473E-2</c:v>
                </c:pt>
                <c:pt idx="6">
                  <c:v>2.0360578330178923E-2</c:v>
                </c:pt>
                <c:pt idx="7">
                  <c:v>6.8775192056514473E-2</c:v>
                </c:pt>
                <c:pt idx="8">
                  <c:v>0.13859315376715103</c:v>
                </c:pt>
                <c:pt idx="9">
                  <c:v>7.8163581842622273E-2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DE-EA44-8E67-39938B52F685}"/>
            </c:ext>
          </c:extLst>
        </c:ser>
        <c:ser>
          <c:idx val="7"/>
          <c:order val="7"/>
          <c:tx>
            <c:strRef>
              <c:f>'Yearly-PI'!$A$65</c:f>
              <c:strCache>
                <c:ptCount val="1"/>
              </c:strCache>
            </c:strRef>
          </c:tx>
          <c:val>
            <c:numRef>
              <c:f>'Yearly-PI'!$C$64:$L$64</c:f>
              <c:numCache>
                <c:formatCode>0%</c:formatCode>
                <c:ptCount val="10"/>
                <c:pt idx="0">
                  <c:v>3.8984064962908466E-3</c:v>
                </c:pt>
                <c:pt idx="1">
                  <c:v>6.0745101434219262E-3</c:v>
                </c:pt>
                <c:pt idx="2">
                  <c:v>2.0528962945221886E-3</c:v>
                </c:pt>
                <c:pt idx="3">
                  <c:v>1.30592351912022E-3</c:v>
                </c:pt>
                <c:pt idx="4">
                  <c:v>2.4781595172218471E-3</c:v>
                </c:pt>
                <c:pt idx="5">
                  <c:v>1.4112276661758787E-3</c:v>
                </c:pt>
                <c:pt idx="6">
                  <c:v>6.6242609900294628E-3</c:v>
                </c:pt>
                <c:pt idx="7">
                  <c:v>6.2310108656470466E-3</c:v>
                </c:pt>
                <c:pt idx="8">
                  <c:v>6.6724503107363949E-3</c:v>
                </c:pt>
                <c:pt idx="9">
                  <c:v>2.6057284665494777E-3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E-EA44-8E67-39938B52F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1502272"/>
        <c:axId val="-2121307328"/>
      </c:areaChart>
      <c:catAx>
        <c:axId val="-212150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1307328"/>
        <c:crosses val="autoZero"/>
        <c:auto val="1"/>
        <c:lblAlgn val="ctr"/>
        <c:lblOffset val="100"/>
        <c:noMultiLvlLbl val="0"/>
      </c:catAx>
      <c:valAx>
        <c:axId val="-21213073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2121502272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1799" l="0.70000000000000395" r="0.70000000000000395" t="0.75000000000001799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01 Audi A4</c:v>
          </c:tx>
          <c:marker>
            <c:symbol val="none"/>
          </c:marker>
          <c:cat>
            <c:numRef>
              <c:f>Cars!$H$5:$H$146</c:f>
              <c:numCache>
                <c:formatCode>0</c:formatCode>
                <c:ptCount val="142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 formatCode="General">
                  <c:v>4</c:v>
                </c:pt>
                <c:pt idx="4" formatCode="General">
                  <c:v>5</c:v>
                </c:pt>
                <c:pt idx="5" formatCode="General">
                  <c:v>6</c:v>
                </c:pt>
                <c:pt idx="6" formatCode="General">
                  <c:v>7</c:v>
                </c:pt>
                <c:pt idx="7" formatCode="General">
                  <c:v>8</c:v>
                </c:pt>
                <c:pt idx="8" formatCode="General">
                  <c:v>9</c:v>
                </c:pt>
                <c:pt idx="9" formatCode="General">
                  <c:v>10</c:v>
                </c:pt>
                <c:pt idx="10" formatCode="General">
                  <c:v>11</c:v>
                </c:pt>
                <c:pt idx="11" formatCode="General">
                  <c:v>12</c:v>
                </c:pt>
                <c:pt idx="12" formatCode="General">
                  <c:v>13</c:v>
                </c:pt>
                <c:pt idx="13" formatCode="General">
                  <c:v>14</c:v>
                </c:pt>
                <c:pt idx="14" formatCode="General">
                  <c:v>15</c:v>
                </c:pt>
                <c:pt idx="15" formatCode="General">
                  <c:v>16</c:v>
                </c:pt>
                <c:pt idx="16" formatCode="General">
                  <c:v>17</c:v>
                </c:pt>
                <c:pt idx="17" formatCode="General">
                  <c:v>18</c:v>
                </c:pt>
                <c:pt idx="18" formatCode="General">
                  <c:v>19</c:v>
                </c:pt>
                <c:pt idx="19" formatCode="General">
                  <c:v>20</c:v>
                </c:pt>
                <c:pt idx="20" formatCode="General">
                  <c:v>21</c:v>
                </c:pt>
                <c:pt idx="21" formatCode="General">
                  <c:v>22</c:v>
                </c:pt>
                <c:pt idx="22" formatCode="General">
                  <c:v>23</c:v>
                </c:pt>
                <c:pt idx="23" formatCode="General">
                  <c:v>24</c:v>
                </c:pt>
                <c:pt idx="24" formatCode="General">
                  <c:v>25</c:v>
                </c:pt>
                <c:pt idx="25" formatCode="General">
                  <c:v>26</c:v>
                </c:pt>
                <c:pt idx="26" formatCode="General">
                  <c:v>27</c:v>
                </c:pt>
                <c:pt idx="27" formatCode="General">
                  <c:v>28</c:v>
                </c:pt>
                <c:pt idx="28" formatCode="General">
                  <c:v>29</c:v>
                </c:pt>
                <c:pt idx="29" formatCode="General">
                  <c:v>30</c:v>
                </c:pt>
                <c:pt idx="30" formatCode="General">
                  <c:v>31</c:v>
                </c:pt>
                <c:pt idx="31" formatCode="General">
                  <c:v>32</c:v>
                </c:pt>
                <c:pt idx="32" formatCode="General">
                  <c:v>33</c:v>
                </c:pt>
                <c:pt idx="33" formatCode="General">
                  <c:v>34</c:v>
                </c:pt>
                <c:pt idx="34" formatCode="General">
                  <c:v>35</c:v>
                </c:pt>
                <c:pt idx="35" formatCode="General">
                  <c:v>36</c:v>
                </c:pt>
                <c:pt idx="36" formatCode="General">
                  <c:v>37</c:v>
                </c:pt>
                <c:pt idx="37" formatCode="General">
                  <c:v>38</c:v>
                </c:pt>
                <c:pt idx="38" formatCode="General">
                  <c:v>39</c:v>
                </c:pt>
                <c:pt idx="39" formatCode="General">
                  <c:v>40</c:v>
                </c:pt>
                <c:pt idx="40" formatCode="General">
                  <c:v>41</c:v>
                </c:pt>
                <c:pt idx="41" formatCode="General">
                  <c:v>42</c:v>
                </c:pt>
                <c:pt idx="42" formatCode="General">
                  <c:v>43</c:v>
                </c:pt>
                <c:pt idx="43" formatCode="General">
                  <c:v>44</c:v>
                </c:pt>
                <c:pt idx="44" formatCode="General">
                  <c:v>45</c:v>
                </c:pt>
                <c:pt idx="45" formatCode="General">
                  <c:v>46</c:v>
                </c:pt>
                <c:pt idx="46" formatCode="General">
                  <c:v>47</c:v>
                </c:pt>
                <c:pt idx="47" formatCode="General">
                  <c:v>48</c:v>
                </c:pt>
                <c:pt idx="48" formatCode="General">
                  <c:v>49</c:v>
                </c:pt>
                <c:pt idx="49" formatCode="General">
                  <c:v>50</c:v>
                </c:pt>
                <c:pt idx="50" formatCode="General">
                  <c:v>51</c:v>
                </c:pt>
                <c:pt idx="51" formatCode="General">
                  <c:v>52</c:v>
                </c:pt>
                <c:pt idx="52" formatCode="General">
                  <c:v>53</c:v>
                </c:pt>
                <c:pt idx="53" formatCode="General">
                  <c:v>54</c:v>
                </c:pt>
                <c:pt idx="54" formatCode="General">
                  <c:v>55</c:v>
                </c:pt>
                <c:pt idx="55" formatCode="General">
                  <c:v>56</c:v>
                </c:pt>
                <c:pt idx="56" formatCode="General">
                  <c:v>57</c:v>
                </c:pt>
                <c:pt idx="57" formatCode="General">
                  <c:v>58</c:v>
                </c:pt>
                <c:pt idx="58" formatCode="General">
                  <c:v>59</c:v>
                </c:pt>
                <c:pt idx="59" formatCode="General">
                  <c:v>60</c:v>
                </c:pt>
                <c:pt idx="60" formatCode="General">
                  <c:v>61</c:v>
                </c:pt>
                <c:pt idx="61" formatCode="General">
                  <c:v>62</c:v>
                </c:pt>
                <c:pt idx="62" formatCode="General">
                  <c:v>63</c:v>
                </c:pt>
                <c:pt idx="63" formatCode="General">
                  <c:v>64</c:v>
                </c:pt>
                <c:pt idx="64" formatCode="General">
                  <c:v>65</c:v>
                </c:pt>
                <c:pt idx="65" formatCode="General">
                  <c:v>66</c:v>
                </c:pt>
                <c:pt idx="66" formatCode="General">
                  <c:v>67</c:v>
                </c:pt>
                <c:pt idx="67" formatCode="General">
                  <c:v>68</c:v>
                </c:pt>
                <c:pt idx="68" formatCode="General">
                  <c:v>69</c:v>
                </c:pt>
                <c:pt idx="69" formatCode="General">
                  <c:v>70</c:v>
                </c:pt>
                <c:pt idx="70" formatCode="General">
                  <c:v>71</c:v>
                </c:pt>
                <c:pt idx="71" formatCode="General">
                  <c:v>72</c:v>
                </c:pt>
                <c:pt idx="72" formatCode="General">
                  <c:v>73</c:v>
                </c:pt>
                <c:pt idx="73" formatCode="General">
                  <c:v>74</c:v>
                </c:pt>
                <c:pt idx="74" formatCode="General">
                  <c:v>75</c:v>
                </c:pt>
                <c:pt idx="75" formatCode="General">
                  <c:v>76</c:v>
                </c:pt>
                <c:pt idx="76" formatCode="General">
                  <c:v>77</c:v>
                </c:pt>
                <c:pt idx="77" formatCode="General">
                  <c:v>78</c:v>
                </c:pt>
                <c:pt idx="78" formatCode="General">
                  <c:v>79</c:v>
                </c:pt>
                <c:pt idx="79" formatCode="General">
                  <c:v>80</c:v>
                </c:pt>
                <c:pt idx="80" formatCode="General">
                  <c:v>81</c:v>
                </c:pt>
                <c:pt idx="81" formatCode="General">
                  <c:v>82</c:v>
                </c:pt>
                <c:pt idx="82" formatCode="General">
                  <c:v>83</c:v>
                </c:pt>
                <c:pt idx="83" formatCode="General">
                  <c:v>84</c:v>
                </c:pt>
                <c:pt idx="84" formatCode="General">
                  <c:v>85</c:v>
                </c:pt>
                <c:pt idx="85" formatCode="General">
                  <c:v>86</c:v>
                </c:pt>
                <c:pt idx="86" formatCode="General">
                  <c:v>87</c:v>
                </c:pt>
                <c:pt idx="87" formatCode="General">
                  <c:v>88</c:v>
                </c:pt>
                <c:pt idx="88" formatCode="General">
                  <c:v>89</c:v>
                </c:pt>
                <c:pt idx="89" formatCode="General">
                  <c:v>90</c:v>
                </c:pt>
                <c:pt idx="90" formatCode="General">
                  <c:v>91</c:v>
                </c:pt>
                <c:pt idx="91" formatCode="General">
                  <c:v>92</c:v>
                </c:pt>
                <c:pt idx="92" formatCode="General">
                  <c:v>93</c:v>
                </c:pt>
                <c:pt idx="93" formatCode="General">
                  <c:v>94</c:v>
                </c:pt>
                <c:pt idx="94" formatCode="General">
                  <c:v>95</c:v>
                </c:pt>
                <c:pt idx="95" formatCode="General">
                  <c:v>96</c:v>
                </c:pt>
                <c:pt idx="96" formatCode="General">
                  <c:v>97</c:v>
                </c:pt>
                <c:pt idx="97" formatCode="General">
                  <c:v>98</c:v>
                </c:pt>
                <c:pt idx="98" formatCode="General">
                  <c:v>99</c:v>
                </c:pt>
                <c:pt idx="99" formatCode="General">
                  <c:v>100</c:v>
                </c:pt>
                <c:pt idx="100" formatCode="General">
                  <c:v>101</c:v>
                </c:pt>
                <c:pt idx="101" formatCode="General">
                  <c:v>102</c:v>
                </c:pt>
                <c:pt idx="102" formatCode="General">
                  <c:v>103</c:v>
                </c:pt>
                <c:pt idx="103" formatCode="General">
                  <c:v>104</c:v>
                </c:pt>
                <c:pt idx="104" formatCode="General">
                  <c:v>105</c:v>
                </c:pt>
                <c:pt idx="105" formatCode="General">
                  <c:v>106</c:v>
                </c:pt>
                <c:pt idx="106" formatCode="General">
                  <c:v>107</c:v>
                </c:pt>
                <c:pt idx="107" formatCode="General">
                  <c:v>108</c:v>
                </c:pt>
                <c:pt idx="108" formatCode="General">
                  <c:v>109</c:v>
                </c:pt>
                <c:pt idx="109" formatCode="General">
                  <c:v>110</c:v>
                </c:pt>
                <c:pt idx="110" formatCode="General">
                  <c:v>111</c:v>
                </c:pt>
                <c:pt idx="111" formatCode="General">
                  <c:v>112</c:v>
                </c:pt>
                <c:pt idx="112" formatCode="General">
                  <c:v>113</c:v>
                </c:pt>
                <c:pt idx="113" formatCode="General">
                  <c:v>114</c:v>
                </c:pt>
                <c:pt idx="114" formatCode="General">
                  <c:v>115</c:v>
                </c:pt>
                <c:pt idx="115" formatCode="General">
                  <c:v>116</c:v>
                </c:pt>
                <c:pt idx="116" formatCode="General">
                  <c:v>117</c:v>
                </c:pt>
                <c:pt idx="117" formatCode="General">
                  <c:v>118</c:v>
                </c:pt>
                <c:pt idx="118" formatCode="General">
                  <c:v>119</c:v>
                </c:pt>
                <c:pt idx="119" formatCode="General">
                  <c:v>120</c:v>
                </c:pt>
                <c:pt idx="120" formatCode="General">
                  <c:v>121</c:v>
                </c:pt>
                <c:pt idx="121" formatCode="General">
                  <c:v>122</c:v>
                </c:pt>
                <c:pt idx="122" formatCode="General">
                  <c:v>123</c:v>
                </c:pt>
                <c:pt idx="123" formatCode="General">
                  <c:v>124</c:v>
                </c:pt>
                <c:pt idx="124" formatCode="General">
                  <c:v>125</c:v>
                </c:pt>
                <c:pt idx="125" formatCode="General">
                  <c:v>126</c:v>
                </c:pt>
                <c:pt idx="126" formatCode="General">
                  <c:v>127</c:v>
                </c:pt>
                <c:pt idx="127" formatCode="General">
                  <c:v>128</c:v>
                </c:pt>
                <c:pt idx="128" formatCode="General">
                  <c:v>129</c:v>
                </c:pt>
                <c:pt idx="129" formatCode="General">
                  <c:v>130</c:v>
                </c:pt>
                <c:pt idx="130" formatCode="General">
                  <c:v>131</c:v>
                </c:pt>
                <c:pt idx="131" formatCode="General">
                  <c:v>132</c:v>
                </c:pt>
                <c:pt idx="132" formatCode="General">
                  <c:v>133</c:v>
                </c:pt>
                <c:pt idx="133" formatCode="General">
                  <c:v>134</c:v>
                </c:pt>
                <c:pt idx="134" formatCode="General">
                  <c:v>135</c:v>
                </c:pt>
                <c:pt idx="135" formatCode="General">
                  <c:v>136</c:v>
                </c:pt>
                <c:pt idx="136" formatCode="General">
                  <c:v>137</c:v>
                </c:pt>
                <c:pt idx="137" formatCode="General">
                  <c:v>138</c:v>
                </c:pt>
                <c:pt idx="138" formatCode="General">
                  <c:v>139</c:v>
                </c:pt>
                <c:pt idx="139" formatCode="General">
                  <c:v>140</c:v>
                </c:pt>
                <c:pt idx="140" formatCode="General">
                  <c:v>141</c:v>
                </c:pt>
                <c:pt idx="141" formatCode="General">
                  <c:v>142</c:v>
                </c:pt>
              </c:numCache>
            </c:numRef>
          </c:cat>
          <c:val>
            <c:numRef>
              <c:f>Cars!$L$5:$L$146</c:f>
              <c:numCache>
                <c:formatCode>0.00</c:formatCode>
                <c:ptCount val="142"/>
                <c:pt idx="0">
                  <c:v>3100</c:v>
                </c:pt>
                <c:pt idx="1">
                  <c:v>3100</c:v>
                </c:pt>
                <c:pt idx="2">
                  <c:v>2900</c:v>
                </c:pt>
                <c:pt idx="3">
                  <c:v>2700</c:v>
                </c:pt>
                <c:pt idx="4">
                  <c:v>2820</c:v>
                </c:pt>
                <c:pt idx="5">
                  <c:v>2800</c:v>
                </c:pt>
                <c:pt idx="6">
                  <c:v>2828.5714285714284</c:v>
                </c:pt>
                <c:pt idx="7">
                  <c:v>2812.5</c:v>
                </c:pt>
                <c:pt idx="8">
                  <c:v>2733.3333333333335</c:v>
                </c:pt>
                <c:pt idx="9">
                  <c:v>2640</c:v>
                </c:pt>
                <c:pt idx="10">
                  <c:v>2590.909090909091</c:v>
                </c:pt>
                <c:pt idx="11">
                  <c:v>2533.3333333333335</c:v>
                </c:pt>
                <c:pt idx="12">
                  <c:v>2493.7692307692309</c:v>
                </c:pt>
                <c:pt idx="13">
                  <c:v>2394.5</c:v>
                </c:pt>
                <c:pt idx="14">
                  <c:v>2301.2666666666669</c:v>
                </c:pt>
                <c:pt idx="15">
                  <c:v>2223.875</c:v>
                </c:pt>
                <c:pt idx="16">
                  <c:v>2166.294117647059</c:v>
                </c:pt>
                <c:pt idx="17">
                  <c:v>2109.3888888888887</c:v>
                </c:pt>
                <c:pt idx="18">
                  <c:v>2049.4736842105262</c:v>
                </c:pt>
                <c:pt idx="19">
                  <c:v>1977.05</c:v>
                </c:pt>
                <c:pt idx="20">
                  <c:v>1933.2380952380952</c:v>
                </c:pt>
                <c:pt idx="21">
                  <c:v>1901.590909090909</c:v>
                </c:pt>
                <c:pt idx="22">
                  <c:v>1861.0869565217392</c:v>
                </c:pt>
                <c:pt idx="23">
                  <c:v>1815.4583333333333</c:v>
                </c:pt>
                <c:pt idx="24">
                  <c:v>1783.2</c:v>
                </c:pt>
                <c:pt idx="25">
                  <c:v>1737.7307692307693</c:v>
                </c:pt>
                <c:pt idx="26">
                  <c:v>1722.5925925925926</c:v>
                </c:pt>
                <c:pt idx="27">
                  <c:v>1694.6785714285713</c:v>
                </c:pt>
                <c:pt idx="28">
                  <c:v>1651.8620689655172</c:v>
                </c:pt>
                <c:pt idx="29">
                  <c:v>1618.4</c:v>
                </c:pt>
                <c:pt idx="30">
                  <c:v>1582.3225806451612</c:v>
                </c:pt>
                <c:pt idx="31">
                  <c:v>1550.71875</c:v>
                </c:pt>
                <c:pt idx="32">
                  <c:v>1523.6363636363637</c:v>
                </c:pt>
                <c:pt idx="33">
                  <c:v>1502.5588235294117</c:v>
                </c:pt>
                <c:pt idx="34">
                  <c:v>1474.0285714285715</c:v>
                </c:pt>
                <c:pt idx="35">
                  <c:v>1441.1388888888889</c:v>
                </c:pt>
                <c:pt idx="36">
                  <c:v>1416.8918918918919</c:v>
                </c:pt>
                <c:pt idx="37">
                  <c:v>1411.1842105263158</c:v>
                </c:pt>
                <c:pt idx="38">
                  <c:v>1404.4871794871794</c:v>
                </c:pt>
                <c:pt idx="39">
                  <c:v>1403.325</c:v>
                </c:pt>
                <c:pt idx="40">
                  <c:v>1404.2682926829268</c:v>
                </c:pt>
                <c:pt idx="41">
                  <c:v>1404.6904761904761</c:v>
                </c:pt>
                <c:pt idx="42">
                  <c:v>1404.2558139534883</c:v>
                </c:pt>
                <c:pt idx="43">
                  <c:v>1392.159090909091</c:v>
                </c:pt>
                <c:pt idx="44">
                  <c:v>1394.5555555555557</c:v>
                </c:pt>
                <c:pt idx="45">
                  <c:v>1389.1304347826087</c:v>
                </c:pt>
                <c:pt idx="46">
                  <c:v>1387.872340425532</c:v>
                </c:pt>
                <c:pt idx="47">
                  <c:v>1385.2291666666667</c:v>
                </c:pt>
                <c:pt idx="48">
                  <c:v>1388.9795918367347</c:v>
                </c:pt>
                <c:pt idx="49">
                  <c:v>1386.14</c:v>
                </c:pt>
                <c:pt idx="50">
                  <c:v>1381.3725490196077</c:v>
                </c:pt>
                <c:pt idx="51">
                  <c:v>1375.1923076923076</c:v>
                </c:pt>
                <c:pt idx="52">
                  <c:v>1360.3773584905659</c:v>
                </c:pt>
                <c:pt idx="53">
                  <c:v>1344.4444444444443</c:v>
                </c:pt>
                <c:pt idx="54">
                  <c:v>1324.909090909091</c:v>
                </c:pt>
                <c:pt idx="55">
                  <c:v>1308.2142857142858</c:v>
                </c:pt>
                <c:pt idx="56">
                  <c:v>1295.0701754385964</c:v>
                </c:pt>
                <c:pt idx="57">
                  <c:v>1283.4482758620691</c:v>
                </c:pt>
                <c:pt idx="58">
                  <c:v>1273.3050847457628</c:v>
                </c:pt>
                <c:pt idx="59">
                  <c:v>1261.4166666666667</c:v>
                </c:pt>
                <c:pt idx="60">
                  <c:v>1248.688524590164</c:v>
                </c:pt>
                <c:pt idx="61">
                  <c:v>1240.1612903225807</c:v>
                </c:pt>
                <c:pt idx="62">
                  <c:v>1233.3650793650793</c:v>
                </c:pt>
                <c:pt idx="63">
                  <c:v>1229.6875</c:v>
                </c:pt>
                <c:pt idx="64">
                  <c:v>1224.6153846153845</c:v>
                </c:pt>
                <c:pt idx="65">
                  <c:v>1217.878787878788</c:v>
                </c:pt>
                <c:pt idx="66">
                  <c:v>1211.1940298507463</c:v>
                </c:pt>
                <c:pt idx="67">
                  <c:v>1196.7647058823529</c:v>
                </c:pt>
                <c:pt idx="68">
                  <c:v>1188.4057971014493</c:v>
                </c:pt>
                <c:pt idx="69">
                  <c:v>1180.7142857142858</c:v>
                </c:pt>
                <c:pt idx="70">
                  <c:v>1178.8028169014085</c:v>
                </c:pt>
                <c:pt idx="71">
                  <c:v>1171.9722222222222</c:v>
                </c:pt>
                <c:pt idx="72">
                  <c:v>1169.8493150684931</c:v>
                </c:pt>
                <c:pt idx="73">
                  <c:v>1163.6756756756756</c:v>
                </c:pt>
                <c:pt idx="74">
                  <c:v>1160</c:v>
                </c:pt>
                <c:pt idx="75">
                  <c:v>1155.921052631579</c:v>
                </c:pt>
                <c:pt idx="76">
                  <c:v>1155.8441558441559</c:v>
                </c:pt>
                <c:pt idx="77">
                  <c:v>1153.8461538461538</c:v>
                </c:pt>
                <c:pt idx="78">
                  <c:v>1150</c:v>
                </c:pt>
                <c:pt idx="79">
                  <c:v>1137.8125</c:v>
                </c:pt>
                <c:pt idx="80">
                  <c:v>1128.148148148148</c:v>
                </c:pt>
                <c:pt idx="81">
                  <c:v>1128.0487804878048</c:v>
                </c:pt>
                <c:pt idx="82">
                  <c:v>1127.7108433734941</c:v>
                </c:pt>
                <c:pt idx="83">
                  <c:v>1126.1904761904761</c:v>
                </c:pt>
                <c:pt idx="84">
                  <c:v>1122.3529411764705</c:v>
                </c:pt>
                <c:pt idx="85">
                  <c:v>1117.0232558139535</c:v>
                </c:pt>
                <c:pt idx="86">
                  <c:v>1117.2413793103449</c:v>
                </c:pt>
                <c:pt idx="87">
                  <c:v>1115.340909090909</c:v>
                </c:pt>
                <c:pt idx="88">
                  <c:v>1110.1123595505619</c:v>
                </c:pt>
                <c:pt idx="89">
                  <c:v>1105.6666666666667</c:v>
                </c:pt>
                <c:pt idx="90">
                  <c:v>1097.4945054945056</c:v>
                </c:pt>
                <c:pt idx="91">
                  <c:v>1091.304347826087</c:v>
                </c:pt>
                <c:pt idx="92">
                  <c:v>1087.6344086021506</c:v>
                </c:pt>
                <c:pt idx="93">
                  <c:v>1081.9148936170213</c:v>
                </c:pt>
                <c:pt idx="94">
                  <c:v>1078.9473684210527</c:v>
                </c:pt>
                <c:pt idx="95">
                  <c:v>1072.7083333333333</c:v>
                </c:pt>
                <c:pt idx="96">
                  <c:v>1063.1030927835052</c:v>
                </c:pt>
                <c:pt idx="97">
                  <c:v>1059.591836734694</c:v>
                </c:pt>
                <c:pt idx="98">
                  <c:v>1055.8585858585859</c:v>
                </c:pt>
                <c:pt idx="99">
                  <c:v>1051.56</c:v>
                </c:pt>
                <c:pt idx="100">
                  <c:v>1049.5049504950496</c:v>
                </c:pt>
                <c:pt idx="101">
                  <c:v>1044.1176470588234</c:v>
                </c:pt>
                <c:pt idx="102">
                  <c:v>1042.7184466019417</c:v>
                </c:pt>
                <c:pt idx="103">
                  <c:v>1040.3846153846155</c:v>
                </c:pt>
                <c:pt idx="104">
                  <c:v>1031.5714285714287</c:v>
                </c:pt>
                <c:pt idx="105">
                  <c:v>1024.2452830188679</c:v>
                </c:pt>
                <c:pt idx="106">
                  <c:v>1017.1308411214953</c:v>
                </c:pt>
                <c:pt idx="107">
                  <c:v>1008.3333333333334</c:v>
                </c:pt>
                <c:pt idx="108">
                  <c:v>1004.5871559633027</c:v>
                </c:pt>
                <c:pt idx="109">
                  <c:v>996.4545454545455</c:v>
                </c:pt>
                <c:pt idx="110">
                  <c:v>987.47747747747746</c:v>
                </c:pt>
                <c:pt idx="111">
                  <c:v>986.875</c:v>
                </c:pt>
                <c:pt idx="112">
                  <c:v>991.4159292035398</c:v>
                </c:pt>
                <c:pt idx="113">
                  <c:v>997.20175438596493</c:v>
                </c:pt>
                <c:pt idx="114">
                  <c:v>1003.4347826086956</c:v>
                </c:pt>
                <c:pt idx="115">
                  <c:v>1000.5</c:v>
                </c:pt>
                <c:pt idx="116">
                  <c:v>998.38461538461536</c:v>
                </c:pt>
                <c:pt idx="117">
                  <c:v>994.66101694915255</c:v>
                </c:pt>
                <c:pt idx="118">
                  <c:v>995.79831932773106</c:v>
                </c:pt>
                <c:pt idx="119">
                  <c:v>990</c:v>
                </c:pt>
                <c:pt idx="120">
                  <c:v>983.32231404958679</c:v>
                </c:pt>
                <c:pt idx="121">
                  <c:v>975.8360655737705</c:v>
                </c:pt>
                <c:pt idx="122">
                  <c:v>968.4959349593496</c:v>
                </c:pt>
                <c:pt idx="123">
                  <c:v>962.09677419354841</c:v>
                </c:pt>
                <c:pt idx="124">
                  <c:v>956</c:v>
                </c:pt>
                <c:pt idx="125">
                  <c:v>951.3650793650794</c:v>
                </c:pt>
                <c:pt idx="126">
                  <c:v>945.04724409448818</c:v>
                </c:pt>
                <c:pt idx="127">
                  <c:v>942.1875</c:v>
                </c:pt>
                <c:pt idx="128">
                  <c:v>941.06976744186045</c:v>
                </c:pt>
                <c:pt idx="129">
                  <c:v>936.15384615384619</c:v>
                </c:pt>
                <c:pt idx="130">
                  <c:v>931.29770992366412</c:v>
                </c:pt>
                <c:pt idx="131">
                  <c:v>931.06060606060601</c:v>
                </c:pt>
                <c:pt idx="132">
                  <c:v>928.57142857142856</c:v>
                </c:pt>
                <c:pt idx="133">
                  <c:v>926.11940298507466</c:v>
                </c:pt>
                <c:pt idx="134">
                  <c:v>923.7037037037037</c:v>
                </c:pt>
                <c:pt idx="135">
                  <c:v>919.85294117647061</c:v>
                </c:pt>
                <c:pt idx="136">
                  <c:v>915.32846715328469</c:v>
                </c:pt>
                <c:pt idx="137">
                  <c:v>913.85507246376812</c:v>
                </c:pt>
                <c:pt idx="138">
                  <c:v>911.15827338129498</c:v>
                </c:pt>
                <c:pt idx="139">
                  <c:v>907.85714285714289</c:v>
                </c:pt>
                <c:pt idx="140">
                  <c:v>907.07801418439715</c:v>
                </c:pt>
                <c:pt idx="141">
                  <c:v>907.74647887323943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D-EF4E-A5F3-3F8781B5372D}"/>
            </c:ext>
          </c:extLst>
        </c:ser>
        <c:ser>
          <c:idx val="1"/>
          <c:order val="1"/>
          <c:tx>
            <c:v>02 Nissan Altima</c:v>
          </c:tx>
          <c:marker>
            <c:symbol val="none"/>
          </c:marker>
          <c:cat>
            <c:numRef>
              <c:f>Cars!$H$5:$H$146</c:f>
              <c:numCache>
                <c:formatCode>0</c:formatCode>
                <c:ptCount val="142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 formatCode="General">
                  <c:v>4</c:v>
                </c:pt>
                <c:pt idx="4" formatCode="General">
                  <c:v>5</c:v>
                </c:pt>
                <c:pt idx="5" formatCode="General">
                  <c:v>6</c:v>
                </c:pt>
                <c:pt idx="6" formatCode="General">
                  <c:v>7</c:v>
                </c:pt>
                <c:pt idx="7" formatCode="General">
                  <c:v>8</c:v>
                </c:pt>
                <c:pt idx="8" formatCode="General">
                  <c:v>9</c:v>
                </c:pt>
                <c:pt idx="9" formatCode="General">
                  <c:v>10</c:v>
                </c:pt>
                <c:pt idx="10" formatCode="General">
                  <c:v>11</c:v>
                </c:pt>
                <c:pt idx="11" formatCode="General">
                  <c:v>12</c:v>
                </c:pt>
                <c:pt idx="12" formatCode="General">
                  <c:v>13</c:v>
                </c:pt>
                <c:pt idx="13" formatCode="General">
                  <c:v>14</c:v>
                </c:pt>
                <c:pt idx="14" formatCode="General">
                  <c:v>15</c:v>
                </c:pt>
                <c:pt idx="15" formatCode="General">
                  <c:v>16</c:v>
                </c:pt>
                <c:pt idx="16" formatCode="General">
                  <c:v>17</c:v>
                </c:pt>
                <c:pt idx="17" formatCode="General">
                  <c:v>18</c:v>
                </c:pt>
                <c:pt idx="18" formatCode="General">
                  <c:v>19</c:v>
                </c:pt>
                <c:pt idx="19" formatCode="General">
                  <c:v>20</c:v>
                </c:pt>
                <c:pt idx="20" formatCode="General">
                  <c:v>21</c:v>
                </c:pt>
                <c:pt idx="21" formatCode="General">
                  <c:v>22</c:v>
                </c:pt>
                <c:pt idx="22" formatCode="General">
                  <c:v>23</c:v>
                </c:pt>
                <c:pt idx="23" formatCode="General">
                  <c:v>24</c:v>
                </c:pt>
                <c:pt idx="24" formatCode="General">
                  <c:v>25</c:v>
                </c:pt>
                <c:pt idx="25" formatCode="General">
                  <c:v>26</c:v>
                </c:pt>
                <c:pt idx="26" formatCode="General">
                  <c:v>27</c:v>
                </c:pt>
                <c:pt idx="27" formatCode="General">
                  <c:v>28</c:v>
                </c:pt>
                <c:pt idx="28" formatCode="General">
                  <c:v>29</c:v>
                </c:pt>
                <c:pt idx="29" formatCode="General">
                  <c:v>30</c:v>
                </c:pt>
                <c:pt idx="30" formatCode="General">
                  <c:v>31</c:v>
                </c:pt>
                <c:pt idx="31" formatCode="General">
                  <c:v>32</c:v>
                </c:pt>
                <c:pt idx="32" formatCode="General">
                  <c:v>33</c:v>
                </c:pt>
                <c:pt idx="33" formatCode="General">
                  <c:v>34</c:v>
                </c:pt>
                <c:pt idx="34" formatCode="General">
                  <c:v>35</c:v>
                </c:pt>
                <c:pt idx="35" formatCode="General">
                  <c:v>36</c:v>
                </c:pt>
                <c:pt idx="36" formatCode="General">
                  <c:v>37</c:v>
                </c:pt>
                <c:pt idx="37" formatCode="General">
                  <c:v>38</c:v>
                </c:pt>
                <c:pt idx="38" formatCode="General">
                  <c:v>39</c:v>
                </c:pt>
                <c:pt idx="39" formatCode="General">
                  <c:v>40</c:v>
                </c:pt>
                <c:pt idx="40" formatCode="General">
                  <c:v>41</c:v>
                </c:pt>
                <c:pt idx="41" formatCode="General">
                  <c:v>42</c:v>
                </c:pt>
                <c:pt idx="42" formatCode="General">
                  <c:v>43</c:v>
                </c:pt>
                <c:pt idx="43" formatCode="General">
                  <c:v>44</c:v>
                </c:pt>
                <c:pt idx="44" formatCode="General">
                  <c:v>45</c:v>
                </c:pt>
                <c:pt idx="45" formatCode="General">
                  <c:v>46</c:v>
                </c:pt>
                <c:pt idx="46" formatCode="General">
                  <c:v>47</c:v>
                </c:pt>
                <c:pt idx="47" formatCode="General">
                  <c:v>48</c:v>
                </c:pt>
                <c:pt idx="48" formatCode="General">
                  <c:v>49</c:v>
                </c:pt>
                <c:pt idx="49" formatCode="General">
                  <c:v>50</c:v>
                </c:pt>
                <c:pt idx="50" formatCode="General">
                  <c:v>51</c:v>
                </c:pt>
                <c:pt idx="51" formatCode="General">
                  <c:v>52</c:v>
                </c:pt>
                <c:pt idx="52" formatCode="General">
                  <c:v>53</c:v>
                </c:pt>
                <c:pt idx="53" formatCode="General">
                  <c:v>54</c:v>
                </c:pt>
                <c:pt idx="54" formatCode="General">
                  <c:v>55</c:v>
                </c:pt>
                <c:pt idx="55" formatCode="General">
                  <c:v>56</c:v>
                </c:pt>
                <c:pt idx="56" formatCode="General">
                  <c:v>57</c:v>
                </c:pt>
                <c:pt idx="57" formatCode="General">
                  <c:v>58</c:v>
                </c:pt>
                <c:pt idx="58" formatCode="General">
                  <c:v>59</c:v>
                </c:pt>
                <c:pt idx="59" formatCode="General">
                  <c:v>60</c:v>
                </c:pt>
                <c:pt idx="60" formatCode="General">
                  <c:v>61</c:v>
                </c:pt>
                <c:pt idx="61" formatCode="General">
                  <c:v>62</c:v>
                </c:pt>
                <c:pt idx="62" formatCode="General">
                  <c:v>63</c:v>
                </c:pt>
                <c:pt idx="63" formatCode="General">
                  <c:v>64</c:v>
                </c:pt>
                <c:pt idx="64" formatCode="General">
                  <c:v>65</c:v>
                </c:pt>
                <c:pt idx="65" formatCode="General">
                  <c:v>66</c:v>
                </c:pt>
                <c:pt idx="66" formatCode="General">
                  <c:v>67</c:v>
                </c:pt>
                <c:pt idx="67" formatCode="General">
                  <c:v>68</c:v>
                </c:pt>
                <c:pt idx="68" formatCode="General">
                  <c:v>69</c:v>
                </c:pt>
                <c:pt idx="69" formatCode="General">
                  <c:v>70</c:v>
                </c:pt>
                <c:pt idx="70" formatCode="General">
                  <c:v>71</c:v>
                </c:pt>
                <c:pt idx="71" formatCode="General">
                  <c:v>72</c:v>
                </c:pt>
                <c:pt idx="72" formatCode="General">
                  <c:v>73</c:v>
                </c:pt>
                <c:pt idx="73" formatCode="General">
                  <c:v>74</c:v>
                </c:pt>
                <c:pt idx="74" formatCode="General">
                  <c:v>75</c:v>
                </c:pt>
                <c:pt idx="75" formatCode="General">
                  <c:v>76</c:v>
                </c:pt>
                <c:pt idx="76" formatCode="General">
                  <c:v>77</c:v>
                </c:pt>
                <c:pt idx="77" formatCode="General">
                  <c:v>78</c:v>
                </c:pt>
                <c:pt idx="78" formatCode="General">
                  <c:v>79</c:v>
                </c:pt>
                <c:pt idx="79" formatCode="General">
                  <c:v>80</c:v>
                </c:pt>
                <c:pt idx="80" formatCode="General">
                  <c:v>81</c:v>
                </c:pt>
                <c:pt idx="81" formatCode="General">
                  <c:v>82</c:v>
                </c:pt>
                <c:pt idx="82" formatCode="General">
                  <c:v>83</c:v>
                </c:pt>
                <c:pt idx="83" formatCode="General">
                  <c:v>84</c:v>
                </c:pt>
                <c:pt idx="84" formatCode="General">
                  <c:v>85</c:v>
                </c:pt>
                <c:pt idx="85" formatCode="General">
                  <c:v>86</c:v>
                </c:pt>
                <c:pt idx="86" formatCode="General">
                  <c:v>87</c:v>
                </c:pt>
                <c:pt idx="87" formatCode="General">
                  <c:v>88</c:v>
                </c:pt>
                <c:pt idx="88" formatCode="General">
                  <c:v>89</c:v>
                </c:pt>
                <c:pt idx="89" formatCode="General">
                  <c:v>90</c:v>
                </c:pt>
                <c:pt idx="90" formatCode="General">
                  <c:v>91</c:v>
                </c:pt>
                <c:pt idx="91" formatCode="General">
                  <c:v>92</c:v>
                </c:pt>
                <c:pt idx="92" formatCode="General">
                  <c:v>93</c:v>
                </c:pt>
                <c:pt idx="93" formatCode="General">
                  <c:v>94</c:v>
                </c:pt>
                <c:pt idx="94" formatCode="General">
                  <c:v>95</c:v>
                </c:pt>
                <c:pt idx="95" formatCode="General">
                  <c:v>96</c:v>
                </c:pt>
                <c:pt idx="96" formatCode="General">
                  <c:v>97</c:v>
                </c:pt>
                <c:pt idx="97" formatCode="General">
                  <c:v>98</c:v>
                </c:pt>
                <c:pt idx="98" formatCode="General">
                  <c:v>99</c:v>
                </c:pt>
                <c:pt idx="99" formatCode="General">
                  <c:v>100</c:v>
                </c:pt>
                <c:pt idx="100" formatCode="General">
                  <c:v>101</c:v>
                </c:pt>
                <c:pt idx="101" formatCode="General">
                  <c:v>102</c:v>
                </c:pt>
                <c:pt idx="102" formatCode="General">
                  <c:v>103</c:v>
                </c:pt>
                <c:pt idx="103" formatCode="General">
                  <c:v>104</c:v>
                </c:pt>
                <c:pt idx="104" formatCode="General">
                  <c:v>105</c:v>
                </c:pt>
                <c:pt idx="105" formatCode="General">
                  <c:v>106</c:v>
                </c:pt>
                <c:pt idx="106" formatCode="General">
                  <c:v>107</c:v>
                </c:pt>
                <c:pt idx="107" formatCode="General">
                  <c:v>108</c:v>
                </c:pt>
                <c:pt idx="108" formatCode="General">
                  <c:v>109</c:v>
                </c:pt>
                <c:pt idx="109" formatCode="General">
                  <c:v>110</c:v>
                </c:pt>
                <c:pt idx="110" formatCode="General">
                  <c:v>111</c:v>
                </c:pt>
                <c:pt idx="111" formatCode="General">
                  <c:v>112</c:v>
                </c:pt>
                <c:pt idx="112" formatCode="General">
                  <c:v>113</c:v>
                </c:pt>
                <c:pt idx="113" formatCode="General">
                  <c:v>114</c:v>
                </c:pt>
                <c:pt idx="114" formatCode="General">
                  <c:v>115</c:v>
                </c:pt>
                <c:pt idx="115" formatCode="General">
                  <c:v>116</c:v>
                </c:pt>
                <c:pt idx="116" formatCode="General">
                  <c:v>117</c:v>
                </c:pt>
                <c:pt idx="117" formatCode="General">
                  <c:v>118</c:v>
                </c:pt>
                <c:pt idx="118" formatCode="General">
                  <c:v>119</c:v>
                </c:pt>
                <c:pt idx="119" formatCode="General">
                  <c:v>120</c:v>
                </c:pt>
                <c:pt idx="120" formatCode="General">
                  <c:v>121</c:v>
                </c:pt>
                <c:pt idx="121" formatCode="General">
                  <c:v>122</c:v>
                </c:pt>
                <c:pt idx="122" formatCode="General">
                  <c:v>123</c:v>
                </c:pt>
                <c:pt idx="123" formatCode="General">
                  <c:v>124</c:v>
                </c:pt>
                <c:pt idx="124" formatCode="General">
                  <c:v>125</c:v>
                </c:pt>
                <c:pt idx="125" formatCode="General">
                  <c:v>126</c:v>
                </c:pt>
                <c:pt idx="126" formatCode="General">
                  <c:v>127</c:v>
                </c:pt>
                <c:pt idx="127" formatCode="General">
                  <c:v>128</c:v>
                </c:pt>
                <c:pt idx="128" formatCode="General">
                  <c:v>129</c:v>
                </c:pt>
                <c:pt idx="129" formatCode="General">
                  <c:v>130</c:v>
                </c:pt>
                <c:pt idx="130" formatCode="General">
                  <c:v>131</c:v>
                </c:pt>
                <c:pt idx="131" formatCode="General">
                  <c:v>132</c:v>
                </c:pt>
                <c:pt idx="132" formatCode="General">
                  <c:v>133</c:v>
                </c:pt>
                <c:pt idx="133" formatCode="General">
                  <c:v>134</c:v>
                </c:pt>
                <c:pt idx="134" formatCode="General">
                  <c:v>135</c:v>
                </c:pt>
                <c:pt idx="135" formatCode="General">
                  <c:v>136</c:v>
                </c:pt>
                <c:pt idx="136" formatCode="General">
                  <c:v>137</c:v>
                </c:pt>
                <c:pt idx="137" formatCode="General">
                  <c:v>138</c:v>
                </c:pt>
                <c:pt idx="138" formatCode="General">
                  <c:v>139</c:v>
                </c:pt>
                <c:pt idx="139" formatCode="General">
                  <c:v>140</c:v>
                </c:pt>
                <c:pt idx="140" formatCode="General">
                  <c:v>141</c:v>
                </c:pt>
                <c:pt idx="141" formatCode="General">
                  <c:v>142</c:v>
                </c:pt>
              </c:numCache>
            </c:numRef>
          </c:cat>
          <c:val>
            <c:numRef>
              <c:f>Cars!$P$5:$P$107</c:f>
              <c:numCache>
                <c:formatCode>0.00</c:formatCode>
                <c:ptCount val="103"/>
                <c:pt idx="0">
                  <c:v>3300</c:v>
                </c:pt>
                <c:pt idx="1">
                  <c:v>3200</c:v>
                </c:pt>
                <c:pt idx="2">
                  <c:v>3066.6666666666665</c:v>
                </c:pt>
                <c:pt idx="3">
                  <c:v>2886.25</c:v>
                </c:pt>
                <c:pt idx="4">
                  <c:v>2720</c:v>
                </c:pt>
                <c:pt idx="5">
                  <c:v>2833.3333333333335</c:v>
                </c:pt>
                <c:pt idx="6">
                  <c:v>2718.5714285714284</c:v>
                </c:pt>
                <c:pt idx="7">
                  <c:v>2623.5</c:v>
                </c:pt>
                <c:pt idx="8">
                  <c:v>2624.3333333333335</c:v>
                </c:pt>
                <c:pt idx="9">
                  <c:v>2571.9</c:v>
                </c:pt>
                <c:pt idx="10">
                  <c:v>2412.2727272727275</c:v>
                </c:pt>
                <c:pt idx="11">
                  <c:v>2321.6666666666665</c:v>
                </c:pt>
                <c:pt idx="12">
                  <c:v>2261.5384615384614</c:v>
                </c:pt>
                <c:pt idx="13">
                  <c:v>2218.9285714285716</c:v>
                </c:pt>
                <c:pt idx="14">
                  <c:v>2192.6666666666665</c:v>
                </c:pt>
                <c:pt idx="15">
                  <c:v>2161.3125</c:v>
                </c:pt>
                <c:pt idx="16">
                  <c:v>2146.1764705882351</c:v>
                </c:pt>
                <c:pt idx="17">
                  <c:v>2127.5</c:v>
                </c:pt>
                <c:pt idx="18">
                  <c:v>2114.7368421052633</c:v>
                </c:pt>
                <c:pt idx="19">
                  <c:v>2031.25</c:v>
                </c:pt>
                <c:pt idx="20">
                  <c:v>1970.4761904761904</c:v>
                </c:pt>
                <c:pt idx="21">
                  <c:v>1957.409090909091</c:v>
                </c:pt>
                <c:pt idx="22">
                  <c:v>1941.8695652173913</c:v>
                </c:pt>
                <c:pt idx="23">
                  <c:v>1915.875</c:v>
                </c:pt>
                <c:pt idx="24">
                  <c:v>1900</c:v>
                </c:pt>
                <c:pt idx="25">
                  <c:v>1901.7692307692307</c:v>
                </c:pt>
                <c:pt idx="26">
                  <c:v>1847.6296296296296</c:v>
                </c:pt>
                <c:pt idx="27">
                  <c:v>1847.1428571428571</c:v>
                </c:pt>
                <c:pt idx="28">
                  <c:v>1848.9310344827586</c:v>
                </c:pt>
                <c:pt idx="29">
                  <c:v>1836.6666666666667</c:v>
                </c:pt>
                <c:pt idx="30">
                  <c:v>1820.3225806451612</c:v>
                </c:pt>
                <c:pt idx="31">
                  <c:v>1808.46875</c:v>
                </c:pt>
                <c:pt idx="32">
                  <c:v>1793.3333333333333</c:v>
                </c:pt>
                <c:pt idx="33">
                  <c:v>1773.5294117647059</c:v>
                </c:pt>
                <c:pt idx="34">
                  <c:v>1760.2857142857142</c:v>
                </c:pt>
                <c:pt idx="35">
                  <c:v>1745.4166666666667</c:v>
                </c:pt>
                <c:pt idx="36">
                  <c:v>1735.1351351351352</c:v>
                </c:pt>
                <c:pt idx="37">
                  <c:v>1714.8684210526317</c:v>
                </c:pt>
                <c:pt idx="38">
                  <c:v>1702.5641025641025</c:v>
                </c:pt>
                <c:pt idx="39">
                  <c:v>1687.85</c:v>
                </c:pt>
                <c:pt idx="40">
                  <c:v>1675.0243902439024</c:v>
                </c:pt>
                <c:pt idx="41">
                  <c:v>1672.6190476190477</c:v>
                </c:pt>
                <c:pt idx="42">
                  <c:v>1672.3720930232557</c:v>
                </c:pt>
                <c:pt idx="43">
                  <c:v>1660.909090909091</c:v>
                </c:pt>
                <c:pt idx="44">
                  <c:v>1634.6666666666667</c:v>
                </c:pt>
                <c:pt idx="45">
                  <c:v>1642.608695652174</c:v>
                </c:pt>
                <c:pt idx="46">
                  <c:v>1614.9787234042553</c:v>
                </c:pt>
                <c:pt idx="47">
                  <c:v>1606.5833333333333</c:v>
                </c:pt>
                <c:pt idx="48">
                  <c:v>1602.3469387755101</c:v>
                </c:pt>
                <c:pt idx="49">
                  <c:v>1604</c:v>
                </c:pt>
                <c:pt idx="50">
                  <c:v>1608.6274509803923</c:v>
                </c:pt>
                <c:pt idx="51">
                  <c:v>1604.2884615384614</c:v>
                </c:pt>
                <c:pt idx="52">
                  <c:v>1601.5094339622642</c:v>
                </c:pt>
                <c:pt idx="53">
                  <c:v>1606.4814814814815</c:v>
                </c:pt>
                <c:pt idx="54">
                  <c:v>1610.4545454545455</c:v>
                </c:pt>
                <c:pt idx="55">
                  <c:v>1604.8214285714287</c:v>
                </c:pt>
                <c:pt idx="56">
                  <c:v>1602.7543859649122</c:v>
                </c:pt>
                <c:pt idx="57">
                  <c:v>1605.8620689655172</c:v>
                </c:pt>
                <c:pt idx="58">
                  <c:v>1608.4745762711864</c:v>
                </c:pt>
                <c:pt idx="59">
                  <c:v>1586.8</c:v>
                </c:pt>
                <c:pt idx="60">
                  <c:v>1592.9180327868853</c:v>
                </c:pt>
                <c:pt idx="61">
                  <c:v>1585.483870967742</c:v>
                </c:pt>
                <c:pt idx="62">
                  <c:v>1591.3333333333333</c:v>
                </c:pt>
                <c:pt idx="63">
                  <c:v>1598.125</c:v>
                </c:pt>
                <c:pt idx="64">
                  <c:v>1603.0769230769231</c:v>
                </c:pt>
                <c:pt idx="65">
                  <c:v>1610.6060606060605</c:v>
                </c:pt>
                <c:pt idx="66">
                  <c:v>1622.3880597014925</c:v>
                </c:pt>
                <c:pt idx="67">
                  <c:v>1627.9411764705883</c:v>
                </c:pt>
                <c:pt idx="68">
                  <c:v>1637.6811594202898</c:v>
                </c:pt>
                <c:pt idx="69">
                  <c:v>1645.7142857142858</c:v>
                </c:pt>
                <c:pt idx="70">
                  <c:v>1653.5211267605634</c:v>
                </c:pt>
                <c:pt idx="71">
                  <c:v>1639.1666666666667</c:v>
                </c:pt>
                <c:pt idx="72">
                  <c:v>1645.6849315068494</c:v>
                </c:pt>
                <c:pt idx="73">
                  <c:v>1650.2702702702702</c:v>
                </c:pt>
                <c:pt idx="74">
                  <c:v>1655.4</c:v>
                </c:pt>
                <c:pt idx="75">
                  <c:v>1668.6842105263158</c:v>
                </c:pt>
                <c:pt idx="76">
                  <c:v>1674.5454545454545</c:v>
                </c:pt>
                <c:pt idx="77">
                  <c:v>1689.1025641025642</c:v>
                </c:pt>
                <c:pt idx="78">
                  <c:v>1706.3291139240507</c:v>
                </c:pt>
                <c:pt idx="79">
                  <c:v>1720</c:v>
                </c:pt>
                <c:pt idx="80">
                  <c:v>1729.6296296296296</c:v>
                </c:pt>
                <c:pt idx="81">
                  <c:v>1731.7073170731708</c:v>
                </c:pt>
                <c:pt idx="82">
                  <c:v>1727.2771084337348</c:v>
                </c:pt>
                <c:pt idx="83">
                  <c:v>1728.6904761904761</c:v>
                </c:pt>
                <c:pt idx="84">
                  <c:v>1737.6470588235295</c:v>
                </c:pt>
                <c:pt idx="85">
                  <c:v>1738.3720930232557</c:v>
                </c:pt>
                <c:pt idx="86">
                  <c:v>1744.5977011494253</c:v>
                </c:pt>
                <c:pt idx="87">
                  <c:v>1744.5681818181818</c:v>
                </c:pt>
                <c:pt idx="88">
                  <c:v>1747.1910112359551</c:v>
                </c:pt>
                <c:pt idx="89">
                  <c:v>1744.8333333333333</c:v>
                </c:pt>
                <c:pt idx="90">
                  <c:v>1746.9780219780221</c:v>
                </c:pt>
                <c:pt idx="91">
                  <c:v>1753.5869565217392</c:v>
                </c:pt>
                <c:pt idx="92">
                  <c:v>1752.4193548387098</c:v>
                </c:pt>
                <c:pt idx="93">
                  <c:v>1750</c:v>
                </c:pt>
                <c:pt idx="94">
                  <c:v>1745.2631578947369</c:v>
                </c:pt>
                <c:pt idx="95">
                  <c:v>1732.5520833333333</c:v>
                </c:pt>
                <c:pt idx="96">
                  <c:v>1723.7010309278351</c:v>
                </c:pt>
                <c:pt idx="97">
                  <c:v>1713.2653061224489</c:v>
                </c:pt>
                <c:pt idx="98">
                  <c:v>1707.1717171717171</c:v>
                </c:pt>
                <c:pt idx="99">
                  <c:v>1699</c:v>
                </c:pt>
                <c:pt idx="100">
                  <c:v>1685.6435643564357</c:v>
                </c:pt>
                <c:pt idx="101">
                  <c:v>1673.0392156862745</c:v>
                </c:pt>
                <c:pt idx="102">
                  <c:v>1664.8252427184466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D-EF4E-A5F3-3F8781B5372D}"/>
            </c:ext>
          </c:extLst>
        </c:ser>
        <c:ser>
          <c:idx val="2"/>
          <c:order val="2"/>
          <c:tx>
            <c:v>10 Nissan Altima</c:v>
          </c:tx>
          <c:marker>
            <c:symbol val="none"/>
          </c:marker>
          <c:cat>
            <c:numRef>
              <c:f>Cars!$H$5:$H$146</c:f>
              <c:numCache>
                <c:formatCode>0</c:formatCode>
                <c:ptCount val="142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 formatCode="General">
                  <c:v>4</c:v>
                </c:pt>
                <c:pt idx="4" formatCode="General">
                  <c:v>5</c:v>
                </c:pt>
                <c:pt idx="5" formatCode="General">
                  <c:v>6</c:v>
                </c:pt>
                <c:pt idx="6" formatCode="General">
                  <c:v>7</c:v>
                </c:pt>
                <c:pt idx="7" formatCode="General">
                  <c:v>8</c:v>
                </c:pt>
                <c:pt idx="8" formatCode="General">
                  <c:v>9</c:v>
                </c:pt>
                <c:pt idx="9" formatCode="General">
                  <c:v>10</c:v>
                </c:pt>
                <c:pt idx="10" formatCode="General">
                  <c:v>11</c:v>
                </c:pt>
                <c:pt idx="11" formatCode="General">
                  <c:v>12</c:v>
                </c:pt>
                <c:pt idx="12" formatCode="General">
                  <c:v>13</c:v>
                </c:pt>
                <c:pt idx="13" formatCode="General">
                  <c:v>14</c:v>
                </c:pt>
                <c:pt idx="14" formatCode="General">
                  <c:v>15</c:v>
                </c:pt>
                <c:pt idx="15" formatCode="General">
                  <c:v>16</c:v>
                </c:pt>
                <c:pt idx="16" formatCode="General">
                  <c:v>17</c:v>
                </c:pt>
                <c:pt idx="17" formatCode="General">
                  <c:v>18</c:v>
                </c:pt>
                <c:pt idx="18" formatCode="General">
                  <c:v>19</c:v>
                </c:pt>
                <c:pt idx="19" formatCode="General">
                  <c:v>20</c:v>
                </c:pt>
                <c:pt idx="20" formatCode="General">
                  <c:v>21</c:v>
                </c:pt>
                <c:pt idx="21" formatCode="General">
                  <c:v>22</c:v>
                </c:pt>
                <c:pt idx="22" formatCode="General">
                  <c:v>23</c:v>
                </c:pt>
                <c:pt idx="23" formatCode="General">
                  <c:v>24</c:v>
                </c:pt>
                <c:pt idx="24" formatCode="General">
                  <c:v>25</c:v>
                </c:pt>
                <c:pt idx="25" formatCode="General">
                  <c:v>26</c:v>
                </c:pt>
                <c:pt idx="26" formatCode="General">
                  <c:v>27</c:v>
                </c:pt>
                <c:pt idx="27" formatCode="General">
                  <c:v>28</c:v>
                </c:pt>
                <c:pt idx="28" formatCode="General">
                  <c:v>29</c:v>
                </c:pt>
                <c:pt idx="29" formatCode="General">
                  <c:v>30</c:v>
                </c:pt>
                <c:pt idx="30" formatCode="General">
                  <c:v>31</c:v>
                </c:pt>
                <c:pt idx="31" formatCode="General">
                  <c:v>32</c:v>
                </c:pt>
                <c:pt idx="32" formatCode="General">
                  <c:v>33</c:v>
                </c:pt>
                <c:pt idx="33" formatCode="General">
                  <c:v>34</c:v>
                </c:pt>
                <c:pt idx="34" formatCode="General">
                  <c:v>35</c:v>
                </c:pt>
                <c:pt idx="35" formatCode="General">
                  <c:v>36</c:v>
                </c:pt>
                <c:pt idx="36" formatCode="General">
                  <c:v>37</c:v>
                </c:pt>
                <c:pt idx="37" formatCode="General">
                  <c:v>38</c:v>
                </c:pt>
                <c:pt idx="38" formatCode="General">
                  <c:v>39</c:v>
                </c:pt>
                <c:pt idx="39" formatCode="General">
                  <c:v>40</c:v>
                </c:pt>
                <c:pt idx="40" formatCode="General">
                  <c:v>41</c:v>
                </c:pt>
                <c:pt idx="41" formatCode="General">
                  <c:v>42</c:v>
                </c:pt>
                <c:pt idx="42" formatCode="General">
                  <c:v>43</c:v>
                </c:pt>
                <c:pt idx="43" formatCode="General">
                  <c:v>44</c:v>
                </c:pt>
                <c:pt idx="44" formatCode="General">
                  <c:v>45</c:v>
                </c:pt>
                <c:pt idx="45" formatCode="General">
                  <c:v>46</c:v>
                </c:pt>
                <c:pt idx="46" formatCode="General">
                  <c:v>47</c:v>
                </c:pt>
                <c:pt idx="47" formatCode="General">
                  <c:v>48</c:v>
                </c:pt>
                <c:pt idx="48" formatCode="General">
                  <c:v>49</c:v>
                </c:pt>
                <c:pt idx="49" formatCode="General">
                  <c:v>50</c:v>
                </c:pt>
                <c:pt idx="50" formatCode="General">
                  <c:v>51</c:v>
                </c:pt>
                <c:pt idx="51" formatCode="General">
                  <c:v>52</c:v>
                </c:pt>
                <c:pt idx="52" formatCode="General">
                  <c:v>53</c:v>
                </c:pt>
                <c:pt idx="53" formatCode="General">
                  <c:v>54</c:v>
                </c:pt>
                <c:pt idx="54" formatCode="General">
                  <c:v>55</c:v>
                </c:pt>
                <c:pt idx="55" formatCode="General">
                  <c:v>56</c:v>
                </c:pt>
                <c:pt idx="56" formatCode="General">
                  <c:v>57</c:v>
                </c:pt>
                <c:pt idx="57" formatCode="General">
                  <c:v>58</c:v>
                </c:pt>
                <c:pt idx="58" formatCode="General">
                  <c:v>59</c:v>
                </c:pt>
                <c:pt idx="59" formatCode="General">
                  <c:v>60</c:v>
                </c:pt>
                <c:pt idx="60" formatCode="General">
                  <c:v>61</c:v>
                </c:pt>
                <c:pt idx="61" formatCode="General">
                  <c:v>62</c:v>
                </c:pt>
                <c:pt idx="62" formatCode="General">
                  <c:v>63</c:v>
                </c:pt>
                <c:pt idx="63" formatCode="General">
                  <c:v>64</c:v>
                </c:pt>
                <c:pt idx="64" formatCode="General">
                  <c:v>65</c:v>
                </c:pt>
                <c:pt idx="65" formatCode="General">
                  <c:v>66</c:v>
                </c:pt>
                <c:pt idx="66" formatCode="General">
                  <c:v>67</c:v>
                </c:pt>
                <c:pt idx="67" formatCode="General">
                  <c:v>68</c:v>
                </c:pt>
                <c:pt idx="68" formatCode="General">
                  <c:v>69</c:v>
                </c:pt>
                <c:pt idx="69" formatCode="General">
                  <c:v>70</c:v>
                </c:pt>
                <c:pt idx="70" formatCode="General">
                  <c:v>71</c:v>
                </c:pt>
                <c:pt idx="71" formatCode="General">
                  <c:v>72</c:v>
                </c:pt>
                <c:pt idx="72" formatCode="General">
                  <c:v>73</c:v>
                </c:pt>
                <c:pt idx="73" formatCode="General">
                  <c:v>74</c:v>
                </c:pt>
                <c:pt idx="74" formatCode="General">
                  <c:v>75</c:v>
                </c:pt>
                <c:pt idx="75" formatCode="General">
                  <c:v>76</c:v>
                </c:pt>
                <c:pt idx="76" formatCode="General">
                  <c:v>77</c:v>
                </c:pt>
                <c:pt idx="77" formatCode="General">
                  <c:v>78</c:v>
                </c:pt>
                <c:pt idx="78" formatCode="General">
                  <c:v>79</c:v>
                </c:pt>
                <c:pt idx="79" formatCode="General">
                  <c:v>80</c:v>
                </c:pt>
                <c:pt idx="80" formatCode="General">
                  <c:v>81</c:v>
                </c:pt>
                <c:pt idx="81" formatCode="General">
                  <c:v>82</c:v>
                </c:pt>
                <c:pt idx="82" formatCode="General">
                  <c:v>83</c:v>
                </c:pt>
                <c:pt idx="83" formatCode="General">
                  <c:v>84</c:v>
                </c:pt>
                <c:pt idx="84" formatCode="General">
                  <c:v>85</c:v>
                </c:pt>
                <c:pt idx="85" formatCode="General">
                  <c:v>86</c:v>
                </c:pt>
                <c:pt idx="86" formatCode="General">
                  <c:v>87</c:v>
                </c:pt>
                <c:pt idx="87" formatCode="General">
                  <c:v>88</c:v>
                </c:pt>
                <c:pt idx="88" formatCode="General">
                  <c:v>89</c:v>
                </c:pt>
                <c:pt idx="89" formatCode="General">
                  <c:v>90</c:v>
                </c:pt>
                <c:pt idx="90" formatCode="General">
                  <c:v>91</c:v>
                </c:pt>
                <c:pt idx="91" formatCode="General">
                  <c:v>92</c:v>
                </c:pt>
                <c:pt idx="92" formatCode="General">
                  <c:v>93</c:v>
                </c:pt>
                <c:pt idx="93" formatCode="General">
                  <c:v>94</c:v>
                </c:pt>
                <c:pt idx="94" formatCode="General">
                  <c:v>95</c:v>
                </c:pt>
                <c:pt idx="95" formatCode="General">
                  <c:v>96</c:v>
                </c:pt>
                <c:pt idx="96" formatCode="General">
                  <c:v>97</c:v>
                </c:pt>
                <c:pt idx="97" formatCode="General">
                  <c:v>98</c:v>
                </c:pt>
                <c:pt idx="98" formatCode="General">
                  <c:v>99</c:v>
                </c:pt>
                <c:pt idx="99" formatCode="General">
                  <c:v>100</c:v>
                </c:pt>
                <c:pt idx="100" formatCode="General">
                  <c:v>101</c:v>
                </c:pt>
                <c:pt idx="101" formatCode="General">
                  <c:v>102</c:v>
                </c:pt>
                <c:pt idx="102" formatCode="General">
                  <c:v>103</c:v>
                </c:pt>
                <c:pt idx="103" formatCode="General">
                  <c:v>104</c:v>
                </c:pt>
                <c:pt idx="104" formatCode="General">
                  <c:v>105</c:v>
                </c:pt>
                <c:pt idx="105" formatCode="General">
                  <c:v>106</c:v>
                </c:pt>
                <c:pt idx="106" formatCode="General">
                  <c:v>107</c:v>
                </c:pt>
                <c:pt idx="107" formatCode="General">
                  <c:v>108</c:v>
                </c:pt>
                <c:pt idx="108" formatCode="General">
                  <c:v>109</c:v>
                </c:pt>
                <c:pt idx="109" formatCode="General">
                  <c:v>110</c:v>
                </c:pt>
                <c:pt idx="110" formatCode="General">
                  <c:v>111</c:v>
                </c:pt>
                <c:pt idx="111" formatCode="General">
                  <c:v>112</c:v>
                </c:pt>
                <c:pt idx="112" formatCode="General">
                  <c:v>113</c:v>
                </c:pt>
                <c:pt idx="113" formatCode="General">
                  <c:v>114</c:v>
                </c:pt>
                <c:pt idx="114" formatCode="General">
                  <c:v>115</c:v>
                </c:pt>
                <c:pt idx="115" formatCode="General">
                  <c:v>116</c:v>
                </c:pt>
                <c:pt idx="116" formatCode="General">
                  <c:v>117</c:v>
                </c:pt>
                <c:pt idx="117" formatCode="General">
                  <c:v>118</c:v>
                </c:pt>
                <c:pt idx="118" formatCode="General">
                  <c:v>119</c:v>
                </c:pt>
                <c:pt idx="119" formatCode="General">
                  <c:v>120</c:v>
                </c:pt>
                <c:pt idx="120" formatCode="General">
                  <c:v>121</c:v>
                </c:pt>
                <c:pt idx="121" formatCode="General">
                  <c:v>122</c:v>
                </c:pt>
                <c:pt idx="122" formatCode="General">
                  <c:v>123</c:v>
                </c:pt>
                <c:pt idx="123" formatCode="General">
                  <c:v>124</c:v>
                </c:pt>
                <c:pt idx="124" formatCode="General">
                  <c:v>125</c:v>
                </c:pt>
                <c:pt idx="125" formatCode="General">
                  <c:v>126</c:v>
                </c:pt>
                <c:pt idx="126" formatCode="General">
                  <c:v>127</c:v>
                </c:pt>
                <c:pt idx="127" formatCode="General">
                  <c:v>128</c:v>
                </c:pt>
                <c:pt idx="128" formatCode="General">
                  <c:v>129</c:v>
                </c:pt>
                <c:pt idx="129" formatCode="General">
                  <c:v>130</c:v>
                </c:pt>
                <c:pt idx="130" formatCode="General">
                  <c:v>131</c:v>
                </c:pt>
                <c:pt idx="131" formatCode="General">
                  <c:v>132</c:v>
                </c:pt>
                <c:pt idx="132" formatCode="General">
                  <c:v>133</c:v>
                </c:pt>
                <c:pt idx="133" formatCode="General">
                  <c:v>134</c:v>
                </c:pt>
                <c:pt idx="134" formatCode="General">
                  <c:v>135</c:v>
                </c:pt>
                <c:pt idx="135" formatCode="General">
                  <c:v>136</c:v>
                </c:pt>
                <c:pt idx="136" formatCode="General">
                  <c:v>137</c:v>
                </c:pt>
                <c:pt idx="137" formatCode="General">
                  <c:v>138</c:v>
                </c:pt>
                <c:pt idx="138" formatCode="General">
                  <c:v>139</c:v>
                </c:pt>
                <c:pt idx="139" formatCode="General">
                  <c:v>140</c:v>
                </c:pt>
                <c:pt idx="140" formatCode="General">
                  <c:v>141</c:v>
                </c:pt>
                <c:pt idx="141" formatCode="General">
                  <c:v>142</c:v>
                </c:pt>
              </c:numCache>
            </c:numRef>
          </c:cat>
          <c:val>
            <c:numRef>
              <c:f>Cars!$T$5:$T$42</c:f>
              <c:numCache>
                <c:formatCode>0.00</c:formatCode>
                <c:ptCount val="38"/>
                <c:pt idx="0">
                  <c:v>1925</c:v>
                </c:pt>
                <c:pt idx="1">
                  <c:v>1744</c:v>
                </c:pt>
                <c:pt idx="2">
                  <c:v>1500</c:v>
                </c:pt>
                <c:pt idx="3">
                  <c:v>1481.75</c:v>
                </c:pt>
                <c:pt idx="4">
                  <c:v>1560</c:v>
                </c:pt>
                <c:pt idx="5">
                  <c:v>1505</c:v>
                </c:pt>
                <c:pt idx="6">
                  <c:v>1457.8571428571429</c:v>
                </c:pt>
                <c:pt idx="7">
                  <c:v>1598.75</c:v>
                </c:pt>
                <c:pt idx="8">
                  <c:v>1544.4444444444443</c:v>
                </c:pt>
                <c:pt idx="9">
                  <c:v>1510</c:v>
                </c:pt>
                <c:pt idx="10">
                  <c:v>1499.909090909091</c:v>
                </c:pt>
                <c:pt idx="11">
                  <c:v>1511.1666666666667</c:v>
                </c:pt>
                <c:pt idx="12">
                  <c:v>1425.7692307692307</c:v>
                </c:pt>
                <c:pt idx="13">
                  <c:v>1419.6428571428571</c:v>
                </c:pt>
                <c:pt idx="14">
                  <c:v>1435.3333333333333</c:v>
                </c:pt>
                <c:pt idx="15">
                  <c:v>1487.5</c:v>
                </c:pt>
                <c:pt idx="16">
                  <c:v>1494.1176470588234</c:v>
                </c:pt>
                <c:pt idx="17">
                  <c:v>1500</c:v>
                </c:pt>
                <c:pt idx="18">
                  <c:v>1502.6315789473683</c:v>
                </c:pt>
                <c:pt idx="19">
                  <c:v>1515</c:v>
                </c:pt>
                <c:pt idx="20">
                  <c:v>1542.8571428571429</c:v>
                </c:pt>
                <c:pt idx="21">
                  <c:v>1525</c:v>
                </c:pt>
                <c:pt idx="22">
                  <c:v>1511.6521739130435</c:v>
                </c:pt>
                <c:pt idx="23">
                  <c:v>1500</c:v>
                </c:pt>
                <c:pt idx="24">
                  <c:v>1496</c:v>
                </c:pt>
                <c:pt idx="25">
                  <c:v>1488.4615384615386</c:v>
                </c:pt>
                <c:pt idx="26">
                  <c:v>1481.148148148148</c:v>
                </c:pt>
                <c:pt idx="27">
                  <c:v>1482.1428571428571</c:v>
                </c:pt>
                <c:pt idx="28">
                  <c:v>1475.8620689655172</c:v>
                </c:pt>
                <c:pt idx="29">
                  <c:v>1500</c:v>
                </c:pt>
                <c:pt idx="30">
                  <c:v>1526.1935483870968</c:v>
                </c:pt>
                <c:pt idx="31">
                  <c:v>1544.21875</c:v>
                </c:pt>
                <c:pt idx="32">
                  <c:v>1545.1818181818182</c:v>
                </c:pt>
                <c:pt idx="33">
                  <c:v>1533.6764705882354</c:v>
                </c:pt>
                <c:pt idx="34">
                  <c:v>1530.2</c:v>
                </c:pt>
                <c:pt idx="35">
                  <c:v>1524.4166666666667</c:v>
                </c:pt>
                <c:pt idx="36">
                  <c:v>1505.4054054054054</c:v>
                </c:pt>
                <c:pt idx="37">
                  <c:v>1488.3947368421052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D-EF4E-A5F3-3F8781B53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5532992"/>
        <c:axId val="-2135555936"/>
      </c:lineChart>
      <c:catAx>
        <c:axId val="-213553299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crossAx val="-2135555936"/>
        <c:crosses val="autoZero"/>
        <c:auto val="1"/>
        <c:lblAlgn val="ctr"/>
        <c:lblOffset val="100"/>
        <c:noMultiLvlLbl val="0"/>
      </c:catAx>
      <c:valAx>
        <c:axId val="-213555593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-21355329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1799" l="0.70000000000000395" r="0.70000000000000395" t="0.75000000000001799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272139</xdr:colOff>
      <xdr:row>97</xdr:row>
      <xdr:rowOff>136068</xdr:rowOff>
    </xdr:from>
    <xdr:to>
      <xdr:col>25</xdr:col>
      <xdr:colOff>657312</xdr:colOff>
      <xdr:row>143</xdr:row>
      <xdr:rowOff>19954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725714</xdr:colOff>
      <xdr:row>109</xdr:row>
      <xdr:rowOff>80735</xdr:rowOff>
    </xdr:from>
    <xdr:to>
      <xdr:col>12</xdr:col>
      <xdr:colOff>206829</xdr:colOff>
      <xdr:row>131</xdr:row>
      <xdr:rowOff>48078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57150</xdr:colOff>
      <xdr:row>25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rahulpradhan/Library/Containers/com.microsoft.Excel/Data/Documents/tf77948210_win321.xlsx" TargetMode="External"/><Relationship Id="rId1" Type="http://schemas.openxmlformats.org/officeDocument/2006/relationships/externalLinkPath" Target="/Users/rahulpradhan/Library/Containers/com.microsoft.Excel/Data/Documents/tf77948210_win3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ul\Documents\vmware-host\Shared%2520Folders\Documents%2520and%2520Settings\pradhr\Application%2520Data\Microsoft\Excel\ExpRepMay13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Archived Categories Sheet"/>
      <sheetName val="HiddenCategories"/>
      <sheetName val="Institutions"/>
      <sheetName val="tf77948210_win321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"/>
    </sheetNames>
    <definedNames>
      <definedName name="Header_Row" sheetId="0"/>
      <definedName name="Number_of_Payments" sheetId="0"/>
      <definedName name="Values_Entered" sheetId="0"/>
    </definedNames>
    <sheetDataSet>
      <sheetData sheetId="0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455A19-943E-4BD4-A6C0-C3DEECEBDFF5}" name="Table2" displayName="Table2" ref="B2:K15" totalsRowShown="0" headerRowDxfId="1312" dataDxfId="1311" headerRowBorderDxfId="1309" tableBorderDxfId="1310" totalsRowBorderDxfId="1308">
  <autoFilter ref="B2:K15" xr:uid="{5A455A19-943E-4BD4-A6C0-C3DEECEBDFF5}"/>
  <tableColumns count="10">
    <tableColumn id="2" xr3:uid="{08CD48F4-22A9-4D1C-9489-4727B6D9DB5A}" name="Santa Barbara" dataDxfId="1307"/>
    <tableColumn id="3" xr3:uid="{ECD31C82-D437-42C7-B16F-642CB45B93E5}" name="LA" dataDxfId="1306"/>
    <tableColumn id="4" xr3:uid="{27E1914B-AE33-4469-B53C-67A80D8093DB}" name="Yosemite" dataDxfId="1305"/>
    <tableColumn id="5" xr3:uid="{D8A9B114-654D-4149-9569-D7011982720E}" name="Tahoe" dataDxfId="1304"/>
    <tableColumn id="6" xr3:uid="{BF49E413-9A7C-4D58-B549-9FFD5202D59B}" name="Europe  - Rome-Paris-London" dataDxfId="1303"/>
    <tableColumn id="1" xr3:uid="{7868BFD7-DCED-43B4-9A97-14801E7129F9}" name="Oahu" dataDxfId="1302"/>
    <tableColumn id="8" xr3:uid="{B8FAFF12-C3CE-4DF7-BC03-82D511070581}" name="Death Valley" dataDxfId="1301"/>
    <tableColumn id="9" xr3:uid="{4FE4135B-98C1-4E3A-B540-8B08775A5D85}" name="Folsom, CA" dataDxfId="1300"/>
    <tableColumn id="11" xr3:uid="{5BBC892B-B5C0-4902-A796-786A8233E0D5}" name="Tahoe2" dataDxfId="1299"/>
    <tableColumn id="7" xr3:uid="{F84B1585-0DD2-4A3C-99FB-5937FC769315}" name="Banff, AL, CAN" dataDxfId="129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DB2AC-1BF4-4476-9215-18AB431E18A7}" name="Table3" displayName="Table3" ref="L2:L15" totalsRowShown="0" headerRowDxfId="1297" dataDxfId="1296" headerRowBorderDxfId="1294" tableBorderDxfId="1295" totalsRowBorderDxfId="1293">
  <autoFilter ref="L2:L15" xr:uid="{1E5DB2AC-1BF4-4476-9215-18AB431E18A7}"/>
  <tableColumns count="1">
    <tableColumn id="1" xr3:uid="{E177C07B-0C0D-4F4D-953A-06C165BB26B3}" name="Costa Rica" dataDxfId="129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A4068-3E20-459B-B7AA-F817CB9FAC08}" name="Table35" displayName="Table35" ref="M2:P15" totalsRowShown="0" headerRowDxfId="1291" dataDxfId="1290" headerRowBorderDxfId="1288" tableBorderDxfId="1289" totalsRowBorderDxfId="1287">
  <autoFilter ref="M2:P15" xr:uid="{945A4068-3E20-459B-B7AA-F817CB9FAC08}"/>
  <tableColumns count="4">
    <tableColumn id="1" xr3:uid="{F41B8803-D56F-4D3B-80ED-60AAAF6D4BF7}" name="Las Vegas" dataDxfId="1286"/>
    <tableColumn id="2" xr3:uid="{0AA368F1-AFE5-4930-8687-DE5C95975BDC}" name="Yellow Stone" dataDxfId="1285"/>
    <tableColumn id="3" xr3:uid="{D5619FE1-4B93-41DD-8D74-0D514E13AB52}" name="Tahoe" dataDxfId="1284"/>
    <tableColumn id="4" xr3:uid="{7841B02C-5240-43CA-B3F5-A830D46A0A71}" name="Ger-FRA-Swiss" dataDxfId="128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F9199-5090-EA41-9CF3-7F3ED89E5F5B}" name="PaymentSchedule" displayName="PaymentSchedule" ref="B10:K370" totalsRowShown="0" headerRowDxfId="11" dataDxfId="10">
  <tableColumns count="10">
    <tableColumn id="1" xr3:uid="{00000000-0010-0000-0000-000001000000}" name="PMT NO" dataDxfId="9" dataCellStyle="Number">
      <calculatedColumnFormula>IF(LoanIsGood,IF(ROW()-ROW(PaymentSchedule[[#Headers],[PMT NO]])&gt;ScheduledNumberOfPayments,"",ROW()-ROW(PaymentSchedule[[#Headers],[PMT NO]])),"")</calculatedColumnFormula>
    </tableColumn>
    <tableColumn id="2" xr3:uid="{00000000-0010-0000-0000-000002000000}" name="PAYMENT DATE" dataDxfId="8" dataCellStyle="Date">
      <calculatedColumnFormula>IF(PaymentSchedule[[#This Row],[PMT NO]]&lt;&gt;"",EOMONTH(LoanStartDate,ROW(PaymentSchedule[[#This Row],[PMT NO]])-ROW(PaymentSchedule[[#Headers],[PMT NO]])-2)+DAY(LoanStartDate),"")</calculatedColumnFormula>
    </tableColumn>
    <tableColumn id="3" xr3:uid="{00000000-0010-0000-0000-000003000000}" name="BEGINNING BALANCE" dataDxfId="7" dataCellStyle="Table Amount">
      <calculatedColumnFormula>IF(PaymentSchedule[[#This Row],[PMT NO]]&lt;&gt;"",IF(ROW()-ROW(PaymentSchedule[[#Headers],[BEGINNING BALANCE]])=1,LoanAmount,INDEX(PaymentSchedule[ENDING BALANCE],ROW()-ROW(PaymentSchedule[[#Headers],[BEGINNING BALANCE]])-1)),"")</calculatedColumnFormula>
    </tableColumn>
    <tableColumn id="4" xr3:uid="{00000000-0010-0000-0000-000004000000}" name="SCHEDULED PAYMENT" dataDxfId="6" dataCellStyle="Table Amount">
      <calculatedColumnFormula>IF(PaymentSchedule[[#This Row],[PMT NO]]&lt;&gt;"",ScheduledPayment,"")</calculatedColumnFormula>
    </tableColumn>
    <tableColumn id="5" xr3:uid="{00000000-0010-0000-0000-000005000000}" name="EXTRA PAYMENT" dataDxfId="5" dataCellStyle="Table Amount">
      <calculatedColumnFormula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calculatedColumnFormula>
    </tableColumn>
    <tableColumn id="6" xr3:uid="{00000000-0010-0000-0000-000006000000}" name="TOTAL PAYMENT" dataDxfId="4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calculatedColumnFormula>
    </tableColumn>
    <tableColumn id="7" xr3:uid="{00000000-0010-0000-0000-000007000000}" name="PRINCIPAL" dataDxfId="3" dataCellStyle="Table Amount">
      <calculatedColumnFormula>IF(PaymentSchedule[[#This Row],[PMT NO]]&lt;&gt;"",PaymentSchedule[[#This Row],[TOTAL PAYMENT]]-PaymentSchedule[[#This Row],[INTEREST]],"")</calculatedColumnFormula>
    </tableColumn>
    <tableColumn id="8" xr3:uid="{00000000-0010-0000-0000-000008000000}" name="INTEREST" dataDxfId="2" dataCellStyle="Table Amount">
      <calculatedColumnFormula>IF(PaymentSchedule[[#This Row],[PMT NO]]&lt;&gt;"",PaymentSchedule[[#This Row],[BEGINNING BALANCE]]*(InterestRate/PaymentsPerYear),"")</calculatedColumnFormula>
    </tableColumn>
    <tableColumn id="9" xr3:uid="{00000000-0010-0000-0000-000009000000}" name="ENDING BALANCE" dataDxfId="1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calculatedColumnFormula>
    </tableColumn>
    <tableColumn id="10" xr3:uid="{00000000-0010-0000-0000-00000A000000}" name="CUMULATIVE INTEREST" dataDxfId="0" dataCellStyle="Table Amount">
      <calculatedColumnFormula>IF(PaymentSchedule[[#This Row],[PMT NO]]&lt;&gt;"",SUM(INDEX(PaymentSchedule[INTEREST],1,1):PaymentSchedule[[#This Row],[INTEREST]]),"")</calculatedColumnFormula>
    </tableColumn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scheduled payment, extra payment, principal amount, interest and cumulative interest amount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D18E21C-9FAF-4BE1-9B97-C5C9DAD75FAA}">
  <we:reference id="wa104381701" version="1.0.0.4" store="en-US" storeType="omex"/>
  <we:alternateReferences>
    <we:reference id="wa104381701" version="1.0.0.4" store="en-US" storeType="omex"/>
  </we:alternateReferences>
  <we:properties/>
  <we:bindings>
    <we:binding id="currentSelection" type="table" appref="{FFA926DC-E0BF-447C-9B98-89364839C6D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5F981E9-0F37-4233-B9A3-550ED5088C6A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almart.com" TargetMode="External"/><Relationship Id="rId2" Type="http://schemas.openxmlformats.org/officeDocument/2006/relationships/hyperlink" Target="http://Menswearhouse.com" TargetMode="External"/><Relationship Id="rId1" Type="http://schemas.openxmlformats.org/officeDocument/2006/relationships/hyperlink" Target="http://Trip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://Uber.com" TargetMode="External"/><Relationship Id="rId3" Type="http://schemas.openxmlformats.org/officeDocument/2006/relationships/hyperlink" Target="http://WWW.LAYLA.AI" TargetMode="External"/><Relationship Id="rId7" Type="http://schemas.openxmlformats.org/officeDocument/2006/relationships/hyperlink" Target="http://Uber.com" TargetMode="External"/><Relationship Id="rId2" Type="http://schemas.openxmlformats.org/officeDocument/2006/relationships/hyperlink" Target="http://Uber.com" TargetMode="External"/><Relationship Id="rId1" Type="http://schemas.openxmlformats.org/officeDocument/2006/relationships/hyperlink" Target="http://Tivoli.dk" TargetMode="External"/><Relationship Id="rId6" Type="http://schemas.openxmlformats.org/officeDocument/2006/relationships/hyperlink" Target="http://Uber.com" TargetMode="External"/><Relationship Id="rId5" Type="http://schemas.openxmlformats.org/officeDocument/2006/relationships/hyperlink" Target="http://TARGET.COM" TargetMode="External"/><Relationship Id="rId4" Type="http://schemas.openxmlformats.org/officeDocument/2006/relationships/hyperlink" Target="http://Vitacost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://Apple.com/bill" TargetMode="External"/><Relationship Id="rId2" Type="http://schemas.openxmlformats.org/officeDocument/2006/relationships/hyperlink" Target="http://Temu.com" TargetMode="External"/><Relationship Id="rId1" Type="http://schemas.openxmlformats.org/officeDocument/2006/relationships/hyperlink" Target="http://Temu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://Sephora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mortgagecalculator.org/mortgage-rates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BO1281"/>
  <sheetViews>
    <sheetView topLeftCell="A132" zoomScale="199" zoomScaleNormal="199" zoomScalePageLayoutView="168" workbookViewId="0">
      <selection activeCell="Y9" sqref="Y9"/>
    </sheetView>
  </sheetViews>
  <sheetFormatPr defaultColWidth="8.85546875" defaultRowHeight="12.75" customHeight="1"/>
  <cols>
    <col min="1" max="1" width="19.7109375" style="1515" customWidth="1"/>
    <col min="2" max="3" width="11.85546875" style="1515" hidden="1" customWidth="1"/>
    <col min="4" max="4" width="10.7109375" style="1515" hidden="1" customWidth="1"/>
    <col min="5" max="6" width="13.28515625" style="1515" hidden="1" customWidth="1"/>
    <col min="7" max="7" width="12.140625" style="1515" hidden="1" customWidth="1"/>
    <col min="8" max="8" width="13.42578125" style="1515" hidden="1" customWidth="1"/>
    <col min="9" max="9" width="11.42578125" style="1515" hidden="1" customWidth="1"/>
    <col min="10" max="10" width="11.140625" style="1515" hidden="1" customWidth="1"/>
    <col min="11" max="11" width="10.7109375" style="1515" hidden="1" customWidth="1"/>
    <col min="12" max="14" width="13" style="1515" hidden="1" customWidth="1"/>
    <col min="15" max="15" width="11" style="1515" customWidth="1"/>
    <col min="16" max="18" width="10.7109375" style="1520" customWidth="1"/>
    <col min="19" max="19" width="11.140625" style="1521" customWidth="1"/>
    <col min="20" max="20" width="10.5703125" style="1520" customWidth="1"/>
    <col min="21" max="21" width="11.7109375" style="1521" customWidth="1"/>
    <col min="22" max="22" width="11" style="1520" customWidth="1"/>
    <col min="23" max="23" width="13" style="1520" customWidth="1"/>
    <col min="24" max="25" width="14.140625" style="1522" customWidth="1"/>
    <col min="26" max="26" width="13.85546875" style="1520" hidden="1" customWidth="1"/>
    <col min="27" max="28" width="16.140625" style="1520" hidden="1" customWidth="1"/>
    <col min="29" max="29" width="7.5703125" style="1443" hidden="1" customWidth="1"/>
    <col min="30" max="30" width="10.7109375" style="1443" customWidth="1"/>
    <col min="31" max="31" width="12.140625" style="1443" customWidth="1"/>
    <col min="32" max="33" width="8.85546875" style="852" customWidth="1"/>
    <col min="34" max="34" width="18.85546875" style="852" customWidth="1"/>
    <col min="35" max="35" width="12.28515625" style="852" customWidth="1"/>
    <col min="36" max="36" width="12.140625" style="853" customWidth="1"/>
    <col min="37" max="37" width="11.42578125" style="853" customWidth="1"/>
    <col min="38" max="38" width="12" style="853" customWidth="1"/>
    <col min="39" max="39" width="12.7109375" style="853" customWidth="1"/>
    <col min="40" max="40" width="13.42578125" style="853" customWidth="1"/>
    <col min="41" max="44" width="8.85546875" style="853" customWidth="1"/>
    <col min="45" max="67" width="8.85546875" style="853"/>
    <col min="68" max="16384" width="8.85546875" style="854"/>
  </cols>
  <sheetData>
    <row r="1" spans="1:47" hidden="1">
      <c r="A1" s="1440"/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1"/>
      <c r="T1" s="1440"/>
      <c r="U1" s="1441"/>
      <c r="V1" s="1440"/>
      <c r="W1" s="1440"/>
      <c r="X1" s="1442"/>
      <c r="Y1" s="1442"/>
      <c r="Z1" s="1440"/>
      <c r="AA1" s="1440"/>
      <c r="AB1" s="1440"/>
    </row>
    <row r="2" spans="1:47" ht="0.75" customHeight="1">
      <c r="A2" s="1440"/>
      <c r="B2" s="1440"/>
      <c r="C2" s="1440"/>
      <c r="D2" s="1440"/>
      <c r="E2" s="1440"/>
      <c r="F2" s="1440"/>
      <c r="G2" s="1440"/>
      <c r="H2" s="1440"/>
      <c r="I2" s="1440"/>
      <c r="J2" s="1440"/>
      <c r="K2" s="1440"/>
      <c r="L2" s="1440"/>
      <c r="M2" s="1440"/>
      <c r="N2" s="1440"/>
      <c r="O2" s="1440"/>
      <c r="P2" s="1440"/>
      <c r="Q2" s="1440"/>
      <c r="R2" s="1440"/>
      <c r="S2" s="1441"/>
      <c r="T2" s="1440"/>
      <c r="U2" s="1441"/>
      <c r="V2" s="1440"/>
      <c r="W2" s="1442"/>
      <c r="X2" s="1442"/>
      <c r="Y2" s="1442"/>
      <c r="Z2" s="1440"/>
      <c r="AA2" s="1440"/>
      <c r="AB2" s="1440"/>
    </row>
    <row r="3" spans="1:47" hidden="1">
      <c r="A3" s="1440"/>
      <c r="B3" s="1440"/>
      <c r="C3" s="1440"/>
      <c r="D3" s="1440"/>
      <c r="E3" s="1440"/>
      <c r="F3" s="1440"/>
      <c r="G3" s="1440"/>
      <c r="H3" s="1440"/>
      <c r="I3" s="1440"/>
      <c r="J3" s="1440"/>
      <c r="K3" s="1440"/>
      <c r="L3" s="1440"/>
      <c r="M3" s="1440"/>
      <c r="N3" s="1440"/>
      <c r="O3" s="1440"/>
      <c r="P3" s="1440"/>
      <c r="Q3" s="1440"/>
      <c r="R3" s="1440"/>
      <c r="S3" s="1441"/>
      <c r="T3" s="1440"/>
      <c r="U3" s="1441"/>
      <c r="V3" s="1440"/>
      <c r="W3" s="1442"/>
      <c r="X3" s="1442"/>
      <c r="Y3" s="1442"/>
      <c r="Z3" s="1440"/>
      <c r="AA3" s="1440"/>
      <c r="AB3" s="1440"/>
    </row>
    <row r="4" spans="1:47" hidden="1">
      <c r="A4" s="1440"/>
      <c r="B4" s="1440"/>
      <c r="C4" s="1440"/>
      <c r="D4" s="1440"/>
      <c r="E4" s="1440"/>
      <c r="F4" s="1440"/>
      <c r="G4" s="1440"/>
      <c r="H4" s="1440"/>
      <c r="I4" s="1440"/>
      <c r="J4" s="1440"/>
      <c r="K4" s="1440"/>
      <c r="L4" s="1440"/>
      <c r="M4" s="1440"/>
      <c r="N4" s="1440"/>
      <c r="O4" s="1440"/>
      <c r="P4" s="1440"/>
      <c r="Q4" s="1440"/>
      <c r="R4" s="1440"/>
      <c r="S4" s="1441"/>
      <c r="T4" s="1440"/>
      <c r="U4" s="1441"/>
      <c r="V4" s="1440"/>
      <c r="W4" s="1442"/>
      <c r="X4" s="1442"/>
      <c r="Y4" s="1442"/>
      <c r="Z4" s="1440"/>
      <c r="AA4" s="1440"/>
      <c r="AB4" s="1440"/>
    </row>
    <row r="5" spans="1:47" hidden="1">
      <c r="A5" s="1440"/>
      <c r="B5" s="1440"/>
      <c r="C5" s="1440"/>
      <c r="D5" s="1440"/>
      <c r="E5" s="1440"/>
      <c r="F5" s="1440"/>
      <c r="G5" s="1440"/>
      <c r="H5" s="1440"/>
      <c r="I5" s="1440"/>
      <c r="J5" s="1440"/>
      <c r="K5" s="1440"/>
      <c r="L5" s="1440"/>
      <c r="M5" s="1440"/>
      <c r="N5" s="1440"/>
      <c r="O5" s="1440"/>
      <c r="P5" s="1440"/>
      <c r="Q5" s="1440"/>
      <c r="R5" s="1440"/>
      <c r="S5" s="1441"/>
      <c r="T5" s="1440"/>
      <c r="U5" s="1441"/>
      <c r="V5" s="1440"/>
      <c r="W5" s="1442"/>
      <c r="X5" s="1442"/>
      <c r="Y5" s="1442"/>
      <c r="Z5" s="1440"/>
      <c r="AA5" s="1440"/>
      <c r="AB5" s="1440"/>
    </row>
    <row r="6" spans="1:47" hidden="1">
      <c r="A6" s="1440"/>
      <c r="B6" s="1440"/>
      <c r="C6" s="1440"/>
      <c r="D6" s="1440"/>
      <c r="E6" s="1440"/>
      <c r="F6" s="1440"/>
      <c r="G6" s="1440"/>
      <c r="H6" s="1440"/>
      <c r="I6" s="1440"/>
      <c r="J6" s="1440"/>
      <c r="K6" s="1440"/>
      <c r="L6" s="1440"/>
      <c r="M6" s="1440"/>
      <c r="N6" s="1440"/>
      <c r="O6" s="1440"/>
      <c r="P6" s="1440"/>
      <c r="Q6" s="1440"/>
      <c r="R6" s="1440"/>
      <c r="S6" s="1441"/>
      <c r="T6" s="1440"/>
      <c r="U6" s="1441"/>
      <c r="V6" s="1440"/>
      <c r="W6" s="1442"/>
      <c r="X6" s="1442"/>
      <c r="Y6" s="1442"/>
      <c r="Z6" s="1440"/>
      <c r="AA6" s="1440"/>
      <c r="AB6" s="1440"/>
    </row>
    <row r="7" spans="1:47">
      <c r="A7" s="1444"/>
      <c r="B7" s="1444"/>
      <c r="C7" s="1444"/>
      <c r="D7" s="1444"/>
      <c r="E7" s="1444"/>
      <c r="F7" s="1444"/>
      <c r="G7" s="1444"/>
      <c r="H7" s="1444"/>
      <c r="I7" s="1444"/>
      <c r="J7" s="1444"/>
      <c r="K7" s="1444"/>
      <c r="L7" s="1444"/>
      <c r="M7" s="1444"/>
      <c r="N7" s="1444"/>
      <c r="O7" s="1444"/>
      <c r="P7" s="1444"/>
      <c r="Q7" s="1444"/>
      <c r="R7" s="1444"/>
      <c r="S7" s="1444"/>
      <c r="T7" s="1444"/>
      <c r="U7" s="1444"/>
      <c r="V7" s="1444"/>
      <c r="W7" s="1444"/>
      <c r="X7" s="1444"/>
      <c r="Y7" s="1444"/>
      <c r="Z7" s="1444"/>
      <c r="AA7" s="1444"/>
      <c r="AB7" s="1444"/>
      <c r="AC7" s="1444"/>
      <c r="AD7" s="1444"/>
      <c r="AE7" s="1444"/>
    </row>
    <row r="8" spans="1:47" ht="13.5">
      <c r="A8" s="1612" t="s">
        <v>0</v>
      </c>
      <c r="B8" s="1612" t="s">
        <v>1</v>
      </c>
      <c r="C8" s="1612" t="s">
        <v>2</v>
      </c>
      <c r="D8" s="1612" t="s">
        <v>3</v>
      </c>
      <c r="E8" s="1612" t="s">
        <v>4</v>
      </c>
      <c r="F8" s="1612" t="s">
        <v>5</v>
      </c>
      <c r="G8" s="1612" t="s">
        <v>6</v>
      </c>
      <c r="H8" s="1612" t="s">
        <v>7</v>
      </c>
      <c r="I8" s="1612" t="s">
        <v>8</v>
      </c>
      <c r="J8" s="1612" t="s">
        <v>9</v>
      </c>
      <c r="K8" s="1612" t="s">
        <v>10</v>
      </c>
      <c r="L8" s="1612" t="s">
        <v>11</v>
      </c>
      <c r="M8" s="1612" t="s">
        <v>12</v>
      </c>
      <c r="N8" s="1612" t="s">
        <v>13</v>
      </c>
      <c r="O8" s="1612" t="s">
        <v>14</v>
      </c>
      <c r="P8" s="1612" t="s">
        <v>15</v>
      </c>
      <c r="Q8" s="1612" t="s">
        <v>16</v>
      </c>
      <c r="R8" s="1612" t="s">
        <v>17</v>
      </c>
      <c r="S8" s="1612" t="s">
        <v>18</v>
      </c>
      <c r="T8" s="1612" t="s">
        <v>19</v>
      </c>
      <c r="U8" s="1612" t="s">
        <v>20</v>
      </c>
      <c r="V8" s="1612" t="s">
        <v>21</v>
      </c>
      <c r="W8" s="1612" t="s">
        <v>22</v>
      </c>
      <c r="X8" s="1612" t="s">
        <v>23</v>
      </c>
      <c r="Y8" s="1612" t="s">
        <v>24</v>
      </c>
      <c r="Z8" s="1613" t="s">
        <v>18</v>
      </c>
      <c r="AA8" s="1613" t="s">
        <v>19</v>
      </c>
      <c r="AB8" s="1613" t="s">
        <v>25</v>
      </c>
      <c r="AC8" s="1613" t="s">
        <v>26</v>
      </c>
      <c r="AD8" s="1614" t="s">
        <v>27</v>
      </c>
      <c r="AE8" s="1614" t="s">
        <v>28</v>
      </c>
      <c r="AF8" s="855"/>
      <c r="AG8" s="855"/>
      <c r="AH8" s="855"/>
      <c r="AI8" s="855"/>
      <c r="AJ8" s="816"/>
      <c r="AK8" s="816"/>
      <c r="AL8" s="816"/>
      <c r="AM8" s="816"/>
      <c r="AN8" s="816"/>
      <c r="AO8" s="816"/>
    </row>
    <row r="9" spans="1:47" ht="13.5">
      <c r="A9" s="1615" t="s">
        <v>29</v>
      </c>
      <c r="B9" s="1615">
        <v>1</v>
      </c>
      <c r="C9" s="1615">
        <v>2</v>
      </c>
      <c r="D9" s="1615">
        <v>3</v>
      </c>
      <c r="E9" s="1615">
        <v>4</v>
      </c>
      <c r="F9" s="1615">
        <v>5</v>
      </c>
      <c r="G9" s="1615">
        <v>6</v>
      </c>
      <c r="H9" s="1615">
        <v>7</v>
      </c>
      <c r="I9" s="1615">
        <v>8</v>
      </c>
      <c r="J9" s="1615">
        <v>9</v>
      </c>
      <c r="K9" s="1615">
        <v>10</v>
      </c>
      <c r="L9" s="1615">
        <v>11</v>
      </c>
      <c r="M9" s="1615">
        <v>12</v>
      </c>
      <c r="N9" s="1615">
        <v>13</v>
      </c>
      <c r="O9" s="1615">
        <v>14</v>
      </c>
      <c r="P9" s="1615">
        <v>15</v>
      </c>
      <c r="Q9" s="1615">
        <v>16</v>
      </c>
      <c r="R9" s="1615">
        <v>17</v>
      </c>
      <c r="S9" s="1615">
        <v>18</v>
      </c>
      <c r="T9" s="1615">
        <v>19</v>
      </c>
      <c r="U9" s="1615">
        <v>20</v>
      </c>
      <c r="V9" s="1615">
        <v>21</v>
      </c>
      <c r="W9" s="1615">
        <v>22</v>
      </c>
      <c r="X9" s="1615">
        <v>23</v>
      </c>
      <c r="Y9" s="1615"/>
      <c r="Z9" s="1615">
        <v>18</v>
      </c>
      <c r="AA9" s="1615">
        <v>18</v>
      </c>
      <c r="AB9" s="1615">
        <v>30</v>
      </c>
      <c r="AC9" s="1615"/>
      <c r="AD9" s="1615"/>
      <c r="AE9" s="1615"/>
      <c r="AF9" s="855"/>
      <c r="AG9" s="855"/>
      <c r="AH9" s="855"/>
      <c r="AI9" s="855"/>
      <c r="AJ9" s="816"/>
      <c r="AK9" s="816"/>
      <c r="AL9" s="816"/>
      <c r="AM9" s="816"/>
      <c r="AN9" s="816"/>
      <c r="AO9" s="816"/>
    </row>
    <row r="10" spans="1:47" s="858" customFormat="1" ht="13.5">
      <c r="A10" s="1616" t="s">
        <v>30</v>
      </c>
      <c r="B10" s="1617">
        <f t="shared" ref="B10:P10" si="0">SUM(B11:B12)</f>
        <v>33800</v>
      </c>
      <c r="C10" s="1617">
        <f t="shared" si="0"/>
        <v>46727</v>
      </c>
      <c r="D10" s="1617">
        <f t="shared" si="0"/>
        <v>51927</v>
      </c>
      <c r="E10" s="1617">
        <f t="shared" si="0"/>
        <v>48000</v>
      </c>
      <c r="F10" s="1617">
        <f t="shared" si="0"/>
        <v>61000</v>
      </c>
      <c r="G10" s="1617">
        <f t="shared" si="0"/>
        <v>90551</v>
      </c>
      <c r="H10" s="1617">
        <f t="shared" si="0"/>
        <v>90898</v>
      </c>
      <c r="I10" s="1617">
        <f t="shared" si="0"/>
        <v>155500</v>
      </c>
      <c r="J10" s="1617">
        <f t="shared" si="0"/>
        <v>139703</v>
      </c>
      <c r="K10" s="1617">
        <f t="shared" si="0"/>
        <v>136200</v>
      </c>
      <c r="L10" s="1617">
        <f t="shared" si="0"/>
        <v>83500</v>
      </c>
      <c r="M10" s="1617">
        <f t="shared" si="0"/>
        <v>112353</v>
      </c>
      <c r="N10" s="1617">
        <f t="shared" si="0"/>
        <v>182000</v>
      </c>
      <c r="O10" s="1617">
        <f t="shared" si="0"/>
        <v>200000</v>
      </c>
      <c r="P10" s="1617">
        <f t="shared" si="0"/>
        <v>534280</v>
      </c>
      <c r="Q10" s="1617">
        <f t="shared" ref="Q10:X10" si="1">SUM(Q11:Q12)</f>
        <v>745000</v>
      </c>
      <c r="R10" s="1617">
        <f t="shared" si="1"/>
        <v>875000</v>
      </c>
      <c r="S10" s="1618">
        <f t="shared" si="1"/>
        <v>1016000</v>
      </c>
      <c r="T10" s="1617">
        <f>SUM(T11:T12)</f>
        <v>358500</v>
      </c>
      <c r="U10" s="1618">
        <f t="shared" si="1"/>
        <v>460000</v>
      </c>
      <c r="V10" s="1617">
        <f t="shared" si="1"/>
        <v>424000</v>
      </c>
      <c r="W10" s="1617">
        <f t="shared" ref="W10" si="2">SUM(W11:W12)</f>
        <v>427000</v>
      </c>
      <c r="X10" s="1617">
        <f t="shared" si="1"/>
        <v>510000</v>
      </c>
      <c r="Y10" s="1617"/>
      <c r="Z10" s="1617">
        <f>SUM(Z11:Z12)</f>
        <v>1016000</v>
      </c>
      <c r="AA10" s="1617">
        <f>SUM(AA11:AA12)</f>
        <v>115000</v>
      </c>
      <c r="AB10" s="1617">
        <f>SUM(AB11:AB12)</f>
        <v>355000</v>
      </c>
      <c r="AC10" s="1619">
        <f>(R10-O10)/O10</f>
        <v>3.375</v>
      </c>
      <c r="AD10" s="1619">
        <f>(Z10-I10)/I10</f>
        <v>5.5337620578778139</v>
      </c>
      <c r="AE10" s="1620">
        <f t="shared" ref="AE10:AE28" si="3">(Z10-I10)/10</f>
        <v>86050</v>
      </c>
      <c r="AF10" s="855"/>
      <c r="AG10" s="855"/>
      <c r="AH10" s="855"/>
      <c r="AI10" s="855"/>
      <c r="AJ10" s="856"/>
      <c r="AK10" s="856"/>
      <c r="AL10" s="856"/>
      <c r="AM10" s="856"/>
      <c r="AN10" s="856"/>
      <c r="AO10" s="856"/>
      <c r="AP10" s="857"/>
      <c r="AQ10" s="857"/>
      <c r="AR10" s="857"/>
      <c r="AS10" s="857"/>
      <c r="AT10" s="857"/>
      <c r="AU10" s="857"/>
    </row>
    <row r="11" spans="1:47" s="858" customFormat="1" ht="13.5">
      <c r="A11" s="1616" t="s">
        <v>31</v>
      </c>
      <c r="B11" s="1621">
        <v>32800</v>
      </c>
      <c r="C11" s="1621">
        <v>45727</v>
      </c>
      <c r="D11" s="1621">
        <v>50927</v>
      </c>
      <c r="E11" s="1621">
        <v>47000</v>
      </c>
      <c r="F11" s="1621">
        <v>60000</v>
      </c>
      <c r="G11" s="1621">
        <v>89551</v>
      </c>
      <c r="H11" s="1621">
        <v>89898</v>
      </c>
      <c r="I11" s="1621">
        <v>153000</v>
      </c>
      <c r="J11" s="1621">
        <v>136163</v>
      </c>
      <c r="K11" s="1621">
        <v>132700</v>
      </c>
      <c r="L11" s="1621">
        <v>80000</v>
      </c>
      <c r="M11" s="1621">
        <v>92353</v>
      </c>
      <c r="N11" s="1621">
        <v>162000</v>
      </c>
      <c r="O11" s="1621">
        <v>195000</v>
      </c>
      <c r="P11" s="1622">
        <v>499000</v>
      </c>
      <c r="Q11" s="1622">
        <v>730000</v>
      </c>
      <c r="R11" s="1622">
        <v>860000</v>
      </c>
      <c r="S11" s="1622">
        <f xml:space="preserve"> 205282 + 121225 + 358493 + 30000 + 86000 + 200000</f>
        <v>1001000</v>
      </c>
      <c r="T11" s="1622">
        <v>300500</v>
      </c>
      <c r="U11" s="1622">
        <v>340000</v>
      </c>
      <c r="V11" s="1622">
        <v>334000</v>
      </c>
      <c r="W11" s="1622">
        <f>347000</f>
        <v>347000</v>
      </c>
      <c r="X11" s="1622">
        <v>400000</v>
      </c>
      <c r="Y11" s="1622"/>
      <c r="Z11" s="1623">
        <f xml:space="preserve"> 205282 + 121225 + 358493 + 30000 + 86000 + 200000</f>
        <v>1001000</v>
      </c>
      <c r="AA11" s="1623">
        <v>100000</v>
      </c>
      <c r="AB11" s="1623">
        <v>340000</v>
      </c>
      <c r="AC11" s="1624"/>
      <c r="AD11" s="1625">
        <f>(Z11-I11)/I11</f>
        <v>5.5424836601307188</v>
      </c>
      <c r="AE11" s="1626">
        <f t="shared" si="3"/>
        <v>84800</v>
      </c>
      <c r="AF11" s="855"/>
      <c r="AG11" s="855"/>
      <c r="AH11" s="855"/>
      <c r="AI11" s="855"/>
      <c r="AJ11" s="856"/>
      <c r="AK11" s="856"/>
      <c r="AL11" s="856"/>
      <c r="AM11" s="856"/>
      <c r="AN11" s="856"/>
      <c r="AO11" s="856"/>
      <c r="AP11" s="857"/>
      <c r="AQ11" s="857"/>
      <c r="AR11" s="857"/>
      <c r="AS11" s="857"/>
      <c r="AT11" s="857"/>
      <c r="AU11" s="857"/>
    </row>
    <row r="12" spans="1:47" s="858" customFormat="1" ht="13.5">
      <c r="A12" s="1616" t="s">
        <v>32</v>
      </c>
      <c r="B12" s="1621">
        <v>1000</v>
      </c>
      <c r="C12" s="1621">
        <v>1000</v>
      </c>
      <c r="D12" s="1621">
        <v>1000</v>
      </c>
      <c r="E12" s="1621">
        <v>1000</v>
      </c>
      <c r="F12" s="1621">
        <v>1000</v>
      </c>
      <c r="G12" s="1621">
        <v>1000</v>
      </c>
      <c r="H12" s="1621">
        <v>1000</v>
      </c>
      <c r="I12" s="1621">
        <v>2500</v>
      </c>
      <c r="J12" s="1621">
        <v>3540</v>
      </c>
      <c r="K12" s="1621">
        <v>3500</v>
      </c>
      <c r="L12" s="1621">
        <v>3500</v>
      </c>
      <c r="M12" s="1621">
        <v>20000</v>
      </c>
      <c r="N12" s="1621">
        <v>20000</v>
      </c>
      <c r="O12" s="1621">
        <v>5000</v>
      </c>
      <c r="P12" s="1622">
        <v>35280</v>
      </c>
      <c r="Q12" s="1622">
        <v>15000</v>
      </c>
      <c r="R12" s="1622">
        <v>15000</v>
      </c>
      <c r="S12" s="1622">
        <v>15000</v>
      </c>
      <c r="T12" s="1622">
        <v>58000</v>
      </c>
      <c r="U12" s="1622">
        <v>120000</v>
      </c>
      <c r="V12" s="1622">
        <v>90000</v>
      </c>
      <c r="W12" s="1622">
        <v>80000</v>
      </c>
      <c r="X12" s="1622">
        <v>110000</v>
      </c>
      <c r="Y12" s="1622"/>
      <c r="Z12" s="1623">
        <v>15000</v>
      </c>
      <c r="AA12" s="1623">
        <v>15000</v>
      </c>
      <c r="AB12" s="1623">
        <v>15000</v>
      </c>
      <c r="AC12" s="1624"/>
      <c r="AD12" s="1625">
        <f>(Z12-I12)/I12</f>
        <v>5</v>
      </c>
      <c r="AE12" s="1626">
        <f t="shared" si="3"/>
        <v>1250</v>
      </c>
      <c r="AF12" s="855"/>
      <c r="AG12" s="855"/>
      <c r="AH12" s="855"/>
      <c r="AI12" s="855"/>
      <c r="AJ12" s="856"/>
      <c r="AK12" s="856"/>
      <c r="AL12" s="856"/>
      <c r="AM12" s="856"/>
      <c r="AN12" s="856"/>
      <c r="AO12" s="856"/>
      <c r="AP12" s="857"/>
      <c r="AQ12" s="857"/>
      <c r="AR12" s="857"/>
      <c r="AS12" s="857"/>
      <c r="AT12" s="857"/>
      <c r="AU12" s="857"/>
    </row>
    <row r="13" spans="1:47" s="858" customFormat="1" ht="13.5">
      <c r="A13" s="1627" t="s">
        <v>33</v>
      </c>
      <c r="B13" s="1617">
        <f t="shared" ref="B13:N13" si="4">SUM(B14:B20)</f>
        <v>0</v>
      </c>
      <c r="C13" s="1617">
        <f t="shared" si="4"/>
        <v>11900</v>
      </c>
      <c r="D13" s="1617">
        <f t="shared" si="4"/>
        <v>22700</v>
      </c>
      <c r="E13" s="1617">
        <f t="shared" si="4"/>
        <v>47268</v>
      </c>
      <c r="F13" s="1617">
        <f t="shared" si="4"/>
        <v>89280</v>
      </c>
      <c r="G13" s="1617">
        <f t="shared" si="4"/>
        <v>137032</v>
      </c>
      <c r="H13" s="1617">
        <f t="shared" si="4"/>
        <v>111608</v>
      </c>
      <c r="I13" s="1617">
        <f t="shared" si="4"/>
        <v>132750</v>
      </c>
      <c r="J13" s="1617">
        <f t="shared" si="4"/>
        <v>242100</v>
      </c>
      <c r="K13" s="1617">
        <f t="shared" si="4"/>
        <v>320975</v>
      </c>
      <c r="L13" s="1617">
        <f t="shared" si="4"/>
        <v>437077</v>
      </c>
      <c r="M13" s="1617">
        <f t="shared" si="4"/>
        <v>574199</v>
      </c>
      <c r="N13" s="1617">
        <f t="shared" si="4"/>
        <v>687991</v>
      </c>
      <c r="O13" s="1617">
        <f t="shared" ref="O13:X13" si="5">SUM(O14:O20)</f>
        <v>698579</v>
      </c>
      <c r="P13" s="1617">
        <f t="shared" si="5"/>
        <v>667869</v>
      </c>
      <c r="Q13" s="1617">
        <f t="shared" si="5"/>
        <v>829706</v>
      </c>
      <c r="R13" s="1617">
        <f t="shared" si="5"/>
        <v>816504</v>
      </c>
      <c r="S13" s="1618">
        <f t="shared" si="5"/>
        <v>1034727</v>
      </c>
      <c r="T13" s="1617">
        <f>SUM(T14:T20)</f>
        <v>1161474</v>
      </c>
      <c r="U13" s="1618">
        <f t="shared" si="5"/>
        <v>1434000</v>
      </c>
      <c r="V13" s="1617">
        <f t="shared" si="5"/>
        <v>1062097</v>
      </c>
      <c r="W13" s="1617">
        <f t="shared" ref="W13" si="6">SUM(W14:W20)</f>
        <v>2591796.89</v>
      </c>
      <c r="X13" s="1617">
        <f t="shared" si="5"/>
        <v>2621522.75</v>
      </c>
      <c r="Y13" s="1617"/>
      <c r="Z13" s="1617">
        <f>SUM(Z14:Z20)</f>
        <v>1034727</v>
      </c>
      <c r="AA13" s="1617">
        <f>SUM(AA14:AA20)</f>
        <v>1187900</v>
      </c>
      <c r="AB13" s="1617">
        <f>SUM(AB14:AB20)</f>
        <v>1562355</v>
      </c>
      <c r="AC13" s="1619">
        <f>(R13-O13)/O13</f>
        <v>0.16880696385090305</v>
      </c>
      <c r="AD13" s="1619">
        <f>(Z13-I13)/I13</f>
        <v>6.7945536723163844</v>
      </c>
      <c r="AE13" s="1620">
        <f t="shared" si="3"/>
        <v>90197.7</v>
      </c>
      <c r="AF13" s="855"/>
      <c r="AG13" s="855"/>
      <c r="AH13" s="855"/>
      <c r="AI13" s="855"/>
      <c r="AJ13" s="856"/>
      <c r="AK13" s="856"/>
      <c r="AL13" s="856"/>
      <c r="AM13" s="856"/>
      <c r="AN13" s="856"/>
      <c r="AO13" s="856"/>
      <c r="AP13" s="857"/>
      <c r="AQ13" s="857"/>
      <c r="AR13" s="857"/>
      <c r="AS13" s="857"/>
      <c r="AT13" s="857"/>
      <c r="AU13" s="857"/>
    </row>
    <row r="14" spans="1:47" s="858" customFormat="1" ht="13.5">
      <c r="A14" s="1628" t="s">
        <v>34</v>
      </c>
      <c r="B14" s="1621">
        <v>0</v>
      </c>
      <c r="C14" s="1621">
        <v>8000</v>
      </c>
      <c r="D14" s="1621">
        <v>19000</v>
      </c>
      <c r="E14" s="1621">
        <v>33268</v>
      </c>
      <c r="F14" s="1621">
        <v>56938</v>
      </c>
      <c r="G14" s="1621">
        <v>87551</v>
      </c>
      <c r="H14" s="1621">
        <v>51586</v>
      </c>
      <c r="I14" s="1621">
        <v>61900</v>
      </c>
      <c r="J14" s="1621">
        <v>90000</v>
      </c>
      <c r="K14" s="1621">
        <v>100285</v>
      </c>
      <c r="L14" s="1621">
        <v>130793</v>
      </c>
      <c r="M14" s="1621">
        <v>145234</v>
      </c>
      <c r="N14" s="1621">
        <v>170609</v>
      </c>
      <c r="O14" s="1621">
        <v>135000</v>
      </c>
      <c r="P14" s="1622">
        <v>15666</v>
      </c>
      <c r="Q14" s="1622">
        <v>20000</v>
      </c>
      <c r="R14" s="1622">
        <v>0</v>
      </c>
      <c r="S14" s="1622">
        <v>8400</v>
      </c>
      <c r="T14" s="1622">
        <v>0</v>
      </c>
      <c r="U14" s="1629">
        <v>65000</v>
      </c>
      <c r="V14" s="1630">
        <v>0</v>
      </c>
      <c r="W14" s="1622">
        <v>379429.03</v>
      </c>
      <c r="X14" s="1622">
        <v>504000</v>
      </c>
      <c r="Y14" s="1622"/>
      <c r="Z14" s="1622">
        <v>8400</v>
      </c>
      <c r="AA14" s="1631">
        <v>0</v>
      </c>
      <c r="AB14" s="1631">
        <v>0</v>
      </c>
      <c r="AC14" s="1624"/>
      <c r="AD14" s="1625">
        <f>(Z14-I14)/I14</f>
        <v>-0.86429725363489496</v>
      </c>
      <c r="AE14" s="1626">
        <f t="shared" si="3"/>
        <v>-5350</v>
      </c>
      <c r="AF14" s="855"/>
      <c r="AG14" s="855"/>
      <c r="AH14" s="855"/>
      <c r="AI14" s="855"/>
      <c r="AJ14" s="856"/>
      <c r="AK14" s="856"/>
      <c r="AL14" s="856"/>
      <c r="AM14" s="856"/>
      <c r="AN14" s="856"/>
      <c r="AO14" s="856"/>
      <c r="AP14" s="857"/>
      <c r="AQ14" s="857"/>
      <c r="AR14" s="857"/>
      <c r="AS14" s="857"/>
      <c r="AT14" s="857" t="s">
        <v>35</v>
      </c>
      <c r="AU14" s="857"/>
    </row>
    <row r="15" spans="1:47" s="2049" customFormat="1" ht="13.5">
      <c r="A15" s="1628" t="s">
        <v>36</v>
      </c>
      <c r="B15" s="1621">
        <v>0</v>
      </c>
      <c r="C15" s="1621">
        <v>1500</v>
      </c>
      <c r="D15" s="1621">
        <v>1500</v>
      </c>
      <c r="E15" s="1621">
        <v>1000</v>
      </c>
      <c r="F15" s="1621">
        <v>3300</v>
      </c>
      <c r="G15" s="1621">
        <v>7000</v>
      </c>
      <c r="H15" s="1621">
        <v>265</v>
      </c>
      <c r="I15" s="1621">
        <v>0</v>
      </c>
      <c r="J15" s="1621">
        <v>12000</v>
      </c>
      <c r="K15" s="1621">
        <v>21282</v>
      </c>
      <c r="L15" s="1621">
        <v>35612</v>
      </c>
      <c r="M15" s="1621">
        <v>41349</v>
      </c>
      <c r="N15" s="1621">
        <v>58751</v>
      </c>
      <c r="O15" s="1621">
        <v>38000</v>
      </c>
      <c r="P15" s="1622">
        <v>1241</v>
      </c>
      <c r="Q15" s="1622">
        <v>1500</v>
      </c>
      <c r="R15" s="1622">
        <v>0</v>
      </c>
      <c r="S15" s="1622">
        <v>0</v>
      </c>
      <c r="T15" s="1622">
        <v>0</v>
      </c>
      <c r="U15" s="1629">
        <v>0</v>
      </c>
      <c r="V15" s="1630">
        <v>0</v>
      </c>
      <c r="W15" s="1622">
        <v>668707.06999999995</v>
      </c>
      <c r="X15" s="2050">
        <v>310849.01</v>
      </c>
      <c r="Y15" s="2050"/>
      <c r="Z15" s="1622">
        <v>0</v>
      </c>
      <c r="AA15" s="1622">
        <v>0</v>
      </c>
      <c r="AB15" s="1622">
        <v>0</v>
      </c>
      <c r="AC15" s="1622">
        <v>0</v>
      </c>
      <c r="AD15" s="1625" t="s">
        <v>37</v>
      </c>
      <c r="AE15" s="1626">
        <f t="shared" si="3"/>
        <v>0</v>
      </c>
      <c r="AF15" s="2045"/>
      <c r="AG15" s="2045"/>
      <c r="AH15" s="2045"/>
      <c r="AI15" s="2045"/>
      <c r="AJ15" s="2046"/>
      <c r="AK15" s="2046"/>
      <c r="AL15" s="2046"/>
      <c r="AM15" s="2046"/>
      <c r="AN15" s="2046"/>
      <c r="AO15" s="2046"/>
      <c r="AP15" s="2047"/>
      <c r="AQ15" s="2047"/>
      <c r="AR15" s="2047"/>
      <c r="AS15" s="2047"/>
      <c r="AT15" s="2048"/>
      <c r="AU15" s="2047" t="s">
        <v>35</v>
      </c>
    </row>
    <row r="16" spans="1:47" s="858" customFormat="1" ht="14.25">
      <c r="A16" s="1628" t="s">
        <v>38</v>
      </c>
      <c r="B16" s="1621">
        <v>0</v>
      </c>
      <c r="C16" s="1621">
        <v>0</v>
      </c>
      <c r="D16" s="1621">
        <v>0</v>
      </c>
      <c r="E16" s="1621">
        <v>10800</v>
      </c>
      <c r="F16" s="1621">
        <v>25800</v>
      </c>
      <c r="G16" s="1621">
        <v>39150</v>
      </c>
      <c r="H16" s="1621">
        <v>52000</v>
      </c>
      <c r="I16" s="1621">
        <v>62000</v>
      </c>
      <c r="J16" s="1621">
        <v>120000</v>
      </c>
      <c r="K16" s="1621">
        <v>158586</v>
      </c>
      <c r="L16" s="1621">
        <v>201000</v>
      </c>
      <c r="M16" s="1621">
        <v>284057</v>
      </c>
      <c r="N16" s="1621">
        <v>327669</v>
      </c>
      <c r="O16" s="1621">
        <v>375595</v>
      </c>
      <c r="P16" s="1622">
        <v>439873</v>
      </c>
      <c r="Q16" s="1622">
        <v>536436</v>
      </c>
      <c r="R16" s="1622">
        <v>536436</v>
      </c>
      <c r="S16" s="1622">
        <v>656355</v>
      </c>
      <c r="T16" s="1622">
        <v>720112</v>
      </c>
      <c r="U16" s="1629">
        <v>862000</v>
      </c>
      <c r="V16" s="1630">
        <v>531529</v>
      </c>
      <c r="W16" s="1622">
        <v>861860.61</v>
      </c>
      <c r="X16" s="1622">
        <v>1015673.56</v>
      </c>
      <c r="Y16" s="1622"/>
      <c r="Z16" s="1622">
        <v>656355</v>
      </c>
      <c r="AA16" s="1622">
        <v>862000</v>
      </c>
      <c r="AB16" s="1622">
        <v>656355</v>
      </c>
      <c r="AC16" s="1624"/>
      <c r="AD16" s="1625">
        <f>(Z16-I16)/I16</f>
        <v>9.5863709677419351</v>
      </c>
      <c r="AE16" s="1626">
        <f t="shared" si="3"/>
        <v>59435.5</v>
      </c>
      <c r="AF16" s="855"/>
      <c r="AG16" s="855"/>
      <c r="AH16" s="855"/>
      <c r="AI16" s="855"/>
      <c r="AJ16" s="2052">
        <v>1015673.56</v>
      </c>
      <c r="AK16" s="856"/>
      <c r="AL16" s="856"/>
      <c r="AM16" s="856"/>
      <c r="AN16" s="856"/>
      <c r="AO16" s="856"/>
      <c r="AP16" s="857"/>
      <c r="AQ16" s="857"/>
      <c r="AR16" s="857"/>
      <c r="AS16" s="857"/>
      <c r="AT16" s="857"/>
      <c r="AU16" s="857" t="s">
        <v>39</v>
      </c>
    </row>
    <row r="17" spans="1:48" s="858" customFormat="1" ht="13.5">
      <c r="A17" s="1628" t="s">
        <v>40</v>
      </c>
      <c r="B17" s="1621">
        <v>0</v>
      </c>
      <c r="C17" s="1621">
        <v>0</v>
      </c>
      <c r="D17" s="1621">
        <v>0</v>
      </c>
      <c r="E17" s="1621">
        <v>0</v>
      </c>
      <c r="F17" s="1621">
        <v>0</v>
      </c>
      <c r="G17" s="1621">
        <v>0</v>
      </c>
      <c r="H17" s="1621">
        <v>0</v>
      </c>
      <c r="I17" s="1621">
        <v>0</v>
      </c>
      <c r="J17" s="1621">
        <v>5400</v>
      </c>
      <c r="K17" s="1621">
        <v>5200</v>
      </c>
      <c r="L17" s="1621">
        <v>6000</v>
      </c>
      <c r="M17" s="1621">
        <v>7429</v>
      </c>
      <c r="N17" s="1621">
        <v>7822</v>
      </c>
      <c r="O17" s="1621">
        <v>7158</v>
      </c>
      <c r="P17" s="1622">
        <v>8418</v>
      </c>
      <c r="Q17" s="1622">
        <v>8922</v>
      </c>
      <c r="R17" s="1622">
        <v>7500</v>
      </c>
      <c r="S17" s="1622">
        <v>9072</v>
      </c>
      <c r="T17" s="1622">
        <v>17700</v>
      </c>
      <c r="U17" s="1629">
        <v>0</v>
      </c>
      <c r="V17" s="1630">
        <v>7500</v>
      </c>
      <c r="W17" s="1622">
        <v>700</v>
      </c>
      <c r="X17" s="1622">
        <v>900</v>
      </c>
      <c r="Y17" s="1622"/>
      <c r="Z17" s="1622">
        <v>9072</v>
      </c>
      <c r="AA17" s="1622">
        <v>0</v>
      </c>
      <c r="AB17" s="1622">
        <v>0</v>
      </c>
      <c r="AC17" s="1622">
        <v>0</v>
      </c>
      <c r="AD17" s="1625" t="s">
        <v>37</v>
      </c>
      <c r="AE17" s="1626">
        <f t="shared" si="3"/>
        <v>907.2</v>
      </c>
      <c r="AF17" s="855"/>
      <c r="AG17" s="855"/>
      <c r="AH17" s="855"/>
      <c r="AI17" s="855"/>
      <c r="AJ17" s="2051"/>
      <c r="AK17" s="856"/>
      <c r="AL17" s="856"/>
      <c r="AM17" s="856"/>
      <c r="AN17" s="856"/>
      <c r="AO17" s="856"/>
      <c r="AP17" s="857"/>
      <c r="AQ17" s="857"/>
      <c r="AR17" s="857"/>
      <c r="AS17" s="857"/>
      <c r="AT17" s="857"/>
      <c r="AU17" s="857"/>
      <c r="AV17" s="857"/>
    </row>
    <row r="18" spans="1:48" s="858" customFormat="1" ht="13.5">
      <c r="A18" s="1628" t="s">
        <v>41</v>
      </c>
      <c r="B18" s="1621">
        <v>0</v>
      </c>
      <c r="C18" s="1621">
        <v>2400</v>
      </c>
      <c r="D18" s="1621">
        <v>2200</v>
      </c>
      <c r="E18" s="1621">
        <v>2200</v>
      </c>
      <c r="F18" s="1621">
        <v>2200</v>
      </c>
      <c r="G18" s="1621">
        <v>2281</v>
      </c>
      <c r="H18" s="1621">
        <v>1700</v>
      </c>
      <c r="I18" s="1621">
        <v>2050</v>
      </c>
      <c r="J18" s="1621">
        <v>1900</v>
      </c>
      <c r="K18" s="1621">
        <v>1950</v>
      </c>
      <c r="L18" s="1621">
        <v>2000</v>
      </c>
      <c r="M18" s="1621">
        <v>3194</v>
      </c>
      <c r="N18" s="1621">
        <v>0</v>
      </c>
      <c r="O18" s="1621">
        <v>0</v>
      </c>
      <c r="P18" s="1622">
        <v>27513</v>
      </c>
      <c r="Q18" s="1622">
        <v>30000</v>
      </c>
      <c r="R18" s="1622">
        <v>35000</v>
      </c>
      <c r="S18" s="1622">
        <v>35000</v>
      </c>
      <c r="T18" s="1622">
        <v>42862</v>
      </c>
      <c r="U18" s="1629">
        <v>48000</v>
      </c>
      <c r="V18" s="1630">
        <v>45000</v>
      </c>
      <c r="W18" s="1622">
        <v>48000</v>
      </c>
      <c r="X18" s="1622">
        <v>78000</v>
      </c>
      <c r="Y18" s="1622"/>
      <c r="Z18" s="1622">
        <v>35000</v>
      </c>
      <c r="AA18" s="1622">
        <v>0</v>
      </c>
      <c r="AB18" s="1622">
        <v>447000</v>
      </c>
      <c r="AC18" s="1622">
        <v>0</v>
      </c>
      <c r="AD18" s="1625">
        <f t="shared" ref="AD18:AD23" si="7">(Z18-I18)/I18</f>
        <v>16.073170731707318</v>
      </c>
      <c r="AE18" s="1626">
        <f t="shared" si="3"/>
        <v>3295</v>
      </c>
      <c r="AF18" s="855"/>
      <c r="AG18" s="855"/>
      <c r="AH18" s="855"/>
      <c r="AI18" s="855"/>
      <c r="AJ18" s="856"/>
      <c r="AK18" s="856"/>
      <c r="AL18" s="856"/>
      <c r="AM18" s="856"/>
      <c r="AN18" s="856"/>
      <c r="AO18" s="856"/>
      <c r="AP18" s="857"/>
      <c r="AQ18" s="857"/>
      <c r="AR18" s="857"/>
      <c r="AS18" s="857"/>
      <c r="AT18" s="857"/>
      <c r="AU18" s="857" t="s">
        <v>42</v>
      </c>
      <c r="AV18" s="857">
        <v>12407.78</v>
      </c>
    </row>
    <row r="19" spans="1:48" s="858" customFormat="1" ht="13.5">
      <c r="A19" s="1628" t="s">
        <v>43</v>
      </c>
      <c r="B19" s="1621">
        <v>0</v>
      </c>
      <c r="C19" s="1621">
        <v>0</v>
      </c>
      <c r="D19" s="1621">
        <v>0</v>
      </c>
      <c r="E19" s="1621">
        <v>0</v>
      </c>
      <c r="F19" s="1621">
        <v>0</v>
      </c>
      <c r="G19" s="1621">
        <v>0</v>
      </c>
      <c r="H19" s="1621">
        <v>0</v>
      </c>
      <c r="I19" s="1621">
        <v>400</v>
      </c>
      <c r="J19" s="1621">
        <v>6400</v>
      </c>
      <c r="K19" s="1621">
        <v>22000</v>
      </c>
      <c r="L19" s="1621">
        <v>40000</v>
      </c>
      <c r="M19" s="1621">
        <f>18714 + 52331 + 219</f>
        <v>71264</v>
      </c>
      <c r="N19" s="1621">
        <f>36533 + 63300 + 239</f>
        <v>100072</v>
      </c>
      <c r="O19" s="1621">
        <v>119513</v>
      </c>
      <c r="P19" s="1622">
        <v>151516</v>
      </c>
      <c r="Q19" s="1622">
        <v>209680</v>
      </c>
      <c r="R19" s="1622">
        <v>214500</v>
      </c>
      <c r="S19" s="1622">
        <f>159400 + 137000</f>
        <v>296400</v>
      </c>
      <c r="T19" s="1622">
        <f>189400 + 161400</f>
        <v>350800</v>
      </c>
      <c r="U19" s="1629">
        <f>227000 + 192000</f>
        <v>419000</v>
      </c>
      <c r="V19" s="1630">
        <v>415000</v>
      </c>
      <c r="W19" s="1622">
        <f xml:space="preserve"> 227100.18 + 191000</f>
        <v>418100.18</v>
      </c>
      <c r="X19" s="1622">
        <f xml:space="preserve"> 221100.18 + 266000</f>
        <v>487100.18</v>
      </c>
      <c r="Y19" s="1622"/>
      <c r="Z19" s="1622">
        <f>159400 + 137000</f>
        <v>296400</v>
      </c>
      <c r="AA19" s="1622">
        <f>159400 + 137000</f>
        <v>296400</v>
      </c>
      <c r="AB19" s="1622">
        <f>227000 + 192000</f>
        <v>419000</v>
      </c>
      <c r="AC19" s="1624"/>
      <c r="AD19" s="1625">
        <f t="shared" si="7"/>
        <v>740</v>
      </c>
      <c r="AE19" s="1626">
        <f t="shared" si="3"/>
        <v>29600</v>
      </c>
      <c r="AF19" s="855"/>
      <c r="AG19" s="855"/>
      <c r="AH19" s="855"/>
      <c r="AI19" s="855"/>
      <c r="AJ19" s="856"/>
      <c r="AK19" s="856"/>
      <c r="AL19" s="856"/>
      <c r="AM19" s="856"/>
      <c r="AN19" s="856"/>
      <c r="AO19" s="856"/>
      <c r="AP19" s="857"/>
      <c r="AQ19" s="857"/>
      <c r="AR19" s="857"/>
      <c r="AS19" s="857"/>
      <c r="AT19" s="857"/>
      <c r="AU19" s="857" t="s">
        <v>44</v>
      </c>
      <c r="AV19" s="857">
        <v>6522.14</v>
      </c>
    </row>
    <row r="20" spans="1:48" s="858" customFormat="1" ht="13.5">
      <c r="A20" s="1628" t="s">
        <v>45</v>
      </c>
      <c r="B20" s="1621">
        <v>0</v>
      </c>
      <c r="C20" s="1621">
        <v>0</v>
      </c>
      <c r="D20" s="1621">
        <v>0</v>
      </c>
      <c r="E20" s="1621">
        <v>0</v>
      </c>
      <c r="F20" s="1621">
        <v>1042</v>
      </c>
      <c r="G20" s="1621">
        <v>1050</v>
      </c>
      <c r="H20" s="1621">
        <v>6057</v>
      </c>
      <c r="I20" s="1621">
        <v>6400</v>
      </c>
      <c r="J20" s="1621">
        <v>6400</v>
      </c>
      <c r="K20" s="1621">
        <v>11672</v>
      </c>
      <c r="L20" s="1621">
        <v>21672</v>
      </c>
      <c r="M20" s="1621">
        <f>L20</f>
        <v>21672</v>
      </c>
      <c r="N20" s="1621">
        <v>23068</v>
      </c>
      <c r="O20" s="1621">
        <v>23313</v>
      </c>
      <c r="P20" s="1622">
        <v>23642</v>
      </c>
      <c r="Q20" s="1622">
        <v>23168</v>
      </c>
      <c r="R20" s="1622">
        <v>23068</v>
      </c>
      <c r="S20" s="1622">
        <v>29500</v>
      </c>
      <c r="T20" s="1622">
        <v>30000</v>
      </c>
      <c r="U20" s="1629">
        <v>40000</v>
      </c>
      <c r="V20" s="1630">
        <v>63068</v>
      </c>
      <c r="W20" s="1622">
        <v>215000</v>
      </c>
      <c r="X20" s="1622">
        <v>225000</v>
      </c>
      <c r="Y20" s="1622"/>
      <c r="Z20" s="1622">
        <v>29500</v>
      </c>
      <c r="AA20" s="1622">
        <v>29500</v>
      </c>
      <c r="AB20" s="1622">
        <v>40000</v>
      </c>
      <c r="AC20" s="1624"/>
      <c r="AD20" s="1625">
        <f t="shared" si="7"/>
        <v>3.609375</v>
      </c>
      <c r="AE20" s="1626">
        <f t="shared" si="3"/>
        <v>2310</v>
      </c>
      <c r="AF20" s="855"/>
      <c r="AG20" s="855"/>
      <c r="AH20" s="855"/>
      <c r="AI20" s="855"/>
      <c r="AJ20" s="856"/>
      <c r="AK20" s="856"/>
      <c r="AL20" s="856"/>
      <c r="AM20" s="856"/>
      <c r="AN20" s="856"/>
      <c r="AO20" s="856"/>
      <c r="AP20" s="857"/>
      <c r="AQ20" s="857"/>
      <c r="AR20" s="857"/>
      <c r="AS20" s="857"/>
      <c r="AT20" s="857"/>
      <c r="AU20" s="857"/>
      <c r="AV20" s="857"/>
    </row>
    <row r="21" spans="1:48" s="858" customFormat="1" ht="13.5">
      <c r="A21" s="1632" t="s">
        <v>46</v>
      </c>
      <c r="B21" s="1617">
        <f t="shared" ref="B21:Q21" si="8">SUM(B22:B25)</f>
        <v>1000</v>
      </c>
      <c r="C21" s="1617">
        <f t="shared" si="8"/>
        <v>10300</v>
      </c>
      <c r="D21" s="1617">
        <f t="shared" si="8"/>
        <v>26300</v>
      </c>
      <c r="E21" s="1617">
        <f t="shared" si="8"/>
        <v>44554</v>
      </c>
      <c r="F21" s="1617">
        <f t="shared" si="8"/>
        <v>73236</v>
      </c>
      <c r="G21" s="1617">
        <f t="shared" si="8"/>
        <v>87000</v>
      </c>
      <c r="H21" s="1617">
        <f t="shared" si="8"/>
        <v>70000</v>
      </c>
      <c r="I21" s="1617">
        <f t="shared" si="8"/>
        <v>151000</v>
      </c>
      <c r="J21" s="1617">
        <f t="shared" si="8"/>
        <v>227000</v>
      </c>
      <c r="K21" s="1617">
        <f t="shared" si="8"/>
        <v>246364</v>
      </c>
      <c r="L21" s="1617">
        <f t="shared" si="8"/>
        <v>331013</v>
      </c>
      <c r="M21" s="1617">
        <f t="shared" si="8"/>
        <v>475397</v>
      </c>
      <c r="N21" s="1617">
        <f t="shared" si="8"/>
        <v>550847</v>
      </c>
      <c r="O21" s="1617">
        <f t="shared" si="8"/>
        <v>625828</v>
      </c>
      <c r="P21" s="1617">
        <f t="shared" si="8"/>
        <v>812226</v>
      </c>
      <c r="Q21" s="1617">
        <f t="shared" si="8"/>
        <v>1046534</v>
      </c>
      <c r="R21" s="1617">
        <f t="shared" ref="R21:Z21" si="9">SUM(R22:R25)</f>
        <v>1035521</v>
      </c>
      <c r="S21" s="1618">
        <f t="shared" si="9"/>
        <v>1285208</v>
      </c>
      <c r="T21" s="1617">
        <f t="shared" si="9"/>
        <v>1498468</v>
      </c>
      <c r="U21" s="1618">
        <f t="shared" si="9"/>
        <v>1131000</v>
      </c>
      <c r="V21" s="1617">
        <f t="shared" si="9"/>
        <v>1681500</v>
      </c>
      <c r="W21" s="1617">
        <f t="shared" ref="W21" si="10">SUM(W22:W25)</f>
        <v>1209394.94</v>
      </c>
      <c r="X21" s="1617">
        <f t="shared" si="9"/>
        <v>1297920</v>
      </c>
      <c r="Y21" s="1617"/>
      <c r="Z21" s="1617">
        <f t="shared" si="9"/>
        <v>1285208</v>
      </c>
      <c r="AA21" s="1617">
        <f>SUM(AA22:AA25)</f>
        <v>1285208</v>
      </c>
      <c r="AB21" s="1617">
        <f>SUM(AB22:AB25)</f>
        <v>1581500</v>
      </c>
      <c r="AC21" s="1619">
        <f>(R21-O21)/O21</f>
        <v>0.65464153089986388</v>
      </c>
      <c r="AD21" s="1619">
        <f t="shared" si="7"/>
        <v>7.5113112582781456</v>
      </c>
      <c r="AE21" s="1620">
        <f t="shared" si="3"/>
        <v>113420.8</v>
      </c>
      <c r="AF21" s="855"/>
      <c r="AG21" s="855"/>
      <c r="AH21" s="855"/>
      <c r="AI21" s="855"/>
      <c r="AJ21" s="856"/>
      <c r="AK21" s="856"/>
      <c r="AL21" s="856"/>
      <c r="AM21" s="856"/>
      <c r="AN21" s="856"/>
      <c r="AO21" s="856"/>
      <c r="AP21" s="857"/>
      <c r="AQ21" s="857"/>
      <c r="AR21" s="857"/>
      <c r="AS21" s="857"/>
      <c r="AT21" s="857"/>
      <c r="AU21" s="857" t="s">
        <v>47</v>
      </c>
      <c r="AV21" s="857"/>
    </row>
    <row r="22" spans="1:48" s="858" customFormat="1" ht="13.5">
      <c r="A22" s="1632" t="s">
        <v>48</v>
      </c>
      <c r="B22" s="1621">
        <v>0</v>
      </c>
      <c r="C22" s="1621">
        <v>6800</v>
      </c>
      <c r="D22" s="1621">
        <v>16000</v>
      </c>
      <c r="E22" s="1621">
        <v>25000</v>
      </c>
      <c r="F22" s="1621">
        <v>39452</v>
      </c>
      <c r="G22" s="1621">
        <v>43000</v>
      </c>
      <c r="H22" s="1621">
        <v>35000</v>
      </c>
      <c r="I22" s="1621">
        <v>76000</v>
      </c>
      <c r="J22" s="1621">
        <v>115000</v>
      </c>
      <c r="K22" s="1621">
        <v>124165</v>
      </c>
      <c r="L22" s="1621">
        <v>167229</v>
      </c>
      <c r="M22" s="1621">
        <v>238869</v>
      </c>
      <c r="N22" s="1621">
        <v>274827</v>
      </c>
      <c r="O22" s="1621">
        <v>309828</v>
      </c>
      <c r="P22" s="1622">
        <v>386453</v>
      </c>
      <c r="Q22" s="1622">
        <v>446484</v>
      </c>
      <c r="R22" s="1622">
        <v>16900</v>
      </c>
      <c r="S22" s="1622">
        <v>42500</v>
      </c>
      <c r="T22" s="1622">
        <v>76700</v>
      </c>
      <c r="U22" s="1622">
        <v>115000</v>
      </c>
      <c r="V22" s="1630">
        <v>142500</v>
      </c>
      <c r="W22" s="1622">
        <v>167712.87</v>
      </c>
      <c r="X22" s="1622">
        <v>220000</v>
      </c>
      <c r="Y22" s="1622"/>
      <c r="Z22" s="1623">
        <v>42500</v>
      </c>
      <c r="AA22" s="1623">
        <v>42500</v>
      </c>
      <c r="AB22" s="1623">
        <v>42500</v>
      </c>
      <c r="AC22" s="1624"/>
      <c r="AD22" s="1625">
        <f t="shared" si="7"/>
        <v>-0.44078947368421051</v>
      </c>
      <c r="AE22" s="1626">
        <f t="shared" si="3"/>
        <v>-3350</v>
      </c>
      <c r="AF22" s="855"/>
      <c r="AG22" s="855"/>
      <c r="AH22" s="855"/>
      <c r="AI22" s="855"/>
      <c r="AJ22" s="856"/>
      <c r="AK22" s="856"/>
      <c r="AL22" s="856"/>
      <c r="AM22" s="856"/>
      <c r="AN22" s="856"/>
      <c r="AO22" s="856"/>
      <c r="AP22" s="857"/>
      <c r="AQ22" s="857"/>
      <c r="AR22" s="857"/>
      <c r="AS22" s="857"/>
      <c r="AT22" s="857"/>
      <c r="AU22" s="857" t="s">
        <v>42</v>
      </c>
      <c r="AV22" s="857">
        <v>5592</v>
      </c>
    </row>
    <row r="23" spans="1:48" s="858" customFormat="1" ht="13.5">
      <c r="A23" s="1632" t="s">
        <v>49</v>
      </c>
      <c r="B23" s="1621">
        <v>1000</v>
      </c>
      <c r="C23" s="1621">
        <v>3500</v>
      </c>
      <c r="D23" s="1621">
        <v>10300</v>
      </c>
      <c r="E23" s="1621">
        <v>19554</v>
      </c>
      <c r="F23" s="1621">
        <v>33784</v>
      </c>
      <c r="G23" s="1621">
        <v>44000</v>
      </c>
      <c r="H23" s="1621">
        <v>35000</v>
      </c>
      <c r="I23" s="1621">
        <v>75000</v>
      </c>
      <c r="J23" s="1621">
        <v>112000</v>
      </c>
      <c r="K23" s="1621">
        <v>122199</v>
      </c>
      <c r="L23" s="1621">
        <v>163784</v>
      </c>
      <c r="M23" s="1621">
        <v>236528</v>
      </c>
      <c r="N23" s="1621">
        <v>276020</v>
      </c>
      <c r="O23" s="1621">
        <v>316000</v>
      </c>
      <c r="P23" s="1622">
        <v>386301</v>
      </c>
      <c r="Q23" s="1622">
        <v>483000</v>
      </c>
      <c r="R23" s="1622">
        <v>31600</v>
      </c>
      <c r="S23" s="1622">
        <f xml:space="preserve"> 7800 + 63168</f>
        <v>70968</v>
      </c>
      <c r="T23" s="1622">
        <v>122568</v>
      </c>
      <c r="U23" s="1622">
        <v>199000</v>
      </c>
      <c r="V23" s="1630">
        <v>199000</v>
      </c>
      <c r="W23" s="1622">
        <v>280806.68</v>
      </c>
      <c r="X23" s="1622">
        <v>391000</v>
      </c>
      <c r="Y23" s="1622"/>
      <c r="Z23" s="1623">
        <f xml:space="preserve"> 7800 + 63168</f>
        <v>70968</v>
      </c>
      <c r="AA23" s="1623">
        <f xml:space="preserve"> 7800 + 63168</f>
        <v>70968</v>
      </c>
      <c r="AB23" s="1623">
        <v>199000</v>
      </c>
      <c r="AC23" s="1624"/>
      <c r="AD23" s="1625">
        <f t="shared" si="7"/>
        <v>-5.3760000000000002E-2</v>
      </c>
      <c r="AE23" s="1626">
        <f t="shared" si="3"/>
        <v>-403.2</v>
      </c>
      <c r="AF23" s="855"/>
      <c r="AG23" s="855"/>
      <c r="AH23" s="855"/>
      <c r="AI23" s="855"/>
      <c r="AJ23" s="856"/>
      <c r="AK23" s="856"/>
      <c r="AL23" s="856"/>
      <c r="AM23" s="856"/>
      <c r="AN23" s="856"/>
      <c r="AO23" s="856"/>
      <c r="AP23" s="857"/>
      <c r="AQ23" s="857"/>
      <c r="AR23" s="857"/>
      <c r="AS23" s="857"/>
      <c r="AT23" s="857"/>
      <c r="AU23" s="857" t="s">
        <v>44</v>
      </c>
      <c r="AV23" s="857"/>
    </row>
    <row r="24" spans="1:48" s="858" customFormat="1" ht="13.5">
      <c r="A24" s="1632" t="s">
        <v>50</v>
      </c>
      <c r="B24" s="1621">
        <v>0</v>
      </c>
      <c r="C24" s="1621">
        <v>0</v>
      </c>
      <c r="D24" s="1621">
        <v>0</v>
      </c>
      <c r="E24" s="1621">
        <v>0</v>
      </c>
      <c r="F24" s="1621">
        <v>0</v>
      </c>
      <c r="G24" s="1621">
        <v>0</v>
      </c>
      <c r="H24" s="1621">
        <v>0</v>
      </c>
      <c r="I24" s="1621">
        <v>0</v>
      </c>
      <c r="J24" s="1621">
        <v>0</v>
      </c>
      <c r="K24" s="1621">
        <v>0</v>
      </c>
      <c r="L24" s="1621">
        <v>0</v>
      </c>
      <c r="M24" s="1621">
        <v>0</v>
      </c>
      <c r="N24" s="1621">
        <v>0</v>
      </c>
      <c r="O24" s="1621">
        <v>0</v>
      </c>
      <c r="P24" s="1622">
        <v>16119</v>
      </c>
      <c r="Q24" s="1622">
        <v>83292</v>
      </c>
      <c r="R24" s="1622">
        <v>503521</v>
      </c>
      <c r="S24" s="1622">
        <f>507340 + 96400</f>
        <v>603740</v>
      </c>
      <c r="T24" s="1622">
        <v>676000</v>
      </c>
      <c r="U24" s="1622">
        <f xml:space="preserve"> 639000 + 133000</f>
        <v>772000</v>
      </c>
      <c r="V24" s="1630">
        <f xml:space="preserve"> 639000 + 133000</f>
        <v>772000</v>
      </c>
      <c r="W24" s="1622">
        <f xml:space="preserve"> 583729.6 + 132965.26</f>
        <v>716694.86</v>
      </c>
      <c r="X24" s="1622">
        <v>633910</v>
      </c>
      <c r="Y24" s="1622"/>
      <c r="Z24" s="1623">
        <f>507340 + 96400</f>
        <v>603740</v>
      </c>
      <c r="AA24" s="1623">
        <f>507340 + 96400</f>
        <v>603740</v>
      </c>
      <c r="AB24" s="1623">
        <f xml:space="preserve"> 639000 + 133000</f>
        <v>772000</v>
      </c>
      <c r="AC24" s="1624"/>
      <c r="AD24" s="1625" t="s">
        <v>37</v>
      </c>
      <c r="AE24" s="1626">
        <f t="shared" si="3"/>
        <v>60374</v>
      </c>
      <c r="AF24" s="855"/>
      <c r="AG24" s="855"/>
      <c r="AH24" s="855"/>
      <c r="AI24" s="855"/>
      <c r="AJ24" s="856"/>
      <c r="AK24" s="856"/>
      <c r="AL24" s="856"/>
      <c r="AM24" s="856"/>
      <c r="AN24" s="856"/>
      <c r="AO24" s="856"/>
      <c r="AP24" s="857"/>
      <c r="AQ24" s="857"/>
      <c r="AR24" s="857"/>
      <c r="AS24" s="857"/>
      <c r="AT24" s="857"/>
      <c r="AU24" s="857"/>
      <c r="AV24" s="857"/>
    </row>
    <row r="25" spans="1:48" s="858" customFormat="1" ht="13.5">
      <c r="A25" s="1632" t="s">
        <v>51</v>
      </c>
      <c r="B25" s="1621">
        <v>0</v>
      </c>
      <c r="C25" s="1621">
        <v>0</v>
      </c>
      <c r="D25" s="1621">
        <v>0</v>
      </c>
      <c r="E25" s="1621">
        <v>0</v>
      </c>
      <c r="F25" s="1621">
        <v>0</v>
      </c>
      <c r="G25" s="1621">
        <v>0</v>
      </c>
      <c r="H25" s="1621">
        <v>0</v>
      </c>
      <c r="I25" s="1621">
        <v>0</v>
      </c>
      <c r="J25" s="1621">
        <v>0</v>
      </c>
      <c r="K25" s="1621">
        <v>0</v>
      </c>
      <c r="L25" s="1621">
        <v>0</v>
      </c>
      <c r="M25" s="1621">
        <v>0</v>
      </c>
      <c r="N25" s="1621">
        <v>0</v>
      </c>
      <c r="O25" s="1621">
        <v>0</v>
      </c>
      <c r="P25" s="1622">
        <v>23353</v>
      </c>
      <c r="Q25" s="1622">
        <v>33758</v>
      </c>
      <c r="R25" s="1622">
        <v>483500</v>
      </c>
      <c r="S25" s="1622">
        <f>537000 + 31000</f>
        <v>568000</v>
      </c>
      <c r="T25" s="1622">
        <f>585500 + 37700</f>
        <v>623200</v>
      </c>
      <c r="U25" s="1622">
        <v>45000</v>
      </c>
      <c r="V25" s="1630">
        <f>537000 + 31000</f>
        <v>568000</v>
      </c>
      <c r="W25" s="1622">
        <v>44180.53</v>
      </c>
      <c r="X25" s="1622">
        <v>53010</v>
      </c>
      <c r="Y25" s="1622"/>
      <c r="Z25" s="1623">
        <f>537000 + 31000</f>
        <v>568000</v>
      </c>
      <c r="AA25" s="1623">
        <f>537000 + 31000</f>
        <v>568000</v>
      </c>
      <c r="AB25" s="1623">
        <f>537000 + 31000</f>
        <v>568000</v>
      </c>
      <c r="AC25" s="1624"/>
      <c r="AD25" s="1625" t="s">
        <v>37</v>
      </c>
      <c r="AE25" s="1626">
        <f t="shared" si="3"/>
        <v>56800</v>
      </c>
      <c r="AF25" s="855"/>
      <c r="AG25" s="855"/>
      <c r="AH25" s="855"/>
      <c r="AI25" s="855"/>
      <c r="AJ25" s="856"/>
      <c r="AK25" s="856"/>
      <c r="AL25" s="856"/>
      <c r="AM25" s="856"/>
      <c r="AN25" s="856"/>
      <c r="AO25" s="856"/>
      <c r="AP25" s="857"/>
      <c r="AQ25" s="857"/>
      <c r="AR25" s="857"/>
      <c r="AS25" s="857"/>
      <c r="AT25" s="857"/>
      <c r="AU25" s="857"/>
      <c r="AV25" s="857">
        <f xml:space="preserve">  SUM(AV19:AV24)</f>
        <v>12114.14</v>
      </c>
    </row>
    <row r="26" spans="1:48" ht="13.5">
      <c r="A26" s="1633" t="s">
        <v>52</v>
      </c>
      <c r="B26" s="1617">
        <f t="shared" ref="B26:P26" si="11">B28-B29</f>
        <v>-2700</v>
      </c>
      <c r="C26" s="1617">
        <f t="shared" si="11"/>
        <v>38927</v>
      </c>
      <c r="D26" s="1617">
        <f t="shared" si="11"/>
        <v>96627</v>
      </c>
      <c r="E26" s="1617">
        <f t="shared" si="11"/>
        <v>139210</v>
      </c>
      <c r="F26" s="1617">
        <f t="shared" si="11"/>
        <v>223516</v>
      </c>
      <c r="G26" s="1617">
        <f t="shared" si="11"/>
        <v>301083</v>
      </c>
      <c r="H26" s="1617">
        <f t="shared" si="11"/>
        <v>272506</v>
      </c>
      <c r="I26" s="1617">
        <f t="shared" si="11"/>
        <v>421750</v>
      </c>
      <c r="J26" s="1617">
        <f t="shared" si="11"/>
        <v>591303</v>
      </c>
      <c r="K26" s="1617">
        <f t="shared" si="11"/>
        <v>691039</v>
      </c>
      <c r="L26" s="1617">
        <f t="shared" si="11"/>
        <v>851590</v>
      </c>
      <c r="M26" s="1617">
        <f t="shared" si="11"/>
        <v>1161949</v>
      </c>
      <c r="N26" s="1617">
        <f t="shared" si="11"/>
        <v>1420838</v>
      </c>
      <c r="O26" s="1617">
        <f t="shared" si="11"/>
        <v>1524407</v>
      </c>
      <c r="P26" s="1617">
        <f t="shared" si="11"/>
        <v>2005166</v>
      </c>
      <c r="Q26" s="1617">
        <f t="shared" ref="Q26:X26" si="12">Q28-Q29</f>
        <v>2610340</v>
      </c>
      <c r="R26" s="1617">
        <f t="shared" si="12"/>
        <v>2714525</v>
      </c>
      <c r="S26" s="1618">
        <f t="shared" si="12"/>
        <v>3325035</v>
      </c>
      <c r="T26" s="1617">
        <f>T28-T29</f>
        <v>3003442</v>
      </c>
      <c r="U26" s="1618">
        <f t="shared" si="12"/>
        <v>3014000</v>
      </c>
      <c r="V26" s="1617">
        <f t="shared" si="12"/>
        <v>3156697</v>
      </c>
      <c r="W26" s="1617">
        <f t="shared" ref="W26" si="13">W28-W29</f>
        <v>4168191.83</v>
      </c>
      <c r="X26" s="1617">
        <f t="shared" si="12"/>
        <v>4399442.75</v>
      </c>
      <c r="Y26" s="1617"/>
      <c r="Z26" s="1617">
        <f>Z28-Z29</f>
        <v>3325935</v>
      </c>
      <c r="AA26" s="1617">
        <f>AA28-AA29</f>
        <v>2578108</v>
      </c>
      <c r="AB26" s="1617">
        <f>AB28-AB29</f>
        <v>3488855</v>
      </c>
      <c r="AC26" s="1619">
        <f>(R26-O26)/O26</f>
        <v>0.78070882644857964</v>
      </c>
      <c r="AD26" s="1619">
        <f>(Z26-I26)/I26</f>
        <v>6.8860343805572022</v>
      </c>
      <c r="AE26" s="1620">
        <f t="shared" si="3"/>
        <v>290418.5</v>
      </c>
      <c r="AF26" s="855"/>
      <c r="AG26" s="855"/>
      <c r="AH26" s="855"/>
      <c r="AI26" s="855"/>
      <c r="AJ26" s="816"/>
      <c r="AK26" s="816"/>
      <c r="AL26" s="816"/>
      <c r="AM26" s="816"/>
      <c r="AN26" s="816"/>
      <c r="AO26" s="816"/>
    </row>
    <row r="27" spans="1:48" ht="13.5">
      <c r="A27" s="1633" t="s">
        <v>53</v>
      </c>
      <c r="B27" s="1621">
        <f>B10+ B13</f>
        <v>33800</v>
      </c>
      <c r="C27" s="1621">
        <f>C10+C13</f>
        <v>58627</v>
      </c>
      <c r="D27" s="1621">
        <f>D10+D13</f>
        <v>74627</v>
      </c>
      <c r="E27" s="1621">
        <f>E10 + E13</f>
        <v>95268</v>
      </c>
      <c r="F27" s="1621">
        <f>F10 + F13</f>
        <v>150280</v>
      </c>
      <c r="G27" s="1621">
        <f>G10 + G13</f>
        <v>227583</v>
      </c>
      <c r="H27" s="1621">
        <f>H10 + H13</f>
        <v>202506</v>
      </c>
      <c r="I27" s="1621">
        <f>I10+ I13</f>
        <v>288250</v>
      </c>
      <c r="J27" s="1621">
        <f>J10+J13</f>
        <v>381803</v>
      </c>
      <c r="K27" s="1621">
        <f>K10+K13</f>
        <v>457175</v>
      </c>
      <c r="L27" s="1621">
        <f t="shared" ref="L27:Q27" si="14">L10 + L13</f>
        <v>520577</v>
      </c>
      <c r="M27" s="1621">
        <f t="shared" si="14"/>
        <v>686552</v>
      </c>
      <c r="N27" s="1621">
        <f t="shared" si="14"/>
        <v>869991</v>
      </c>
      <c r="O27" s="1621">
        <f t="shared" si="14"/>
        <v>898579</v>
      </c>
      <c r="P27" s="1622">
        <f t="shared" si="14"/>
        <v>1202149</v>
      </c>
      <c r="Q27" s="1622">
        <f t="shared" si="14"/>
        <v>1574706</v>
      </c>
      <c r="R27" s="1622">
        <f t="shared" ref="R27:Z27" si="15">R10 + R13</f>
        <v>1691504</v>
      </c>
      <c r="S27" s="1622">
        <f t="shared" si="15"/>
        <v>2050727</v>
      </c>
      <c r="T27" s="1622">
        <f t="shared" si="15"/>
        <v>1519974</v>
      </c>
      <c r="U27" s="1622">
        <f t="shared" si="15"/>
        <v>1894000</v>
      </c>
      <c r="V27" s="1622">
        <f t="shared" si="15"/>
        <v>1486097</v>
      </c>
      <c r="W27" s="1622">
        <f t="shared" ref="W27" si="16">W10 + W13</f>
        <v>3018796.89</v>
      </c>
      <c r="X27" s="1622">
        <f t="shared" si="15"/>
        <v>3131522.75</v>
      </c>
      <c r="Y27" s="1622"/>
      <c r="Z27" s="1623">
        <f t="shared" si="15"/>
        <v>2050727</v>
      </c>
      <c r="AA27" s="1623">
        <f>AA10 + AA13</f>
        <v>1302900</v>
      </c>
      <c r="AB27" s="1623">
        <f>AB10 + AB13</f>
        <v>1917355</v>
      </c>
      <c r="AC27" s="1624"/>
      <c r="AD27" s="1625">
        <f>(Z27-I27)/I27</f>
        <v>6.1144041630529058</v>
      </c>
      <c r="AE27" s="1626">
        <f t="shared" si="3"/>
        <v>176247.7</v>
      </c>
      <c r="AF27" s="855"/>
      <c r="AG27" s="855"/>
      <c r="AH27" s="855"/>
      <c r="AI27" s="855"/>
      <c r="AJ27" s="816"/>
      <c r="AK27" s="816"/>
      <c r="AL27" s="816"/>
      <c r="AM27" s="816"/>
      <c r="AN27" s="816"/>
      <c r="AO27" s="816"/>
    </row>
    <row r="28" spans="1:48" ht="13.5">
      <c r="A28" s="1633" t="s">
        <v>54</v>
      </c>
      <c r="B28" s="1621">
        <f t="shared" ref="B28:Q28" si="17">B10+B21+B13</f>
        <v>34800</v>
      </c>
      <c r="C28" s="1621">
        <f t="shared" si="17"/>
        <v>68927</v>
      </c>
      <c r="D28" s="1621">
        <f t="shared" si="17"/>
        <v>100927</v>
      </c>
      <c r="E28" s="1621">
        <f t="shared" si="17"/>
        <v>139822</v>
      </c>
      <c r="F28" s="1621">
        <f t="shared" si="17"/>
        <v>223516</v>
      </c>
      <c r="G28" s="1621">
        <f t="shared" si="17"/>
        <v>314583</v>
      </c>
      <c r="H28" s="1621">
        <f t="shared" si="17"/>
        <v>272506</v>
      </c>
      <c r="I28" s="1621">
        <f t="shared" si="17"/>
        <v>439250</v>
      </c>
      <c r="J28" s="1621">
        <f t="shared" si="17"/>
        <v>608803</v>
      </c>
      <c r="K28" s="1621">
        <f t="shared" si="17"/>
        <v>703539</v>
      </c>
      <c r="L28" s="1621">
        <f t="shared" si="17"/>
        <v>851590</v>
      </c>
      <c r="M28" s="1621">
        <f t="shared" si="17"/>
        <v>1161949</v>
      </c>
      <c r="N28" s="1621">
        <f t="shared" si="17"/>
        <v>1420838</v>
      </c>
      <c r="O28" s="1621">
        <f t="shared" si="17"/>
        <v>1524407</v>
      </c>
      <c r="P28" s="1622">
        <f t="shared" si="17"/>
        <v>2014375</v>
      </c>
      <c r="Q28" s="1622">
        <f t="shared" si="17"/>
        <v>2621240</v>
      </c>
      <c r="R28" s="1622">
        <f t="shared" ref="R28:Z28" si="18">R10+R21+R13</f>
        <v>2727025</v>
      </c>
      <c r="S28" s="1622">
        <f t="shared" si="18"/>
        <v>3335935</v>
      </c>
      <c r="T28" s="1622">
        <f t="shared" si="18"/>
        <v>3018442</v>
      </c>
      <c r="U28" s="1622">
        <f t="shared" si="18"/>
        <v>3025000</v>
      </c>
      <c r="V28" s="1622">
        <f t="shared" si="18"/>
        <v>3167597</v>
      </c>
      <c r="W28" s="1622">
        <f t="shared" ref="W28" si="19">W10+W21+W13</f>
        <v>4228191.83</v>
      </c>
      <c r="X28" s="1622">
        <f t="shared" si="18"/>
        <v>4429442.75</v>
      </c>
      <c r="Y28" s="1622"/>
      <c r="Z28" s="1623">
        <f t="shared" si="18"/>
        <v>3335935</v>
      </c>
      <c r="AA28" s="1623">
        <f>AA10+AA21+AA13</f>
        <v>2588108</v>
      </c>
      <c r="AB28" s="1623">
        <f>AB10+AB21+AB13</f>
        <v>3498855</v>
      </c>
      <c r="AC28" s="1624"/>
      <c r="AD28" s="1625">
        <f>(Z28-I28)/I28</f>
        <v>6.5946158224245872</v>
      </c>
      <c r="AE28" s="1626">
        <f t="shared" si="3"/>
        <v>289668.5</v>
      </c>
      <c r="AF28" s="855"/>
      <c r="AG28" s="855"/>
      <c r="AH28" s="855"/>
      <c r="AI28" s="855"/>
      <c r="AJ28" s="816"/>
      <c r="AK28" s="816"/>
      <c r="AL28" s="816"/>
      <c r="AM28" s="816"/>
      <c r="AN28" s="816"/>
      <c r="AO28" s="816"/>
    </row>
    <row r="29" spans="1:48" ht="13.5">
      <c r="A29" s="1633" t="s">
        <v>55</v>
      </c>
      <c r="B29" s="1621">
        <v>37500</v>
      </c>
      <c r="C29" s="1621">
        <v>30000</v>
      </c>
      <c r="D29" s="1621">
        <v>4300</v>
      </c>
      <c r="E29" s="1621">
        <v>612</v>
      </c>
      <c r="F29" s="1621">
        <v>0</v>
      </c>
      <c r="G29" s="1621">
        <v>13500</v>
      </c>
      <c r="H29" s="1621">
        <v>0</v>
      </c>
      <c r="I29" s="1621">
        <v>17500</v>
      </c>
      <c r="J29" s="1621">
        <v>17500</v>
      </c>
      <c r="K29" s="1621">
        <v>12500</v>
      </c>
      <c r="L29" s="1621">
        <v>0</v>
      </c>
      <c r="M29" s="1621">
        <v>0</v>
      </c>
      <c r="N29" s="1621">
        <v>0</v>
      </c>
      <c r="O29" s="1621">
        <v>0</v>
      </c>
      <c r="P29" s="1622">
        <v>9209</v>
      </c>
      <c r="Q29" s="1622">
        <v>10900</v>
      </c>
      <c r="R29" s="1622">
        <v>12500</v>
      </c>
      <c r="S29" s="1622">
        <v>10900</v>
      </c>
      <c r="T29" s="1622">
        <v>15000</v>
      </c>
      <c r="U29" s="1622">
        <v>11000</v>
      </c>
      <c r="V29" s="1622">
        <v>10900</v>
      </c>
      <c r="W29" s="1622">
        <v>60000</v>
      </c>
      <c r="X29" s="1622">
        <v>30000</v>
      </c>
      <c r="Y29" s="1622"/>
      <c r="Z29" s="1623">
        <v>10000</v>
      </c>
      <c r="AA29" s="1623">
        <v>10000</v>
      </c>
      <c r="AB29" s="1623">
        <v>10000</v>
      </c>
      <c r="AC29" s="1624"/>
      <c r="AD29" s="1625">
        <f>(Z29-I29)/I29</f>
        <v>-0.42857142857142855</v>
      </c>
      <c r="AE29" s="1626" t="s">
        <v>37</v>
      </c>
      <c r="AF29" s="855"/>
      <c r="AG29" s="855"/>
      <c r="AH29" s="855"/>
      <c r="AI29" s="855"/>
      <c r="AJ29" s="816"/>
      <c r="AK29" s="816"/>
      <c r="AL29" s="816"/>
      <c r="AM29" s="816"/>
      <c r="AN29" s="816"/>
      <c r="AO29" s="816"/>
    </row>
    <row r="30" spans="1:48" ht="13.5">
      <c r="A30" s="1632" t="s">
        <v>56</v>
      </c>
      <c r="B30" s="1634"/>
      <c r="C30" s="1634"/>
      <c r="D30" s="1634"/>
      <c r="E30" s="1634"/>
      <c r="F30" s="1634"/>
      <c r="G30" s="1634"/>
      <c r="H30" s="1634"/>
      <c r="I30" s="1634"/>
      <c r="J30" s="1634"/>
      <c r="K30" s="1634"/>
      <c r="L30" s="1634"/>
      <c r="M30" s="1634"/>
      <c r="N30" s="1634"/>
      <c r="O30" s="1634"/>
      <c r="P30" s="1634"/>
      <c r="Q30" s="1634"/>
      <c r="R30" s="1634"/>
      <c r="S30" s="1634"/>
      <c r="T30" s="1634"/>
      <c r="U30" s="1634"/>
      <c r="V30" s="1634"/>
      <c r="W30" s="1634"/>
      <c r="X30" s="1634"/>
      <c r="Y30" s="1634"/>
      <c r="Z30" s="1635"/>
      <c r="AA30" s="1635"/>
      <c r="AB30" s="1635"/>
      <c r="AC30" s="1624"/>
      <c r="AD30" s="1624"/>
      <c r="AE30" s="1624"/>
      <c r="AF30" s="855"/>
      <c r="AG30" s="855"/>
      <c r="AH30" s="855"/>
      <c r="AI30" s="855"/>
      <c r="AJ30" s="816"/>
      <c r="AK30" s="816"/>
      <c r="AL30" s="816"/>
      <c r="AM30" s="816"/>
      <c r="AN30" s="816"/>
      <c r="AO30" s="816"/>
    </row>
    <row r="31" spans="1:48" ht="13.5">
      <c r="A31" s="1636" t="s">
        <v>57</v>
      </c>
      <c r="B31" s="1634">
        <v>0</v>
      </c>
      <c r="C31" s="1634">
        <v>0</v>
      </c>
      <c r="D31" s="1637">
        <v>1.0230917551006366E-2</v>
      </c>
      <c r="E31" s="1637">
        <v>4.0341831833693262E-2</v>
      </c>
      <c r="F31" s="1637">
        <v>7.3463644122242114E-2</v>
      </c>
      <c r="G31" s="1637">
        <v>0.1173</v>
      </c>
      <c r="H31" s="1637">
        <v>6.3926788685524122E-2</v>
      </c>
      <c r="I31" s="1637">
        <v>-0.14693035222659762</v>
      </c>
      <c r="J31" s="1634">
        <v>0</v>
      </c>
      <c r="K31" s="1637">
        <v>-9.629315321583902E-2</v>
      </c>
      <c r="L31" s="1637">
        <v>-6.869707279974116E-2</v>
      </c>
      <c r="M31" s="1637">
        <v>1.0600278674667379E-2</v>
      </c>
      <c r="N31" s="1637">
        <v>1.0600278674667379E-2</v>
      </c>
      <c r="O31" s="1637">
        <v>1.0600278674667379E-2</v>
      </c>
      <c r="P31" s="1637">
        <v>0</v>
      </c>
      <c r="Q31" s="1637">
        <v>0</v>
      </c>
      <c r="R31" s="1638">
        <v>0</v>
      </c>
      <c r="S31" s="1639">
        <f>S32/300500</f>
        <v>0</v>
      </c>
      <c r="T31" s="1638">
        <f>T34/3267379</f>
        <v>0.72584447656669149</v>
      </c>
      <c r="U31" s="1638">
        <f>U34/3267379</f>
        <v>0.71059096603118277</v>
      </c>
      <c r="V31" s="1638">
        <f>V34/3267379</f>
        <v>0.69355223253868004</v>
      </c>
      <c r="W31" s="1637">
        <f>W34/3267379</f>
        <v>0.67608159322808892</v>
      </c>
      <c r="X31" s="1637">
        <f>X34/3267379</f>
        <v>0.67608159322808892</v>
      </c>
      <c r="Y31" s="1637"/>
      <c r="Z31" s="1638">
        <v>0</v>
      </c>
      <c r="AA31" s="1638">
        <v>0.25</v>
      </c>
      <c r="AB31" s="1638">
        <v>0.25</v>
      </c>
      <c r="AC31" s="1624"/>
      <c r="AD31" s="1625" t="s">
        <v>37</v>
      </c>
      <c r="AE31" s="1626">
        <f>(Z31-I31)/10</f>
        <v>1.4693035222659762E-2</v>
      </c>
      <c r="AF31" s="855"/>
      <c r="AG31" s="855"/>
      <c r="AH31" s="855"/>
      <c r="AI31" s="855"/>
      <c r="AJ31" s="816"/>
      <c r="AK31" s="816"/>
      <c r="AL31" s="816"/>
      <c r="AM31" s="816"/>
      <c r="AN31" s="816"/>
      <c r="AO31" s="816"/>
    </row>
    <row r="32" spans="1:48" ht="13.5">
      <c r="A32" s="1632" t="s">
        <v>58</v>
      </c>
      <c r="B32" s="1621">
        <v>0</v>
      </c>
      <c r="C32" s="1621">
        <v>0</v>
      </c>
      <c r="D32" s="1621">
        <v>3074.3907240774133</v>
      </c>
      <c r="E32" s="1621">
        <v>12122.720466024824</v>
      </c>
      <c r="F32" s="1621">
        <v>22075.825058733753</v>
      </c>
      <c r="G32" s="1621">
        <v>31799.357056528737</v>
      </c>
      <c r="H32" s="1621">
        <v>19210</v>
      </c>
      <c r="I32" s="1621">
        <v>-44152.570844092581</v>
      </c>
      <c r="J32" s="1621">
        <v>-36763.754420484678</v>
      </c>
      <c r="K32" s="1621">
        <v>-28936.092541359627</v>
      </c>
      <c r="L32" s="1621">
        <v>-20643.470376322221</v>
      </c>
      <c r="M32" s="1621">
        <v>3185.3837417375471</v>
      </c>
      <c r="N32" s="1621">
        <v>3185.3837417375471</v>
      </c>
      <c r="O32" s="1621">
        <v>3185.3837417375471</v>
      </c>
      <c r="P32" s="1622">
        <v>0</v>
      </c>
      <c r="Q32" s="1622">
        <v>0</v>
      </c>
      <c r="R32" s="1622">
        <v>0</v>
      </c>
      <c r="S32" s="1622">
        <f>R32</f>
        <v>0</v>
      </c>
      <c r="T32" s="1622">
        <f>3267379-T34</f>
        <v>895770</v>
      </c>
      <c r="U32" s="1622">
        <f>3267379-U34</f>
        <v>945609</v>
      </c>
      <c r="V32" s="1622">
        <f>3267379-V34</f>
        <v>1001281</v>
      </c>
      <c r="W32" s="1622">
        <f>3267379-W36</f>
        <v>1058364.2000000002</v>
      </c>
      <c r="X32" s="1622">
        <f>3267379-X36</f>
        <v>1058364.2000000002</v>
      </c>
      <c r="Y32" s="1622"/>
      <c r="Z32" s="1623">
        <v>0</v>
      </c>
      <c r="AA32" s="1623">
        <v>0</v>
      </c>
      <c r="AB32" s="1623">
        <v>0</v>
      </c>
      <c r="AC32" s="1624"/>
      <c r="AD32" s="1625" t="s">
        <v>37</v>
      </c>
      <c r="AE32" s="1626" t="s">
        <v>37</v>
      </c>
      <c r="AF32" s="855"/>
      <c r="AG32" s="855"/>
      <c r="AH32" s="855"/>
      <c r="AI32" s="855"/>
      <c r="AJ32" s="816"/>
      <c r="AK32" s="816"/>
      <c r="AL32" s="816"/>
      <c r="AM32" s="816"/>
      <c r="AN32" s="816"/>
      <c r="AO32" s="816"/>
    </row>
    <row r="33" spans="1:34" ht="13.5">
      <c r="A33" s="1632" t="s">
        <v>59</v>
      </c>
      <c r="B33" s="1634" t="s">
        <v>60</v>
      </c>
      <c r="C33" s="1634" t="s">
        <v>61</v>
      </c>
      <c r="D33" s="1634" t="s">
        <v>62</v>
      </c>
      <c r="E33" s="1637">
        <v>2.9431294048230332</v>
      </c>
      <c r="F33" s="1637">
        <v>0.82102896132955738</v>
      </c>
      <c r="G33" s="1637">
        <v>0.44046063836459465</v>
      </c>
      <c r="H33" s="1637">
        <v>-0.39589973577607324</v>
      </c>
      <c r="I33" s="1634" t="s">
        <v>37</v>
      </c>
      <c r="J33" s="1634" t="s">
        <v>37</v>
      </c>
      <c r="K33" s="1634" t="s">
        <v>37</v>
      </c>
      <c r="L33" s="1637" t="s">
        <v>37</v>
      </c>
      <c r="M33" s="1637" t="s">
        <v>37</v>
      </c>
      <c r="N33" s="1637">
        <v>0</v>
      </c>
      <c r="O33" s="1637">
        <v>0</v>
      </c>
      <c r="P33" s="1637">
        <v>-1</v>
      </c>
      <c r="Q33" s="1637">
        <v>0</v>
      </c>
      <c r="R33" s="1637">
        <v>0</v>
      </c>
      <c r="S33" s="1637">
        <v>0</v>
      </c>
      <c r="T33" s="1637">
        <v>0</v>
      </c>
      <c r="U33" s="1637">
        <v>0</v>
      </c>
      <c r="V33" s="1637">
        <v>0</v>
      </c>
      <c r="W33" s="1637">
        <v>0</v>
      </c>
      <c r="X33" s="1637">
        <v>0</v>
      </c>
      <c r="Y33" s="1637"/>
      <c r="Z33" s="1640">
        <v>0</v>
      </c>
      <c r="AA33" s="1640">
        <v>0</v>
      </c>
      <c r="AB33" s="1640">
        <v>0</v>
      </c>
      <c r="AC33" s="1624"/>
      <c r="AD33" s="1624" t="s">
        <v>37</v>
      </c>
      <c r="AE33" s="1624"/>
      <c r="AF33" s="855"/>
      <c r="AG33" s="855"/>
      <c r="AH33" s="855"/>
    </row>
    <row r="34" spans="1:34" ht="13.5">
      <c r="A34" s="1632" t="s">
        <v>63</v>
      </c>
      <c r="B34" s="1617">
        <v>0</v>
      </c>
      <c r="C34" s="1617">
        <v>0</v>
      </c>
      <c r="D34" s="1617">
        <v>297325.60927592259</v>
      </c>
      <c r="E34" s="1617">
        <v>288277.27953397518</v>
      </c>
      <c r="F34" s="1617">
        <v>278324.17494126625</v>
      </c>
      <c r="G34" s="1617">
        <v>268600.64294347126</v>
      </c>
      <c r="H34" s="1617">
        <v>255790</v>
      </c>
      <c r="I34" s="1617">
        <v>249152.57084409258</v>
      </c>
      <c r="J34" s="1617">
        <v>241763.75442048468</v>
      </c>
      <c r="K34" s="1617">
        <v>233936.09254135963</v>
      </c>
      <c r="L34" s="1617">
        <v>225643.47037632222</v>
      </c>
      <c r="M34" s="1617">
        <v>201814.61625826245</v>
      </c>
      <c r="N34" s="1617">
        <v>197000</v>
      </c>
      <c r="O34" s="1617">
        <v>197000</v>
      </c>
      <c r="P34" s="1617">
        <v>0</v>
      </c>
      <c r="Q34" s="1617">
        <v>0</v>
      </c>
      <c r="R34" s="1617">
        <v>0</v>
      </c>
      <c r="S34" s="1618">
        <f>S36+S37</f>
        <v>0</v>
      </c>
      <c r="T34" s="1617">
        <v>2371609</v>
      </c>
      <c r="U34" s="1618">
        <f>SUM(U36+U37)</f>
        <v>2321770</v>
      </c>
      <c r="V34" s="1617">
        <f>V36+V37</f>
        <v>2266098</v>
      </c>
      <c r="W34" s="1617">
        <f>W36+W37</f>
        <v>2209014.7999999998</v>
      </c>
      <c r="X34" s="1617">
        <f>X36+X37</f>
        <v>2209014.7999999998</v>
      </c>
      <c r="Y34" s="1617"/>
      <c r="Z34" s="1617">
        <v>0</v>
      </c>
      <c r="AA34" s="1617">
        <v>0</v>
      </c>
      <c r="AB34" s="1617">
        <v>0</v>
      </c>
      <c r="AC34" s="1619">
        <f>(R34-O34)/O34</f>
        <v>-1</v>
      </c>
      <c r="AD34" s="1619">
        <f>(Z34-I34)/I34</f>
        <v>-1</v>
      </c>
      <c r="AE34" s="1620">
        <f>(Z34-I34)/10</f>
        <v>-24915.257084409259</v>
      </c>
      <c r="AF34" s="855"/>
      <c r="AG34" s="855"/>
      <c r="AH34" s="855"/>
    </row>
    <row r="35" spans="1:34" ht="13.5">
      <c r="A35" s="1632" t="s">
        <v>64</v>
      </c>
      <c r="B35" s="1641"/>
      <c r="C35" s="1641"/>
      <c r="D35" s="1641"/>
      <c r="E35" s="1637">
        <v>-3.0432392836872744E-2</v>
      </c>
      <c r="F35" s="1637">
        <v>-3.4526149992808911E-2</v>
      </c>
      <c r="G35" s="1637">
        <v>-3.4935995049107417E-2</v>
      </c>
      <c r="H35" s="1637">
        <v>-4.7694014441236263E-2</v>
      </c>
      <c r="I35" s="1637">
        <v>-2.5948743719095425E-2</v>
      </c>
      <c r="J35" s="1637">
        <v>-2.9655790420205861E-2</v>
      </c>
      <c r="K35" s="1637">
        <v>-3.2377317674802834E-2</v>
      </c>
      <c r="L35" s="1637">
        <v>-3.5448237486360855E-2</v>
      </c>
      <c r="M35" s="1637">
        <v>-0.10560400475280154</v>
      </c>
      <c r="N35" s="1637">
        <v>-2.3856628164637895E-2</v>
      </c>
      <c r="O35" s="1637">
        <v>0</v>
      </c>
      <c r="P35" s="1637">
        <v>-1</v>
      </c>
      <c r="Q35" s="1637" t="s">
        <v>37</v>
      </c>
      <c r="R35" s="1637" t="s">
        <v>37</v>
      </c>
      <c r="S35" s="1637" t="s">
        <v>37</v>
      </c>
      <c r="T35" s="1637" t="s">
        <v>37</v>
      </c>
      <c r="U35" s="1637" t="s">
        <v>37</v>
      </c>
      <c r="V35" s="1637" t="s">
        <v>37</v>
      </c>
      <c r="W35" s="1637" t="s">
        <v>37</v>
      </c>
      <c r="X35" s="1637" t="s">
        <v>37</v>
      </c>
      <c r="Y35" s="1637"/>
      <c r="Z35" s="1640" t="s">
        <v>37</v>
      </c>
      <c r="AA35" s="1640" t="s">
        <v>37</v>
      </c>
      <c r="AB35" s="1640" t="s">
        <v>37</v>
      </c>
      <c r="AC35" s="1642"/>
      <c r="AD35" s="1625" t="s">
        <v>37</v>
      </c>
      <c r="AE35" s="1626" t="s">
        <v>37</v>
      </c>
      <c r="AF35" s="855"/>
      <c r="AG35" s="855"/>
      <c r="AH35" s="855"/>
    </row>
    <row r="36" spans="1:34" ht="13.5">
      <c r="A36" s="1643" t="s">
        <v>65</v>
      </c>
      <c r="B36" s="1621">
        <v>0</v>
      </c>
      <c r="C36" s="1621">
        <v>0</v>
      </c>
      <c r="D36" s="1621">
        <v>238579.07095882087</v>
      </c>
      <c r="E36" s="1621">
        <v>235042.7232082345</v>
      </c>
      <c r="F36" s="1621">
        <v>230519.00926206991</v>
      </c>
      <c r="G36" s="1621">
        <v>226559.7408456557</v>
      </c>
      <c r="H36" s="1621">
        <v>218784.9001707198</v>
      </c>
      <c r="I36" s="1621">
        <v>215752.76217012943</v>
      </c>
      <c r="J36" s="1621">
        <v>212549.58775253204</v>
      </c>
      <c r="K36" s="1621">
        <v>209165.72911959636</v>
      </c>
      <c r="L36" s="1621">
        <v>205590.99426132964</v>
      </c>
      <c r="M36" s="1621">
        <v>201814.61625826245</v>
      </c>
      <c r="N36" s="1621">
        <v>197000</v>
      </c>
      <c r="O36" s="1621">
        <v>197000</v>
      </c>
      <c r="P36" s="1622">
        <v>0</v>
      </c>
      <c r="Q36" s="1622">
        <v>0</v>
      </c>
      <c r="R36" s="1622">
        <v>0</v>
      </c>
      <c r="S36" s="1622">
        <v>0</v>
      </c>
      <c r="T36" s="1622">
        <v>2371609</v>
      </c>
      <c r="U36" s="1622">
        <v>2321770</v>
      </c>
      <c r="V36" s="1622">
        <v>2266098</v>
      </c>
      <c r="W36" s="1622">
        <v>2209014.7999999998</v>
      </c>
      <c r="X36" s="1622">
        <v>2209014.7999999998</v>
      </c>
      <c r="Y36" s="1622"/>
      <c r="Z36" s="1623">
        <v>0</v>
      </c>
      <c r="AA36" s="1623">
        <v>2435000</v>
      </c>
      <c r="AB36" s="1623">
        <v>2435000</v>
      </c>
      <c r="AC36" s="1624"/>
      <c r="AD36" s="1625" t="s">
        <v>37</v>
      </c>
      <c r="AE36" s="1626" t="s">
        <v>37</v>
      </c>
      <c r="AF36" s="855"/>
      <c r="AG36" s="855"/>
      <c r="AH36" s="855"/>
    </row>
    <row r="37" spans="1:34" ht="13.5">
      <c r="A37" s="1643" t="s">
        <v>66</v>
      </c>
      <c r="B37" s="1621">
        <v>0</v>
      </c>
      <c r="C37" s="1621">
        <v>0</v>
      </c>
      <c r="D37" s="1621">
        <v>58746.538317101724</v>
      </c>
      <c r="E37" s="1621">
        <v>53234.556325740676</v>
      </c>
      <c r="F37" s="1621">
        <v>47805.165679196347</v>
      </c>
      <c r="G37" s="1621">
        <v>42040.902097815575</v>
      </c>
      <c r="H37" s="1621">
        <v>37342.287229354406</v>
      </c>
      <c r="I37" s="1621">
        <v>33399.808673963147</v>
      </c>
      <c r="J37" s="1621">
        <v>29214.166667952635</v>
      </c>
      <c r="K37" s="1621">
        <v>24770.363421763264</v>
      </c>
      <c r="L37" s="1621">
        <v>20052.476114992569</v>
      </c>
      <c r="M37" s="1621">
        <v>0</v>
      </c>
      <c r="N37" s="1621">
        <v>0</v>
      </c>
      <c r="O37" s="1621">
        <v>0</v>
      </c>
      <c r="P37" s="1622">
        <v>0</v>
      </c>
      <c r="Q37" s="1622">
        <v>0</v>
      </c>
      <c r="R37" s="1622">
        <v>0</v>
      </c>
      <c r="S37" s="1622">
        <v>0</v>
      </c>
      <c r="T37" s="1622">
        <v>0</v>
      </c>
      <c r="U37" s="1622">
        <v>0</v>
      </c>
      <c r="V37" s="1622">
        <v>0</v>
      </c>
      <c r="W37" s="1622">
        <v>0</v>
      </c>
      <c r="X37" s="1622">
        <v>0</v>
      </c>
      <c r="Y37" s="1622"/>
      <c r="Z37" s="1623">
        <v>0</v>
      </c>
      <c r="AA37" s="1623">
        <v>0</v>
      </c>
      <c r="AB37" s="1623">
        <v>0</v>
      </c>
      <c r="AC37" s="1624"/>
      <c r="AD37" s="1624"/>
      <c r="AE37" s="1624"/>
      <c r="AF37" s="855"/>
      <c r="AG37" s="855"/>
      <c r="AH37" s="855"/>
    </row>
    <row r="38" spans="1:34" ht="13.5">
      <c r="A38" s="1644" t="s">
        <v>67</v>
      </c>
      <c r="B38" s="1645">
        <f t="shared" ref="B38:O38" si="20">B26+B32</f>
        <v>-2700</v>
      </c>
      <c r="C38" s="1645">
        <f t="shared" si="20"/>
        <v>38927</v>
      </c>
      <c r="D38" s="1645">
        <f t="shared" si="20"/>
        <v>99701.390724077413</v>
      </c>
      <c r="E38" s="1645">
        <f t="shared" si="20"/>
        <v>151332.72046602482</v>
      </c>
      <c r="F38" s="1645">
        <f t="shared" si="20"/>
        <v>245591.82505873375</v>
      </c>
      <c r="G38" s="1645">
        <f t="shared" si="20"/>
        <v>332882.35705652874</v>
      </c>
      <c r="H38" s="1645">
        <f t="shared" si="20"/>
        <v>291716</v>
      </c>
      <c r="I38" s="1645">
        <f t="shared" si="20"/>
        <v>377597.42915590742</v>
      </c>
      <c r="J38" s="1645">
        <f t="shared" si="20"/>
        <v>554539.24557951535</v>
      </c>
      <c r="K38" s="1645">
        <f t="shared" si="20"/>
        <v>662102.9074586404</v>
      </c>
      <c r="L38" s="1645">
        <f t="shared" si="20"/>
        <v>830946.52962367772</v>
      </c>
      <c r="M38" s="1645">
        <f t="shared" si="20"/>
        <v>1165134.3837417376</v>
      </c>
      <c r="N38" s="1645">
        <f t="shared" si="20"/>
        <v>1424023.3837417376</v>
      </c>
      <c r="O38" s="1645">
        <f t="shared" si="20"/>
        <v>1527592.3837417376</v>
      </c>
      <c r="P38" s="1645">
        <f t="shared" ref="P38:V38" si="21">P26+P32</f>
        <v>2005166</v>
      </c>
      <c r="Q38" s="1645">
        <f t="shared" si="21"/>
        <v>2610340</v>
      </c>
      <c r="R38" s="1645">
        <f t="shared" si="21"/>
        <v>2714525</v>
      </c>
      <c r="S38" s="1646">
        <f t="shared" si="21"/>
        <v>3325035</v>
      </c>
      <c r="T38" s="1645">
        <f>T26+T32</f>
        <v>3899212</v>
      </c>
      <c r="U38" s="1646">
        <f t="shared" si="21"/>
        <v>3959609</v>
      </c>
      <c r="V38" s="1645">
        <f t="shared" si="21"/>
        <v>4157978</v>
      </c>
      <c r="W38" s="1645">
        <f t="shared" ref="W38" si="22">W26+W32</f>
        <v>5226556.03</v>
      </c>
      <c r="X38" s="1645">
        <f t="shared" ref="X38" si="23">X26+X32</f>
        <v>5457806.9500000002</v>
      </c>
      <c r="Y38" s="1645"/>
      <c r="Z38" s="1645">
        <f>Z26+Z32</f>
        <v>3325935</v>
      </c>
      <c r="AA38" s="1645">
        <f>AA26+AA32</f>
        <v>2578108</v>
      </c>
      <c r="AB38" s="1645">
        <f>AB26+AB32</f>
        <v>3488855</v>
      </c>
      <c r="AC38" s="1625">
        <f>(R38-O38)/O38</f>
        <v>0.77699563632999313</v>
      </c>
      <c r="AD38" s="1619">
        <f>(Z38-I38)/I38</f>
        <v>7.8081505412653218</v>
      </c>
      <c r="AE38" s="1620">
        <f>(Z38-I38)/10</f>
        <v>294833.75708440924</v>
      </c>
      <c r="AF38" s="855"/>
      <c r="AG38" s="855"/>
      <c r="AH38" s="862">
        <f>663901-T42</f>
        <v>385984.4</v>
      </c>
    </row>
    <row r="39" spans="1:34" ht="13.5">
      <c r="A39" s="1644" t="s">
        <v>68</v>
      </c>
      <c r="B39" s="1645"/>
      <c r="C39" s="1645">
        <f t="shared" ref="C39:I39" si="24">(C38-B38)</f>
        <v>41627</v>
      </c>
      <c r="D39" s="1645">
        <f t="shared" si="24"/>
        <v>60774.390724077413</v>
      </c>
      <c r="E39" s="1645">
        <f t="shared" si="24"/>
        <v>51631.329741947411</v>
      </c>
      <c r="F39" s="1645">
        <f t="shared" si="24"/>
        <v>94259.104592708929</v>
      </c>
      <c r="G39" s="1645">
        <f t="shared" si="24"/>
        <v>87290.531997794984</v>
      </c>
      <c r="H39" s="1645">
        <f t="shared" si="24"/>
        <v>-41166.357056528737</v>
      </c>
      <c r="I39" s="1645">
        <f t="shared" si="24"/>
        <v>85881.429155907419</v>
      </c>
      <c r="J39" s="1645">
        <f t="shared" ref="J39:O39" si="25">(J38-I38)</f>
        <v>176941.81642360793</v>
      </c>
      <c r="K39" s="1645">
        <f t="shared" si="25"/>
        <v>107563.66187912505</v>
      </c>
      <c r="L39" s="1645">
        <f t="shared" si="25"/>
        <v>168843.62216503732</v>
      </c>
      <c r="M39" s="1645">
        <f t="shared" si="25"/>
        <v>334187.85411805985</v>
      </c>
      <c r="N39" s="1645">
        <f t="shared" si="25"/>
        <v>258889</v>
      </c>
      <c r="O39" s="1645">
        <f t="shared" si="25"/>
        <v>103569</v>
      </c>
      <c r="P39" s="1645">
        <f t="shared" ref="P39:V39" si="26">(P38-O38)</f>
        <v>477573.61625826242</v>
      </c>
      <c r="Q39" s="1645">
        <f t="shared" si="26"/>
        <v>605174</v>
      </c>
      <c r="R39" s="1645">
        <f>(R38-Q38)</f>
        <v>104185</v>
      </c>
      <c r="S39" s="1646">
        <f t="shared" si="26"/>
        <v>610510</v>
      </c>
      <c r="T39" s="1645">
        <f>(T38-S38)</f>
        <v>574177</v>
      </c>
      <c r="U39" s="1646">
        <f t="shared" si="26"/>
        <v>60397</v>
      </c>
      <c r="V39" s="1645">
        <f t="shared" si="26"/>
        <v>198369</v>
      </c>
      <c r="W39" s="1645">
        <f>(W38-U39)</f>
        <v>5166159.03</v>
      </c>
      <c r="X39" s="1645">
        <f>(X38-V38)</f>
        <v>1299828.9500000002</v>
      </c>
      <c r="Y39" s="1645"/>
      <c r="Z39" s="1645">
        <f>(Z38-X38)</f>
        <v>-2131871.9500000002</v>
      </c>
      <c r="AA39" s="1645">
        <f>(AA38-Z38)</f>
        <v>-747827</v>
      </c>
      <c r="AB39" s="1645">
        <f>(AB38-AA38)</f>
        <v>910747</v>
      </c>
      <c r="AC39" s="1624"/>
      <c r="AD39" s="1619">
        <f>(Z39-I39)/I39</f>
        <v>-25.823433551971323</v>
      </c>
      <c r="AE39" s="1620">
        <f>(Z39-I39)/10</f>
        <v>-221775.33791559079</v>
      </c>
      <c r="AF39" s="855"/>
      <c r="AG39" s="855"/>
      <c r="AH39" s="855"/>
    </row>
    <row r="40" spans="1:34" ht="13.5">
      <c r="A40" s="1644" t="s">
        <v>69</v>
      </c>
      <c r="B40" s="1644" t="s">
        <v>70</v>
      </c>
      <c r="C40" s="1647">
        <f t="shared" ref="C40:I40" si="27">(C38-B38)/B38</f>
        <v>-15.417407407407408</v>
      </c>
      <c r="D40" s="1647">
        <f t="shared" si="27"/>
        <v>1.5612400319592421</v>
      </c>
      <c r="E40" s="1647">
        <f t="shared" si="27"/>
        <v>0.51785967444362524</v>
      </c>
      <c r="F40" s="1647">
        <f t="shared" si="27"/>
        <v>0.62286004178369814</v>
      </c>
      <c r="G40" s="1647">
        <f t="shared" si="27"/>
        <v>0.35542930623574009</v>
      </c>
      <c r="H40" s="1647">
        <f t="shared" si="27"/>
        <v>-0.12366638298447891</v>
      </c>
      <c r="I40" s="1647">
        <f t="shared" si="27"/>
        <v>0.29440081845324706</v>
      </c>
      <c r="J40" s="1647">
        <f t="shared" ref="J40:O40" si="28">(J38-I38)/I38</f>
        <v>0.46859910253930742</v>
      </c>
      <c r="K40" s="1647">
        <f t="shared" si="28"/>
        <v>0.19396943090423976</v>
      </c>
      <c r="L40" s="1647">
        <f t="shared" si="28"/>
        <v>0.25501114745608405</v>
      </c>
      <c r="M40" s="1647">
        <f t="shared" si="28"/>
        <v>0.40217732694474112</v>
      </c>
      <c r="N40" s="1647">
        <f t="shared" si="28"/>
        <v>0.22219668701956791</v>
      </c>
      <c r="O40" s="1647">
        <f t="shared" si="28"/>
        <v>7.2729845016915387E-2</v>
      </c>
      <c r="P40" s="1647">
        <f t="shared" ref="P40:V40" si="29">(P38-O38)/O38</f>
        <v>0.31263157720679197</v>
      </c>
      <c r="Q40" s="1647">
        <f t="shared" si="29"/>
        <v>0.30180743140468169</v>
      </c>
      <c r="R40" s="1647">
        <f>(R38-Q38)/Q38</f>
        <v>3.9912425201314772E-2</v>
      </c>
      <c r="S40" s="1648">
        <f t="shared" si="29"/>
        <v>0.22490490969875024</v>
      </c>
      <c r="T40" s="1647">
        <f>(T38-S38)/S38</f>
        <v>0.17268299431434556</v>
      </c>
      <c r="U40" s="1648">
        <f t="shared" si="29"/>
        <v>1.5489539937813076E-2</v>
      </c>
      <c r="V40" s="1647">
        <f t="shared" si="29"/>
        <v>5.0098128375806801E-2</v>
      </c>
      <c r="W40" s="1647">
        <f>(W38-U39)/U39</f>
        <v>85.536682782257401</v>
      </c>
      <c r="X40" s="1647">
        <f>(X38-V38)/V38</f>
        <v>0.31261082910972599</v>
      </c>
      <c r="Y40" s="1647"/>
      <c r="Z40" s="1647">
        <f>(Z38-X38)/X38</f>
        <v>-0.39060962938603022</v>
      </c>
      <c r="AA40" s="1647">
        <f>(AA38-Z38)/Z38</f>
        <v>-0.22484714824553095</v>
      </c>
      <c r="AB40" s="1647">
        <f>(AB38-AA38)/AA38</f>
        <v>0.35326177181095592</v>
      </c>
      <c r="AC40" s="1624"/>
      <c r="AD40" s="1619"/>
      <c r="AE40" s="1620"/>
      <c r="AF40" s="855"/>
      <c r="AG40" s="855"/>
      <c r="AH40" s="855"/>
    </row>
    <row r="41" spans="1:34" ht="13.5">
      <c r="A41" s="1649" t="s">
        <v>71</v>
      </c>
      <c r="B41" s="1624"/>
      <c r="C41" s="1637"/>
      <c r="D41" s="1637"/>
      <c r="E41" s="1637"/>
      <c r="F41" s="1637"/>
      <c r="G41" s="1637"/>
      <c r="H41" s="1637"/>
      <c r="I41" s="1624"/>
      <c r="J41" s="1637"/>
      <c r="K41" s="1637"/>
      <c r="L41" s="1637"/>
      <c r="M41" s="1637"/>
      <c r="N41" s="1637"/>
      <c r="O41" s="1637"/>
      <c r="P41" s="1637"/>
      <c r="Q41" s="1637"/>
      <c r="R41" s="1637"/>
      <c r="S41" s="1637"/>
      <c r="T41" s="1637"/>
      <c r="U41" s="1637"/>
      <c r="V41" s="1637"/>
      <c r="W41" s="1637"/>
      <c r="X41" s="1637"/>
      <c r="Y41" s="1637"/>
      <c r="Z41" s="1640"/>
      <c r="AA41" s="1640"/>
      <c r="AB41" s="1640"/>
      <c r="AC41" s="1624"/>
      <c r="AD41" s="1624"/>
      <c r="AE41" s="1624"/>
      <c r="AF41" s="855"/>
      <c r="AG41" s="855"/>
      <c r="AH41" s="855"/>
    </row>
    <row r="42" spans="1:34" ht="13.5">
      <c r="A42" s="1649" t="s">
        <v>72</v>
      </c>
      <c r="B42" s="1621">
        <v>72015.839999999997</v>
      </c>
      <c r="C42" s="1621">
        <v>72883</v>
      </c>
      <c r="D42" s="1621">
        <v>78693</v>
      </c>
      <c r="E42" s="1621">
        <v>80432</v>
      </c>
      <c r="F42" s="1621">
        <v>92844</v>
      </c>
      <c r="G42" s="1621">
        <v>102510</v>
      </c>
      <c r="H42" s="1621">
        <v>107237</v>
      </c>
      <c r="I42" s="1621">
        <v>126931</v>
      </c>
      <c r="J42" s="1621">
        <v>123458.78</v>
      </c>
      <c r="K42" s="1621">
        <v>131775</v>
      </c>
      <c r="L42" s="1621">
        <v>139708</v>
      </c>
      <c r="M42" s="1621">
        <v>143728</v>
      </c>
      <c r="N42" s="1621">
        <v>153511</v>
      </c>
      <c r="O42" s="1621">
        <v>179905</v>
      </c>
      <c r="P42" s="1622">
        <v>217425</v>
      </c>
      <c r="Q42" s="1622">
        <v>323386</v>
      </c>
      <c r="R42" s="1622">
        <v>245200</v>
      </c>
      <c r="S42" s="1622">
        <v>245735</v>
      </c>
      <c r="T42" s="1622">
        <v>277916.59999999998</v>
      </c>
      <c r="U42" s="1622">
        <v>306582.43</v>
      </c>
      <c r="V42" s="1650">
        <f>280458.32+ 64928.5</f>
        <v>345386.82</v>
      </c>
      <c r="W42" s="1622">
        <v>519947.38</v>
      </c>
      <c r="X42" s="1622">
        <v>519947.38</v>
      </c>
      <c r="Y42" s="1622"/>
      <c r="Z42" s="1623">
        <v>245735</v>
      </c>
      <c r="AA42" s="1623">
        <v>245200</v>
      </c>
      <c r="AB42" s="1623">
        <v>245200</v>
      </c>
      <c r="AC42" s="1625">
        <f>(R42-O42)/O42</f>
        <v>0.36294155248603427</v>
      </c>
      <c r="AD42" s="1625">
        <f>(S42-P42)/P42</f>
        <v>0.13020581809819479</v>
      </c>
      <c r="AE42" s="1625">
        <f>(T42-Q42)/Q42</f>
        <v>-0.14060410778450527</v>
      </c>
      <c r="AF42" s="855"/>
      <c r="AG42" s="855"/>
      <c r="AH42" s="855"/>
    </row>
    <row r="43" spans="1:34" ht="13.5">
      <c r="A43" s="1649" t="s">
        <v>73</v>
      </c>
      <c r="B43" s="1637">
        <f>(B42-49315-3000)/(49315+3000)</f>
        <v>0.3765810952881582</v>
      </c>
      <c r="C43" s="1637">
        <f t="shared" ref="C43:I43" si="30">(C42-B42)/B42</f>
        <v>1.204123981612939E-2</v>
      </c>
      <c r="D43" s="1637">
        <f t="shared" si="30"/>
        <v>7.9716806388321002E-2</v>
      </c>
      <c r="E43" s="1637">
        <f t="shared" si="30"/>
        <v>2.2098534812499206E-2</v>
      </c>
      <c r="F43" s="1637">
        <f t="shared" si="30"/>
        <v>0.15431668987467675</v>
      </c>
      <c r="G43" s="1637">
        <f t="shared" si="30"/>
        <v>0.10411012020162853</v>
      </c>
      <c r="H43" s="1637">
        <f t="shared" si="30"/>
        <v>4.6112574382987027E-2</v>
      </c>
      <c r="I43" s="1637">
        <f t="shared" si="30"/>
        <v>0.18364930014826972</v>
      </c>
      <c r="J43" s="1637">
        <f t="shared" ref="J43:V43" si="31">(J42-I42)/I42</f>
        <v>-2.7355177222270377E-2</v>
      </c>
      <c r="K43" s="1637">
        <f t="shared" si="31"/>
        <v>6.7360296286744462E-2</v>
      </c>
      <c r="L43" s="1637">
        <f t="shared" si="31"/>
        <v>6.020110036046291E-2</v>
      </c>
      <c r="M43" s="1637">
        <f t="shared" si="31"/>
        <v>2.8774300684284364E-2</v>
      </c>
      <c r="N43" s="1637">
        <f t="shared" si="31"/>
        <v>6.8066069241901367E-2</v>
      </c>
      <c r="O43" s="1637">
        <f t="shared" si="31"/>
        <v>0.17193556162099133</v>
      </c>
      <c r="P43" s="1637">
        <f t="shared" si="31"/>
        <v>0.20855451488285484</v>
      </c>
      <c r="Q43" s="1637">
        <f t="shared" si="31"/>
        <v>0.48734506151546508</v>
      </c>
      <c r="R43" s="1637">
        <f>(R42-Q42)/Q42</f>
        <v>-0.24177298955427878</v>
      </c>
      <c r="S43" s="1637">
        <f>(S42-R42)/R42</f>
        <v>2.1818923327895597E-3</v>
      </c>
      <c r="T43" s="1637">
        <f>(T42-S42)/S42</f>
        <v>0.13096058762488036</v>
      </c>
      <c r="U43" s="1637">
        <f t="shared" si="31"/>
        <v>0.10314544003488824</v>
      </c>
      <c r="V43" s="1637">
        <f t="shared" si="31"/>
        <v>0.12657082142639425</v>
      </c>
      <c r="W43" s="1637">
        <f>(W42-V42)/V42</f>
        <v>0.50540596772048219</v>
      </c>
      <c r="X43" s="1637">
        <f>(X42-V42)/V42</f>
        <v>0.50540596772048219</v>
      </c>
      <c r="Y43" s="1637"/>
      <c r="Z43" s="1640">
        <f>(Z42-X42)/X42</f>
        <v>-0.52738486729176326</v>
      </c>
      <c r="AA43" s="1640">
        <f>(AA42-Z42)/Z42</f>
        <v>-2.1771420432579814E-3</v>
      </c>
      <c r="AB43" s="1640">
        <f>(AB42-AA42)/AA42</f>
        <v>0</v>
      </c>
      <c r="AC43" s="1624"/>
      <c r="AD43" s="1624"/>
      <c r="AE43" s="1624"/>
      <c r="AF43" s="855"/>
      <c r="AG43" s="855"/>
      <c r="AH43" s="855"/>
    </row>
    <row r="44" spans="1:34" ht="13.5">
      <c r="A44" s="1649" t="s">
        <v>74</v>
      </c>
      <c r="B44" s="1637">
        <f t="shared" ref="B44:R44" si="32">POWER(B42/72000, 1/B9)-1</f>
        <v>2.1999999999988695E-4</v>
      </c>
      <c r="C44" s="1637">
        <f t="shared" si="32"/>
        <v>6.1132584798238021E-3</v>
      </c>
      <c r="D44" s="1637">
        <f t="shared" si="32"/>
        <v>3.0072679489306919E-2</v>
      </c>
      <c r="E44" s="1637">
        <f t="shared" si="32"/>
        <v>2.8073329804458202E-2</v>
      </c>
      <c r="F44" s="1637">
        <f t="shared" si="32"/>
        <v>5.216601338754856E-2</v>
      </c>
      <c r="G44" s="1637">
        <f t="shared" si="32"/>
        <v>6.0650471876558365E-2</v>
      </c>
      <c r="H44" s="1637">
        <f t="shared" si="32"/>
        <v>5.8561324941784676E-2</v>
      </c>
      <c r="I44" s="1637">
        <f t="shared" si="32"/>
        <v>7.344401924217081E-2</v>
      </c>
      <c r="J44" s="1637">
        <f t="shared" si="32"/>
        <v>6.1747027606321669E-2</v>
      </c>
      <c r="K44" s="1637">
        <f t="shared" si="32"/>
        <v>6.2307023492638391E-2</v>
      </c>
      <c r="L44" s="1637">
        <f t="shared" si="32"/>
        <v>6.211540320510478E-2</v>
      </c>
      <c r="M44" s="1637">
        <f t="shared" si="32"/>
        <v>5.9296182468615344E-2</v>
      </c>
      <c r="N44" s="1637">
        <f t="shared" si="32"/>
        <v>5.9968225025023525E-2</v>
      </c>
      <c r="O44" s="1637">
        <f t="shared" si="32"/>
        <v>6.7598389076501064E-2</v>
      </c>
      <c r="P44" s="1637">
        <f t="shared" si="32"/>
        <v>7.6461410113404238E-2</v>
      </c>
      <c r="Q44" s="1637">
        <f t="shared" si="32"/>
        <v>9.8434828729256907E-2</v>
      </c>
      <c r="R44" s="1637">
        <f t="shared" si="32"/>
        <v>7.4744359874968413E-2</v>
      </c>
      <c r="S44" s="1637">
        <f t="shared" ref="S44:AA44" si="33">POWER(S42/72000, 1/S9)-1</f>
        <v>7.0578665469444246E-2</v>
      </c>
      <c r="T44" s="1637">
        <f>POWER(T42/72000, 1/T9)-1</f>
        <v>7.36747416721244E-2</v>
      </c>
      <c r="U44" s="1637">
        <f t="shared" si="33"/>
        <v>7.5129400606014585E-2</v>
      </c>
      <c r="V44" s="1637">
        <f t="shared" si="33"/>
        <v>7.7524858950651199E-2</v>
      </c>
      <c r="W44" s="1637">
        <f t="shared" ref="W44" si="34">POWER(W42/72000, 1/W9)-1</f>
        <v>9.4028146353288378E-2</v>
      </c>
      <c r="X44" s="1637">
        <f t="shared" si="33"/>
        <v>8.9761860145217032E-2</v>
      </c>
      <c r="Y44" s="1637"/>
      <c r="Z44" s="1640">
        <f t="shared" si="33"/>
        <v>7.0578665469444246E-2</v>
      </c>
      <c r="AA44" s="1640">
        <f t="shared" si="33"/>
        <v>7.0449043164143133E-2</v>
      </c>
      <c r="AB44" s="1640">
        <f>POWER(AB42/72000, 1/AB9)-1</f>
        <v>4.169264787394833E-2</v>
      </c>
      <c r="AC44" s="1624"/>
      <c r="AD44" s="1624"/>
      <c r="AE44" s="1624"/>
      <c r="AF44" s="855"/>
      <c r="AG44" s="855"/>
      <c r="AH44" s="855"/>
    </row>
    <row r="45" spans="1:34" ht="13.5">
      <c r="A45" s="1649" t="s">
        <v>75</v>
      </c>
      <c r="B45" s="1621">
        <v>44442</v>
      </c>
      <c r="C45" s="1621">
        <v>65729</v>
      </c>
      <c r="D45" s="1621">
        <v>67442</v>
      </c>
      <c r="E45" s="1621">
        <v>79608</v>
      </c>
      <c r="F45" s="1621">
        <v>90760</v>
      </c>
      <c r="G45" s="1621">
        <v>93773</v>
      </c>
      <c r="H45" s="1621">
        <v>97767</v>
      </c>
      <c r="I45" s="1621">
        <v>86678</v>
      </c>
      <c r="J45" s="1621">
        <v>110788</v>
      </c>
      <c r="K45" s="1621">
        <v>110000</v>
      </c>
      <c r="L45" s="1621">
        <v>116037</v>
      </c>
      <c r="M45" s="1621">
        <v>132572</v>
      </c>
      <c r="N45" s="1621">
        <v>141359</v>
      </c>
      <c r="O45" s="1621">
        <v>162697</v>
      </c>
      <c r="P45" s="1622">
        <v>168200</v>
      </c>
      <c r="Q45" s="1622">
        <v>230386</v>
      </c>
      <c r="R45" s="1622">
        <v>276835</v>
      </c>
      <c r="S45" s="1622">
        <f>170906 + 116873</f>
        <v>287779</v>
      </c>
      <c r="T45" s="1622">
        <v>276835</v>
      </c>
      <c r="U45" s="1622">
        <v>278512.23</v>
      </c>
      <c r="V45" s="1650">
        <v>411915.6</v>
      </c>
      <c r="W45" s="1622">
        <v>463790.18</v>
      </c>
      <c r="X45" s="1622">
        <v>463790.18</v>
      </c>
      <c r="Y45" s="1622"/>
      <c r="Z45" s="1623">
        <v>276835</v>
      </c>
      <c r="AA45" s="1623">
        <v>276835</v>
      </c>
      <c r="AB45" s="1623">
        <v>276835</v>
      </c>
      <c r="AC45" s="1625">
        <f>(R45-O45)/O45</f>
        <v>0.70153721334751107</v>
      </c>
      <c r="AD45" s="1625">
        <f>(S45-P45)/P45</f>
        <v>0.71093341260404286</v>
      </c>
      <c r="AE45" s="1625">
        <f>(T45-Q45)/Q45</f>
        <v>0.20161381333935222</v>
      </c>
      <c r="AF45" s="855"/>
      <c r="AG45" s="855"/>
      <c r="AH45" s="862"/>
    </row>
    <row r="46" spans="1:34" ht="13.5">
      <c r="A46" s="1649" t="s">
        <v>73</v>
      </c>
      <c r="B46" s="1637">
        <f>(B45-20000)/(20000)</f>
        <v>1.2221</v>
      </c>
      <c r="C46" s="1637">
        <f t="shared" ref="C46:I46" si="35">(C45-B45)/B45</f>
        <v>0.47898384411142614</v>
      </c>
      <c r="D46" s="1637">
        <f t="shared" si="35"/>
        <v>2.6061555782074884E-2</v>
      </c>
      <c r="E46" s="1637">
        <f t="shared" si="35"/>
        <v>0.18039204056819194</v>
      </c>
      <c r="F46" s="1637">
        <f t="shared" si="35"/>
        <v>0.14008642347502764</v>
      </c>
      <c r="G46" s="1637">
        <f t="shared" si="35"/>
        <v>3.3197443807844867E-2</v>
      </c>
      <c r="H46" s="1637">
        <f t="shared" si="35"/>
        <v>4.2592217376003751E-2</v>
      </c>
      <c r="I46" s="1637">
        <f t="shared" si="35"/>
        <v>-0.11342272955087095</v>
      </c>
      <c r="J46" s="1637">
        <f t="shared" ref="J46:W46" si="36">(J45-I45)/I45</f>
        <v>0.2781559334548559</v>
      </c>
      <c r="K46" s="1637">
        <f t="shared" si="36"/>
        <v>-7.1126836841535184E-3</v>
      </c>
      <c r="L46" s="1637">
        <f t="shared" si="36"/>
        <v>5.4881818181818184E-2</v>
      </c>
      <c r="M46" s="1637">
        <f t="shared" si="36"/>
        <v>0.14249765161112404</v>
      </c>
      <c r="N46" s="1637">
        <f t="shared" si="36"/>
        <v>6.6280964306188336E-2</v>
      </c>
      <c r="O46" s="1637">
        <f t="shared" si="36"/>
        <v>0.15094900218592378</v>
      </c>
      <c r="P46" s="1637">
        <f t="shared" si="36"/>
        <v>3.3823610761108069E-2</v>
      </c>
      <c r="Q46" s="1637">
        <f t="shared" si="36"/>
        <v>0.36971462544589773</v>
      </c>
      <c r="R46" s="1637">
        <f>(R45-Q45)/Q45</f>
        <v>0.20161381333935222</v>
      </c>
      <c r="S46" s="1637">
        <f>(S45-R45)/R45</f>
        <v>3.9532573554644464E-2</v>
      </c>
      <c r="T46" s="1637">
        <f>(T45-S45)/S45</f>
        <v>-3.8029182115442754E-2</v>
      </c>
      <c r="U46" s="1637">
        <f t="shared" si="36"/>
        <v>6.0585908573698461E-3</v>
      </c>
      <c r="V46" s="1637">
        <f t="shared" si="36"/>
        <v>0.47898568044929302</v>
      </c>
      <c r="W46" s="1637">
        <f t="shared" si="36"/>
        <v>0.12593497308671975</v>
      </c>
      <c r="X46" s="1637">
        <f>(X45-V45)/V45</f>
        <v>0.12593497308671975</v>
      </c>
      <c r="Y46" s="1637"/>
      <c r="Z46" s="1640">
        <f>(Z45-X45)/X45</f>
        <v>-0.40310292900121342</v>
      </c>
      <c r="AA46" s="1640">
        <f>(AA45-Z45)/Z45</f>
        <v>0</v>
      </c>
      <c r="AB46" s="1640">
        <f>(AB45-AA45)/AA45</f>
        <v>0</v>
      </c>
      <c r="AC46" s="1624"/>
      <c r="AD46" s="1624"/>
      <c r="AE46" s="1624"/>
      <c r="AF46" s="855"/>
      <c r="AG46" s="855"/>
      <c r="AH46" s="855"/>
    </row>
    <row r="47" spans="1:34" ht="13.5">
      <c r="A47" s="1649" t="s">
        <v>74</v>
      </c>
      <c r="B47" s="1637" t="s">
        <v>70</v>
      </c>
      <c r="C47" s="1637">
        <f t="shared" ref="C47:R47" si="37">POWER(C42/65000, 1/(C9-1))-1</f>
        <v>0.12127692307692306</v>
      </c>
      <c r="D47" s="1637">
        <f t="shared" si="37"/>
        <v>0.10030065821189904</v>
      </c>
      <c r="E47" s="1637">
        <f t="shared" si="37"/>
        <v>7.3590114103652127E-2</v>
      </c>
      <c r="F47" s="1637">
        <f t="shared" si="37"/>
        <v>9.3226427110085774E-2</v>
      </c>
      <c r="G47" s="1637">
        <f t="shared" si="37"/>
        <v>9.5394548878642071E-2</v>
      </c>
      <c r="H47" s="1637">
        <f t="shared" si="37"/>
        <v>8.7022540919732716E-2</v>
      </c>
      <c r="I47" s="1637">
        <f t="shared" si="37"/>
        <v>0.10032770787954748</v>
      </c>
      <c r="J47" s="1637">
        <f t="shared" si="37"/>
        <v>8.349292061344693E-2</v>
      </c>
      <c r="K47" s="1637">
        <f t="shared" si="37"/>
        <v>8.1688432357085228E-2</v>
      </c>
      <c r="L47" s="1637">
        <f t="shared" si="37"/>
        <v>7.952024627383647E-2</v>
      </c>
      <c r="M47" s="1637">
        <f t="shared" si="37"/>
        <v>7.4805352443070738E-2</v>
      </c>
      <c r="N47" s="1637">
        <f t="shared" si="37"/>
        <v>7.4242125035691275E-2</v>
      </c>
      <c r="O47" s="1637">
        <f t="shared" si="37"/>
        <v>8.1458828956390228E-2</v>
      </c>
      <c r="P47" s="1637">
        <f t="shared" si="37"/>
        <v>9.0076220619389913E-2</v>
      </c>
      <c r="Q47" s="1637">
        <f t="shared" si="37"/>
        <v>0.11289414403268161</v>
      </c>
      <c r="R47" s="1637">
        <f t="shared" si="37"/>
        <v>8.652054881141602E-2</v>
      </c>
      <c r="S47" s="1637">
        <f t="shared" ref="S47:AA47" si="38">POWER(S42/65000, 1/(S9-1))-1</f>
        <v>8.1368575240459151E-2</v>
      </c>
      <c r="T47" s="1637">
        <f>POWER(T42/65000, 1/(T9-1))-1</f>
        <v>8.4065737226924453E-2</v>
      </c>
      <c r="U47" s="1637">
        <f t="shared" si="38"/>
        <v>8.5061654655740782E-2</v>
      </c>
      <c r="V47" s="1637">
        <f t="shared" si="38"/>
        <v>8.7100311556159049E-2</v>
      </c>
      <c r="W47" s="1637">
        <f t="shared" ref="W47" si="39">POWER(W42/65000, 1/(W9-1))-1</f>
        <v>0.10408419316191564</v>
      </c>
      <c r="X47" s="1637">
        <f t="shared" si="38"/>
        <v>9.9126166695688189E-2</v>
      </c>
      <c r="Y47" s="1637"/>
      <c r="Z47" s="1640">
        <f t="shared" si="38"/>
        <v>8.1368575240459151E-2</v>
      </c>
      <c r="AA47" s="1640">
        <f t="shared" si="38"/>
        <v>8.1229945331393161E-2</v>
      </c>
      <c r="AB47" s="1640">
        <f>POWER(AB42/65000, 1/(AB9-1))-1</f>
        <v>4.6846496120997783E-2</v>
      </c>
      <c r="AC47" s="1624"/>
      <c r="AD47" s="1624"/>
      <c r="AE47" s="1624"/>
      <c r="AF47" s="855"/>
      <c r="AG47" s="855"/>
      <c r="AH47" s="855"/>
    </row>
    <row r="48" spans="1:34" ht="13.5">
      <c r="A48" s="1649" t="s">
        <v>76</v>
      </c>
      <c r="B48" s="1621">
        <v>309</v>
      </c>
      <c r="C48" s="1621">
        <v>589</v>
      </c>
      <c r="D48" s="1621">
        <v>826</v>
      </c>
      <c r="E48" s="1621">
        <v>1393</v>
      </c>
      <c r="F48" s="1621">
        <v>2451</v>
      </c>
      <c r="G48" s="1621">
        <v>3788</v>
      </c>
      <c r="H48" s="1621">
        <v>2497</v>
      </c>
      <c r="I48" s="1621">
        <v>2742</v>
      </c>
      <c r="J48" s="1621">
        <v>1599</v>
      </c>
      <c r="K48" s="1621">
        <v>764</v>
      </c>
      <c r="L48" s="1621">
        <v>824</v>
      </c>
      <c r="M48" s="1621">
        <v>653</v>
      </c>
      <c r="N48" s="1621">
        <v>1045</v>
      </c>
      <c r="O48" s="1621">
        <v>1522</v>
      </c>
      <c r="P48" s="1634">
        <v>2640</v>
      </c>
      <c r="Q48" s="1634">
        <v>6126</v>
      </c>
      <c r="R48" s="1642">
        <v>11198</v>
      </c>
      <c r="S48" s="1642">
        <v>17896</v>
      </c>
      <c r="T48" s="1634">
        <v>5523</v>
      </c>
      <c r="U48" s="1642">
        <v>1768</v>
      </c>
      <c r="V48" s="1642">
        <v>3788</v>
      </c>
      <c r="W48" s="1642">
        <v>13162</v>
      </c>
      <c r="X48" s="1642">
        <v>13162</v>
      </c>
      <c r="Y48" s="1642"/>
      <c r="Z48" s="1651">
        <v>17896</v>
      </c>
      <c r="AA48" s="1635">
        <v>11198</v>
      </c>
      <c r="AB48" s="1635">
        <v>11198</v>
      </c>
      <c r="AC48" s="1624"/>
      <c r="AD48" s="1624"/>
      <c r="AE48" s="1624"/>
      <c r="AF48" s="855"/>
      <c r="AG48" s="855"/>
      <c r="AH48" s="855"/>
    </row>
    <row r="49" spans="1:31">
      <c r="A49" s="1649" t="s">
        <v>77</v>
      </c>
      <c r="B49" s="1624" t="s">
        <v>60</v>
      </c>
      <c r="C49" s="1637">
        <f t="shared" ref="C49:W49" si="40">(C48-B48)/B48</f>
        <v>0.90614886731391586</v>
      </c>
      <c r="D49" s="1637">
        <f t="shared" si="40"/>
        <v>0.40237691001697795</v>
      </c>
      <c r="E49" s="1637">
        <f t="shared" si="40"/>
        <v>0.68644067796610164</v>
      </c>
      <c r="F49" s="1637">
        <f t="shared" si="40"/>
        <v>0.75951184493898061</v>
      </c>
      <c r="G49" s="1637">
        <f t="shared" si="40"/>
        <v>0.54549163606691142</v>
      </c>
      <c r="H49" s="1637">
        <f t="shared" si="40"/>
        <v>-0.34081309398099263</v>
      </c>
      <c r="I49" s="1637">
        <f t="shared" si="40"/>
        <v>9.8117741289547464E-2</v>
      </c>
      <c r="J49" s="1637">
        <f t="shared" si="40"/>
        <v>-0.41684901531728663</v>
      </c>
      <c r="K49" s="1637">
        <f t="shared" si="40"/>
        <v>-0.52220137585991244</v>
      </c>
      <c r="L49" s="1637">
        <f t="shared" si="40"/>
        <v>7.8534031413612565E-2</v>
      </c>
      <c r="M49" s="1637">
        <f t="shared" si="40"/>
        <v>-0.20752427184466019</v>
      </c>
      <c r="N49" s="1637">
        <f t="shared" si="40"/>
        <v>0.6003062787136294</v>
      </c>
      <c r="O49" s="1637">
        <f t="shared" si="40"/>
        <v>0.45645933014354068</v>
      </c>
      <c r="P49" s="1637">
        <f t="shared" si="40"/>
        <v>0.73455978975032854</v>
      </c>
      <c r="Q49" s="1637">
        <f t="shared" si="40"/>
        <v>1.3204545454545455</v>
      </c>
      <c r="R49" s="1637">
        <f>(R48-Q48)/Q48</f>
        <v>0.82794645772118836</v>
      </c>
      <c r="S49" s="1637">
        <f>(S48-R48)/R48</f>
        <v>0.59814252545097335</v>
      </c>
      <c r="T49" s="1637">
        <f>(T48-S48)/S48</f>
        <v>-0.69138354939651314</v>
      </c>
      <c r="U49" s="1637">
        <f t="shared" si="40"/>
        <v>-0.67988412094875972</v>
      </c>
      <c r="V49" s="1637">
        <f t="shared" si="40"/>
        <v>1.1425339366515836</v>
      </c>
      <c r="W49" s="1637">
        <f t="shared" si="40"/>
        <v>2.4746568109820486</v>
      </c>
      <c r="X49" s="1637">
        <f>(X48-V48)/V48</f>
        <v>2.4746568109820486</v>
      </c>
      <c r="Y49" s="1637"/>
      <c r="Z49" s="1640">
        <f>(Z48-X48)/X48</f>
        <v>0.35967178240388997</v>
      </c>
      <c r="AA49" s="1640">
        <f>(AA48-Z48)/Z48</f>
        <v>-0.37427358068842198</v>
      </c>
      <c r="AB49" s="1640">
        <f>(AB48-AA48)/AA48</f>
        <v>0</v>
      </c>
      <c r="AC49" s="1624"/>
      <c r="AD49" s="1624"/>
      <c r="AE49" s="1624"/>
    </row>
    <row r="50" spans="1:31">
      <c r="A50" s="1649" t="s">
        <v>78</v>
      </c>
      <c r="B50" s="1621">
        <v>0</v>
      </c>
      <c r="C50" s="1621">
        <v>0</v>
      </c>
      <c r="D50" s="1621">
        <v>129</v>
      </c>
      <c r="E50" s="1621">
        <v>162</v>
      </c>
      <c r="F50" s="1621">
        <v>850</v>
      </c>
      <c r="G50" s="1621">
        <v>1287</v>
      </c>
      <c r="H50" s="1621">
        <v>1695</v>
      </c>
      <c r="I50" s="1621">
        <v>1762</v>
      </c>
      <c r="J50" s="1621">
        <v>2063</v>
      </c>
      <c r="K50" s="1621">
        <v>3696</v>
      </c>
      <c r="L50" s="1621">
        <v>4272</v>
      </c>
      <c r="M50" s="1621">
        <v>6413</v>
      </c>
      <c r="N50" s="1621">
        <v>8820</v>
      </c>
      <c r="O50" s="1621">
        <v>9848</v>
      </c>
      <c r="P50" s="1634">
        <v>11811</v>
      </c>
      <c r="Q50" s="1634">
        <v>8359</v>
      </c>
      <c r="R50" s="1642">
        <v>13028</v>
      </c>
      <c r="S50" s="1642">
        <v>14960</v>
      </c>
      <c r="T50" s="1634">
        <v>13419</v>
      </c>
      <c r="U50" s="1642">
        <v>17143</v>
      </c>
      <c r="V50" s="1642">
        <v>1287</v>
      </c>
      <c r="W50" s="1642">
        <v>21771</v>
      </c>
      <c r="X50" s="1642">
        <v>21771</v>
      </c>
      <c r="Y50" s="1642"/>
      <c r="Z50" s="1651">
        <v>14960</v>
      </c>
      <c r="AA50" s="1635">
        <v>13028</v>
      </c>
      <c r="AB50" s="1635">
        <v>13028</v>
      </c>
      <c r="AC50" s="1624"/>
      <c r="AD50" s="1624"/>
      <c r="AE50" s="1624"/>
    </row>
    <row r="51" spans="1:31">
      <c r="A51" s="1649" t="s">
        <v>79</v>
      </c>
      <c r="B51" s="1621">
        <v>0</v>
      </c>
      <c r="C51" s="1621">
        <v>0</v>
      </c>
      <c r="D51" s="1621">
        <v>0</v>
      </c>
      <c r="E51" s="1621">
        <v>0</v>
      </c>
      <c r="F51" s="1621">
        <v>0</v>
      </c>
      <c r="G51" s="1621">
        <v>0</v>
      </c>
      <c r="H51" s="1621">
        <v>-11723</v>
      </c>
      <c r="I51" s="1621">
        <v>1550</v>
      </c>
      <c r="J51" s="1621">
        <v>3371</v>
      </c>
      <c r="K51" s="1621">
        <v>-3386</v>
      </c>
      <c r="L51" s="1621">
        <v>2420</v>
      </c>
      <c r="M51" s="1621">
        <v>2472</v>
      </c>
      <c r="N51" s="1621">
        <v>4737</v>
      </c>
      <c r="O51" s="1621">
        <v>-2639</v>
      </c>
      <c r="P51" s="1634">
        <v>32862</v>
      </c>
      <c r="Q51" s="1634">
        <v>-15</v>
      </c>
      <c r="R51" s="1642">
        <v>-15</v>
      </c>
      <c r="S51" s="1642">
        <v>-389</v>
      </c>
      <c r="T51" s="1634">
        <v>18679</v>
      </c>
      <c r="U51" s="1642">
        <v>-15</v>
      </c>
      <c r="V51" s="1642">
        <v>-15</v>
      </c>
      <c r="W51" s="1642">
        <v>3841</v>
      </c>
      <c r="X51" s="1642">
        <v>3841</v>
      </c>
      <c r="Y51" s="1642"/>
      <c r="Z51" s="1651">
        <v>-389</v>
      </c>
      <c r="AA51" s="1635">
        <v>-15</v>
      </c>
      <c r="AB51" s="1635">
        <v>-15</v>
      </c>
      <c r="AC51" s="1624"/>
      <c r="AD51" s="1624"/>
      <c r="AE51" s="1624"/>
    </row>
    <row r="52" spans="1:31">
      <c r="A52" s="1649" t="s">
        <v>80</v>
      </c>
      <c r="B52" s="1621">
        <f t="shared" ref="B52:M52" si="41">B48+B50+B51</f>
        <v>309</v>
      </c>
      <c r="C52" s="1621">
        <f t="shared" si="41"/>
        <v>589</v>
      </c>
      <c r="D52" s="1621">
        <f t="shared" si="41"/>
        <v>955</v>
      </c>
      <c r="E52" s="1621">
        <f t="shared" si="41"/>
        <v>1555</v>
      </c>
      <c r="F52" s="1621">
        <f t="shared" si="41"/>
        <v>3301</v>
      </c>
      <c r="G52" s="1621">
        <f t="shared" si="41"/>
        <v>5075</v>
      </c>
      <c r="H52" s="1621">
        <f t="shared" si="41"/>
        <v>-7531</v>
      </c>
      <c r="I52" s="1621">
        <f t="shared" si="41"/>
        <v>6054</v>
      </c>
      <c r="J52" s="1621">
        <f t="shared" si="41"/>
        <v>7033</v>
      </c>
      <c r="K52" s="1621">
        <f t="shared" si="41"/>
        <v>1074</v>
      </c>
      <c r="L52" s="1621">
        <f t="shared" si="41"/>
        <v>7516</v>
      </c>
      <c r="M52" s="1621">
        <f t="shared" si="41"/>
        <v>9538</v>
      </c>
      <c r="N52" s="1621">
        <v>2049</v>
      </c>
      <c r="O52" s="1621">
        <f t="shared" ref="O52:X52" si="42">O48+O50+O51</f>
        <v>8731</v>
      </c>
      <c r="P52" s="1622">
        <f t="shared" si="42"/>
        <v>47313</v>
      </c>
      <c r="Q52" s="1634">
        <f t="shared" si="42"/>
        <v>14470</v>
      </c>
      <c r="R52" s="1642">
        <f t="shared" si="42"/>
        <v>24211</v>
      </c>
      <c r="S52" s="1642">
        <f t="shared" si="42"/>
        <v>32467</v>
      </c>
      <c r="T52" s="1634">
        <f t="shared" si="42"/>
        <v>37621</v>
      </c>
      <c r="U52" s="1634">
        <f t="shared" si="42"/>
        <v>18896</v>
      </c>
      <c r="V52" s="1634">
        <f t="shared" si="42"/>
        <v>5060</v>
      </c>
      <c r="W52" s="1634">
        <f t="shared" si="42"/>
        <v>38774</v>
      </c>
      <c r="X52" s="1634">
        <f t="shared" si="42"/>
        <v>38774</v>
      </c>
      <c r="Y52" s="1634"/>
      <c r="Z52" s="1651">
        <f>Z48+Z50+Z51</f>
        <v>32467</v>
      </c>
      <c r="AA52" s="1635">
        <f>AA48+AA50+AA51</f>
        <v>24211</v>
      </c>
      <c r="AB52" s="1635">
        <f>AB48+AB50+AB51</f>
        <v>24211</v>
      </c>
      <c r="AC52" s="1624"/>
      <c r="AD52" s="1624"/>
      <c r="AE52" s="1624"/>
    </row>
    <row r="53" spans="1:31">
      <c r="A53" s="1649" t="s">
        <v>81</v>
      </c>
      <c r="B53" s="1634">
        <f t="shared" ref="B53:Q53" si="43">B54+B55</f>
        <v>0</v>
      </c>
      <c r="C53" s="1634">
        <f t="shared" si="43"/>
        <v>0</v>
      </c>
      <c r="D53" s="1634">
        <f t="shared" si="43"/>
        <v>0</v>
      </c>
      <c r="E53" s="1635">
        <f t="shared" si="43"/>
        <v>0</v>
      </c>
      <c r="F53" s="1635">
        <f t="shared" si="43"/>
        <v>0</v>
      </c>
      <c r="G53" s="1635">
        <f t="shared" si="43"/>
        <v>0</v>
      </c>
      <c r="H53" s="1635">
        <f t="shared" si="43"/>
        <v>0</v>
      </c>
      <c r="I53" s="1634">
        <f t="shared" si="43"/>
        <v>0</v>
      </c>
      <c r="J53" s="1634">
        <f t="shared" si="43"/>
        <v>0</v>
      </c>
      <c r="K53" s="1634">
        <f t="shared" si="43"/>
        <v>0</v>
      </c>
      <c r="L53" s="1634">
        <f t="shared" si="43"/>
        <v>0</v>
      </c>
      <c r="M53" s="1634">
        <f t="shared" si="43"/>
        <v>0</v>
      </c>
      <c r="N53" s="1634">
        <f t="shared" si="43"/>
        <v>0</v>
      </c>
      <c r="O53" s="1634">
        <f t="shared" si="43"/>
        <v>0</v>
      </c>
      <c r="P53" s="1634">
        <f t="shared" si="43"/>
        <v>0</v>
      </c>
      <c r="Q53" s="1634">
        <f t="shared" si="43"/>
        <v>79014</v>
      </c>
      <c r="R53" s="1642">
        <v>0</v>
      </c>
      <c r="S53" s="1642">
        <v>2700</v>
      </c>
      <c r="T53" s="1634">
        <v>0</v>
      </c>
      <c r="U53" s="1634">
        <v>0</v>
      </c>
      <c r="V53" s="1642"/>
      <c r="W53" s="1642">
        <v>0</v>
      </c>
      <c r="X53" s="1642"/>
      <c r="Y53" s="1642"/>
      <c r="Z53" s="1651">
        <v>0</v>
      </c>
      <c r="AA53" s="1635">
        <v>0</v>
      </c>
      <c r="AB53" s="1635">
        <v>0</v>
      </c>
      <c r="AC53" s="1624"/>
      <c r="AD53" s="1624"/>
      <c r="AE53" s="1624"/>
    </row>
    <row r="54" spans="1:31">
      <c r="A54" s="1649" t="s">
        <v>82</v>
      </c>
      <c r="B54" s="1621">
        <v>0</v>
      </c>
      <c r="C54" s="1621">
        <v>0</v>
      </c>
      <c r="D54" s="1621">
        <v>0</v>
      </c>
      <c r="E54" s="1621">
        <v>0</v>
      </c>
      <c r="F54" s="1621">
        <v>0</v>
      </c>
      <c r="G54" s="1621">
        <v>0</v>
      </c>
      <c r="H54" s="1621">
        <v>0</v>
      </c>
      <c r="I54" s="1621">
        <v>0</v>
      </c>
      <c r="J54" s="1621">
        <v>0</v>
      </c>
      <c r="K54" s="1621">
        <v>0</v>
      </c>
      <c r="L54" s="1621">
        <v>0</v>
      </c>
      <c r="M54" s="1621">
        <v>0</v>
      </c>
      <c r="N54" s="1621">
        <v>0</v>
      </c>
      <c r="O54" s="1621">
        <v>0</v>
      </c>
      <c r="P54" s="1622">
        <v>0</v>
      </c>
      <c r="Q54" s="1634">
        <v>79014</v>
      </c>
      <c r="R54" s="1642">
        <v>0</v>
      </c>
      <c r="S54" s="1642">
        <v>0</v>
      </c>
      <c r="T54" s="1634">
        <v>0</v>
      </c>
      <c r="U54" s="1634">
        <v>0</v>
      </c>
      <c r="V54" s="1642"/>
      <c r="W54" s="1642"/>
      <c r="X54" s="1642"/>
      <c r="Y54" s="1642"/>
      <c r="Z54" s="1651">
        <v>0</v>
      </c>
      <c r="AA54" s="1635">
        <v>0</v>
      </c>
      <c r="AB54" s="1635">
        <v>0</v>
      </c>
      <c r="AC54" s="1624"/>
      <c r="AD54" s="1624"/>
      <c r="AE54" s="1624"/>
    </row>
    <row r="55" spans="1:31">
      <c r="A55" s="1649" t="s">
        <v>83</v>
      </c>
      <c r="B55" s="1621">
        <v>0</v>
      </c>
      <c r="C55" s="1621">
        <v>0</v>
      </c>
      <c r="D55" s="1621">
        <v>0</v>
      </c>
      <c r="E55" s="1621">
        <v>0</v>
      </c>
      <c r="F55" s="1621">
        <v>0</v>
      </c>
      <c r="G55" s="1621">
        <v>0</v>
      </c>
      <c r="H55" s="1621">
        <v>0</v>
      </c>
      <c r="I55" s="1621">
        <v>0</v>
      </c>
      <c r="J55" s="1621">
        <v>0</v>
      </c>
      <c r="K55" s="1621">
        <v>0</v>
      </c>
      <c r="L55" s="1621">
        <v>0</v>
      </c>
      <c r="M55" s="1621">
        <v>0</v>
      </c>
      <c r="N55" s="1621">
        <v>0</v>
      </c>
      <c r="O55" s="1621">
        <v>0</v>
      </c>
      <c r="P55" s="1622">
        <v>0</v>
      </c>
      <c r="Q55" s="1634">
        <v>0</v>
      </c>
      <c r="R55" s="1642">
        <v>0</v>
      </c>
      <c r="S55" s="1642">
        <v>0</v>
      </c>
      <c r="T55" s="1634">
        <v>0</v>
      </c>
      <c r="U55" s="1634">
        <v>0</v>
      </c>
      <c r="V55" s="1642"/>
      <c r="W55" s="1642"/>
      <c r="X55" s="1642"/>
      <c r="Y55" s="1642"/>
      <c r="Z55" s="1651">
        <v>0</v>
      </c>
      <c r="AA55" s="1635">
        <v>0</v>
      </c>
      <c r="AB55" s="1635">
        <v>0</v>
      </c>
      <c r="AC55" s="1624"/>
      <c r="AD55" s="1624"/>
      <c r="AE55" s="1624"/>
    </row>
    <row r="56" spans="1:31">
      <c r="A56" s="1649" t="s">
        <v>77</v>
      </c>
      <c r="B56" s="1624" t="s">
        <v>60</v>
      </c>
      <c r="C56" s="1637">
        <f t="shared" ref="C56:H56" si="44">(C52-B52)/B52</f>
        <v>0.90614886731391586</v>
      </c>
      <c r="D56" s="1637">
        <f t="shared" si="44"/>
        <v>0.62139219015280134</v>
      </c>
      <c r="E56" s="1637">
        <f t="shared" si="44"/>
        <v>0.62827225130890052</v>
      </c>
      <c r="F56" s="1637">
        <f t="shared" si="44"/>
        <v>1.1228295819935692</v>
      </c>
      <c r="G56" s="1637">
        <f t="shared" si="44"/>
        <v>0.53741290518024842</v>
      </c>
      <c r="H56" s="1637">
        <f t="shared" si="44"/>
        <v>-2.4839408866995072</v>
      </c>
      <c r="I56" s="1637">
        <f>(I52-(ABS(H52))/ABS(H52))</f>
        <v>6053</v>
      </c>
      <c r="J56" s="1637">
        <f t="shared" ref="J56:V56" si="45">(J52-I52)/I52</f>
        <v>0.16171126527915428</v>
      </c>
      <c r="K56" s="1637">
        <f t="shared" si="45"/>
        <v>-0.84729134082183988</v>
      </c>
      <c r="L56" s="1637">
        <f t="shared" si="45"/>
        <v>5.9981378026070766</v>
      </c>
      <c r="M56" s="1637">
        <f t="shared" si="45"/>
        <v>0.26902607770090475</v>
      </c>
      <c r="N56" s="1637">
        <f t="shared" si="45"/>
        <v>-0.78517508911721534</v>
      </c>
      <c r="O56" s="1637">
        <f t="shared" si="45"/>
        <v>3.2611029770619813</v>
      </c>
      <c r="P56" s="1637">
        <f t="shared" si="45"/>
        <v>4.4189668995533156</v>
      </c>
      <c r="Q56" s="1637">
        <f t="shared" si="45"/>
        <v>-0.69416439456386192</v>
      </c>
      <c r="R56" s="1637">
        <f>(R52-Q52)/Q52</f>
        <v>0.67318590186592953</v>
      </c>
      <c r="S56" s="1637">
        <f t="shared" si="45"/>
        <v>0.34100202387344597</v>
      </c>
      <c r="T56" s="1637">
        <f>(T52-S52)/S52</f>
        <v>0.15874580343117628</v>
      </c>
      <c r="U56" s="1637">
        <f t="shared" si="45"/>
        <v>-0.49772733313840672</v>
      </c>
      <c r="V56" s="1637">
        <f>(V52-U52)/U52</f>
        <v>-0.73221845893310755</v>
      </c>
      <c r="W56" s="1637">
        <f>(W52-V52)/W52</f>
        <v>0.8695001805333471</v>
      </c>
      <c r="X56" s="1637">
        <f>(X52-W52)/W52</f>
        <v>0</v>
      </c>
      <c r="Y56" s="1637"/>
      <c r="Z56" s="1640">
        <f>(Z52-X52)/X52</f>
        <v>-0.16266054572651778</v>
      </c>
      <c r="AA56" s="1640">
        <f>(AA52-Z52)/Z52</f>
        <v>-0.25428897033911357</v>
      </c>
      <c r="AB56" s="1640">
        <f>(AB52-AA52)/AA52</f>
        <v>0</v>
      </c>
      <c r="AC56" s="1624"/>
      <c r="AD56" s="1624"/>
      <c r="AE56" s="1624"/>
    </row>
    <row r="57" spans="1:31">
      <c r="A57" s="1649" t="s">
        <v>84</v>
      </c>
      <c r="B57" s="1621"/>
      <c r="C57" s="1621"/>
      <c r="D57" s="1621"/>
      <c r="E57" s="1621"/>
      <c r="F57" s="1621"/>
      <c r="G57" s="1621"/>
      <c r="H57" s="1621"/>
      <c r="I57" s="1621"/>
      <c r="J57" s="1621"/>
      <c r="K57" s="1621"/>
      <c r="L57" s="1621"/>
      <c r="M57" s="1621"/>
      <c r="N57" s="1621">
        <v>10471</v>
      </c>
      <c r="O57" s="1621">
        <v>11237</v>
      </c>
      <c r="P57" s="1622">
        <v>171319</v>
      </c>
      <c r="Q57" s="1622">
        <v>182908</v>
      </c>
      <c r="R57" s="1622">
        <v>0</v>
      </c>
      <c r="S57" s="1622">
        <v>0</v>
      </c>
      <c r="T57" s="1622">
        <v>0</v>
      </c>
      <c r="U57" s="1637">
        <v>0</v>
      </c>
      <c r="V57" s="1637"/>
      <c r="W57" s="1637"/>
      <c r="X57" s="1637"/>
      <c r="Y57" s="1637"/>
      <c r="Z57" s="1623">
        <v>0</v>
      </c>
      <c r="AA57" s="1623">
        <v>0</v>
      </c>
      <c r="AB57" s="1623">
        <v>0</v>
      </c>
      <c r="AC57" s="1624"/>
      <c r="AD57" s="1624"/>
      <c r="AE57" s="1624"/>
    </row>
    <row r="58" spans="1:31">
      <c r="A58" s="1649" t="s">
        <v>85</v>
      </c>
      <c r="B58" s="1621"/>
      <c r="C58" s="1621"/>
      <c r="D58" s="1621"/>
      <c r="E58" s="1621"/>
      <c r="F58" s="1621"/>
      <c r="G58" s="1621"/>
      <c r="H58" s="1621"/>
      <c r="I58" s="1621"/>
      <c r="J58" s="1621"/>
      <c r="K58" s="1621"/>
      <c r="L58" s="1621"/>
      <c r="M58" s="1621"/>
      <c r="N58" s="1621">
        <v>13547</v>
      </c>
      <c r="O58" s="1621">
        <v>14623</v>
      </c>
      <c r="P58" s="1622">
        <v>21053</v>
      </c>
      <c r="Q58" s="1622">
        <v>5000</v>
      </c>
      <c r="R58" s="1622">
        <v>0</v>
      </c>
      <c r="S58" s="1622">
        <v>0</v>
      </c>
      <c r="T58" s="1622">
        <v>0</v>
      </c>
      <c r="U58" s="1622">
        <v>141018.79</v>
      </c>
      <c r="V58" s="1637"/>
      <c r="W58" s="1662">
        <v>155325.01</v>
      </c>
      <c r="X58" s="1637"/>
      <c r="Y58" s="1637"/>
      <c r="Z58" s="1623">
        <v>0</v>
      </c>
      <c r="AA58" s="1623">
        <v>0</v>
      </c>
      <c r="AB58" s="1623">
        <v>0</v>
      </c>
      <c r="AC58" s="1624"/>
      <c r="AD58" s="1624"/>
      <c r="AE58" s="1624"/>
    </row>
    <row r="59" spans="1:31">
      <c r="A59" s="1649" t="s">
        <v>86</v>
      </c>
      <c r="B59" s="1621">
        <f>B57+B58</f>
        <v>0</v>
      </c>
      <c r="C59" s="1621">
        <f t="shared" ref="C59:Q59" si="46">C57+C58</f>
        <v>0</v>
      </c>
      <c r="D59" s="1621">
        <f t="shared" si="46"/>
        <v>0</v>
      </c>
      <c r="E59" s="1621">
        <f t="shared" si="46"/>
        <v>0</v>
      </c>
      <c r="F59" s="1621">
        <f t="shared" si="46"/>
        <v>0</v>
      </c>
      <c r="G59" s="1621">
        <f t="shared" si="46"/>
        <v>0</v>
      </c>
      <c r="H59" s="1621">
        <f t="shared" si="46"/>
        <v>0</v>
      </c>
      <c r="I59" s="1621">
        <f t="shared" si="46"/>
        <v>0</v>
      </c>
      <c r="J59" s="1621">
        <f t="shared" si="46"/>
        <v>0</v>
      </c>
      <c r="K59" s="1621">
        <f t="shared" si="46"/>
        <v>0</v>
      </c>
      <c r="L59" s="1621">
        <f t="shared" si="46"/>
        <v>0</v>
      </c>
      <c r="M59" s="1621">
        <f t="shared" si="46"/>
        <v>0</v>
      </c>
      <c r="N59" s="1621">
        <f t="shared" si="46"/>
        <v>24018</v>
      </c>
      <c r="O59" s="1621">
        <f t="shared" si="46"/>
        <v>25860</v>
      </c>
      <c r="P59" s="1622">
        <f t="shared" si="46"/>
        <v>192372</v>
      </c>
      <c r="Q59" s="1622">
        <f t="shared" si="46"/>
        <v>187908</v>
      </c>
      <c r="R59" s="1622">
        <v>0</v>
      </c>
      <c r="S59" s="1622">
        <v>0</v>
      </c>
      <c r="T59" s="1622">
        <f>T57+T58</f>
        <v>0</v>
      </c>
      <c r="U59" s="1622">
        <f>U57+U58</f>
        <v>141018.79</v>
      </c>
      <c r="V59" s="1637"/>
      <c r="W59" s="1637">
        <v>0</v>
      </c>
      <c r="X59" s="1637"/>
      <c r="Y59" s="1637"/>
      <c r="Z59" s="1623">
        <v>0</v>
      </c>
      <c r="AA59" s="1621">
        <f>AA57+AA58</f>
        <v>0</v>
      </c>
      <c r="AB59" s="1621">
        <f>AB57+AB58</f>
        <v>0</v>
      </c>
      <c r="AC59" s="1624"/>
      <c r="AD59" s="1624"/>
      <c r="AE59" s="1624"/>
    </row>
    <row r="60" spans="1:31">
      <c r="A60" s="1633" t="s">
        <v>87</v>
      </c>
      <c r="B60" s="1634">
        <f t="shared" ref="B60:P60" si="47">B42+B45+B53</f>
        <v>116457.84</v>
      </c>
      <c r="C60" s="1634">
        <f t="shared" si="47"/>
        <v>138612</v>
      </c>
      <c r="D60" s="1634">
        <f t="shared" si="47"/>
        <v>146135</v>
      </c>
      <c r="E60" s="1635">
        <f t="shared" si="47"/>
        <v>160040</v>
      </c>
      <c r="F60" s="1635">
        <f t="shared" si="47"/>
        <v>183604</v>
      </c>
      <c r="G60" s="1635">
        <f t="shared" si="47"/>
        <v>196283</v>
      </c>
      <c r="H60" s="1635">
        <f t="shared" si="47"/>
        <v>205004</v>
      </c>
      <c r="I60" s="1642">
        <f t="shared" si="47"/>
        <v>213609</v>
      </c>
      <c r="J60" s="1642">
        <f t="shared" si="47"/>
        <v>234246.78</v>
      </c>
      <c r="K60" s="1642">
        <f t="shared" si="47"/>
        <v>241775</v>
      </c>
      <c r="L60" s="1642">
        <f t="shared" si="47"/>
        <v>255745</v>
      </c>
      <c r="M60" s="1642">
        <f t="shared" si="47"/>
        <v>276300</v>
      </c>
      <c r="N60" s="1642">
        <f t="shared" si="47"/>
        <v>294870</v>
      </c>
      <c r="O60" s="1642">
        <f t="shared" si="47"/>
        <v>342602</v>
      </c>
      <c r="P60" s="1642">
        <f t="shared" si="47"/>
        <v>385625</v>
      </c>
      <c r="Q60" s="1642">
        <f>Q42+Q45+Q53+Q59</f>
        <v>820694</v>
      </c>
      <c r="R60" s="1642">
        <f t="shared" ref="R60:X60" si="48">R42+R45</f>
        <v>522035</v>
      </c>
      <c r="S60" s="1642">
        <f>S42+S45</f>
        <v>533514</v>
      </c>
      <c r="T60" s="1634">
        <f>T42+T45</f>
        <v>554751.6</v>
      </c>
      <c r="U60" s="1642">
        <f t="shared" si="48"/>
        <v>585094.65999999992</v>
      </c>
      <c r="V60" s="1642">
        <f t="shared" si="48"/>
        <v>757302.41999999993</v>
      </c>
      <c r="W60" s="1642">
        <f t="shared" ref="W60" si="49">W42+W45</f>
        <v>983737.56</v>
      </c>
      <c r="X60" s="1642">
        <f t="shared" si="48"/>
        <v>983737.56</v>
      </c>
      <c r="Y60" s="1642"/>
      <c r="Z60" s="1651">
        <f>Z42+Z45</f>
        <v>522570</v>
      </c>
      <c r="AA60" s="1635">
        <f>AA42+AA45</f>
        <v>522035</v>
      </c>
      <c r="AB60" s="1635">
        <f>AB42+AB45</f>
        <v>522035</v>
      </c>
      <c r="AC60" s="1625">
        <f>(R60-O60)/O60</f>
        <v>0.52373599687100481</v>
      </c>
      <c r="AD60" s="1625">
        <f>(S60-P60)/P60</f>
        <v>0.38350470016207455</v>
      </c>
      <c r="AE60" s="1625">
        <f>(T60-Q60)/Q60</f>
        <v>-0.32404574664856817</v>
      </c>
    </row>
    <row r="61" spans="1:31">
      <c r="A61" s="1633" t="s">
        <v>88</v>
      </c>
      <c r="B61" s="1624" t="s">
        <v>89</v>
      </c>
      <c r="C61" s="1637">
        <f t="shared" ref="C61:I61" si="50">(C60-B60)/B60</f>
        <v>0.19023330674860536</v>
      </c>
      <c r="D61" s="1637">
        <f t="shared" si="50"/>
        <v>5.4273800248174763E-2</v>
      </c>
      <c r="E61" s="1637">
        <f t="shared" si="50"/>
        <v>9.5151743251103427E-2</v>
      </c>
      <c r="F61" s="1637">
        <f t="shared" si="50"/>
        <v>0.1472381904523869</v>
      </c>
      <c r="G61" s="1637">
        <f t="shared" si="50"/>
        <v>6.9056229711770986E-2</v>
      </c>
      <c r="H61" s="1637">
        <f t="shared" si="50"/>
        <v>4.4430745403320718E-2</v>
      </c>
      <c r="I61" s="1637">
        <f t="shared" si="50"/>
        <v>4.1974790735790524E-2</v>
      </c>
      <c r="J61" s="1637">
        <f t="shared" ref="J61:W61" si="51">(J60-I60)/I60</f>
        <v>9.661474937853741E-2</v>
      </c>
      <c r="K61" s="1637">
        <f t="shared" si="51"/>
        <v>3.213798712622646E-2</v>
      </c>
      <c r="L61" s="1637">
        <f t="shared" si="51"/>
        <v>5.7780994726501916E-2</v>
      </c>
      <c r="M61" s="1637">
        <f t="shared" si="51"/>
        <v>8.0373027820680759E-2</v>
      </c>
      <c r="N61" s="1637">
        <f t="shared" si="51"/>
        <v>6.7209554831704668E-2</v>
      </c>
      <c r="O61" s="1637">
        <f t="shared" si="51"/>
        <v>0.16187472445484452</v>
      </c>
      <c r="P61" s="1637">
        <f t="shared" si="51"/>
        <v>0.12557720036660616</v>
      </c>
      <c r="Q61" s="1637">
        <f t="shared" si="51"/>
        <v>1.1282178282009725</v>
      </c>
      <c r="R61" s="1637">
        <f>(R60-Q60)/Q60</f>
        <v>-0.36391030030681348</v>
      </c>
      <c r="S61" s="1637">
        <f>(S60-R60)/R60</f>
        <v>2.1988947101248001E-2</v>
      </c>
      <c r="T61" s="1637">
        <f>(T60-S60)/S60</f>
        <v>3.9807015373542171E-2</v>
      </c>
      <c r="U61" s="1637">
        <f t="shared" si="51"/>
        <v>5.4696660631533001E-2</v>
      </c>
      <c r="V61" s="1637">
        <f t="shared" si="51"/>
        <v>0.29432461407184957</v>
      </c>
      <c r="W61" s="1637">
        <f t="shared" si="51"/>
        <v>0.29900226649216327</v>
      </c>
      <c r="X61" s="1637">
        <f>(X60-V60)/V60</f>
        <v>0.29900226649216327</v>
      </c>
      <c r="Y61" s="1637"/>
      <c r="Z61" s="1640">
        <f>(Z60-X60)/X60</f>
        <v>-0.46879124956863499</v>
      </c>
      <c r="AA61" s="1640">
        <f>(AA60-Z60)/Z60</f>
        <v>-1.0237862870046118E-3</v>
      </c>
      <c r="AB61" s="1640">
        <f>(AB60-AA60)/AA60</f>
        <v>0</v>
      </c>
      <c r="AC61" s="1624"/>
      <c r="AD61" s="1624"/>
      <c r="AE61" s="1624"/>
    </row>
    <row r="62" spans="1:31">
      <c r="A62" s="1633" t="s">
        <v>90</v>
      </c>
      <c r="B62" s="1652" t="s">
        <v>91</v>
      </c>
      <c r="C62" s="1637">
        <f t="shared" ref="C62:R62" si="52">POWER(C60/137000, 1/C9)-1</f>
        <v>5.8660066617541862E-3</v>
      </c>
      <c r="D62" s="1637">
        <f t="shared" si="52"/>
        <v>2.1749794217960972E-2</v>
      </c>
      <c r="E62" s="1637">
        <f t="shared" si="52"/>
        <v>3.9625668825818305E-2</v>
      </c>
      <c r="F62" s="1637">
        <f t="shared" si="52"/>
        <v>6.0308674109143201E-2</v>
      </c>
      <c r="G62" s="1637">
        <f t="shared" si="52"/>
        <v>6.1761613537582916E-2</v>
      </c>
      <c r="H62" s="1637">
        <f t="shared" si="52"/>
        <v>5.9268278521733331E-2</v>
      </c>
      <c r="I62" s="1637">
        <f t="shared" si="52"/>
        <v>5.7090993131708512E-2</v>
      </c>
      <c r="J62" s="1637">
        <f t="shared" si="52"/>
        <v>6.1411218643713239E-2</v>
      </c>
      <c r="K62" s="1637">
        <f t="shared" si="52"/>
        <v>5.8446917539866972E-2</v>
      </c>
      <c r="L62" s="1637">
        <f t="shared" si="52"/>
        <v>5.838636178271206E-2</v>
      </c>
      <c r="M62" s="1637">
        <f t="shared" si="52"/>
        <v>6.0201366885149099E-2</v>
      </c>
      <c r="N62" s="1637">
        <f t="shared" si="52"/>
        <v>6.073882049763335E-2</v>
      </c>
      <c r="O62" s="1637">
        <f t="shared" si="52"/>
        <v>6.7661355063509676E-2</v>
      </c>
      <c r="P62" s="1637">
        <f t="shared" si="52"/>
        <v>7.1427956894980271E-2</v>
      </c>
      <c r="Q62" s="1637">
        <f t="shared" si="52"/>
        <v>0.11838489596949642</v>
      </c>
      <c r="R62" s="1637">
        <f t="shared" si="52"/>
        <v>8.1870399590487697E-2</v>
      </c>
      <c r="S62" s="1637">
        <f t="shared" ref="S62:AA62" si="53">POWER(S60/137000, 1/S9)-1</f>
        <v>7.8453447140105048E-2</v>
      </c>
      <c r="T62" s="1637">
        <f>POWER(T60/137000, 1/T9)-1</f>
        <v>7.6384072945468562E-2</v>
      </c>
      <c r="U62" s="1637">
        <f t="shared" si="53"/>
        <v>7.528918640705129E-2</v>
      </c>
      <c r="V62" s="1637">
        <f t="shared" si="53"/>
        <v>8.482445185177534E-2</v>
      </c>
      <c r="W62" s="1637">
        <f t="shared" si="53"/>
        <v>9.3745562225824752E-2</v>
      </c>
      <c r="X62" s="1637">
        <f t="shared" si="53"/>
        <v>8.9492614829194128E-2</v>
      </c>
      <c r="Y62" s="1637"/>
      <c r="Z62" s="1640">
        <f t="shared" si="53"/>
        <v>7.7212360649704381E-2</v>
      </c>
      <c r="AA62" s="1640">
        <f t="shared" si="53"/>
        <v>7.7151062384821278E-2</v>
      </c>
      <c r="AB62" s="1640">
        <f>POWER(AB60/137000, 1/AB9)-1</f>
        <v>4.5600948351925741E-2</v>
      </c>
      <c r="AC62" s="1624"/>
      <c r="AD62" s="1624"/>
      <c r="AE62" s="1624"/>
    </row>
    <row r="63" spans="1:31">
      <c r="A63" s="1633" t="s">
        <v>92</v>
      </c>
      <c r="B63" s="1653">
        <v>0</v>
      </c>
      <c r="C63" s="1653">
        <v>0</v>
      </c>
      <c r="D63" s="1653">
        <v>0</v>
      </c>
      <c r="E63" s="1653">
        <v>0</v>
      </c>
      <c r="F63" s="1653">
        <v>0</v>
      </c>
      <c r="G63" s="1653">
        <v>0</v>
      </c>
      <c r="H63" s="1653">
        <v>0</v>
      </c>
      <c r="I63" s="1653">
        <v>0</v>
      </c>
      <c r="J63" s="1653">
        <v>0</v>
      </c>
      <c r="K63" s="1653">
        <v>0</v>
      </c>
      <c r="L63" s="1653">
        <v>0</v>
      </c>
      <c r="M63" s="1653">
        <v>0</v>
      </c>
      <c r="N63" s="1653">
        <v>0</v>
      </c>
      <c r="O63" s="1653">
        <v>0</v>
      </c>
      <c r="P63" s="1654">
        <v>103339</v>
      </c>
      <c r="Q63" s="1654">
        <v>79014</v>
      </c>
      <c r="R63" s="1654">
        <v>0</v>
      </c>
      <c r="S63" s="1654">
        <v>0</v>
      </c>
      <c r="T63" s="1654">
        <v>0</v>
      </c>
      <c r="U63" s="1655">
        <v>0</v>
      </c>
      <c r="V63" s="1656">
        <v>0</v>
      </c>
      <c r="W63" s="1654">
        <v>0</v>
      </c>
      <c r="X63" s="1654">
        <v>0</v>
      </c>
      <c r="Y63" s="1654"/>
      <c r="Z63" s="1656">
        <v>0</v>
      </c>
      <c r="AA63" s="1656">
        <v>0</v>
      </c>
      <c r="AB63" s="1656">
        <v>0</v>
      </c>
      <c r="AC63" s="1624"/>
      <c r="AD63" s="1624"/>
      <c r="AE63" s="1624"/>
    </row>
    <row r="64" spans="1:31">
      <c r="A64" s="1633" t="s">
        <v>93</v>
      </c>
      <c r="B64" s="1621">
        <f t="shared" ref="B64:O64" si="54">B60+B48+B50</f>
        <v>116766.84</v>
      </c>
      <c r="C64" s="1621">
        <f t="shared" si="54"/>
        <v>139201</v>
      </c>
      <c r="D64" s="1621">
        <f t="shared" si="54"/>
        <v>147090</v>
      </c>
      <c r="E64" s="1621">
        <f t="shared" si="54"/>
        <v>161595</v>
      </c>
      <c r="F64" s="1621">
        <f t="shared" si="54"/>
        <v>186905</v>
      </c>
      <c r="G64" s="1621">
        <f t="shared" si="54"/>
        <v>201358</v>
      </c>
      <c r="H64" s="1621">
        <f t="shared" si="54"/>
        <v>209196</v>
      </c>
      <c r="I64" s="1621">
        <f t="shared" si="54"/>
        <v>218113</v>
      </c>
      <c r="J64" s="1621">
        <f t="shared" si="54"/>
        <v>237908.78</v>
      </c>
      <c r="K64" s="1621">
        <f t="shared" si="54"/>
        <v>246235</v>
      </c>
      <c r="L64" s="1621">
        <f t="shared" si="54"/>
        <v>260841</v>
      </c>
      <c r="M64" s="1621">
        <f t="shared" si="54"/>
        <v>283366</v>
      </c>
      <c r="N64" s="1621">
        <f t="shared" si="54"/>
        <v>304735</v>
      </c>
      <c r="O64" s="1621">
        <f t="shared" si="54"/>
        <v>353972</v>
      </c>
      <c r="P64" s="1642">
        <f t="shared" ref="P64:X64" si="55">P48+P51+P50+P63+P60</f>
        <v>536277</v>
      </c>
      <c r="Q64" s="1642">
        <f t="shared" si="55"/>
        <v>914178</v>
      </c>
      <c r="R64" s="1642">
        <f t="shared" si="55"/>
        <v>546246</v>
      </c>
      <c r="S64" s="1642">
        <f>S48+S51+S50+S63+S60</f>
        <v>565981</v>
      </c>
      <c r="T64" s="1634">
        <f>T48+T51+T50+T63+T60</f>
        <v>592372.6</v>
      </c>
      <c r="U64" s="1642">
        <f t="shared" si="55"/>
        <v>603990.65999999992</v>
      </c>
      <c r="V64" s="1642">
        <f t="shared" si="55"/>
        <v>762362.41999999993</v>
      </c>
      <c r="W64" s="1642">
        <f t="shared" si="55"/>
        <v>1022511.56</v>
      </c>
      <c r="X64" s="1642">
        <f t="shared" si="55"/>
        <v>1022511.56</v>
      </c>
      <c r="Y64" s="1642"/>
      <c r="Z64" s="1651">
        <f>Z48+Z51+Z50+Z63+Z60</f>
        <v>555037</v>
      </c>
      <c r="AA64" s="1635">
        <f>AA48+AA51+AA50+AA63+AA60</f>
        <v>546246</v>
      </c>
      <c r="AB64" s="1635">
        <f>AB48+AB51+AB50+AB63+AB60</f>
        <v>546246</v>
      </c>
      <c r="AC64" s="1624"/>
      <c r="AD64" s="1624"/>
      <c r="AE64" s="1624"/>
    </row>
    <row r="65" spans="1:31">
      <c r="A65" s="1633" t="s">
        <v>77</v>
      </c>
      <c r="B65" s="1624" t="s">
        <v>60</v>
      </c>
      <c r="C65" s="1637">
        <f t="shared" ref="C65:I65" si="56">(C64-B64)/B64</f>
        <v>0.19212783355274499</v>
      </c>
      <c r="D65" s="1637">
        <f t="shared" si="56"/>
        <v>5.667344343790634E-2</v>
      </c>
      <c r="E65" s="1637">
        <f t="shared" si="56"/>
        <v>9.86130940240669E-2</v>
      </c>
      <c r="F65" s="1637">
        <f t="shared" si="56"/>
        <v>0.15662613323432037</v>
      </c>
      <c r="G65" s="1637">
        <f t="shared" si="56"/>
        <v>7.7328054359166426E-2</v>
      </c>
      <c r="H65" s="1637">
        <f t="shared" si="56"/>
        <v>3.8925694534113368E-2</v>
      </c>
      <c r="I65" s="1637">
        <f t="shared" si="56"/>
        <v>4.2625097994225508E-2</v>
      </c>
      <c r="J65" s="1637">
        <f t="shared" ref="J65:W65" si="57">(J64-I64)/I64</f>
        <v>9.0759285324579456E-2</v>
      </c>
      <c r="K65" s="1637">
        <f t="shared" si="57"/>
        <v>3.4997531406785409E-2</v>
      </c>
      <c r="L65" s="1637">
        <f t="shared" si="57"/>
        <v>5.9317318821451054E-2</v>
      </c>
      <c r="M65" s="1637">
        <f t="shared" si="57"/>
        <v>8.6355289237504837E-2</v>
      </c>
      <c r="N65" s="1637">
        <f t="shared" si="57"/>
        <v>7.5411305520069458E-2</v>
      </c>
      <c r="O65" s="1637">
        <f t="shared" si="57"/>
        <v>0.16157317013142566</v>
      </c>
      <c r="P65" s="1637">
        <f t="shared" si="57"/>
        <v>0.51502661227441715</v>
      </c>
      <c r="Q65" s="1637">
        <f t="shared" si="57"/>
        <v>0.70467500937015759</v>
      </c>
      <c r="R65" s="1637">
        <f>(R64-Q64)/Q64</f>
        <v>-0.40247304135518464</v>
      </c>
      <c r="S65" s="1637">
        <f>(S64-R64)/R64</f>
        <v>3.6128411008959332E-2</v>
      </c>
      <c r="T65" s="1637">
        <f>(T64-S64)/S64</f>
        <v>4.6629833863680893E-2</v>
      </c>
      <c r="U65" s="1637">
        <f t="shared" si="57"/>
        <v>1.9612757240966141E-2</v>
      </c>
      <c r="V65" s="1637">
        <f t="shared" si="57"/>
        <v>0.26220895535040234</v>
      </c>
      <c r="W65" s="1637">
        <f t="shared" si="57"/>
        <v>0.34124077102331479</v>
      </c>
      <c r="X65" s="1637">
        <f>(X64-V64)/V64</f>
        <v>0.34124077102331479</v>
      </c>
      <c r="Y65" s="1637"/>
      <c r="Z65" s="1640">
        <f>(Z64-X64)/X64</f>
        <v>-0.45718266500576288</v>
      </c>
      <c r="AA65" s="1640">
        <f>(AA64-Z64)/Z64</f>
        <v>-1.583858373405737E-2</v>
      </c>
      <c r="AB65" s="1640">
        <f>(AB64-AA64)/AA64</f>
        <v>0</v>
      </c>
      <c r="AC65" s="1624"/>
      <c r="AD65" s="1624"/>
      <c r="AE65" s="1624"/>
    </row>
    <row r="66" spans="1:31">
      <c r="A66" s="1633" t="s">
        <v>94</v>
      </c>
      <c r="B66" s="1624"/>
      <c r="C66" s="1637">
        <f t="shared" ref="C66:R66" si="58">POWER(C64/137000, 1/C9)-1</f>
        <v>8.0008399950155518E-3</v>
      </c>
      <c r="D66" s="1637">
        <f t="shared" si="58"/>
        <v>2.3970693078992911E-2</v>
      </c>
      <c r="E66" s="1637">
        <f t="shared" si="58"/>
        <v>4.214185343168908E-2</v>
      </c>
      <c r="F66" s="1637">
        <f t="shared" si="58"/>
        <v>6.4094186459134894E-2</v>
      </c>
      <c r="G66" s="1637">
        <f t="shared" si="58"/>
        <v>6.6288487618839653E-2</v>
      </c>
      <c r="H66" s="1637">
        <f t="shared" si="58"/>
        <v>6.2335831087016125E-2</v>
      </c>
      <c r="I66" s="1637">
        <f t="shared" si="58"/>
        <v>5.9851754301697646E-2</v>
      </c>
      <c r="J66" s="1637">
        <f t="shared" si="58"/>
        <v>6.3242214758238768E-2</v>
      </c>
      <c r="K66" s="1637">
        <f t="shared" si="58"/>
        <v>6.0383403208855713E-2</v>
      </c>
      <c r="L66" s="1637">
        <f t="shared" si="58"/>
        <v>6.0286442128089313E-2</v>
      </c>
      <c r="M66" s="1637">
        <f t="shared" si="58"/>
        <v>6.2434743312728136E-2</v>
      </c>
      <c r="N66" s="1637">
        <f t="shared" si="58"/>
        <v>6.342735701250457E-2</v>
      </c>
      <c r="O66" s="1637">
        <f t="shared" si="58"/>
        <v>7.0154076532460419E-2</v>
      </c>
      <c r="P66" s="1637">
        <f t="shared" si="58"/>
        <v>9.5244901777829849E-2</v>
      </c>
      <c r="Q66" s="1637">
        <f t="shared" si="58"/>
        <v>0.12595073150831348</v>
      </c>
      <c r="R66" s="1637">
        <f t="shared" si="58"/>
        <v>8.4759330234125185E-2</v>
      </c>
      <c r="S66" s="1637">
        <f t="shared" ref="S66:AA66" si="59">POWER(S64/137000, 1/S9)-1</f>
        <v>8.1998697709779522E-2</v>
      </c>
      <c r="T66" s="1637">
        <f>POWER(T64/137000, 1/T9)-1</f>
        <v>8.0107728061299621E-2</v>
      </c>
      <c r="U66" s="1637">
        <f t="shared" si="59"/>
        <v>7.699945314940071E-2</v>
      </c>
      <c r="V66" s="1637">
        <f t="shared" si="59"/>
        <v>8.5168519100793372E-2</v>
      </c>
      <c r="W66" s="1637">
        <f t="shared" ref="W66" si="60">POWER(W64/137000, 1/W9)-1</f>
        <v>9.5669163561418635E-2</v>
      </c>
      <c r="X66" s="1637">
        <f t="shared" si="59"/>
        <v>9.1325356721230877E-2</v>
      </c>
      <c r="Y66" s="1637"/>
      <c r="Z66" s="1640">
        <f t="shared" si="59"/>
        <v>8.0825622133598563E-2</v>
      </c>
      <c r="AA66" s="1640">
        <f t="shared" si="59"/>
        <v>7.9867393588625823E-2</v>
      </c>
      <c r="AB66" s="1640">
        <f>POWER(AB64/137000, 1/AB9)-1</f>
        <v>4.7182212743261953E-2</v>
      </c>
      <c r="AC66" s="1624"/>
      <c r="AD66" s="1624"/>
      <c r="AE66" s="1624"/>
    </row>
    <row r="67" spans="1:31">
      <c r="A67" s="1657" t="s">
        <v>95</v>
      </c>
      <c r="B67" s="1624"/>
      <c r="C67" s="1637"/>
      <c r="D67" s="1637"/>
      <c r="E67" s="1637"/>
      <c r="F67" s="1637"/>
      <c r="G67" s="1637"/>
      <c r="H67" s="1637"/>
      <c r="I67" s="1624"/>
      <c r="J67" s="1637"/>
      <c r="K67" s="1637"/>
      <c r="L67" s="1637"/>
      <c r="M67" s="1637"/>
      <c r="N67" s="1637"/>
      <c r="O67" s="1637"/>
      <c r="P67" s="1637"/>
      <c r="Q67" s="1637"/>
      <c r="R67" s="1637"/>
      <c r="S67" s="1637"/>
      <c r="T67" s="1637"/>
      <c r="U67" s="1637"/>
      <c r="V67" s="1637"/>
      <c r="W67" s="1637"/>
      <c r="X67" s="1637"/>
      <c r="Y67" s="1637"/>
      <c r="Z67" s="1640"/>
      <c r="AA67" s="1640"/>
      <c r="AB67" s="1640"/>
      <c r="AC67" s="1624"/>
      <c r="AD67" s="1624"/>
      <c r="AE67" s="1624"/>
    </row>
    <row r="68" spans="1:31">
      <c r="A68" s="1657" t="s">
        <v>96</v>
      </c>
      <c r="B68" s="1621">
        <v>12254</v>
      </c>
      <c r="C68" s="1621">
        <v>13441</v>
      </c>
      <c r="D68" s="1621">
        <v>13490</v>
      </c>
      <c r="E68" s="1621">
        <v>16551</v>
      </c>
      <c r="F68" s="1621">
        <v>15632</v>
      </c>
      <c r="G68" s="1621">
        <v>14724</v>
      </c>
      <c r="H68" s="1621">
        <v>16856.990000000002</v>
      </c>
      <c r="I68" s="1621">
        <v>22861</v>
      </c>
      <c r="J68" s="1621">
        <v>22751</v>
      </c>
      <c r="K68" s="1621">
        <v>24888</v>
      </c>
      <c r="L68" s="1621">
        <v>27776</v>
      </c>
      <c r="M68" s="1621">
        <v>30255</v>
      </c>
      <c r="N68" s="1621">
        <v>32604</v>
      </c>
      <c r="O68" s="1621">
        <v>36623</v>
      </c>
      <c r="P68" s="1622">
        <v>117098</v>
      </c>
      <c r="Q68" s="1642">
        <v>129844</v>
      </c>
      <c r="R68" s="1642">
        <v>60817.99</v>
      </c>
      <c r="S68" s="1642">
        <v>60817.99</v>
      </c>
      <c r="T68" s="1658">
        <v>64922.95</v>
      </c>
      <c r="U68" s="1659">
        <v>73543.88</v>
      </c>
      <c r="V68" s="1642">
        <v>94262.98</v>
      </c>
      <c r="W68" s="1642"/>
      <c r="X68" s="1642"/>
      <c r="Y68" s="1642"/>
      <c r="Z68" s="1651">
        <v>60817.99</v>
      </c>
      <c r="AA68" s="1660">
        <v>60817.99</v>
      </c>
      <c r="AB68" s="1660">
        <v>60817.99</v>
      </c>
      <c r="AC68" s="1624"/>
      <c r="AD68" s="1624"/>
      <c r="AE68" s="1624"/>
    </row>
    <row r="69" spans="1:31">
      <c r="A69" s="1657" t="s">
        <v>97</v>
      </c>
      <c r="B69" s="1621">
        <v>5067</v>
      </c>
      <c r="C69" s="1621">
        <v>10791</v>
      </c>
      <c r="D69" s="1621">
        <v>10259</v>
      </c>
      <c r="E69" s="1621">
        <v>12925</v>
      </c>
      <c r="F69" s="1621">
        <v>15247</v>
      </c>
      <c r="G69" s="1621">
        <v>17628</v>
      </c>
      <c r="H69" s="1621">
        <v>15125.51</v>
      </c>
      <c r="I69" s="1621">
        <v>12694</v>
      </c>
      <c r="J69" s="1621">
        <v>14911</v>
      </c>
      <c r="K69" s="1621">
        <v>12958</v>
      </c>
      <c r="L69" s="1621">
        <v>17596</v>
      </c>
      <c r="M69" s="1621">
        <v>21898</v>
      </c>
      <c r="N69" s="1621">
        <v>29827</v>
      </c>
      <c r="O69" s="1621">
        <v>40036</v>
      </c>
      <c r="P69" s="1622">
        <v>61599</v>
      </c>
      <c r="Q69" s="1642">
        <v>69484</v>
      </c>
      <c r="R69" s="1642">
        <v>74651</v>
      </c>
      <c r="S69" s="1642">
        <f>44845 + 28069</f>
        <v>72914</v>
      </c>
      <c r="T69" s="1658">
        <v>93508</v>
      </c>
      <c r="U69" s="1642">
        <v>69484</v>
      </c>
      <c r="V69" s="1642">
        <v>96062.96</v>
      </c>
      <c r="W69" s="1642"/>
      <c r="X69" s="1642"/>
      <c r="Y69" s="1642"/>
      <c r="Z69" s="1651">
        <v>74651</v>
      </c>
      <c r="AA69" s="1660">
        <v>74651</v>
      </c>
      <c r="AB69" s="1660">
        <v>74651</v>
      </c>
      <c r="AC69" s="1624"/>
      <c r="AD69" s="1624"/>
      <c r="AE69" s="1624"/>
    </row>
    <row r="70" spans="1:31" ht="12.75" customHeight="1">
      <c r="A70" s="1657" t="s">
        <v>98</v>
      </c>
      <c r="B70" s="1621">
        <v>3377</v>
      </c>
      <c r="C70" s="1621">
        <v>3465</v>
      </c>
      <c r="D70" s="1621">
        <v>3608</v>
      </c>
      <c r="E70" s="1621">
        <v>3680</v>
      </c>
      <c r="F70" s="1621">
        <v>4283</v>
      </c>
      <c r="G70" s="1621">
        <v>4429</v>
      </c>
      <c r="H70" s="1621">
        <v>4518.79</v>
      </c>
      <c r="I70" s="1621">
        <v>5633</v>
      </c>
      <c r="J70" s="1621">
        <v>5563</v>
      </c>
      <c r="K70" s="1621">
        <v>6004</v>
      </c>
      <c r="L70" s="1621">
        <v>6550</v>
      </c>
      <c r="M70" s="1621">
        <v>7064</v>
      </c>
      <c r="N70" s="1621">
        <v>7493</v>
      </c>
      <c r="O70" s="1621">
        <v>8225</v>
      </c>
      <c r="P70" s="1622">
        <v>43418</v>
      </c>
      <c r="Q70" s="1642">
        <v>52104</v>
      </c>
      <c r="R70" s="1642">
        <v>20508</v>
      </c>
      <c r="S70" s="1642">
        <v>20508</v>
      </c>
      <c r="T70" s="1658">
        <v>20508</v>
      </c>
      <c r="U70" s="1659">
        <v>25640.58</v>
      </c>
      <c r="V70" s="1642">
        <v>33779.47</v>
      </c>
      <c r="W70" s="1642"/>
      <c r="X70" s="1642"/>
      <c r="Y70" s="1642"/>
      <c r="Z70" s="1651">
        <v>20508</v>
      </c>
      <c r="AA70" s="1660">
        <v>20508</v>
      </c>
      <c r="AB70" s="1660">
        <v>20508</v>
      </c>
      <c r="AC70" s="1624"/>
      <c r="AD70" s="1624"/>
      <c r="AE70" s="1624"/>
    </row>
    <row r="71" spans="1:31">
      <c r="A71" s="1657" t="s">
        <v>99</v>
      </c>
      <c r="B71" s="1621">
        <v>1328</v>
      </c>
      <c r="C71" s="1621">
        <v>3031</v>
      </c>
      <c r="D71" s="1621">
        <v>2980</v>
      </c>
      <c r="E71" s="1621">
        <v>3555</v>
      </c>
      <c r="F71" s="1621">
        <v>4057</v>
      </c>
      <c r="G71" s="1621">
        <v>4480</v>
      </c>
      <c r="H71" s="1621">
        <v>4056</v>
      </c>
      <c r="I71" s="1621">
        <v>3699</v>
      </c>
      <c r="J71" s="1621">
        <v>4126</v>
      </c>
      <c r="K71" s="1621">
        <v>3502</v>
      </c>
      <c r="L71" s="1621">
        <v>4648</v>
      </c>
      <c r="M71" s="1621">
        <v>5563</v>
      </c>
      <c r="N71" s="1621">
        <v>6348</v>
      </c>
      <c r="O71" s="1621">
        <v>7896</v>
      </c>
      <c r="P71" s="1622">
        <v>18881</v>
      </c>
      <c r="Q71" s="1642">
        <v>21596</v>
      </c>
      <c r="R71" s="1642">
        <v>23607</v>
      </c>
      <c r="S71" s="1642">
        <f>13740 + 11779</f>
        <v>25519</v>
      </c>
      <c r="T71" s="1658">
        <v>40165</v>
      </c>
      <c r="U71" s="1642">
        <v>21596</v>
      </c>
      <c r="V71" s="1642">
        <v>40913.47</v>
      </c>
      <c r="W71" s="1642"/>
      <c r="X71" s="1642"/>
      <c r="Y71" s="1642"/>
      <c r="Z71" s="1651">
        <v>23607</v>
      </c>
      <c r="AA71" s="1660">
        <v>23607</v>
      </c>
      <c r="AB71" s="1660">
        <v>23607</v>
      </c>
      <c r="AC71" s="1624"/>
      <c r="AD71" s="1624"/>
      <c r="AE71" s="1624"/>
    </row>
    <row r="72" spans="1:31">
      <c r="A72" s="1657" t="s">
        <v>100</v>
      </c>
      <c r="B72" s="1621">
        <v>4464</v>
      </c>
      <c r="C72" s="1621">
        <v>4260</v>
      </c>
      <c r="D72" s="1621">
        <v>4878</v>
      </c>
      <c r="E72" s="1621">
        <v>4986</v>
      </c>
      <c r="F72" s="1621">
        <v>5756</v>
      </c>
      <c r="G72" s="1621">
        <v>6045</v>
      </c>
      <c r="H72" s="1621">
        <v>6324</v>
      </c>
      <c r="I72" s="1621">
        <v>7869</v>
      </c>
      <c r="J72" s="1621">
        <v>6621</v>
      </c>
      <c r="K72" s="1621">
        <v>4486</v>
      </c>
      <c r="L72" s="1621">
        <v>4624</v>
      </c>
      <c r="M72" s="1621">
        <v>7049</v>
      </c>
      <c r="N72" s="1621">
        <v>7254</v>
      </c>
      <c r="O72" s="1621">
        <v>7347</v>
      </c>
      <c r="P72" s="1622">
        <v>7347</v>
      </c>
      <c r="Q72" s="1642">
        <v>10502</v>
      </c>
      <c r="R72" s="1642">
        <v>7960</v>
      </c>
      <c r="S72" s="1642">
        <v>7960</v>
      </c>
      <c r="T72" s="1658">
        <v>8537.4</v>
      </c>
      <c r="U72" s="1642">
        <v>8864</v>
      </c>
      <c r="V72" s="1642">
        <v>9114</v>
      </c>
      <c r="W72" s="1642"/>
      <c r="X72" s="1642"/>
      <c r="Y72" s="1642"/>
      <c r="Z72" s="1651">
        <v>7960</v>
      </c>
      <c r="AA72" s="1660">
        <v>7960</v>
      </c>
      <c r="AB72" s="1660">
        <v>7960</v>
      </c>
      <c r="AC72" s="1624"/>
      <c r="AD72" s="1624"/>
      <c r="AE72" s="1624"/>
    </row>
    <row r="73" spans="1:31">
      <c r="A73" s="1657" t="s">
        <v>101</v>
      </c>
      <c r="B73" s="1621">
        <v>4073</v>
      </c>
      <c r="C73" s="1621">
        <v>4465</v>
      </c>
      <c r="D73" s="1621">
        <v>4073</v>
      </c>
      <c r="E73" s="1621">
        <v>4831</v>
      </c>
      <c r="F73" s="1621">
        <v>5663</v>
      </c>
      <c r="G73" s="1621">
        <v>6045</v>
      </c>
      <c r="H73" s="1621">
        <v>6182</v>
      </c>
      <c r="I73" s="1621">
        <v>5373</v>
      </c>
      <c r="J73" s="1621">
        <v>6317</v>
      </c>
      <c r="K73" s="1621">
        <v>3737</v>
      </c>
      <c r="L73" s="1621">
        <v>4624</v>
      </c>
      <c r="M73" s="1621">
        <v>7049</v>
      </c>
      <c r="N73" s="1621">
        <v>7254</v>
      </c>
      <c r="O73" s="1621">
        <v>7347</v>
      </c>
      <c r="P73" s="1622">
        <v>7347</v>
      </c>
      <c r="Q73" s="1642">
        <v>14416</v>
      </c>
      <c r="R73" s="1642">
        <v>7960</v>
      </c>
      <c r="S73" s="1642">
        <f>8239 + 7486</f>
        <v>15725</v>
      </c>
      <c r="T73" s="1658">
        <v>8537.4</v>
      </c>
      <c r="U73" s="1642">
        <v>14416</v>
      </c>
      <c r="V73" s="1642">
        <v>9114</v>
      </c>
      <c r="W73" s="1642"/>
      <c r="X73" s="1642"/>
      <c r="Y73" s="1642"/>
      <c r="Z73" s="1651">
        <v>7960</v>
      </c>
      <c r="AA73" s="1660">
        <v>7960</v>
      </c>
      <c r="AB73" s="1660">
        <v>7960</v>
      </c>
      <c r="AC73" s="1624"/>
      <c r="AD73" s="1624"/>
      <c r="AE73" s="1624"/>
    </row>
    <row r="74" spans="1:31">
      <c r="A74" s="1657" t="s">
        <v>102</v>
      </c>
      <c r="B74" s="1621">
        <v>1044</v>
      </c>
      <c r="C74" s="1621">
        <v>996</v>
      </c>
      <c r="D74" s="1621">
        <v>1141</v>
      </c>
      <c r="E74" s="1621">
        <v>1166</v>
      </c>
      <c r="F74" s="1621">
        <v>1346</v>
      </c>
      <c r="G74" s="1621">
        <v>1511</v>
      </c>
      <c r="H74" s="1621">
        <v>1555</v>
      </c>
      <c r="I74" s="1621">
        <v>1840</v>
      </c>
      <c r="J74" s="1621">
        <v>1791</v>
      </c>
      <c r="K74" s="1621">
        <v>1913</v>
      </c>
      <c r="L74" s="1621">
        <v>2085</v>
      </c>
      <c r="M74" s="1621">
        <v>2236</v>
      </c>
      <c r="N74" s="1621">
        <v>2375</v>
      </c>
      <c r="O74" s="1621">
        <v>2609</v>
      </c>
      <c r="P74" s="1622">
        <v>9749</v>
      </c>
      <c r="Q74" s="1642">
        <v>9409</v>
      </c>
      <c r="R74" s="1642">
        <v>3973</v>
      </c>
      <c r="S74" s="1642">
        <v>3973</v>
      </c>
      <c r="T74" s="1658">
        <v>4679.5</v>
      </c>
      <c r="U74" s="1642">
        <v>5303</v>
      </c>
      <c r="V74" s="1642">
        <v>7226.06</v>
      </c>
      <c r="W74" s="1642"/>
      <c r="X74" s="1642"/>
      <c r="Y74" s="1642"/>
      <c r="Z74" s="1651">
        <v>3973</v>
      </c>
      <c r="AA74" s="1660">
        <v>3973</v>
      </c>
      <c r="AB74" s="1660">
        <v>3973</v>
      </c>
      <c r="AC74" s="1624"/>
      <c r="AD74" s="1624"/>
      <c r="AE74" s="1624"/>
    </row>
    <row r="75" spans="1:31">
      <c r="A75" s="1657" t="s">
        <v>103</v>
      </c>
      <c r="B75" s="1621">
        <v>952</v>
      </c>
      <c r="C75" s="1621">
        <v>1045</v>
      </c>
      <c r="D75" s="1621">
        <v>952</v>
      </c>
      <c r="E75" s="1621">
        <v>1129</v>
      </c>
      <c r="F75" s="1621">
        <v>1324</v>
      </c>
      <c r="G75" s="1621">
        <v>1554</v>
      </c>
      <c r="H75" s="1621">
        <v>1446</v>
      </c>
      <c r="I75" s="1621">
        <v>1255</v>
      </c>
      <c r="J75" s="1621">
        <v>1478</v>
      </c>
      <c r="K75" s="1621">
        <v>1290</v>
      </c>
      <c r="L75" s="1621">
        <v>1638</v>
      </c>
      <c r="M75" s="1621">
        <v>1898</v>
      </c>
      <c r="N75" s="1621">
        <v>2123</v>
      </c>
      <c r="O75" s="1621">
        <v>2580</v>
      </c>
      <c r="P75" s="1622">
        <v>3379</v>
      </c>
      <c r="Q75" s="1642">
        <v>3371</v>
      </c>
      <c r="R75" s="1642">
        <v>4455</v>
      </c>
      <c r="S75" s="1642">
        <f>2478+1694</f>
        <v>4172</v>
      </c>
      <c r="T75" s="1658">
        <v>7948.51</v>
      </c>
      <c r="U75" s="1642">
        <v>3371</v>
      </c>
      <c r="V75" s="1642">
        <v>8361.77</v>
      </c>
      <c r="W75" s="1642"/>
      <c r="X75" s="1642"/>
      <c r="Y75" s="1642"/>
      <c r="Z75" s="1651">
        <v>4455</v>
      </c>
      <c r="AA75" s="1660">
        <v>4455</v>
      </c>
      <c r="AB75" s="1660">
        <v>4455</v>
      </c>
      <c r="AC75" s="1624"/>
      <c r="AD75" s="1624"/>
      <c r="AE75" s="1624"/>
    </row>
    <row r="76" spans="1:31">
      <c r="A76" s="1657" t="s">
        <v>104</v>
      </c>
      <c r="B76" s="1621"/>
      <c r="C76" s="1621"/>
      <c r="D76" s="1621"/>
      <c r="E76" s="1621"/>
      <c r="F76" s="1621"/>
      <c r="G76" s="1621"/>
      <c r="H76" s="1621"/>
      <c r="I76" s="1621"/>
      <c r="J76" s="1621"/>
      <c r="K76" s="1621"/>
      <c r="L76" s="1621"/>
      <c r="M76" s="1621"/>
      <c r="N76" s="1621"/>
      <c r="O76" s="1621"/>
      <c r="P76" s="1622"/>
      <c r="Q76" s="1658"/>
      <c r="R76" s="1658"/>
      <c r="S76" s="1658"/>
      <c r="T76" s="1658"/>
      <c r="U76" s="1658"/>
      <c r="V76" s="1658"/>
      <c r="W76" s="1661"/>
      <c r="X76" s="1661"/>
      <c r="Y76" s="1661"/>
      <c r="Z76" s="1660"/>
      <c r="AA76" s="1660"/>
      <c r="AB76" s="1660"/>
      <c r="AC76" s="1624"/>
      <c r="AD76" s="1624"/>
      <c r="AE76" s="1624"/>
    </row>
    <row r="77" spans="1:31">
      <c r="A77" s="1657" t="s">
        <v>105</v>
      </c>
      <c r="B77" s="1621">
        <v>0</v>
      </c>
      <c r="C77" s="1621">
        <v>0</v>
      </c>
      <c r="D77" s="1621">
        <v>0</v>
      </c>
      <c r="E77" s="1621">
        <v>0</v>
      </c>
      <c r="F77" s="1621">
        <v>0</v>
      </c>
      <c r="G77" s="1621">
        <v>0</v>
      </c>
      <c r="H77" s="1621">
        <v>0</v>
      </c>
      <c r="I77" s="1621">
        <v>0</v>
      </c>
      <c r="J77" s="1621">
        <v>0</v>
      </c>
      <c r="K77" s="1621">
        <v>0</v>
      </c>
      <c r="L77" s="1621">
        <v>0</v>
      </c>
      <c r="M77" s="1621">
        <v>0</v>
      </c>
      <c r="N77" s="1621">
        <v>0</v>
      </c>
      <c r="O77" s="1621">
        <v>0</v>
      </c>
      <c r="P77" s="1622">
        <v>2806</v>
      </c>
      <c r="Q77" s="1642">
        <v>0</v>
      </c>
      <c r="R77" s="1642" t="s">
        <v>37</v>
      </c>
      <c r="S77" s="1642"/>
      <c r="T77" s="1658" t="s">
        <v>37</v>
      </c>
      <c r="U77" s="1658"/>
      <c r="V77" s="1658"/>
      <c r="W77" s="1661"/>
      <c r="X77" s="1661"/>
      <c r="Y77" s="1661"/>
      <c r="Z77" s="1660" t="s">
        <v>37</v>
      </c>
      <c r="AA77" s="1660" t="s">
        <v>37</v>
      </c>
      <c r="AB77" s="1660" t="s">
        <v>37</v>
      </c>
      <c r="AC77" s="1624"/>
      <c r="AD77" s="1624"/>
      <c r="AE77" s="1624"/>
    </row>
    <row r="78" spans="1:31">
      <c r="A78" s="1657" t="s">
        <v>106</v>
      </c>
      <c r="B78" s="1621">
        <v>20828</v>
      </c>
      <c r="C78" s="1621">
        <v>23124</v>
      </c>
      <c r="D78" s="1621">
        <v>22624</v>
      </c>
      <c r="E78" s="1621">
        <v>22937</v>
      </c>
      <c r="F78" s="1621">
        <v>29354</v>
      </c>
      <c r="G78" s="1621">
        <v>33313</v>
      </c>
      <c r="H78" s="1621">
        <v>29276</v>
      </c>
      <c r="I78" s="1621">
        <v>31878</v>
      </c>
      <c r="J78" s="1621">
        <v>35312</v>
      </c>
      <c r="K78" s="1621">
        <v>32994</v>
      </c>
      <c r="L78" s="1621">
        <v>40350</v>
      </c>
      <c r="M78" s="1621">
        <v>55597</v>
      </c>
      <c r="N78" s="1621">
        <v>61767</v>
      </c>
      <c r="O78" s="1621">
        <v>76492</v>
      </c>
      <c r="P78" s="1622">
        <f xml:space="preserve"> 210359 - P77</f>
        <v>207553</v>
      </c>
      <c r="Q78" s="1642">
        <v>215374</v>
      </c>
      <c r="R78" s="1642">
        <v>136476</v>
      </c>
      <c r="S78" s="1642">
        <v>136476</v>
      </c>
      <c r="T78" s="1658">
        <v>136476</v>
      </c>
      <c r="U78" s="1659">
        <v>215374</v>
      </c>
      <c r="V78" s="1658">
        <v>215374</v>
      </c>
      <c r="W78" s="1658"/>
      <c r="X78" s="1658"/>
      <c r="Y78" s="1658"/>
      <c r="Z78" s="1660">
        <v>136476</v>
      </c>
      <c r="AA78" s="1660">
        <v>136476</v>
      </c>
      <c r="AB78" s="1660">
        <v>136476</v>
      </c>
      <c r="AC78" s="1625">
        <f t="shared" ref="AC78:AE79" si="61">(R78-O78)/O78</f>
        <v>0.7841865816033049</v>
      </c>
      <c r="AD78" s="1625">
        <f t="shared" si="61"/>
        <v>-0.34245228929478255</v>
      </c>
      <c r="AE78" s="1625">
        <f t="shared" si="61"/>
        <v>-0.36633019770260106</v>
      </c>
    </row>
    <row r="79" spans="1:31">
      <c r="A79" s="1657" t="s">
        <v>107</v>
      </c>
      <c r="B79" s="1621">
        <f>SUM(B70:B71)</f>
        <v>4705</v>
      </c>
      <c r="C79" s="1621">
        <f>SUM(C70:C71)</f>
        <v>6496</v>
      </c>
      <c r="D79" s="1621">
        <f>SUM(D70:D71) -28</f>
        <v>6560</v>
      </c>
      <c r="E79" s="1621">
        <f>SUM(E70:E71) +164</f>
        <v>7399</v>
      </c>
      <c r="F79" s="1621">
        <f>SUM(F70:F71) +250</f>
        <v>8590</v>
      </c>
      <c r="G79" s="1621">
        <v>9597</v>
      </c>
      <c r="H79" s="1621">
        <v>8755</v>
      </c>
      <c r="I79" s="1621">
        <v>9546</v>
      </c>
      <c r="J79" s="1621">
        <v>9843</v>
      </c>
      <c r="K79" s="1621">
        <v>9586</v>
      </c>
      <c r="L79" s="1621">
        <v>11080</v>
      </c>
      <c r="M79" s="1621">
        <v>13353</v>
      </c>
      <c r="N79" s="1621">
        <v>14238</v>
      </c>
      <c r="O79" s="1621">
        <v>16178</v>
      </c>
      <c r="P79" s="1622">
        <v>58151</v>
      </c>
      <c r="Q79" s="1642">
        <v>9597</v>
      </c>
      <c r="R79" s="1642">
        <v>41191</v>
      </c>
      <c r="S79" s="1642">
        <v>41191</v>
      </c>
      <c r="T79" s="1658">
        <v>41191</v>
      </c>
      <c r="U79" s="1659">
        <v>9597</v>
      </c>
      <c r="V79" s="1658">
        <v>9597</v>
      </c>
      <c r="W79" s="1658"/>
      <c r="X79" s="1658"/>
      <c r="Y79" s="1658"/>
      <c r="Z79" s="1660">
        <v>41191</v>
      </c>
      <c r="AA79" s="1660">
        <v>41191</v>
      </c>
      <c r="AB79" s="1660">
        <v>41191</v>
      </c>
      <c r="AC79" s="1625">
        <f t="shared" si="61"/>
        <v>1.5461120039559897</v>
      </c>
      <c r="AD79" s="1625">
        <f t="shared" si="61"/>
        <v>-0.29165448573541297</v>
      </c>
      <c r="AE79" s="1625">
        <f t="shared" si="61"/>
        <v>3.2920704386787536</v>
      </c>
    </row>
    <row r="80" spans="1:31">
      <c r="A80" s="1657" t="s">
        <v>108</v>
      </c>
      <c r="B80" s="1621">
        <f t="shared" ref="B80:N80" si="62">B68 + B69 - B78</f>
        <v>-3507</v>
      </c>
      <c r="C80" s="1621">
        <f t="shared" si="62"/>
        <v>1108</v>
      </c>
      <c r="D80" s="1621">
        <f t="shared" si="62"/>
        <v>1125</v>
      </c>
      <c r="E80" s="1621">
        <f t="shared" si="62"/>
        <v>6539</v>
      </c>
      <c r="F80" s="1621">
        <f t="shared" si="62"/>
        <v>1525</v>
      </c>
      <c r="G80" s="1621">
        <f t="shared" si="62"/>
        <v>-961</v>
      </c>
      <c r="H80" s="1621">
        <f t="shared" si="62"/>
        <v>2706.5</v>
      </c>
      <c r="I80" s="1621">
        <f t="shared" si="62"/>
        <v>3677</v>
      </c>
      <c r="J80" s="1621">
        <f t="shared" si="62"/>
        <v>2350</v>
      </c>
      <c r="K80" s="1621">
        <f t="shared" si="62"/>
        <v>4852</v>
      </c>
      <c r="L80" s="1621">
        <f t="shared" si="62"/>
        <v>5022</v>
      </c>
      <c r="M80" s="1621">
        <f t="shared" si="62"/>
        <v>-3444</v>
      </c>
      <c r="N80" s="1621">
        <f t="shared" si="62"/>
        <v>664</v>
      </c>
      <c r="O80" s="1621">
        <f>O68 + O69 - O78</f>
        <v>167</v>
      </c>
      <c r="P80" s="1622">
        <f>P68+P69 -P78 - P77</f>
        <v>-31662</v>
      </c>
      <c r="Q80" s="1642">
        <v>4185</v>
      </c>
      <c r="R80" s="1642">
        <v>15764</v>
      </c>
      <c r="S80" s="1642">
        <v>9156</v>
      </c>
      <c r="T80" s="1658">
        <v>-27899</v>
      </c>
      <c r="U80" s="1659">
        <v>-23718</v>
      </c>
      <c r="V80" s="1658">
        <f>V68 + V69 - V78</f>
        <v>-25048.059999999998</v>
      </c>
      <c r="W80" s="1661">
        <f>W68 + W69 - W78</f>
        <v>0</v>
      </c>
      <c r="X80" s="1661">
        <f>X68 + X69 - X78</f>
        <v>0</v>
      </c>
      <c r="Y80" s="1661"/>
      <c r="Z80" s="1660">
        <v>15764</v>
      </c>
      <c r="AA80" s="1660">
        <v>15764</v>
      </c>
      <c r="AB80" s="1660">
        <v>15764</v>
      </c>
      <c r="AC80" s="1625"/>
      <c r="AD80" s="1625"/>
      <c r="AE80" s="1625"/>
    </row>
    <row r="81" spans="1:31">
      <c r="A81" s="1657" t="s">
        <v>109</v>
      </c>
      <c r="B81" s="1621">
        <f t="shared" ref="B81:N81" si="63">B70 + B71 - B79</f>
        <v>0</v>
      </c>
      <c r="C81" s="1621">
        <f t="shared" si="63"/>
        <v>0</v>
      </c>
      <c r="D81" s="1621">
        <f t="shared" si="63"/>
        <v>28</v>
      </c>
      <c r="E81" s="1621">
        <f t="shared" si="63"/>
        <v>-164</v>
      </c>
      <c r="F81" s="1621">
        <f t="shared" si="63"/>
        <v>-250</v>
      </c>
      <c r="G81" s="1621">
        <f t="shared" si="63"/>
        <v>-688</v>
      </c>
      <c r="H81" s="1621">
        <f t="shared" si="63"/>
        <v>-180.20999999999913</v>
      </c>
      <c r="I81" s="1621">
        <f t="shared" si="63"/>
        <v>-214</v>
      </c>
      <c r="J81" s="1621">
        <f t="shared" si="63"/>
        <v>-154</v>
      </c>
      <c r="K81" s="1621">
        <f t="shared" si="63"/>
        <v>-80</v>
      </c>
      <c r="L81" s="1621">
        <f t="shared" si="63"/>
        <v>118</v>
      </c>
      <c r="M81" s="1621">
        <f t="shared" si="63"/>
        <v>-726</v>
      </c>
      <c r="N81" s="1621">
        <f t="shared" si="63"/>
        <v>-397</v>
      </c>
      <c r="O81" s="1621">
        <f>O70 + O71 - O79</f>
        <v>-57</v>
      </c>
      <c r="P81" s="1622">
        <f>P70 + P71 - P79</f>
        <v>4148</v>
      </c>
      <c r="Q81" s="1642">
        <v>-2887</v>
      </c>
      <c r="R81" s="1642">
        <v>2734</v>
      </c>
      <c r="S81" s="1642">
        <v>2107</v>
      </c>
      <c r="T81" s="1658">
        <v>2734</v>
      </c>
      <c r="U81" s="1659">
        <v>13000</v>
      </c>
      <c r="V81" s="1658">
        <f>V70 + V71 - V79</f>
        <v>65095.94</v>
      </c>
      <c r="W81" s="1661">
        <f>W70 + W71 - W79</f>
        <v>0</v>
      </c>
      <c r="X81" s="1661">
        <f>X70 + X71 - X79</f>
        <v>0</v>
      </c>
      <c r="Y81" s="1661"/>
      <c r="Z81" s="1660">
        <v>2734</v>
      </c>
      <c r="AA81" s="1660">
        <v>2734</v>
      </c>
      <c r="AB81" s="1660">
        <v>2734</v>
      </c>
      <c r="AC81" s="1625"/>
      <c r="AD81" s="1625"/>
      <c r="AE81" s="1625"/>
    </row>
    <row r="82" spans="1:31">
      <c r="A82" s="1446"/>
      <c r="B82" s="1447"/>
      <c r="C82" s="1447"/>
      <c r="D82" s="1447"/>
      <c r="E82" s="1447"/>
      <c r="F82" s="1447"/>
      <c r="G82" s="1447"/>
      <c r="H82" s="1447"/>
      <c r="I82" s="1447"/>
      <c r="J82" s="1447"/>
      <c r="K82" s="1447"/>
      <c r="L82" s="1447"/>
      <c r="M82" s="1447"/>
      <c r="N82" s="1447"/>
      <c r="O82" s="1447"/>
      <c r="P82" s="1448"/>
      <c r="Q82" s="1449"/>
      <c r="R82" s="1449"/>
      <c r="S82" s="1449"/>
      <c r="T82" s="1449"/>
      <c r="U82" s="1449"/>
      <c r="V82" s="1449"/>
      <c r="W82" s="1450"/>
      <c r="X82" s="1450"/>
      <c r="Y82" s="1450"/>
      <c r="Z82" s="1451"/>
      <c r="AA82" s="1451"/>
      <c r="AB82" s="1451"/>
      <c r="AC82" s="1445"/>
      <c r="AD82" s="1445"/>
      <c r="AE82" s="1445"/>
    </row>
    <row r="83" spans="1:31">
      <c r="A83" s="1446" t="s">
        <v>93</v>
      </c>
      <c r="B83" s="1447">
        <v>116223</v>
      </c>
      <c r="C83" s="1447">
        <v>133256</v>
      </c>
      <c r="D83" s="1447">
        <v>137587</v>
      </c>
      <c r="E83" s="1447">
        <v>151014</v>
      </c>
      <c r="F83" s="1447">
        <v>173978</v>
      </c>
      <c r="G83" s="1447">
        <v>193978</v>
      </c>
      <c r="H83" s="1447">
        <v>177273</v>
      </c>
      <c r="I83" s="1447">
        <v>196567</v>
      </c>
      <c r="J83" s="1447">
        <v>212675</v>
      </c>
      <c r="K83" s="1447">
        <v>203249</v>
      </c>
      <c r="L83" s="1447">
        <v>233079</v>
      </c>
      <c r="M83" s="1447">
        <v>275485</v>
      </c>
      <c r="N83" s="1447">
        <v>193978</v>
      </c>
      <c r="O83" s="1447">
        <v>193978</v>
      </c>
      <c r="P83" s="1448">
        <v>728414</v>
      </c>
      <c r="Q83" s="1452">
        <v>747241</v>
      </c>
      <c r="R83" s="1452">
        <f>R64</f>
        <v>546246</v>
      </c>
      <c r="S83" s="1452">
        <f>S64</f>
        <v>565981</v>
      </c>
      <c r="T83" s="1449">
        <f>T64</f>
        <v>592372.6</v>
      </c>
      <c r="U83" s="1452">
        <v>193978</v>
      </c>
      <c r="V83" s="1452">
        <v>193978</v>
      </c>
      <c r="W83" s="1453">
        <v>193978</v>
      </c>
      <c r="X83" s="1453">
        <v>193978</v>
      </c>
      <c r="Y83" s="1453"/>
      <c r="Z83" s="1454">
        <f>Z64</f>
        <v>555037</v>
      </c>
      <c r="AA83" s="1451">
        <f>AA64</f>
        <v>546246</v>
      </c>
      <c r="AB83" s="1451">
        <f>AB64</f>
        <v>546246</v>
      </c>
      <c r="AC83" s="1445"/>
      <c r="AD83" s="1445"/>
      <c r="AE83" s="1445"/>
    </row>
    <row r="84" spans="1:31">
      <c r="A84" s="1446" t="s">
        <v>110</v>
      </c>
      <c r="B84" s="1447">
        <v>100117</v>
      </c>
      <c r="C84" s="1447">
        <v>117656</v>
      </c>
      <c r="D84" s="1447">
        <v>116648</v>
      </c>
      <c r="E84" s="1447">
        <v>118456</v>
      </c>
      <c r="F84" s="1447">
        <v>142910</v>
      </c>
      <c r="G84" s="1447">
        <v>161745</v>
      </c>
      <c r="H84" s="1447">
        <v>145038</v>
      </c>
      <c r="I84" s="1447">
        <v>157457</v>
      </c>
      <c r="J84" s="1447">
        <v>166850</v>
      </c>
      <c r="K84" s="1447">
        <v>162070</v>
      </c>
      <c r="L84" s="1447">
        <v>190756</v>
      </c>
      <c r="M84" s="1447">
        <v>234437</v>
      </c>
      <c r="N84" s="1447">
        <v>181900</v>
      </c>
      <c r="O84" s="1447">
        <v>181900</v>
      </c>
      <c r="P84" s="1448">
        <v>720361</v>
      </c>
      <c r="Q84" s="1452">
        <v>674847</v>
      </c>
      <c r="R84" s="1452">
        <v>505780</v>
      </c>
      <c r="S84" s="1452">
        <v>505780</v>
      </c>
      <c r="T84" s="1449">
        <v>505780</v>
      </c>
      <c r="U84" s="1452">
        <v>181900</v>
      </c>
      <c r="V84" s="1452">
        <v>181900</v>
      </c>
      <c r="W84" s="1453">
        <v>181900</v>
      </c>
      <c r="X84" s="1453">
        <v>181900</v>
      </c>
      <c r="Y84" s="1453"/>
      <c r="Z84" s="1454">
        <v>505780</v>
      </c>
      <c r="AA84" s="1451">
        <v>505780</v>
      </c>
      <c r="AB84" s="1451">
        <v>505780</v>
      </c>
      <c r="AC84" s="1445"/>
      <c r="AD84" s="1445"/>
      <c r="AE84" s="1445"/>
    </row>
    <row r="85" spans="1:31">
      <c r="A85" s="1455" t="s">
        <v>111</v>
      </c>
      <c r="B85" s="1456">
        <f t="shared" ref="B85:Q85" si="64">SUM(B68:B75) + SUM(B80:B81)</f>
        <v>29052</v>
      </c>
      <c r="C85" s="1456">
        <f t="shared" si="64"/>
        <v>42602</v>
      </c>
      <c r="D85" s="1456">
        <f t="shared" si="64"/>
        <v>42534</v>
      </c>
      <c r="E85" s="1456">
        <f t="shared" si="64"/>
        <v>55198</v>
      </c>
      <c r="F85" s="1456">
        <f t="shared" si="64"/>
        <v>54583</v>
      </c>
      <c r="G85" s="1456">
        <f t="shared" si="64"/>
        <v>54767</v>
      </c>
      <c r="H85" s="1456">
        <f t="shared" si="64"/>
        <v>58590.58</v>
      </c>
      <c r="I85" s="1456">
        <f t="shared" si="64"/>
        <v>64687</v>
      </c>
      <c r="J85" s="1456">
        <f t="shared" si="64"/>
        <v>65754</v>
      </c>
      <c r="K85" s="1456">
        <f t="shared" si="64"/>
        <v>63550</v>
      </c>
      <c r="L85" s="1456">
        <f t="shared" si="64"/>
        <v>74681</v>
      </c>
      <c r="M85" s="1456">
        <f t="shared" si="64"/>
        <v>78842</v>
      </c>
      <c r="N85" s="1456">
        <f t="shared" si="64"/>
        <v>95545</v>
      </c>
      <c r="O85" s="1456">
        <f t="shared" si="64"/>
        <v>112773</v>
      </c>
      <c r="P85" s="1456">
        <f t="shared" si="64"/>
        <v>241304</v>
      </c>
      <c r="Q85" s="1456">
        <f t="shared" si="64"/>
        <v>312024</v>
      </c>
      <c r="R85" s="1456">
        <f t="shared" ref="R85:X85" si="65">SUM(R72:R79)</f>
        <v>202015</v>
      </c>
      <c r="S85" s="1456">
        <f t="shared" si="65"/>
        <v>209497</v>
      </c>
      <c r="T85" s="1456">
        <f>SUM(T72:T79)</f>
        <v>207369.81</v>
      </c>
      <c r="U85" s="1457">
        <v>192614</v>
      </c>
      <c r="V85" s="1456">
        <f t="shared" si="65"/>
        <v>258786.83000000002</v>
      </c>
      <c r="W85" s="1458">
        <f t="shared" ref="W85" si="66">SUM(W72:W79)</f>
        <v>0</v>
      </c>
      <c r="X85" s="1458">
        <f t="shared" si="65"/>
        <v>0</v>
      </c>
      <c r="Y85" s="1458"/>
      <c r="Z85" s="1456">
        <f>SUM(Z72:Z79)</f>
        <v>202015</v>
      </c>
      <c r="AA85" s="1456">
        <f>SUM(AA72:AA79)</f>
        <v>202015</v>
      </c>
      <c r="AB85" s="1456">
        <f>SUM(AB72:AB79)</f>
        <v>202015</v>
      </c>
      <c r="AC85" s="1459">
        <f>(R85-O85)/O85</f>
        <v>0.79134189921346421</v>
      </c>
      <c r="AD85" s="1459">
        <f>(S85-P85)/P85</f>
        <v>-0.13181298279348871</v>
      </c>
      <c r="AE85" s="1459">
        <f>(T85-Q85)/Q85</f>
        <v>-0.3354042958233982</v>
      </c>
    </row>
    <row r="86" spans="1:31">
      <c r="A86" s="1455" t="s">
        <v>77</v>
      </c>
      <c r="B86" s="1455" t="s">
        <v>60</v>
      </c>
      <c r="C86" s="1460">
        <f t="shared" ref="C86:I86" si="67">(C85-B85)/B85</f>
        <v>0.46640506677681398</v>
      </c>
      <c r="D86" s="1460">
        <f t="shared" si="67"/>
        <v>-1.5961691939345571E-3</v>
      </c>
      <c r="E86" s="1460">
        <f t="shared" si="67"/>
        <v>0.29773827996426389</v>
      </c>
      <c r="F86" s="1460">
        <f t="shared" si="67"/>
        <v>-1.1141708032899742E-2</v>
      </c>
      <c r="G86" s="1460">
        <f t="shared" si="67"/>
        <v>3.3710129527508566E-3</v>
      </c>
      <c r="H86" s="1460">
        <f t="shared" si="67"/>
        <v>6.9815399784541821E-2</v>
      </c>
      <c r="I86" s="1460">
        <f t="shared" si="67"/>
        <v>0.10405119730850929</v>
      </c>
      <c r="J86" s="1460">
        <f t="shared" ref="J86:O86" si="68">(J85-I85)/I85</f>
        <v>1.6494813486481054E-2</v>
      </c>
      <c r="K86" s="1460">
        <f t="shared" si="68"/>
        <v>-3.3518873376524622E-2</v>
      </c>
      <c r="L86" s="1460">
        <f t="shared" si="68"/>
        <v>0.17515342250196694</v>
      </c>
      <c r="M86" s="1460">
        <f t="shared" si="68"/>
        <v>5.5716982900603902E-2</v>
      </c>
      <c r="N86" s="1460">
        <f t="shared" si="68"/>
        <v>0.21185408792268082</v>
      </c>
      <c r="O86" s="1460">
        <f t="shared" si="68"/>
        <v>0.18031294154586844</v>
      </c>
      <c r="P86" s="1460">
        <f t="shared" ref="P86:V86" si="69">(P85-O85)/O85</f>
        <v>1.139732028056361</v>
      </c>
      <c r="Q86" s="1460">
        <f t="shared" si="69"/>
        <v>0.29307429632331</v>
      </c>
      <c r="R86" s="1460">
        <f>(R85-Q85)/Q85</f>
        <v>-0.3525658282696203</v>
      </c>
      <c r="S86" s="1460">
        <f t="shared" si="69"/>
        <v>3.7036853698982748E-2</v>
      </c>
      <c r="T86" s="1460">
        <f>(T85-S85)/S85</f>
        <v>-1.0153796951746338E-2</v>
      </c>
      <c r="U86" s="1461">
        <f t="shared" si="69"/>
        <v>-7.1156982783559461E-2</v>
      </c>
      <c r="V86" s="1460">
        <f t="shared" si="69"/>
        <v>0.34355150715939659</v>
      </c>
      <c r="W86" s="1462">
        <f>(W85-U86)/U86</f>
        <v>-1</v>
      </c>
      <c r="X86" s="1462">
        <f>(X85-V85)/V85</f>
        <v>-1</v>
      </c>
      <c r="Y86" s="1462"/>
      <c r="Z86" s="1460" t="e">
        <f>(Z85-X85)/X85</f>
        <v>#DIV/0!</v>
      </c>
      <c r="AA86" s="1460">
        <f>(AA85-Z85)/Z85</f>
        <v>0</v>
      </c>
      <c r="AB86" s="1460">
        <f>(AB85-AA85)/AA85</f>
        <v>0</v>
      </c>
      <c r="AC86" s="1445"/>
      <c r="AD86" s="1445"/>
      <c r="AE86" s="1445"/>
    </row>
    <row r="87" spans="1:31">
      <c r="A87" s="1455" t="s">
        <v>112</v>
      </c>
      <c r="B87" s="1460">
        <f t="shared" ref="B87:Q87" si="70">B85/B64</f>
        <v>0.24880351305216447</v>
      </c>
      <c r="C87" s="1460">
        <f t="shared" si="70"/>
        <v>0.30604665196370717</v>
      </c>
      <c r="D87" s="1460">
        <f t="shared" si="70"/>
        <v>0.28916989598205178</v>
      </c>
      <c r="E87" s="1460">
        <f t="shared" si="70"/>
        <v>0.34158235093907607</v>
      </c>
      <c r="F87" s="1460">
        <f t="shared" si="70"/>
        <v>0.29203606110055913</v>
      </c>
      <c r="G87" s="1460">
        <f t="shared" si="70"/>
        <v>0.27198820012117719</v>
      </c>
      <c r="H87" s="1460">
        <f t="shared" si="70"/>
        <v>0.28007504923612309</v>
      </c>
      <c r="I87" s="1460">
        <f t="shared" si="70"/>
        <v>0.29657562822940403</v>
      </c>
      <c r="J87" s="1460">
        <f t="shared" si="70"/>
        <v>0.27638324235028233</v>
      </c>
      <c r="K87" s="1460">
        <f t="shared" si="70"/>
        <v>0.25808678701240684</v>
      </c>
      <c r="L87" s="1460">
        <f t="shared" si="70"/>
        <v>0.28630851744932739</v>
      </c>
      <c r="M87" s="1460">
        <f t="shared" si="70"/>
        <v>0.27823380363205186</v>
      </c>
      <c r="N87" s="1460">
        <f t="shared" si="70"/>
        <v>0.31353471048616011</v>
      </c>
      <c r="O87" s="1460">
        <f t="shared" si="70"/>
        <v>0.31859299605618524</v>
      </c>
      <c r="P87" s="1460">
        <f t="shared" si="70"/>
        <v>0.44996149378026656</v>
      </c>
      <c r="Q87" s="1460">
        <f t="shared" si="70"/>
        <v>0.34131646134560228</v>
      </c>
      <c r="R87" s="1460">
        <f t="shared" ref="R87:Z87" si="71">R85/R64</f>
        <v>0.36982421839244589</v>
      </c>
      <c r="S87" s="1460">
        <f t="shared" si="71"/>
        <v>0.37014846788143063</v>
      </c>
      <c r="T87" s="1460">
        <f t="shared" si="71"/>
        <v>0.35006651219181983</v>
      </c>
      <c r="U87" s="1461">
        <f t="shared" si="71"/>
        <v>0.31890228236310814</v>
      </c>
      <c r="V87" s="1460">
        <f t="shared" si="71"/>
        <v>0.3394538125318402</v>
      </c>
      <c r="W87" s="1462">
        <f t="shared" ref="W87" si="72">W85/W64</f>
        <v>0</v>
      </c>
      <c r="X87" s="1462">
        <f t="shared" si="71"/>
        <v>0</v>
      </c>
      <c r="Y87" s="1462"/>
      <c r="Z87" s="1460">
        <f t="shared" si="71"/>
        <v>0.3639667265425548</v>
      </c>
      <c r="AA87" s="1460">
        <f>AA85/AA64</f>
        <v>0.36982421839244589</v>
      </c>
      <c r="AB87" s="1460">
        <f>AB85/AB64</f>
        <v>0.36982421839244589</v>
      </c>
      <c r="AC87" s="1445"/>
      <c r="AD87" s="1445"/>
      <c r="AE87" s="1445"/>
    </row>
    <row r="88" spans="1:31">
      <c r="A88" s="1455" t="s">
        <v>113</v>
      </c>
      <c r="B88" s="1460"/>
      <c r="C88" s="1460"/>
      <c r="D88" s="1460"/>
      <c r="E88" s="1460"/>
      <c r="F88" s="1460"/>
      <c r="G88" s="1460"/>
      <c r="H88" s="1460"/>
      <c r="I88" s="1460">
        <f>I85/I60</f>
        <v>0.30282900065072166</v>
      </c>
      <c r="J88" s="1460">
        <f t="shared" ref="J88:Q88" si="73">J85/J60</f>
        <v>0.28070396527969349</v>
      </c>
      <c r="K88" s="1460">
        <f t="shared" si="73"/>
        <v>0.26284768896701477</v>
      </c>
      <c r="L88" s="1460">
        <f t="shared" si="73"/>
        <v>0.29201352910125322</v>
      </c>
      <c r="M88" s="1460">
        <f t="shared" si="73"/>
        <v>0.28534925805284111</v>
      </c>
      <c r="N88" s="1460">
        <f t="shared" si="73"/>
        <v>0.32402414623393361</v>
      </c>
      <c r="O88" s="1460">
        <f t="shared" si="73"/>
        <v>0.32916620451719486</v>
      </c>
      <c r="P88" s="1460">
        <f t="shared" si="73"/>
        <v>0.62574781199351703</v>
      </c>
      <c r="Q88" s="1460">
        <f t="shared" si="73"/>
        <v>0.38019529812573261</v>
      </c>
      <c r="R88" s="1460">
        <f t="shared" ref="R88:AA88" si="74">R85/R60</f>
        <v>0.38697596904422116</v>
      </c>
      <c r="S88" s="1460">
        <f t="shared" si="74"/>
        <v>0.39267385673103239</v>
      </c>
      <c r="T88" s="1460">
        <f>T85/T60</f>
        <v>0.37380660100845137</v>
      </c>
      <c r="U88" s="1461">
        <f t="shared" si="74"/>
        <v>0.32920143212382086</v>
      </c>
      <c r="V88" s="1460">
        <f t="shared" si="74"/>
        <v>0.34172191077905184</v>
      </c>
      <c r="W88" s="1460">
        <f t="shared" ref="W88" si="75">W85/W60</f>
        <v>0</v>
      </c>
      <c r="X88" s="1460">
        <f t="shared" si="74"/>
        <v>0</v>
      </c>
      <c r="Y88" s="1460"/>
      <c r="Z88" s="1460">
        <f t="shared" si="74"/>
        <v>0.38657978835371337</v>
      </c>
      <c r="AA88" s="1460">
        <f t="shared" si="74"/>
        <v>0.38697596904422116</v>
      </c>
      <c r="AB88" s="1460">
        <f>AB85/AB60</f>
        <v>0.38697596904422116</v>
      </c>
      <c r="AC88" s="1445"/>
      <c r="AD88" s="1445"/>
      <c r="AE88" s="1445"/>
    </row>
    <row r="89" spans="1:31">
      <c r="A89" s="1455" t="s">
        <v>114</v>
      </c>
      <c r="B89" s="1456">
        <f t="shared" ref="B89:Q89" si="76">B60-B85</f>
        <v>87405.84</v>
      </c>
      <c r="C89" s="1456">
        <f t="shared" si="76"/>
        <v>96010</v>
      </c>
      <c r="D89" s="1456">
        <f t="shared" si="76"/>
        <v>103601</v>
      </c>
      <c r="E89" s="1456">
        <f t="shared" si="76"/>
        <v>104842</v>
      </c>
      <c r="F89" s="1456">
        <f t="shared" si="76"/>
        <v>129021</v>
      </c>
      <c r="G89" s="1456">
        <f t="shared" si="76"/>
        <v>141516</v>
      </c>
      <c r="H89" s="1456">
        <f t="shared" si="76"/>
        <v>146413.41999999998</v>
      </c>
      <c r="I89" s="1456">
        <f t="shared" si="76"/>
        <v>148922</v>
      </c>
      <c r="J89" s="1456">
        <f t="shared" si="76"/>
        <v>168492.78</v>
      </c>
      <c r="K89" s="1456">
        <f t="shared" si="76"/>
        <v>178225</v>
      </c>
      <c r="L89" s="1456">
        <f t="shared" si="76"/>
        <v>181064</v>
      </c>
      <c r="M89" s="1456">
        <f t="shared" si="76"/>
        <v>197458</v>
      </c>
      <c r="N89" s="1456">
        <f t="shared" si="76"/>
        <v>199325</v>
      </c>
      <c r="O89" s="1456">
        <f t="shared" si="76"/>
        <v>229829</v>
      </c>
      <c r="P89" s="1456">
        <f t="shared" si="76"/>
        <v>144321</v>
      </c>
      <c r="Q89" s="1456">
        <f t="shared" si="76"/>
        <v>508670</v>
      </c>
      <c r="R89" s="1456">
        <f t="shared" ref="R89:Z89" si="77">R60-R85</f>
        <v>320020</v>
      </c>
      <c r="S89" s="1456">
        <f t="shared" si="77"/>
        <v>324017</v>
      </c>
      <c r="T89" s="1456">
        <f t="shared" si="77"/>
        <v>347381.79</v>
      </c>
      <c r="U89" s="1457">
        <f t="shared" si="77"/>
        <v>392480.65999999992</v>
      </c>
      <c r="V89" s="1456">
        <f t="shared" si="77"/>
        <v>498515.58999999991</v>
      </c>
      <c r="W89" s="1458">
        <f t="shared" ref="W89" si="78">W60-W85</f>
        <v>983737.56</v>
      </c>
      <c r="X89" s="1458">
        <f t="shared" si="77"/>
        <v>983737.56</v>
      </c>
      <c r="Y89" s="1458"/>
      <c r="Z89" s="1456">
        <f t="shared" si="77"/>
        <v>320555</v>
      </c>
      <c r="AA89" s="1456">
        <f>AA60-AA85</f>
        <v>320020</v>
      </c>
      <c r="AB89" s="1456">
        <f>AB60-AB85</f>
        <v>320020</v>
      </c>
      <c r="AC89" s="1445"/>
      <c r="AD89" s="1445"/>
      <c r="AE89" s="1445"/>
    </row>
    <row r="90" spans="1:31">
      <c r="A90" s="1455" t="s">
        <v>77</v>
      </c>
      <c r="B90" s="1455" t="s">
        <v>60</v>
      </c>
      <c r="C90" s="1460">
        <f t="shared" ref="C90:V90" si="79">(C89-B89)/B89</f>
        <v>9.8439188960371571E-2</v>
      </c>
      <c r="D90" s="1460">
        <f t="shared" si="79"/>
        <v>7.9064680762420583E-2</v>
      </c>
      <c r="E90" s="1460">
        <f t="shared" si="79"/>
        <v>1.1978648854740785E-2</v>
      </c>
      <c r="F90" s="1460">
        <f t="shared" si="79"/>
        <v>0.2306232235172927</v>
      </c>
      <c r="G90" s="1460">
        <f t="shared" si="79"/>
        <v>9.6844699700048831E-2</v>
      </c>
      <c r="H90" s="1460">
        <f t="shared" si="79"/>
        <v>3.4606828909805133E-2</v>
      </c>
      <c r="I90" s="1460">
        <f t="shared" si="79"/>
        <v>1.7133538715235371E-2</v>
      </c>
      <c r="J90" s="1460">
        <f t="shared" si="79"/>
        <v>0.13141631189481742</v>
      </c>
      <c r="K90" s="1460">
        <f t="shared" si="79"/>
        <v>5.7760457154306562E-2</v>
      </c>
      <c r="L90" s="1460">
        <f t="shared" si="79"/>
        <v>1.5929302847524196E-2</v>
      </c>
      <c r="M90" s="1460">
        <f t="shared" si="79"/>
        <v>9.0542570582777357E-2</v>
      </c>
      <c r="N90" s="1460">
        <f t="shared" si="79"/>
        <v>9.4551752777805916E-3</v>
      </c>
      <c r="O90" s="1460">
        <f t="shared" si="79"/>
        <v>0.15303649818136209</v>
      </c>
      <c r="P90" s="1460">
        <f t="shared" si="79"/>
        <v>-0.37205052452040432</v>
      </c>
      <c r="Q90" s="1460">
        <f t="shared" si="79"/>
        <v>2.5245736933640979</v>
      </c>
      <c r="R90" s="1460">
        <f>(R89-Q89)/Q89</f>
        <v>-0.37086912929797317</v>
      </c>
      <c r="S90" s="1460">
        <f t="shared" si="79"/>
        <v>1.2489844384725954E-2</v>
      </c>
      <c r="T90" s="1460">
        <f>(T89-S89)/S89</f>
        <v>7.210976584561915E-2</v>
      </c>
      <c r="U90" s="1461">
        <f t="shared" si="79"/>
        <v>0.1298250838076456</v>
      </c>
      <c r="V90" s="1460">
        <f t="shared" si="79"/>
        <v>0.27016600002660007</v>
      </c>
      <c r="W90" s="1462">
        <f>(W89-U90)/U90</f>
        <v>7577406.4712522253</v>
      </c>
      <c r="X90" s="1462">
        <f>(X89-V89)/V89</f>
        <v>0.97333359223530047</v>
      </c>
      <c r="Y90" s="1462"/>
      <c r="Z90" s="1460">
        <f>(Z89-X89)/X89</f>
        <v>-0.6741458158820326</v>
      </c>
      <c r="AA90" s="1460">
        <f>(AA89-Z89)/Z89</f>
        <v>-1.6689803621843366E-3</v>
      </c>
      <c r="AB90" s="1460">
        <f>(AB89-AA89)/AA89</f>
        <v>0</v>
      </c>
      <c r="AC90" s="1445"/>
      <c r="AD90" s="1445"/>
      <c r="AE90" s="1445"/>
    </row>
    <row r="91" spans="1:31">
      <c r="A91" s="1463" t="s">
        <v>115</v>
      </c>
      <c r="B91" s="1464">
        <f t="shared" ref="B91:P91" si="80">SUM(B93:B108)</f>
        <v>1514</v>
      </c>
      <c r="C91" s="1464">
        <f t="shared" si="80"/>
        <v>1814</v>
      </c>
      <c r="D91" s="1464">
        <f t="shared" si="80"/>
        <v>956</v>
      </c>
      <c r="E91" s="1464">
        <f t="shared" si="80"/>
        <v>1796</v>
      </c>
      <c r="F91" s="1464">
        <f t="shared" si="80"/>
        <v>2018</v>
      </c>
      <c r="G91" s="1464">
        <f t="shared" si="80"/>
        <v>2516</v>
      </c>
      <c r="H91" s="1464">
        <f t="shared" si="80"/>
        <v>2478</v>
      </c>
      <c r="I91" s="1464">
        <f t="shared" si="80"/>
        <v>3852</v>
      </c>
      <c r="J91" s="1464">
        <f t="shared" si="80"/>
        <v>4996</v>
      </c>
      <c r="K91" s="1464">
        <f t="shared" si="80"/>
        <v>4644</v>
      </c>
      <c r="L91" s="1464">
        <f t="shared" si="80"/>
        <v>5654</v>
      </c>
      <c r="M91" s="1464">
        <f t="shared" si="80"/>
        <v>6274</v>
      </c>
      <c r="N91" s="1464">
        <f t="shared" si="80"/>
        <v>5732</v>
      </c>
      <c r="O91" s="1464">
        <f t="shared" si="80"/>
        <v>5964</v>
      </c>
      <c r="P91" s="1465">
        <f t="shared" si="80"/>
        <v>6662</v>
      </c>
      <c r="Q91" s="1465">
        <f t="shared" ref="Q91:X91" si="81">SUM(Q93:Q108)</f>
        <v>2945</v>
      </c>
      <c r="R91" s="1465">
        <f t="shared" si="81"/>
        <v>5732</v>
      </c>
      <c r="S91" s="1465">
        <f t="shared" si="81"/>
        <v>5732</v>
      </c>
      <c r="T91" s="1465">
        <f>SUM(T93:T108)</f>
        <v>5732</v>
      </c>
      <c r="U91" s="1465">
        <f t="shared" si="81"/>
        <v>5732</v>
      </c>
      <c r="V91" s="1465">
        <f t="shared" si="81"/>
        <v>5732</v>
      </c>
      <c r="W91" s="1467">
        <f t="shared" ref="W91" si="82">SUM(W93:W108)</f>
        <v>5732</v>
      </c>
      <c r="X91" s="1467">
        <f t="shared" si="81"/>
        <v>5732</v>
      </c>
      <c r="Y91" s="1467"/>
      <c r="Z91" s="1466">
        <f>SUM(Z93:Z108)</f>
        <v>5732</v>
      </c>
      <c r="AA91" s="1466">
        <f>SUM(AA93:AA108)</f>
        <v>5732</v>
      </c>
      <c r="AB91" s="1466">
        <f>SUM(AB93:AB108)</f>
        <v>5732</v>
      </c>
      <c r="AC91" s="1459">
        <f>(R91-O91)/O91</f>
        <v>-3.8900067069081154E-2</v>
      </c>
      <c r="AD91" s="1459">
        <f>(S91-P91)/P91</f>
        <v>-0.13959771840288202</v>
      </c>
      <c r="AE91" s="1459">
        <f>(T91-Q91)/Q91</f>
        <v>0.94634974533106964</v>
      </c>
    </row>
    <row r="92" spans="1:31">
      <c r="A92" s="1463" t="s">
        <v>77</v>
      </c>
      <c r="B92" s="1468" t="s">
        <v>116</v>
      </c>
      <c r="C92" s="1469">
        <f t="shared" ref="C92:V92" si="83">(C91-B91)/B91</f>
        <v>0.19815059445178335</v>
      </c>
      <c r="D92" s="1469">
        <f t="shared" si="83"/>
        <v>-0.47298787210584342</v>
      </c>
      <c r="E92" s="1469">
        <f t="shared" si="83"/>
        <v>0.87866108786610875</v>
      </c>
      <c r="F92" s="1469">
        <f t="shared" si="83"/>
        <v>0.12360801781737193</v>
      </c>
      <c r="G92" s="1469">
        <f t="shared" si="83"/>
        <v>0.24677898909811694</v>
      </c>
      <c r="H92" s="1469">
        <f t="shared" si="83"/>
        <v>-1.5103338632750398E-2</v>
      </c>
      <c r="I92" s="1469">
        <f t="shared" si="83"/>
        <v>0.55447941888619856</v>
      </c>
      <c r="J92" s="1469">
        <f t="shared" si="83"/>
        <v>0.29698857736240913</v>
      </c>
      <c r="K92" s="1469">
        <f t="shared" si="83"/>
        <v>-7.0456365092073661E-2</v>
      </c>
      <c r="L92" s="1469">
        <f t="shared" si="83"/>
        <v>0.21748492678725237</v>
      </c>
      <c r="M92" s="1469">
        <f t="shared" si="83"/>
        <v>0.10965688008489564</v>
      </c>
      <c r="N92" s="1469">
        <f t="shared" si="83"/>
        <v>-8.6388269046860061E-2</v>
      </c>
      <c r="O92" s="1469">
        <f t="shared" si="83"/>
        <v>4.0474528960223306E-2</v>
      </c>
      <c r="P92" s="1469">
        <f t="shared" si="83"/>
        <v>0.1170355466130114</v>
      </c>
      <c r="Q92" s="1469">
        <f t="shared" si="83"/>
        <v>-0.55794055839087364</v>
      </c>
      <c r="R92" s="1469">
        <f>(R91-Q91)/Q91</f>
        <v>0.94634974533106964</v>
      </c>
      <c r="S92" s="1469">
        <f t="shared" si="83"/>
        <v>0</v>
      </c>
      <c r="T92" s="1469">
        <f>(T91-S91)/S91</f>
        <v>0</v>
      </c>
      <c r="U92" s="1469">
        <f t="shared" si="83"/>
        <v>0</v>
      </c>
      <c r="V92" s="1469">
        <f t="shared" si="83"/>
        <v>0</v>
      </c>
      <c r="W92" s="1471" t="e">
        <f>(W91-U92)/U92</f>
        <v>#DIV/0!</v>
      </c>
      <c r="X92" s="1471">
        <f>(X91-V91)/V91</f>
        <v>0</v>
      </c>
      <c r="Y92" s="1471"/>
      <c r="Z92" s="1470">
        <f>(Z91-X91)/X91</f>
        <v>0</v>
      </c>
      <c r="AA92" s="1470">
        <f>(AA91-Z91)/Z91</f>
        <v>0</v>
      </c>
      <c r="AB92" s="1470">
        <f>(AB91-AA91)/AA91</f>
        <v>0</v>
      </c>
      <c r="AC92" s="1445"/>
      <c r="AD92" s="1445"/>
      <c r="AE92" s="1445"/>
    </row>
    <row r="93" spans="1:31">
      <c r="A93" s="1463" t="s">
        <v>117</v>
      </c>
      <c r="B93" s="1464">
        <v>16</v>
      </c>
      <c r="C93" s="1464">
        <v>16</v>
      </c>
      <c r="D93" s="1464">
        <v>16</v>
      </c>
      <c r="E93" s="1464">
        <v>18</v>
      </c>
      <c r="F93" s="1464">
        <v>23</v>
      </c>
      <c r="G93" s="1464">
        <v>40</v>
      </c>
      <c r="H93" s="1464">
        <v>48</v>
      </c>
      <c r="I93" s="1464">
        <v>40</v>
      </c>
      <c r="J93" s="1464">
        <v>217</v>
      </c>
      <c r="K93" s="1464">
        <v>216</v>
      </c>
      <c r="L93" s="1464">
        <v>240</v>
      </c>
      <c r="M93" s="1464">
        <v>240</v>
      </c>
      <c r="N93" s="1464">
        <v>240</v>
      </c>
      <c r="O93" s="1464">
        <v>240</v>
      </c>
      <c r="P93" s="1465">
        <v>321</v>
      </c>
      <c r="Q93" s="1465">
        <v>321</v>
      </c>
      <c r="R93" s="1465">
        <v>240</v>
      </c>
      <c r="S93" s="1465">
        <v>240</v>
      </c>
      <c r="T93" s="1465">
        <v>240</v>
      </c>
      <c r="U93" s="1465">
        <v>240</v>
      </c>
      <c r="V93" s="1465">
        <v>240</v>
      </c>
      <c r="W93" s="1467">
        <v>240</v>
      </c>
      <c r="X93" s="1467">
        <v>240</v>
      </c>
      <c r="Y93" s="1467"/>
      <c r="Z93" s="1466">
        <v>240</v>
      </c>
      <c r="AA93" s="1466">
        <v>240</v>
      </c>
      <c r="AB93" s="1466">
        <v>240</v>
      </c>
      <c r="AC93" s="1445"/>
      <c r="AD93" s="1445"/>
      <c r="AE93" s="1445"/>
    </row>
    <row r="94" spans="1:31">
      <c r="A94" s="1463" t="s">
        <v>118</v>
      </c>
      <c r="B94" s="1464">
        <v>412</v>
      </c>
      <c r="C94" s="1464">
        <v>695</v>
      </c>
      <c r="D94" s="1464">
        <v>0</v>
      </c>
      <c r="E94" s="1464">
        <v>0</v>
      </c>
      <c r="F94" s="1464">
        <v>0</v>
      </c>
      <c r="G94" s="1464">
        <v>0</v>
      </c>
      <c r="H94" s="1464">
        <v>0</v>
      </c>
      <c r="I94" s="1464">
        <v>0</v>
      </c>
      <c r="J94" s="1464">
        <v>0</v>
      </c>
      <c r="K94" s="1464">
        <v>0</v>
      </c>
      <c r="L94" s="1464">
        <v>0</v>
      </c>
      <c r="M94" s="1464">
        <v>0</v>
      </c>
      <c r="N94" s="1464">
        <v>0</v>
      </c>
      <c r="O94" s="1464">
        <v>0</v>
      </c>
      <c r="P94" s="1465">
        <v>0</v>
      </c>
      <c r="Q94" s="1465">
        <v>938</v>
      </c>
      <c r="R94" s="1465">
        <v>0</v>
      </c>
      <c r="S94" s="1465">
        <v>0</v>
      </c>
      <c r="T94" s="1465">
        <v>0</v>
      </c>
      <c r="U94" s="1465">
        <v>0</v>
      </c>
      <c r="V94" s="1465">
        <v>0</v>
      </c>
      <c r="W94" s="1467">
        <v>0</v>
      </c>
      <c r="X94" s="1467">
        <v>0</v>
      </c>
      <c r="Y94" s="1467"/>
      <c r="Z94" s="1466">
        <v>0</v>
      </c>
      <c r="AA94" s="1466">
        <v>0</v>
      </c>
      <c r="AB94" s="1466">
        <v>0</v>
      </c>
      <c r="AC94" s="1445"/>
      <c r="AD94" s="1445"/>
      <c r="AE94" s="1445"/>
    </row>
    <row r="95" spans="1:31">
      <c r="A95" s="1463" t="s">
        <v>119</v>
      </c>
      <c r="B95" s="1464">
        <v>13</v>
      </c>
      <c r="C95" s="1464">
        <v>12</v>
      </c>
      <c r="D95" s="1464">
        <v>0</v>
      </c>
      <c r="E95" s="1464">
        <v>0</v>
      </c>
      <c r="F95" s="1464">
        <v>0</v>
      </c>
      <c r="G95" s="1464">
        <v>0</v>
      </c>
      <c r="H95" s="1464">
        <v>0</v>
      </c>
      <c r="I95" s="1464">
        <v>0</v>
      </c>
      <c r="J95" s="1464">
        <v>0</v>
      </c>
      <c r="K95" s="1464">
        <v>0</v>
      </c>
      <c r="L95" s="1464">
        <v>0</v>
      </c>
      <c r="M95" s="1464">
        <v>0</v>
      </c>
      <c r="N95" s="1464">
        <v>0</v>
      </c>
      <c r="O95" s="1464">
        <v>0</v>
      </c>
      <c r="P95" s="1465">
        <v>0</v>
      </c>
      <c r="Q95" s="1465">
        <v>0</v>
      </c>
      <c r="R95" s="1465">
        <v>0</v>
      </c>
      <c r="S95" s="1465">
        <v>0</v>
      </c>
      <c r="T95" s="1465">
        <v>0</v>
      </c>
      <c r="U95" s="1465">
        <v>0</v>
      </c>
      <c r="V95" s="1465">
        <v>0</v>
      </c>
      <c r="W95" s="1467">
        <v>0</v>
      </c>
      <c r="X95" s="1467">
        <v>0</v>
      </c>
      <c r="Y95" s="1467"/>
      <c r="Z95" s="1466">
        <v>0</v>
      </c>
      <c r="AA95" s="1466">
        <v>0</v>
      </c>
      <c r="AB95" s="1466">
        <v>0</v>
      </c>
      <c r="AC95" s="1445"/>
      <c r="AD95" s="1445"/>
      <c r="AE95" s="1445"/>
    </row>
    <row r="96" spans="1:31">
      <c r="A96" s="1463" t="s">
        <v>120</v>
      </c>
      <c r="B96" s="1464">
        <v>133</v>
      </c>
      <c r="C96" s="1464">
        <v>184</v>
      </c>
      <c r="D96" s="1464">
        <v>0</v>
      </c>
      <c r="E96" s="1464">
        <v>0</v>
      </c>
      <c r="F96" s="1464">
        <v>0</v>
      </c>
      <c r="G96" s="1464">
        <v>0</v>
      </c>
      <c r="H96" s="1464">
        <v>0</v>
      </c>
      <c r="I96" s="1464">
        <v>0</v>
      </c>
      <c r="J96" s="1464">
        <v>0</v>
      </c>
      <c r="K96" s="1464">
        <v>0</v>
      </c>
      <c r="L96" s="1464">
        <v>0</v>
      </c>
      <c r="M96" s="1464">
        <v>0</v>
      </c>
      <c r="N96" s="1464">
        <v>0</v>
      </c>
      <c r="O96" s="1464">
        <v>0</v>
      </c>
      <c r="P96" s="1465">
        <v>0</v>
      </c>
      <c r="Q96" s="1465">
        <v>288</v>
      </c>
      <c r="R96" s="1465">
        <v>0</v>
      </c>
      <c r="S96" s="1465">
        <v>0</v>
      </c>
      <c r="T96" s="1465">
        <v>0</v>
      </c>
      <c r="U96" s="1465">
        <v>0</v>
      </c>
      <c r="V96" s="1465">
        <v>0</v>
      </c>
      <c r="W96" s="1467">
        <v>0</v>
      </c>
      <c r="X96" s="1467">
        <v>0</v>
      </c>
      <c r="Y96" s="1467"/>
      <c r="Z96" s="1466">
        <v>0</v>
      </c>
      <c r="AA96" s="1466">
        <v>0</v>
      </c>
      <c r="AB96" s="1466">
        <v>0</v>
      </c>
      <c r="AC96" s="1445"/>
      <c r="AD96" s="1445"/>
      <c r="AE96" s="1445"/>
    </row>
    <row r="97" spans="1:41">
      <c r="A97" s="1463" t="s">
        <v>121</v>
      </c>
      <c r="B97" s="1464">
        <v>0</v>
      </c>
      <c r="C97" s="1464">
        <v>0</v>
      </c>
      <c r="D97" s="1464">
        <v>0</v>
      </c>
      <c r="E97" s="1464">
        <v>0</v>
      </c>
      <c r="F97" s="1464">
        <v>0</v>
      </c>
      <c r="G97" s="1464">
        <v>0</v>
      </c>
      <c r="H97" s="1464">
        <v>0</v>
      </c>
      <c r="I97" s="1464">
        <v>0</v>
      </c>
      <c r="J97" s="1464">
        <v>0</v>
      </c>
      <c r="K97" s="1464">
        <v>0</v>
      </c>
      <c r="L97" s="1464">
        <v>0</v>
      </c>
      <c r="M97" s="1464">
        <v>0</v>
      </c>
      <c r="N97" s="1464">
        <v>0</v>
      </c>
      <c r="O97" s="1464">
        <v>0</v>
      </c>
      <c r="P97" s="1465">
        <v>0</v>
      </c>
      <c r="Q97" s="1465">
        <v>0</v>
      </c>
      <c r="R97" s="1465">
        <v>0</v>
      </c>
      <c r="S97" s="1465">
        <v>0</v>
      </c>
      <c r="T97" s="1465">
        <v>0</v>
      </c>
      <c r="U97" s="1465">
        <v>0</v>
      </c>
      <c r="V97" s="1465">
        <v>0</v>
      </c>
      <c r="W97" s="1467">
        <v>0</v>
      </c>
      <c r="X97" s="1467">
        <v>0</v>
      </c>
      <c r="Y97" s="1467"/>
      <c r="Z97" s="1466">
        <v>0</v>
      </c>
      <c r="AA97" s="1466">
        <v>0</v>
      </c>
      <c r="AB97" s="1466">
        <v>0</v>
      </c>
      <c r="AC97" s="1445"/>
      <c r="AD97" s="1445"/>
      <c r="AE97" s="1445"/>
    </row>
    <row r="98" spans="1:41">
      <c r="A98" s="1463" t="s">
        <v>122</v>
      </c>
      <c r="B98" s="1464">
        <v>0</v>
      </c>
      <c r="C98" s="1464">
        <v>0</v>
      </c>
      <c r="D98" s="1464">
        <v>0</v>
      </c>
      <c r="E98" s="1464">
        <v>0</v>
      </c>
      <c r="F98" s="1464">
        <v>0</v>
      </c>
      <c r="G98" s="1464">
        <v>0</v>
      </c>
      <c r="H98" s="1464">
        <v>0</v>
      </c>
      <c r="I98" s="1464">
        <v>62</v>
      </c>
      <c r="J98" s="1464">
        <v>180</v>
      </c>
      <c r="K98" s="1464">
        <v>188</v>
      </c>
      <c r="L98" s="1464">
        <v>193</v>
      </c>
      <c r="M98" s="1464">
        <v>220</v>
      </c>
      <c r="N98" s="1464">
        <v>220</v>
      </c>
      <c r="O98" s="1464">
        <v>268</v>
      </c>
      <c r="P98" s="1465">
        <v>427</v>
      </c>
      <c r="Q98" s="1465">
        <v>558</v>
      </c>
      <c r="R98" s="1465">
        <v>220</v>
      </c>
      <c r="S98" s="1465">
        <v>220</v>
      </c>
      <c r="T98" s="1465">
        <v>220</v>
      </c>
      <c r="U98" s="1465">
        <v>220</v>
      </c>
      <c r="V98" s="1465">
        <v>220</v>
      </c>
      <c r="W98" s="1467">
        <v>220</v>
      </c>
      <c r="X98" s="1467">
        <v>220</v>
      </c>
      <c r="Y98" s="1467"/>
      <c r="Z98" s="1466">
        <v>220</v>
      </c>
      <c r="AA98" s="1466">
        <v>220</v>
      </c>
      <c r="AB98" s="1466">
        <v>220</v>
      </c>
      <c r="AC98" s="1445"/>
      <c r="AD98" s="1445"/>
      <c r="AE98" s="1445"/>
    </row>
    <row r="99" spans="1:41">
      <c r="A99" s="1463" t="s">
        <v>123</v>
      </c>
      <c r="B99" s="1464">
        <v>0</v>
      </c>
      <c r="C99" s="1464">
        <v>0</v>
      </c>
      <c r="D99" s="1464">
        <v>0</v>
      </c>
      <c r="E99" s="1464">
        <v>0</v>
      </c>
      <c r="F99" s="1464">
        <v>0</v>
      </c>
      <c r="G99" s="1464">
        <v>0</v>
      </c>
      <c r="H99" s="1464">
        <v>0</v>
      </c>
      <c r="I99" s="1464">
        <v>184</v>
      </c>
      <c r="J99" s="1464">
        <v>341</v>
      </c>
      <c r="K99" s="1464">
        <v>351</v>
      </c>
      <c r="L99" s="1464">
        <v>364</v>
      </c>
      <c r="M99" s="1464">
        <v>368</v>
      </c>
      <c r="N99" s="1464">
        <v>368</v>
      </c>
      <c r="O99" s="1464">
        <v>429</v>
      </c>
      <c r="P99" s="1465">
        <v>512</v>
      </c>
      <c r="Q99" s="1465">
        <v>0</v>
      </c>
      <c r="R99" s="1465">
        <v>368</v>
      </c>
      <c r="S99" s="1465">
        <v>368</v>
      </c>
      <c r="T99" s="1465">
        <v>368</v>
      </c>
      <c r="U99" s="1465">
        <v>368</v>
      </c>
      <c r="V99" s="1465">
        <v>368</v>
      </c>
      <c r="W99" s="1467">
        <v>368</v>
      </c>
      <c r="X99" s="1467">
        <v>368</v>
      </c>
      <c r="Y99" s="1467"/>
      <c r="Z99" s="1466">
        <v>368</v>
      </c>
      <c r="AA99" s="1466">
        <v>368</v>
      </c>
      <c r="AB99" s="1466">
        <v>368</v>
      </c>
      <c r="AC99" s="1445"/>
      <c r="AD99" s="1445"/>
      <c r="AE99" s="1445"/>
    </row>
    <row r="100" spans="1:41">
      <c r="A100" s="1463" t="s">
        <v>124</v>
      </c>
      <c r="B100" s="1464">
        <v>0</v>
      </c>
      <c r="C100" s="1464">
        <v>0</v>
      </c>
      <c r="D100" s="1464">
        <v>0</v>
      </c>
      <c r="E100" s="1464">
        <v>0</v>
      </c>
      <c r="F100" s="1464">
        <v>0</v>
      </c>
      <c r="G100" s="1464">
        <v>0</v>
      </c>
      <c r="H100" s="1464">
        <v>0</v>
      </c>
      <c r="I100" s="1464">
        <v>0</v>
      </c>
      <c r="J100" s="1464">
        <v>0</v>
      </c>
      <c r="K100" s="1464">
        <v>0</v>
      </c>
      <c r="L100" s="1464">
        <v>0</v>
      </c>
      <c r="M100" s="1464">
        <v>0</v>
      </c>
      <c r="N100" s="1464">
        <v>0</v>
      </c>
      <c r="O100" s="1464">
        <v>0</v>
      </c>
      <c r="P100" s="1465">
        <v>0</v>
      </c>
      <c r="Q100" s="1465">
        <v>0</v>
      </c>
      <c r="R100" s="1465">
        <v>0</v>
      </c>
      <c r="S100" s="1465">
        <v>0</v>
      </c>
      <c r="T100" s="1465">
        <v>0</v>
      </c>
      <c r="U100" s="1465">
        <v>0</v>
      </c>
      <c r="V100" s="1465">
        <v>0</v>
      </c>
      <c r="W100" s="1467">
        <v>0</v>
      </c>
      <c r="X100" s="1467">
        <v>0</v>
      </c>
      <c r="Y100" s="1467"/>
      <c r="Z100" s="1466">
        <v>0</v>
      </c>
      <c r="AA100" s="1466">
        <v>0</v>
      </c>
      <c r="AB100" s="1466">
        <v>0</v>
      </c>
      <c r="AC100" s="1445"/>
      <c r="AD100" s="1445"/>
      <c r="AE100" s="1445"/>
    </row>
    <row r="101" spans="1:41">
      <c r="A101" s="1463" t="s">
        <v>125</v>
      </c>
      <c r="B101" s="1464">
        <v>26</v>
      </c>
      <c r="C101" s="1464">
        <v>16</v>
      </c>
      <c r="D101" s="1464">
        <v>26</v>
      </c>
      <c r="E101" s="1464">
        <v>26</v>
      </c>
      <c r="F101" s="1464">
        <v>26</v>
      </c>
      <c r="G101" s="1464">
        <v>26</v>
      </c>
      <c r="H101" s="1464">
        <v>26</v>
      </c>
      <c r="I101" s="1464">
        <v>0</v>
      </c>
      <c r="J101" s="1464">
        <v>108</v>
      </c>
      <c r="K101" s="1464">
        <v>153</v>
      </c>
      <c r="L101" s="1464">
        <v>240</v>
      </c>
      <c r="M101" s="1464">
        <v>240</v>
      </c>
      <c r="N101" s="1464">
        <v>236</v>
      </c>
      <c r="O101" s="1464">
        <v>239</v>
      </c>
      <c r="P101" s="1465">
        <v>321</v>
      </c>
      <c r="Q101" s="1465">
        <v>161</v>
      </c>
      <c r="R101" s="1465">
        <v>236</v>
      </c>
      <c r="S101" s="1465">
        <v>236</v>
      </c>
      <c r="T101" s="1465">
        <v>236</v>
      </c>
      <c r="U101" s="1465">
        <v>236</v>
      </c>
      <c r="V101" s="1465">
        <v>236</v>
      </c>
      <c r="W101" s="1467">
        <v>236</v>
      </c>
      <c r="X101" s="1467">
        <v>236</v>
      </c>
      <c r="Y101" s="1467"/>
      <c r="Z101" s="1466">
        <v>236</v>
      </c>
      <c r="AA101" s="1466">
        <v>236</v>
      </c>
      <c r="AB101" s="1466">
        <v>236</v>
      </c>
      <c r="AC101" s="1445"/>
      <c r="AD101" s="1445"/>
      <c r="AE101" s="1445"/>
    </row>
    <row r="102" spans="1:41">
      <c r="A102" s="1463" t="s">
        <v>118</v>
      </c>
      <c r="B102" s="1464">
        <v>300</v>
      </c>
      <c r="C102" s="1464">
        <v>695</v>
      </c>
      <c r="D102" s="1464">
        <v>300</v>
      </c>
      <c r="E102" s="1464">
        <v>1427</v>
      </c>
      <c r="F102" s="1464">
        <v>1562</v>
      </c>
      <c r="G102" s="1464">
        <v>1670</v>
      </c>
      <c r="H102" s="1464">
        <v>1750</v>
      </c>
      <c r="I102" s="1464">
        <v>1960</v>
      </c>
      <c r="J102" s="1464">
        <v>2830</v>
      </c>
      <c r="K102" s="1464">
        <v>2771</v>
      </c>
      <c r="L102" s="1464">
        <v>3440</v>
      </c>
      <c r="M102" s="1464">
        <v>3613</v>
      </c>
      <c r="N102" s="1464">
        <v>3433</v>
      </c>
      <c r="O102" s="1464">
        <v>3499</v>
      </c>
      <c r="P102" s="1465">
        <f xml:space="preserve"> 3538 + 383</f>
        <v>3921</v>
      </c>
      <c r="Q102" s="1465">
        <v>0</v>
      </c>
      <c r="R102" s="1465">
        <v>3433</v>
      </c>
      <c r="S102" s="1465">
        <v>3433</v>
      </c>
      <c r="T102" s="1465">
        <v>3433</v>
      </c>
      <c r="U102" s="1465">
        <v>3433</v>
      </c>
      <c r="V102" s="1465">
        <v>3433</v>
      </c>
      <c r="W102" s="1467">
        <v>3433</v>
      </c>
      <c r="X102" s="1467">
        <v>3433</v>
      </c>
      <c r="Y102" s="1467"/>
      <c r="Z102" s="1466">
        <v>3433</v>
      </c>
      <c r="AA102" s="1466">
        <v>3433</v>
      </c>
      <c r="AB102" s="1466">
        <v>3433</v>
      </c>
      <c r="AC102" s="1445"/>
      <c r="AD102" s="1445"/>
      <c r="AE102" s="1445"/>
    </row>
    <row r="103" spans="1:41">
      <c r="A103" s="1463" t="s">
        <v>119</v>
      </c>
      <c r="B103" s="1464">
        <v>54</v>
      </c>
      <c r="C103" s="1464">
        <v>12</v>
      </c>
      <c r="D103" s="1464">
        <v>54</v>
      </c>
      <c r="E103" s="1464">
        <v>53</v>
      </c>
      <c r="F103" s="1464">
        <v>135</v>
      </c>
      <c r="G103" s="1464">
        <v>138</v>
      </c>
      <c r="H103" s="1464">
        <v>138</v>
      </c>
      <c r="I103" s="1464">
        <v>0</v>
      </c>
      <c r="J103" s="1464">
        <v>12</v>
      </c>
      <c r="K103" s="1464">
        <v>0</v>
      </c>
      <c r="L103" s="1464">
        <v>0</v>
      </c>
      <c r="M103" s="1464">
        <v>0</v>
      </c>
      <c r="N103" s="1464">
        <v>0</v>
      </c>
      <c r="O103" s="1464">
        <v>0</v>
      </c>
      <c r="P103" s="1465">
        <v>0</v>
      </c>
      <c r="Q103" s="1465">
        <v>0</v>
      </c>
      <c r="R103" s="1465">
        <v>0</v>
      </c>
      <c r="S103" s="1465">
        <v>0</v>
      </c>
      <c r="T103" s="1465">
        <v>0</v>
      </c>
      <c r="U103" s="1465">
        <v>0</v>
      </c>
      <c r="V103" s="1465">
        <v>0</v>
      </c>
      <c r="W103" s="1467">
        <v>0</v>
      </c>
      <c r="X103" s="1467">
        <v>0</v>
      </c>
      <c r="Y103" s="1467"/>
      <c r="Z103" s="1466">
        <v>0</v>
      </c>
      <c r="AA103" s="1466">
        <v>0</v>
      </c>
      <c r="AB103" s="1466">
        <v>0</v>
      </c>
      <c r="AC103" s="1445"/>
      <c r="AD103" s="1445"/>
      <c r="AE103" s="1445"/>
    </row>
    <row r="104" spans="1:41">
      <c r="A104" s="1463" t="s">
        <v>126</v>
      </c>
      <c r="B104" s="1464">
        <v>22</v>
      </c>
      <c r="C104" s="1464">
        <v>184</v>
      </c>
      <c r="D104" s="1464">
        <v>22</v>
      </c>
      <c r="E104" s="1464">
        <v>22</v>
      </c>
      <c r="F104" s="1464">
        <v>22</v>
      </c>
      <c r="G104" s="1464">
        <v>24</v>
      </c>
      <c r="H104" s="1464">
        <v>28</v>
      </c>
      <c r="I104" s="1464">
        <v>31</v>
      </c>
      <c r="J104" s="1464">
        <v>45</v>
      </c>
      <c r="K104" s="1464">
        <v>39</v>
      </c>
      <c r="L104" s="1464">
        <v>48</v>
      </c>
      <c r="M104" s="1464">
        <v>48</v>
      </c>
      <c r="N104" s="1464">
        <v>48</v>
      </c>
      <c r="O104" s="1464">
        <v>52</v>
      </c>
      <c r="P104" s="1465">
        <v>52</v>
      </c>
      <c r="Q104" s="1465">
        <v>0</v>
      </c>
      <c r="R104" s="1465">
        <v>48</v>
      </c>
      <c r="S104" s="1465">
        <v>48</v>
      </c>
      <c r="T104" s="1465">
        <v>48</v>
      </c>
      <c r="U104" s="1465">
        <v>48</v>
      </c>
      <c r="V104" s="1465">
        <v>48</v>
      </c>
      <c r="W104" s="1467">
        <v>48</v>
      </c>
      <c r="X104" s="1467">
        <v>48</v>
      </c>
      <c r="Y104" s="1467"/>
      <c r="Z104" s="1466">
        <v>48</v>
      </c>
      <c r="AA104" s="1466">
        <v>48</v>
      </c>
      <c r="AB104" s="1466">
        <v>48</v>
      </c>
      <c r="AC104" s="1445"/>
      <c r="AD104" s="1445"/>
      <c r="AE104" s="1445"/>
    </row>
    <row r="105" spans="1:41">
      <c r="A105" s="1463" t="s">
        <v>127</v>
      </c>
      <c r="B105" s="1464">
        <v>238</v>
      </c>
      <c r="C105" s="1464">
        <v>0</v>
      </c>
      <c r="D105" s="1464">
        <v>238</v>
      </c>
      <c r="E105" s="1464">
        <v>10</v>
      </c>
      <c r="F105" s="1464">
        <v>0</v>
      </c>
      <c r="G105" s="1464">
        <v>228</v>
      </c>
      <c r="H105" s="1464">
        <v>238</v>
      </c>
      <c r="I105" s="1464">
        <v>229</v>
      </c>
      <c r="J105" s="1464">
        <v>249</v>
      </c>
      <c r="K105" s="1464">
        <v>211</v>
      </c>
      <c r="L105" s="1464">
        <v>249</v>
      </c>
      <c r="M105" s="1464">
        <v>249</v>
      </c>
      <c r="N105" s="1464">
        <v>237</v>
      </c>
      <c r="O105" s="1464">
        <v>237</v>
      </c>
      <c r="P105" s="1465">
        <v>237</v>
      </c>
      <c r="Q105" s="1465">
        <v>119</v>
      </c>
      <c r="R105" s="1465">
        <v>237</v>
      </c>
      <c r="S105" s="1465">
        <v>237</v>
      </c>
      <c r="T105" s="1465">
        <v>237</v>
      </c>
      <c r="U105" s="1465">
        <v>237</v>
      </c>
      <c r="V105" s="1465">
        <v>237</v>
      </c>
      <c r="W105" s="1467">
        <v>237</v>
      </c>
      <c r="X105" s="1467">
        <v>237</v>
      </c>
      <c r="Y105" s="1467"/>
      <c r="Z105" s="1466">
        <v>237</v>
      </c>
      <c r="AA105" s="1466">
        <v>237</v>
      </c>
      <c r="AB105" s="1466">
        <v>237</v>
      </c>
      <c r="AC105" s="1445"/>
      <c r="AD105" s="1445"/>
      <c r="AE105" s="1445"/>
    </row>
    <row r="106" spans="1:41">
      <c r="A106" s="1463" t="s">
        <v>124</v>
      </c>
      <c r="B106" s="1464">
        <v>300</v>
      </c>
      <c r="C106" s="1464">
        <v>0</v>
      </c>
      <c r="D106" s="1464">
        <v>300</v>
      </c>
      <c r="E106" s="1464">
        <v>240</v>
      </c>
      <c r="F106" s="1464">
        <v>250</v>
      </c>
      <c r="G106" s="1464">
        <v>390</v>
      </c>
      <c r="H106" s="1464">
        <v>250</v>
      </c>
      <c r="I106" s="1464">
        <v>1100</v>
      </c>
      <c r="J106" s="1464">
        <v>700</v>
      </c>
      <c r="K106" s="1464">
        <v>423</v>
      </c>
      <c r="L106" s="1464">
        <v>500</v>
      </c>
      <c r="M106" s="1464">
        <v>799</v>
      </c>
      <c r="N106" s="1464">
        <v>390</v>
      </c>
      <c r="O106" s="1464">
        <v>390</v>
      </c>
      <c r="P106" s="1465">
        <v>0</v>
      </c>
      <c r="Q106" s="1465">
        <v>0</v>
      </c>
      <c r="R106" s="1465">
        <v>390</v>
      </c>
      <c r="S106" s="1465">
        <v>390</v>
      </c>
      <c r="T106" s="1465">
        <v>390</v>
      </c>
      <c r="U106" s="1465">
        <v>390</v>
      </c>
      <c r="V106" s="1465">
        <v>390</v>
      </c>
      <c r="W106" s="1467">
        <v>390</v>
      </c>
      <c r="X106" s="1467">
        <v>390</v>
      </c>
      <c r="Y106" s="1467"/>
      <c r="Z106" s="1466">
        <v>390</v>
      </c>
      <c r="AA106" s="1466">
        <v>390</v>
      </c>
      <c r="AB106" s="1466">
        <v>390</v>
      </c>
      <c r="AC106" s="1445"/>
      <c r="AD106" s="1445"/>
      <c r="AE106" s="1445"/>
      <c r="AH106" s="890" t="s">
        <v>128</v>
      </c>
      <c r="AI106" s="890" t="s">
        <v>129</v>
      </c>
      <c r="AJ106" s="890"/>
      <c r="AK106" s="890" t="s">
        <v>130</v>
      </c>
      <c r="AL106" s="890" t="s">
        <v>131</v>
      </c>
      <c r="AM106" s="890" t="s">
        <v>132</v>
      </c>
      <c r="AN106" s="890" t="s">
        <v>133</v>
      </c>
      <c r="AO106" s="890" t="s">
        <v>134</v>
      </c>
    </row>
    <row r="107" spans="1:41">
      <c r="A107" s="1463" t="s">
        <v>122</v>
      </c>
      <c r="B107" s="1464">
        <v>0</v>
      </c>
      <c r="C107" s="1464">
        <v>0</v>
      </c>
      <c r="D107" s="1464">
        <v>0</v>
      </c>
      <c r="E107" s="1464">
        <v>0</v>
      </c>
      <c r="F107" s="1464">
        <v>0</v>
      </c>
      <c r="G107" s="1464">
        <v>0</v>
      </c>
      <c r="H107" s="1464">
        <v>0</v>
      </c>
      <c r="I107" s="1464">
        <v>62</v>
      </c>
      <c r="J107" s="1464">
        <v>85</v>
      </c>
      <c r="K107" s="1464">
        <v>84</v>
      </c>
      <c r="L107" s="1464">
        <v>113</v>
      </c>
      <c r="M107" s="1464">
        <v>164</v>
      </c>
      <c r="N107" s="1464">
        <v>204</v>
      </c>
      <c r="O107" s="1464">
        <v>229</v>
      </c>
      <c r="P107" s="1465">
        <v>391</v>
      </c>
      <c r="Q107" s="1465">
        <v>204</v>
      </c>
      <c r="R107" s="1465">
        <v>204</v>
      </c>
      <c r="S107" s="1465">
        <v>204</v>
      </c>
      <c r="T107" s="1465">
        <v>204</v>
      </c>
      <c r="U107" s="1465">
        <v>204</v>
      </c>
      <c r="V107" s="1465">
        <v>204</v>
      </c>
      <c r="W107" s="1467">
        <v>204</v>
      </c>
      <c r="X107" s="1467">
        <v>204</v>
      </c>
      <c r="Y107" s="1467"/>
      <c r="Z107" s="1466">
        <v>204</v>
      </c>
      <c r="AA107" s="1466">
        <v>204</v>
      </c>
      <c r="AB107" s="1466">
        <v>204</v>
      </c>
      <c r="AC107" s="1445"/>
      <c r="AD107" s="1445"/>
      <c r="AE107" s="1445"/>
      <c r="AH107" s="735">
        <v>253988.8</v>
      </c>
      <c r="AI107" s="735">
        <v>46000</v>
      </c>
      <c r="AJ107" s="886">
        <f>AI107/AH107</f>
        <v>0.18111034817283284</v>
      </c>
      <c r="AK107" s="860">
        <f>AH107+AI107</f>
        <v>299988.8</v>
      </c>
      <c r="AL107" s="859"/>
      <c r="AM107" s="859">
        <v>0</v>
      </c>
      <c r="AN107" s="888">
        <f>AK107</f>
        <v>299988.8</v>
      </c>
      <c r="AO107" s="888"/>
    </row>
    <row r="108" spans="1:41">
      <c r="A108" s="1463" t="s">
        <v>123</v>
      </c>
      <c r="B108" s="1464">
        <v>0</v>
      </c>
      <c r="C108" s="1464">
        <v>0</v>
      </c>
      <c r="D108" s="1464">
        <v>0</v>
      </c>
      <c r="E108" s="1464">
        <v>0</v>
      </c>
      <c r="F108" s="1464">
        <v>0</v>
      </c>
      <c r="G108" s="1464">
        <v>0</v>
      </c>
      <c r="H108" s="1464">
        <v>0</v>
      </c>
      <c r="I108" s="1464">
        <v>184</v>
      </c>
      <c r="J108" s="1464">
        <v>229</v>
      </c>
      <c r="K108" s="1464">
        <v>208</v>
      </c>
      <c r="L108" s="1464">
        <v>267</v>
      </c>
      <c r="M108" s="1464">
        <v>333</v>
      </c>
      <c r="N108" s="1464">
        <v>356</v>
      </c>
      <c r="O108" s="1464">
        <v>381</v>
      </c>
      <c r="P108" s="1465">
        <v>480</v>
      </c>
      <c r="Q108" s="1465">
        <v>356</v>
      </c>
      <c r="R108" s="1465">
        <v>356</v>
      </c>
      <c r="S108" s="1465">
        <v>356</v>
      </c>
      <c r="T108" s="1465">
        <v>356</v>
      </c>
      <c r="U108" s="1465">
        <v>356</v>
      </c>
      <c r="V108" s="1465">
        <v>356</v>
      </c>
      <c r="W108" s="1467">
        <v>356</v>
      </c>
      <c r="X108" s="1467">
        <v>356</v>
      </c>
      <c r="Y108" s="1467"/>
      <c r="Z108" s="1466">
        <v>356</v>
      </c>
      <c r="AA108" s="1466">
        <v>356</v>
      </c>
      <c r="AB108" s="1466">
        <v>356</v>
      </c>
      <c r="AC108" s="1445"/>
      <c r="AD108" s="1445"/>
      <c r="AE108" s="1445"/>
      <c r="AH108" s="735">
        <v>300037</v>
      </c>
      <c r="AI108" s="887">
        <v>84831.51</v>
      </c>
      <c r="AJ108" s="886"/>
      <c r="AK108" s="860">
        <f>AH108+AI108</f>
        <v>384868.51</v>
      </c>
      <c r="AL108" s="886">
        <f>(AK108-AK107)/AK107</f>
        <v>0.28294292986938185</v>
      </c>
      <c r="AM108" s="860">
        <f>AM111*AM110</f>
        <v>227983.90701832811</v>
      </c>
      <c r="AN108" s="888">
        <f>AK108+AM108</f>
        <v>612852.41701832809</v>
      </c>
      <c r="AO108" s="886">
        <f>(AN108-AN107)/AN107</f>
        <v>1.0429176589870293</v>
      </c>
    </row>
    <row r="109" spans="1:41">
      <c r="A109" s="1472" t="s">
        <v>135</v>
      </c>
      <c r="B109" s="1473">
        <f t="shared" ref="B109:J109" si="84">B60-B85-B91</f>
        <v>85891.839999999997</v>
      </c>
      <c r="C109" s="1473">
        <f t="shared" si="84"/>
        <v>94196</v>
      </c>
      <c r="D109" s="1473">
        <f t="shared" si="84"/>
        <v>102645</v>
      </c>
      <c r="E109" s="1473">
        <f t="shared" si="84"/>
        <v>103046</v>
      </c>
      <c r="F109" s="1473">
        <f t="shared" si="84"/>
        <v>127003</v>
      </c>
      <c r="G109" s="1473">
        <f t="shared" si="84"/>
        <v>139000</v>
      </c>
      <c r="H109" s="1473">
        <f t="shared" si="84"/>
        <v>143935.41999999998</v>
      </c>
      <c r="I109" s="1473">
        <f t="shared" si="84"/>
        <v>145070</v>
      </c>
      <c r="J109" s="1473">
        <f t="shared" si="84"/>
        <v>163496.78</v>
      </c>
      <c r="K109" s="1473">
        <f>K64-K85-K91</f>
        <v>178041</v>
      </c>
      <c r="L109" s="1473">
        <f>L64-L85-L91</f>
        <v>180506</v>
      </c>
      <c r="M109" s="1473">
        <f>M64-M85-M91</f>
        <v>198250</v>
      </c>
      <c r="N109" s="1473">
        <f>N64-N85-N91</f>
        <v>203458</v>
      </c>
      <c r="O109" s="1473">
        <f>O64-O85-O91</f>
        <v>235235</v>
      </c>
      <c r="P109" s="1474">
        <f>P64-P85-P91-P63</f>
        <v>184972</v>
      </c>
      <c r="Q109" s="1474">
        <f>Q64-Q85-Q91-Q63</f>
        <v>520195</v>
      </c>
      <c r="R109" s="1473">
        <f>R64-R85-R91</f>
        <v>338499</v>
      </c>
      <c r="S109" s="1475">
        <f>S64-S85-S91-S63</f>
        <v>350752</v>
      </c>
      <c r="T109" s="1473">
        <f t="shared" ref="T109:AA109" si="85">T64-T85-T91</f>
        <v>379270.79</v>
      </c>
      <c r="U109" s="1476">
        <f t="shared" si="85"/>
        <v>405644.65999999992</v>
      </c>
      <c r="V109" s="1473">
        <f t="shared" si="85"/>
        <v>497843.58999999991</v>
      </c>
      <c r="W109" s="1477">
        <f t="shared" ref="W109" si="86">W64-W85-W91</f>
        <v>1016779.56</v>
      </c>
      <c r="X109" s="1477">
        <f t="shared" si="85"/>
        <v>1016779.56</v>
      </c>
      <c r="Y109" s="1477"/>
      <c r="Z109" s="1473">
        <f t="shared" si="85"/>
        <v>347290</v>
      </c>
      <c r="AA109" s="1473">
        <f t="shared" si="85"/>
        <v>338499</v>
      </c>
      <c r="AB109" s="1473">
        <f>AB64-AB85-AB91</f>
        <v>338499</v>
      </c>
      <c r="AC109" s="1459">
        <f>(R109-O109)/O109</f>
        <v>0.43898229430144325</v>
      </c>
      <c r="AD109" s="1459">
        <f>(S109-P109)/P109</f>
        <v>0.89624375581169047</v>
      </c>
      <c r="AE109" s="1459">
        <f>(T109-Q109)/Q109</f>
        <v>-0.27090650621401596</v>
      </c>
      <c r="AH109" s="735"/>
      <c r="AI109" s="736"/>
      <c r="AJ109" s="859"/>
      <c r="AK109" s="860"/>
      <c r="AL109" s="861" t="s">
        <v>136</v>
      </c>
      <c r="AM109" s="860">
        <v>300000</v>
      </c>
      <c r="AN109" s="859"/>
      <c r="AO109" s="859"/>
    </row>
    <row r="110" spans="1:41">
      <c r="A110" s="1472" t="s">
        <v>77</v>
      </c>
      <c r="B110" s="1472" t="s">
        <v>116</v>
      </c>
      <c r="C110" s="1478">
        <f t="shared" ref="C110:H110" si="87">(C109-B109)/B109</f>
        <v>9.6681593967482868E-2</v>
      </c>
      <c r="D110" s="1478">
        <f t="shared" si="87"/>
        <v>8.9695953119028407E-2</v>
      </c>
      <c r="E110" s="1478">
        <f t="shared" si="87"/>
        <v>3.9066686151298163E-3</v>
      </c>
      <c r="F110" s="1478">
        <f t="shared" si="87"/>
        <v>0.23248840323738912</v>
      </c>
      <c r="G110" s="1478">
        <f t="shared" si="87"/>
        <v>9.4462335535381053E-2</v>
      </c>
      <c r="H110" s="1478">
        <f t="shared" si="87"/>
        <v>3.5506618705035853E-2</v>
      </c>
      <c r="I110" s="1472" t="s">
        <v>116</v>
      </c>
      <c r="J110" s="1478">
        <f t="shared" ref="J110:O110" si="88">(J109-I109)/I109</f>
        <v>0.12701992141724683</v>
      </c>
      <c r="K110" s="1478">
        <f t="shared" si="88"/>
        <v>8.8957225946590515E-2</v>
      </c>
      <c r="L110" s="1478">
        <f t="shared" si="88"/>
        <v>1.3845125560966294E-2</v>
      </c>
      <c r="M110" s="1478">
        <f t="shared" si="88"/>
        <v>9.8301441503329534E-2</v>
      </c>
      <c r="N110" s="1478">
        <f t="shared" si="88"/>
        <v>2.626986128625473E-2</v>
      </c>
      <c r="O110" s="1478">
        <f t="shared" si="88"/>
        <v>0.15618456880535542</v>
      </c>
      <c r="P110" s="1478">
        <f t="shared" ref="P110:V110" si="89">(P109-O109)/O109</f>
        <v>-0.2136714349480307</v>
      </c>
      <c r="Q110" s="1478">
        <f t="shared" si="89"/>
        <v>1.8122905088337695</v>
      </c>
      <c r="R110" s="1478">
        <f>(R109-Q109)/Q109</f>
        <v>-0.34928440296427299</v>
      </c>
      <c r="S110" s="1479">
        <f t="shared" si="89"/>
        <v>3.6198038989775451E-2</v>
      </c>
      <c r="T110" s="1478">
        <f>(T109-S109)/S109</f>
        <v>8.1307562038135148E-2</v>
      </c>
      <c r="U110" s="1479">
        <f t="shared" si="89"/>
        <v>6.9538363341927645E-2</v>
      </c>
      <c r="V110" s="1478">
        <f t="shared" si="89"/>
        <v>0.22728988962901672</v>
      </c>
      <c r="W110" s="1480">
        <f>(W109-U110)/U110</f>
        <v>14621849.603534987</v>
      </c>
      <c r="X110" s="1480">
        <f>(X109-V109)/V109</f>
        <v>1.0423674833294534</v>
      </c>
      <c r="Y110" s="1480"/>
      <c r="Z110" s="1478">
        <f>(Z109-X109)/X109</f>
        <v>-0.65844120627287195</v>
      </c>
      <c r="AA110" s="1478">
        <f>(AA109-Z109)/Z109</f>
        <v>-2.5313138875291543E-2</v>
      </c>
      <c r="AB110" s="1478">
        <f>(AB109-AA109)/AA109</f>
        <v>0</v>
      </c>
      <c r="AC110" s="1445"/>
      <c r="AD110" s="1445"/>
      <c r="AE110" s="1445"/>
      <c r="AH110" s="735"/>
      <c r="AI110" s="736"/>
      <c r="AJ110" s="859"/>
      <c r="AK110" s="859"/>
      <c r="AL110" s="859" t="s">
        <v>137</v>
      </c>
      <c r="AM110" s="859">
        <v>17</v>
      </c>
      <c r="AN110" s="859"/>
      <c r="AO110" s="859"/>
    </row>
    <row r="111" spans="1:41">
      <c r="A111" s="1481" t="s">
        <v>138</v>
      </c>
      <c r="B111" s="1482"/>
      <c r="C111" s="1482"/>
      <c r="D111" s="1482"/>
      <c r="E111" s="1482"/>
      <c r="F111" s="1482"/>
      <c r="G111" s="1482"/>
      <c r="H111" s="1482"/>
      <c r="I111" s="1482"/>
      <c r="J111" s="1482"/>
      <c r="K111" s="1482"/>
      <c r="L111" s="1482"/>
      <c r="M111" s="1482"/>
      <c r="N111" s="1482"/>
      <c r="O111" s="1482"/>
      <c r="P111" s="1482"/>
      <c r="Q111" s="1482"/>
      <c r="R111" s="1482"/>
      <c r="S111" s="1483"/>
      <c r="T111" s="1482"/>
      <c r="U111" s="1483"/>
      <c r="V111" s="1482"/>
      <c r="W111" s="1484"/>
      <c r="X111" s="1484"/>
      <c r="Y111" s="1484"/>
      <c r="Z111" s="1482"/>
      <c r="AA111" s="1482"/>
      <c r="AB111" s="1482"/>
      <c r="AC111" s="1445"/>
      <c r="AD111" s="1445"/>
      <c r="AE111" s="1445"/>
      <c r="AH111" s="889"/>
      <c r="AI111" s="736"/>
      <c r="AJ111" s="859"/>
      <c r="AK111" s="859"/>
      <c r="AL111" s="859" t="s">
        <v>139</v>
      </c>
      <c r="AM111" s="888">
        <f>AM109/22.37</f>
        <v>13410.818059901654</v>
      </c>
      <c r="AN111" s="859"/>
      <c r="AO111" s="859"/>
    </row>
    <row r="112" spans="1:41">
      <c r="A112" s="1485" t="s">
        <v>140</v>
      </c>
      <c r="B112" s="1486">
        <f>M!B15</f>
        <v>69054</v>
      </c>
      <c r="C112" s="1486">
        <f>M!C15</f>
        <v>74224</v>
      </c>
      <c r="D112" s="1486">
        <f>M!D15</f>
        <v>79170</v>
      </c>
      <c r="E112" s="1486">
        <f>M!E15</f>
        <v>82172.999999999985</v>
      </c>
      <c r="F112" s="1486">
        <f>M!F15</f>
        <v>81548</v>
      </c>
      <c r="G112" s="1486">
        <f>M!G15</f>
        <v>89971.000000000029</v>
      </c>
      <c r="H112" s="1486">
        <f>M!H15</f>
        <v>82506.566219399261</v>
      </c>
      <c r="I112" s="1486">
        <f>M!I15</f>
        <v>83029.686691784649</v>
      </c>
      <c r="J112" s="1486">
        <f>M!J15</f>
        <v>119168.39879750973</v>
      </c>
      <c r="K112" s="1486">
        <f>M!K15</f>
        <v>96755.315464176398</v>
      </c>
      <c r="L112" s="1486">
        <f>M!L15</f>
        <v>117864.39879750973</v>
      </c>
      <c r="M112" s="1486">
        <f>M!M15</f>
        <v>133534.7995991699</v>
      </c>
      <c r="N112" s="1486">
        <f>M!N15</f>
        <v>117076.00000000001</v>
      </c>
      <c r="O112" s="1486">
        <f>M!O15</f>
        <v>107631.00000000001</v>
      </c>
      <c r="P112" s="1486">
        <f>M!P15</f>
        <v>118249</v>
      </c>
      <c r="Q112" s="1486">
        <f>M!Q15</f>
        <v>133818.5</v>
      </c>
      <c r="R112" s="1486">
        <f>M!R15</f>
        <v>150303.33333333334</v>
      </c>
      <c r="S112" s="1487">
        <f>M!S15</f>
        <v>149835.5</v>
      </c>
      <c r="T112" s="1486">
        <f ca="1">M!T15</f>
        <v>344617.51741098874</v>
      </c>
      <c r="U112" s="1487">
        <f ca="1">M!U15</f>
        <v>236052.19147330124</v>
      </c>
      <c r="V112" s="1486">
        <f ca="1">M!X15</f>
        <v>92938.750679744655</v>
      </c>
      <c r="W112" s="1488">
        <f ca="1">M!X16</f>
        <v>3092.6666666666665</v>
      </c>
      <c r="X112" s="1488">
        <f>M!Y15</f>
        <v>0</v>
      </c>
      <c r="Y112" s="1488"/>
      <c r="Z112" s="1486">
        <f ca="1">M!AB15</f>
        <v>69054</v>
      </c>
      <c r="AA112" s="1486">
        <f>M!AC15</f>
        <v>0</v>
      </c>
      <c r="AB112" s="1486">
        <f>M!AD15</f>
        <v>0</v>
      </c>
      <c r="AC112" s="1459">
        <f>(R112-O112)/O112</f>
        <v>0.39646879926167483</v>
      </c>
      <c r="AD112" s="1459">
        <f>(S112-P112)/P112</f>
        <v>0.26711853800032137</v>
      </c>
      <c r="AE112" s="1459">
        <f ca="1">(T112-Q112)/Q112</f>
        <v>1.5752606508889933</v>
      </c>
    </row>
    <row r="113" spans="1:31">
      <c r="A113" s="1485" t="s">
        <v>141</v>
      </c>
      <c r="B113" s="1482">
        <f>M!B25</f>
        <v>0.85541686158699148</v>
      </c>
      <c r="C113" s="1482">
        <f>M!C25</f>
        <v>0.85591435084985423</v>
      </c>
      <c r="D113" s="1482">
        <f>M!D25</f>
        <v>0.83936086495363871</v>
      </c>
      <c r="E113" s="1482">
        <f>M!E25</f>
        <v>0.86957635591102223</v>
      </c>
      <c r="F113" s="1482">
        <f>M!F25</f>
        <v>0.75242914097732072</v>
      </c>
      <c r="G113" s="1482">
        <f>M!G25</f>
        <v>0.7502127030868696</v>
      </c>
      <c r="H113" s="1482">
        <f>M!H25</f>
        <v>0.70035290150143048</v>
      </c>
      <c r="I113" s="1482">
        <f>M!I25</f>
        <v>0.70956133258329301</v>
      </c>
      <c r="J113" s="1482">
        <f>M!J25</f>
        <v>0.81076204675048136</v>
      </c>
      <c r="K113" s="1482">
        <f>M!K25</f>
        <v>0.41939536951370654</v>
      </c>
      <c r="L113" s="1482">
        <f>M!L25</f>
        <v>0.4829748335158448</v>
      </c>
      <c r="M113" s="1482">
        <f>M!M25</f>
        <v>0.50600361780372749</v>
      </c>
      <c r="N113" s="1482">
        <f>M!N25</f>
        <v>0.41648183945467498</v>
      </c>
      <c r="O113" s="1482">
        <f>M!O25</f>
        <v>0.3315654899854642</v>
      </c>
      <c r="P113" s="1482">
        <f>M!P25</f>
        <v>0.32391831442463531</v>
      </c>
      <c r="Q113" s="1482">
        <f>M!Q25</f>
        <v>0.16664371860888469</v>
      </c>
      <c r="R113" s="1482">
        <f ca="1">M!X25</f>
        <v>0.4586359407183016</v>
      </c>
      <c r="S113" s="1483">
        <f ca="1">M!X25</f>
        <v>0.4586359407183016</v>
      </c>
      <c r="T113" s="1482">
        <f ca="1">M!Z25</f>
        <v>0.63154304991817733</v>
      </c>
      <c r="U113" s="1483">
        <f ca="1">M!AA25</f>
        <v>0.86957635591102223</v>
      </c>
      <c r="V113" s="1482">
        <f ca="1">M!AB25</f>
        <v>0.16664371860888469</v>
      </c>
      <c r="W113" s="1484">
        <f ca="1">M!AB26</f>
        <v>1428.903333333333</v>
      </c>
      <c r="X113" s="1484">
        <f>M!AC25</f>
        <v>0</v>
      </c>
      <c r="Y113" s="1484"/>
      <c r="Z113" s="1482">
        <f>M!AD25</f>
        <v>0</v>
      </c>
      <c r="AA113" s="1482">
        <f>M!AE25</f>
        <v>0</v>
      </c>
      <c r="AB113" s="1482">
        <f>M!AF25</f>
        <v>0</v>
      </c>
      <c r="AC113" s="1445"/>
      <c r="AD113" s="1445"/>
      <c r="AE113" s="1445"/>
    </row>
    <row r="114" spans="1:31">
      <c r="A114" s="1485" t="s">
        <v>142</v>
      </c>
      <c r="B114" s="1482" t="s">
        <v>60</v>
      </c>
      <c r="C114" s="1482">
        <f t="shared" ref="C114:I114" si="90">(C112-B112)/B112</f>
        <v>7.486894314594375E-2</v>
      </c>
      <c r="D114" s="1482">
        <f t="shared" si="90"/>
        <v>6.6636128475964646E-2</v>
      </c>
      <c r="E114" s="1482">
        <f t="shared" si="90"/>
        <v>3.793103448275844E-2</v>
      </c>
      <c r="F114" s="1482">
        <f t="shared" si="90"/>
        <v>-7.6059046158712179E-3</v>
      </c>
      <c r="G114" s="1482">
        <f t="shared" si="90"/>
        <v>0.10328886054838904</v>
      </c>
      <c r="H114" s="1482">
        <f t="shared" si="90"/>
        <v>-8.2964886247799463E-2</v>
      </c>
      <c r="I114" s="1482">
        <f t="shared" si="90"/>
        <v>6.3403495788967867E-3</v>
      </c>
      <c r="J114" s="1482">
        <f t="shared" ref="J114:O114" si="91">(J112-I112)/I112</f>
        <v>0.43525049347561628</v>
      </c>
      <c r="K114" s="1482">
        <f t="shared" si="91"/>
        <v>-0.18807908438391888</v>
      </c>
      <c r="L114" s="1482">
        <f t="shared" si="91"/>
        <v>0.21816975358990953</v>
      </c>
      <c r="M114" s="1482">
        <f t="shared" si="91"/>
        <v>0.13295279118660605</v>
      </c>
      <c r="N114" s="1482">
        <f t="shared" si="91"/>
        <v>-0.12325475942281788</v>
      </c>
      <c r="O114" s="1482">
        <f t="shared" si="91"/>
        <v>-8.0674092042775619E-2</v>
      </c>
      <c r="P114" s="1482">
        <f t="shared" ref="P114:V114" si="92">(P112-O112)/O112</f>
        <v>9.8651875389060617E-2</v>
      </c>
      <c r="Q114" s="1482">
        <f t="shared" si="92"/>
        <v>0.13166707540867154</v>
      </c>
      <c r="R114" s="1482">
        <f>(R112-Q112)/Q112</f>
        <v>0.12318799966621463</v>
      </c>
      <c r="S114" s="1483">
        <f t="shared" si="92"/>
        <v>-3.1125945310594774E-3</v>
      </c>
      <c r="T114" s="1482">
        <f ca="1">(T112-S112)/S112</f>
        <v>1.2999724191596034</v>
      </c>
      <c r="U114" s="1483">
        <f t="shared" ca="1" si="92"/>
        <v>-0.31503136217017419</v>
      </c>
      <c r="V114" s="1482">
        <f t="shared" ca="1" si="92"/>
        <v>-0.60627880597221007</v>
      </c>
      <c r="W114" s="1484">
        <f ca="1">(W112-U113)/U113</f>
        <v>3555.521110129077</v>
      </c>
      <c r="X114" s="1484">
        <f ca="1">(X112-V112)/V112</f>
        <v>-1</v>
      </c>
      <c r="Y114" s="1484"/>
      <c r="Z114" s="1482" t="e">
        <f ca="1">(Z112-X112)/X112</f>
        <v>#DIV/0!</v>
      </c>
      <c r="AA114" s="1482">
        <f ca="1">(AA112-Z112)/Z112</f>
        <v>-1</v>
      </c>
      <c r="AB114" s="1482" t="e">
        <f>(AB112-AA112)/AA112</f>
        <v>#DIV/0!</v>
      </c>
      <c r="AC114" s="1445"/>
      <c r="AD114" s="1445"/>
      <c r="AE114" s="1445"/>
    </row>
    <row r="115" spans="1:31">
      <c r="A115" s="1455" t="s">
        <v>143</v>
      </c>
      <c r="B115" s="1455"/>
      <c r="C115" s="1460"/>
      <c r="D115" s="1460"/>
      <c r="E115" s="1460"/>
      <c r="F115" s="1460"/>
      <c r="G115" s="1460"/>
      <c r="H115" s="1460"/>
      <c r="I115" s="1455"/>
      <c r="J115" s="1460"/>
      <c r="K115" s="1460"/>
      <c r="L115" s="1460"/>
      <c r="M115" s="1460"/>
      <c r="N115" s="1460"/>
      <c r="O115" s="1460"/>
      <c r="P115" s="1460"/>
      <c r="Q115" s="1460"/>
      <c r="R115" s="1460"/>
      <c r="S115" s="1460"/>
      <c r="T115" s="1460"/>
      <c r="U115" s="1461"/>
      <c r="V115" s="1460"/>
      <c r="W115" s="1462"/>
      <c r="X115" s="1462"/>
      <c r="Y115" s="1462"/>
      <c r="Z115" s="1460"/>
      <c r="AA115" s="1460"/>
      <c r="AB115" s="1460"/>
      <c r="AC115" s="1445"/>
      <c r="AD115" s="1445"/>
      <c r="AE115" s="1445"/>
    </row>
    <row r="116" spans="1:31">
      <c r="A116" s="1489" t="s">
        <v>144</v>
      </c>
      <c r="B116" s="1490">
        <f>'Financials &amp; Forecast'!B12</f>
        <v>17146.839999999997</v>
      </c>
      <c r="C116" s="1490">
        <f>'Financials &amp; Forecast'!C12</f>
        <v>20561</v>
      </c>
      <c r="D116" s="1490">
        <f>'Financials &amp; Forecast'!D12</f>
        <v>24430</v>
      </c>
      <c r="E116" s="1490">
        <f>'Financials &amp; Forecast'!E12</f>
        <v>22428.000000000015</v>
      </c>
      <c r="F116" s="1490">
        <f>'Financials &amp; Forecast'!F12</f>
        <v>48756</v>
      </c>
      <c r="G116" s="1490">
        <f>'Financials &amp; Forecast'!G12</f>
        <v>54103.999999999971</v>
      </c>
      <c r="H116" s="1490">
        <f>'Financials &amp; Forecast'!H12</f>
        <v>53897.853780600737</v>
      </c>
      <c r="I116" s="1490">
        <f>'Financials &amp; Forecast'!I12</f>
        <v>68094.313308215351</v>
      </c>
      <c r="J116" s="1490">
        <f>'Financials &amp; Forecast'!J12</f>
        <v>51361.381202490273</v>
      </c>
      <c r="K116" s="1490">
        <f>'Financials &amp; Forecast'!K12</f>
        <v>77899.684535823588</v>
      </c>
      <c r="L116" s="1490">
        <f>'Financials &amp; Forecast'!L12</f>
        <v>65061.601202490274</v>
      </c>
      <c r="M116" s="1490">
        <f>'Financials &amp; Forecast'!M12</f>
        <v>67187.200400830101</v>
      </c>
      <c r="N116" s="1490">
        <f>'Financials &amp; Forecast'!N12</f>
        <v>78566</v>
      </c>
      <c r="O116" s="1490">
        <f>'Financials &amp; Forecast'!O12</f>
        <v>124965</v>
      </c>
      <c r="P116" s="1490">
        <f>'Financials &amp; Forecast'!P12</f>
        <v>66723</v>
      </c>
      <c r="Q116" s="1490">
        <f>'Financials &amp; Forecast'!Q12</f>
        <v>386376.5</v>
      </c>
      <c r="R116" s="1490">
        <f>'Financials &amp; Forecast'!R12</f>
        <v>188195.66666666663</v>
      </c>
      <c r="S116" s="1490">
        <f>'Financials &amp; Forecast'!S12</f>
        <v>200916.5</v>
      </c>
      <c r="T116" s="1490">
        <f ca="1">'Financials &amp; Forecast'!T12</f>
        <v>34653.272589011234</v>
      </c>
      <c r="U116" s="1491">
        <f ca="1">'Financials &amp; Forecast'!U12</f>
        <v>169592.46852669865</v>
      </c>
      <c r="V116" s="1490">
        <f>'Financials &amp; Forecast'!V12</f>
        <v>0</v>
      </c>
      <c r="W116" s="1492">
        <f>'Financials &amp; Forecast'!V13</f>
        <v>0</v>
      </c>
      <c r="X116" s="1492">
        <f>'Financials &amp; Forecast'!W12</f>
        <v>0</v>
      </c>
      <c r="Y116" s="1492"/>
      <c r="Z116" s="1490">
        <f>'Financials &amp; Forecast'!X12</f>
        <v>0</v>
      </c>
      <c r="AA116" s="1490">
        <f>'Financials &amp; Forecast'!Y12</f>
        <v>0</v>
      </c>
      <c r="AB116" s="1490">
        <f>'Financials &amp; Forecast'!Z12</f>
        <v>0</v>
      </c>
      <c r="AC116" s="1459">
        <f>(R116-O116)/O116</f>
        <v>0.50598700969604793</v>
      </c>
      <c r="AD116" s="1459">
        <f>(S116-P116)/P116</f>
        <v>2.0112030334367459</v>
      </c>
      <c r="AE116" s="1459">
        <f ca="1">(T116-Q116)/Q116</f>
        <v>-0.91031216290584127</v>
      </c>
    </row>
    <row r="117" spans="1:31">
      <c r="A117" s="1455" t="s">
        <v>141</v>
      </c>
      <c r="B117" s="1460">
        <f t="shared" ref="B117:Q117" si="93">B116/B64</f>
        <v>0.14684682740408148</v>
      </c>
      <c r="C117" s="1460">
        <f t="shared" si="93"/>
        <v>0.147707272217872</v>
      </c>
      <c r="D117" s="1460">
        <f t="shared" si="93"/>
        <v>0.16608878917669453</v>
      </c>
      <c r="E117" s="1460">
        <f t="shared" si="93"/>
        <v>0.13879142300194941</v>
      </c>
      <c r="F117" s="1460">
        <f t="shared" si="93"/>
        <v>0.26085979508306356</v>
      </c>
      <c r="G117" s="1460">
        <f t="shared" si="93"/>
        <v>0.26869555716683702</v>
      </c>
      <c r="H117" s="1460">
        <f t="shared" si="93"/>
        <v>0.25764285063099074</v>
      </c>
      <c r="I117" s="1460">
        <f t="shared" si="93"/>
        <v>0.31219740826184295</v>
      </c>
      <c r="J117" s="1460">
        <f t="shared" si="93"/>
        <v>0.21588686723747763</v>
      </c>
      <c r="K117" s="1460">
        <f t="shared" si="93"/>
        <v>0.3163631674450163</v>
      </c>
      <c r="L117" s="1460">
        <f t="shared" si="93"/>
        <v>0.24943011720738026</v>
      </c>
      <c r="M117" s="1460">
        <f t="shared" si="93"/>
        <v>0.23710395884061639</v>
      </c>
      <c r="N117" s="1460">
        <f t="shared" si="93"/>
        <v>0.25781744794657652</v>
      </c>
      <c r="O117" s="1460">
        <f t="shared" si="93"/>
        <v>0.35303639835919226</v>
      </c>
      <c r="P117" s="1460">
        <f t="shared" si="93"/>
        <v>0.12441891037654049</v>
      </c>
      <c r="Q117" s="1460">
        <f t="shared" si="93"/>
        <v>0.42264909022094166</v>
      </c>
      <c r="R117" s="1460">
        <f t="shared" ref="R117:Z117" si="94">R116/R64</f>
        <v>0.34452548241390624</v>
      </c>
      <c r="S117" s="1460">
        <f t="shared" si="94"/>
        <v>0.35498806497037888</v>
      </c>
      <c r="T117" s="1460">
        <f t="shared" ca="1" si="94"/>
        <v>5.8499114558997554E-2</v>
      </c>
      <c r="U117" s="1461">
        <f t="shared" ca="1" si="94"/>
        <v>0.28078657462467826</v>
      </c>
      <c r="V117" s="1460">
        <f t="shared" si="94"/>
        <v>0</v>
      </c>
      <c r="W117" s="1462">
        <f t="shared" ref="W117" si="95">W116/W64</f>
        <v>0</v>
      </c>
      <c r="X117" s="1462">
        <f t="shared" si="94"/>
        <v>0</v>
      </c>
      <c r="Y117" s="1462"/>
      <c r="Z117" s="1460">
        <f t="shared" si="94"/>
        <v>0</v>
      </c>
      <c r="AA117" s="1460">
        <f>AA116/AA64</f>
        <v>0</v>
      </c>
      <c r="AB117" s="1460">
        <f>AB116/AB64</f>
        <v>0</v>
      </c>
      <c r="AC117" s="1445"/>
      <c r="AD117" s="1445"/>
      <c r="AE117" s="1445"/>
    </row>
    <row r="118" spans="1:31">
      <c r="A118" s="1455" t="s">
        <v>142</v>
      </c>
      <c r="B118" s="1455" t="s">
        <v>60</v>
      </c>
      <c r="C118" s="1460">
        <f t="shared" ref="C118:I118" si="96">(C116-B116)/B116</f>
        <v>0.1991130727294361</v>
      </c>
      <c r="D118" s="1460">
        <f t="shared" si="96"/>
        <v>0.1881717815281358</v>
      </c>
      <c r="E118" s="1460">
        <f t="shared" si="96"/>
        <v>-8.1948424068767317E-2</v>
      </c>
      <c r="F118" s="1460">
        <f t="shared" si="96"/>
        <v>1.1738897806313522</v>
      </c>
      <c r="G118" s="1460">
        <f t="shared" si="96"/>
        <v>0.10968906391008226</v>
      </c>
      <c r="H118" s="1460">
        <f t="shared" si="96"/>
        <v>-3.8101844484554549E-3</v>
      </c>
      <c r="I118" s="1460">
        <f t="shared" si="96"/>
        <v>0.26339563696549817</v>
      </c>
      <c r="J118" s="1460">
        <f t="shared" ref="J118:O118" si="97">(J116-I116)/I116</f>
        <v>-0.24573171081095704</v>
      </c>
      <c r="K118" s="1460">
        <f t="shared" si="97"/>
        <v>0.51669761817165849</v>
      </c>
      <c r="L118" s="1460">
        <f t="shared" si="97"/>
        <v>-0.16480276409116248</v>
      </c>
      <c r="M118" s="1460">
        <f t="shared" si="97"/>
        <v>3.2670563881825716E-2</v>
      </c>
      <c r="N118" s="1460">
        <f t="shared" si="97"/>
        <v>0.16935963295516795</v>
      </c>
      <c r="O118" s="1460">
        <f t="shared" si="97"/>
        <v>0.59057353053483697</v>
      </c>
      <c r="P118" s="1460">
        <f t="shared" ref="P118:V118" si="98">(P116-O116)/O116</f>
        <v>-0.46606649861961347</v>
      </c>
      <c r="Q118" s="1460">
        <f t="shared" si="98"/>
        <v>4.7907543126058485</v>
      </c>
      <c r="R118" s="1460">
        <f>(R116-Q116)/Q116</f>
        <v>-0.51292155018054508</v>
      </c>
      <c r="S118" s="1460">
        <f t="shared" si="98"/>
        <v>6.759365695632405E-2</v>
      </c>
      <c r="T118" s="1460">
        <f ca="1">(T116-S116)/S116</f>
        <v>-0.82752400828696882</v>
      </c>
      <c r="U118" s="1461">
        <f t="shared" ca="1" si="98"/>
        <v>3.8939813142057313</v>
      </c>
      <c r="V118" s="1460">
        <f t="shared" ca="1" si="98"/>
        <v>-1</v>
      </c>
      <c r="W118" s="1462">
        <f ca="1">(W116-U117)/U117</f>
        <v>-1</v>
      </c>
      <c r="X118" s="1462" t="e">
        <f>(X116-V116)/V116</f>
        <v>#DIV/0!</v>
      </c>
      <c r="Y118" s="1462"/>
      <c r="Z118" s="1460" t="e">
        <f>(Z116-X116)/X116</f>
        <v>#DIV/0!</v>
      </c>
      <c r="AA118" s="1460" t="e">
        <f>(AA116-Z116)/Z116</f>
        <v>#DIV/0!</v>
      </c>
      <c r="AB118" s="1460" t="e">
        <f>(AB116-AA116)/AA116</f>
        <v>#DIV/0!</v>
      </c>
      <c r="AC118" s="1445"/>
      <c r="AD118" s="1445"/>
      <c r="AE118" s="1445"/>
    </row>
    <row r="119" spans="1:31">
      <c r="A119" s="1493" t="s">
        <v>145</v>
      </c>
      <c r="B119" s="1447">
        <f t="shared" ref="B119:N119" si="99">SUM(B120:B124)</f>
        <v>33500</v>
      </c>
      <c r="C119" s="1447">
        <f t="shared" si="99"/>
        <v>27500</v>
      </c>
      <c r="D119" s="1447">
        <f t="shared" si="99"/>
        <v>21500</v>
      </c>
      <c r="E119" s="1447">
        <f t="shared" si="99"/>
        <v>17500</v>
      </c>
      <c r="F119" s="1447">
        <f t="shared" si="99"/>
        <v>14500</v>
      </c>
      <c r="G119" s="1447">
        <f t="shared" si="99"/>
        <v>12500</v>
      </c>
      <c r="H119" s="1447">
        <f t="shared" si="99"/>
        <v>9500</v>
      </c>
      <c r="I119" s="1447">
        <f t="shared" si="99"/>
        <v>33000</v>
      </c>
      <c r="J119" s="1447">
        <f t="shared" si="99"/>
        <v>25000</v>
      </c>
      <c r="K119" s="1447">
        <f t="shared" si="99"/>
        <v>18500</v>
      </c>
      <c r="L119" s="1447">
        <f t="shared" si="99"/>
        <v>13000</v>
      </c>
      <c r="M119" s="1447">
        <f t="shared" si="99"/>
        <v>7000</v>
      </c>
      <c r="N119" s="1447">
        <f t="shared" si="99"/>
        <v>3500</v>
      </c>
      <c r="O119" s="1447">
        <f t="shared" ref="O119:X119" si="100">SUM(O120:O124)</f>
        <v>3500</v>
      </c>
      <c r="P119" s="1448">
        <f t="shared" si="100"/>
        <v>32000</v>
      </c>
      <c r="Q119" s="1448">
        <f t="shared" si="100"/>
        <v>26500</v>
      </c>
      <c r="R119" s="1448">
        <f t="shared" si="100"/>
        <v>26500</v>
      </c>
      <c r="S119" s="1448">
        <f t="shared" si="100"/>
        <v>26500</v>
      </c>
      <c r="T119" s="1448">
        <f>SUM(T120:T124)</f>
        <v>26500</v>
      </c>
      <c r="U119" s="1448">
        <f t="shared" si="100"/>
        <v>26500</v>
      </c>
      <c r="V119" s="1448">
        <f t="shared" si="100"/>
        <v>26500</v>
      </c>
      <c r="W119" s="1495">
        <f t="shared" ref="W119" si="101">SUM(W120:W124)</f>
        <v>26500</v>
      </c>
      <c r="X119" s="1495">
        <f t="shared" si="100"/>
        <v>26500</v>
      </c>
      <c r="Y119" s="1495"/>
      <c r="Z119" s="1494">
        <f>SUM(Z120:Z124)</f>
        <v>26500</v>
      </c>
      <c r="AA119" s="1494">
        <f>SUM(AA120:AA124)</f>
        <v>26500</v>
      </c>
      <c r="AB119" s="1494">
        <f>SUM(AB120:AB124)</f>
        <v>26500</v>
      </c>
      <c r="AC119" s="1445"/>
      <c r="AD119" s="1445"/>
      <c r="AE119" s="1445"/>
    </row>
    <row r="120" spans="1:31" ht="13.5" customHeight="1">
      <c r="A120" s="1496" t="s">
        <v>146</v>
      </c>
      <c r="B120" s="1447">
        <v>18000</v>
      </c>
      <c r="C120" s="1447">
        <v>15000</v>
      </c>
      <c r="D120" s="1447">
        <v>12000</v>
      </c>
      <c r="E120" s="1447">
        <v>10000</v>
      </c>
      <c r="F120" s="1447">
        <v>8000</v>
      </c>
      <c r="G120" s="1447">
        <v>7000</v>
      </c>
      <c r="H120" s="1447">
        <v>6000</v>
      </c>
      <c r="I120" s="1447">
        <v>4500</v>
      </c>
      <c r="J120" s="1447">
        <v>3500</v>
      </c>
      <c r="K120" s="1447">
        <v>3000</v>
      </c>
      <c r="L120" s="1447">
        <v>2500</v>
      </c>
      <c r="M120" s="1447">
        <v>1500</v>
      </c>
      <c r="N120" s="1447">
        <v>1000</v>
      </c>
      <c r="O120" s="1447">
        <v>1000</v>
      </c>
      <c r="P120" s="1448"/>
      <c r="Q120" s="1448">
        <v>0</v>
      </c>
      <c r="R120" s="1448">
        <v>0</v>
      </c>
      <c r="S120" s="1448"/>
      <c r="T120" s="1448"/>
      <c r="U120" s="1448"/>
      <c r="V120" s="1448"/>
      <c r="W120" s="1495"/>
      <c r="X120" s="1495"/>
      <c r="Y120" s="1495"/>
      <c r="Z120" s="1494">
        <v>0</v>
      </c>
      <c r="AA120" s="1494"/>
      <c r="AB120" s="1494"/>
      <c r="AC120" s="1445"/>
      <c r="AD120" s="1445"/>
      <c r="AE120" s="1445"/>
    </row>
    <row r="121" spans="1:31" ht="13.5" customHeight="1">
      <c r="A121" s="1496" t="s">
        <v>147</v>
      </c>
      <c r="B121" s="1447">
        <v>15000</v>
      </c>
      <c r="C121" s="1447">
        <v>12000</v>
      </c>
      <c r="D121" s="1447">
        <v>9000</v>
      </c>
      <c r="E121" s="1447">
        <v>7000</v>
      </c>
      <c r="F121" s="1447">
        <v>6000</v>
      </c>
      <c r="G121" s="1447">
        <v>5000</v>
      </c>
      <c r="H121" s="1447">
        <v>3000</v>
      </c>
      <c r="I121" s="1447">
        <v>2000</v>
      </c>
      <c r="J121" s="1447">
        <v>0</v>
      </c>
      <c r="K121" s="1447">
        <v>0</v>
      </c>
      <c r="L121" s="1447">
        <v>0</v>
      </c>
      <c r="M121" s="1447">
        <v>0</v>
      </c>
      <c r="N121" s="1447">
        <v>0</v>
      </c>
      <c r="O121" s="1447">
        <v>0</v>
      </c>
      <c r="P121" s="1448"/>
      <c r="Q121" s="1448">
        <v>0</v>
      </c>
      <c r="R121" s="1448">
        <v>0</v>
      </c>
      <c r="S121" s="1448">
        <v>0</v>
      </c>
      <c r="T121" s="1448">
        <v>0</v>
      </c>
      <c r="U121" s="1448">
        <v>0</v>
      </c>
      <c r="V121" s="1448">
        <v>0</v>
      </c>
      <c r="W121" s="1495">
        <v>0</v>
      </c>
      <c r="X121" s="1495">
        <v>0</v>
      </c>
      <c r="Y121" s="1495"/>
      <c r="Z121" s="1494">
        <v>0</v>
      </c>
      <c r="AA121" s="1494">
        <v>0</v>
      </c>
      <c r="AB121" s="1494">
        <v>0</v>
      </c>
      <c r="AC121" s="1445"/>
      <c r="AD121" s="1445"/>
      <c r="AE121" s="1445"/>
    </row>
    <row r="122" spans="1:31" ht="13.5" customHeight="1">
      <c r="A122" s="1496" t="s">
        <v>148</v>
      </c>
      <c r="B122" s="1447">
        <v>0</v>
      </c>
      <c r="C122" s="1447">
        <v>0</v>
      </c>
      <c r="D122" s="1447">
        <v>0</v>
      </c>
      <c r="E122" s="1447">
        <v>0</v>
      </c>
      <c r="F122" s="1447">
        <v>0</v>
      </c>
      <c r="G122" s="1447">
        <v>0</v>
      </c>
      <c r="H122" s="1447">
        <v>0</v>
      </c>
      <c r="I122" s="1447">
        <v>26000</v>
      </c>
      <c r="J122" s="1447">
        <v>21000</v>
      </c>
      <c r="K122" s="1447">
        <v>15000</v>
      </c>
      <c r="L122" s="1447">
        <v>10000</v>
      </c>
      <c r="M122" s="1447">
        <v>5000</v>
      </c>
      <c r="N122" s="1447">
        <v>2000</v>
      </c>
      <c r="O122" s="1447">
        <v>2000</v>
      </c>
      <c r="P122" s="1448">
        <v>1500</v>
      </c>
      <c r="Q122" s="1448">
        <v>1000</v>
      </c>
      <c r="R122" s="1448">
        <v>1000</v>
      </c>
      <c r="S122" s="1448">
        <v>1000</v>
      </c>
      <c r="T122" s="1448">
        <v>1000</v>
      </c>
      <c r="U122" s="1448">
        <v>1000</v>
      </c>
      <c r="V122" s="1448">
        <v>1000</v>
      </c>
      <c r="W122" s="1495">
        <v>1000</v>
      </c>
      <c r="X122" s="1495">
        <v>1000</v>
      </c>
      <c r="Y122" s="1495"/>
      <c r="Z122" s="1494">
        <v>1000</v>
      </c>
      <c r="AA122" s="1494">
        <v>1000</v>
      </c>
      <c r="AB122" s="1494">
        <v>1000</v>
      </c>
      <c r="AC122" s="1445"/>
      <c r="AD122" s="1445"/>
      <c r="AE122" s="1445"/>
    </row>
    <row r="123" spans="1:31" ht="13.5" customHeight="1">
      <c r="A123" s="1496" t="s">
        <v>149</v>
      </c>
      <c r="B123" s="1447">
        <v>0</v>
      </c>
      <c r="C123" s="1447">
        <v>0</v>
      </c>
      <c r="D123" s="1447">
        <v>0</v>
      </c>
      <c r="E123" s="1447">
        <v>0</v>
      </c>
      <c r="F123" s="1447">
        <v>0</v>
      </c>
      <c r="G123" s="1447">
        <v>0</v>
      </c>
      <c r="H123" s="1447">
        <v>0</v>
      </c>
      <c r="I123" s="1447">
        <v>0</v>
      </c>
      <c r="J123" s="1447">
        <v>0</v>
      </c>
      <c r="K123" s="1447">
        <v>0</v>
      </c>
      <c r="L123" s="1447">
        <v>0</v>
      </c>
      <c r="M123" s="1447">
        <v>0</v>
      </c>
      <c r="N123" s="1447">
        <v>0</v>
      </c>
      <c r="O123" s="1447"/>
      <c r="P123" s="1448">
        <v>30000</v>
      </c>
      <c r="Q123" s="1448">
        <v>25000</v>
      </c>
      <c r="R123" s="1448">
        <v>25000</v>
      </c>
      <c r="S123" s="1448">
        <v>25000</v>
      </c>
      <c r="T123" s="1448">
        <v>25000</v>
      </c>
      <c r="U123" s="1448">
        <v>25000</v>
      </c>
      <c r="V123" s="1448">
        <v>25000</v>
      </c>
      <c r="W123" s="1495">
        <v>25000</v>
      </c>
      <c r="X123" s="1495">
        <v>25000</v>
      </c>
      <c r="Y123" s="1495"/>
      <c r="Z123" s="1494">
        <v>25000</v>
      </c>
      <c r="AA123" s="1494">
        <v>25000</v>
      </c>
      <c r="AB123" s="1494">
        <v>25000</v>
      </c>
      <c r="AC123" s="1445"/>
      <c r="AD123" s="1445"/>
      <c r="AE123" s="1445"/>
    </row>
    <row r="124" spans="1:31" ht="13.5" customHeight="1">
      <c r="A124" s="1493" t="s">
        <v>150</v>
      </c>
      <c r="B124" s="1447">
        <v>500</v>
      </c>
      <c r="C124" s="1447">
        <v>500</v>
      </c>
      <c r="D124" s="1447">
        <v>500</v>
      </c>
      <c r="E124" s="1447">
        <v>500</v>
      </c>
      <c r="F124" s="1447">
        <v>500</v>
      </c>
      <c r="G124" s="1447">
        <v>500</v>
      </c>
      <c r="H124" s="1447">
        <v>500</v>
      </c>
      <c r="I124" s="1447">
        <v>500</v>
      </c>
      <c r="J124" s="1447">
        <v>500</v>
      </c>
      <c r="K124" s="1447">
        <v>500</v>
      </c>
      <c r="L124" s="1447">
        <v>500</v>
      </c>
      <c r="M124" s="1447">
        <v>500</v>
      </c>
      <c r="N124" s="1447">
        <v>500</v>
      </c>
      <c r="O124" s="1447">
        <v>500</v>
      </c>
      <c r="P124" s="1448">
        <v>500</v>
      </c>
      <c r="Q124" s="1448">
        <v>500</v>
      </c>
      <c r="R124" s="1448">
        <v>500</v>
      </c>
      <c r="S124" s="1448">
        <v>500</v>
      </c>
      <c r="T124" s="1448">
        <v>500</v>
      </c>
      <c r="U124" s="1448">
        <v>500</v>
      </c>
      <c r="V124" s="1448">
        <v>500</v>
      </c>
      <c r="W124" s="1495">
        <v>500</v>
      </c>
      <c r="X124" s="1495">
        <v>500</v>
      </c>
      <c r="Y124" s="1495"/>
      <c r="Z124" s="1494">
        <v>500</v>
      </c>
      <c r="AA124" s="1494">
        <v>500</v>
      </c>
      <c r="AB124" s="1494">
        <v>500</v>
      </c>
      <c r="AC124" s="1445"/>
      <c r="AD124" s="1445"/>
      <c r="AE124" s="1445"/>
    </row>
    <row r="125" spans="1:31" ht="13.5" customHeight="1">
      <c r="A125" s="1497" t="s">
        <v>151</v>
      </c>
      <c r="B125" s="1464">
        <f t="shared" ref="B125:T125" si="102">B38 + B119</f>
        <v>30800</v>
      </c>
      <c r="C125" s="1464">
        <f t="shared" si="102"/>
        <v>66427</v>
      </c>
      <c r="D125" s="1464">
        <f t="shared" si="102"/>
        <v>121201.39072407741</v>
      </c>
      <c r="E125" s="1464">
        <f t="shared" si="102"/>
        <v>168832.72046602482</v>
      </c>
      <c r="F125" s="1464">
        <f t="shared" si="102"/>
        <v>260091.82505873375</v>
      </c>
      <c r="G125" s="1464">
        <f t="shared" si="102"/>
        <v>345382.35705652874</v>
      </c>
      <c r="H125" s="1464">
        <f t="shared" si="102"/>
        <v>301216</v>
      </c>
      <c r="I125" s="1464">
        <f t="shared" si="102"/>
        <v>410597.42915590742</v>
      </c>
      <c r="J125" s="1464">
        <f t="shared" si="102"/>
        <v>579539.24557951535</v>
      </c>
      <c r="K125" s="1464">
        <f t="shared" si="102"/>
        <v>680602.9074586404</v>
      </c>
      <c r="L125" s="1464">
        <f t="shared" si="102"/>
        <v>843946.52962367772</v>
      </c>
      <c r="M125" s="1464">
        <f t="shared" si="102"/>
        <v>1172134.3837417376</v>
      </c>
      <c r="N125" s="1464">
        <f t="shared" si="102"/>
        <v>1427523.3837417376</v>
      </c>
      <c r="O125" s="1464">
        <f t="shared" si="102"/>
        <v>1531092.3837417376</v>
      </c>
      <c r="P125" s="1465">
        <f t="shared" si="102"/>
        <v>2037166</v>
      </c>
      <c r="Q125" s="1465">
        <f t="shared" si="102"/>
        <v>2636840</v>
      </c>
      <c r="R125" s="1465">
        <f t="shared" si="102"/>
        <v>2741025</v>
      </c>
      <c r="S125" s="1465">
        <f t="shared" si="102"/>
        <v>3351535</v>
      </c>
      <c r="T125" s="1465">
        <f t="shared" si="102"/>
        <v>3925712</v>
      </c>
      <c r="U125" s="1465">
        <f t="shared" ref="U125:AB125" si="103">U38 + U119</f>
        <v>3986109</v>
      </c>
      <c r="V125" s="1465">
        <f t="shared" si="103"/>
        <v>4184478</v>
      </c>
      <c r="W125" s="1467">
        <f t="shared" ref="W125" si="104">W38 + W119</f>
        <v>5253056.03</v>
      </c>
      <c r="X125" s="1467">
        <f t="shared" si="103"/>
        <v>5484306.9500000002</v>
      </c>
      <c r="Y125" s="1467"/>
      <c r="Z125" s="1466">
        <f t="shared" si="103"/>
        <v>3352435</v>
      </c>
      <c r="AA125" s="1466">
        <f t="shared" si="103"/>
        <v>2604608</v>
      </c>
      <c r="AB125" s="1466">
        <f t="shared" si="103"/>
        <v>3515355</v>
      </c>
      <c r="AC125" s="1459">
        <f>(R125-O125)/O125</f>
        <v>0.79024141789627766</v>
      </c>
      <c r="AD125" s="1459">
        <f>(S125-P125)/P125</f>
        <v>0.64519484421004469</v>
      </c>
      <c r="AE125" s="1459">
        <f>(T125-Q125)/Q125</f>
        <v>0.48879416270991033</v>
      </c>
    </row>
    <row r="126" spans="1:31" ht="13.5" customHeight="1">
      <c r="A126" s="1497" t="s">
        <v>77</v>
      </c>
      <c r="B126" s="1464"/>
      <c r="C126" s="1464">
        <f t="shared" ref="C126:I126" si="105">C125-B125</f>
        <v>35627</v>
      </c>
      <c r="D126" s="1464">
        <f t="shared" si="105"/>
        <v>54774.390724077413</v>
      </c>
      <c r="E126" s="1464">
        <f t="shared" si="105"/>
        <v>47631.329741947411</v>
      </c>
      <c r="F126" s="1464">
        <f t="shared" si="105"/>
        <v>91259.104592708929</v>
      </c>
      <c r="G126" s="1464">
        <f t="shared" si="105"/>
        <v>85290.531997794984</v>
      </c>
      <c r="H126" s="1498">
        <f t="shared" si="105"/>
        <v>-44166.357056528737</v>
      </c>
      <c r="I126" s="1464">
        <f t="shared" si="105"/>
        <v>109381.42915590742</v>
      </c>
      <c r="J126" s="1464">
        <f t="shared" ref="J126:V126" si="106">J125-I125</f>
        <v>168941.81642360793</v>
      </c>
      <c r="K126" s="1464">
        <f t="shared" si="106"/>
        <v>101063.66187912505</v>
      </c>
      <c r="L126" s="1464">
        <f t="shared" si="106"/>
        <v>163343.62216503732</v>
      </c>
      <c r="M126" s="1464">
        <f t="shared" si="106"/>
        <v>328187.85411805985</v>
      </c>
      <c r="N126" s="1464">
        <f t="shared" si="106"/>
        <v>255389</v>
      </c>
      <c r="O126" s="1464">
        <f t="shared" si="106"/>
        <v>103569</v>
      </c>
      <c r="P126" s="1465">
        <f t="shared" si="106"/>
        <v>506073.61625826242</v>
      </c>
      <c r="Q126" s="1465">
        <f t="shared" si="106"/>
        <v>599674</v>
      </c>
      <c r="R126" s="1465">
        <f>R125-Q125</f>
        <v>104185</v>
      </c>
      <c r="S126" s="1465">
        <f t="shared" si="106"/>
        <v>610510</v>
      </c>
      <c r="T126" s="1465">
        <f>T125-S125</f>
        <v>574177</v>
      </c>
      <c r="U126" s="1465">
        <f t="shared" si="106"/>
        <v>60397</v>
      </c>
      <c r="V126" s="1465">
        <f t="shared" si="106"/>
        <v>198369</v>
      </c>
      <c r="W126" s="1467">
        <f>W125-U126</f>
        <v>5192659.03</v>
      </c>
      <c r="X126" s="1467">
        <f>X125-V125</f>
        <v>1299828.9500000002</v>
      </c>
      <c r="Y126" s="1467"/>
      <c r="Z126" s="1466">
        <f>Z125-X125</f>
        <v>-2131871.9500000002</v>
      </c>
      <c r="AA126" s="1466">
        <f>AA125-Z125</f>
        <v>-747827</v>
      </c>
      <c r="AB126" s="1466">
        <f>AB125-AA125</f>
        <v>910747</v>
      </c>
      <c r="AC126" s="1445"/>
      <c r="AD126" s="1445"/>
      <c r="AE126" s="1445"/>
    </row>
    <row r="127" spans="1:31">
      <c r="A127" s="1497" t="s">
        <v>152</v>
      </c>
      <c r="B127" s="1499" t="s">
        <v>62</v>
      </c>
      <c r="C127" s="1500">
        <f t="shared" ref="C127:I127" si="107">(C125-B125)/B125</f>
        <v>1.1567207792207792</v>
      </c>
      <c r="D127" s="1500">
        <f t="shared" si="107"/>
        <v>0.8245802267764224</v>
      </c>
      <c r="E127" s="1500">
        <f t="shared" si="107"/>
        <v>0.39299326069931928</v>
      </c>
      <c r="F127" s="1500">
        <f t="shared" si="107"/>
        <v>0.54052972872088212</v>
      </c>
      <c r="G127" s="1500">
        <f t="shared" si="107"/>
        <v>0.32792469343676889</v>
      </c>
      <c r="H127" s="1500">
        <f t="shared" si="107"/>
        <v>-0.12787670288931413</v>
      </c>
      <c r="I127" s="1500">
        <f t="shared" si="107"/>
        <v>0.36313286530565247</v>
      </c>
      <c r="J127" s="1500">
        <f t="shared" ref="J127:V127" si="108">(J125-I125)/I125</f>
        <v>0.41145366343601547</v>
      </c>
      <c r="K127" s="1500">
        <f t="shared" si="108"/>
        <v>0.1743862260407672</v>
      </c>
      <c r="L127" s="1500">
        <f t="shared" si="108"/>
        <v>0.23999841959970405</v>
      </c>
      <c r="M127" s="1500">
        <f t="shared" si="108"/>
        <v>0.38887280484985387</v>
      </c>
      <c r="N127" s="1500">
        <f t="shared" si="108"/>
        <v>0.21788372011128648</v>
      </c>
      <c r="O127" s="1500">
        <f t="shared" si="108"/>
        <v>7.2551526076253287E-2</v>
      </c>
      <c r="P127" s="1500">
        <f t="shared" si="108"/>
        <v>0.33053107809308141</v>
      </c>
      <c r="Q127" s="1500">
        <f t="shared" si="108"/>
        <v>0.29436678208845035</v>
      </c>
      <c r="R127" s="1500">
        <f>(R125-Q125)/Q125</f>
        <v>3.9511308991065065E-2</v>
      </c>
      <c r="S127" s="1500">
        <f t="shared" si="108"/>
        <v>0.22273054787898688</v>
      </c>
      <c r="T127" s="1500">
        <f>(T125-S125)/S125</f>
        <v>0.17131762013525145</v>
      </c>
      <c r="U127" s="1500">
        <f t="shared" si="108"/>
        <v>1.5384979845694233E-2</v>
      </c>
      <c r="V127" s="1500">
        <f t="shared" si="108"/>
        <v>4.9765071652581504E-2</v>
      </c>
      <c r="W127" s="1502">
        <f>(W125-U126)/U126</f>
        <v>85.975446297001511</v>
      </c>
      <c r="X127" s="1502">
        <f>(X125-V125)/V125</f>
        <v>0.31063108707943982</v>
      </c>
      <c r="Y127" s="1502"/>
      <c r="Z127" s="1501">
        <f>(Z125-X125)/X125</f>
        <v>-0.38872221584898708</v>
      </c>
      <c r="AA127" s="1501">
        <f>(AA125-Z125)/Z125</f>
        <v>-0.22306979851958353</v>
      </c>
      <c r="AB127" s="1501">
        <f>(AB125-AA125)/AA125</f>
        <v>0.34966758913433421</v>
      </c>
      <c r="AC127" s="1445"/>
      <c r="AD127" s="1445"/>
      <c r="AE127" s="1445"/>
    </row>
    <row r="128" spans="1:31">
      <c r="A128" s="1503" t="s">
        <v>153</v>
      </c>
      <c r="B128" s="1499"/>
      <c r="C128" s="1500"/>
      <c r="D128" s="1500"/>
      <c r="E128" s="1500"/>
      <c r="F128" s="1500"/>
      <c r="G128" s="1500"/>
      <c r="H128" s="1500"/>
      <c r="I128" s="1500"/>
      <c r="J128" s="1500"/>
      <c r="K128" s="1500"/>
      <c r="L128" s="1500"/>
      <c r="M128" s="1500"/>
      <c r="N128" s="1500"/>
      <c r="O128" s="1500"/>
      <c r="P128" s="1500"/>
      <c r="Q128" s="1500"/>
      <c r="R128" s="1500"/>
      <c r="S128" s="1500"/>
      <c r="T128" s="1500"/>
      <c r="U128" s="1500"/>
      <c r="V128" s="1500"/>
      <c r="W128" s="1502"/>
      <c r="X128" s="1502"/>
      <c r="Y128" s="1502"/>
      <c r="Z128" s="1501"/>
      <c r="AA128" s="1501"/>
      <c r="AB128" s="1501"/>
      <c r="AC128" s="1445"/>
      <c r="AD128" s="1445"/>
      <c r="AE128" s="1445"/>
    </row>
    <row r="129" spans="1:31">
      <c r="A129" s="1503" t="s">
        <v>154</v>
      </c>
      <c r="B129" s="1504">
        <f t="shared" ref="B129:T129" si="109">B26/B64</f>
        <v>-2.3123003071762498E-2</v>
      </c>
      <c r="C129" s="1504">
        <f t="shared" si="109"/>
        <v>0.27964597955474457</v>
      </c>
      <c r="D129" s="1504">
        <f t="shared" si="109"/>
        <v>0.65692433204160716</v>
      </c>
      <c r="E129" s="1504">
        <f t="shared" si="109"/>
        <v>0.86147467434017144</v>
      </c>
      <c r="F129" s="1504">
        <f t="shared" si="109"/>
        <v>1.1958802600251464</v>
      </c>
      <c r="G129" s="1504">
        <f t="shared" si="109"/>
        <v>1.4952621698666058</v>
      </c>
      <c r="H129" s="1504">
        <f t="shared" si="109"/>
        <v>1.3026348496147153</v>
      </c>
      <c r="I129" s="1504">
        <f t="shared" si="109"/>
        <v>1.9336307326936037</v>
      </c>
      <c r="J129" s="1504">
        <f t="shared" si="109"/>
        <v>2.485418991262113</v>
      </c>
      <c r="K129" s="1504">
        <f t="shared" si="109"/>
        <v>2.806420695676894</v>
      </c>
      <c r="L129" s="1504">
        <f t="shared" si="109"/>
        <v>3.2647858273814316</v>
      </c>
      <c r="M129" s="1504">
        <f t="shared" si="109"/>
        <v>4.1005237043258544</v>
      </c>
      <c r="N129" s="1504">
        <f t="shared" si="109"/>
        <v>4.6625363020329136</v>
      </c>
      <c r="O129" s="1504">
        <f t="shared" si="109"/>
        <v>4.3065750963353038</v>
      </c>
      <c r="P129" s="1504">
        <f t="shared" si="109"/>
        <v>3.7390490362256821</v>
      </c>
      <c r="Q129" s="1504">
        <f t="shared" si="109"/>
        <v>2.8553957763148969</v>
      </c>
      <c r="R129" s="1504">
        <f t="shared" si="109"/>
        <v>4.9694185403645976</v>
      </c>
      <c r="S129" s="1504">
        <f t="shared" si="109"/>
        <v>5.8748173525259686</v>
      </c>
      <c r="T129" s="1504">
        <f t="shared" si="109"/>
        <v>5.0701906198902513</v>
      </c>
      <c r="U129" s="1504">
        <f t="shared" ref="U129:AB129" si="110">U26/U64</f>
        <v>4.9901433906279289</v>
      </c>
      <c r="V129" s="1504">
        <f t="shared" si="110"/>
        <v>4.1406776058032877</v>
      </c>
      <c r="W129" s="1506">
        <f t="shared" ref="W129" si="111">W26/W64</f>
        <v>4.0764251408561094</v>
      </c>
      <c r="X129" s="1506">
        <f t="shared" si="110"/>
        <v>4.3025848529282147</v>
      </c>
      <c r="Y129" s="1506"/>
      <c r="Z129" s="1505">
        <f t="shared" si="110"/>
        <v>5.9922761905963027</v>
      </c>
      <c r="AA129" s="1505">
        <f t="shared" si="110"/>
        <v>4.7196830731941288</v>
      </c>
      <c r="AB129" s="1505">
        <f t="shared" si="110"/>
        <v>6.3869666780168641</v>
      </c>
      <c r="AC129" s="1445"/>
      <c r="AD129" s="1445"/>
      <c r="AE129" s="1445"/>
    </row>
    <row r="130" spans="1:31">
      <c r="A130" s="1503" t="s">
        <v>155</v>
      </c>
      <c r="B130" s="1500">
        <f>B117</f>
        <v>0.14684682740408148</v>
      </c>
      <c r="C130" s="1500">
        <f t="shared" ref="C130:L130" si="112">C117</f>
        <v>0.147707272217872</v>
      </c>
      <c r="D130" s="1500">
        <f t="shared" si="112"/>
        <v>0.16608878917669453</v>
      </c>
      <c r="E130" s="1500">
        <f t="shared" si="112"/>
        <v>0.13879142300194941</v>
      </c>
      <c r="F130" s="1500">
        <f t="shared" si="112"/>
        <v>0.26085979508306356</v>
      </c>
      <c r="G130" s="1500">
        <f t="shared" si="112"/>
        <v>0.26869555716683702</v>
      </c>
      <c r="H130" s="1500">
        <f t="shared" si="112"/>
        <v>0.25764285063099074</v>
      </c>
      <c r="I130" s="1500">
        <f t="shared" si="112"/>
        <v>0.31219740826184295</v>
      </c>
      <c r="J130" s="1500">
        <f t="shared" si="112"/>
        <v>0.21588686723747763</v>
      </c>
      <c r="K130" s="1500">
        <f t="shared" si="112"/>
        <v>0.3163631674450163</v>
      </c>
      <c r="L130" s="1500">
        <f t="shared" si="112"/>
        <v>0.24943011720738026</v>
      </c>
      <c r="M130" s="1500">
        <f t="shared" ref="M130:R130" si="113">M117</f>
        <v>0.23710395884061639</v>
      </c>
      <c r="N130" s="1500">
        <f t="shared" si="113"/>
        <v>0.25781744794657652</v>
      </c>
      <c r="O130" s="1500">
        <f t="shared" si="113"/>
        <v>0.35303639835919226</v>
      </c>
      <c r="P130" s="1500">
        <f t="shared" si="113"/>
        <v>0.12441891037654049</v>
      </c>
      <c r="Q130" s="1500">
        <f t="shared" si="113"/>
        <v>0.42264909022094166</v>
      </c>
      <c r="R130" s="1500">
        <f t="shared" si="113"/>
        <v>0.34452548241390624</v>
      </c>
      <c r="S130" s="1500">
        <f t="shared" ref="S130:Z130" si="114">S117</f>
        <v>0.35498806497037888</v>
      </c>
      <c r="T130" s="1500">
        <f t="shared" ca="1" si="114"/>
        <v>5.8499114558997554E-2</v>
      </c>
      <c r="U130" s="1500">
        <f t="shared" ca="1" si="114"/>
        <v>0.28078657462467826</v>
      </c>
      <c r="V130" s="1500">
        <f t="shared" si="114"/>
        <v>0</v>
      </c>
      <c r="W130" s="1502">
        <f t="shared" ref="W130" si="115">W117</f>
        <v>0</v>
      </c>
      <c r="X130" s="1502">
        <f t="shared" si="114"/>
        <v>0</v>
      </c>
      <c r="Y130" s="1502"/>
      <c r="Z130" s="1501">
        <f t="shared" si="114"/>
        <v>0</v>
      </c>
      <c r="AA130" s="1501">
        <f>AA117</f>
        <v>0</v>
      </c>
      <c r="AB130" s="1501">
        <f>AB117</f>
        <v>0</v>
      </c>
      <c r="AC130" s="1445"/>
      <c r="AD130" s="1445"/>
      <c r="AE130" s="1445"/>
    </row>
    <row r="131" spans="1:31">
      <c r="A131" s="1503" t="s">
        <v>156</v>
      </c>
      <c r="B131" s="1499">
        <f t="shared" ref="B131:T131" si="116">B36/B64</f>
        <v>0</v>
      </c>
      <c r="C131" s="1504">
        <f t="shared" si="116"/>
        <v>0</v>
      </c>
      <c r="D131" s="1504">
        <f t="shared" si="116"/>
        <v>1.621993819830178</v>
      </c>
      <c r="E131" s="1504">
        <f t="shared" si="116"/>
        <v>1.4545173007100127</v>
      </c>
      <c r="F131" s="1504">
        <f t="shared" si="116"/>
        <v>1.2333485421046517</v>
      </c>
      <c r="G131" s="1504">
        <f t="shared" si="116"/>
        <v>1.1251588754638788</v>
      </c>
      <c r="H131" s="1504">
        <f t="shared" si="116"/>
        <v>1.0458369193040011</v>
      </c>
      <c r="I131" s="1504">
        <f t="shared" si="116"/>
        <v>0.98917883010242136</v>
      </c>
      <c r="J131" s="1504">
        <f t="shared" si="116"/>
        <v>0.89340791774280903</v>
      </c>
      <c r="K131" s="1504">
        <f t="shared" si="116"/>
        <v>0.84945571961579935</v>
      </c>
      <c r="L131" s="1504">
        <f t="shared" si="116"/>
        <v>0.78818511760547472</v>
      </c>
      <c r="M131" s="1504">
        <f t="shared" si="116"/>
        <v>0.71220476789121645</v>
      </c>
      <c r="N131" s="1504">
        <f t="shared" si="116"/>
        <v>0.64646332059002087</v>
      </c>
      <c r="O131" s="1504">
        <f t="shared" si="116"/>
        <v>0.55654119534878466</v>
      </c>
      <c r="P131" s="1504">
        <f t="shared" si="116"/>
        <v>0</v>
      </c>
      <c r="Q131" s="1504">
        <f t="shared" si="116"/>
        <v>0</v>
      </c>
      <c r="R131" s="1504">
        <f t="shared" si="116"/>
        <v>0</v>
      </c>
      <c r="S131" s="1504">
        <f t="shared" si="116"/>
        <v>0</v>
      </c>
      <c r="T131" s="1504">
        <f t="shared" si="116"/>
        <v>4.0035764652180061</v>
      </c>
      <c r="U131" s="1504">
        <f t="shared" ref="U131:AB131" si="117">U36/U64</f>
        <v>3.8440495089775069</v>
      </c>
      <c r="V131" s="1504">
        <f t="shared" si="117"/>
        <v>2.9724681339880319</v>
      </c>
      <c r="W131" s="1506">
        <f t="shared" ref="W131" si="118">W36/W64</f>
        <v>2.1603812479146933</v>
      </c>
      <c r="X131" s="1506">
        <f t="shared" si="117"/>
        <v>2.1603812479146933</v>
      </c>
      <c r="Y131" s="1506"/>
      <c r="Z131" s="1505">
        <f t="shared" si="117"/>
        <v>0</v>
      </c>
      <c r="AA131" s="1505">
        <f t="shared" si="117"/>
        <v>4.4576985460763101</v>
      </c>
      <c r="AB131" s="1505">
        <f t="shared" si="117"/>
        <v>4.4576985460763101</v>
      </c>
      <c r="AC131" s="1445"/>
      <c r="AD131" s="1445"/>
      <c r="AE131" s="1445"/>
    </row>
    <row r="132" spans="1:31">
      <c r="A132" s="1503" t="s">
        <v>157</v>
      </c>
      <c r="B132" s="1500">
        <f t="shared" ref="B132:P132" si="119">1-((B91+B112)/B89)</f>
        <v>0.19263975954009482</v>
      </c>
      <c r="C132" s="1500">
        <f t="shared" si="119"/>
        <v>0.20801999791688364</v>
      </c>
      <c r="D132" s="1500">
        <f t="shared" si="119"/>
        <v>0.2265904769258984</v>
      </c>
      <c r="E132" s="1500">
        <f t="shared" si="119"/>
        <v>0.1990900593273689</v>
      </c>
      <c r="F132" s="1500">
        <f t="shared" si="119"/>
        <v>0.35230698878477151</v>
      </c>
      <c r="G132" s="1500">
        <f t="shared" si="119"/>
        <v>0.34645552446366468</v>
      </c>
      <c r="H132" s="1500">
        <f t="shared" si="119"/>
        <v>0.41955753632830062</v>
      </c>
      <c r="I132" s="1500">
        <f t="shared" si="119"/>
        <v>0.41659602549129982</v>
      </c>
      <c r="J132" s="1500">
        <f t="shared" si="119"/>
        <v>0.26308771926304664</v>
      </c>
      <c r="K132" s="1500">
        <f t="shared" si="119"/>
        <v>0.43106008997516398</v>
      </c>
      <c r="L132" s="1500">
        <f t="shared" si="119"/>
        <v>0.31781912032480375</v>
      </c>
      <c r="M132" s="1500">
        <f t="shared" si="119"/>
        <v>0.29195677258368924</v>
      </c>
      <c r="N132" s="1500">
        <f t="shared" si="119"/>
        <v>0.38388059701492527</v>
      </c>
      <c r="O132" s="1500">
        <f t="shared" si="119"/>
        <v>0.50574122499771557</v>
      </c>
      <c r="P132" s="1500">
        <f t="shared" si="119"/>
        <v>0.13449186189120088</v>
      </c>
      <c r="Q132" s="1500">
        <f t="shared" ref="Q132:X132" si="120">1-((Q91+Q112)/Q89)</f>
        <v>0.73113511707000611</v>
      </c>
      <c r="R132" s="1500">
        <f t="shared" si="120"/>
        <v>0.5124200570797659</v>
      </c>
      <c r="S132" s="1500">
        <f t="shared" si="120"/>
        <v>0.51987858661736885</v>
      </c>
      <c r="T132" s="1500">
        <f ca="1">1-((T91+T112)/T89)</f>
        <v>-8.5431289043353953E-3</v>
      </c>
      <c r="U132" s="1500">
        <f t="shared" ca="1" si="120"/>
        <v>0.38395896635186744</v>
      </c>
      <c r="V132" s="1500">
        <f t="shared" ca="1" si="120"/>
        <v>0.8020708827185431</v>
      </c>
      <c r="W132" s="1502">
        <f t="shared" ref="W132" ca="1" si="121">1-((W91+W112)/W89)</f>
        <v>0.99102945030718692</v>
      </c>
      <c r="X132" s="1502">
        <f t="shared" si="120"/>
        <v>0.99417324270916319</v>
      </c>
      <c r="Y132" s="1502"/>
      <c r="Z132" s="1501">
        <f ca="1">1-((Z91+Z112)/Z89)</f>
        <v>0.76669838249286393</v>
      </c>
      <c r="AA132" s="1501">
        <f>1-((AA91+AA112)/AA89)</f>
        <v>0.98208861946128367</v>
      </c>
      <c r="AB132" s="1501">
        <f>1-((AB91+AB112)/AB89)</f>
        <v>0.98208861946128367</v>
      </c>
      <c r="AC132" s="1445"/>
      <c r="AD132" s="1445"/>
      <c r="AE132" s="1445"/>
    </row>
    <row r="133" spans="1:31">
      <c r="A133" s="1503" t="s">
        <v>158</v>
      </c>
      <c r="B133" s="1500"/>
      <c r="C133" s="1500"/>
      <c r="D133" s="1500"/>
      <c r="E133" s="1500"/>
      <c r="F133" s="1500"/>
      <c r="G133" s="1500"/>
      <c r="H133" s="1500"/>
      <c r="I133" s="1500"/>
      <c r="J133" s="1500"/>
      <c r="K133" s="1500"/>
      <c r="L133" s="1500"/>
      <c r="M133" s="1500"/>
      <c r="N133" s="1500"/>
      <c r="O133" s="1500"/>
      <c r="P133" s="1500"/>
      <c r="Q133" s="1500"/>
      <c r="R133" s="1500"/>
      <c r="S133" s="1500"/>
      <c r="T133" s="1500"/>
      <c r="U133" s="1500"/>
      <c r="V133" s="1500"/>
      <c r="W133" s="1502"/>
      <c r="X133" s="1502"/>
      <c r="Y133" s="1502"/>
      <c r="Z133" s="1501"/>
      <c r="AA133" s="1501"/>
      <c r="AB133" s="1501"/>
      <c r="AC133" s="1445"/>
      <c r="AD133" s="1445"/>
      <c r="AE133" s="1445"/>
    </row>
    <row r="134" spans="1:31">
      <c r="A134" s="1503" t="s">
        <v>159</v>
      </c>
      <c r="B134" s="1507">
        <f t="shared" ref="B134:AA134" si="122">B21/B60</f>
        <v>8.5867984499798378E-3</v>
      </c>
      <c r="C134" s="1507">
        <f t="shared" si="122"/>
        <v>7.4308140709318099E-2</v>
      </c>
      <c r="D134" s="1507">
        <f t="shared" si="122"/>
        <v>0.17997057515311185</v>
      </c>
      <c r="E134" s="1507">
        <f t="shared" si="122"/>
        <v>0.27839290177455633</v>
      </c>
      <c r="F134" s="1507">
        <f t="shared" si="122"/>
        <v>0.39888019868848174</v>
      </c>
      <c r="G134" s="1507">
        <f t="shared" si="122"/>
        <v>0.44323757024296551</v>
      </c>
      <c r="H134" s="1507">
        <f t="shared" si="122"/>
        <v>0.34145675206337439</v>
      </c>
      <c r="I134" s="1507">
        <f t="shared" si="122"/>
        <v>0.70689905387881602</v>
      </c>
      <c r="J134" s="1507">
        <f t="shared" si="122"/>
        <v>0.96906348082991789</v>
      </c>
      <c r="K134" s="1507">
        <f t="shared" si="122"/>
        <v>1.0189804570365009</v>
      </c>
      <c r="L134" s="1507">
        <f t="shared" si="122"/>
        <v>1.2943087841404524</v>
      </c>
      <c r="M134" s="1507">
        <f t="shared" si="122"/>
        <v>1.7205826999638074</v>
      </c>
      <c r="N134" s="1507">
        <f t="shared" si="122"/>
        <v>1.8681011971377217</v>
      </c>
      <c r="O134" s="1507">
        <f t="shared" si="122"/>
        <v>1.8266910292409269</v>
      </c>
      <c r="P134" s="1507">
        <f t="shared" si="122"/>
        <v>2.1062586709886548</v>
      </c>
      <c r="Q134" s="1507">
        <f t="shared" si="122"/>
        <v>1.275181736432824</v>
      </c>
      <c r="R134" s="1507">
        <f t="shared" si="122"/>
        <v>1.9836237033915352</v>
      </c>
      <c r="S134" s="1507">
        <f t="shared" si="122"/>
        <v>2.4089489685369081</v>
      </c>
      <c r="T134" s="1507">
        <f t="shared" si="122"/>
        <v>2.7011512900548644</v>
      </c>
      <c r="U134" s="1507">
        <f t="shared" si="122"/>
        <v>1.9330205474785911</v>
      </c>
      <c r="V134" s="1507">
        <f t="shared" si="122"/>
        <v>2.2203811259443751</v>
      </c>
      <c r="W134" s="1509">
        <f t="shared" ref="W134" si="123">W21/W60</f>
        <v>1.229387785091788</v>
      </c>
      <c r="X134" s="1509">
        <f t="shared" si="122"/>
        <v>1.319376277551098</v>
      </c>
      <c r="Y134" s="1509"/>
      <c r="Z134" s="1508">
        <f t="shared" si="122"/>
        <v>2.459398740838548</v>
      </c>
      <c r="AA134" s="1508">
        <f t="shared" si="122"/>
        <v>2.4619192199756723</v>
      </c>
      <c r="AB134" s="1508">
        <f>AB21/AB60</f>
        <v>3.0294903598417728</v>
      </c>
      <c r="AC134" s="1445"/>
      <c r="AD134" s="1445"/>
      <c r="AE134" s="1445"/>
    </row>
    <row r="135" spans="1:31">
      <c r="A135" s="1510"/>
      <c r="B135" s="1510"/>
      <c r="C135" s="1510"/>
      <c r="D135" s="1511"/>
      <c r="E135" s="1511"/>
      <c r="F135" s="1511"/>
      <c r="G135" s="1511"/>
      <c r="H135" s="1511"/>
      <c r="I135" s="1510"/>
      <c r="J135" s="1510"/>
      <c r="K135" s="1511"/>
      <c r="L135" s="1511"/>
      <c r="M135" s="1511"/>
      <c r="N135" s="1511"/>
      <c r="O135" s="1511"/>
      <c r="P135" s="1511"/>
      <c r="Q135" s="1511"/>
      <c r="R135" s="1511"/>
      <c r="S135" s="1512"/>
      <c r="T135" s="1511"/>
      <c r="U135" s="1512"/>
      <c r="V135" s="1511"/>
      <c r="W135" s="1513"/>
      <c r="X135" s="1513"/>
      <c r="Y135" s="1513"/>
      <c r="Z135" s="1511"/>
      <c r="AA135" s="1511"/>
      <c r="AB135" s="1511"/>
      <c r="AC135" s="1445"/>
      <c r="AD135" s="1445"/>
      <c r="AE135" s="1445"/>
    </row>
    <row r="136" spans="1:31">
      <c r="A136" s="1514"/>
      <c r="B136" s="1514"/>
      <c r="C136" s="1514"/>
      <c r="D136" s="1514"/>
      <c r="E136" s="1514"/>
      <c r="F136" s="1514"/>
      <c r="G136" s="1514"/>
      <c r="H136" s="1514"/>
      <c r="I136" s="1514"/>
      <c r="J136" s="1514"/>
      <c r="K136" s="1514"/>
      <c r="L136" s="1514"/>
      <c r="M136" s="1514"/>
      <c r="N136" s="1514"/>
      <c r="O136" s="1514"/>
      <c r="P136" s="1514"/>
      <c r="Q136" s="1514"/>
      <c r="R136" s="1515"/>
      <c r="S136" s="1516"/>
      <c r="T136" s="1515"/>
      <c r="U136" s="1516"/>
      <c r="V136" s="1515"/>
      <c r="W136" s="1517"/>
      <c r="X136" s="1517"/>
      <c r="Y136" s="1517"/>
      <c r="Z136" s="1515"/>
      <c r="AA136" s="1515"/>
      <c r="AB136" s="1515"/>
    </row>
    <row r="137" spans="1:31">
      <c r="A137" s="1518" t="s">
        <v>160</v>
      </c>
      <c r="B137" s="1518"/>
      <c r="C137" s="1518"/>
      <c r="D137" s="1518"/>
      <c r="E137" s="1514"/>
      <c r="F137" s="1514"/>
      <c r="G137" s="1514"/>
      <c r="H137" s="1514"/>
      <c r="I137" s="1514"/>
      <c r="J137" s="1514"/>
      <c r="K137" s="1514"/>
      <c r="L137" s="1514"/>
      <c r="M137" s="1514"/>
      <c r="N137" s="1514"/>
      <c r="O137" s="1514"/>
      <c r="P137" s="1514"/>
      <c r="Q137" s="1514"/>
      <c r="R137" s="1515"/>
      <c r="S137" s="1516"/>
      <c r="T137" s="1515"/>
      <c r="U137" s="1516"/>
      <c r="V137" s="1515"/>
      <c r="W137" s="1517"/>
      <c r="X137" s="1517"/>
      <c r="Y137" s="1517"/>
      <c r="Z137" s="1515"/>
      <c r="AA137" s="1515"/>
      <c r="AB137" s="1515"/>
    </row>
    <row r="138" spans="1:31">
      <c r="A138" s="1519" t="s">
        <v>161</v>
      </c>
      <c r="B138" s="1519" t="s">
        <v>162</v>
      </c>
      <c r="C138" s="1519" t="s">
        <v>163</v>
      </c>
      <c r="D138" s="1519"/>
      <c r="E138" s="1514"/>
      <c r="F138" s="1514"/>
      <c r="G138" s="1514"/>
      <c r="H138" s="1514"/>
      <c r="I138" s="1514"/>
      <c r="J138" s="1514"/>
      <c r="K138" s="1514"/>
      <c r="L138" s="1514"/>
      <c r="M138" s="1514"/>
      <c r="N138" s="1514"/>
      <c r="O138" s="1514"/>
      <c r="P138" s="1514"/>
      <c r="Q138" s="1514"/>
      <c r="R138" s="1515"/>
      <c r="S138" s="1516"/>
      <c r="T138" s="1515"/>
      <c r="U138" s="1516"/>
      <c r="V138" s="1515"/>
      <c r="W138" s="1517"/>
      <c r="X138" s="1517"/>
      <c r="Y138" s="1517"/>
      <c r="Z138" s="1515"/>
      <c r="AA138" s="1515"/>
      <c r="AB138" s="1515"/>
    </row>
    <row r="139" spans="1:31">
      <c r="A139" s="1519" t="s">
        <v>164</v>
      </c>
      <c r="B139" s="1519" t="s">
        <v>165</v>
      </c>
      <c r="C139" s="1519" t="s">
        <v>166</v>
      </c>
      <c r="D139" s="1519"/>
      <c r="E139" s="1514"/>
      <c r="F139" s="1514"/>
      <c r="G139" s="1514"/>
      <c r="H139" s="1514"/>
      <c r="I139" s="1514"/>
      <c r="J139" s="1514"/>
      <c r="K139" s="1514"/>
      <c r="L139" s="1514"/>
      <c r="M139" s="1514"/>
      <c r="N139" s="1514"/>
      <c r="O139" s="1514"/>
      <c r="P139" s="1514"/>
      <c r="Q139" s="1514"/>
      <c r="R139" s="1515"/>
      <c r="S139" s="1516"/>
      <c r="T139" s="1515"/>
      <c r="U139" s="1516"/>
      <c r="V139" s="1515"/>
      <c r="W139" s="1517"/>
      <c r="X139" s="1517"/>
      <c r="Y139" s="1517"/>
      <c r="Z139" s="1515"/>
      <c r="AA139" s="1515"/>
      <c r="AB139" s="1515"/>
    </row>
    <row r="140" spans="1:31">
      <c r="A140" s="1519" t="s">
        <v>167</v>
      </c>
      <c r="B140" s="1519" t="s">
        <v>168</v>
      </c>
      <c r="C140" s="1519" t="s">
        <v>169</v>
      </c>
      <c r="D140" s="1519"/>
      <c r="E140" s="1514"/>
      <c r="F140" s="1514"/>
      <c r="G140" s="1514"/>
      <c r="H140" s="1514"/>
      <c r="I140" s="1514"/>
      <c r="J140" s="1514"/>
      <c r="K140" s="1514"/>
      <c r="L140" s="1514"/>
      <c r="M140" s="1514"/>
      <c r="N140" s="1514"/>
      <c r="O140" s="1514"/>
      <c r="P140" s="1514"/>
      <c r="Q140" s="1514"/>
      <c r="R140" s="1515"/>
      <c r="S140" s="1516"/>
      <c r="T140" s="1515"/>
      <c r="U140" s="1516"/>
      <c r="V140" s="1515"/>
      <c r="W140" s="1517"/>
      <c r="X140" s="1517"/>
      <c r="Y140" s="1517"/>
      <c r="Z140" s="1515"/>
      <c r="AA140" s="1515"/>
      <c r="AB140" s="1515"/>
    </row>
    <row r="141" spans="1:31">
      <c r="A141" s="1519" t="s">
        <v>170</v>
      </c>
      <c r="B141" s="1519" t="s">
        <v>171</v>
      </c>
      <c r="C141" s="1519" t="s">
        <v>172</v>
      </c>
      <c r="D141" s="1519"/>
      <c r="E141" s="1514"/>
      <c r="F141" s="1514"/>
      <c r="G141" s="1514"/>
      <c r="H141" s="1514"/>
      <c r="I141" s="1514"/>
      <c r="J141" s="1514"/>
      <c r="K141" s="1514"/>
      <c r="L141" s="1514"/>
      <c r="M141" s="1514"/>
      <c r="N141" s="1514"/>
      <c r="O141" s="1514"/>
      <c r="P141" s="1514"/>
      <c r="Q141" s="1514"/>
      <c r="R141" s="1515"/>
      <c r="S141" s="1516"/>
      <c r="T141" s="1515"/>
      <c r="U141" s="1516"/>
      <c r="V141" s="1515"/>
      <c r="W141" s="1517"/>
      <c r="X141" s="1517"/>
      <c r="Y141" s="1517"/>
      <c r="Z141" s="1515"/>
      <c r="AA141" s="1515"/>
      <c r="AB141" s="1515"/>
    </row>
    <row r="142" spans="1:31">
      <c r="A142" s="1519" t="s">
        <v>173</v>
      </c>
      <c r="B142" s="1519" t="s">
        <v>174</v>
      </c>
      <c r="C142" s="1519" t="s">
        <v>175</v>
      </c>
      <c r="D142" s="1519"/>
      <c r="E142" s="1514"/>
      <c r="F142" s="1514"/>
      <c r="G142" s="1514"/>
      <c r="H142" s="1514"/>
      <c r="I142" s="1514"/>
      <c r="J142" s="1514"/>
      <c r="K142" s="1514"/>
      <c r="L142" s="1514"/>
      <c r="M142" s="1514"/>
      <c r="N142" s="1514"/>
      <c r="O142" s="1514"/>
      <c r="P142" s="1514"/>
      <c r="Q142" s="1514"/>
      <c r="R142" s="1514"/>
      <c r="S142" s="1514"/>
      <c r="T142" s="1514"/>
      <c r="U142" s="1514"/>
      <c r="V142" s="1514"/>
      <c r="W142" s="1517"/>
      <c r="X142" s="1517"/>
      <c r="Y142" s="1517"/>
      <c r="Z142" s="1515"/>
      <c r="AA142" s="1515"/>
      <c r="AB142" s="1515"/>
    </row>
    <row r="143" spans="1:31">
      <c r="A143" s="1519" t="s">
        <v>176</v>
      </c>
      <c r="B143" s="1519" t="s">
        <v>177</v>
      </c>
      <c r="C143" s="1519" t="s">
        <v>178</v>
      </c>
      <c r="D143" s="1519"/>
      <c r="E143" s="1514"/>
      <c r="F143" s="1514"/>
      <c r="G143" s="1514"/>
      <c r="H143" s="1514"/>
      <c r="I143" s="1514"/>
      <c r="J143" s="1514"/>
      <c r="K143" s="1514"/>
      <c r="L143" s="1514"/>
      <c r="M143" s="1514"/>
      <c r="N143" s="1514"/>
      <c r="O143" s="1514"/>
      <c r="P143" s="1514"/>
      <c r="Q143" s="1514"/>
      <c r="R143" s="1514"/>
      <c r="S143" s="1514"/>
      <c r="T143" s="1514"/>
      <c r="U143" s="1514"/>
      <c r="V143" s="1514"/>
      <c r="W143" s="1517"/>
      <c r="X143" s="1517"/>
      <c r="Y143" s="1517"/>
      <c r="Z143" s="1515"/>
      <c r="AA143" s="1515"/>
      <c r="AB143" s="1515"/>
    </row>
    <row r="144" spans="1:31">
      <c r="A144" s="1519" t="s">
        <v>179</v>
      </c>
      <c r="B144" s="1519" t="s">
        <v>180</v>
      </c>
      <c r="C144" s="1519" t="s">
        <v>181</v>
      </c>
      <c r="D144" s="1519"/>
      <c r="E144" s="1514"/>
      <c r="F144" s="1514"/>
      <c r="G144" s="1514"/>
      <c r="H144" s="1514"/>
      <c r="I144" s="1514"/>
      <c r="J144" s="1514"/>
      <c r="K144" s="1514"/>
      <c r="L144" s="1514"/>
      <c r="M144" s="1514"/>
      <c r="N144" s="1514"/>
      <c r="O144" s="1514"/>
      <c r="P144" s="1514"/>
      <c r="Q144" s="1514"/>
      <c r="R144" s="1514"/>
      <c r="S144" s="1514"/>
      <c r="T144" s="1514"/>
      <c r="U144" s="1514"/>
      <c r="V144" s="1514"/>
      <c r="W144" s="1517"/>
      <c r="X144" s="1517"/>
      <c r="Y144" s="1517"/>
      <c r="Z144" s="1515"/>
      <c r="AA144" s="1515"/>
      <c r="AB144" s="1515"/>
    </row>
    <row r="145" spans="1:23">
      <c r="A145" s="1519" t="s">
        <v>182</v>
      </c>
      <c r="B145" s="1519" t="s">
        <v>183</v>
      </c>
      <c r="C145" s="1519" t="s">
        <v>184</v>
      </c>
      <c r="D145" s="1519"/>
      <c r="E145" s="1514"/>
      <c r="F145" s="1514"/>
      <c r="G145" s="1514"/>
      <c r="H145" s="1514"/>
      <c r="I145" s="1514"/>
      <c r="J145" s="1514"/>
      <c r="K145" s="1514"/>
      <c r="L145" s="1514"/>
      <c r="M145" s="1514"/>
      <c r="N145" s="1514"/>
      <c r="O145" s="1514"/>
      <c r="P145" s="1514"/>
      <c r="Q145" s="1514"/>
      <c r="R145" s="1514"/>
      <c r="S145" s="1514"/>
      <c r="T145" s="1514"/>
      <c r="U145" s="1514"/>
      <c r="V145" s="1514"/>
      <c r="W145" s="1522"/>
    </row>
    <row r="146" spans="1:23">
      <c r="A146" s="1519" t="s">
        <v>185</v>
      </c>
      <c r="B146" s="1519" t="s">
        <v>186</v>
      </c>
      <c r="C146" s="1519" t="s">
        <v>187</v>
      </c>
      <c r="D146" s="1519"/>
      <c r="E146" s="1514"/>
      <c r="F146" s="1514"/>
      <c r="G146" s="1514"/>
      <c r="H146" s="1514"/>
      <c r="I146" s="1514"/>
      <c r="J146" s="1514"/>
      <c r="K146" s="1514"/>
      <c r="L146" s="1514"/>
      <c r="M146" s="1514"/>
      <c r="N146" s="1514"/>
      <c r="O146" s="1514"/>
      <c r="P146" s="1514"/>
      <c r="Q146" s="1514"/>
      <c r="R146" s="1514"/>
      <c r="S146" s="1514"/>
      <c r="T146" s="1514"/>
      <c r="U146" s="1514"/>
      <c r="V146" s="1514"/>
      <c r="W146" s="1522"/>
    </row>
    <row r="147" spans="1:23">
      <c r="A147" s="1519" t="s">
        <v>188</v>
      </c>
      <c r="B147" s="1519" t="s">
        <v>189</v>
      </c>
      <c r="C147" s="1519" t="s">
        <v>190</v>
      </c>
      <c r="D147" s="1519"/>
      <c r="E147" s="1514"/>
      <c r="F147" s="1514"/>
      <c r="G147" s="1514"/>
      <c r="H147" s="1514"/>
      <c r="I147" s="1514"/>
      <c r="J147" s="1514"/>
      <c r="K147" s="1514"/>
      <c r="L147" s="1514"/>
      <c r="M147" s="1514"/>
      <c r="N147" s="1514"/>
      <c r="O147" s="1514"/>
      <c r="P147" s="1514"/>
      <c r="Q147" s="1514"/>
      <c r="R147" s="1514"/>
      <c r="S147" s="1514"/>
      <c r="T147" s="1514"/>
      <c r="U147" s="1514"/>
      <c r="V147" s="1514"/>
      <c r="W147" s="1522"/>
    </row>
    <row r="148" spans="1:23">
      <c r="A148" s="1514"/>
      <c r="B148" s="1514"/>
      <c r="C148" s="1514"/>
      <c r="D148" s="1514"/>
      <c r="E148" s="1514"/>
      <c r="F148" s="1514"/>
      <c r="G148" s="1514"/>
      <c r="H148" s="1514"/>
      <c r="I148" s="1514"/>
      <c r="J148" s="1514"/>
      <c r="K148" s="1514"/>
      <c r="L148" s="1514"/>
      <c r="M148" s="1514"/>
      <c r="N148" s="1514"/>
      <c r="O148" s="1514"/>
      <c r="P148" s="1514"/>
      <c r="Q148" s="1514"/>
      <c r="R148" s="1514"/>
      <c r="S148" s="1514"/>
      <c r="T148" s="1514"/>
      <c r="U148" s="1514"/>
      <c r="V148" s="1514"/>
      <c r="W148" s="1522"/>
    </row>
    <row r="149" spans="1:23">
      <c r="A149" s="1519" t="s">
        <v>191</v>
      </c>
      <c r="B149" s="1519" t="s">
        <v>192</v>
      </c>
      <c r="C149" s="1519" t="s">
        <v>29</v>
      </c>
      <c r="D149" s="1519" t="s">
        <v>71</v>
      </c>
      <c r="E149" s="1519" t="s">
        <v>193</v>
      </c>
      <c r="F149" s="1519" t="s">
        <v>192</v>
      </c>
      <c r="G149" s="1514"/>
      <c r="H149" s="1514"/>
      <c r="I149" s="1514"/>
      <c r="J149" s="1514"/>
      <c r="K149" s="1514"/>
      <c r="L149" s="1514"/>
      <c r="M149" s="1514"/>
      <c r="N149" s="1514"/>
      <c r="O149" s="1514"/>
      <c r="P149" s="1514"/>
      <c r="Q149" s="1514"/>
      <c r="R149" s="1514"/>
      <c r="S149" s="1514"/>
      <c r="T149" s="1514"/>
      <c r="U149" s="1514"/>
      <c r="V149" s="1514"/>
      <c r="W149" s="1522"/>
    </row>
    <row r="150" spans="1:23">
      <c r="A150" s="1523">
        <v>30</v>
      </c>
      <c r="B150" s="1523" t="s">
        <v>194</v>
      </c>
      <c r="C150" s="1523">
        <v>2007</v>
      </c>
      <c r="D150" s="1524">
        <f>G60</f>
        <v>196283</v>
      </c>
      <c r="E150" s="1524">
        <f>G21</f>
        <v>87000</v>
      </c>
      <c r="F150" s="1525">
        <f>E150/D150</f>
        <v>0.44323757024296551</v>
      </c>
      <c r="G150" s="1514"/>
      <c r="H150" s="1514"/>
      <c r="I150" s="1514"/>
      <c r="J150" s="1514"/>
      <c r="K150" s="1514"/>
      <c r="L150" s="1514"/>
      <c r="M150" s="1514"/>
      <c r="N150" s="1514"/>
      <c r="O150" s="1514"/>
      <c r="P150" s="1514"/>
      <c r="Q150" s="1514"/>
      <c r="R150" s="1514"/>
      <c r="S150" s="1514"/>
      <c r="T150" s="1514"/>
      <c r="U150" s="1514"/>
      <c r="V150" s="1514"/>
      <c r="W150" s="1522"/>
    </row>
    <row r="151" spans="1:23">
      <c r="A151" s="1523">
        <v>35</v>
      </c>
      <c r="B151" s="1523" t="s">
        <v>195</v>
      </c>
      <c r="C151" s="1523">
        <v>2012</v>
      </c>
      <c r="D151" s="1524">
        <f>L60</f>
        <v>255745</v>
      </c>
      <c r="E151" s="1524">
        <f>L21</f>
        <v>331013</v>
      </c>
      <c r="F151" s="1525">
        <f>E151/D151</f>
        <v>1.2943087841404524</v>
      </c>
      <c r="G151" s="1514"/>
      <c r="H151" s="1514"/>
      <c r="I151" s="1514"/>
      <c r="J151" s="1514"/>
      <c r="K151" s="1514"/>
      <c r="L151" s="1514"/>
      <c r="M151" s="1514"/>
      <c r="N151" s="1514"/>
      <c r="O151" s="1514"/>
      <c r="P151" s="1514"/>
      <c r="Q151" s="1514"/>
      <c r="R151" s="1514"/>
      <c r="S151" s="1514"/>
      <c r="T151" s="1514"/>
      <c r="U151" s="1514"/>
      <c r="V151" s="1514"/>
      <c r="W151" s="1522"/>
    </row>
    <row r="152" spans="1:23">
      <c r="A152" s="1523">
        <v>40</v>
      </c>
      <c r="B152" s="1523" t="s">
        <v>196</v>
      </c>
      <c r="C152" s="1523">
        <v>2017</v>
      </c>
      <c r="D152" s="1524">
        <f>Q60</f>
        <v>820694</v>
      </c>
      <c r="E152" s="1524">
        <f>Q13</f>
        <v>829706</v>
      </c>
      <c r="F152" s="1525">
        <f>E152/D152</f>
        <v>1.0109809502689187</v>
      </c>
      <c r="G152" s="1514"/>
      <c r="H152" s="1514"/>
      <c r="I152" s="1514"/>
      <c r="J152" s="1514"/>
      <c r="K152" s="1514"/>
      <c r="L152" s="1514"/>
      <c r="M152" s="1514"/>
      <c r="N152" s="1514"/>
      <c r="O152" s="1514"/>
      <c r="P152" s="1514"/>
      <c r="Q152" s="1514"/>
      <c r="R152" s="1514"/>
      <c r="S152" s="1514"/>
      <c r="T152" s="1514"/>
      <c r="U152" s="1514"/>
      <c r="V152" s="1514"/>
      <c r="W152" s="1522"/>
    </row>
    <row r="153" spans="1:23">
      <c r="A153" s="1523">
        <v>45</v>
      </c>
      <c r="B153" s="1523" t="s">
        <v>197</v>
      </c>
      <c r="C153" s="1523">
        <v>2022</v>
      </c>
      <c r="D153" s="1551">
        <f>V60</f>
        <v>757302.41999999993</v>
      </c>
      <c r="E153" s="1523"/>
      <c r="F153" s="1523"/>
      <c r="G153" s="1514"/>
      <c r="H153" s="1514"/>
      <c r="I153" s="1514"/>
      <c r="J153" s="1514"/>
      <c r="K153" s="1514"/>
      <c r="L153" s="1514"/>
      <c r="M153" s="1514"/>
      <c r="N153" s="1514"/>
      <c r="O153" s="1514"/>
      <c r="P153" s="1514"/>
      <c r="Q153" s="1514"/>
      <c r="R153" s="1514"/>
      <c r="S153" s="1514"/>
      <c r="T153" s="1514"/>
      <c r="U153" s="1514"/>
      <c r="V153" s="1514"/>
      <c r="W153" s="1522"/>
    </row>
    <row r="154" spans="1:23">
      <c r="A154" s="1523">
        <v>50</v>
      </c>
      <c r="B154" s="1523" t="s">
        <v>198</v>
      </c>
      <c r="C154" s="1523">
        <v>2027</v>
      </c>
      <c r="D154" s="1523"/>
      <c r="E154" s="1523"/>
      <c r="F154" s="1523"/>
      <c r="G154" s="1514"/>
      <c r="H154" s="1514"/>
      <c r="I154" s="1514"/>
      <c r="J154" s="1514"/>
      <c r="K154" s="1514"/>
      <c r="L154" s="1514"/>
      <c r="M154" s="1514"/>
      <c r="N154" s="1514"/>
      <c r="O154" s="1514"/>
      <c r="P154" s="1514"/>
      <c r="Q154" s="1514"/>
      <c r="R154" s="1514"/>
      <c r="S154" s="1514"/>
      <c r="T154" s="1514"/>
      <c r="U154" s="1514"/>
      <c r="V154" s="1514"/>
      <c r="W154" s="1522"/>
    </row>
    <row r="155" spans="1:23">
      <c r="A155" s="1523">
        <v>55</v>
      </c>
      <c r="B155" s="1523" t="s">
        <v>199</v>
      </c>
      <c r="C155" s="1523">
        <v>2032</v>
      </c>
      <c r="D155" s="1523"/>
      <c r="E155" s="1523"/>
      <c r="F155" s="1523"/>
      <c r="G155" s="1514"/>
      <c r="H155" s="1514"/>
      <c r="I155" s="1514"/>
      <c r="J155" s="1514"/>
      <c r="K155" s="1514"/>
      <c r="L155" s="1514"/>
      <c r="M155" s="1514"/>
      <c r="N155" s="1514"/>
      <c r="O155" s="1514"/>
      <c r="P155" s="1514"/>
      <c r="Q155" s="1514"/>
      <c r="R155" s="1514"/>
      <c r="S155" s="1514"/>
      <c r="T155" s="1514"/>
      <c r="U155" s="1514"/>
      <c r="V155" s="1514"/>
      <c r="W155" s="1522"/>
    </row>
    <row r="156" spans="1:23">
      <c r="A156" s="1523">
        <v>60</v>
      </c>
      <c r="B156" s="1523" t="s">
        <v>200</v>
      </c>
      <c r="C156" s="1523">
        <v>2037</v>
      </c>
      <c r="D156" s="1523"/>
      <c r="E156" s="1523"/>
      <c r="F156" s="1523"/>
      <c r="G156" s="1514"/>
      <c r="H156" s="1514"/>
      <c r="I156" s="1514"/>
      <c r="J156" s="1514"/>
      <c r="K156" s="1514"/>
      <c r="L156" s="1514"/>
      <c r="M156" s="1514"/>
      <c r="N156" s="1514"/>
      <c r="O156" s="1514"/>
      <c r="P156" s="1514"/>
      <c r="Q156" s="1514"/>
      <c r="R156" s="1514"/>
      <c r="S156" s="1514"/>
      <c r="T156" s="1514"/>
      <c r="U156" s="1514"/>
      <c r="V156" s="1514"/>
      <c r="W156" s="1522"/>
    </row>
    <row r="157" spans="1:23">
      <c r="A157" s="1523">
        <v>65</v>
      </c>
      <c r="B157" s="1523" t="s">
        <v>201</v>
      </c>
      <c r="C157" s="1523">
        <v>2042</v>
      </c>
      <c r="D157" s="1523"/>
      <c r="E157" s="1523"/>
      <c r="F157" s="1523"/>
      <c r="G157" s="1514"/>
      <c r="H157" s="1514"/>
      <c r="I157" s="1514"/>
      <c r="J157" s="1514"/>
      <c r="K157" s="1514"/>
      <c r="L157" s="1514"/>
      <c r="M157" s="1514"/>
      <c r="N157" s="1514"/>
      <c r="O157" s="1514"/>
      <c r="P157" s="1514"/>
      <c r="Q157" s="1514"/>
      <c r="R157" s="1514"/>
      <c r="S157" s="1514"/>
      <c r="T157" s="1514"/>
      <c r="U157" s="1514"/>
      <c r="V157" s="1514"/>
      <c r="W157" s="1522"/>
    </row>
    <row r="158" spans="1:23">
      <c r="A158" s="1514"/>
      <c r="B158" s="1514"/>
      <c r="C158" s="1514"/>
      <c r="D158" s="1514"/>
      <c r="E158" s="1514"/>
      <c r="F158" s="1514"/>
      <c r="G158" s="1514"/>
      <c r="H158" s="1514"/>
      <c r="I158" s="1514"/>
      <c r="J158" s="1514"/>
      <c r="K158" s="1514"/>
      <c r="L158" s="1514"/>
      <c r="M158" s="1514"/>
      <c r="N158" s="1514"/>
      <c r="O158" s="1514"/>
      <c r="P158" s="1514"/>
      <c r="Q158" s="1514"/>
      <c r="R158" s="1514"/>
      <c r="S158" s="1514"/>
      <c r="T158" s="1514"/>
      <c r="U158" s="1514"/>
      <c r="V158" s="1514"/>
      <c r="W158" s="1522"/>
    </row>
    <row r="159" spans="1:23">
      <c r="A159" s="1514"/>
      <c r="B159" s="1514"/>
      <c r="C159" s="1514"/>
      <c r="D159" s="1514"/>
      <c r="E159" s="1514"/>
      <c r="F159" s="1514"/>
      <c r="G159" s="1514"/>
      <c r="H159" s="1514"/>
      <c r="I159" s="1514"/>
      <c r="J159" s="1514"/>
      <c r="K159" s="1514"/>
      <c r="L159" s="1514"/>
      <c r="M159" s="1514"/>
      <c r="N159" s="1514"/>
      <c r="O159" s="1514"/>
      <c r="P159" s="1514"/>
      <c r="Q159" s="1514"/>
      <c r="R159" s="1514"/>
      <c r="S159" s="1514"/>
      <c r="T159" s="1514"/>
      <c r="U159" s="1514"/>
      <c r="V159" s="1514"/>
      <c r="W159" s="1522"/>
    </row>
    <row r="160" spans="1:23">
      <c r="A160" s="1526" t="s">
        <v>202</v>
      </c>
      <c r="B160" s="1526"/>
      <c r="C160" s="1526"/>
      <c r="D160" s="1526"/>
      <c r="E160" s="1526"/>
      <c r="F160" s="1526"/>
      <c r="G160" s="1526"/>
      <c r="H160" s="1526"/>
      <c r="I160" s="1526"/>
      <c r="J160" s="1526" t="s">
        <v>203</v>
      </c>
      <c r="K160" s="1526" t="s">
        <v>137</v>
      </c>
      <c r="L160" s="1526">
        <v>200</v>
      </c>
      <c r="M160" s="1526" t="s">
        <v>204</v>
      </c>
      <c r="N160" s="1526">
        <v>275</v>
      </c>
      <c r="O160" s="1526"/>
      <c r="P160" s="1526"/>
      <c r="Q160" s="1514"/>
      <c r="R160" s="1514"/>
      <c r="S160" s="1514"/>
      <c r="T160" s="1514"/>
      <c r="U160" s="1514"/>
      <c r="V160" s="1514"/>
      <c r="W160" s="1522"/>
    </row>
    <row r="161" spans="1:23">
      <c r="A161" s="1526" t="s">
        <v>205</v>
      </c>
      <c r="B161" s="1526" t="s">
        <v>206</v>
      </c>
      <c r="C161" s="1526" t="s">
        <v>207</v>
      </c>
      <c r="D161" s="1526" t="s">
        <v>208</v>
      </c>
      <c r="E161" s="1526" t="s">
        <v>209</v>
      </c>
      <c r="F161" s="1526" t="s">
        <v>210</v>
      </c>
      <c r="G161" s="1526" t="s">
        <v>211</v>
      </c>
      <c r="H161" s="1526" t="s">
        <v>212</v>
      </c>
      <c r="I161" s="1526" t="s">
        <v>213</v>
      </c>
      <c r="J161" s="1526"/>
      <c r="K161" s="1526" t="s">
        <v>214</v>
      </c>
      <c r="L161" s="1526" t="s">
        <v>215</v>
      </c>
      <c r="M161" s="1526"/>
      <c r="N161" s="1526" t="s">
        <v>216</v>
      </c>
      <c r="O161" s="1526" t="s">
        <v>217</v>
      </c>
      <c r="P161" s="1526" t="s">
        <v>218</v>
      </c>
      <c r="Q161" s="1514"/>
      <c r="R161" s="1514"/>
      <c r="S161" s="1514"/>
      <c r="T161" s="1514"/>
      <c r="U161" s="1514"/>
      <c r="V161" s="1514"/>
      <c r="W161" s="1522"/>
    </row>
    <row r="162" spans="1:23">
      <c r="A162" s="1527" t="s">
        <v>219</v>
      </c>
      <c r="B162" s="1527" t="s">
        <v>220</v>
      </c>
      <c r="C162" s="1527" t="s">
        <v>221</v>
      </c>
      <c r="D162" s="1527" t="s">
        <v>222</v>
      </c>
      <c r="E162" s="1527" t="s">
        <v>223</v>
      </c>
      <c r="F162" s="1527" t="s">
        <v>224</v>
      </c>
      <c r="G162" s="1528">
        <v>0</v>
      </c>
      <c r="H162" s="1529" t="s">
        <v>225</v>
      </c>
      <c r="I162" s="1530">
        <v>458</v>
      </c>
      <c r="J162" s="1530"/>
      <c r="K162" s="1531">
        <f>I162*$L$160</f>
        <v>91600</v>
      </c>
      <c r="L162" s="1532">
        <f t="shared" ref="L162:L174" si="124">K162/2</f>
        <v>45800</v>
      </c>
      <c r="M162" s="1529" t="s">
        <v>225</v>
      </c>
      <c r="N162" s="1533" t="s">
        <v>37</v>
      </c>
      <c r="O162" s="1529" t="s">
        <v>225</v>
      </c>
      <c r="P162" s="1526"/>
      <c r="Q162" s="1514"/>
      <c r="R162" s="1514"/>
      <c r="S162" s="1514"/>
      <c r="T162" s="1514"/>
      <c r="U162" s="1514"/>
      <c r="V162" s="1514"/>
      <c r="W162" s="1522"/>
    </row>
    <row r="163" spans="1:23">
      <c r="A163" s="1519" t="s">
        <v>219</v>
      </c>
      <c r="B163" s="1519" t="s">
        <v>220</v>
      </c>
      <c r="C163" s="1519" t="s">
        <v>221</v>
      </c>
      <c r="D163" s="1519" t="s">
        <v>222</v>
      </c>
      <c r="E163" s="1519" t="s">
        <v>223</v>
      </c>
      <c r="F163" s="1519" t="s">
        <v>224</v>
      </c>
      <c r="G163" s="1534">
        <v>0</v>
      </c>
      <c r="H163" s="1535" t="s">
        <v>226</v>
      </c>
      <c r="I163" s="1536">
        <v>115</v>
      </c>
      <c r="J163" s="1536"/>
      <c r="K163" s="1537">
        <f>I163*$L$160</f>
        <v>23000</v>
      </c>
      <c r="L163" s="1538">
        <f t="shared" si="124"/>
        <v>11500</v>
      </c>
      <c r="M163" s="1535" t="s">
        <v>226</v>
      </c>
      <c r="N163" s="1539">
        <v>71</v>
      </c>
      <c r="O163" s="1535" t="s">
        <v>226</v>
      </c>
      <c r="P163" s="1540"/>
      <c r="Q163" s="1514"/>
      <c r="R163" s="1514"/>
      <c r="S163" s="1514"/>
      <c r="T163" s="1514"/>
      <c r="U163" s="1514"/>
      <c r="V163" s="1514"/>
      <c r="W163" s="1522"/>
    </row>
    <row r="164" spans="1:23">
      <c r="A164" s="1519" t="s">
        <v>219</v>
      </c>
      <c r="B164" s="1519" t="s">
        <v>220</v>
      </c>
      <c r="C164" s="1519" t="s">
        <v>221</v>
      </c>
      <c r="D164" s="1519" t="s">
        <v>222</v>
      </c>
      <c r="E164" s="1519" t="s">
        <v>223</v>
      </c>
      <c r="F164" s="1519" t="s">
        <v>224</v>
      </c>
      <c r="G164" s="1534">
        <v>0</v>
      </c>
      <c r="H164" s="1535" t="s">
        <v>227</v>
      </c>
      <c r="I164" s="1536">
        <v>114</v>
      </c>
      <c r="J164" s="1536"/>
      <c r="K164" s="1537">
        <f>I164*$L$160</f>
        <v>22800</v>
      </c>
      <c r="L164" s="1538">
        <f t="shared" si="124"/>
        <v>11400</v>
      </c>
      <c r="M164" s="1535" t="s">
        <v>227</v>
      </c>
      <c r="N164" s="1539">
        <f t="shared" ref="N164:N174" si="125">I164</f>
        <v>114</v>
      </c>
      <c r="O164" s="1535" t="s">
        <v>227</v>
      </c>
      <c r="P164" s="1540"/>
      <c r="Q164" s="1514"/>
      <c r="R164" s="1514"/>
      <c r="S164" s="1514"/>
      <c r="T164" s="1514"/>
      <c r="U164" s="1514"/>
      <c r="V164" s="1514"/>
      <c r="W164" s="1522"/>
    </row>
    <row r="165" spans="1:23">
      <c r="A165" s="1526" t="s">
        <v>219</v>
      </c>
      <c r="B165" s="1526" t="s">
        <v>220</v>
      </c>
      <c r="C165" s="1526" t="s">
        <v>221</v>
      </c>
      <c r="D165" s="1526" t="s">
        <v>222</v>
      </c>
      <c r="E165" s="1526" t="s">
        <v>223</v>
      </c>
      <c r="F165" s="1526" t="s">
        <v>224</v>
      </c>
      <c r="G165" s="1541">
        <v>0</v>
      </c>
      <c r="H165" s="1542" t="s">
        <v>228</v>
      </c>
      <c r="I165" s="1540">
        <v>115</v>
      </c>
      <c r="J165" s="1540"/>
      <c r="K165" s="1543">
        <f t="shared" ref="K165:K174" si="126">I165*$N$160</f>
        <v>31625</v>
      </c>
      <c r="L165" s="1544">
        <f t="shared" si="124"/>
        <v>15812.5</v>
      </c>
      <c r="M165" s="1542" t="s">
        <v>228</v>
      </c>
      <c r="N165" s="1545">
        <f t="shared" si="125"/>
        <v>115</v>
      </c>
      <c r="O165" s="1542" t="s">
        <v>228</v>
      </c>
      <c r="P165" s="1540"/>
      <c r="Q165" s="1514"/>
      <c r="R165" s="1514"/>
      <c r="S165" s="1514"/>
      <c r="T165" s="1514"/>
      <c r="U165" s="1514"/>
      <c r="V165" s="1514"/>
      <c r="W165" s="1522"/>
    </row>
    <row r="166" spans="1:23">
      <c r="A166" s="1526" t="s">
        <v>219</v>
      </c>
      <c r="B166" s="1526" t="s">
        <v>220</v>
      </c>
      <c r="C166" s="1526" t="s">
        <v>221</v>
      </c>
      <c r="D166" s="1526" t="s">
        <v>222</v>
      </c>
      <c r="E166" s="1526" t="s">
        <v>223</v>
      </c>
      <c r="F166" s="1526" t="s">
        <v>224</v>
      </c>
      <c r="G166" s="1541">
        <v>0</v>
      </c>
      <c r="H166" s="1542" t="s">
        <v>229</v>
      </c>
      <c r="I166" s="1540">
        <v>115</v>
      </c>
      <c r="J166" s="1540"/>
      <c r="K166" s="1543">
        <f t="shared" si="126"/>
        <v>31625</v>
      </c>
      <c r="L166" s="1544">
        <f t="shared" si="124"/>
        <v>15812.5</v>
      </c>
      <c r="M166" s="1542" t="s">
        <v>229</v>
      </c>
      <c r="N166" s="1545">
        <f t="shared" si="125"/>
        <v>115</v>
      </c>
      <c r="O166" s="1542" t="s">
        <v>229</v>
      </c>
      <c r="P166" s="1540"/>
      <c r="Q166" s="1514"/>
      <c r="R166" s="1514"/>
      <c r="S166" s="1514"/>
      <c r="T166" s="1514"/>
      <c r="U166" s="1514"/>
      <c r="V166" s="1514"/>
      <c r="W166" s="1522"/>
    </row>
    <row r="167" spans="1:23">
      <c r="A167" s="1526" t="s">
        <v>219</v>
      </c>
      <c r="B167" s="1526" t="s">
        <v>220</v>
      </c>
      <c r="C167" s="1526" t="s">
        <v>221</v>
      </c>
      <c r="D167" s="1526" t="s">
        <v>222</v>
      </c>
      <c r="E167" s="1526" t="s">
        <v>223</v>
      </c>
      <c r="F167" s="1526" t="s">
        <v>224</v>
      </c>
      <c r="G167" s="1541">
        <v>0</v>
      </c>
      <c r="H167" s="1542" t="s">
        <v>230</v>
      </c>
      <c r="I167" s="1540">
        <v>114</v>
      </c>
      <c r="J167" s="1540"/>
      <c r="K167" s="1543">
        <f t="shared" si="126"/>
        <v>31350</v>
      </c>
      <c r="L167" s="1544">
        <f t="shared" si="124"/>
        <v>15675</v>
      </c>
      <c r="M167" s="1542" t="s">
        <v>230</v>
      </c>
      <c r="N167" s="1545">
        <f t="shared" si="125"/>
        <v>114</v>
      </c>
      <c r="O167" s="1542" t="s">
        <v>230</v>
      </c>
      <c r="P167" s="1540"/>
      <c r="Q167" s="1514"/>
      <c r="R167" s="1514"/>
      <c r="S167" s="1514"/>
      <c r="T167" s="1514"/>
      <c r="U167" s="1514"/>
      <c r="V167" s="1514"/>
      <c r="W167" s="1522"/>
    </row>
    <row r="168" spans="1:23">
      <c r="A168" s="1526" t="s">
        <v>219</v>
      </c>
      <c r="B168" s="1526" t="s">
        <v>220</v>
      </c>
      <c r="C168" s="1526" t="s">
        <v>221</v>
      </c>
      <c r="D168" s="1526" t="s">
        <v>222</v>
      </c>
      <c r="E168" s="1526" t="s">
        <v>223</v>
      </c>
      <c r="F168" s="1526" t="s">
        <v>224</v>
      </c>
      <c r="G168" s="1541">
        <v>0</v>
      </c>
      <c r="H168" s="1542" t="s">
        <v>231</v>
      </c>
      <c r="I168" s="1540">
        <v>115</v>
      </c>
      <c r="J168" s="1540"/>
      <c r="K168" s="1543">
        <f t="shared" si="126"/>
        <v>31625</v>
      </c>
      <c r="L168" s="1544">
        <f t="shared" si="124"/>
        <v>15812.5</v>
      </c>
      <c r="M168" s="1542" t="s">
        <v>231</v>
      </c>
      <c r="N168" s="1545">
        <f t="shared" si="125"/>
        <v>115</v>
      </c>
      <c r="O168" s="1542" t="s">
        <v>231</v>
      </c>
      <c r="P168" s="1540"/>
      <c r="Q168" s="1514"/>
      <c r="R168" s="1514"/>
      <c r="S168" s="1514"/>
      <c r="T168" s="1514"/>
      <c r="U168" s="1514"/>
      <c r="V168" s="1514"/>
      <c r="W168" s="1522"/>
    </row>
    <row r="169" spans="1:23">
      <c r="A169" s="1526" t="s">
        <v>219</v>
      </c>
      <c r="B169" s="1526" t="s">
        <v>220</v>
      </c>
      <c r="C169" s="1526" t="s">
        <v>221</v>
      </c>
      <c r="D169" s="1526" t="s">
        <v>222</v>
      </c>
      <c r="E169" s="1526" t="s">
        <v>223</v>
      </c>
      <c r="F169" s="1526" t="s">
        <v>224</v>
      </c>
      <c r="G169" s="1541">
        <v>0</v>
      </c>
      <c r="H169" s="1542" t="s">
        <v>232</v>
      </c>
      <c r="I169" s="1540">
        <v>114</v>
      </c>
      <c r="J169" s="1540"/>
      <c r="K169" s="1543">
        <f t="shared" si="126"/>
        <v>31350</v>
      </c>
      <c r="L169" s="1544">
        <f t="shared" si="124"/>
        <v>15675</v>
      </c>
      <c r="M169" s="1542" t="s">
        <v>232</v>
      </c>
      <c r="N169" s="1545">
        <f t="shared" si="125"/>
        <v>114</v>
      </c>
      <c r="O169" s="1542" t="s">
        <v>232</v>
      </c>
      <c r="P169" s="1540"/>
      <c r="Q169" s="1514"/>
      <c r="R169" s="1514"/>
      <c r="S169" s="1514"/>
      <c r="T169" s="1514"/>
      <c r="U169" s="1514"/>
      <c r="V169" s="1514"/>
      <c r="W169" s="1522"/>
    </row>
    <row r="170" spans="1:23">
      <c r="A170" s="1526" t="s">
        <v>219</v>
      </c>
      <c r="B170" s="1526" t="s">
        <v>220</v>
      </c>
      <c r="C170" s="1526" t="s">
        <v>221</v>
      </c>
      <c r="D170" s="1526" t="s">
        <v>222</v>
      </c>
      <c r="E170" s="1526" t="s">
        <v>223</v>
      </c>
      <c r="F170" s="1526" t="s">
        <v>224</v>
      </c>
      <c r="G170" s="1541">
        <v>0</v>
      </c>
      <c r="H170" s="1542" t="s">
        <v>233</v>
      </c>
      <c r="I170" s="1540">
        <v>115</v>
      </c>
      <c r="J170" s="1540"/>
      <c r="K170" s="1543">
        <f t="shared" si="126"/>
        <v>31625</v>
      </c>
      <c r="L170" s="1544">
        <f t="shared" si="124"/>
        <v>15812.5</v>
      </c>
      <c r="M170" s="1542" t="s">
        <v>233</v>
      </c>
      <c r="N170" s="1545">
        <f t="shared" si="125"/>
        <v>115</v>
      </c>
      <c r="O170" s="1542" t="s">
        <v>233</v>
      </c>
      <c r="P170" s="1540"/>
      <c r="Q170" s="1514"/>
      <c r="R170" s="1514"/>
      <c r="S170" s="1514"/>
      <c r="T170" s="1514"/>
      <c r="U170" s="1514"/>
      <c r="V170" s="1514"/>
      <c r="W170" s="1522"/>
    </row>
    <row r="171" spans="1:23">
      <c r="A171" s="1526" t="s">
        <v>219</v>
      </c>
      <c r="B171" s="1526" t="s">
        <v>220</v>
      </c>
      <c r="C171" s="1526" t="s">
        <v>221</v>
      </c>
      <c r="D171" s="1526" t="s">
        <v>222</v>
      </c>
      <c r="E171" s="1526" t="s">
        <v>223</v>
      </c>
      <c r="F171" s="1526" t="s">
        <v>224</v>
      </c>
      <c r="G171" s="1541">
        <v>0</v>
      </c>
      <c r="H171" s="1542" t="s">
        <v>234</v>
      </c>
      <c r="I171" s="1540">
        <v>115</v>
      </c>
      <c r="J171" s="1540"/>
      <c r="K171" s="1543">
        <f t="shared" si="126"/>
        <v>31625</v>
      </c>
      <c r="L171" s="1544">
        <f t="shared" si="124"/>
        <v>15812.5</v>
      </c>
      <c r="M171" s="1542" t="s">
        <v>234</v>
      </c>
      <c r="N171" s="1545">
        <f t="shared" si="125"/>
        <v>115</v>
      </c>
      <c r="O171" s="1542" t="s">
        <v>234</v>
      </c>
      <c r="P171" s="1540"/>
      <c r="Q171" s="1514"/>
      <c r="R171" s="1514"/>
      <c r="S171" s="1514"/>
      <c r="T171" s="1514"/>
      <c r="U171" s="1514"/>
      <c r="V171" s="1514"/>
      <c r="W171" s="1522"/>
    </row>
    <row r="172" spans="1:23">
      <c r="A172" s="1526" t="s">
        <v>219</v>
      </c>
      <c r="B172" s="1526" t="s">
        <v>220</v>
      </c>
      <c r="C172" s="1526" t="s">
        <v>221</v>
      </c>
      <c r="D172" s="1526" t="s">
        <v>222</v>
      </c>
      <c r="E172" s="1526" t="s">
        <v>223</v>
      </c>
      <c r="F172" s="1526" t="s">
        <v>224</v>
      </c>
      <c r="G172" s="1541">
        <v>0</v>
      </c>
      <c r="H172" s="1542" t="s">
        <v>235</v>
      </c>
      <c r="I172" s="1540">
        <v>114</v>
      </c>
      <c r="J172" s="1540"/>
      <c r="K172" s="1543">
        <f t="shared" si="126"/>
        <v>31350</v>
      </c>
      <c r="L172" s="1544">
        <f t="shared" si="124"/>
        <v>15675</v>
      </c>
      <c r="M172" s="1542" t="s">
        <v>235</v>
      </c>
      <c r="N172" s="1545">
        <f t="shared" si="125"/>
        <v>114</v>
      </c>
      <c r="O172" s="1542" t="s">
        <v>235</v>
      </c>
      <c r="P172" s="1540"/>
      <c r="Q172" s="1514"/>
      <c r="R172" s="1514"/>
      <c r="S172" s="1514"/>
      <c r="T172" s="1514"/>
      <c r="U172" s="1514"/>
      <c r="V172" s="1514"/>
      <c r="W172" s="1522"/>
    </row>
    <row r="173" spans="1:23">
      <c r="A173" s="1526" t="s">
        <v>219</v>
      </c>
      <c r="B173" s="1526" t="s">
        <v>220</v>
      </c>
      <c r="C173" s="1526" t="s">
        <v>221</v>
      </c>
      <c r="D173" s="1526" t="s">
        <v>222</v>
      </c>
      <c r="E173" s="1526" t="s">
        <v>223</v>
      </c>
      <c r="F173" s="1526" t="s">
        <v>224</v>
      </c>
      <c r="G173" s="1541">
        <v>0</v>
      </c>
      <c r="H173" s="1542" t="s">
        <v>236</v>
      </c>
      <c r="I173" s="1540">
        <v>115</v>
      </c>
      <c r="J173" s="1540"/>
      <c r="K173" s="1543">
        <f t="shared" si="126"/>
        <v>31625</v>
      </c>
      <c r="L173" s="1544">
        <f t="shared" si="124"/>
        <v>15812.5</v>
      </c>
      <c r="M173" s="1542" t="s">
        <v>236</v>
      </c>
      <c r="N173" s="1545">
        <f t="shared" si="125"/>
        <v>115</v>
      </c>
      <c r="O173" s="1542" t="s">
        <v>236</v>
      </c>
      <c r="P173" s="1540"/>
      <c r="Q173" s="1514"/>
      <c r="R173" s="1514"/>
      <c r="S173" s="1514"/>
      <c r="T173" s="1514"/>
      <c r="U173" s="1514"/>
      <c r="V173" s="1514"/>
      <c r="W173" s="1522"/>
    </row>
    <row r="174" spans="1:23">
      <c r="A174" s="1526" t="s">
        <v>219</v>
      </c>
      <c r="B174" s="1526" t="s">
        <v>220</v>
      </c>
      <c r="C174" s="1526" t="s">
        <v>221</v>
      </c>
      <c r="D174" s="1526" t="s">
        <v>222</v>
      </c>
      <c r="E174" s="1526" t="s">
        <v>223</v>
      </c>
      <c r="F174" s="1526" t="s">
        <v>224</v>
      </c>
      <c r="G174" s="1541">
        <v>0</v>
      </c>
      <c r="H174" s="1542" t="s">
        <v>237</v>
      </c>
      <c r="I174" s="1540">
        <v>115</v>
      </c>
      <c r="J174" s="1540"/>
      <c r="K174" s="1543">
        <f t="shared" si="126"/>
        <v>31625</v>
      </c>
      <c r="L174" s="1544">
        <f t="shared" si="124"/>
        <v>15812.5</v>
      </c>
      <c r="M174" s="1542" t="s">
        <v>237</v>
      </c>
      <c r="N174" s="1545">
        <f t="shared" si="125"/>
        <v>115</v>
      </c>
      <c r="O174" s="1542" t="s">
        <v>237</v>
      </c>
      <c r="P174" s="1540"/>
      <c r="Q174" s="1514"/>
      <c r="R174" s="1514"/>
      <c r="S174" s="1514"/>
      <c r="T174" s="1514"/>
      <c r="U174" s="1514"/>
      <c r="V174" s="1514"/>
      <c r="W174" s="1522"/>
    </row>
    <row r="175" spans="1:23">
      <c r="A175" s="1514"/>
      <c r="B175" s="1514"/>
      <c r="C175" s="1514"/>
      <c r="D175" s="1514"/>
      <c r="E175" s="1514"/>
      <c r="F175" s="1514"/>
      <c r="G175" s="1514"/>
      <c r="H175" s="1514"/>
      <c r="I175" s="1514"/>
      <c r="J175" s="1514"/>
      <c r="K175" s="1514"/>
      <c r="L175" s="1514"/>
      <c r="M175" s="1514"/>
      <c r="N175" s="1514"/>
      <c r="O175" s="1546"/>
      <c r="P175" s="1547"/>
      <c r="Q175" s="1514"/>
      <c r="R175" s="1514"/>
      <c r="S175" s="1514"/>
      <c r="T175" s="1514"/>
      <c r="U175" s="1514"/>
      <c r="V175" s="1514"/>
      <c r="W175" s="1522"/>
    </row>
    <row r="176" spans="1:23">
      <c r="A176" s="1526" t="s">
        <v>238</v>
      </c>
      <c r="B176" s="1526"/>
      <c r="C176" s="1526"/>
      <c r="D176" s="1526"/>
      <c r="E176" s="1526"/>
      <c r="F176" s="1526"/>
      <c r="G176" s="1526"/>
      <c r="H176" s="1526"/>
      <c r="I176" s="1526"/>
      <c r="J176" s="1526"/>
      <c r="K176" s="1526"/>
      <c r="L176" s="1526"/>
      <c r="M176" s="1526"/>
      <c r="N176" s="1548">
        <f>SUM(N162:N174)</f>
        <v>1332</v>
      </c>
      <c r="O176" s="1526"/>
      <c r="P176" s="1549">
        <f>SUM(P162:P174)</f>
        <v>0</v>
      </c>
      <c r="Q176" s="1514"/>
      <c r="R176" s="1514"/>
      <c r="S176" s="1514"/>
      <c r="T176" s="1514"/>
      <c r="U176" s="1514"/>
      <c r="V176" s="1514"/>
      <c r="W176" s="1522"/>
    </row>
    <row r="177" spans="1:23">
      <c r="A177" s="1514"/>
      <c r="Q177" s="1514"/>
      <c r="R177" s="1514"/>
      <c r="S177" s="1514"/>
      <c r="T177" s="1514"/>
      <c r="U177" s="1514"/>
      <c r="V177" s="1514"/>
      <c r="W177" s="1522"/>
    </row>
    <row r="178" spans="1:23">
      <c r="A178" s="1514"/>
      <c r="Q178" s="1514"/>
      <c r="R178" s="1514"/>
      <c r="S178" s="1514"/>
      <c r="T178" s="1514"/>
      <c r="U178" s="1514"/>
      <c r="V178" s="1514"/>
      <c r="W178" s="1522"/>
    </row>
    <row r="179" spans="1:23">
      <c r="A179" s="1514"/>
      <c r="Q179" s="1514"/>
      <c r="R179" s="1514"/>
      <c r="S179" s="1514"/>
      <c r="T179" s="1514"/>
      <c r="U179" s="1514"/>
      <c r="V179" s="1514"/>
      <c r="W179" s="1522"/>
    </row>
    <row r="180" spans="1:23">
      <c r="A180" s="1514"/>
      <c r="Q180" s="1514"/>
      <c r="R180" s="1514"/>
      <c r="S180" s="1514"/>
      <c r="T180" s="1514"/>
      <c r="U180" s="1514"/>
      <c r="V180" s="1514"/>
      <c r="W180" s="1522"/>
    </row>
    <row r="181" spans="1:23">
      <c r="A181" s="1514"/>
      <c r="Q181" s="1514"/>
      <c r="R181" s="1514"/>
      <c r="S181" s="1514"/>
      <c r="T181" s="1514"/>
      <c r="U181" s="1514"/>
      <c r="V181" s="1514"/>
      <c r="W181" s="1522"/>
    </row>
    <row r="182" spans="1:23">
      <c r="A182" s="1514"/>
      <c r="Q182" s="1514"/>
      <c r="R182" s="1514"/>
      <c r="S182" s="1514"/>
      <c r="T182" s="1514"/>
      <c r="U182" s="1514"/>
      <c r="V182" s="1514"/>
      <c r="W182" s="1522"/>
    </row>
    <row r="183" spans="1:23">
      <c r="A183" s="1514"/>
      <c r="Q183" s="1514"/>
      <c r="R183" s="1514"/>
      <c r="S183" s="1514"/>
      <c r="T183" s="1514"/>
      <c r="U183" s="1514"/>
      <c r="V183" s="1514"/>
      <c r="W183" s="1522"/>
    </row>
    <row r="184" spans="1:23">
      <c r="A184" s="1514"/>
      <c r="Q184" s="1514"/>
      <c r="R184" s="1514"/>
      <c r="S184" s="1514"/>
      <c r="T184" s="1514"/>
      <c r="U184" s="1514"/>
      <c r="V184" s="1514"/>
      <c r="W184" s="1522"/>
    </row>
    <row r="185" spans="1:23">
      <c r="A185" s="1514"/>
      <c r="Q185" s="1514"/>
      <c r="R185" s="1514"/>
      <c r="S185" s="1514"/>
      <c r="T185" s="1514"/>
      <c r="U185" s="1514"/>
      <c r="V185" s="1514"/>
      <c r="W185" s="1522"/>
    </row>
    <row r="186" spans="1:23">
      <c r="A186" s="1514"/>
      <c r="Q186" s="1514"/>
      <c r="R186" s="1514"/>
      <c r="S186" s="1514"/>
      <c r="T186" s="1514"/>
      <c r="U186" s="1514"/>
      <c r="V186" s="1514"/>
      <c r="W186" s="1522"/>
    </row>
    <row r="187" spans="1:23">
      <c r="A187" s="1514"/>
      <c r="Q187" s="1514"/>
      <c r="R187" s="1514"/>
      <c r="S187" s="1514"/>
      <c r="T187" s="1514"/>
      <c r="U187" s="1514"/>
      <c r="V187" s="1514"/>
      <c r="W187" s="1522"/>
    </row>
    <row r="188" spans="1:23">
      <c r="A188" s="1514"/>
      <c r="Q188" s="1514"/>
      <c r="R188" s="1514"/>
      <c r="S188" s="1514"/>
      <c r="T188" s="1514"/>
      <c r="U188" s="1514"/>
      <c r="V188" s="1514"/>
      <c r="W188" s="1522"/>
    </row>
    <row r="189" spans="1:23">
      <c r="A189" s="1514"/>
      <c r="Q189" s="1514"/>
      <c r="R189" s="1514"/>
      <c r="S189" s="1514"/>
      <c r="T189" s="1514"/>
      <c r="U189" s="1514"/>
      <c r="V189" s="1514"/>
      <c r="W189" s="1522"/>
    </row>
    <row r="190" spans="1:23">
      <c r="A190" s="1514"/>
      <c r="Q190" s="1514"/>
      <c r="R190" s="1514"/>
      <c r="S190" s="1514"/>
      <c r="T190" s="1514"/>
      <c r="U190" s="1514"/>
      <c r="V190" s="1514"/>
      <c r="W190" s="1522"/>
    </row>
    <row r="191" spans="1:23">
      <c r="A191" s="1514"/>
      <c r="Q191" s="1514"/>
      <c r="R191" s="1514"/>
      <c r="S191" s="1514"/>
      <c r="T191" s="1514"/>
      <c r="U191" s="1514"/>
      <c r="V191" s="1514"/>
      <c r="W191" s="1522"/>
    </row>
    <row r="192" spans="1:23">
      <c r="A192" s="1514"/>
      <c r="Q192" s="1514"/>
      <c r="R192" s="1514"/>
      <c r="S192" s="1514"/>
      <c r="T192" s="1514"/>
      <c r="U192" s="1514"/>
      <c r="V192" s="1514"/>
      <c r="W192" s="1522"/>
    </row>
    <row r="193" spans="1:23">
      <c r="A193" s="1514"/>
      <c r="Q193" s="1514"/>
      <c r="R193" s="1514"/>
      <c r="S193" s="1514"/>
      <c r="T193" s="1514"/>
      <c r="U193" s="1514"/>
      <c r="V193" s="1514"/>
      <c r="W193" s="1522"/>
    </row>
    <row r="194" spans="1:23">
      <c r="A194" s="1514"/>
      <c r="Q194" s="1514"/>
      <c r="R194" s="1514"/>
      <c r="S194" s="1514"/>
      <c r="T194" s="1514"/>
      <c r="U194" s="1514"/>
      <c r="V194" s="1514"/>
      <c r="W194" s="1522"/>
    </row>
    <row r="195" spans="1:23">
      <c r="A195" s="1514"/>
      <c r="Q195" s="1514"/>
      <c r="R195" s="1514"/>
      <c r="S195" s="1514"/>
      <c r="T195" s="1514"/>
      <c r="U195" s="1514"/>
      <c r="V195" s="1514"/>
      <c r="W195" s="1522"/>
    </row>
    <row r="196" spans="1:23">
      <c r="A196" s="1514"/>
      <c r="Q196" s="1514"/>
      <c r="R196" s="1514"/>
      <c r="S196" s="1514"/>
      <c r="T196" s="1514"/>
      <c r="U196" s="1514"/>
      <c r="V196" s="1514"/>
      <c r="W196" s="1522"/>
    </row>
    <row r="197" spans="1:23">
      <c r="A197" s="1514"/>
      <c r="Q197" s="1514"/>
      <c r="R197" s="1514"/>
      <c r="S197" s="1514"/>
      <c r="T197" s="1514"/>
      <c r="U197" s="1514"/>
      <c r="V197" s="1514"/>
      <c r="W197" s="1522"/>
    </row>
    <row r="198" spans="1:23">
      <c r="A198" s="1514"/>
      <c r="Q198" s="1514"/>
      <c r="R198" s="1514"/>
      <c r="S198" s="1514"/>
      <c r="T198" s="1514"/>
      <c r="U198" s="1514"/>
      <c r="V198" s="1514"/>
      <c r="W198" s="1522"/>
    </row>
    <row r="199" spans="1:23">
      <c r="A199" s="1514"/>
      <c r="Q199" s="1514"/>
      <c r="R199" s="1514"/>
      <c r="S199" s="1514"/>
      <c r="T199" s="1514"/>
      <c r="U199" s="1514"/>
      <c r="V199" s="1514"/>
      <c r="W199" s="1522"/>
    </row>
    <row r="200" spans="1:23">
      <c r="A200" s="1514"/>
      <c r="Q200" s="1514"/>
      <c r="R200" s="1514"/>
      <c r="S200" s="1514"/>
      <c r="T200" s="1514"/>
      <c r="U200" s="1514"/>
      <c r="V200" s="1514"/>
      <c r="W200" s="1522"/>
    </row>
    <row r="201" spans="1:23">
      <c r="A201" s="1514"/>
      <c r="Q201" s="1514"/>
      <c r="R201" s="1514"/>
      <c r="S201" s="1514"/>
      <c r="T201" s="1514"/>
      <c r="U201" s="1514"/>
      <c r="V201" s="1514"/>
      <c r="W201" s="1522"/>
    </row>
    <row r="202" spans="1:23">
      <c r="A202" s="1514"/>
      <c r="Q202" s="1514"/>
      <c r="R202" s="1514"/>
      <c r="S202" s="1514"/>
      <c r="T202" s="1514"/>
      <c r="U202" s="1514"/>
      <c r="V202" s="1514"/>
      <c r="W202" s="1522"/>
    </row>
    <row r="203" spans="1:23">
      <c r="A203" s="1514"/>
      <c r="Q203" s="1514"/>
      <c r="R203" s="1514"/>
      <c r="S203" s="1514"/>
      <c r="T203" s="1514"/>
      <c r="U203" s="1514"/>
      <c r="V203" s="1514"/>
      <c r="W203" s="1522"/>
    </row>
    <row r="204" spans="1:23">
      <c r="A204" s="1514"/>
      <c r="Q204" s="1514"/>
      <c r="R204" s="1514"/>
      <c r="S204" s="1514"/>
      <c r="T204" s="1514"/>
      <c r="U204" s="1514"/>
      <c r="V204" s="1514"/>
      <c r="W204" s="1522"/>
    </row>
    <row r="205" spans="1:23">
      <c r="A205" s="1514"/>
      <c r="Q205" s="1514"/>
      <c r="R205" s="1514"/>
      <c r="S205" s="1514"/>
      <c r="T205" s="1514"/>
      <c r="U205" s="1514"/>
      <c r="V205" s="1514"/>
      <c r="W205" s="1522"/>
    </row>
    <row r="206" spans="1:23">
      <c r="A206" s="1514"/>
      <c r="Q206" s="1514"/>
      <c r="R206" s="1514"/>
      <c r="S206" s="1514"/>
      <c r="T206" s="1514"/>
      <c r="U206" s="1514"/>
      <c r="V206" s="1514"/>
      <c r="W206" s="1522"/>
    </row>
    <row r="207" spans="1:23">
      <c r="A207" s="1514"/>
      <c r="Q207" s="1514"/>
      <c r="R207" s="1514"/>
      <c r="S207" s="1514"/>
      <c r="T207" s="1514"/>
      <c r="U207" s="1514"/>
      <c r="V207" s="1514"/>
      <c r="W207" s="1522"/>
    </row>
    <row r="208" spans="1:23">
      <c r="A208" s="1514"/>
      <c r="Q208" s="1514"/>
      <c r="R208" s="1514"/>
      <c r="S208" s="1514"/>
      <c r="T208" s="1514"/>
      <c r="U208" s="1514"/>
      <c r="V208" s="1514"/>
      <c r="W208" s="1522"/>
    </row>
    <row r="209" spans="1:23">
      <c r="A209" s="1514"/>
      <c r="Q209" s="1514"/>
      <c r="R209" s="1514"/>
      <c r="S209" s="1514"/>
      <c r="T209" s="1514"/>
      <c r="U209" s="1514"/>
      <c r="V209" s="1514"/>
      <c r="W209" s="1522"/>
    </row>
    <row r="210" spans="1:23">
      <c r="A210" s="1514"/>
      <c r="Q210" s="1514"/>
      <c r="R210" s="1514"/>
      <c r="S210" s="1514"/>
      <c r="T210" s="1514"/>
      <c r="U210" s="1514"/>
      <c r="V210" s="1514"/>
      <c r="W210" s="1522"/>
    </row>
    <row r="211" spans="1:23">
      <c r="A211" s="1514"/>
      <c r="Q211" s="1514"/>
      <c r="R211" s="1514"/>
      <c r="S211" s="1514"/>
      <c r="T211" s="1514"/>
      <c r="U211" s="1514"/>
      <c r="V211" s="1514"/>
      <c r="W211" s="1522"/>
    </row>
    <row r="212" spans="1:23">
      <c r="A212" s="1514"/>
      <c r="Q212" s="1514"/>
      <c r="R212" s="1514"/>
      <c r="S212" s="1514"/>
      <c r="T212" s="1514"/>
      <c r="U212" s="1514"/>
      <c r="V212" s="1514"/>
      <c r="W212" s="1522"/>
    </row>
    <row r="213" spans="1:23">
      <c r="A213" s="1514"/>
      <c r="Q213" s="1514"/>
      <c r="R213" s="1514"/>
      <c r="S213" s="1514"/>
      <c r="T213" s="1514"/>
      <c r="U213" s="1514"/>
      <c r="V213" s="1514"/>
      <c r="W213" s="1522"/>
    </row>
    <row r="214" spans="1:23">
      <c r="A214" s="1514"/>
      <c r="Q214" s="1514"/>
      <c r="R214" s="1514"/>
      <c r="S214" s="1514"/>
      <c r="T214" s="1514"/>
      <c r="U214" s="1514"/>
      <c r="V214" s="1514"/>
      <c r="W214" s="1522"/>
    </row>
    <row r="215" spans="1:23">
      <c r="A215" s="1514"/>
      <c r="Q215" s="1514"/>
      <c r="R215" s="1514"/>
      <c r="S215" s="1514"/>
      <c r="T215" s="1514"/>
      <c r="U215" s="1514"/>
      <c r="V215" s="1514"/>
      <c r="W215" s="1522"/>
    </row>
    <row r="216" spans="1:23">
      <c r="A216" s="1514"/>
      <c r="Q216" s="1514"/>
      <c r="R216" s="1514"/>
      <c r="S216" s="1514"/>
      <c r="T216" s="1514"/>
      <c r="U216" s="1514"/>
      <c r="V216" s="1514"/>
      <c r="W216" s="1522"/>
    </row>
    <row r="217" spans="1:23">
      <c r="A217" s="1514"/>
      <c r="Q217" s="1514"/>
      <c r="R217" s="1514"/>
      <c r="S217" s="1514"/>
      <c r="T217" s="1514"/>
      <c r="U217" s="1514"/>
      <c r="V217" s="1514"/>
      <c r="W217" s="1522"/>
    </row>
    <row r="218" spans="1:23">
      <c r="A218" s="1514"/>
      <c r="Q218" s="1514"/>
      <c r="R218" s="1514"/>
      <c r="S218" s="1514"/>
      <c r="T218" s="1514"/>
      <c r="U218" s="1514"/>
      <c r="V218" s="1514"/>
      <c r="W218" s="1522"/>
    </row>
    <row r="219" spans="1:23">
      <c r="A219" s="1514"/>
      <c r="Q219" s="1514"/>
      <c r="R219" s="1514"/>
      <c r="S219" s="1514"/>
      <c r="T219" s="1514"/>
      <c r="U219" s="1514"/>
      <c r="V219" s="1514"/>
      <c r="W219" s="1522"/>
    </row>
    <row r="220" spans="1:23">
      <c r="A220" s="1514"/>
      <c r="Q220" s="1514"/>
      <c r="R220" s="1514"/>
      <c r="S220" s="1514"/>
      <c r="T220" s="1514"/>
      <c r="U220" s="1514"/>
      <c r="V220" s="1514"/>
      <c r="W220" s="1522"/>
    </row>
    <row r="221" spans="1:23">
      <c r="A221" s="1514"/>
      <c r="Q221" s="1514"/>
      <c r="R221" s="1514"/>
      <c r="S221" s="1514"/>
      <c r="T221" s="1514"/>
      <c r="U221" s="1514"/>
      <c r="V221" s="1514"/>
      <c r="W221" s="1522"/>
    </row>
    <row r="222" spans="1:23">
      <c r="A222" s="1514"/>
      <c r="Q222" s="1514"/>
      <c r="R222" s="1514"/>
      <c r="S222" s="1514"/>
      <c r="T222" s="1514"/>
      <c r="U222" s="1514"/>
      <c r="V222" s="1514"/>
      <c r="W222" s="1522"/>
    </row>
    <row r="223" spans="1:23">
      <c r="A223" s="1514"/>
      <c r="Q223" s="1514"/>
      <c r="R223" s="1514"/>
      <c r="S223" s="1514"/>
      <c r="T223" s="1514"/>
      <c r="U223" s="1514"/>
      <c r="V223" s="1514"/>
      <c r="W223" s="1522"/>
    </row>
    <row r="224" spans="1:23">
      <c r="A224" s="1514"/>
      <c r="Q224" s="1514"/>
      <c r="R224" s="1514"/>
      <c r="S224" s="1514"/>
      <c r="T224" s="1514"/>
      <c r="U224" s="1514"/>
      <c r="V224" s="1514"/>
      <c r="W224" s="1522"/>
    </row>
    <row r="225" spans="1:23">
      <c r="A225" s="1514"/>
      <c r="Q225" s="1514"/>
      <c r="R225" s="1514"/>
      <c r="S225" s="1514"/>
      <c r="T225" s="1514"/>
      <c r="U225" s="1514"/>
      <c r="V225" s="1514"/>
      <c r="W225" s="1522"/>
    </row>
    <row r="226" spans="1:23">
      <c r="A226" s="1514"/>
      <c r="Q226" s="1514"/>
      <c r="R226" s="1514"/>
      <c r="S226" s="1514"/>
      <c r="T226" s="1514"/>
      <c r="U226" s="1514"/>
      <c r="V226" s="1514"/>
      <c r="W226" s="1522"/>
    </row>
    <row r="227" spans="1:23">
      <c r="A227" s="1514"/>
      <c r="Q227" s="1514"/>
      <c r="R227" s="1514"/>
      <c r="S227" s="1514"/>
      <c r="T227" s="1514"/>
      <c r="U227" s="1514"/>
      <c r="V227" s="1514"/>
      <c r="W227" s="1522"/>
    </row>
    <row r="228" spans="1:23">
      <c r="A228" s="1514"/>
      <c r="Q228" s="1514"/>
      <c r="R228" s="1514"/>
      <c r="S228" s="1514"/>
      <c r="T228" s="1514"/>
      <c r="U228" s="1514"/>
      <c r="V228" s="1514"/>
      <c r="W228" s="1522"/>
    </row>
    <row r="229" spans="1:23">
      <c r="A229" s="1514"/>
      <c r="Q229" s="1514"/>
      <c r="R229" s="1514"/>
      <c r="S229" s="1514"/>
      <c r="T229" s="1514"/>
      <c r="U229" s="1514"/>
      <c r="V229" s="1514"/>
      <c r="W229" s="1522"/>
    </row>
    <row r="230" spans="1:23">
      <c r="A230" s="1514"/>
      <c r="Q230" s="1514"/>
      <c r="R230" s="1514"/>
      <c r="S230" s="1514"/>
      <c r="T230" s="1514"/>
      <c r="U230" s="1514"/>
      <c r="V230" s="1514"/>
      <c r="W230" s="1522"/>
    </row>
    <row r="231" spans="1:23">
      <c r="A231" s="1514"/>
      <c r="Q231" s="1514"/>
      <c r="R231" s="1514"/>
      <c r="S231" s="1514"/>
      <c r="T231" s="1514"/>
      <c r="U231" s="1514"/>
      <c r="V231" s="1514"/>
      <c r="W231" s="1522"/>
    </row>
    <row r="232" spans="1:23">
      <c r="A232" s="1514"/>
      <c r="Q232" s="1514"/>
      <c r="R232" s="1514"/>
      <c r="S232" s="1514"/>
      <c r="T232" s="1514"/>
      <c r="U232" s="1514"/>
      <c r="V232" s="1514"/>
      <c r="W232" s="1522"/>
    </row>
    <row r="233" spans="1:23">
      <c r="A233" s="1514"/>
      <c r="Q233" s="1514"/>
      <c r="R233" s="1514"/>
      <c r="S233" s="1514"/>
      <c r="T233" s="1514"/>
      <c r="U233" s="1514"/>
      <c r="V233" s="1514"/>
      <c r="W233" s="1522"/>
    </row>
    <row r="234" spans="1:23">
      <c r="A234" s="1514"/>
      <c r="Q234" s="1514"/>
      <c r="R234" s="1514"/>
      <c r="S234" s="1514"/>
      <c r="T234" s="1514"/>
      <c r="U234" s="1514"/>
      <c r="V234" s="1514"/>
      <c r="W234" s="1522"/>
    </row>
    <row r="235" spans="1:23">
      <c r="A235" s="1514"/>
      <c r="Q235" s="1514"/>
      <c r="R235" s="1514"/>
      <c r="S235" s="1514"/>
      <c r="T235" s="1514"/>
      <c r="U235" s="1514"/>
      <c r="V235" s="1514"/>
      <c r="W235" s="1522"/>
    </row>
    <row r="236" spans="1:23">
      <c r="A236" s="1514"/>
      <c r="Q236" s="1514"/>
      <c r="R236" s="1514"/>
      <c r="S236" s="1514"/>
      <c r="T236" s="1514"/>
      <c r="U236" s="1514"/>
      <c r="V236" s="1514"/>
      <c r="W236" s="1522"/>
    </row>
    <row r="237" spans="1:23">
      <c r="A237" s="1514"/>
      <c r="Q237" s="1514"/>
      <c r="R237" s="1514"/>
      <c r="S237" s="1514"/>
      <c r="T237" s="1514"/>
      <c r="U237" s="1514"/>
      <c r="V237" s="1514"/>
      <c r="W237" s="1522"/>
    </row>
    <row r="238" spans="1:23">
      <c r="A238" s="1514"/>
      <c r="Q238" s="1514"/>
      <c r="R238" s="1514"/>
      <c r="S238" s="1514"/>
      <c r="T238" s="1514"/>
      <c r="U238" s="1514"/>
      <c r="V238" s="1514"/>
      <c r="W238" s="1522"/>
    </row>
    <row r="239" spans="1:23">
      <c r="A239" s="1514"/>
      <c r="Q239" s="1514"/>
      <c r="R239" s="1514"/>
      <c r="S239" s="1514"/>
      <c r="T239" s="1514"/>
      <c r="U239" s="1514"/>
      <c r="V239" s="1514"/>
      <c r="W239" s="1522"/>
    </row>
    <row r="240" spans="1:23">
      <c r="A240" s="1514"/>
      <c r="Q240" s="1514"/>
      <c r="R240" s="1514"/>
      <c r="S240" s="1514"/>
      <c r="T240" s="1514"/>
      <c r="U240" s="1514"/>
      <c r="V240" s="1514"/>
      <c r="W240" s="1522"/>
    </row>
    <row r="241" spans="1:23">
      <c r="A241" s="1514"/>
      <c r="Q241" s="1514"/>
      <c r="R241" s="1514"/>
      <c r="S241" s="1514"/>
      <c r="T241" s="1514"/>
      <c r="U241" s="1514"/>
      <c r="V241" s="1514"/>
      <c r="W241" s="1522"/>
    </row>
    <row r="242" spans="1:23">
      <c r="A242" s="1514"/>
      <c r="Q242" s="1514"/>
      <c r="R242" s="1514"/>
      <c r="S242" s="1514"/>
      <c r="T242" s="1514"/>
      <c r="U242" s="1514"/>
      <c r="V242" s="1514"/>
      <c r="W242" s="1522"/>
    </row>
    <row r="243" spans="1:23">
      <c r="A243" s="1514"/>
      <c r="Q243" s="1514"/>
      <c r="R243" s="1514"/>
      <c r="S243" s="1514"/>
      <c r="T243" s="1514"/>
      <c r="U243" s="1514"/>
      <c r="V243" s="1514"/>
      <c r="W243" s="1522"/>
    </row>
    <row r="244" spans="1:23">
      <c r="A244" s="1514"/>
      <c r="Q244" s="1514"/>
      <c r="R244" s="1514"/>
      <c r="S244" s="1514"/>
      <c r="T244" s="1514"/>
      <c r="U244" s="1514"/>
      <c r="V244" s="1514"/>
      <c r="W244" s="1522"/>
    </row>
    <row r="245" spans="1:23">
      <c r="A245" s="1514"/>
      <c r="Q245" s="1514"/>
      <c r="R245" s="1514"/>
      <c r="S245" s="1514"/>
      <c r="T245" s="1514"/>
      <c r="U245" s="1514"/>
      <c r="V245" s="1514"/>
      <c r="W245" s="1522"/>
    </row>
    <row r="246" spans="1:23">
      <c r="A246" s="1514"/>
      <c r="Q246" s="1514"/>
      <c r="R246" s="1514"/>
      <c r="S246" s="1514"/>
      <c r="T246" s="1514"/>
      <c r="U246" s="1514"/>
      <c r="V246" s="1514"/>
      <c r="W246" s="1522"/>
    </row>
    <row r="247" spans="1:23">
      <c r="A247" s="1514"/>
      <c r="Q247" s="1514"/>
      <c r="R247" s="1514"/>
      <c r="S247" s="1514"/>
      <c r="T247" s="1514"/>
      <c r="U247" s="1514"/>
      <c r="V247" s="1514"/>
      <c r="W247" s="1522"/>
    </row>
    <row r="248" spans="1:23">
      <c r="A248" s="1514"/>
      <c r="Q248" s="1514"/>
      <c r="R248" s="1514"/>
      <c r="S248" s="1514"/>
      <c r="T248" s="1514"/>
      <c r="U248" s="1514"/>
      <c r="V248" s="1514"/>
      <c r="W248" s="1522"/>
    </row>
    <row r="249" spans="1:23">
      <c r="A249" s="1514"/>
      <c r="Q249" s="1514"/>
      <c r="R249" s="1514"/>
      <c r="S249" s="1514"/>
      <c r="T249" s="1514"/>
      <c r="U249" s="1514"/>
      <c r="V249" s="1514"/>
      <c r="W249" s="1522"/>
    </row>
    <row r="250" spans="1:23">
      <c r="A250" s="1514"/>
      <c r="Q250" s="1514"/>
      <c r="R250" s="1514"/>
      <c r="S250" s="1514"/>
      <c r="T250" s="1514"/>
      <c r="U250" s="1514"/>
      <c r="V250" s="1514"/>
      <c r="W250" s="1522"/>
    </row>
    <row r="251" spans="1:23">
      <c r="A251" s="1514"/>
      <c r="Q251" s="1514"/>
      <c r="R251" s="1514"/>
      <c r="S251" s="1514"/>
      <c r="T251" s="1514"/>
      <c r="U251" s="1514"/>
      <c r="V251" s="1514"/>
      <c r="W251" s="1522"/>
    </row>
    <row r="252" spans="1:23">
      <c r="A252" s="1514"/>
      <c r="Q252" s="1514"/>
      <c r="R252" s="1514"/>
      <c r="S252" s="1514"/>
      <c r="T252" s="1514"/>
      <c r="U252" s="1514"/>
      <c r="V252" s="1514"/>
      <c r="W252" s="1522"/>
    </row>
    <row r="253" spans="1:23">
      <c r="A253" s="1514"/>
      <c r="Q253" s="1514"/>
      <c r="R253" s="1514"/>
      <c r="S253" s="1514"/>
      <c r="T253" s="1514"/>
      <c r="U253" s="1514"/>
      <c r="V253" s="1514"/>
      <c r="W253" s="1522"/>
    </row>
    <row r="254" spans="1:23">
      <c r="A254" s="1514"/>
      <c r="Q254" s="1514"/>
      <c r="R254" s="1514"/>
      <c r="S254" s="1514"/>
      <c r="T254" s="1514"/>
      <c r="U254" s="1514"/>
      <c r="V254" s="1514"/>
      <c r="W254" s="1522"/>
    </row>
    <row r="255" spans="1:23">
      <c r="A255" s="1514"/>
      <c r="Q255" s="1514"/>
      <c r="R255" s="1514"/>
      <c r="S255" s="1514"/>
      <c r="T255" s="1514"/>
      <c r="U255" s="1514"/>
      <c r="V255" s="1514"/>
      <c r="W255" s="1522"/>
    </row>
    <row r="256" spans="1:23">
      <c r="A256" s="1514"/>
      <c r="Q256" s="1514"/>
      <c r="R256" s="1514"/>
      <c r="S256" s="1514"/>
      <c r="T256" s="1514"/>
      <c r="U256" s="1514"/>
      <c r="V256" s="1514"/>
      <c r="W256" s="1522"/>
    </row>
    <row r="257" spans="1:23">
      <c r="A257" s="1514"/>
      <c r="Q257" s="1514"/>
      <c r="R257" s="1514"/>
      <c r="S257" s="1514"/>
      <c r="T257" s="1514"/>
      <c r="U257" s="1514"/>
      <c r="V257" s="1514"/>
      <c r="W257" s="1522"/>
    </row>
    <row r="258" spans="1:23">
      <c r="A258" s="1514"/>
      <c r="Q258" s="1514"/>
      <c r="R258" s="1514"/>
      <c r="S258" s="1514"/>
      <c r="T258" s="1514"/>
      <c r="U258" s="1514"/>
      <c r="V258" s="1514"/>
      <c r="W258" s="1522"/>
    </row>
    <row r="259" spans="1:23">
      <c r="A259" s="1514"/>
      <c r="Q259" s="1514"/>
      <c r="R259" s="1514"/>
      <c r="S259" s="1514"/>
      <c r="T259" s="1514"/>
      <c r="U259" s="1514"/>
      <c r="V259" s="1514"/>
      <c r="W259" s="1522"/>
    </row>
    <row r="260" spans="1:23">
      <c r="A260" s="1514"/>
      <c r="Q260" s="1514"/>
      <c r="R260" s="1514"/>
      <c r="S260" s="1514"/>
      <c r="T260" s="1514"/>
      <c r="U260" s="1514"/>
      <c r="V260" s="1514"/>
      <c r="W260" s="1522"/>
    </row>
    <row r="261" spans="1:23">
      <c r="A261" s="1514"/>
      <c r="Q261" s="1514"/>
      <c r="R261" s="1514"/>
      <c r="S261" s="1514"/>
      <c r="T261" s="1514"/>
      <c r="U261" s="1514"/>
      <c r="V261" s="1514"/>
      <c r="W261" s="1522"/>
    </row>
    <row r="262" spans="1:23">
      <c r="A262" s="1514"/>
      <c r="Q262" s="1514"/>
      <c r="R262" s="1514"/>
      <c r="S262" s="1514"/>
      <c r="T262" s="1514"/>
      <c r="U262" s="1514"/>
      <c r="V262" s="1514"/>
      <c r="W262" s="1522"/>
    </row>
    <row r="263" spans="1:23">
      <c r="A263" s="1514"/>
      <c r="Q263" s="1514"/>
      <c r="R263" s="1514"/>
      <c r="S263" s="1514"/>
      <c r="T263" s="1514"/>
      <c r="U263" s="1514"/>
      <c r="V263" s="1514"/>
      <c r="W263" s="1522"/>
    </row>
    <row r="264" spans="1:23">
      <c r="A264" s="1514"/>
      <c r="Q264" s="1514"/>
      <c r="R264" s="1514"/>
      <c r="S264" s="1514"/>
      <c r="T264" s="1514"/>
      <c r="U264" s="1514"/>
      <c r="V264" s="1514"/>
      <c r="W264" s="1522"/>
    </row>
    <row r="265" spans="1:23">
      <c r="A265" s="1514"/>
      <c r="Q265" s="1514"/>
      <c r="R265" s="1514"/>
      <c r="S265" s="1514"/>
      <c r="T265" s="1514"/>
      <c r="U265" s="1514"/>
      <c r="V265" s="1514"/>
      <c r="W265" s="1522"/>
    </row>
    <row r="266" spans="1:23">
      <c r="A266" s="1514"/>
      <c r="Q266" s="1514"/>
      <c r="R266" s="1514"/>
      <c r="S266" s="1514"/>
      <c r="T266" s="1514"/>
      <c r="U266" s="1514"/>
      <c r="V266" s="1514"/>
      <c r="W266" s="1522"/>
    </row>
    <row r="267" spans="1:23">
      <c r="A267" s="1514"/>
      <c r="Q267" s="1514"/>
      <c r="R267" s="1514"/>
      <c r="S267" s="1514"/>
      <c r="T267" s="1514"/>
      <c r="U267" s="1514"/>
      <c r="V267" s="1514"/>
      <c r="W267" s="1522"/>
    </row>
    <row r="268" spans="1:23">
      <c r="A268" s="1514"/>
      <c r="Q268" s="1514"/>
      <c r="R268" s="1514"/>
      <c r="S268" s="1514"/>
      <c r="T268" s="1514"/>
      <c r="U268" s="1514"/>
      <c r="V268" s="1514"/>
      <c r="W268" s="1522"/>
    </row>
    <row r="269" spans="1:23">
      <c r="A269" s="1514"/>
      <c r="Q269" s="1514"/>
      <c r="R269" s="1514"/>
      <c r="S269" s="1514"/>
      <c r="T269" s="1514"/>
      <c r="U269" s="1514"/>
      <c r="V269" s="1514"/>
      <c r="W269" s="1522"/>
    </row>
    <row r="270" spans="1:23">
      <c r="A270" s="1514"/>
      <c r="Q270" s="1514"/>
      <c r="R270" s="1514"/>
      <c r="S270" s="1514"/>
      <c r="T270" s="1514"/>
      <c r="U270" s="1514"/>
      <c r="V270" s="1514"/>
      <c r="W270" s="1522"/>
    </row>
    <row r="271" spans="1:23">
      <c r="A271" s="1514"/>
      <c r="Q271" s="1514"/>
      <c r="R271" s="1514"/>
      <c r="S271" s="1514"/>
      <c r="T271" s="1514"/>
      <c r="U271" s="1514"/>
      <c r="V271" s="1514"/>
      <c r="W271" s="1522"/>
    </row>
    <row r="272" spans="1:23">
      <c r="A272" s="1514"/>
      <c r="Q272" s="1514"/>
      <c r="R272" s="1514"/>
      <c r="S272" s="1514"/>
      <c r="T272" s="1514"/>
      <c r="U272" s="1514"/>
      <c r="V272" s="1514"/>
      <c r="W272" s="1522"/>
    </row>
    <row r="273" spans="1:23">
      <c r="A273" s="1514"/>
      <c r="Q273" s="1514"/>
      <c r="R273" s="1514"/>
      <c r="S273" s="1514"/>
      <c r="T273" s="1514"/>
      <c r="U273" s="1514"/>
      <c r="V273" s="1514"/>
      <c r="W273" s="1522"/>
    </row>
    <row r="274" spans="1:23">
      <c r="A274" s="1514"/>
      <c r="Q274" s="1514"/>
      <c r="R274" s="1514"/>
      <c r="S274" s="1514"/>
      <c r="T274" s="1514"/>
      <c r="U274" s="1514"/>
      <c r="V274" s="1514"/>
      <c r="W274" s="1522"/>
    </row>
    <row r="275" spans="1:23">
      <c r="A275" s="1514"/>
      <c r="Q275" s="1514"/>
      <c r="R275" s="1514"/>
      <c r="S275" s="1514"/>
      <c r="T275" s="1514"/>
      <c r="U275" s="1514"/>
      <c r="V275" s="1514"/>
      <c r="W275" s="1522"/>
    </row>
    <row r="276" spans="1:23">
      <c r="A276" s="1514"/>
      <c r="Q276" s="1514"/>
      <c r="R276" s="1514"/>
      <c r="S276" s="1514"/>
      <c r="T276" s="1514"/>
      <c r="U276" s="1514"/>
      <c r="V276" s="1514"/>
      <c r="W276" s="1522"/>
    </row>
    <row r="277" spans="1:23">
      <c r="A277" s="1514"/>
      <c r="Q277" s="1514"/>
      <c r="R277" s="1514"/>
      <c r="S277" s="1514"/>
      <c r="T277" s="1514"/>
      <c r="U277" s="1514"/>
      <c r="V277" s="1514"/>
      <c r="W277" s="1522"/>
    </row>
    <row r="278" spans="1:23">
      <c r="A278" s="1514"/>
      <c r="Q278" s="1514"/>
      <c r="R278" s="1514"/>
      <c r="S278" s="1514"/>
      <c r="T278" s="1514"/>
      <c r="U278" s="1514"/>
      <c r="V278" s="1514"/>
      <c r="W278" s="1522"/>
    </row>
    <row r="279" spans="1:23">
      <c r="A279" s="1514"/>
      <c r="Q279" s="1514"/>
      <c r="R279" s="1514"/>
      <c r="S279" s="1514"/>
      <c r="T279" s="1514"/>
      <c r="U279" s="1514"/>
      <c r="V279" s="1514"/>
      <c r="W279" s="1522"/>
    </row>
    <row r="280" spans="1:23">
      <c r="A280" s="1514"/>
      <c r="Q280" s="1514"/>
      <c r="R280" s="1514"/>
      <c r="S280" s="1514"/>
      <c r="T280" s="1514"/>
      <c r="U280" s="1514"/>
      <c r="V280" s="1514"/>
      <c r="W280" s="1522"/>
    </row>
    <row r="281" spans="1:23">
      <c r="A281" s="1514"/>
      <c r="Q281" s="1514"/>
      <c r="R281" s="1514"/>
      <c r="S281" s="1514"/>
      <c r="T281" s="1514"/>
      <c r="U281" s="1514"/>
      <c r="V281" s="1514"/>
      <c r="W281" s="1522"/>
    </row>
    <row r="282" spans="1:23">
      <c r="A282" s="1514"/>
      <c r="Q282" s="1514"/>
      <c r="R282" s="1514"/>
      <c r="S282" s="1514"/>
      <c r="T282" s="1514"/>
      <c r="U282" s="1514"/>
      <c r="V282" s="1514"/>
      <c r="W282" s="1522"/>
    </row>
    <row r="283" spans="1:23">
      <c r="A283" s="1514"/>
      <c r="Q283" s="1514"/>
      <c r="R283" s="1514"/>
      <c r="S283" s="1514"/>
      <c r="T283" s="1514"/>
      <c r="U283" s="1514"/>
      <c r="V283" s="1514"/>
      <c r="W283" s="1522"/>
    </row>
    <row r="284" spans="1:23">
      <c r="A284" s="1514"/>
      <c r="Q284" s="1514"/>
      <c r="R284" s="1514"/>
      <c r="S284" s="1514"/>
      <c r="T284" s="1514"/>
      <c r="U284" s="1514"/>
      <c r="V284" s="1514"/>
      <c r="W284" s="1522"/>
    </row>
    <row r="285" spans="1:23">
      <c r="A285" s="1514"/>
      <c r="Q285" s="1514"/>
      <c r="R285" s="1514"/>
      <c r="S285" s="1514"/>
      <c r="T285" s="1514"/>
      <c r="U285" s="1514"/>
      <c r="V285" s="1514"/>
      <c r="W285" s="1522"/>
    </row>
    <row r="286" spans="1:23">
      <c r="A286" s="1514"/>
      <c r="Q286" s="1514"/>
      <c r="R286" s="1514"/>
      <c r="S286" s="1514"/>
      <c r="T286" s="1514"/>
      <c r="U286" s="1514"/>
      <c r="V286" s="1514"/>
      <c r="W286" s="1522"/>
    </row>
    <row r="287" spans="1:23">
      <c r="A287" s="1514"/>
      <c r="Q287" s="1514"/>
      <c r="R287" s="1514"/>
      <c r="S287" s="1514"/>
      <c r="T287" s="1514"/>
      <c r="U287" s="1514"/>
      <c r="V287" s="1514"/>
      <c r="W287" s="1522"/>
    </row>
    <row r="288" spans="1:23">
      <c r="A288" s="1514"/>
      <c r="Q288" s="1514"/>
      <c r="R288" s="1514"/>
      <c r="S288" s="1514"/>
      <c r="T288" s="1514"/>
      <c r="U288" s="1514"/>
      <c r="V288" s="1514"/>
      <c r="W288" s="1522"/>
    </row>
    <row r="289" spans="1:23">
      <c r="A289" s="1514"/>
      <c r="Q289" s="1514"/>
      <c r="R289" s="1514"/>
      <c r="S289" s="1514"/>
      <c r="T289" s="1514"/>
      <c r="U289" s="1514"/>
      <c r="V289" s="1514"/>
      <c r="W289" s="1522"/>
    </row>
    <row r="290" spans="1:23">
      <c r="A290" s="1514"/>
      <c r="Q290" s="1514"/>
      <c r="R290" s="1514"/>
      <c r="S290" s="1514"/>
      <c r="T290" s="1514"/>
      <c r="U290" s="1514"/>
      <c r="V290" s="1514"/>
      <c r="W290" s="1522"/>
    </row>
    <row r="291" spans="1:23">
      <c r="A291" s="1514"/>
      <c r="Q291" s="1514"/>
      <c r="R291" s="1514"/>
      <c r="S291" s="1514"/>
      <c r="T291" s="1514"/>
      <c r="U291" s="1514"/>
      <c r="V291" s="1514"/>
      <c r="W291" s="1522"/>
    </row>
    <row r="292" spans="1:23">
      <c r="A292" s="1514"/>
      <c r="Q292" s="1514"/>
      <c r="R292" s="1514"/>
      <c r="S292" s="1514"/>
      <c r="T292" s="1514"/>
      <c r="U292" s="1514"/>
      <c r="V292" s="1514"/>
      <c r="W292" s="1522"/>
    </row>
    <row r="293" spans="1:23">
      <c r="A293" s="1514"/>
      <c r="Q293" s="1514"/>
      <c r="R293" s="1514"/>
      <c r="S293" s="1514"/>
      <c r="T293" s="1514"/>
      <c r="U293" s="1514"/>
      <c r="V293" s="1514"/>
      <c r="W293" s="1522"/>
    </row>
    <row r="294" spans="1:23">
      <c r="A294" s="1514"/>
      <c r="Q294" s="1514"/>
      <c r="R294" s="1514"/>
      <c r="S294" s="1514"/>
      <c r="T294" s="1514"/>
      <c r="U294" s="1514"/>
      <c r="V294" s="1514"/>
      <c r="W294" s="1522"/>
    </row>
    <row r="295" spans="1:23">
      <c r="A295" s="1514"/>
      <c r="Q295" s="1514"/>
      <c r="R295" s="1514"/>
      <c r="S295" s="1514"/>
      <c r="T295" s="1514"/>
      <c r="U295" s="1514"/>
      <c r="V295" s="1514"/>
      <c r="W295" s="1522"/>
    </row>
    <row r="296" spans="1:23">
      <c r="A296" s="1514"/>
      <c r="Q296" s="1514"/>
      <c r="R296" s="1514"/>
      <c r="S296" s="1514"/>
      <c r="T296" s="1514"/>
      <c r="U296" s="1514"/>
      <c r="V296" s="1514"/>
      <c r="W296" s="1522"/>
    </row>
    <row r="297" spans="1:23">
      <c r="A297" s="1514"/>
      <c r="Q297" s="1514"/>
      <c r="R297" s="1514"/>
      <c r="S297" s="1514"/>
      <c r="T297" s="1514"/>
      <c r="U297" s="1514"/>
      <c r="V297" s="1514"/>
      <c r="W297" s="1522"/>
    </row>
    <row r="298" spans="1:23">
      <c r="A298" s="1514"/>
      <c r="Q298" s="1514"/>
      <c r="R298" s="1514"/>
      <c r="S298" s="1514"/>
      <c r="T298" s="1514"/>
      <c r="U298" s="1514"/>
      <c r="V298" s="1514"/>
      <c r="W298" s="1522"/>
    </row>
    <row r="299" spans="1:23">
      <c r="A299" s="1514"/>
      <c r="Q299" s="1514"/>
      <c r="R299" s="1514"/>
      <c r="S299" s="1514"/>
      <c r="T299" s="1514"/>
      <c r="U299" s="1514"/>
      <c r="V299" s="1514"/>
      <c r="W299" s="1522"/>
    </row>
    <row r="300" spans="1:23">
      <c r="A300" s="1514"/>
      <c r="Q300" s="1514"/>
      <c r="R300" s="1514"/>
      <c r="S300" s="1514"/>
      <c r="T300" s="1514"/>
      <c r="U300" s="1514"/>
      <c r="V300" s="1514"/>
      <c r="W300" s="1522"/>
    </row>
    <row r="301" spans="1:23">
      <c r="A301" s="1514"/>
      <c r="Q301" s="1514"/>
      <c r="R301" s="1514"/>
      <c r="S301" s="1514"/>
      <c r="T301" s="1514"/>
      <c r="U301" s="1514"/>
      <c r="V301" s="1514"/>
      <c r="W301" s="1522"/>
    </row>
    <row r="302" spans="1:23">
      <c r="A302" s="1514"/>
      <c r="Q302" s="1514"/>
      <c r="R302" s="1514"/>
      <c r="S302" s="1514"/>
      <c r="T302" s="1514"/>
      <c r="U302" s="1514"/>
      <c r="V302" s="1514"/>
      <c r="W302" s="1522"/>
    </row>
    <row r="303" spans="1:23">
      <c r="A303" s="1514"/>
      <c r="Q303" s="1514"/>
      <c r="R303" s="1514"/>
      <c r="S303" s="1514"/>
      <c r="T303" s="1514"/>
      <c r="U303" s="1514"/>
      <c r="V303" s="1514"/>
      <c r="W303" s="1522"/>
    </row>
    <row r="304" spans="1:23">
      <c r="A304" s="1514"/>
      <c r="Q304" s="1514"/>
      <c r="R304" s="1514"/>
      <c r="S304" s="1514"/>
      <c r="T304" s="1514"/>
      <c r="U304" s="1514"/>
      <c r="V304" s="1514"/>
      <c r="W304" s="1522"/>
    </row>
    <row r="305" spans="1:23">
      <c r="A305" s="1514"/>
      <c r="Q305" s="1514"/>
      <c r="R305" s="1514"/>
      <c r="S305" s="1514"/>
      <c r="T305" s="1514"/>
      <c r="U305" s="1514"/>
      <c r="V305" s="1514"/>
      <c r="W305" s="1522"/>
    </row>
    <row r="306" spans="1:23">
      <c r="A306" s="1514"/>
      <c r="Q306" s="1514"/>
      <c r="R306" s="1514"/>
      <c r="S306" s="1514"/>
      <c r="T306" s="1514"/>
      <c r="U306" s="1514"/>
      <c r="V306" s="1514"/>
      <c r="W306" s="1522"/>
    </row>
    <row r="307" spans="1:23">
      <c r="A307" s="1514"/>
      <c r="Q307" s="1514"/>
      <c r="R307" s="1514"/>
      <c r="S307" s="1514"/>
      <c r="T307" s="1514"/>
      <c r="U307" s="1514"/>
      <c r="V307" s="1514"/>
      <c r="W307" s="1522"/>
    </row>
    <row r="308" spans="1:23">
      <c r="A308" s="1514"/>
      <c r="Q308" s="1514"/>
      <c r="R308" s="1514"/>
      <c r="S308" s="1514"/>
      <c r="T308" s="1514"/>
      <c r="U308" s="1514"/>
      <c r="V308" s="1514"/>
      <c r="W308" s="1522"/>
    </row>
    <row r="309" spans="1:23">
      <c r="A309" s="1514"/>
      <c r="Q309" s="1514"/>
      <c r="R309" s="1514"/>
      <c r="S309" s="1514"/>
      <c r="T309" s="1514"/>
      <c r="U309" s="1514"/>
      <c r="V309" s="1514"/>
      <c r="W309" s="1522"/>
    </row>
    <row r="310" spans="1:23">
      <c r="A310" s="1514"/>
      <c r="Q310" s="1514"/>
      <c r="R310" s="1514"/>
      <c r="S310" s="1514"/>
      <c r="T310" s="1514"/>
      <c r="U310" s="1514"/>
      <c r="V310" s="1514"/>
      <c r="W310" s="1522"/>
    </row>
    <row r="311" spans="1:23">
      <c r="A311" s="1514"/>
      <c r="Q311" s="1514"/>
      <c r="R311" s="1514"/>
      <c r="S311" s="1514"/>
      <c r="T311" s="1514"/>
      <c r="U311" s="1514"/>
      <c r="V311" s="1514"/>
      <c r="W311" s="1522"/>
    </row>
    <row r="312" spans="1:23">
      <c r="A312" s="1514"/>
      <c r="Q312" s="1514"/>
      <c r="R312" s="1514"/>
      <c r="S312" s="1514"/>
      <c r="T312" s="1514"/>
      <c r="U312" s="1514"/>
      <c r="V312" s="1514"/>
      <c r="W312" s="1522"/>
    </row>
    <row r="313" spans="1:23">
      <c r="A313" s="1514"/>
      <c r="Q313" s="1514"/>
      <c r="R313" s="1514"/>
      <c r="S313" s="1514"/>
      <c r="T313" s="1514"/>
      <c r="U313" s="1514"/>
      <c r="V313" s="1514"/>
      <c r="W313" s="1522"/>
    </row>
    <row r="314" spans="1:23">
      <c r="A314" s="1514"/>
      <c r="Q314" s="1514"/>
      <c r="R314" s="1514"/>
      <c r="S314" s="1514"/>
      <c r="T314" s="1514"/>
      <c r="U314" s="1514"/>
      <c r="V314" s="1514"/>
      <c r="W314" s="1522"/>
    </row>
    <row r="315" spans="1:23">
      <c r="A315" s="1514"/>
      <c r="W315" s="1522"/>
    </row>
    <row r="316" spans="1:23">
      <c r="A316" s="1514"/>
      <c r="W316" s="1522"/>
    </row>
    <row r="317" spans="1:23">
      <c r="A317" s="1514"/>
      <c r="W317" s="1522"/>
    </row>
    <row r="318" spans="1:23">
      <c r="A318" s="1514"/>
      <c r="W318" s="1522"/>
    </row>
    <row r="319" spans="1:23">
      <c r="A319" s="1514"/>
      <c r="W319" s="1522"/>
    </row>
    <row r="320" spans="1:23">
      <c r="A320" s="1514"/>
      <c r="W320" s="1522"/>
    </row>
    <row r="321" spans="1:23">
      <c r="A321" s="1514"/>
      <c r="W321" s="1522"/>
    </row>
    <row r="322" spans="1:23">
      <c r="A322" s="1514"/>
      <c r="W322" s="1522"/>
    </row>
    <row r="323" spans="1:23">
      <c r="A323" s="1514"/>
      <c r="W323" s="1522"/>
    </row>
    <row r="324" spans="1:23">
      <c r="A324" s="1514"/>
      <c r="W324" s="1522"/>
    </row>
    <row r="325" spans="1:23">
      <c r="A325" s="1514"/>
      <c r="W325" s="1522"/>
    </row>
    <row r="326" spans="1:23">
      <c r="A326" s="1514"/>
      <c r="W326" s="1522"/>
    </row>
    <row r="327" spans="1:23">
      <c r="A327" s="1514"/>
      <c r="W327" s="1522"/>
    </row>
    <row r="328" spans="1:23">
      <c r="A328" s="1514"/>
      <c r="W328" s="1522"/>
    </row>
    <row r="329" spans="1:23">
      <c r="A329" s="1514"/>
      <c r="W329" s="1522"/>
    </row>
    <row r="330" spans="1:23">
      <c r="A330" s="1514"/>
      <c r="W330" s="1522"/>
    </row>
    <row r="331" spans="1:23">
      <c r="A331" s="1514"/>
      <c r="W331" s="1522"/>
    </row>
    <row r="332" spans="1:23">
      <c r="A332" s="1514"/>
      <c r="W332" s="1522"/>
    </row>
    <row r="333" spans="1:23">
      <c r="A333" s="1514"/>
      <c r="W333" s="1522"/>
    </row>
    <row r="334" spans="1:23">
      <c r="A334" s="1514"/>
      <c r="W334" s="1522"/>
    </row>
    <row r="335" spans="1:23">
      <c r="A335" s="1514"/>
      <c r="W335" s="1522"/>
    </row>
    <row r="336" spans="1:23">
      <c r="A336" s="1514"/>
      <c r="W336" s="1522"/>
    </row>
    <row r="337" spans="1:23">
      <c r="A337" s="1514"/>
      <c r="W337" s="1522"/>
    </row>
    <row r="338" spans="1:23">
      <c r="A338" s="1514"/>
      <c r="W338" s="1522"/>
    </row>
    <row r="339" spans="1:23">
      <c r="A339" s="1514"/>
      <c r="W339" s="1522"/>
    </row>
    <row r="340" spans="1:23">
      <c r="A340" s="1514"/>
      <c r="W340" s="1522"/>
    </row>
    <row r="341" spans="1:23">
      <c r="A341" s="1514"/>
      <c r="W341" s="1522"/>
    </row>
    <row r="342" spans="1:23">
      <c r="A342" s="1514"/>
      <c r="W342" s="1522"/>
    </row>
    <row r="343" spans="1:23">
      <c r="A343" s="1514"/>
      <c r="W343" s="1522"/>
    </row>
    <row r="344" spans="1:23">
      <c r="A344" s="1514"/>
      <c r="W344" s="1522"/>
    </row>
    <row r="345" spans="1:23">
      <c r="A345" s="1514"/>
      <c r="W345" s="1522"/>
    </row>
    <row r="346" spans="1:23">
      <c r="A346" s="1514"/>
      <c r="W346" s="1522"/>
    </row>
    <row r="347" spans="1:23">
      <c r="A347" s="1514"/>
      <c r="W347" s="1522"/>
    </row>
    <row r="348" spans="1:23">
      <c r="A348" s="1514"/>
      <c r="W348" s="1522"/>
    </row>
    <row r="349" spans="1:23">
      <c r="A349" s="1514"/>
      <c r="W349" s="1522"/>
    </row>
    <row r="350" spans="1:23">
      <c r="A350" s="1514"/>
      <c r="W350" s="1522"/>
    </row>
    <row r="351" spans="1:23">
      <c r="A351" s="1514"/>
      <c r="W351" s="1522"/>
    </row>
    <row r="352" spans="1:23">
      <c r="A352" s="1514"/>
      <c r="W352" s="1522"/>
    </row>
    <row r="353" spans="1:23">
      <c r="A353" s="1514"/>
      <c r="W353" s="1522"/>
    </row>
    <row r="354" spans="1:23">
      <c r="A354" s="1514"/>
      <c r="W354" s="1522"/>
    </row>
    <row r="355" spans="1:23">
      <c r="A355" s="1514"/>
      <c r="W355" s="1522"/>
    </row>
    <row r="356" spans="1:23">
      <c r="A356" s="1514"/>
      <c r="W356" s="1522"/>
    </row>
    <row r="357" spans="1:23">
      <c r="A357" s="1514"/>
      <c r="W357" s="1522"/>
    </row>
    <row r="358" spans="1:23">
      <c r="A358" s="1514"/>
      <c r="W358" s="1522"/>
    </row>
    <row r="359" spans="1:23">
      <c r="A359" s="1514"/>
      <c r="W359" s="1522"/>
    </row>
    <row r="360" spans="1:23">
      <c r="A360" s="1514"/>
      <c r="W360" s="1522"/>
    </row>
    <row r="361" spans="1:23">
      <c r="A361" s="1514"/>
      <c r="W361" s="1522"/>
    </row>
    <row r="362" spans="1:23">
      <c r="A362" s="1514"/>
      <c r="W362" s="1522"/>
    </row>
    <row r="363" spans="1:23">
      <c r="A363" s="1514"/>
      <c r="W363" s="1522"/>
    </row>
    <row r="364" spans="1:23">
      <c r="A364" s="1514"/>
      <c r="W364" s="1522"/>
    </row>
    <row r="365" spans="1:23">
      <c r="A365" s="1514"/>
      <c r="W365" s="1522"/>
    </row>
    <row r="366" spans="1:23">
      <c r="A366" s="1514"/>
      <c r="W366" s="1522"/>
    </row>
    <row r="367" spans="1:23">
      <c r="A367" s="1514"/>
      <c r="W367" s="1522"/>
    </row>
    <row r="368" spans="1:23">
      <c r="A368" s="1514"/>
      <c r="W368" s="1522"/>
    </row>
    <row r="369" spans="1:23">
      <c r="A369" s="1514"/>
      <c r="W369" s="1522"/>
    </row>
    <row r="370" spans="1:23">
      <c r="A370" s="1514"/>
      <c r="W370" s="1522"/>
    </row>
    <row r="371" spans="1:23">
      <c r="A371" s="1514"/>
      <c r="W371" s="1522"/>
    </row>
    <row r="372" spans="1:23">
      <c r="A372" s="1514"/>
      <c r="W372" s="1522"/>
    </row>
    <row r="373" spans="1:23">
      <c r="A373" s="1514"/>
      <c r="W373" s="1522"/>
    </row>
    <row r="374" spans="1:23">
      <c r="A374" s="1514"/>
      <c r="W374" s="1522"/>
    </row>
    <row r="375" spans="1:23">
      <c r="A375" s="1514"/>
      <c r="W375" s="1522"/>
    </row>
    <row r="376" spans="1:23">
      <c r="A376" s="1514"/>
      <c r="W376" s="1522"/>
    </row>
    <row r="377" spans="1:23">
      <c r="A377" s="1514"/>
      <c r="W377" s="1522"/>
    </row>
    <row r="378" spans="1:23">
      <c r="A378" s="1514"/>
      <c r="W378" s="1522"/>
    </row>
    <row r="379" spans="1:23">
      <c r="A379" s="1514"/>
      <c r="W379" s="1522"/>
    </row>
    <row r="380" spans="1:23">
      <c r="A380" s="1514"/>
      <c r="W380" s="1522"/>
    </row>
    <row r="381" spans="1:23">
      <c r="A381" s="1514"/>
      <c r="W381" s="1522"/>
    </row>
    <row r="382" spans="1:23">
      <c r="A382" s="1514"/>
      <c r="W382" s="1522"/>
    </row>
    <row r="383" spans="1:23">
      <c r="A383" s="1514"/>
      <c r="W383" s="1522"/>
    </row>
    <row r="384" spans="1:23">
      <c r="A384" s="1514"/>
      <c r="W384" s="1522"/>
    </row>
    <row r="385" spans="1:23">
      <c r="A385" s="1514"/>
      <c r="W385" s="1522"/>
    </row>
    <row r="386" spans="1:23">
      <c r="A386" s="1514"/>
      <c r="W386" s="1522"/>
    </row>
    <row r="387" spans="1:23">
      <c r="A387" s="1514"/>
      <c r="W387" s="1522"/>
    </row>
    <row r="388" spans="1:23">
      <c r="A388" s="1514"/>
      <c r="W388" s="1522"/>
    </row>
    <row r="389" spans="1:23">
      <c r="A389" s="1514"/>
      <c r="W389" s="1522"/>
    </row>
    <row r="390" spans="1:23">
      <c r="A390" s="1514"/>
      <c r="W390" s="1522"/>
    </row>
    <row r="391" spans="1:23">
      <c r="A391" s="1514"/>
      <c r="W391" s="1522"/>
    </row>
    <row r="392" spans="1:23">
      <c r="A392" s="1514"/>
      <c r="W392" s="1522"/>
    </row>
    <row r="393" spans="1:23">
      <c r="A393" s="1514"/>
      <c r="W393" s="1522"/>
    </row>
    <row r="394" spans="1:23">
      <c r="A394" s="1514"/>
      <c r="W394" s="1522"/>
    </row>
    <row r="395" spans="1:23">
      <c r="A395" s="1514"/>
      <c r="W395" s="1522"/>
    </row>
    <row r="396" spans="1:23">
      <c r="A396" s="1514"/>
      <c r="W396" s="1522"/>
    </row>
    <row r="397" spans="1:23">
      <c r="A397" s="1514"/>
      <c r="W397" s="1522"/>
    </row>
    <row r="398" spans="1:23">
      <c r="A398" s="1514"/>
      <c r="W398" s="1522"/>
    </row>
    <row r="399" spans="1:23">
      <c r="A399" s="1514"/>
      <c r="W399" s="1522"/>
    </row>
    <row r="400" spans="1:23">
      <c r="A400" s="1514"/>
      <c r="W400" s="1522"/>
    </row>
    <row r="401" spans="1:23">
      <c r="A401" s="1514"/>
      <c r="W401" s="1522"/>
    </row>
    <row r="402" spans="1:23">
      <c r="A402" s="1514"/>
      <c r="W402" s="1522"/>
    </row>
    <row r="403" spans="1:23">
      <c r="A403" s="1514"/>
      <c r="W403" s="1522"/>
    </row>
    <row r="404" spans="1:23">
      <c r="A404" s="1514"/>
      <c r="W404" s="1522"/>
    </row>
    <row r="405" spans="1:23">
      <c r="A405" s="1514"/>
      <c r="W405" s="1522"/>
    </row>
    <row r="406" spans="1:23">
      <c r="A406" s="1514"/>
      <c r="W406" s="1522"/>
    </row>
    <row r="407" spans="1:23">
      <c r="A407" s="1514"/>
      <c r="W407" s="1522"/>
    </row>
    <row r="408" spans="1:23">
      <c r="A408" s="1514"/>
      <c r="W408" s="1522"/>
    </row>
    <row r="409" spans="1:23">
      <c r="A409" s="1514"/>
      <c r="W409" s="1522"/>
    </row>
    <row r="410" spans="1:23">
      <c r="A410" s="1514"/>
      <c r="W410" s="1522"/>
    </row>
    <row r="411" spans="1:23">
      <c r="A411" s="1514"/>
      <c r="W411" s="1522"/>
    </row>
    <row r="412" spans="1:23">
      <c r="A412" s="1514"/>
      <c r="W412" s="1522"/>
    </row>
    <row r="413" spans="1:23">
      <c r="A413" s="1514"/>
      <c r="W413" s="1522"/>
    </row>
    <row r="414" spans="1:23">
      <c r="A414" s="1514"/>
      <c r="W414" s="1522"/>
    </row>
    <row r="415" spans="1:23">
      <c r="A415" s="1514"/>
      <c r="W415" s="1522"/>
    </row>
    <row r="416" spans="1:23">
      <c r="A416" s="1514"/>
      <c r="W416" s="1522"/>
    </row>
    <row r="417" spans="1:23">
      <c r="A417" s="1514"/>
      <c r="W417" s="1522"/>
    </row>
    <row r="418" spans="1:23">
      <c r="A418" s="1514"/>
      <c r="W418" s="1522"/>
    </row>
    <row r="419" spans="1:23">
      <c r="A419" s="1514"/>
      <c r="W419" s="1522"/>
    </row>
    <row r="420" spans="1:23">
      <c r="A420" s="1514"/>
      <c r="W420" s="1522"/>
    </row>
    <row r="421" spans="1:23">
      <c r="A421" s="1514"/>
      <c r="W421" s="1522"/>
    </row>
    <row r="422" spans="1:23">
      <c r="A422" s="1514"/>
      <c r="W422" s="1522"/>
    </row>
    <row r="423" spans="1:23">
      <c r="A423" s="1514"/>
      <c r="W423" s="1522"/>
    </row>
    <row r="424" spans="1:23">
      <c r="A424" s="1514"/>
      <c r="W424" s="1522"/>
    </row>
    <row r="425" spans="1:23">
      <c r="A425" s="1514"/>
      <c r="W425" s="1522"/>
    </row>
    <row r="426" spans="1:23">
      <c r="A426" s="1514"/>
      <c r="W426" s="1522"/>
    </row>
    <row r="427" spans="1:23">
      <c r="A427" s="1514"/>
      <c r="W427" s="1522"/>
    </row>
    <row r="428" spans="1:23">
      <c r="A428" s="1514"/>
      <c r="W428" s="1522"/>
    </row>
    <row r="429" spans="1:23">
      <c r="A429" s="1514"/>
      <c r="W429" s="1522"/>
    </row>
    <row r="430" spans="1:23">
      <c r="A430" s="1514"/>
      <c r="W430" s="1522"/>
    </row>
    <row r="431" spans="1:23">
      <c r="A431" s="1514"/>
      <c r="W431" s="1522"/>
    </row>
    <row r="432" spans="1:23">
      <c r="A432" s="1514"/>
      <c r="W432" s="1522"/>
    </row>
    <row r="433" spans="1:23">
      <c r="A433" s="1514"/>
      <c r="W433" s="1522"/>
    </row>
    <row r="434" spans="1:23">
      <c r="A434" s="1514"/>
      <c r="W434" s="1522"/>
    </row>
    <row r="435" spans="1:23">
      <c r="A435" s="1514"/>
      <c r="W435" s="1522"/>
    </row>
    <row r="436" spans="1:23">
      <c r="A436" s="1514"/>
      <c r="W436" s="1522"/>
    </row>
    <row r="437" spans="1:23">
      <c r="A437" s="1514"/>
      <c r="W437" s="1522"/>
    </row>
    <row r="438" spans="1:23">
      <c r="A438" s="1514"/>
      <c r="W438" s="1522"/>
    </row>
    <row r="439" spans="1:23">
      <c r="A439" s="1514"/>
      <c r="W439" s="1522"/>
    </row>
    <row r="440" spans="1:23">
      <c r="A440" s="1514"/>
      <c r="W440" s="1522"/>
    </row>
    <row r="441" spans="1:23">
      <c r="A441" s="1514"/>
      <c r="W441" s="1522"/>
    </row>
    <row r="442" spans="1:23">
      <c r="A442" s="1514"/>
      <c r="W442" s="1522"/>
    </row>
    <row r="443" spans="1:23">
      <c r="A443" s="1514"/>
      <c r="W443" s="1522"/>
    </row>
    <row r="444" spans="1:23">
      <c r="A444" s="1514"/>
      <c r="W444" s="1522"/>
    </row>
    <row r="445" spans="1:23">
      <c r="A445" s="1514"/>
      <c r="W445" s="1522"/>
    </row>
    <row r="446" spans="1:23">
      <c r="A446" s="1514"/>
      <c r="W446" s="1522"/>
    </row>
    <row r="447" spans="1:23">
      <c r="A447" s="1514"/>
      <c r="W447" s="1522"/>
    </row>
    <row r="448" spans="1:23">
      <c r="A448" s="1514"/>
      <c r="W448" s="1522"/>
    </row>
    <row r="449" spans="1:23">
      <c r="A449" s="1514"/>
      <c r="W449" s="1522"/>
    </row>
    <row r="450" spans="1:23">
      <c r="A450" s="1514"/>
      <c r="W450" s="1522"/>
    </row>
    <row r="451" spans="1:23">
      <c r="A451" s="1514"/>
      <c r="W451" s="1522"/>
    </row>
    <row r="452" spans="1:23">
      <c r="A452" s="1514"/>
      <c r="W452" s="1522"/>
    </row>
    <row r="453" spans="1:23">
      <c r="A453" s="1514"/>
      <c r="W453" s="1522"/>
    </row>
    <row r="454" spans="1:23">
      <c r="A454" s="1514"/>
      <c r="W454" s="1522"/>
    </row>
    <row r="455" spans="1:23">
      <c r="A455" s="1514"/>
      <c r="W455" s="1522"/>
    </row>
    <row r="456" spans="1:23">
      <c r="A456" s="1514"/>
      <c r="W456" s="1522"/>
    </row>
    <row r="457" spans="1:23">
      <c r="A457" s="1514"/>
      <c r="W457" s="1522"/>
    </row>
    <row r="458" spans="1:23">
      <c r="A458" s="1514"/>
      <c r="W458" s="1522"/>
    </row>
    <row r="459" spans="1:23">
      <c r="A459" s="1514"/>
      <c r="W459" s="1522"/>
    </row>
    <row r="460" spans="1:23">
      <c r="A460" s="1514"/>
      <c r="W460" s="1522"/>
    </row>
    <row r="461" spans="1:23">
      <c r="A461" s="1514"/>
      <c r="W461" s="1522"/>
    </row>
    <row r="462" spans="1:23">
      <c r="A462" s="1514"/>
      <c r="W462" s="1522"/>
    </row>
    <row r="463" spans="1:23">
      <c r="A463" s="1514"/>
      <c r="W463" s="1522"/>
    </row>
    <row r="464" spans="1:23">
      <c r="A464" s="1514"/>
      <c r="W464" s="1522"/>
    </row>
    <row r="465" spans="1:23">
      <c r="A465" s="1514"/>
      <c r="W465" s="1522"/>
    </row>
    <row r="466" spans="1:23">
      <c r="A466" s="1514"/>
      <c r="W466" s="1522"/>
    </row>
    <row r="467" spans="1:23">
      <c r="A467" s="1514"/>
      <c r="W467" s="1522"/>
    </row>
    <row r="468" spans="1:23">
      <c r="A468" s="1514"/>
      <c r="W468" s="1522"/>
    </row>
    <row r="469" spans="1:23">
      <c r="A469" s="1514"/>
      <c r="W469" s="1522"/>
    </row>
    <row r="470" spans="1:23">
      <c r="A470" s="1514"/>
      <c r="W470" s="1522"/>
    </row>
    <row r="471" spans="1:23">
      <c r="A471" s="1514"/>
      <c r="W471" s="1522"/>
    </row>
    <row r="472" spans="1:23">
      <c r="A472" s="1514"/>
      <c r="W472" s="1522"/>
    </row>
    <row r="473" spans="1:23">
      <c r="A473" s="1514"/>
      <c r="W473" s="1522"/>
    </row>
    <row r="474" spans="1:23">
      <c r="A474" s="1514"/>
      <c r="W474" s="1522"/>
    </row>
    <row r="475" spans="1:23">
      <c r="A475" s="1514"/>
      <c r="W475" s="1522"/>
    </row>
    <row r="476" spans="1:23">
      <c r="A476" s="1514"/>
      <c r="W476" s="1522"/>
    </row>
    <row r="477" spans="1:23">
      <c r="A477" s="1514"/>
      <c r="W477" s="1522"/>
    </row>
    <row r="478" spans="1:23">
      <c r="A478" s="1514"/>
      <c r="W478" s="1522"/>
    </row>
    <row r="479" spans="1:23">
      <c r="A479" s="1514"/>
      <c r="W479" s="1522"/>
    </row>
    <row r="480" spans="1:23">
      <c r="A480" s="1514"/>
      <c r="W480" s="1522"/>
    </row>
    <row r="481" spans="1:23">
      <c r="A481" s="1514"/>
      <c r="W481" s="1522"/>
    </row>
    <row r="482" spans="1:23">
      <c r="A482" s="1514"/>
      <c r="W482" s="1522"/>
    </row>
    <row r="483" spans="1:23">
      <c r="A483" s="1514"/>
      <c r="W483" s="1522"/>
    </row>
    <row r="484" spans="1:23">
      <c r="A484" s="1514"/>
      <c r="W484" s="1522"/>
    </row>
    <row r="485" spans="1:23">
      <c r="A485" s="1514"/>
      <c r="W485" s="1522"/>
    </row>
    <row r="486" spans="1:23">
      <c r="A486" s="1514"/>
      <c r="W486" s="1522"/>
    </row>
    <row r="487" spans="1:23">
      <c r="A487" s="1514"/>
      <c r="W487" s="1522"/>
    </row>
    <row r="488" spans="1:23">
      <c r="A488" s="1514"/>
      <c r="W488" s="1522"/>
    </row>
    <row r="489" spans="1:23">
      <c r="A489" s="1514"/>
      <c r="W489" s="1522"/>
    </row>
    <row r="490" spans="1:23">
      <c r="A490" s="1514"/>
      <c r="W490" s="1522"/>
    </row>
    <row r="491" spans="1:23">
      <c r="A491" s="1514"/>
      <c r="W491" s="1522"/>
    </row>
    <row r="492" spans="1:23">
      <c r="A492" s="1514"/>
      <c r="W492" s="1522"/>
    </row>
    <row r="493" spans="1:23">
      <c r="A493" s="1514"/>
      <c r="W493" s="1522"/>
    </row>
    <row r="494" spans="1:23">
      <c r="A494" s="1514"/>
      <c r="W494" s="1522"/>
    </row>
    <row r="495" spans="1:23">
      <c r="A495" s="1514"/>
      <c r="W495" s="1522"/>
    </row>
    <row r="496" spans="1:23">
      <c r="A496" s="1514"/>
      <c r="W496" s="1522"/>
    </row>
    <row r="497" spans="1:23">
      <c r="A497" s="1514"/>
      <c r="W497" s="1522"/>
    </row>
    <row r="498" spans="1:23">
      <c r="A498" s="1514"/>
      <c r="W498" s="1522"/>
    </row>
    <row r="499" spans="1:23">
      <c r="A499" s="1514"/>
      <c r="W499" s="1522"/>
    </row>
    <row r="500" spans="1:23">
      <c r="A500" s="1514"/>
      <c r="W500" s="1522"/>
    </row>
    <row r="501" spans="1:23">
      <c r="A501" s="1514"/>
      <c r="W501" s="1522"/>
    </row>
    <row r="502" spans="1:23">
      <c r="A502" s="1514"/>
      <c r="W502" s="1522"/>
    </row>
    <row r="503" spans="1:23">
      <c r="A503" s="1514"/>
      <c r="W503" s="1522"/>
    </row>
    <row r="504" spans="1:23">
      <c r="A504" s="1514"/>
      <c r="W504" s="1522"/>
    </row>
    <row r="505" spans="1:23">
      <c r="A505" s="1514"/>
      <c r="W505" s="1522"/>
    </row>
    <row r="506" spans="1:23">
      <c r="A506" s="1514"/>
      <c r="W506" s="1522"/>
    </row>
    <row r="507" spans="1:23">
      <c r="A507" s="1514"/>
      <c r="W507" s="1522"/>
    </row>
    <row r="508" spans="1:23">
      <c r="A508" s="1514"/>
      <c r="W508" s="1522"/>
    </row>
    <row r="509" spans="1:23">
      <c r="A509" s="1514"/>
      <c r="W509" s="1522"/>
    </row>
    <row r="510" spans="1:23">
      <c r="A510" s="1514"/>
      <c r="W510" s="1522"/>
    </row>
    <row r="511" spans="1:23">
      <c r="A511" s="1514"/>
      <c r="W511" s="1522"/>
    </row>
    <row r="512" spans="1:23">
      <c r="A512" s="1514"/>
      <c r="W512" s="1522"/>
    </row>
    <row r="513" spans="1:23">
      <c r="A513" s="1514"/>
      <c r="W513" s="1522"/>
    </row>
    <row r="514" spans="1:23">
      <c r="A514" s="1514"/>
      <c r="W514" s="1522"/>
    </row>
    <row r="515" spans="1:23">
      <c r="A515" s="1514"/>
      <c r="W515" s="1522"/>
    </row>
    <row r="516" spans="1:23">
      <c r="A516" s="1514"/>
      <c r="W516" s="1522"/>
    </row>
    <row r="517" spans="1:23">
      <c r="A517" s="1514"/>
      <c r="W517" s="1522"/>
    </row>
    <row r="518" spans="1:23">
      <c r="A518" s="1514"/>
      <c r="W518" s="1522"/>
    </row>
    <row r="519" spans="1:23">
      <c r="A519" s="1514"/>
      <c r="W519" s="1522"/>
    </row>
    <row r="520" spans="1:23">
      <c r="A520" s="1514"/>
      <c r="W520" s="1522"/>
    </row>
    <row r="521" spans="1:23">
      <c r="A521" s="1514"/>
      <c r="W521" s="1522"/>
    </row>
    <row r="522" spans="1:23">
      <c r="A522" s="1514"/>
      <c r="W522" s="1522"/>
    </row>
    <row r="523" spans="1:23">
      <c r="A523" s="1514"/>
      <c r="W523" s="1522"/>
    </row>
    <row r="524" spans="1:23">
      <c r="A524" s="1514"/>
      <c r="W524" s="1522"/>
    </row>
    <row r="525" spans="1:23">
      <c r="A525" s="1514"/>
      <c r="W525" s="1522"/>
    </row>
    <row r="526" spans="1:23">
      <c r="A526" s="1514"/>
      <c r="W526" s="1522"/>
    </row>
    <row r="527" spans="1:23">
      <c r="A527" s="1514"/>
      <c r="W527" s="1522"/>
    </row>
    <row r="528" spans="1:23">
      <c r="A528" s="1514"/>
      <c r="W528" s="1522"/>
    </row>
    <row r="529" spans="1:23">
      <c r="A529" s="1514"/>
      <c r="W529" s="1522"/>
    </row>
    <row r="530" spans="1:23">
      <c r="A530" s="1514"/>
      <c r="W530" s="1522"/>
    </row>
    <row r="531" spans="1:23">
      <c r="A531" s="1514"/>
      <c r="W531" s="1522"/>
    </row>
    <row r="532" spans="1:23">
      <c r="A532" s="1514"/>
      <c r="W532" s="1522"/>
    </row>
    <row r="533" spans="1:23">
      <c r="A533" s="1514"/>
      <c r="W533" s="1522"/>
    </row>
    <row r="534" spans="1:23">
      <c r="A534" s="1514"/>
      <c r="W534" s="1522"/>
    </row>
    <row r="535" spans="1:23">
      <c r="A535" s="1514"/>
      <c r="W535" s="1522"/>
    </row>
    <row r="536" spans="1:23">
      <c r="A536" s="1514"/>
      <c r="W536" s="1522"/>
    </row>
    <row r="537" spans="1:23">
      <c r="A537" s="1514"/>
      <c r="W537" s="1522"/>
    </row>
    <row r="538" spans="1:23">
      <c r="A538" s="1514"/>
      <c r="W538" s="1522"/>
    </row>
    <row r="539" spans="1:23">
      <c r="A539" s="1514"/>
      <c r="W539" s="1522"/>
    </row>
    <row r="540" spans="1:23">
      <c r="A540" s="1514"/>
      <c r="W540" s="1522"/>
    </row>
    <row r="541" spans="1:23">
      <c r="A541" s="1514"/>
      <c r="W541" s="1522"/>
    </row>
    <row r="542" spans="1:23">
      <c r="A542" s="1514"/>
      <c r="W542" s="1522"/>
    </row>
    <row r="543" spans="1:23">
      <c r="A543" s="1514"/>
      <c r="W543" s="1522"/>
    </row>
    <row r="544" spans="1:23">
      <c r="A544" s="1514"/>
      <c r="W544" s="1522"/>
    </row>
    <row r="545" spans="1:23">
      <c r="A545" s="1514"/>
      <c r="W545" s="1522"/>
    </row>
    <row r="546" spans="1:23">
      <c r="A546" s="1514"/>
      <c r="W546" s="1522"/>
    </row>
    <row r="547" spans="1:23">
      <c r="A547" s="1514"/>
      <c r="W547" s="1522"/>
    </row>
    <row r="548" spans="1:23">
      <c r="A548" s="1514"/>
      <c r="W548" s="1522"/>
    </row>
    <row r="549" spans="1:23">
      <c r="A549" s="1514"/>
      <c r="W549" s="1522"/>
    </row>
    <row r="550" spans="1:23">
      <c r="A550" s="1514"/>
      <c r="W550" s="1522"/>
    </row>
    <row r="551" spans="1:23">
      <c r="A551" s="1514"/>
      <c r="W551" s="1522"/>
    </row>
    <row r="552" spans="1:23">
      <c r="A552" s="1514"/>
      <c r="W552" s="1522"/>
    </row>
    <row r="553" spans="1:23">
      <c r="A553" s="1514"/>
      <c r="W553" s="1522"/>
    </row>
    <row r="554" spans="1:23">
      <c r="A554" s="1514"/>
      <c r="W554" s="1522"/>
    </row>
    <row r="555" spans="1:23">
      <c r="A555" s="1514"/>
      <c r="W555" s="1522"/>
    </row>
    <row r="556" spans="1:23">
      <c r="A556" s="1514"/>
      <c r="W556" s="1522"/>
    </row>
    <row r="557" spans="1:23">
      <c r="A557" s="1514"/>
      <c r="W557" s="1522"/>
    </row>
    <row r="558" spans="1:23">
      <c r="A558" s="1514"/>
      <c r="W558" s="1522"/>
    </row>
    <row r="559" spans="1:23">
      <c r="A559" s="1514"/>
      <c r="W559" s="1522"/>
    </row>
    <row r="560" spans="1:23">
      <c r="A560" s="1514"/>
      <c r="W560" s="1522"/>
    </row>
    <row r="561" spans="1:23">
      <c r="A561" s="1514"/>
      <c r="W561" s="1522"/>
    </row>
    <row r="562" spans="1:23">
      <c r="A562" s="1514"/>
      <c r="W562" s="1522"/>
    </row>
    <row r="563" spans="1:23">
      <c r="A563" s="1514"/>
      <c r="W563" s="1522"/>
    </row>
    <row r="564" spans="1:23">
      <c r="A564" s="1514"/>
      <c r="W564" s="1522"/>
    </row>
    <row r="565" spans="1:23">
      <c r="A565" s="1514"/>
      <c r="W565" s="1522"/>
    </row>
    <row r="566" spans="1:23">
      <c r="A566" s="1514"/>
      <c r="W566" s="1522"/>
    </row>
    <row r="567" spans="1:23">
      <c r="A567" s="1514"/>
      <c r="W567" s="1522"/>
    </row>
    <row r="568" spans="1:23">
      <c r="A568" s="1514"/>
      <c r="W568" s="1522"/>
    </row>
    <row r="569" spans="1:23">
      <c r="A569" s="1514"/>
      <c r="W569" s="1522"/>
    </row>
    <row r="570" spans="1:23">
      <c r="A570" s="1514"/>
      <c r="W570" s="1522"/>
    </row>
    <row r="571" spans="1:23">
      <c r="A571" s="1514"/>
      <c r="W571" s="1522"/>
    </row>
    <row r="572" spans="1:23">
      <c r="A572" s="1514"/>
      <c r="W572" s="1522"/>
    </row>
    <row r="573" spans="1:23">
      <c r="A573" s="1514"/>
      <c r="W573" s="1522"/>
    </row>
    <row r="574" spans="1:23">
      <c r="A574" s="1514"/>
      <c r="W574" s="1522"/>
    </row>
    <row r="575" spans="1:23">
      <c r="A575" s="1514"/>
      <c r="W575" s="1522"/>
    </row>
    <row r="576" spans="1:23">
      <c r="A576" s="1514"/>
      <c r="W576" s="1522"/>
    </row>
    <row r="577" spans="1:23">
      <c r="A577" s="1514"/>
      <c r="W577" s="1522"/>
    </row>
    <row r="578" spans="1:23">
      <c r="A578" s="1514"/>
      <c r="W578" s="1522"/>
    </row>
    <row r="579" spans="1:23">
      <c r="A579" s="1514"/>
      <c r="W579" s="1522"/>
    </row>
    <row r="580" spans="1:23">
      <c r="A580" s="1514"/>
      <c r="W580" s="1522"/>
    </row>
    <row r="581" spans="1:23">
      <c r="A581" s="1514"/>
      <c r="W581" s="1522"/>
    </row>
    <row r="582" spans="1:23">
      <c r="A582" s="1514"/>
      <c r="W582" s="1522"/>
    </row>
    <row r="583" spans="1:23">
      <c r="A583" s="1514"/>
      <c r="W583" s="1522"/>
    </row>
    <row r="584" spans="1:23">
      <c r="A584" s="1514"/>
      <c r="W584" s="1522"/>
    </row>
    <row r="585" spans="1:23">
      <c r="A585" s="1514"/>
      <c r="W585" s="1522"/>
    </row>
    <row r="586" spans="1:23">
      <c r="A586" s="1514"/>
      <c r="W586" s="1522"/>
    </row>
    <row r="587" spans="1:23">
      <c r="A587" s="1514"/>
      <c r="W587" s="1522"/>
    </row>
    <row r="588" spans="1:23">
      <c r="A588" s="1514"/>
      <c r="W588" s="1522"/>
    </row>
    <row r="589" spans="1:23">
      <c r="A589" s="1514"/>
      <c r="W589" s="1522"/>
    </row>
    <row r="590" spans="1:23">
      <c r="A590" s="1514"/>
      <c r="W590" s="1522"/>
    </row>
    <row r="591" spans="1:23">
      <c r="A591" s="1514"/>
      <c r="W591" s="1522"/>
    </row>
    <row r="592" spans="1:23">
      <c r="A592" s="1550"/>
      <c r="W592" s="1522"/>
    </row>
    <row r="593" spans="1:23">
      <c r="A593" s="1550"/>
      <c r="W593" s="1522"/>
    </row>
    <row r="594" spans="1:23">
      <c r="A594" s="1550"/>
      <c r="W594" s="1522"/>
    </row>
    <row r="595" spans="1:23">
      <c r="A595" s="1550"/>
      <c r="W595" s="1522"/>
    </row>
    <row r="596" spans="1:23">
      <c r="A596" s="1550"/>
      <c r="W596" s="1522"/>
    </row>
    <row r="597" spans="1:23">
      <c r="A597" s="1550"/>
      <c r="W597" s="1522"/>
    </row>
    <row r="598" spans="1:23">
      <c r="A598" s="1550"/>
      <c r="W598" s="1522"/>
    </row>
    <row r="599" spans="1:23">
      <c r="A599" s="1550"/>
      <c r="W599" s="1522"/>
    </row>
    <row r="600" spans="1:23">
      <c r="A600" s="1550"/>
      <c r="W600" s="1522"/>
    </row>
    <row r="601" spans="1:23">
      <c r="A601" s="1550"/>
      <c r="W601" s="1522"/>
    </row>
    <row r="602" spans="1:23">
      <c r="A602" s="1550"/>
      <c r="W602" s="1522"/>
    </row>
    <row r="603" spans="1:23">
      <c r="A603" s="1550"/>
      <c r="W603" s="1522"/>
    </row>
    <row r="604" spans="1:23">
      <c r="A604" s="1550"/>
      <c r="W604" s="1522"/>
    </row>
    <row r="605" spans="1:23">
      <c r="A605" s="1550"/>
      <c r="W605" s="1522"/>
    </row>
    <row r="606" spans="1:23">
      <c r="A606" s="1550"/>
      <c r="W606" s="1522"/>
    </row>
    <row r="607" spans="1:23">
      <c r="A607" s="1550"/>
      <c r="W607" s="1522"/>
    </row>
    <row r="608" spans="1:23">
      <c r="A608" s="1550"/>
      <c r="W608" s="1522"/>
    </row>
    <row r="609" spans="1:23">
      <c r="A609" s="1550"/>
      <c r="W609" s="1522"/>
    </row>
    <row r="610" spans="1:23">
      <c r="A610" s="1550"/>
      <c r="W610" s="1522"/>
    </row>
    <row r="611" spans="1:23">
      <c r="A611" s="1550"/>
      <c r="W611" s="1522"/>
    </row>
    <row r="612" spans="1:23">
      <c r="A612" s="1550"/>
      <c r="W612" s="1522"/>
    </row>
    <row r="613" spans="1:23">
      <c r="A613" s="1550"/>
      <c r="W613" s="1522"/>
    </row>
    <row r="614" spans="1:23">
      <c r="A614" s="1550"/>
      <c r="W614" s="1522"/>
    </row>
    <row r="615" spans="1:23">
      <c r="A615" s="1550"/>
      <c r="W615" s="1522"/>
    </row>
    <row r="616" spans="1:23">
      <c r="A616" s="1550"/>
      <c r="W616" s="1522"/>
    </row>
    <row r="617" spans="1:23">
      <c r="A617" s="1550"/>
      <c r="W617" s="1522"/>
    </row>
    <row r="618" spans="1:23">
      <c r="A618" s="1550"/>
      <c r="W618" s="1522"/>
    </row>
    <row r="619" spans="1:23">
      <c r="A619" s="1550"/>
      <c r="W619" s="1522"/>
    </row>
    <row r="620" spans="1:23">
      <c r="A620" s="1550"/>
      <c r="W620" s="1522"/>
    </row>
    <row r="621" spans="1:23">
      <c r="A621" s="1550"/>
      <c r="W621" s="1522"/>
    </row>
    <row r="622" spans="1:23">
      <c r="A622" s="1550"/>
      <c r="W622" s="1522"/>
    </row>
    <row r="623" spans="1:23">
      <c r="A623" s="1550"/>
      <c r="W623" s="1522"/>
    </row>
    <row r="624" spans="1:23">
      <c r="A624" s="1550"/>
      <c r="W624" s="1522"/>
    </row>
    <row r="625" spans="1:23">
      <c r="A625" s="1550"/>
      <c r="W625" s="1522"/>
    </row>
    <row r="626" spans="1:23">
      <c r="A626" s="1550"/>
      <c r="W626" s="1522"/>
    </row>
    <row r="627" spans="1:23">
      <c r="A627" s="1550"/>
      <c r="W627" s="1522"/>
    </row>
    <row r="628" spans="1:23">
      <c r="A628" s="1550"/>
      <c r="W628" s="1522"/>
    </row>
    <row r="629" spans="1:23">
      <c r="A629" s="1550"/>
      <c r="W629" s="1522"/>
    </row>
    <row r="630" spans="1:23">
      <c r="A630" s="1550"/>
      <c r="W630" s="1522"/>
    </row>
    <row r="631" spans="1:23">
      <c r="A631" s="1550"/>
      <c r="W631" s="1522"/>
    </row>
    <row r="632" spans="1:23">
      <c r="A632" s="1550"/>
      <c r="W632" s="1522"/>
    </row>
    <row r="633" spans="1:23">
      <c r="A633" s="1550"/>
      <c r="W633" s="1522"/>
    </row>
    <row r="634" spans="1:23">
      <c r="A634" s="1550"/>
      <c r="W634" s="1522"/>
    </row>
    <row r="635" spans="1:23">
      <c r="A635" s="1550"/>
      <c r="W635" s="1522"/>
    </row>
    <row r="636" spans="1:23">
      <c r="A636" s="1550"/>
      <c r="W636" s="1522"/>
    </row>
    <row r="637" spans="1:23">
      <c r="A637" s="1550"/>
      <c r="W637" s="1522"/>
    </row>
    <row r="638" spans="1:23">
      <c r="A638" s="1550"/>
      <c r="W638" s="1522"/>
    </row>
    <row r="639" spans="1:23">
      <c r="A639" s="1550"/>
      <c r="W639" s="1522"/>
    </row>
    <row r="640" spans="1:23">
      <c r="A640" s="1550"/>
      <c r="W640" s="1522"/>
    </row>
    <row r="641" spans="1:23">
      <c r="A641" s="1550"/>
      <c r="W641" s="1522"/>
    </row>
    <row r="642" spans="1:23">
      <c r="A642" s="1550"/>
      <c r="W642" s="1522"/>
    </row>
    <row r="643" spans="1:23">
      <c r="A643" s="1550"/>
      <c r="W643" s="1522"/>
    </row>
    <row r="644" spans="1:23">
      <c r="A644" s="1550"/>
      <c r="W644" s="1522"/>
    </row>
    <row r="645" spans="1:23">
      <c r="A645" s="1550"/>
      <c r="W645" s="1522"/>
    </row>
    <row r="646" spans="1:23">
      <c r="A646" s="1550"/>
      <c r="W646" s="1522"/>
    </row>
    <row r="647" spans="1:23">
      <c r="A647" s="1550"/>
      <c r="W647" s="1522"/>
    </row>
    <row r="648" spans="1:23">
      <c r="A648" s="1550"/>
      <c r="W648" s="1522"/>
    </row>
    <row r="649" spans="1:23">
      <c r="A649" s="1550"/>
      <c r="W649" s="1522"/>
    </row>
    <row r="650" spans="1:23">
      <c r="A650" s="1550"/>
      <c r="W650" s="1522"/>
    </row>
    <row r="651" spans="1:23">
      <c r="A651" s="1550"/>
      <c r="W651" s="1522"/>
    </row>
    <row r="652" spans="1:23">
      <c r="A652" s="1550"/>
      <c r="W652" s="1522"/>
    </row>
    <row r="653" spans="1:23">
      <c r="A653" s="1550"/>
      <c r="W653" s="1522"/>
    </row>
    <row r="654" spans="1:23">
      <c r="A654" s="1550"/>
      <c r="W654" s="1522"/>
    </row>
    <row r="655" spans="1:23">
      <c r="A655" s="1550"/>
      <c r="W655" s="1522"/>
    </row>
    <row r="656" spans="1:23">
      <c r="A656" s="1550"/>
      <c r="W656" s="1522"/>
    </row>
    <row r="657" spans="1:23">
      <c r="A657" s="1550"/>
      <c r="W657" s="1522"/>
    </row>
    <row r="658" spans="1:23">
      <c r="A658" s="1550"/>
      <c r="W658" s="1522"/>
    </row>
    <row r="659" spans="1:23">
      <c r="A659" s="1550"/>
      <c r="W659" s="1522"/>
    </row>
    <row r="660" spans="1:23">
      <c r="A660" s="1550"/>
      <c r="W660" s="1522"/>
    </row>
    <row r="661" spans="1:23">
      <c r="A661" s="1550"/>
      <c r="W661" s="1522"/>
    </row>
    <row r="662" spans="1:23">
      <c r="A662" s="1550"/>
      <c r="W662" s="1522"/>
    </row>
    <row r="663" spans="1:23">
      <c r="A663" s="1550"/>
      <c r="W663" s="1522"/>
    </row>
    <row r="664" spans="1:23">
      <c r="A664" s="1550"/>
      <c r="W664" s="1522"/>
    </row>
    <row r="665" spans="1:23">
      <c r="A665" s="1550"/>
      <c r="W665" s="1522"/>
    </row>
    <row r="666" spans="1:23">
      <c r="A666" s="1550"/>
      <c r="W666" s="1522"/>
    </row>
    <row r="667" spans="1:23">
      <c r="A667" s="1550"/>
      <c r="W667" s="1522"/>
    </row>
    <row r="668" spans="1:23">
      <c r="A668" s="1550"/>
      <c r="W668" s="1522"/>
    </row>
    <row r="669" spans="1:23">
      <c r="A669" s="1550"/>
      <c r="W669" s="1522"/>
    </row>
    <row r="670" spans="1:23">
      <c r="A670" s="1550"/>
      <c r="W670" s="1522"/>
    </row>
    <row r="671" spans="1:23">
      <c r="A671" s="1550"/>
      <c r="W671" s="1522"/>
    </row>
    <row r="672" spans="1:23">
      <c r="A672" s="1550"/>
      <c r="W672" s="1522"/>
    </row>
    <row r="673" spans="1:23">
      <c r="A673" s="1550"/>
      <c r="W673" s="1522"/>
    </row>
    <row r="674" spans="1:23">
      <c r="A674" s="1550"/>
      <c r="W674" s="1522"/>
    </row>
    <row r="675" spans="1:23">
      <c r="A675" s="1550"/>
      <c r="W675" s="1522"/>
    </row>
    <row r="676" spans="1:23">
      <c r="A676" s="1550"/>
      <c r="W676" s="1522"/>
    </row>
    <row r="677" spans="1:23">
      <c r="A677" s="1550"/>
      <c r="W677" s="1522"/>
    </row>
    <row r="678" spans="1:23">
      <c r="A678" s="1550"/>
      <c r="W678" s="1522"/>
    </row>
    <row r="679" spans="1:23">
      <c r="A679" s="1550"/>
      <c r="W679" s="1522"/>
    </row>
    <row r="680" spans="1:23">
      <c r="A680" s="1550"/>
      <c r="W680" s="1522"/>
    </row>
    <row r="681" spans="1:23">
      <c r="A681" s="1550"/>
      <c r="W681" s="1522"/>
    </row>
    <row r="682" spans="1:23">
      <c r="A682" s="1550"/>
      <c r="W682" s="1522"/>
    </row>
    <row r="683" spans="1:23">
      <c r="A683" s="1550"/>
      <c r="W683" s="1522"/>
    </row>
    <row r="684" spans="1:23">
      <c r="A684" s="1550"/>
      <c r="W684" s="1522"/>
    </row>
    <row r="685" spans="1:23">
      <c r="A685" s="1550"/>
      <c r="W685" s="1522"/>
    </row>
    <row r="686" spans="1:23">
      <c r="A686" s="1550"/>
      <c r="W686" s="1522"/>
    </row>
    <row r="687" spans="1:23">
      <c r="A687" s="1550"/>
      <c r="W687" s="1522"/>
    </row>
    <row r="688" spans="1:23">
      <c r="A688" s="1550"/>
      <c r="W688" s="1522"/>
    </row>
    <row r="689" spans="1:23">
      <c r="A689" s="1550"/>
      <c r="W689" s="1522"/>
    </row>
    <row r="690" spans="1:23">
      <c r="A690" s="1550"/>
      <c r="W690" s="1522"/>
    </row>
    <row r="691" spans="1:23">
      <c r="A691" s="1550"/>
      <c r="W691" s="1522"/>
    </row>
    <row r="692" spans="1:23">
      <c r="A692" s="1550"/>
      <c r="W692" s="1522"/>
    </row>
    <row r="693" spans="1:23">
      <c r="A693" s="1550"/>
      <c r="W693" s="1522"/>
    </row>
    <row r="694" spans="1:23">
      <c r="A694" s="1550"/>
      <c r="W694" s="1522"/>
    </row>
    <row r="695" spans="1:23">
      <c r="A695" s="1550"/>
      <c r="W695" s="1522"/>
    </row>
    <row r="696" spans="1:23">
      <c r="A696" s="1550"/>
      <c r="W696" s="1522"/>
    </row>
    <row r="697" spans="1:23">
      <c r="A697" s="1550"/>
      <c r="W697" s="1522"/>
    </row>
    <row r="698" spans="1:23">
      <c r="A698" s="1550"/>
      <c r="W698" s="1522"/>
    </row>
    <row r="699" spans="1:23">
      <c r="A699" s="1550"/>
      <c r="W699" s="1522"/>
    </row>
    <row r="700" spans="1:23">
      <c r="A700" s="1550"/>
      <c r="W700" s="1522"/>
    </row>
    <row r="701" spans="1:23">
      <c r="A701" s="1550"/>
      <c r="W701" s="1522"/>
    </row>
    <row r="702" spans="1:23">
      <c r="A702" s="1550"/>
      <c r="W702" s="1522"/>
    </row>
    <row r="703" spans="1:23">
      <c r="A703" s="1550"/>
      <c r="W703" s="1522"/>
    </row>
    <row r="704" spans="1:23">
      <c r="A704" s="1550"/>
      <c r="W704" s="1522"/>
    </row>
    <row r="705" spans="1:23">
      <c r="A705" s="1550"/>
      <c r="W705" s="1522"/>
    </row>
    <row r="706" spans="1:23">
      <c r="A706" s="1550"/>
      <c r="W706" s="1522"/>
    </row>
    <row r="707" spans="1:23">
      <c r="A707" s="1550"/>
      <c r="W707" s="1522"/>
    </row>
    <row r="708" spans="1:23">
      <c r="A708" s="1550"/>
      <c r="W708" s="1522"/>
    </row>
    <row r="709" spans="1:23">
      <c r="A709" s="1550"/>
      <c r="W709" s="1522"/>
    </row>
    <row r="710" spans="1:23">
      <c r="A710" s="1550"/>
      <c r="W710" s="1522"/>
    </row>
    <row r="711" spans="1:23">
      <c r="A711" s="1550"/>
      <c r="W711" s="1522"/>
    </row>
    <row r="712" spans="1:23">
      <c r="A712" s="1550"/>
      <c r="W712" s="1522"/>
    </row>
    <row r="713" spans="1:23">
      <c r="A713" s="1550"/>
      <c r="W713" s="1522"/>
    </row>
    <row r="714" spans="1:23">
      <c r="A714" s="1550"/>
      <c r="W714" s="1522"/>
    </row>
    <row r="715" spans="1:23">
      <c r="A715" s="1550"/>
      <c r="W715" s="1522"/>
    </row>
    <row r="716" spans="1:23">
      <c r="A716" s="1550"/>
      <c r="W716" s="1522"/>
    </row>
    <row r="717" spans="1:23">
      <c r="A717" s="1550"/>
      <c r="W717" s="1522"/>
    </row>
    <row r="718" spans="1:23">
      <c r="A718" s="1550"/>
      <c r="W718" s="1522"/>
    </row>
    <row r="719" spans="1:23">
      <c r="A719" s="1550"/>
      <c r="W719" s="1522"/>
    </row>
    <row r="720" spans="1:23">
      <c r="A720" s="1550"/>
      <c r="W720" s="1522"/>
    </row>
    <row r="721" spans="1:23">
      <c r="A721" s="1550"/>
      <c r="W721" s="1522"/>
    </row>
    <row r="722" spans="1:23">
      <c r="A722" s="1550"/>
      <c r="W722" s="1522"/>
    </row>
    <row r="723" spans="1:23">
      <c r="A723" s="1550"/>
      <c r="W723" s="1522"/>
    </row>
    <row r="724" spans="1:23">
      <c r="A724" s="1550"/>
      <c r="W724" s="1522"/>
    </row>
    <row r="725" spans="1:23">
      <c r="A725" s="1550"/>
      <c r="W725" s="1522"/>
    </row>
    <row r="726" spans="1:23">
      <c r="A726" s="1550"/>
      <c r="W726" s="1522"/>
    </row>
    <row r="727" spans="1:23">
      <c r="A727" s="1550"/>
      <c r="W727" s="1522"/>
    </row>
    <row r="728" spans="1:23">
      <c r="A728" s="1550"/>
      <c r="W728" s="1522"/>
    </row>
    <row r="729" spans="1:23">
      <c r="A729" s="1550"/>
      <c r="W729" s="1522"/>
    </row>
    <row r="730" spans="1:23">
      <c r="A730" s="1550"/>
      <c r="W730" s="1522"/>
    </row>
    <row r="731" spans="1:23">
      <c r="A731" s="1550"/>
      <c r="W731" s="1522"/>
    </row>
    <row r="732" spans="1:23">
      <c r="A732" s="1550"/>
      <c r="W732" s="1522"/>
    </row>
    <row r="733" spans="1:23">
      <c r="A733" s="1550"/>
      <c r="W733" s="1522"/>
    </row>
    <row r="734" spans="1:23">
      <c r="A734" s="1550"/>
      <c r="W734" s="1522"/>
    </row>
    <row r="735" spans="1:23">
      <c r="A735" s="1550"/>
      <c r="W735" s="1522"/>
    </row>
    <row r="736" spans="1:23">
      <c r="A736" s="1550"/>
      <c r="W736" s="1522"/>
    </row>
    <row r="737" spans="1:23">
      <c r="A737" s="1550"/>
      <c r="W737" s="1522"/>
    </row>
    <row r="738" spans="1:23">
      <c r="A738" s="1550"/>
      <c r="W738" s="1522"/>
    </row>
    <row r="739" spans="1:23">
      <c r="A739" s="1550"/>
      <c r="W739" s="1522"/>
    </row>
    <row r="740" spans="1:23">
      <c r="A740" s="1550"/>
      <c r="W740" s="1522"/>
    </row>
    <row r="741" spans="1:23">
      <c r="A741" s="1550"/>
      <c r="W741" s="1522"/>
    </row>
    <row r="742" spans="1:23">
      <c r="A742" s="1550"/>
      <c r="W742" s="1522"/>
    </row>
    <row r="743" spans="1:23">
      <c r="A743" s="1550"/>
      <c r="W743" s="1522"/>
    </row>
    <row r="744" spans="1:23">
      <c r="A744" s="1550"/>
      <c r="W744" s="1522"/>
    </row>
    <row r="745" spans="1:23">
      <c r="A745" s="1550"/>
      <c r="W745" s="1522"/>
    </row>
    <row r="746" spans="1:23">
      <c r="A746" s="1550"/>
      <c r="W746" s="1522"/>
    </row>
    <row r="747" spans="1:23">
      <c r="A747" s="1550"/>
      <c r="W747" s="1522"/>
    </row>
    <row r="748" spans="1:23">
      <c r="A748" s="1550"/>
      <c r="W748" s="1522"/>
    </row>
    <row r="749" spans="1:23">
      <c r="A749" s="1550"/>
      <c r="W749" s="1522"/>
    </row>
    <row r="750" spans="1:23">
      <c r="A750" s="1550"/>
      <c r="W750" s="1522"/>
    </row>
    <row r="751" spans="1:23">
      <c r="A751" s="1550"/>
      <c r="W751" s="1522"/>
    </row>
    <row r="752" spans="1:23">
      <c r="A752" s="1550"/>
      <c r="W752" s="1522"/>
    </row>
    <row r="753" spans="1:23">
      <c r="A753" s="1550"/>
      <c r="W753" s="1522"/>
    </row>
    <row r="754" spans="1:23">
      <c r="A754" s="1550"/>
      <c r="W754" s="1522"/>
    </row>
    <row r="755" spans="1:23">
      <c r="A755" s="1550"/>
      <c r="W755" s="1522"/>
    </row>
    <row r="756" spans="1:23">
      <c r="A756" s="1550"/>
      <c r="W756" s="1522"/>
    </row>
    <row r="757" spans="1:23">
      <c r="A757" s="1550"/>
      <c r="W757" s="1522"/>
    </row>
    <row r="758" spans="1:23">
      <c r="A758" s="1550"/>
      <c r="W758" s="1522"/>
    </row>
    <row r="759" spans="1:23">
      <c r="A759" s="1550"/>
      <c r="W759" s="1522"/>
    </row>
    <row r="760" spans="1:23">
      <c r="A760" s="1550"/>
      <c r="W760" s="1522"/>
    </row>
    <row r="761" spans="1:23">
      <c r="A761" s="1550"/>
      <c r="W761" s="1522"/>
    </row>
    <row r="762" spans="1:23">
      <c r="A762" s="1550"/>
      <c r="W762" s="1522"/>
    </row>
    <row r="763" spans="1:23">
      <c r="A763" s="1550"/>
      <c r="W763" s="1522"/>
    </row>
    <row r="764" spans="1:23">
      <c r="A764" s="1550"/>
      <c r="W764" s="1522"/>
    </row>
    <row r="765" spans="1:23">
      <c r="A765" s="1550"/>
      <c r="W765" s="1522"/>
    </row>
    <row r="766" spans="1:23">
      <c r="A766" s="1550"/>
      <c r="W766" s="1522"/>
    </row>
    <row r="767" spans="1:23">
      <c r="A767" s="1550"/>
      <c r="W767" s="1522"/>
    </row>
    <row r="768" spans="1:23">
      <c r="A768" s="1550"/>
      <c r="W768" s="1522"/>
    </row>
    <row r="769" spans="1:23">
      <c r="A769" s="1550"/>
      <c r="W769" s="1522"/>
    </row>
    <row r="770" spans="1:23">
      <c r="A770" s="1550"/>
      <c r="W770" s="1522"/>
    </row>
    <row r="771" spans="1:23">
      <c r="A771" s="1550"/>
      <c r="W771" s="1522"/>
    </row>
    <row r="772" spans="1:23">
      <c r="A772" s="1550"/>
      <c r="W772" s="1522"/>
    </row>
    <row r="773" spans="1:23">
      <c r="A773" s="1550"/>
      <c r="W773" s="1522"/>
    </row>
    <row r="774" spans="1:23">
      <c r="A774" s="1550"/>
      <c r="W774" s="1522"/>
    </row>
    <row r="775" spans="1:23">
      <c r="A775" s="1550"/>
      <c r="W775" s="1522"/>
    </row>
    <row r="776" spans="1:23">
      <c r="A776" s="1550"/>
      <c r="W776" s="1522"/>
    </row>
    <row r="777" spans="1:23">
      <c r="A777" s="1550"/>
      <c r="W777" s="1522"/>
    </row>
    <row r="778" spans="1:23">
      <c r="A778" s="1550"/>
      <c r="W778" s="1522"/>
    </row>
    <row r="779" spans="1:23">
      <c r="A779" s="1550"/>
      <c r="W779" s="1522"/>
    </row>
    <row r="780" spans="1:23">
      <c r="A780" s="1550"/>
      <c r="W780" s="1522"/>
    </row>
    <row r="781" spans="1:23">
      <c r="A781" s="1550"/>
      <c r="W781" s="1522"/>
    </row>
    <row r="782" spans="1:23">
      <c r="A782" s="1550"/>
      <c r="W782" s="1522"/>
    </row>
    <row r="783" spans="1:23">
      <c r="A783" s="1550"/>
      <c r="W783" s="1522"/>
    </row>
    <row r="784" spans="1:23">
      <c r="A784" s="1550"/>
      <c r="W784" s="1522"/>
    </row>
    <row r="785" spans="1:23">
      <c r="A785" s="1550"/>
      <c r="W785" s="1522"/>
    </row>
    <row r="786" spans="1:23">
      <c r="A786" s="1550"/>
      <c r="W786" s="1522"/>
    </row>
    <row r="787" spans="1:23">
      <c r="A787" s="1550"/>
      <c r="W787" s="1522"/>
    </row>
    <row r="788" spans="1:23">
      <c r="A788" s="1550"/>
      <c r="W788" s="1522"/>
    </row>
    <row r="789" spans="1:23">
      <c r="A789" s="1550"/>
      <c r="W789" s="1522"/>
    </row>
    <row r="790" spans="1:23">
      <c r="A790" s="1550"/>
      <c r="W790" s="1522"/>
    </row>
    <row r="791" spans="1:23">
      <c r="A791" s="1550"/>
      <c r="W791" s="1522"/>
    </row>
    <row r="792" spans="1:23">
      <c r="A792" s="1550"/>
      <c r="W792" s="1522"/>
    </row>
    <row r="793" spans="1:23">
      <c r="A793" s="1550"/>
      <c r="W793" s="1522"/>
    </row>
    <row r="794" spans="1:23">
      <c r="A794" s="1550"/>
      <c r="W794" s="1522"/>
    </row>
    <row r="795" spans="1:23">
      <c r="A795" s="1550"/>
      <c r="W795" s="1522"/>
    </row>
    <row r="796" spans="1:23">
      <c r="A796" s="1550"/>
      <c r="W796" s="1522"/>
    </row>
    <row r="797" spans="1:23">
      <c r="A797" s="1550"/>
      <c r="W797" s="1522"/>
    </row>
    <row r="798" spans="1:23">
      <c r="A798" s="1550"/>
      <c r="W798" s="1522"/>
    </row>
    <row r="799" spans="1:23">
      <c r="A799" s="1550"/>
      <c r="W799" s="1522"/>
    </row>
    <row r="800" spans="1:23">
      <c r="A800" s="1550"/>
      <c r="W800" s="1522"/>
    </row>
    <row r="801" spans="1:23">
      <c r="A801" s="1550"/>
      <c r="W801" s="1522"/>
    </row>
    <row r="802" spans="1:23">
      <c r="A802" s="1550"/>
      <c r="W802" s="1522"/>
    </row>
    <row r="803" spans="1:23">
      <c r="A803" s="1550"/>
      <c r="W803" s="1522"/>
    </row>
    <row r="804" spans="1:23">
      <c r="A804" s="1550"/>
      <c r="W804" s="1522"/>
    </row>
    <row r="805" spans="1:23">
      <c r="A805" s="1550"/>
      <c r="W805" s="1522"/>
    </row>
    <row r="806" spans="1:23">
      <c r="A806" s="1550"/>
      <c r="W806" s="1522"/>
    </row>
    <row r="807" spans="1:23">
      <c r="A807" s="1550"/>
      <c r="W807" s="1522"/>
    </row>
    <row r="808" spans="1:23">
      <c r="A808" s="1550"/>
      <c r="W808" s="1522"/>
    </row>
    <row r="809" spans="1:23">
      <c r="A809" s="1550"/>
      <c r="W809" s="1522"/>
    </row>
    <row r="810" spans="1:23">
      <c r="A810" s="1550"/>
      <c r="W810" s="1522"/>
    </row>
    <row r="811" spans="1:23">
      <c r="A811" s="1550"/>
      <c r="W811" s="1522"/>
    </row>
    <row r="812" spans="1:23">
      <c r="A812" s="1550"/>
      <c r="W812" s="1522"/>
    </row>
    <row r="813" spans="1:23">
      <c r="A813" s="1550"/>
      <c r="W813" s="1522"/>
    </row>
    <row r="814" spans="1:23">
      <c r="A814" s="1550"/>
      <c r="W814" s="1522"/>
    </row>
    <row r="815" spans="1:23">
      <c r="A815" s="1550"/>
      <c r="W815" s="1522"/>
    </row>
    <row r="816" spans="1:23">
      <c r="A816" s="1550"/>
      <c r="W816" s="1522"/>
    </row>
    <row r="817" spans="1:23">
      <c r="A817" s="1550"/>
      <c r="W817" s="1522"/>
    </row>
    <row r="818" spans="1:23">
      <c r="A818" s="1550"/>
      <c r="W818" s="1522"/>
    </row>
    <row r="819" spans="1:23">
      <c r="A819" s="1550"/>
      <c r="W819" s="1522"/>
    </row>
    <row r="820" spans="1:23">
      <c r="A820" s="1550"/>
      <c r="W820" s="1522"/>
    </row>
    <row r="821" spans="1:23">
      <c r="A821" s="1550"/>
      <c r="W821" s="1522"/>
    </row>
    <row r="822" spans="1:23">
      <c r="A822" s="1550"/>
      <c r="W822" s="1522"/>
    </row>
    <row r="823" spans="1:23">
      <c r="A823" s="1550"/>
      <c r="W823" s="1522"/>
    </row>
    <row r="824" spans="1:23">
      <c r="A824" s="1550"/>
      <c r="W824" s="1522"/>
    </row>
    <row r="825" spans="1:23">
      <c r="A825" s="1550"/>
      <c r="W825" s="1522"/>
    </row>
    <row r="826" spans="1:23">
      <c r="A826" s="1550"/>
      <c r="W826" s="1522"/>
    </row>
    <row r="827" spans="1:23">
      <c r="A827" s="1550"/>
      <c r="W827" s="1522"/>
    </row>
    <row r="828" spans="1:23">
      <c r="A828" s="1550"/>
      <c r="W828" s="1522"/>
    </row>
    <row r="829" spans="1:23">
      <c r="A829" s="1550"/>
      <c r="W829" s="1522"/>
    </row>
    <row r="830" spans="1:23">
      <c r="A830" s="1550"/>
      <c r="W830" s="1522"/>
    </row>
    <row r="831" spans="1:23">
      <c r="A831" s="1550"/>
      <c r="W831" s="1522"/>
    </row>
    <row r="832" spans="1:23">
      <c r="A832" s="1550"/>
      <c r="W832" s="1522"/>
    </row>
    <row r="833" spans="1:23">
      <c r="A833" s="1550"/>
      <c r="W833" s="1522"/>
    </row>
    <row r="834" spans="1:23">
      <c r="A834" s="1550"/>
      <c r="W834" s="1522"/>
    </row>
    <row r="835" spans="1:23">
      <c r="A835" s="1550"/>
      <c r="W835" s="1522"/>
    </row>
    <row r="836" spans="1:23">
      <c r="A836" s="1550"/>
      <c r="W836" s="1522"/>
    </row>
    <row r="837" spans="1:23">
      <c r="A837" s="1550"/>
      <c r="W837" s="1522"/>
    </row>
    <row r="838" spans="1:23">
      <c r="A838" s="1550"/>
      <c r="W838" s="1522"/>
    </row>
    <row r="839" spans="1:23">
      <c r="A839" s="1550"/>
      <c r="W839" s="1522"/>
    </row>
    <row r="840" spans="1:23">
      <c r="A840" s="1550"/>
      <c r="W840" s="1522"/>
    </row>
    <row r="841" spans="1:23">
      <c r="A841" s="1550"/>
      <c r="W841" s="1522"/>
    </row>
    <row r="842" spans="1:23">
      <c r="A842" s="1550"/>
      <c r="W842" s="1522"/>
    </row>
    <row r="843" spans="1:23">
      <c r="A843" s="1550"/>
      <c r="W843" s="1522"/>
    </row>
    <row r="844" spans="1:23">
      <c r="A844" s="1550"/>
      <c r="W844" s="1522"/>
    </row>
    <row r="845" spans="1:23">
      <c r="A845" s="1550"/>
      <c r="W845" s="1522"/>
    </row>
    <row r="846" spans="1:23">
      <c r="A846" s="1550"/>
      <c r="W846" s="1522"/>
    </row>
    <row r="847" spans="1:23">
      <c r="A847" s="1550"/>
      <c r="W847" s="1522"/>
    </row>
    <row r="848" spans="1:23">
      <c r="A848" s="1550"/>
      <c r="W848" s="1522"/>
    </row>
    <row r="849" spans="1:23">
      <c r="A849" s="1550"/>
      <c r="W849" s="1522"/>
    </row>
    <row r="850" spans="1:23">
      <c r="A850" s="1550"/>
      <c r="W850" s="1522"/>
    </row>
    <row r="851" spans="1:23">
      <c r="A851" s="1550"/>
      <c r="W851" s="1522"/>
    </row>
    <row r="852" spans="1:23">
      <c r="A852" s="1550"/>
      <c r="W852" s="1522"/>
    </row>
    <row r="853" spans="1:23">
      <c r="A853" s="1550"/>
      <c r="W853" s="1522"/>
    </row>
    <row r="854" spans="1:23">
      <c r="A854" s="1550"/>
      <c r="W854" s="1522"/>
    </row>
    <row r="855" spans="1:23">
      <c r="A855" s="1550"/>
      <c r="W855" s="1522"/>
    </row>
    <row r="856" spans="1:23">
      <c r="A856" s="1550"/>
      <c r="W856" s="1522"/>
    </row>
    <row r="857" spans="1:23">
      <c r="A857" s="1550"/>
      <c r="W857" s="1522"/>
    </row>
    <row r="858" spans="1:23">
      <c r="A858" s="1550"/>
      <c r="W858" s="1522"/>
    </row>
    <row r="859" spans="1:23">
      <c r="A859" s="1550"/>
      <c r="W859" s="1522"/>
    </row>
    <row r="860" spans="1:23">
      <c r="A860" s="1550"/>
      <c r="W860" s="1522"/>
    </row>
    <row r="861" spans="1:23">
      <c r="A861" s="1550"/>
      <c r="W861" s="1522"/>
    </row>
    <row r="862" spans="1:23">
      <c r="A862" s="1550"/>
      <c r="W862" s="1522"/>
    </row>
    <row r="863" spans="1:23">
      <c r="A863" s="1550"/>
      <c r="W863" s="1522"/>
    </row>
    <row r="864" spans="1:23">
      <c r="A864" s="1550"/>
      <c r="W864" s="1522"/>
    </row>
    <row r="865" spans="1:23">
      <c r="A865" s="1550"/>
      <c r="W865" s="1522"/>
    </row>
    <row r="866" spans="1:23">
      <c r="A866" s="1550"/>
      <c r="W866" s="1522"/>
    </row>
    <row r="867" spans="1:23">
      <c r="A867" s="1550"/>
      <c r="W867" s="1522"/>
    </row>
    <row r="868" spans="1:23">
      <c r="A868" s="1550"/>
      <c r="W868" s="1522"/>
    </row>
    <row r="869" spans="1:23">
      <c r="A869" s="1550"/>
      <c r="W869" s="1522"/>
    </row>
    <row r="870" spans="1:23">
      <c r="A870" s="1550"/>
      <c r="W870" s="1522"/>
    </row>
    <row r="871" spans="1:23">
      <c r="A871" s="1550"/>
      <c r="W871" s="1522"/>
    </row>
    <row r="872" spans="1:23">
      <c r="A872" s="1550"/>
      <c r="W872" s="1522"/>
    </row>
    <row r="873" spans="1:23">
      <c r="A873" s="1550"/>
      <c r="W873" s="1522"/>
    </row>
    <row r="874" spans="1:23">
      <c r="A874" s="1550"/>
      <c r="W874" s="1522"/>
    </row>
    <row r="875" spans="1:23">
      <c r="A875" s="1550"/>
      <c r="W875" s="1522"/>
    </row>
    <row r="876" spans="1:23">
      <c r="A876" s="1550"/>
      <c r="W876" s="1522"/>
    </row>
    <row r="877" spans="1:23">
      <c r="A877" s="1550"/>
      <c r="W877" s="1522"/>
    </row>
    <row r="878" spans="1:23">
      <c r="A878" s="1550"/>
      <c r="W878" s="1522"/>
    </row>
    <row r="879" spans="1:23">
      <c r="A879" s="1550"/>
      <c r="W879" s="1522"/>
    </row>
    <row r="880" spans="1:23">
      <c r="A880" s="1550"/>
      <c r="W880" s="1522"/>
    </row>
    <row r="881" spans="1:23">
      <c r="A881" s="1550"/>
      <c r="W881" s="1522"/>
    </row>
    <row r="882" spans="1:23">
      <c r="A882" s="1550"/>
      <c r="W882" s="1522"/>
    </row>
    <row r="883" spans="1:23">
      <c r="A883" s="1550"/>
      <c r="W883" s="1522"/>
    </row>
    <row r="884" spans="1:23">
      <c r="A884" s="1550"/>
      <c r="W884" s="1522"/>
    </row>
    <row r="885" spans="1:23">
      <c r="A885" s="1550"/>
      <c r="W885" s="1522"/>
    </row>
    <row r="886" spans="1:23">
      <c r="A886" s="1550"/>
      <c r="W886" s="1522"/>
    </row>
    <row r="887" spans="1:23">
      <c r="A887" s="1550"/>
      <c r="W887" s="1522"/>
    </row>
    <row r="888" spans="1:23">
      <c r="A888" s="1550"/>
      <c r="W888" s="1522"/>
    </row>
    <row r="889" spans="1:23">
      <c r="A889" s="1550"/>
      <c r="W889" s="1522"/>
    </row>
    <row r="890" spans="1:23">
      <c r="A890" s="1550"/>
      <c r="W890" s="1522"/>
    </row>
    <row r="891" spans="1:23">
      <c r="A891" s="1550"/>
      <c r="W891" s="1522"/>
    </row>
    <row r="892" spans="1:23">
      <c r="A892" s="1550"/>
      <c r="W892" s="1522"/>
    </row>
    <row r="893" spans="1:23">
      <c r="A893" s="1550"/>
      <c r="W893" s="1522"/>
    </row>
    <row r="894" spans="1:23">
      <c r="A894" s="1550"/>
      <c r="W894" s="1522"/>
    </row>
    <row r="895" spans="1:23">
      <c r="A895" s="1550"/>
      <c r="W895" s="1522"/>
    </row>
    <row r="896" spans="1:23">
      <c r="A896" s="1550"/>
      <c r="W896" s="1522"/>
    </row>
    <row r="897" spans="1:23">
      <c r="A897" s="1550"/>
      <c r="W897" s="1522"/>
    </row>
    <row r="898" spans="1:23">
      <c r="A898" s="1550"/>
      <c r="W898" s="1522"/>
    </row>
    <row r="899" spans="1:23">
      <c r="A899" s="1550"/>
      <c r="W899" s="1522"/>
    </row>
    <row r="900" spans="1:23">
      <c r="A900" s="1550"/>
      <c r="W900" s="1522"/>
    </row>
    <row r="901" spans="1:23">
      <c r="A901" s="1550"/>
      <c r="W901" s="1522"/>
    </row>
    <row r="902" spans="1:23">
      <c r="A902" s="1550"/>
      <c r="W902" s="1522"/>
    </row>
    <row r="903" spans="1:23">
      <c r="A903" s="1550"/>
      <c r="W903" s="1522"/>
    </row>
    <row r="904" spans="1:23">
      <c r="A904" s="1550"/>
      <c r="W904" s="1522"/>
    </row>
    <row r="905" spans="1:23">
      <c r="A905" s="1550"/>
      <c r="W905" s="1522"/>
    </row>
    <row r="906" spans="1:23">
      <c r="A906" s="1550"/>
      <c r="W906" s="1522"/>
    </row>
    <row r="907" spans="1:23">
      <c r="A907" s="1550"/>
      <c r="W907" s="1522"/>
    </row>
    <row r="908" spans="1:23">
      <c r="A908" s="1550"/>
      <c r="W908" s="1522"/>
    </row>
    <row r="909" spans="1:23">
      <c r="A909" s="1550"/>
      <c r="W909" s="1522"/>
    </row>
    <row r="910" spans="1:23">
      <c r="A910" s="1550"/>
      <c r="W910" s="1522"/>
    </row>
    <row r="911" spans="1:23">
      <c r="A911" s="1550"/>
      <c r="W911" s="1522"/>
    </row>
    <row r="912" spans="1:23">
      <c r="A912" s="1550"/>
      <c r="W912" s="1522"/>
    </row>
    <row r="913" spans="1:23">
      <c r="A913" s="1550"/>
      <c r="W913" s="1522"/>
    </row>
    <row r="914" spans="1:23">
      <c r="A914" s="1550"/>
      <c r="W914" s="1522"/>
    </row>
    <row r="915" spans="1:23">
      <c r="A915" s="1550"/>
      <c r="W915" s="1522"/>
    </row>
    <row r="916" spans="1:23">
      <c r="A916" s="1550"/>
      <c r="W916" s="1522"/>
    </row>
    <row r="917" spans="1:23">
      <c r="A917" s="1550"/>
      <c r="W917" s="1522"/>
    </row>
    <row r="918" spans="1:23">
      <c r="A918" s="1550"/>
      <c r="W918" s="1522"/>
    </row>
    <row r="919" spans="1:23">
      <c r="A919" s="1550"/>
      <c r="W919" s="1522"/>
    </row>
    <row r="920" spans="1:23">
      <c r="A920" s="1550"/>
      <c r="W920" s="1522"/>
    </row>
    <row r="921" spans="1:23">
      <c r="A921" s="1550"/>
      <c r="W921" s="1522"/>
    </row>
    <row r="922" spans="1:23">
      <c r="A922" s="1550"/>
      <c r="W922" s="1522"/>
    </row>
    <row r="923" spans="1:23">
      <c r="A923" s="1550"/>
      <c r="W923" s="1522"/>
    </row>
    <row r="924" spans="1:23">
      <c r="A924" s="1550"/>
      <c r="W924" s="1522"/>
    </row>
    <row r="925" spans="1:23">
      <c r="A925" s="1550"/>
      <c r="W925" s="1522"/>
    </row>
    <row r="926" spans="1:23">
      <c r="A926" s="1550"/>
      <c r="W926" s="1522"/>
    </row>
    <row r="927" spans="1:23">
      <c r="A927" s="1550"/>
      <c r="W927" s="1522"/>
    </row>
    <row r="928" spans="1:23">
      <c r="A928" s="1550"/>
      <c r="W928" s="1522"/>
    </row>
    <row r="929" spans="1:23">
      <c r="A929" s="1550"/>
      <c r="W929" s="1522"/>
    </row>
    <row r="930" spans="1:23">
      <c r="A930" s="1550"/>
      <c r="W930" s="1522"/>
    </row>
    <row r="931" spans="1:23">
      <c r="A931" s="1550"/>
      <c r="W931" s="1522"/>
    </row>
    <row r="932" spans="1:23">
      <c r="A932" s="1550"/>
      <c r="W932" s="1522"/>
    </row>
    <row r="933" spans="1:23">
      <c r="A933" s="1550"/>
      <c r="W933" s="1522"/>
    </row>
    <row r="934" spans="1:23">
      <c r="A934" s="1550"/>
      <c r="W934" s="1522"/>
    </row>
    <row r="935" spans="1:23">
      <c r="A935" s="1550"/>
      <c r="W935" s="1522"/>
    </row>
    <row r="936" spans="1:23">
      <c r="A936" s="1550"/>
      <c r="W936" s="1522"/>
    </row>
    <row r="937" spans="1:23">
      <c r="A937" s="1550"/>
      <c r="W937" s="1522"/>
    </row>
    <row r="938" spans="1:23">
      <c r="A938" s="1550"/>
      <c r="W938" s="1522"/>
    </row>
    <row r="939" spans="1:23">
      <c r="A939" s="1550"/>
      <c r="W939" s="1522"/>
    </row>
    <row r="940" spans="1:23">
      <c r="A940" s="1550"/>
      <c r="W940" s="1522"/>
    </row>
    <row r="941" spans="1:23">
      <c r="A941" s="1550"/>
      <c r="W941" s="1522"/>
    </row>
    <row r="942" spans="1:23">
      <c r="A942" s="1550"/>
      <c r="W942" s="1522"/>
    </row>
    <row r="943" spans="1:23">
      <c r="A943" s="1550"/>
      <c r="W943" s="1522"/>
    </row>
    <row r="944" spans="1:23">
      <c r="A944" s="1550"/>
      <c r="W944" s="1522"/>
    </row>
    <row r="945" spans="1:23">
      <c r="A945" s="1550"/>
      <c r="W945" s="1522"/>
    </row>
    <row r="946" spans="1:23">
      <c r="A946" s="1550"/>
      <c r="W946" s="1522"/>
    </row>
    <row r="947" spans="1:23">
      <c r="A947" s="1550"/>
      <c r="W947" s="1522"/>
    </row>
    <row r="948" spans="1:23">
      <c r="A948" s="1550"/>
      <c r="W948" s="1522"/>
    </row>
    <row r="949" spans="1:23">
      <c r="A949" s="1550"/>
      <c r="W949" s="1522"/>
    </row>
    <row r="950" spans="1:23">
      <c r="A950" s="1550"/>
      <c r="W950" s="1522"/>
    </row>
    <row r="951" spans="1:23">
      <c r="A951" s="1550"/>
      <c r="W951" s="1522"/>
    </row>
    <row r="952" spans="1:23">
      <c r="A952" s="1550"/>
      <c r="W952" s="1522"/>
    </row>
    <row r="953" spans="1:23">
      <c r="A953" s="1550"/>
      <c r="W953" s="1522"/>
    </row>
    <row r="954" spans="1:23">
      <c r="A954" s="1550"/>
      <c r="W954" s="1522"/>
    </row>
    <row r="955" spans="1:23">
      <c r="A955" s="1550"/>
      <c r="W955" s="1522"/>
    </row>
    <row r="956" spans="1:23">
      <c r="A956" s="1550"/>
      <c r="W956" s="1522"/>
    </row>
    <row r="957" spans="1:23">
      <c r="A957" s="1550"/>
      <c r="W957" s="1522"/>
    </row>
    <row r="958" spans="1:23">
      <c r="A958" s="1550"/>
      <c r="W958" s="1522"/>
    </row>
    <row r="959" spans="1:23">
      <c r="A959" s="1550"/>
      <c r="W959" s="1522"/>
    </row>
    <row r="960" spans="1:23">
      <c r="A960" s="1550"/>
      <c r="W960" s="1522"/>
    </row>
    <row r="961" spans="1:23">
      <c r="A961" s="1550"/>
      <c r="W961" s="1522"/>
    </row>
    <row r="962" spans="1:23">
      <c r="A962" s="1550"/>
      <c r="W962" s="1522"/>
    </row>
    <row r="963" spans="1:23">
      <c r="A963" s="1550"/>
      <c r="W963" s="1522"/>
    </row>
    <row r="964" spans="1:23">
      <c r="A964" s="1550"/>
      <c r="W964" s="1522"/>
    </row>
    <row r="965" spans="1:23">
      <c r="A965" s="1550"/>
      <c r="W965" s="1522"/>
    </row>
    <row r="966" spans="1:23">
      <c r="A966" s="1550"/>
      <c r="W966" s="1522"/>
    </row>
    <row r="967" spans="1:23">
      <c r="A967" s="1550"/>
      <c r="W967" s="1522"/>
    </row>
    <row r="968" spans="1:23">
      <c r="A968" s="1550"/>
      <c r="W968" s="1522"/>
    </row>
    <row r="969" spans="1:23">
      <c r="A969" s="1550"/>
      <c r="W969" s="1522"/>
    </row>
    <row r="970" spans="1:23">
      <c r="A970" s="1550"/>
      <c r="W970" s="1522"/>
    </row>
    <row r="971" spans="1:23">
      <c r="A971" s="1550"/>
      <c r="W971" s="1522"/>
    </row>
    <row r="972" spans="1:23">
      <c r="A972" s="1550"/>
      <c r="W972" s="1522"/>
    </row>
    <row r="973" spans="1:23">
      <c r="A973" s="1550"/>
      <c r="W973" s="1522"/>
    </row>
    <row r="974" spans="1:23">
      <c r="A974" s="1550"/>
      <c r="W974" s="1522"/>
    </row>
    <row r="975" spans="1:23">
      <c r="A975" s="1550"/>
      <c r="W975" s="1522"/>
    </row>
    <row r="976" spans="1:23">
      <c r="A976" s="1550"/>
      <c r="W976" s="1522"/>
    </row>
    <row r="977" spans="1:23">
      <c r="A977" s="1550"/>
      <c r="W977" s="1522"/>
    </row>
    <row r="978" spans="1:23">
      <c r="A978" s="1550"/>
      <c r="W978" s="1522"/>
    </row>
    <row r="979" spans="1:23">
      <c r="A979" s="1550"/>
      <c r="W979" s="1522"/>
    </row>
    <row r="980" spans="1:23">
      <c r="A980" s="1550"/>
      <c r="W980" s="1522"/>
    </row>
    <row r="981" spans="1:23">
      <c r="A981" s="1550"/>
      <c r="W981" s="1522"/>
    </row>
    <row r="982" spans="1:23">
      <c r="A982" s="1550"/>
      <c r="W982" s="1522"/>
    </row>
    <row r="983" spans="1:23">
      <c r="A983" s="1550"/>
      <c r="W983" s="1522"/>
    </row>
    <row r="984" spans="1:23">
      <c r="A984" s="1550"/>
      <c r="W984" s="1522"/>
    </row>
    <row r="985" spans="1:23">
      <c r="A985" s="1550"/>
      <c r="W985" s="1522"/>
    </row>
    <row r="986" spans="1:23">
      <c r="A986" s="1550"/>
      <c r="W986" s="1522"/>
    </row>
    <row r="987" spans="1:23">
      <c r="A987" s="1550"/>
      <c r="W987" s="1522"/>
    </row>
    <row r="988" spans="1:23">
      <c r="A988" s="1550"/>
      <c r="W988" s="1522"/>
    </row>
    <row r="989" spans="1:23">
      <c r="A989" s="1550"/>
      <c r="W989" s="1522"/>
    </row>
    <row r="990" spans="1:23">
      <c r="A990" s="1550"/>
      <c r="W990" s="1522"/>
    </row>
    <row r="991" spans="1:23">
      <c r="A991" s="1550"/>
      <c r="W991" s="1522"/>
    </row>
    <row r="992" spans="1:23">
      <c r="A992" s="1550"/>
      <c r="W992" s="1522"/>
    </row>
    <row r="993" spans="1:23">
      <c r="A993" s="1550"/>
      <c r="W993" s="1522"/>
    </row>
    <row r="994" spans="1:23">
      <c r="A994" s="1550"/>
      <c r="W994" s="1522"/>
    </row>
    <row r="995" spans="1:23">
      <c r="A995" s="1550"/>
      <c r="W995" s="1522"/>
    </row>
    <row r="996" spans="1:23">
      <c r="A996" s="1550"/>
      <c r="W996" s="1522"/>
    </row>
    <row r="997" spans="1:23">
      <c r="A997" s="1550"/>
      <c r="W997" s="1522"/>
    </row>
    <row r="998" spans="1:23">
      <c r="A998" s="1550"/>
      <c r="W998" s="1522"/>
    </row>
    <row r="999" spans="1:23">
      <c r="A999" s="1550"/>
      <c r="W999" s="1522"/>
    </row>
    <row r="1000" spans="1:23">
      <c r="A1000" s="1550"/>
      <c r="W1000" s="1522"/>
    </row>
    <row r="1001" spans="1:23">
      <c r="A1001" s="1550"/>
      <c r="W1001" s="1522"/>
    </row>
    <row r="1002" spans="1:23">
      <c r="A1002" s="1550"/>
      <c r="W1002" s="1522"/>
    </row>
    <row r="1003" spans="1:23">
      <c r="A1003" s="1550"/>
      <c r="W1003" s="1522"/>
    </row>
    <row r="1004" spans="1:23">
      <c r="A1004" s="1550"/>
      <c r="W1004" s="1522"/>
    </row>
    <row r="1005" spans="1:23">
      <c r="A1005" s="1550"/>
      <c r="W1005" s="1522"/>
    </row>
    <row r="1006" spans="1:23">
      <c r="A1006" s="1550"/>
      <c r="W1006" s="1522"/>
    </row>
    <row r="1007" spans="1:23">
      <c r="A1007" s="1550"/>
      <c r="W1007" s="1522"/>
    </row>
    <row r="1008" spans="1:23">
      <c r="A1008" s="1550"/>
      <c r="W1008" s="1522"/>
    </row>
    <row r="1009" spans="1:23">
      <c r="A1009" s="1550"/>
      <c r="W1009" s="1522"/>
    </row>
    <row r="1010" spans="1:23">
      <c r="A1010" s="1550"/>
      <c r="W1010" s="1522"/>
    </row>
    <row r="1011" spans="1:23">
      <c r="A1011" s="1550"/>
      <c r="W1011" s="1522"/>
    </row>
    <row r="1012" spans="1:23">
      <c r="A1012" s="1550"/>
      <c r="W1012" s="1522"/>
    </row>
    <row r="1013" spans="1:23">
      <c r="A1013" s="1550"/>
      <c r="W1013" s="1522"/>
    </row>
    <row r="1014" spans="1:23">
      <c r="A1014" s="1550"/>
      <c r="W1014" s="1522"/>
    </row>
    <row r="1015" spans="1:23">
      <c r="A1015" s="1550"/>
      <c r="W1015" s="1522"/>
    </row>
    <row r="1016" spans="1:23">
      <c r="A1016" s="1550"/>
      <c r="W1016" s="1522"/>
    </row>
    <row r="1017" spans="1:23">
      <c r="A1017" s="1550"/>
      <c r="W1017" s="1522"/>
    </row>
    <row r="1018" spans="1:23">
      <c r="A1018" s="1550"/>
      <c r="W1018" s="1522"/>
    </row>
    <row r="1019" spans="1:23">
      <c r="A1019" s="1550"/>
      <c r="W1019" s="1522"/>
    </row>
    <row r="1020" spans="1:23">
      <c r="A1020" s="1550"/>
      <c r="W1020" s="1522"/>
    </row>
    <row r="1021" spans="1:23">
      <c r="A1021" s="1550"/>
      <c r="W1021" s="1522"/>
    </row>
    <row r="1022" spans="1:23">
      <c r="A1022" s="1550"/>
      <c r="W1022" s="1522"/>
    </row>
    <row r="1023" spans="1:23">
      <c r="A1023" s="1550"/>
      <c r="W1023" s="1522"/>
    </row>
    <row r="1024" spans="1:23">
      <c r="A1024" s="1550"/>
      <c r="W1024" s="1522"/>
    </row>
    <row r="1025" spans="1:23">
      <c r="A1025" s="1550"/>
      <c r="W1025" s="1522"/>
    </row>
    <row r="1026" spans="1:23">
      <c r="A1026" s="1550"/>
      <c r="W1026" s="1522"/>
    </row>
    <row r="1027" spans="1:23">
      <c r="A1027" s="1550"/>
      <c r="W1027" s="1522"/>
    </row>
    <row r="1028" spans="1:23">
      <c r="A1028" s="1550"/>
      <c r="W1028" s="1522"/>
    </row>
    <row r="1029" spans="1:23">
      <c r="A1029" s="1550"/>
      <c r="W1029" s="1522"/>
    </row>
    <row r="1030" spans="1:23">
      <c r="A1030" s="1550"/>
      <c r="W1030" s="1522"/>
    </row>
    <row r="1031" spans="1:23">
      <c r="A1031" s="1550"/>
      <c r="W1031" s="1522"/>
    </row>
    <row r="1032" spans="1:23">
      <c r="A1032" s="1550"/>
      <c r="W1032" s="1522"/>
    </row>
    <row r="1033" spans="1:23">
      <c r="A1033" s="1550"/>
      <c r="W1033" s="1522"/>
    </row>
    <row r="1034" spans="1:23">
      <c r="A1034" s="1550"/>
      <c r="W1034" s="1522"/>
    </row>
    <row r="1035" spans="1:23">
      <c r="A1035" s="1550"/>
      <c r="W1035" s="1522"/>
    </row>
    <row r="1036" spans="1:23">
      <c r="A1036" s="1550"/>
      <c r="W1036" s="1522"/>
    </row>
    <row r="1037" spans="1:23">
      <c r="A1037" s="1550"/>
      <c r="W1037" s="1522"/>
    </row>
    <row r="1038" spans="1:23">
      <c r="A1038" s="1550"/>
      <c r="W1038" s="1522"/>
    </row>
    <row r="1039" spans="1:23">
      <c r="A1039" s="1550"/>
      <c r="W1039" s="1522"/>
    </row>
    <row r="1040" spans="1:23">
      <c r="A1040" s="1550"/>
      <c r="W1040" s="1522"/>
    </row>
    <row r="1041" spans="1:23">
      <c r="A1041" s="1550"/>
      <c r="W1041" s="1522"/>
    </row>
    <row r="1042" spans="1:23">
      <c r="A1042" s="1550"/>
      <c r="W1042" s="1522"/>
    </row>
    <row r="1043" spans="1:23">
      <c r="A1043" s="1550"/>
      <c r="W1043" s="1522"/>
    </row>
    <row r="1044" spans="1:23">
      <c r="A1044" s="1550"/>
      <c r="W1044" s="1522"/>
    </row>
    <row r="1045" spans="1:23">
      <c r="A1045" s="1550"/>
      <c r="W1045" s="1522"/>
    </row>
    <row r="1046" spans="1:23">
      <c r="A1046" s="1550"/>
      <c r="W1046" s="1522"/>
    </row>
    <row r="1047" spans="1:23">
      <c r="A1047" s="1550"/>
      <c r="W1047" s="1522"/>
    </row>
    <row r="1048" spans="1:23">
      <c r="A1048" s="1550"/>
      <c r="W1048" s="1522"/>
    </row>
    <row r="1049" spans="1:23">
      <c r="A1049" s="1550"/>
      <c r="W1049" s="1522"/>
    </row>
    <row r="1050" spans="1:23">
      <c r="A1050" s="1550"/>
      <c r="W1050" s="1522"/>
    </row>
    <row r="1051" spans="1:23">
      <c r="A1051" s="1550"/>
      <c r="W1051" s="1522"/>
    </row>
    <row r="1052" spans="1:23">
      <c r="A1052" s="1550"/>
      <c r="W1052" s="1522"/>
    </row>
    <row r="1053" spans="1:23">
      <c r="A1053" s="1550"/>
      <c r="W1053" s="1522"/>
    </row>
    <row r="1054" spans="1:23">
      <c r="A1054" s="1550"/>
      <c r="W1054" s="1522"/>
    </row>
    <row r="1055" spans="1:23">
      <c r="A1055" s="1550"/>
      <c r="W1055" s="1522"/>
    </row>
    <row r="1056" spans="1:23">
      <c r="A1056" s="1550"/>
      <c r="W1056" s="1522"/>
    </row>
    <row r="1057" spans="1:23">
      <c r="A1057" s="1550"/>
      <c r="W1057" s="1522"/>
    </row>
    <row r="1058" spans="1:23">
      <c r="A1058" s="1550"/>
      <c r="W1058" s="1522"/>
    </row>
    <row r="1059" spans="1:23">
      <c r="A1059" s="1550"/>
      <c r="W1059" s="1522"/>
    </row>
    <row r="1060" spans="1:23">
      <c r="A1060" s="1550"/>
      <c r="W1060" s="1522"/>
    </row>
    <row r="1061" spans="1:23">
      <c r="A1061" s="1550"/>
      <c r="W1061" s="1522"/>
    </row>
    <row r="1062" spans="1:23">
      <c r="A1062" s="1550"/>
      <c r="W1062" s="1522"/>
    </row>
    <row r="1063" spans="1:23">
      <c r="A1063" s="1550"/>
      <c r="W1063" s="1522"/>
    </row>
    <row r="1064" spans="1:23">
      <c r="A1064" s="1550"/>
      <c r="W1064" s="1522"/>
    </row>
    <row r="1065" spans="1:23">
      <c r="A1065" s="1550"/>
      <c r="W1065" s="1522"/>
    </row>
    <row r="1066" spans="1:23">
      <c r="A1066" s="1550"/>
      <c r="W1066" s="1522"/>
    </row>
    <row r="1067" spans="1:23">
      <c r="A1067" s="1550"/>
      <c r="W1067" s="1522"/>
    </row>
    <row r="1068" spans="1:23">
      <c r="A1068" s="1550"/>
      <c r="W1068" s="1522"/>
    </row>
    <row r="1069" spans="1:23">
      <c r="A1069" s="1550"/>
      <c r="W1069" s="1522"/>
    </row>
    <row r="1070" spans="1:23">
      <c r="A1070" s="1550"/>
      <c r="W1070" s="1522"/>
    </row>
    <row r="1071" spans="1:23">
      <c r="A1071" s="1550"/>
      <c r="W1071" s="1522"/>
    </row>
    <row r="1072" spans="1:23">
      <c r="A1072" s="1550"/>
      <c r="W1072" s="1522"/>
    </row>
    <row r="1073" spans="1:23">
      <c r="A1073" s="1550"/>
      <c r="W1073" s="1522"/>
    </row>
    <row r="1074" spans="1:23">
      <c r="A1074" s="1550"/>
      <c r="W1074" s="1522"/>
    </row>
    <row r="1075" spans="1:23">
      <c r="A1075" s="1550"/>
      <c r="W1075" s="1522"/>
    </row>
    <row r="1076" spans="1:23">
      <c r="A1076" s="1550"/>
      <c r="W1076" s="1522"/>
    </row>
    <row r="1077" spans="1:23">
      <c r="A1077" s="1550"/>
      <c r="W1077" s="1522"/>
    </row>
    <row r="1078" spans="1:23">
      <c r="A1078" s="1550"/>
      <c r="W1078" s="1522"/>
    </row>
    <row r="1079" spans="1:23">
      <c r="A1079" s="1550"/>
      <c r="W1079" s="1522"/>
    </row>
    <row r="1080" spans="1:23">
      <c r="A1080" s="1550"/>
      <c r="W1080" s="1522"/>
    </row>
    <row r="1081" spans="1:23">
      <c r="A1081" s="1550"/>
      <c r="W1081" s="1522"/>
    </row>
    <row r="1082" spans="1:23">
      <c r="A1082" s="1550"/>
      <c r="W1082" s="1522"/>
    </row>
    <row r="1083" spans="1:23">
      <c r="A1083" s="1550"/>
      <c r="W1083" s="1522"/>
    </row>
    <row r="1084" spans="1:23">
      <c r="A1084" s="1550"/>
      <c r="W1084" s="1522"/>
    </row>
    <row r="1085" spans="1:23">
      <c r="A1085" s="1550"/>
      <c r="W1085" s="1522"/>
    </row>
    <row r="1086" spans="1:23">
      <c r="A1086" s="1550"/>
      <c r="W1086" s="1522"/>
    </row>
    <row r="1087" spans="1:23">
      <c r="A1087" s="1550"/>
      <c r="W1087" s="1522"/>
    </row>
    <row r="1088" spans="1:23">
      <c r="A1088" s="1550"/>
      <c r="W1088" s="1522"/>
    </row>
    <row r="1089" spans="1:23">
      <c r="A1089" s="1550"/>
      <c r="W1089" s="1522"/>
    </row>
    <row r="1090" spans="1:23">
      <c r="A1090" s="1550"/>
      <c r="W1090" s="1522"/>
    </row>
    <row r="1091" spans="1:23">
      <c r="A1091" s="1550"/>
      <c r="W1091" s="1522"/>
    </row>
    <row r="1092" spans="1:23">
      <c r="A1092" s="1550"/>
      <c r="W1092" s="1522"/>
    </row>
    <row r="1093" spans="1:23">
      <c r="A1093" s="1550"/>
      <c r="W1093" s="1522"/>
    </row>
    <row r="1094" spans="1:23">
      <c r="A1094" s="1550"/>
      <c r="W1094" s="1522"/>
    </row>
    <row r="1095" spans="1:23">
      <c r="A1095" s="1550"/>
      <c r="W1095" s="1522"/>
    </row>
    <row r="1096" spans="1:23">
      <c r="A1096" s="1550"/>
      <c r="W1096" s="1522"/>
    </row>
    <row r="1097" spans="1:23">
      <c r="A1097" s="1550"/>
      <c r="W1097" s="1522"/>
    </row>
    <row r="1098" spans="1:23">
      <c r="A1098" s="1550"/>
      <c r="W1098" s="1522"/>
    </row>
    <row r="1099" spans="1:23">
      <c r="A1099" s="1550"/>
      <c r="W1099" s="1522"/>
    </row>
    <row r="1100" spans="1:23">
      <c r="A1100" s="1550"/>
      <c r="W1100" s="1522"/>
    </row>
    <row r="1101" spans="1:23">
      <c r="A1101" s="1550"/>
      <c r="W1101" s="1522"/>
    </row>
    <row r="1102" spans="1:23">
      <c r="A1102" s="1550"/>
      <c r="W1102" s="1522"/>
    </row>
    <row r="1103" spans="1:23">
      <c r="A1103" s="1550"/>
      <c r="W1103" s="1522"/>
    </row>
    <row r="1104" spans="1:23">
      <c r="A1104" s="1550"/>
      <c r="W1104" s="1522"/>
    </row>
    <row r="1105" spans="1:23">
      <c r="A1105" s="1550"/>
      <c r="W1105" s="1522"/>
    </row>
    <row r="1106" spans="1:23">
      <c r="A1106" s="1550"/>
      <c r="W1106" s="1522"/>
    </row>
    <row r="1107" spans="1:23">
      <c r="A1107" s="1550"/>
      <c r="W1107" s="1522"/>
    </row>
    <row r="1108" spans="1:23">
      <c r="A1108" s="1550"/>
      <c r="W1108" s="1522"/>
    </row>
    <row r="1109" spans="1:23">
      <c r="A1109" s="1550"/>
      <c r="W1109" s="1522"/>
    </row>
    <row r="1110" spans="1:23">
      <c r="A1110" s="1550"/>
      <c r="W1110" s="1522"/>
    </row>
    <row r="1111" spans="1:23">
      <c r="A1111" s="1550"/>
      <c r="W1111" s="1522"/>
    </row>
    <row r="1112" spans="1:23">
      <c r="A1112" s="1550"/>
      <c r="W1112" s="1522"/>
    </row>
    <row r="1113" spans="1:23">
      <c r="A1113" s="1550"/>
      <c r="W1113" s="1522"/>
    </row>
    <row r="1114" spans="1:23">
      <c r="A1114" s="1550"/>
      <c r="W1114" s="1522"/>
    </row>
    <row r="1115" spans="1:23">
      <c r="A1115" s="1550"/>
      <c r="W1115" s="1522"/>
    </row>
    <row r="1116" spans="1:23">
      <c r="A1116" s="1550"/>
      <c r="W1116" s="1522"/>
    </row>
    <row r="1117" spans="1:23">
      <c r="A1117" s="1550"/>
      <c r="W1117" s="1522"/>
    </row>
    <row r="1118" spans="1:23">
      <c r="A1118" s="1550"/>
      <c r="W1118" s="1522"/>
    </row>
    <row r="1119" spans="1:23">
      <c r="A1119" s="1550"/>
      <c r="W1119" s="1522"/>
    </row>
    <row r="1120" spans="1:23">
      <c r="A1120" s="1550"/>
      <c r="W1120" s="1522"/>
    </row>
    <row r="1121" spans="1:23">
      <c r="A1121" s="1550"/>
      <c r="W1121" s="1522"/>
    </row>
    <row r="1122" spans="1:23">
      <c r="A1122" s="1550"/>
      <c r="W1122" s="1522"/>
    </row>
    <row r="1123" spans="1:23">
      <c r="A1123" s="1550"/>
      <c r="W1123" s="1522"/>
    </row>
    <row r="1124" spans="1:23">
      <c r="A1124" s="1550"/>
      <c r="W1124" s="1522"/>
    </row>
    <row r="1125" spans="1:23">
      <c r="A1125" s="1550"/>
      <c r="W1125" s="1522"/>
    </row>
    <row r="1126" spans="1:23">
      <c r="A1126" s="1550"/>
      <c r="W1126" s="1522"/>
    </row>
    <row r="1127" spans="1:23">
      <c r="A1127" s="1550"/>
      <c r="W1127" s="1522"/>
    </row>
    <row r="1128" spans="1:23">
      <c r="A1128" s="1550"/>
      <c r="W1128" s="1522"/>
    </row>
    <row r="1129" spans="1:23">
      <c r="A1129" s="1550"/>
      <c r="W1129" s="1522"/>
    </row>
    <row r="1130" spans="1:23">
      <c r="A1130" s="1550"/>
      <c r="W1130" s="1522"/>
    </row>
    <row r="1131" spans="1:23">
      <c r="A1131" s="1550"/>
      <c r="W1131" s="1522"/>
    </row>
    <row r="1132" spans="1:23">
      <c r="A1132" s="1550"/>
      <c r="W1132" s="1522"/>
    </row>
    <row r="1133" spans="1:23">
      <c r="A1133" s="1550"/>
      <c r="W1133" s="1522"/>
    </row>
    <row r="1134" spans="1:23">
      <c r="A1134" s="1550"/>
      <c r="W1134" s="1522"/>
    </row>
    <row r="1135" spans="1:23">
      <c r="A1135" s="1550"/>
      <c r="W1135" s="1522"/>
    </row>
    <row r="1136" spans="1:23">
      <c r="A1136" s="1550"/>
      <c r="W1136" s="1522"/>
    </row>
    <row r="1137" spans="1:23">
      <c r="A1137" s="1550"/>
      <c r="W1137" s="1522"/>
    </row>
    <row r="1138" spans="1:23">
      <c r="A1138" s="1550"/>
      <c r="W1138" s="1522"/>
    </row>
    <row r="1139" spans="1:23">
      <c r="A1139" s="1550"/>
      <c r="W1139" s="1522"/>
    </row>
    <row r="1140" spans="1:23">
      <c r="A1140" s="1550"/>
      <c r="W1140" s="1522"/>
    </row>
    <row r="1141" spans="1:23">
      <c r="A1141" s="1550"/>
      <c r="W1141" s="1522"/>
    </row>
    <row r="1142" spans="1:23">
      <c r="A1142" s="1550"/>
      <c r="W1142" s="1522"/>
    </row>
    <row r="1143" spans="1:23">
      <c r="A1143" s="1550"/>
      <c r="W1143" s="1522"/>
    </row>
    <row r="1144" spans="1:23">
      <c r="A1144" s="1550"/>
      <c r="W1144" s="1522"/>
    </row>
    <row r="1145" spans="1:23">
      <c r="A1145" s="1550"/>
      <c r="W1145" s="1522"/>
    </row>
    <row r="1146" spans="1:23">
      <c r="A1146" s="1550"/>
      <c r="W1146" s="1522"/>
    </row>
    <row r="1147" spans="1:23">
      <c r="A1147" s="1550"/>
      <c r="W1147" s="1522"/>
    </row>
    <row r="1148" spans="1:23">
      <c r="A1148" s="1550"/>
      <c r="W1148" s="1522"/>
    </row>
    <row r="1149" spans="1:23">
      <c r="A1149" s="1550"/>
      <c r="W1149" s="1522"/>
    </row>
    <row r="1150" spans="1:23">
      <c r="A1150" s="1550"/>
      <c r="W1150" s="1522"/>
    </row>
    <row r="1151" spans="1:23">
      <c r="A1151" s="1550"/>
      <c r="W1151" s="1522"/>
    </row>
    <row r="1152" spans="1:23">
      <c r="A1152" s="1550"/>
      <c r="W1152" s="1522"/>
    </row>
    <row r="1153" spans="1:23">
      <c r="A1153" s="1550"/>
      <c r="W1153" s="1522"/>
    </row>
    <row r="1154" spans="1:23">
      <c r="A1154" s="1550"/>
      <c r="W1154" s="1522"/>
    </row>
    <row r="1155" spans="1:23">
      <c r="A1155" s="1550"/>
      <c r="W1155" s="1522"/>
    </row>
    <row r="1156" spans="1:23">
      <c r="A1156" s="1550"/>
      <c r="W1156" s="1522"/>
    </row>
    <row r="1157" spans="1:23">
      <c r="A1157" s="1550"/>
      <c r="W1157" s="1522"/>
    </row>
    <row r="1158" spans="1:23">
      <c r="A1158" s="1550"/>
      <c r="W1158" s="1522"/>
    </row>
    <row r="1159" spans="1:23">
      <c r="A1159" s="1550"/>
      <c r="W1159" s="1522"/>
    </row>
    <row r="1160" spans="1:23">
      <c r="A1160" s="1550"/>
      <c r="W1160" s="1522"/>
    </row>
    <row r="1161" spans="1:23">
      <c r="A1161" s="1550"/>
      <c r="W1161" s="1522"/>
    </row>
    <row r="1162" spans="1:23">
      <c r="A1162" s="1550"/>
      <c r="W1162" s="1522"/>
    </row>
    <row r="1163" spans="1:23">
      <c r="A1163" s="1550"/>
      <c r="W1163" s="1522"/>
    </row>
    <row r="1164" spans="1:23">
      <c r="A1164" s="1550"/>
      <c r="W1164" s="1522"/>
    </row>
    <row r="1165" spans="1:23">
      <c r="A1165" s="1550"/>
      <c r="W1165" s="1522"/>
    </row>
    <row r="1166" spans="1:23">
      <c r="A1166" s="1550"/>
      <c r="W1166" s="1522"/>
    </row>
    <row r="1167" spans="1:23">
      <c r="A1167" s="1550"/>
      <c r="W1167" s="1522"/>
    </row>
    <row r="1168" spans="1:23">
      <c r="A1168" s="1550"/>
      <c r="W1168" s="1522"/>
    </row>
    <row r="1169" spans="1:23">
      <c r="A1169" s="1550"/>
      <c r="W1169" s="1522"/>
    </row>
    <row r="1170" spans="1:23">
      <c r="A1170" s="1550"/>
      <c r="W1170" s="1522"/>
    </row>
    <row r="1171" spans="1:23">
      <c r="A1171" s="1550"/>
      <c r="W1171" s="1522"/>
    </row>
    <row r="1172" spans="1:23">
      <c r="A1172" s="1550"/>
      <c r="W1172" s="1522"/>
    </row>
    <row r="1173" spans="1:23">
      <c r="A1173" s="1550"/>
      <c r="W1173" s="1522"/>
    </row>
    <row r="1174" spans="1:23">
      <c r="A1174" s="1550"/>
      <c r="W1174" s="1522"/>
    </row>
    <row r="1175" spans="1:23">
      <c r="A1175" s="1550"/>
      <c r="W1175" s="1522"/>
    </row>
    <row r="1176" spans="1:23">
      <c r="A1176" s="1550"/>
      <c r="W1176" s="1522"/>
    </row>
    <row r="1177" spans="1:23">
      <c r="A1177" s="1550"/>
      <c r="W1177" s="1522"/>
    </row>
    <row r="1178" spans="1:23">
      <c r="A1178" s="1550"/>
      <c r="W1178" s="1522"/>
    </row>
    <row r="1179" spans="1:23">
      <c r="A1179" s="1550"/>
      <c r="W1179" s="1522"/>
    </row>
    <row r="1180" spans="1:23">
      <c r="A1180" s="1550"/>
      <c r="W1180" s="1522"/>
    </row>
    <row r="1181" spans="1:23">
      <c r="A1181" s="1550"/>
      <c r="W1181" s="1522"/>
    </row>
    <row r="1182" spans="1:23">
      <c r="A1182" s="1550"/>
      <c r="W1182" s="1522"/>
    </row>
    <row r="1183" spans="1:23">
      <c r="A1183" s="1550"/>
      <c r="W1183" s="1522"/>
    </row>
    <row r="1184" spans="1:23">
      <c r="A1184" s="1550"/>
      <c r="W1184" s="1522"/>
    </row>
    <row r="1185" spans="1:23">
      <c r="A1185" s="1550"/>
      <c r="W1185" s="1522"/>
    </row>
    <row r="1186" spans="1:23">
      <c r="A1186" s="1550"/>
      <c r="W1186" s="1522"/>
    </row>
    <row r="1187" spans="1:23">
      <c r="A1187" s="1550"/>
      <c r="W1187" s="1522"/>
    </row>
    <row r="1188" spans="1:23">
      <c r="A1188" s="1550"/>
      <c r="W1188" s="1522"/>
    </row>
    <row r="1189" spans="1:23">
      <c r="A1189" s="1550"/>
      <c r="W1189" s="1522"/>
    </row>
    <row r="1190" spans="1:23">
      <c r="A1190" s="1550"/>
      <c r="W1190" s="1522"/>
    </row>
    <row r="1191" spans="1:23">
      <c r="A1191" s="1550"/>
      <c r="W1191" s="1522"/>
    </row>
    <row r="1192" spans="1:23">
      <c r="A1192" s="1550"/>
      <c r="W1192" s="1522"/>
    </row>
    <row r="1193" spans="1:23">
      <c r="A1193" s="1550"/>
      <c r="W1193" s="1522"/>
    </row>
    <row r="1194" spans="1:23">
      <c r="A1194" s="1550"/>
      <c r="W1194" s="1522"/>
    </row>
    <row r="1195" spans="1:23">
      <c r="A1195" s="1550"/>
      <c r="W1195" s="1522"/>
    </row>
    <row r="1196" spans="1:23">
      <c r="A1196" s="1550"/>
      <c r="W1196" s="1522"/>
    </row>
    <row r="1197" spans="1:23">
      <c r="A1197" s="1550"/>
      <c r="W1197" s="1522"/>
    </row>
    <row r="1198" spans="1:23">
      <c r="A1198" s="1550"/>
      <c r="W1198" s="1522"/>
    </row>
    <row r="1199" spans="1:23">
      <c r="A1199" s="1550"/>
      <c r="W1199" s="1522"/>
    </row>
    <row r="1200" spans="1:23">
      <c r="A1200" s="1550"/>
      <c r="W1200" s="1522"/>
    </row>
    <row r="1201" spans="1:23">
      <c r="A1201" s="1550"/>
      <c r="W1201" s="1522"/>
    </row>
    <row r="1202" spans="1:23">
      <c r="A1202" s="1550"/>
      <c r="W1202" s="1522"/>
    </row>
    <row r="1203" spans="1:23">
      <c r="A1203" s="1550"/>
      <c r="W1203" s="1522"/>
    </row>
    <row r="1204" spans="1:23">
      <c r="A1204" s="1550"/>
      <c r="W1204" s="1522"/>
    </row>
    <row r="1205" spans="1:23">
      <c r="A1205" s="1550"/>
      <c r="W1205" s="1522"/>
    </row>
    <row r="1206" spans="1:23">
      <c r="A1206" s="1550"/>
      <c r="W1206" s="1522"/>
    </row>
    <row r="1207" spans="1:23">
      <c r="A1207" s="1550"/>
      <c r="W1207" s="1522"/>
    </row>
    <row r="1208" spans="1:23">
      <c r="A1208" s="1550"/>
      <c r="W1208" s="1522"/>
    </row>
    <row r="1209" spans="1:23">
      <c r="A1209" s="1550"/>
      <c r="W1209" s="1522"/>
    </row>
    <row r="1210" spans="1:23">
      <c r="A1210" s="1550"/>
      <c r="W1210" s="1522"/>
    </row>
    <row r="1211" spans="1:23">
      <c r="A1211" s="1550"/>
      <c r="W1211" s="1522"/>
    </row>
    <row r="1212" spans="1:23">
      <c r="A1212" s="1550"/>
      <c r="W1212" s="1522"/>
    </row>
    <row r="1213" spans="1:23">
      <c r="A1213" s="1550"/>
      <c r="W1213" s="1522"/>
    </row>
    <row r="1214" spans="1:23">
      <c r="A1214" s="1550"/>
      <c r="W1214" s="1522"/>
    </row>
    <row r="1215" spans="1:23">
      <c r="A1215" s="1550"/>
      <c r="W1215" s="1522"/>
    </row>
    <row r="1216" spans="1:23">
      <c r="A1216" s="1550"/>
      <c r="W1216" s="1522"/>
    </row>
    <row r="1217" spans="1:23">
      <c r="A1217" s="1550"/>
      <c r="W1217" s="1522"/>
    </row>
    <row r="1218" spans="1:23">
      <c r="A1218" s="1550"/>
      <c r="W1218" s="1522"/>
    </row>
    <row r="1219" spans="1:23">
      <c r="A1219" s="1550"/>
      <c r="W1219" s="1522"/>
    </row>
    <row r="1220" spans="1:23">
      <c r="A1220" s="1550"/>
      <c r="W1220" s="1522"/>
    </row>
    <row r="1221" spans="1:23">
      <c r="A1221" s="1550"/>
      <c r="W1221" s="1522"/>
    </row>
    <row r="1222" spans="1:23">
      <c r="A1222" s="1550"/>
      <c r="W1222" s="1522"/>
    </row>
    <row r="1223" spans="1:23">
      <c r="A1223" s="1550"/>
      <c r="W1223" s="1522"/>
    </row>
    <row r="1224" spans="1:23">
      <c r="A1224" s="1550"/>
      <c r="W1224" s="1522"/>
    </row>
    <row r="1225" spans="1:23">
      <c r="A1225" s="1550"/>
      <c r="W1225" s="1522"/>
    </row>
    <row r="1226" spans="1:23">
      <c r="A1226" s="1550"/>
      <c r="W1226" s="1522"/>
    </row>
    <row r="1227" spans="1:23">
      <c r="A1227" s="1550"/>
      <c r="W1227" s="1522"/>
    </row>
    <row r="1228" spans="1:23">
      <c r="A1228" s="1550"/>
      <c r="W1228" s="1522"/>
    </row>
    <row r="1229" spans="1:23">
      <c r="A1229" s="1550"/>
      <c r="W1229" s="1522"/>
    </row>
    <row r="1230" spans="1:23">
      <c r="A1230" s="1550"/>
      <c r="W1230" s="1522"/>
    </row>
    <row r="1231" spans="1:23">
      <c r="A1231" s="1550"/>
      <c r="W1231" s="1522"/>
    </row>
    <row r="1232" spans="1:23">
      <c r="A1232" s="1550"/>
      <c r="W1232" s="1522"/>
    </row>
    <row r="1233" spans="1:23">
      <c r="A1233" s="1550"/>
      <c r="W1233" s="1522"/>
    </row>
    <row r="1234" spans="1:23">
      <c r="A1234" s="1550"/>
      <c r="W1234" s="1522"/>
    </row>
    <row r="1235" spans="1:23">
      <c r="A1235" s="1550"/>
      <c r="W1235" s="1522"/>
    </row>
    <row r="1236" spans="1:23">
      <c r="A1236" s="1550"/>
      <c r="W1236" s="1522"/>
    </row>
    <row r="1237" spans="1:23">
      <c r="A1237" s="1550"/>
      <c r="W1237" s="1522"/>
    </row>
    <row r="1238" spans="1:23">
      <c r="A1238" s="1550"/>
      <c r="W1238" s="1522"/>
    </row>
    <row r="1239" spans="1:23">
      <c r="A1239" s="1550"/>
      <c r="W1239" s="1522"/>
    </row>
    <row r="1240" spans="1:23">
      <c r="A1240" s="1550"/>
      <c r="W1240" s="1522"/>
    </row>
    <row r="1241" spans="1:23">
      <c r="A1241" s="1550"/>
      <c r="W1241" s="1522"/>
    </row>
    <row r="1242" spans="1:23">
      <c r="A1242" s="1550"/>
      <c r="W1242" s="1522"/>
    </row>
    <row r="1243" spans="1:23">
      <c r="A1243" s="1550"/>
      <c r="W1243" s="1522"/>
    </row>
    <row r="1244" spans="1:23">
      <c r="A1244" s="1550"/>
      <c r="W1244" s="1522"/>
    </row>
    <row r="1245" spans="1:23">
      <c r="A1245" s="1550"/>
      <c r="W1245" s="1522"/>
    </row>
    <row r="1246" spans="1:23">
      <c r="A1246" s="1550"/>
      <c r="W1246" s="1522"/>
    </row>
    <row r="1247" spans="1:23">
      <c r="A1247" s="1550"/>
      <c r="W1247" s="1522"/>
    </row>
    <row r="1248" spans="1:23">
      <c r="A1248" s="1550"/>
      <c r="W1248" s="1522"/>
    </row>
    <row r="1249" spans="1:23">
      <c r="A1249" s="1550"/>
      <c r="W1249" s="1522"/>
    </row>
    <row r="1250" spans="1:23">
      <c r="A1250" s="1550"/>
      <c r="W1250" s="1522"/>
    </row>
    <row r="1251" spans="1:23">
      <c r="A1251" s="1550"/>
      <c r="W1251" s="1522"/>
    </row>
    <row r="1252" spans="1:23">
      <c r="A1252" s="1550"/>
      <c r="W1252" s="1522"/>
    </row>
    <row r="1253" spans="1:23">
      <c r="A1253" s="1550"/>
      <c r="W1253" s="1522"/>
    </row>
    <row r="1254" spans="1:23">
      <c r="A1254" s="1550"/>
      <c r="W1254" s="1522"/>
    </row>
    <row r="1255" spans="1:23">
      <c r="A1255" s="1550"/>
      <c r="W1255" s="1522"/>
    </row>
    <row r="1256" spans="1:23">
      <c r="A1256" s="1550"/>
      <c r="W1256" s="1522"/>
    </row>
    <row r="1257" spans="1:23">
      <c r="A1257" s="1550"/>
      <c r="W1257" s="1522"/>
    </row>
    <row r="1258" spans="1:23">
      <c r="A1258" s="1550"/>
      <c r="W1258" s="1522"/>
    </row>
    <row r="1259" spans="1:23">
      <c r="A1259" s="1550"/>
      <c r="W1259" s="1522"/>
    </row>
    <row r="1260" spans="1:23">
      <c r="A1260" s="1550"/>
      <c r="W1260" s="1522"/>
    </row>
    <row r="1261" spans="1:23">
      <c r="A1261" s="1550"/>
      <c r="W1261" s="1522"/>
    </row>
    <row r="1262" spans="1:23">
      <c r="A1262" s="1550"/>
      <c r="W1262" s="1522"/>
    </row>
    <row r="1263" spans="1:23">
      <c r="A1263" s="1550"/>
      <c r="W1263" s="1522"/>
    </row>
    <row r="1264" spans="1:23">
      <c r="A1264" s="1550"/>
      <c r="W1264" s="1522"/>
    </row>
    <row r="1265" spans="1:23">
      <c r="A1265" s="1550"/>
      <c r="W1265" s="1522"/>
    </row>
    <row r="1266" spans="1:23">
      <c r="A1266" s="1550"/>
      <c r="W1266" s="1522"/>
    </row>
    <row r="1267" spans="1:23">
      <c r="A1267" s="1550"/>
      <c r="W1267" s="1522"/>
    </row>
    <row r="1268" spans="1:23">
      <c r="A1268" s="1550"/>
      <c r="W1268" s="1522"/>
    </row>
    <row r="1269" spans="1:23">
      <c r="A1269" s="1550"/>
      <c r="W1269" s="1522"/>
    </row>
    <row r="1270" spans="1:23">
      <c r="A1270" s="1550"/>
      <c r="W1270" s="1522"/>
    </row>
    <row r="1271" spans="1:23">
      <c r="A1271" s="1550"/>
      <c r="W1271" s="1522"/>
    </row>
    <row r="1272" spans="1:23">
      <c r="A1272" s="1550"/>
      <c r="W1272" s="1522"/>
    </row>
    <row r="1273" spans="1:23">
      <c r="A1273" s="1550"/>
      <c r="W1273" s="1522"/>
    </row>
    <row r="1274" spans="1:23">
      <c r="A1274" s="1550"/>
      <c r="W1274" s="1522"/>
    </row>
    <row r="1275" spans="1:23">
      <c r="A1275" s="1550"/>
      <c r="W1275" s="1522"/>
    </row>
    <row r="1276" spans="1:23">
      <c r="A1276" s="1550"/>
      <c r="W1276" s="1522"/>
    </row>
    <row r="1277" spans="1:23">
      <c r="A1277" s="1550"/>
      <c r="W1277" s="1522"/>
    </row>
    <row r="1278" spans="1:23">
      <c r="A1278" s="1550"/>
      <c r="W1278" s="1522"/>
    </row>
    <row r="1279" spans="1:23">
      <c r="A1279" s="1550"/>
      <c r="W1279" s="1522"/>
    </row>
    <row r="1280" spans="1:23">
      <c r="A1280" s="1550"/>
      <c r="W1280" s="1522"/>
    </row>
    <row r="1281" spans="1:23">
      <c r="A1281" s="1550"/>
      <c r="W1281" s="1522"/>
    </row>
  </sheetData>
  <autoFilter ref="A1:A1319" xr:uid="{00000000-0009-0000-0000-000000000000}"/>
  <phoneticPr fontId="4" type="noConversion"/>
  <hyperlinks>
    <hyperlink ref="A111" location="M!A1" display="Expenses" xr:uid="{00000000-0004-0000-0000-000000000000}"/>
    <hyperlink ref="A13" location="Investments!A1" display="Taxable Accounts" xr:uid="{00000000-0004-0000-0000-000001000000}"/>
    <hyperlink ref="A116" location="FinStatements!B125" display="                     Net Income" xr:uid="{00000000-0004-0000-0000-000005000000}"/>
    <hyperlink ref="A120:A121" location="Cars!A1" display="                     Audi (A4)" xr:uid="{00000000-0004-0000-0000-000006000000}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9F23-64ED-40ED-831F-2DD607D56E98}">
  <dimension ref="B3:G47"/>
  <sheetViews>
    <sheetView workbookViewId="0">
      <selection activeCell="J26" sqref="J26"/>
    </sheetView>
  </sheetViews>
  <sheetFormatPr defaultColWidth="8.85546875" defaultRowHeight="12.75"/>
  <cols>
    <col min="3" max="3" width="15.140625" customWidth="1"/>
    <col min="4" max="4" width="13" customWidth="1"/>
    <col min="5" max="5" width="15.42578125" customWidth="1"/>
    <col min="6" max="6" width="16.7109375" customWidth="1"/>
  </cols>
  <sheetData>
    <row r="3" spans="2:7">
      <c r="C3" s="976" t="s">
        <v>239</v>
      </c>
      <c r="D3" s="976" t="s">
        <v>240</v>
      </c>
      <c r="E3" s="976" t="s">
        <v>241</v>
      </c>
      <c r="F3" s="976" t="s">
        <v>242</v>
      </c>
    </row>
    <row r="4" spans="2:7">
      <c r="B4" t="s">
        <v>35</v>
      </c>
      <c r="C4" s="977">
        <v>233600</v>
      </c>
      <c r="D4" s="978">
        <v>265188</v>
      </c>
      <c r="E4" s="977">
        <f>D4-C4</f>
        <v>31588</v>
      </c>
      <c r="F4" s="90">
        <f>(D4-C4)/C4</f>
        <v>0.13522260273972603</v>
      </c>
      <c r="G4" t="s">
        <v>128</v>
      </c>
    </row>
    <row r="5" spans="2:7">
      <c r="C5" s="977">
        <v>45000</v>
      </c>
      <c r="D5" s="978">
        <v>55900</v>
      </c>
      <c r="E5" s="977">
        <f>D5-C5</f>
        <v>10900</v>
      </c>
      <c r="F5" s="90">
        <f>(D5-C5)/C5</f>
        <v>0.24222222222222223</v>
      </c>
      <c r="G5" t="s">
        <v>243</v>
      </c>
    </row>
    <row r="6" spans="2:7">
      <c r="C6" s="977">
        <f>C4+C5</f>
        <v>278600</v>
      </c>
      <c r="D6" s="978">
        <f>D4+D5</f>
        <v>321088</v>
      </c>
      <c r="E6" s="977">
        <f>D6-C6</f>
        <v>42488</v>
      </c>
      <c r="F6" s="90">
        <f>(D6-C6)/C6</f>
        <v>0.15250538406317302</v>
      </c>
      <c r="G6" t="s">
        <v>244</v>
      </c>
    </row>
    <row r="7" spans="2:7">
      <c r="C7" s="976"/>
      <c r="D7" s="976"/>
      <c r="E7" s="976"/>
      <c r="F7" s="976"/>
    </row>
    <row r="9" spans="2:7">
      <c r="B9" t="s">
        <v>245</v>
      </c>
      <c r="C9" s="975">
        <v>252000</v>
      </c>
      <c r="D9" s="979">
        <v>285750</v>
      </c>
      <c r="E9" s="977">
        <f>D9-C9</f>
        <v>33750</v>
      </c>
      <c r="F9" s="90">
        <f t="shared" ref="F9:F15" si="0">(D9-C9)/C9</f>
        <v>0.13392857142857142</v>
      </c>
      <c r="G9" t="s">
        <v>128</v>
      </c>
    </row>
    <row r="10" spans="2:7">
      <c r="C10" s="975">
        <v>30000</v>
      </c>
      <c r="D10" s="979">
        <v>71370</v>
      </c>
      <c r="E10" s="977">
        <f>D10-C10</f>
        <v>41370</v>
      </c>
      <c r="F10" s="90">
        <f t="shared" si="0"/>
        <v>1.379</v>
      </c>
      <c r="G10" t="s">
        <v>243</v>
      </c>
    </row>
    <row r="11" spans="2:7">
      <c r="C11" s="975">
        <f>C9+C10</f>
        <v>282000</v>
      </c>
      <c r="D11" s="979">
        <f>D9+D10</f>
        <v>357120</v>
      </c>
      <c r="E11" s="975">
        <f>E9+E10</f>
        <v>75120</v>
      </c>
      <c r="F11" s="90">
        <f t="shared" si="0"/>
        <v>0.26638297872340427</v>
      </c>
      <c r="G11" t="s">
        <v>244</v>
      </c>
    </row>
    <row r="13" spans="2:7">
      <c r="B13" t="s">
        <v>246</v>
      </c>
      <c r="C13" s="975">
        <f>C9+C4</f>
        <v>485600</v>
      </c>
      <c r="D13" s="975">
        <f>D9+D4</f>
        <v>550938</v>
      </c>
      <c r="E13" s="975">
        <f>D13-C13</f>
        <v>65338</v>
      </c>
      <c r="F13" s="90">
        <f t="shared" si="0"/>
        <v>0.13455107084019768</v>
      </c>
      <c r="G13" t="s">
        <v>128</v>
      </c>
    </row>
    <row r="14" spans="2:7">
      <c r="C14" s="975">
        <f>C5+C10</f>
        <v>75000</v>
      </c>
      <c r="D14" s="975">
        <f>D5+D10</f>
        <v>127270</v>
      </c>
      <c r="E14" s="975">
        <f>D14-C14</f>
        <v>52270</v>
      </c>
      <c r="F14" s="90">
        <f t="shared" si="0"/>
        <v>0.69693333333333329</v>
      </c>
      <c r="G14" t="s">
        <v>243</v>
      </c>
    </row>
    <row r="15" spans="2:7">
      <c r="C15" s="975">
        <f>C6+C11</f>
        <v>560600</v>
      </c>
      <c r="D15" s="975">
        <f>D6+D11</f>
        <v>678208</v>
      </c>
      <c r="E15" s="975">
        <f>D15-C15</f>
        <v>117608</v>
      </c>
      <c r="F15" s="90">
        <f t="shared" si="0"/>
        <v>0.20978951123795933</v>
      </c>
      <c r="G15" t="s">
        <v>244</v>
      </c>
    </row>
    <row r="19" spans="3:6">
      <c r="D19" s="975"/>
      <c r="E19" s="975"/>
      <c r="F19" s="975"/>
    </row>
    <row r="20" spans="3:6">
      <c r="D20" s="975"/>
      <c r="E20" s="975"/>
      <c r="F20" s="975"/>
    </row>
    <row r="21" spans="3:6">
      <c r="D21" s="975"/>
      <c r="F21" s="975"/>
    </row>
    <row r="26" spans="3:6">
      <c r="C26" s="975"/>
      <c r="D26" s="975"/>
      <c r="E26" s="977"/>
      <c r="F26" s="90"/>
    </row>
    <row r="27" spans="3:6">
      <c r="D27" s="975"/>
      <c r="E27" s="977"/>
      <c r="F27" s="90"/>
    </row>
    <row r="28" spans="3:6">
      <c r="C28" s="977"/>
      <c r="D28" s="977"/>
      <c r="E28" s="977"/>
      <c r="F28" s="90"/>
    </row>
    <row r="42" spans="3:5">
      <c r="C42" t="s">
        <v>247</v>
      </c>
      <c r="D42" t="s">
        <v>248</v>
      </c>
      <c r="E42">
        <v>1399</v>
      </c>
    </row>
    <row r="43" spans="3:5">
      <c r="D43" t="s">
        <v>249</v>
      </c>
      <c r="E43">
        <v>1254</v>
      </c>
    </row>
    <row r="44" spans="3:5">
      <c r="D44" t="s">
        <v>250</v>
      </c>
      <c r="E44">
        <v>1315</v>
      </c>
    </row>
    <row r="46" spans="3:5">
      <c r="E46">
        <f>SUM(E42:E44)</f>
        <v>3968</v>
      </c>
    </row>
    <row r="47" spans="3:5">
      <c r="E47">
        <f>E46/70</f>
        <v>56.685714285714283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 tint="-0.249977111117893"/>
  </sheetPr>
  <dimension ref="A2:U47"/>
  <sheetViews>
    <sheetView zoomScale="110" zoomScaleNormal="110" zoomScalePageLayoutView="110" workbookViewId="0">
      <selection activeCell="F55" sqref="F55"/>
    </sheetView>
  </sheetViews>
  <sheetFormatPr defaultColWidth="10.7109375" defaultRowHeight="14.25"/>
  <cols>
    <col min="1" max="1" width="22.85546875" style="239" customWidth="1"/>
    <col min="2" max="2" width="12.28515625" style="240" customWidth="1"/>
    <col min="3" max="3" width="12.140625" style="240" customWidth="1"/>
    <col min="4" max="4" width="13" style="240" customWidth="1"/>
    <col min="5" max="5" width="12.140625" style="240" customWidth="1"/>
    <col min="6" max="6" width="11.85546875" style="240" customWidth="1"/>
    <col min="7" max="7" width="12.140625" style="240" customWidth="1"/>
    <col min="8" max="8" width="12" style="240" customWidth="1"/>
    <col min="9" max="10" width="13" style="240" customWidth="1"/>
    <col min="11" max="11" width="12.85546875" style="240" customWidth="1"/>
    <col min="12" max="12" width="12.28515625" style="239" customWidth="1"/>
    <col min="13" max="13" width="13" customWidth="1"/>
    <col min="14" max="15" width="12.85546875" customWidth="1"/>
    <col min="16" max="16" width="12" customWidth="1"/>
    <col min="17" max="17" width="13" customWidth="1"/>
    <col min="18" max="19" width="12.85546875" customWidth="1"/>
  </cols>
  <sheetData>
    <row r="2" spans="1:21" s="238" customFormat="1" ht="14.1" customHeight="1">
      <c r="A2" s="401" t="s">
        <v>251</v>
      </c>
      <c r="B2" s="402">
        <v>2002</v>
      </c>
      <c r="C2" s="403">
        <v>2003</v>
      </c>
      <c r="D2" s="402">
        <v>2004</v>
      </c>
      <c r="E2" s="404">
        <v>2005</v>
      </c>
      <c r="F2" s="405">
        <v>2006</v>
      </c>
      <c r="G2" s="402">
        <v>2007</v>
      </c>
      <c r="H2" s="402">
        <v>2008</v>
      </c>
      <c r="I2" s="402">
        <v>2009</v>
      </c>
      <c r="J2" s="402">
        <v>2010</v>
      </c>
      <c r="K2" s="402">
        <v>2011</v>
      </c>
      <c r="L2" s="402">
        <v>2012</v>
      </c>
      <c r="M2" s="402">
        <v>2013</v>
      </c>
      <c r="N2" s="406">
        <v>2014</v>
      </c>
      <c r="O2" s="406">
        <v>2015</v>
      </c>
      <c r="P2" s="406">
        <v>2016</v>
      </c>
      <c r="Q2" s="406">
        <v>2017</v>
      </c>
      <c r="R2" s="406">
        <v>2018</v>
      </c>
      <c r="S2" s="406" t="s">
        <v>252</v>
      </c>
      <c r="T2" s="406" t="s">
        <v>252</v>
      </c>
      <c r="U2" s="406" t="s">
        <v>252</v>
      </c>
    </row>
    <row r="3" spans="1:21" s="238" customFormat="1" ht="12.75">
      <c r="A3" s="407" t="s">
        <v>253</v>
      </c>
      <c r="B3" s="408">
        <f>FinSnapshot!B60</f>
        <v>116457.84</v>
      </c>
      <c r="C3" s="408">
        <f>FinSnapshot!C60</f>
        <v>138612</v>
      </c>
      <c r="D3" s="408">
        <f>FinSnapshot!D60</f>
        <v>146135</v>
      </c>
      <c r="E3" s="408">
        <f>FinSnapshot!E60</f>
        <v>160040</v>
      </c>
      <c r="F3" s="408">
        <f>FinSnapshot!F60</f>
        <v>183604</v>
      </c>
      <c r="G3" s="409">
        <f>FinSnapshot!G60</f>
        <v>196283</v>
      </c>
      <c r="H3" s="409">
        <f>FinSnapshot!H60</f>
        <v>205004</v>
      </c>
      <c r="I3" s="409">
        <f>FinSnapshot!I60</f>
        <v>213609</v>
      </c>
      <c r="J3" s="409">
        <f>FinSnapshot!J60</f>
        <v>234246.78</v>
      </c>
      <c r="K3" s="409">
        <f>FinSnapshot!K60</f>
        <v>241775</v>
      </c>
      <c r="L3" s="409">
        <f>FinSnapshot!L60</f>
        <v>255745</v>
      </c>
      <c r="M3" s="409">
        <f>FinSnapshot!M60</f>
        <v>276300</v>
      </c>
      <c r="N3" s="409">
        <f>FinSnapshot!N60</f>
        <v>294870</v>
      </c>
      <c r="O3" s="409">
        <f>FinSnapshot!O60</f>
        <v>342602</v>
      </c>
      <c r="P3" s="409">
        <f>FinSnapshot!P60</f>
        <v>385625</v>
      </c>
      <c r="Q3" s="409">
        <f>FinSnapshot!Q60</f>
        <v>820694</v>
      </c>
      <c r="R3" s="409">
        <f>FinSnapshot!R60</f>
        <v>522035</v>
      </c>
      <c r="S3" s="409">
        <f>FinSnapshot!S60</f>
        <v>533514</v>
      </c>
      <c r="T3" s="409">
        <f>FinSnapshot!T60</f>
        <v>554751.6</v>
      </c>
      <c r="U3" s="409">
        <f>FinSnapshot!U60</f>
        <v>585094.65999999992</v>
      </c>
    </row>
    <row r="4" spans="1:21" s="238" customFormat="1" ht="12.75">
      <c r="A4" s="407" t="s">
        <v>254</v>
      </c>
      <c r="B4" s="408">
        <f>FinSnapshot!B112</f>
        <v>69054</v>
      </c>
      <c r="C4" s="408">
        <f>FinSnapshot!C112</f>
        <v>74224</v>
      </c>
      <c r="D4" s="408">
        <f>FinSnapshot!D112</f>
        <v>79170</v>
      </c>
      <c r="E4" s="408">
        <f>FinSnapshot!E112</f>
        <v>82172.999999999985</v>
      </c>
      <c r="F4" s="408">
        <f>FinSnapshot!F112</f>
        <v>81548</v>
      </c>
      <c r="G4" s="409">
        <f>FinSnapshot!G112</f>
        <v>89971.000000000029</v>
      </c>
      <c r="H4" s="409">
        <f>FinSnapshot!H112</f>
        <v>82506.566219399261</v>
      </c>
      <c r="I4" s="409">
        <f>FinSnapshot!I112</f>
        <v>83029.686691784649</v>
      </c>
      <c r="J4" s="409">
        <f>FinSnapshot!J112</f>
        <v>119168.39879750973</v>
      </c>
      <c r="K4" s="409">
        <f>FinSnapshot!K112</f>
        <v>96755.315464176398</v>
      </c>
      <c r="L4" s="409">
        <f>FinSnapshot!L112</f>
        <v>117864.39879750973</v>
      </c>
      <c r="M4" s="409">
        <f>FinSnapshot!M112</f>
        <v>133534.7995991699</v>
      </c>
      <c r="N4" s="409">
        <f>FinSnapshot!N112</f>
        <v>117076.00000000001</v>
      </c>
      <c r="O4" s="409">
        <f>FinSnapshot!O112</f>
        <v>107631.00000000001</v>
      </c>
      <c r="P4" s="409">
        <f>FinSnapshot!P112</f>
        <v>118249</v>
      </c>
      <c r="Q4" s="409">
        <f>FinSnapshot!Q112</f>
        <v>133818.5</v>
      </c>
      <c r="R4" s="409">
        <f>FinSnapshot!R112</f>
        <v>150303.33333333334</v>
      </c>
      <c r="S4" s="409">
        <f>FinSnapshot!S112</f>
        <v>149835.5</v>
      </c>
      <c r="T4" s="409">
        <f ca="1">FinSnapshot!T112</f>
        <v>344617.51741098874</v>
      </c>
      <c r="U4" s="409">
        <f ca="1">FinSnapshot!U112</f>
        <v>236052.19147330124</v>
      </c>
    </row>
    <row r="5" spans="1:21" s="238" customFormat="1" ht="12.75">
      <c r="A5" s="410" t="s">
        <v>255</v>
      </c>
      <c r="B5" s="408">
        <f t="shared" ref="B5:O5" si="0">B3-B4</f>
        <v>47403.839999999997</v>
      </c>
      <c r="C5" s="408">
        <f t="shared" si="0"/>
        <v>64388</v>
      </c>
      <c r="D5" s="408">
        <f t="shared" si="0"/>
        <v>66965</v>
      </c>
      <c r="E5" s="408">
        <f t="shared" si="0"/>
        <v>77867.000000000015</v>
      </c>
      <c r="F5" s="408">
        <f t="shared" si="0"/>
        <v>102056</v>
      </c>
      <c r="G5" s="409">
        <f t="shared" si="0"/>
        <v>106311.99999999997</v>
      </c>
      <c r="H5" s="409">
        <f t="shared" si="0"/>
        <v>122497.43378060074</v>
      </c>
      <c r="I5" s="409">
        <f t="shared" si="0"/>
        <v>130579.31330821535</v>
      </c>
      <c r="J5" s="409">
        <f t="shared" si="0"/>
        <v>115078.38120249027</v>
      </c>
      <c r="K5" s="409">
        <f t="shared" si="0"/>
        <v>145019.68453582359</v>
      </c>
      <c r="L5" s="409">
        <f t="shared" si="0"/>
        <v>137880.60120249027</v>
      </c>
      <c r="M5" s="409">
        <f t="shared" si="0"/>
        <v>142765.2004008301</v>
      </c>
      <c r="N5" s="409">
        <f t="shared" si="0"/>
        <v>177794</v>
      </c>
      <c r="O5" s="409">
        <f t="shared" si="0"/>
        <v>234971</v>
      </c>
      <c r="P5" s="409">
        <f t="shared" ref="P5:U5" si="1">P3-P4</f>
        <v>267376</v>
      </c>
      <c r="Q5" s="409">
        <f t="shared" si="1"/>
        <v>686875.5</v>
      </c>
      <c r="R5" s="409">
        <f t="shared" si="1"/>
        <v>371731.66666666663</v>
      </c>
      <c r="S5" s="409">
        <f t="shared" si="1"/>
        <v>383678.5</v>
      </c>
      <c r="T5" s="409">
        <f t="shared" ca="1" si="1"/>
        <v>210134.08258901123</v>
      </c>
      <c r="U5" s="409">
        <f t="shared" ca="1" si="1"/>
        <v>349042.46852669865</v>
      </c>
    </row>
    <row r="6" spans="1:21" s="238" customFormat="1" ht="12.75">
      <c r="A6" s="407" t="s">
        <v>256</v>
      </c>
      <c r="B6" s="408">
        <f>FinSnapshot!B85</f>
        <v>29052</v>
      </c>
      <c r="C6" s="408">
        <f>FinSnapshot!C85</f>
        <v>42602</v>
      </c>
      <c r="D6" s="408">
        <f>FinSnapshot!D85</f>
        <v>42534</v>
      </c>
      <c r="E6" s="408">
        <f>FinSnapshot!E85</f>
        <v>55198</v>
      </c>
      <c r="F6" s="408">
        <f>FinSnapshot!F85</f>
        <v>54583</v>
      </c>
      <c r="G6" s="409">
        <f>FinSnapshot!G85</f>
        <v>54767</v>
      </c>
      <c r="H6" s="409">
        <f>FinSnapshot!H85</f>
        <v>58590.58</v>
      </c>
      <c r="I6" s="409">
        <f>FinSnapshot!I85</f>
        <v>64687</v>
      </c>
      <c r="J6" s="409">
        <f>FinSnapshot!J85</f>
        <v>65754</v>
      </c>
      <c r="K6" s="409">
        <f>FinSnapshot!K85</f>
        <v>63550</v>
      </c>
      <c r="L6" s="409">
        <f>FinSnapshot!L85</f>
        <v>74681</v>
      </c>
      <c r="M6" s="409">
        <f>FinSnapshot!M85</f>
        <v>78842</v>
      </c>
      <c r="N6" s="409">
        <f>FinSnapshot!N85</f>
        <v>95545</v>
      </c>
      <c r="O6" s="409">
        <f>FinSnapshot!O85</f>
        <v>112773</v>
      </c>
      <c r="P6" s="409">
        <f>FinSnapshot!P85</f>
        <v>241304</v>
      </c>
      <c r="Q6" s="409">
        <f>FinSnapshot!Q85</f>
        <v>312024</v>
      </c>
      <c r="R6" s="409">
        <f>FinSnapshot!R85</f>
        <v>202015</v>
      </c>
      <c r="S6" s="409">
        <f>FinSnapshot!S85</f>
        <v>209497</v>
      </c>
      <c r="T6" s="409">
        <f>FinSnapshot!T85</f>
        <v>207369.81</v>
      </c>
      <c r="U6" s="409">
        <f>FinSnapshot!U85</f>
        <v>192614</v>
      </c>
    </row>
    <row r="7" spans="1:21" s="238" customFormat="1" ht="12.75">
      <c r="A7" s="410" t="s">
        <v>257</v>
      </c>
      <c r="B7" s="408">
        <f t="shared" ref="B7:O7" si="2">B5-B6</f>
        <v>18351.839999999997</v>
      </c>
      <c r="C7" s="408">
        <f t="shared" si="2"/>
        <v>21786</v>
      </c>
      <c r="D7" s="408">
        <f t="shared" si="2"/>
        <v>24431</v>
      </c>
      <c r="E7" s="408">
        <f t="shared" si="2"/>
        <v>22669.000000000015</v>
      </c>
      <c r="F7" s="408">
        <f t="shared" si="2"/>
        <v>47473</v>
      </c>
      <c r="G7" s="409">
        <f t="shared" si="2"/>
        <v>51544.999999999971</v>
      </c>
      <c r="H7" s="409">
        <f t="shared" si="2"/>
        <v>63906.853780600737</v>
      </c>
      <c r="I7" s="409">
        <f t="shared" si="2"/>
        <v>65892.313308215351</v>
      </c>
      <c r="J7" s="409">
        <f t="shared" si="2"/>
        <v>49324.381202490273</v>
      </c>
      <c r="K7" s="409">
        <f t="shared" si="2"/>
        <v>81469.684535823588</v>
      </c>
      <c r="L7" s="409">
        <f t="shared" si="2"/>
        <v>63199.601202490274</v>
      </c>
      <c r="M7" s="409">
        <f t="shared" si="2"/>
        <v>63923.200400830101</v>
      </c>
      <c r="N7" s="409">
        <f t="shared" si="2"/>
        <v>82249</v>
      </c>
      <c r="O7" s="409">
        <f t="shared" si="2"/>
        <v>122198</v>
      </c>
      <c r="P7" s="409">
        <f t="shared" ref="P7:U7" si="3">P5-P6</f>
        <v>26072</v>
      </c>
      <c r="Q7" s="409">
        <f t="shared" si="3"/>
        <v>374851.5</v>
      </c>
      <c r="R7" s="409">
        <f t="shared" si="3"/>
        <v>169716.66666666663</v>
      </c>
      <c r="S7" s="409">
        <f t="shared" si="3"/>
        <v>174181.5</v>
      </c>
      <c r="T7" s="409">
        <f t="shared" ca="1" si="3"/>
        <v>2764.2725890112342</v>
      </c>
      <c r="U7" s="409">
        <f t="shared" ca="1" si="3"/>
        <v>156428.46852669865</v>
      </c>
    </row>
    <row r="8" spans="1:21" s="238" customFormat="1" ht="12.75">
      <c r="A8" s="407" t="s">
        <v>258</v>
      </c>
      <c r="B8" s="408">
        <f>FinSnapshot!B91</f>
        <v>1514</v>
      </c>
      <c r="C8" s="408">
        <f>FinSnapshot!C91</f>
        <v>1814</v>
      </c>
      <c r="D8" s="408">
        <f>FinSnapshot!D91</f>
        <v>956</v>
      </c>
      <c r="E8" s="408">
        <f>FinSnapshot!E91</f>
        <v>1796</v>
      </c>
      <c r="F8" s="408">
        <f>FinSnapshot!F91</f>
        <v>2018</v>
      </c>
      <c r="G8" s="409">
        <f>FinSnapshot!G91</f>
        <v>2516</v>
      </c>
      <c r="H8" s="409">
        <f>FinSnapshot!H91</f>
        <v>2478</v>
      </c>
      <c r="I8" s="409">
        <f>FinSnapshot!I91</f>
        <v>3852</v>
      </c>
      <c r="J8" s="409">
        <f>FinSnapshot!J91</f>
        <v>4996</v>
      </c>
      <c r="K8" s="409">
        <f>FinSnapshot!K91</f>
        <v>4644</v>
      </c>
      <c r="L8" s="409">
        <f>FinSnapshot!L91</f>
        <v>5654</v>
      </c>
      <c r="M8" s="409">
        <f>FinSnapshot!M91</f>
        <v>6274</v>
      </c>
      <c r="N8" s="409">
        <f>FinSnapshot!N91</f>
        <v>5732</v>
      </c>
      <c r="O8" s="409">
        <f>FinSnapshot!O91</f>
        <v>5964</v>
      </c>
      <c r="P8" s="409">
        <f>FinSnapshot!P91</f>
        <v>6662</v>
      </c>
      <c r="Q8" s="409">
        <f>FinSnapshot!Q91</f>
        <v>2945</v>
      </c>
      <c r="R8" s="409">
        <f>FinSnapshot!R91</f>
        <v>5732</v>
      </c>
      <c r="S8" s="409">
        <f>FinSnapshot!S91</f>
        <v>5732</v>
      </c>
      <c r="T8" s="409">
        <f>FinSnapshot!T91</f>
        <v>5732</v>
      </c>
      <c r="U8" s="409">
        <f>FinSnapshot!U91</f>
        <v>5732</v>
      </c>
    </row>
    <row r="9" spans="1:21" s="238" customFormat="1" ht="12.75">
      <c r="A9" s="410" t="s">
        <v>259</v>
      </c>
      <c r="B9" s="408">
        <f t="shared" ref="B9:O9" si="4">B7-B8</f>
        <v>16837.839999999997</v>
      </c>
      <c r="C9" s="408">
        <f t="shared" si="4"/>
        <v>19972</v>
      </c>
      <c r="D9" s="408">
        <f t="shared" si="4"/>
        <v>23475</v>
      </c>
      <c r="E9" s="408">
        <f t="shared" si="4"/>
        <v>20873.000000000015</v>
      </c>
      <c r="F9" s="408">
        <f t="shared" si="4"/>
        <v>45455</v>
      </c>
      <c r="G9" s="409">
        <f t="shared" si="4"/>
        <v>49028.999999999971</v>
      </c>
      <c r="H9" s="409">
        <f t="shared" si="4"/>
        <v>61428.853780600737</v>
      </c>
      <c r="I9" s="409">
        <f t="shared" si="4"/>
        <v>62040.313308215351</v>
      </c>
      <c r="J9" s="409">
        <f t="shared" si="4"/>
        <v>44328.381202490273</v>
      </c>
      <c r="K9" s="409">
        <f t="shared" si="4"/>
        <v>76825.684535823588</v>
      </c>
      <c r="L9" s="409">
        <f t="shared" si="4"/>
        <v>57545.601202490274</v>
      </c>
      <c r="M9" s="409">
        <f t="shared" si="4"/>
        <v>57649.200400830101</v>
      </c>
      <c r="N9" s="409">
        <f t="shared" si="4"/>
        <v>76517</v>
      </c>
      <c r="O9" s="409">
        <f t="shared" si="4"/>
        <v>116234</v>
      </c>
      <c r="P9" s="409">
        <f t="shared" ref="P9:U9" si="5">P7-P8</f>
        <v>19410</v>
      </c>
      <c r="Q9" s="409">
        <f t="shared" si="5"/>
        <v>371906.5</v>
      </c>
      <c r="R9" s="409">
        <f t="shared" si="5"/>
        <v>163984.66666666663</v>
      </c>
      <c r="S9" s="409">
        <f t="shared" si="5"/>
        <v>168449.5</v>
      </c>
      <c r="T9" s="409">
        <f t="shared" ca="1" si="5"/>
        <v>-2967.7274109887658</v>
      </c>
      <c r="U9" s="409">
        <f t="shared" ca="1" si="5"/>
        <v>150696.46852669865</v>
      </c>
    </row>
    <row r="10" spans="1:21" s="238" customFormat="1" ht="12.75">
      <c r="A10" s="410" t="s">
        <v>260</v>
      </c>
      <c r="B10" s="408">
        <f>FinSnapshot!B52</f>
        <v>309</v>
      </c>
      <c r="C10" s="408">
        <f>FinSnapshot!C52</f>
        <v>589</v>
      </c>
      <c r="D10" s="408">
        <f>FinSnapshot!D52</f>
        <v>955</v>
      </c>
      <c r="E10" s="408">
        <f>FinSnapshot!E52</f>
        <v>1555</v>
      </c>
      <c r="F10" s="408">
        <f>FinSnapshot!F52</f>
        <v>3301</v>
      </c>
      <c r="G10" s="409">
        <f>FinSnapshot!G52</f>
        <v>5075</v>
      </c>
      <c r="H10" s="409">
        <f>FinSnapshot!H52</f>
        <v>-7531</v>
      </c>
      <c r="I10" s="409">
        <f>FinSnapshot!I52</f>
        <v>6054</v>
      </c>
      <c r="J10" s="409">
        <f>FinSnapshot!J52</f>
        <v>7033</v>
      </c>
      <c r="K10" s="409">
        <f>FinSnapshot!K52</f>
        <v>1074</v>
      </c>
      <c r="L10" s="409">
        <f>FinSnapshot!L52</f>
        <v>7516</v>
      </c>
      <c r="M10" s="409">
        <f>FinSnapshot!M52</f>
        <v>9538</v>
      </c>
      <c r="N10" s="409">
        <f>FinSnapshot!N52</f>
        <v>2049</v>
      </c>
      <c r="O10" s="409">
        <f>FinSnapshot!O52</f>
        <v>8731</v>
      </c>
      <c r="P10" s="409">
        <f>FinSnapshot!P52</f>
        <v>47313</v>
      </c>
      <c r="Q10" s="409">
        <f>FinSnapshot!Q52</f>
        <v>14470</v>
      </c>
      <c r="R10" s="409">
        <f>FinSnapshot!R52</f>
        <v>24211</v>
      </c>
      <c r="S10" s="409">
        <f>FinSnapshot!S52</f>
        <v>32467</v>
      </c>
      <c r="T10" s="409">
        <f>FinSnapshot!T52</f>
        <v>37621</v>
      </c>
      <c r="U10" s="409">
        <f>FinSnapshot!U52</f>
        <v>18896</v>
      </c>
    </row>
    <row r="11" spans="1:21" s="238" customFormat="1" ht="12.75">
      <c r="A11" s="410" t="s">
        <v>261</v>
      </c>
      <c r="B11" s="408">
        <v>0</v>
      </c>
      <c r="C11" s="408">
        <v>0</v>
      </c>
      <c r="D11" s="408">
        <v>0</v>
      </c>
      <c r="E11" s="408">
        <v>0</v>
      </c>
      <c r="F11" s="408">
        <v>0</v>
      </c>
      <c r="G11" s="409">
        <v>0</v>
      </c>
      <c r="H11" s="409">
        <v>0</v>
      </c>
      <c r="I11" s="409">
        <v>0</v>
      </c>
      <c r="J11" s="409">
        <v>0</v>
      </c>
      <c r="K11" s="409">
        <v>0</v>
      </c>
      <c r="L11" s="409">
        <v>0</v>
      </c>
      <c r="M11" s="409">
        <v>0</v>
      </c>
      <c r="N11" s="409">
        <v>0</v>
      </c>
      <c r="O11" s="409">
        <v>0</v>
      </c>
      <c r="P11" s="409">
        <v>0</v>
      </c>
      <c r="Q11" s="409">
        <v>0</v>
      </c>
      <c r="R11" s="409">
        <v>0</v>
      </c>
      <c r="S11" s="409">
        <v>0</v>
      </c>
      <c r="T11" s="409">
        <v>0</v>
      </c>
      <c r="U11" s="409">
        <v>0</v>
      </c>
    </row>
    <row r="12" spans="1:21" s="238" customFormat="1" ht="12.75">
      <c r="A12" s="410" t="s">
        <v>262</v>
      </c>
      <c r="B12" s="411">
        <f t="shared" ref="B12:G12" si="6">SUM(B9+B10)</f>
        <v>17146.839999999997</v>
      </c>
      <c r="C12" s="411">
        <f t="shared" si="6"/>
        <v>20561</v>
      </c>
      <c r="D12" s="411">
        <f t="shared" si="6"/>
        <v>24430</v>
      </c>
      <c r="E12" s="411">
        <f t="shared" si="6"/>
        <v>22428.000000000015</v>
      </c>
      <c r="F12" s="411">
        <f>SUM(F9:F11)</f>
        <v>48756</v>
      </c>
      <c r="G12" s="411">
        <f t="shared" si="6"/>
        <v>54103.999999999971</v>
      </c>
      <c r="H12" s="411">
        <f t="shared" ref="H12:O12" si="7">SUM(H9+H10)</f>
        <v>53897.853780600737</v>
      </c>
      <c r="I12" s="411">
        <f t="shared" si="7"/>
        <v>68094.313308215351</v>
      </c>
      <c r="J12" s="411">
        <f t="shared" si="7"/>
        <v>51361.381202490273</v>
      </c>
      <c r="K12" s="411">
        <f t="shared" si="7"/>
        <v>77899.684535823588</v>
      </c>
      <c r="L12" s="411">
        <f t="shared" si="7"/>
        <v>65061.601202490274</v>
      </c>
      <c r="M12" s="411">
        <f t="shared" si="7"/>
        <v>67187.200400830101</v>
      </c>
      <c r="N12" s="411">
        <f t="shared" si="7"/>
        <v>78566</v>
      </c>
      <c r="O12" s="411">
        <f t="shared" si="7"/>
        <v>124965</v>
      </c>
      <c r="P12" s="411">
        <f t="shared" ref="P12:U12" si="8">SUM(P9+P10)</f>
        <v>66723</v>
      </c>
      <c r="Q12" s="411">
        <f t="shared" si="8"/>
        <v>386376.5</v>
      </c>
      <c r="R12" s="411">
        <f t="shared" si="8"/>
        <v>188195.66666666663</v>
      </c>
      <c r="S12" s="411">
        <f t="shared" si="8"/>
        <v>200916.5</v>
      </c>
      <c r="T12" s="411">
        <f t="shared" ca="1" si="8"/>
        <v>34653.272589011234</v>
      </c>
      <c r="U12" s="411">
        <f t="shared" ca="1" si="8"/>
        <v>169592.46852669865</v>
      </c>
    </row>
    <row r="13" spans="1:21" s="238" customFormat="1" ht="12.75">
      <c r="A13" s="410" t="s">
        <v>263</v>
      </c>
      <c r="B13" s="2178">
        <f t="shared" ref="B13:O13" si="9">B12/B3</f>
        <v>0.14723645913405226</v>
      </c>
      <c r="C13" s="2178">
        <f t="shared" si="9"/>
        <v>0.14833492049750382</v>
      </c>
      <c r="D13" s="2178">
        <f t="shared" si="9"/>
        <v>0.16717418825059022</v>
      </c>
      <c r="E13" s="2178">
        <f t="shared" si="9"/>
        <v>0.1401399650087479</v>
      </c>
      <c r="F13" s="2178">
        <f t="shared" si="9"/>
        <v>0.26554977015751291</v>
      </c>
      <c r="G13" s="2178">
        <f t="shared" si="9"/>
        <v>0.27564282184397004</v>
      </c>
      <c r="H13" s="2178">
        <f t="shared" si="9"/>
        <v>0.26291122993015131</v>
      </c>
      <c r="I13" s="2178">
        <f t="shared" si="9"/>
        <v>0.31878016988149072</v>
      </c>
      <c r="J13" s="2178">
        <f t="shared" si="9"/>
        <v>0.2192618451467733</v>
      </c>
      <c r="K13" s="2178">
        <f t="shared" si="9"/>
        <v>0.3221990881432058</v>
      </c>
      <c r="L13" s="2178">
        <f t="shared" si="9"/>
        <v>0.2544002862323419</v>
      </c>
      <c r="M13" s="2178">
        <f t="shared" si="9"/>
        <v>0.24316757293098118</v>
      </c>
      <c r="N13" s="2178">
        <f t="shared" si="9"/>
        <v>0.26644283921728218</v>
      </c>
      <c r="O13" s="2178">
        <f t="shared" si="9"/>
        <v>0.36475268679108702</v>
      </c>
      <c r="P13" s="2178">
        <f t="shared" ref="P13:U13" si="10">P12/P3</f>
        <v>0.17302560777957859</v>
      </c>
      <c r="Q13" s="2178">
        <f t="shared" si="10"/>
        <v>0.47079240252761689</v>
      </c>
      <c r="R13" s="2178">
        <f t="shared" si="10"/>
        <v>0.36050392534344755</v>
      </c>
      <c r="S13" s="2178">
        <f t="shared" si="10"/>
        <v>0.37659086734368735</v>
      </c>
      <c r="T13" s="2178">
        <f t="shared" ca="1" si="10"/>
        <v>6.2466286873280284E-2</v>
      </c>
      <c r="U13" s="2178">
        <f t="shared" ca="1" si="10"/>
        <v>0.28985475363370888</v>
      </c>
    </row>
    <row r="14" spans="1:21" s="238" customFormat="1" ht="12.75">
      <c r="A14" s="410" t="s">
        <v>264</v>
      </c>
      <c r="B14" s="411"/>
      <c r="C14" s="411">
        <f>FinSnapshot!$C$28-FinSnapshot!$B$28</f>
        <v>34127</v>
      </c>
      <c r="D14" s="411">
        <f>FinSnapshot!$D$28-FinSnapshot!$C$28</f>
        <v>32000</v>
      </c>
      <c r="E14" s="411">
        <f>FinSnapshot!$E$28-FinSnapshot!$D$28</f>
        <v>38895</v>
      </c>
      <c r="F14" s="411">
        <f>FinSnapshot!$F$28-FinSnapshot!$E$28</f>
        <v>83694</v>
      </c>
      <c r="G14" s="411">
        <f>FinSnapshot!$G$28-FinSnapshot!$F$28</f>
        <v>91067</v>
      </c>
      <c r="H14" s="412">
        <f>FinSnapshot!$H$28-FinSnapshot!$G$28</f>
        <v>-42077</v>
      </c>
      <c r="I14" s="411">
        <f>FinSnapshot!$I$28-FinSnapshot!$H$28</f>
        <v>166744</v>
      </c>
      <c r="J14" s="411">
        <f>FinSnapshot!$J$28-FinSnapshot!$I$28</f>
        <v>169553</v>
      </c>
      <c r="K14" s="411">
        <f>FinSnapshot!$K$28-FinSnapshot!$J$28</f>
        <v>94736</v>
      </c>
      <c r="L14" s="411">
        <f>FinSnapshot!$L$28-FinSnapshot!$K$28</f>
        <v>148051</v>
      </c>
      <c r="M14" s="411">
        <f>FinSnapshot!$M$28-FinSnapshot!$L$28</f>
        <v>310359</v>
      </c>
      <c r="N14" s="411">
        <f>FinSnapshot!$N$28-FinSnapshot!$M$28</f>
        <v>258889</v>
      </c>
      <c r="O14" s="411">
        <f>FinSnapshot!$O$28-FinSnapshot!$N$28</f>
        <v>103569</v>
      </c>
      <c r="P14" s="411">
        <f>FinSnapshot!$P$28-FinSnapshot!$O$28</f>
        <v>489968</v>
      </c>
      <c r="Q14" s="411">
        <f>FinSnapshot!$O$28-FinSnapshot!$N$28</f>
        <v>103569</v>
      </c>
      <c r="R14" s="411">
        <f>FinSnapshot!$O$28-FinSnapshot!$N$28</f>
        <v>103569</v>
      </c>
      <c r="S14" s="411">
        <f>FinSnapshot!$O$28-FinSnapshot!$N$28</f>
        <v>103569</v>
      </c>
      <c r="T14" s="411">
        <f>FinSnapshot!$O$28-FinSnapshot!$N$28</f>
        <v>103569</v>
      </c>
      <c r="U14" s="411">
        <f>FinSnapshot!$O$28-FinSnapshot!$N$28</f>
        <v>103569</v>
      </c>
    </row>
    <row r="15" spans="1:21" ht="12.75">
      <c r="A15" s="413"/>
      <c r="B15" s="414">
        <v>2015</v>
      </c>
      <c r="C15" s="414" t="s">
        <v>265</v>
      </c>
      <c r="D15" s="414" t="s">
        <v>266</v>
      </c>
      <c r="E15" s="414" t="s">
        <v>267</v>
      </c>
      <c r="F15" s="414" t="s">
        <v>268</v>
      </c>
      <c r="G15" s="414" t="s">
        <v>269</v>
      </c>
      <c r="H15" s="414" t="s">
        <v>270</v>
      </c>
      <c r="I15" s="414" t="s">
        <v>271</v>
      </c>
      <c r="J15" s="414" t="s">
        <v>272</v>
      </c>
      <c r="K15" s="414" t="s">
        <v>273</v>
      </c>
      <c r="L15" s="414" t="s">
        <v>274</v>
      </c>
      <c r="M15" s="379"/>
      <c r="N15" s="379"/>
      <c r="O15" s="379"/>
      <c r="P15" s="379"/>
      <c r="Q15" s="379"/>
      <c r="R15" s="379"/>
      <c r="S15" s="379"/>
    </row>
    <row r="16" spans="1:21" ht="12.75">
      <c r="A16" s="415" t="s">
        <v>275</v>
      </c>
      <c r="B16" s="299">
        <f>Monthly!C864</f>
        <v>1655</v>
      </c>
      <c r="C16" s="299">
        <f>B16*(1+$B$39)</f>
        <v>1737.75</v>
      </c>
      <c r="D16" s="299">
        <f>4500*12/$B$40</f>
        <v>54000</v>
      </c>
      <c r="E16" s="299">
        <f t="shared" ref="E16:L16" si="11">D16*(1+$B$39)</f>
        <v>56700</v>
      </c>
      <c r="F16" s="299">
        <f t="shared" si="11"/>
        <v>59535</v>
      </c>
      <c r="G16" s="299">
        <f t="shared" si="11"/>
        <v>62511.75</v>
      </c>
      <c r="H16" s="299">
        <f t="shared" si="11"/>
        <v>65637.337500000009</v>
      </c>
      <c r="I16" s="299">
        <f t="shared" si="11"/>
        <v>68919.204375000016</v>
      </c>
      <c r="J16" s="299">
        <f t="shared" si="11"/>
        <v>72365.164593750014</v>
      </c>
      <c r="K16" s="299">
        <f t="shared" si="11"/>
        <v>75983.422823437519</v>
      </c>
      <c r="L16" s="299">
        <f t="shared" si="11"/>
        <v>79782.593964609405</v>
      </c>
      <c r="M16" s="379"/>
      <c r="N16" s="379"/>
      <c r="O16" s="379"/>
      <c r="P16" s="379"/>
      <c r="Q16" s="379"/>
      <c r="R16" s="379"/>
      <c r="S16" s="379"/>
    </row>
    <row r="17" spans="1:19" ht="12.75">
      <c r="A17" s="415" t="s">
        <v>276</v>
      </c>
      <c r="B17" s="299">
        <f>Monthly!C878</f>
        <v>491</v>
      </c>
      <c r="C17" s="299">
        <f t="shared" ref="C17:C28" si="12">B17*(1+$B$38)</f>
        <v>662.85</v>
      </c>
      <c r="D17" s="299">
        <f>(C17*(1+$B$39) + 800*12)/$B$40</f>
        <v>10295.9925</v>
      </c>
      <c r="E17" s="299">
        <f>(C17*(1+$B$39) + 800*12)/$B$40</f>
        <v>10295.9925</v>
      </c>
      <c r="F17" s="299">
        <f>(C17*(1+$B$39) + 1600*12)/$B$40</f>
        <v>19895.9925</v>
      </c>
      <c r="G17" s="299">
        <f>(C17*(1+$B$39) + 1600*12)/$B$40</f>
        <v>19895.9925</v>
      </c>
      <c r="H17" s="299">
        <f>(C17*(1+$B$39) + 1600*12)/$B$40</f>
        <v>19895.9925</v>
      </c>
      <c r="I17" s="299">
        <f>(C17*(1+$B$39) + 1600*12)/$B$40</f>
        <v>19895.9925</v>
      </c>
      <c r="J17" s="299">
        <f>(C17*(1+$B$39) + 1600*12)/$B$40</f>
        <v>19895.9925</v>
      </c>
      <c r="K17" s="299">
        <f>($C$17*1.5 + 800*12)/$B$40</f>
        <v>10594.275</v>
      </c>
      <c r="L17" s="299">
        <f>($C$17*1.5 + 800*12)/$B$40</f>
        <v>10594.275</v>
      </c>
      <c r="M17" s="379"/>
      <c r="N17" s="379"/>
      <c r="O17" s="379"/>
      <c r="P17" s="379"/>
      <c r="Q17" s="379"/>
      <c r="R17" s="379"/>
      <c r="S17" s="379"/>
    </row>
    <row r="18" spans="1:19" ht="12.75">
      <c r="A18" s="415" t="s">
        <v>277</v>
      </c>
      <c r="B18" s="299">
        <f>Monthly!C886</f>
        <v>246</v>
      </c>
      <c r="C18" s="299">
        <f t="shared" si="12"/>
        <v>332.1</v>
      </c>
      <c r="D18" s="299">
        <f t="shared" ref="D18:L18" si="13">C18*(1+$B$39)</f>
        <v>348.70500000000004</v>
      </c>
      <c r="E18" s="299">
        <f t="shared" si="13"/>
        <v>366.14025000000004</v>
      </c>
      <c r="F18" s="299">
        <f t="shared" si="13"/>
        <v>384.44726250000008</v>
      </c>
      <c r="G18" s="299">
        <f t="shared" si="13"/>
        <v>403.66962562500009</v>
      </c>
      <c r="H18" s="299">
        <f t="shared" si="13"/>
        <v>423.8531069062501</v>
      </c>
      <c r="I18" s="299">
        <f t="shared" si="13"/>
        <v>445.04576225156262</v>
      </c>
      <c r="J18" s="299">
        <f t="shared" si="13"/>
        <v>467.29805036414075</v>
      </c>
      <c r="K18" s="299">
        <f t="shared" si="13"/>
        <v>490.66295288234778</v>
      </c>
      <c r="L18" s="299">
        <f t="shared" si="13"/>
        <v>515.19610052646522</v>
      </c>
      <c r="M18" s="379"/>
      <c r="N18" s="379"/>
      <c r="O18" s="379"/>
      <c r="P18" s="379"/>
      <c r="Q18" s="379"/>
      <c r="R18" s="379"/>
      <c r="S18" s="379"/>
    </row>
    <row r="19" spans="1:19" ht="12.75">
      <c r="A19" s="415" t="s">
        <v>278</v>
      </c>
      <c r="B19" s="299">
        <f>Monthly!C892</f>
        <v>993</v>
      </c>
      <c r="C19" s="299">
        <f t="shared" si="12"/>
        <v>1340.5500000000002</v>
      </c>
      <c r="D19" s="299">
        <f t="shared" ref="D19:L19" si="14">C19*(1+$B$39)</f>
        <v>1407.5775000000003</v>
      </c>
      <c r="E19" s="299">
        <f t="shared" si="14"/>
        <v>1477.9563750000004</v>
      </c>
      <c r="F19" s="299">
        <f t="shared" si="14"/>
        <v>1551.8541937500006</v>
      </c>
      <c r="G19" s="299">
        <f t="shared" si="14"/>
        <v>1629.4469034375006</v>
      </c>
      <c r="H19" s="299">
        <f t="shared" si="14"/>
        <v>1710.9192486093757</v>
      </c>
      <c r="I19" s="299">
        <f t="shared" si="14"/>
        <v>1796.4652110398445</v>
      </c>
      <c r="J19" s="299">
        <f t="shared" si="14"/>
        <v>1886.2884715918367</v>
      </c>
      <c r="K19" s="299">
        <f t="shared" si="14"/>
        <v>1980.6028951714286</v>
      </c>
      <c r="L19" s="299">
        <f t="shared" si="14"/>
        <v>2079.63303993</v>
      </c>
      <c r="M19" s="379"/>
      <c r="N19" s="379"/>
      <c r="O19" s="379"/>
      <c r="P19" s="379"/>
      <c r="Q19" s="379"/>
      <c r="R19" s="379"/>
      <c r="S19" s="379"/>
    </row>
    <row r="20" spans="1:19" ht="12.75">
      <c r="A20" s="415" t="s">
        <v>279</v>
      </c>
      <c r="B20" s="299">
        <f>Monthly!C896</f>
        <v>463</v>
      </c>
      <c r="C20" s="299">
        <f t="shared" si="12"/>
        <v>625.05000000000007</v>
      </c>
      <c r="D20" s="299">
        <f t="shared" ref="D20:L20" si="15">C20*(1+$B$39)</f>
        <v>656.30250000000012</v>
      </c>
      <c r="E20" s="299">
        <f t="shared" si="15"/>
        <v>689.1176250000002</v>
      </c>
      <c r="F20" s="299">
        <f t="shared" si="15"/>
        <v>723.57350625000026</v>
      </c>
      <c r="G20" s="299">
        <f t="shared" si="15"/>
        <v>759.75218156250025</v>
      </c>
      <c r="H20" s="299">
        <f t="shared" si="15"/>
        <v>797.7397906406253</v>
      </c>
      <c r="I20" s="299">
        <f t="shared" si="15"/>
        <v>837.62678017265659</v>
      </c>
      <c r="J20" s="299">
        <f t="shared" si="15"/>
        <v>879.50811918128943</v>
      </c>
      <c r="K20" s="299">
        <f t="shared" si="15"/>
        <v>923.48352514035389</v>
      </c>
      <c r="L20" s="299">
        <f t="shared" si="15"/>
        <v>969.65770139737162</v>
      </c>
      <c r="M20" s="379"/>
      <c r="N20" s="379"/>
      <c r="O20" s="379"/>
      <c r="P20" s="379"/>
      <c r="Q20" s="379"/>
      <c r="R20" s="379"/>
      <c r="S20" s="379"/>
    </row>
    <row r="21" spans="1:19" ht="12.75">
      <c r="A21" s="415" t="s">
        <v>280</v>
      </c>
      <c r="B21" s="299">
        <f>Monthly!C906</f>
        <v>129</v>
      </c>
      <c r="C21" s="299">
        <f t="shared" si="12"/>
        <v>174.15</v>
      </c>
      <c r="D21" s="299">
        <f t="shared" ref="D21:L21" si="16">C21*(1+$B$39)</f>
        <v>182.85750000000002</v>
      </c>
      <c r="E21" s="299">
        <f t="shared" si="16"/>
        <v>192.00037500000002</v>
      </c>
      <c r="F21" s="299">
        <f t="shared" si="16"/>
        <v>201.60039375000002</v>
      </c>
      <c r="G21" s="299">
        <f t="shared" si="16"/>
        <v>211.68041343750002</v>
      </c>
      <c r="H21" s="299">
        <f t="shared" si="16"/>
        <v>222.26443410937503</v>
      </c>
      <c r="I21" s="299">
        <f t="shared" si="16"/>
        <v>233.37765581484379</v>
      </c>
      <c r="J21" s="299">
        <f t="shared" si="16"/>
        <v>245.04653860558599</v>
      </c>
      <c r="K21" s="299">
        <f t="shared" si="16"/>
        <v>257.29886553586533</v>
      </c>
      <c r="L21" s="299">
        <f t="shared" si="16"/>
        <v>270.1638088126586</v>
      </c>
      <c r="M21" s="379"/>
      <c r="N21" s="379"/>
      <c r="O21" s="379"/>
      <c r="P21" s="379"/>
      <c r="Q21" s="379"/>
      <c r="R21" s="379"/>
      <c r="S21" s="379"/>
    </row>
    <row r="22" spans="1:19" ht="12.75">
      <c r="A22" s="415" t="s">
        <v>281</v>
      </c>
      <c r="B22" s="299">
        <f>Monthly!C914</f>
        <v>0</v>
      </c>
      <c r="C22" s="299">
        <f t="shared" si="12"/>
        <v>0</v>
      </c>
      <c r="D22" s="299">
        <f t="shared" ref="D22:L22" si="17">C22*(1+$B$39)</f>
        <v>0</v>
      </c>
      <c r="E22" s="299">
        <f t="shared" si="17"/>
        <v>0</v>
      </c>
      <c r="F22" s="299">
        <f t="shared" si="17"/>
        <v>0</v>
      </c>
      <c r="G22" s="299">
        <f t="shared" si="17"/>
        <v>0</v>
      </c>
      <c r="H22" s="299">
        <f t="shared" si="17"/>
        <v>0</v>
      </c>
      <c r="I22" s="299">
        <f t="shared" si="17"/>
        <v>0</v>
      </c>
      <c r="J22" s="299">
        <f t="shared" si="17"/>
        <v>0</v>
      </c>
      <c r="K22" s="299">
        <f t="shared" si="17"/>
        <v>0</v>
      </c>
      <c r="L22" s="299">
        <f t="shared" si="17"/>
        <v>0</v>
      </c>
      <c r="M22" s="379"/>
      <c r="N22" s="379"/>
      <c r="O22" s="379"/>
      <c r="P22" s="379"/>
      <c r="Q22" s="379"/>
      <c r="R22" s="379"/>
      <c r="S22" s="379"/>
    </row>
    <row r="23" spans="1:19" ht="12.75">
      <c r="A23" s="415" t="s">
        <v>282</v>
      </c>
      <c r="B23" s="299">
        <f>Monthly!O917</f>
        <v>576.58333333333337</v>
      </c>
      <c r="C23" s="299">
        <f t="shared" si="12"/>
        <v>778.38750000000016</v>
      </c>
      <c r="D23" s="299">
        <f t="shared" ref="D23:L23" si="18">((C23)*(1+$B$39))</f>
        <v>817.30687500000022</v>
      </c>
      <c r="E23" s="299">
        <f t="shared" si="18"/>
        <v>858.1722187500003</v>
      </c>
      <c r="F23" s="299">
        <f t="shared" si="18"/>
        <v>901.08082968750034</v>
      </c>
      <c r="G23" s="299">
        <f t="shared" si="18"/>
        <v>946.13487117187537</v>
      </c>
      <c r="H23" s="299">
        <f t="shared" si="18"/>
        <v>993.44161473046915</v>
      </c>
      <c r="I23" s="299">
        <f t="shared" si="18"/>
        <v>1043.1136954669926</v>
      </c>
      <c r="J23" s="299">
        <f t="shared" si="18"/>
        <v>1095.2693802403423</v>
      </c>
      <c r="K23" s="299">
        <f t="shared" si="18"/>
        <v>1150.0328492523595</v>
      </c>
      <c r="L23" s="299">
        <f t="shared" si="18"/>
        <v>1207.5344917149775</v>
      </c>
      <c r="M23" s="379"/>
      <c r="N23" s="379"/>
      <c r="O23" s="379"/>
      <c r="P23" s="379"/>
      <c r="Q23" s="379"/>
      <c r="R23" s="379"/>
      <c r="S23" s="379"/>
    </row>
    <row r="24" spans="1:19" ht="12.75">
      <c r="A24" s="415" t="s">
        <v>283</v>
      </c>
      <c r="B24" s="299">
        <f>Monthly!O918</f>
        <v>1891.4166666666667</v>
      </c>
      <c r="C24" s="299">
        <f t="shared" si="12"/>
        <v>2553.4125000000004</v>
      </c>
      <c r="D24" s="299">
        <f t="shared" ref="D24:L24" si="19">(C24*(1+$B$39))</f>
        <v>2681.0831250000006</v>
      </c>
      <c r="E24" s="299">
        <f t="shared" si="19"/>
        <v>2815.1372812500008</v>
      </c>
      <c r="F24" s="299">
        <f t="shared" si="19"/>
        <v>2955.8941453125008</v>
      </c>
      <c r="G24" s="299">
        <f t="shared" si="19"/>
        <v>3103.688852578126</v>
      </c>
      <c r="H24" s="299">
        <f t="shared" si="19"/>
        <v>3258.8732952070322</v>
      </c>
      <c r="I24" s="299">
        <f t="shared" si="19"/>
        <v>3421.8169599673838</v>
      </c>
      <c r="J24" s="299">
        <f t="shared" si="19"/>
        <v>3592.9078079657534</v>
      </c>
      <c r="K24" s="299">
        <f t="shared" si="19"/>
        <v>3772.5531983640412</v>
      </c>
      <c r="L24" s="299">
        <f t="shared" si="19"/>
        <v>3961.1808582822437</v>
      </c>
      <c r="M24" s="379"/>
      <c r="N24" s="379"/>
      <c r="O24" s="379"/>
      <c r="P24" s="379"/>
      <c r="Q24" s="379"/>
      <c r="R24" s="379"/>
      <c r="S24" s="379"/>
    </row>
    <row r="25" spans="1:19" ht="12.75">
      <c r="A25" s="415" t="s">
        <v>284</v>
      </c>
      <c r="B25" s="299">
        <f>FinSnapshot!P102/B40</f>
        <v>3921</v>
      </c>
      <c r="C25" s="299">
        <f t="shared" si="12"/>
        <v>5293.35</v>
      </c>
      <c r="D25" s="299">
        <f t="shared" ref="D25:L25" si="20">(C25*(1+$B$39))</f>
        <v>5558.0175000000008</v>
      </c>
      <c r="E25" s="299">
        <f t="shared" si="20"/>
        <v>5835.9183750000011</v>
      </c>
      <c r="F25" s="299">
        <f t="shared" si="20"/>
        <v>6127.7142937500012</v>
      </c>
      <c r="G25" s="299">
        <f t="shared" si="20"/>
        <v>6434.1000084375019</v>
      </c>
      <c r="H25" s="299">
        <f t="shared" si="20"/>
        <v>6755.8050088593773</v>
      </c>
      <c r="I25" s="299">
        <f t="shared" si="20"/>
        <v>7093.5952593023467</v>
      </c>
      <c r="J25" s="299">
        <f t="shared" si="20"/>
        <v>7448.275022267464</v>
      </c>
      <c r="K25" s="299">
        <f t="shared" si="20"/>
        <v>7820.6887733808371</v>
      </c>
      <c r="L25" s="299">
        <f t="shared" si="20"/>
        <v>8211.7232120498793</v>
      </c>
      <c r="M25" s="379"/>
      <c r="N25" s="379"/>
      <c r="O25" s="379"/>
      <c r="P25" s="379"/>
      <c r="Q25" s="379"/>
      <c r="R25" s="379"/>
      <c r="S25" s="379"/>
    </row>
    <row r="26" spans="1:19" ht="12.75">
      <c r="A26" s="415" t="s">
        <v>130</v>
      </c>
      <c r="B26" s="299">
        <f>Monthly!O929</f>
        <v>53.166666666666664</v>
      </c>
      <c r="C26" s="299">
        <f t="shared" si="12"/>
        <v>71.775000000000006</v>
      </c>
      <c r="D26" s="299">
        <f t="shared" ref="D26:L26" si="21">(C26*(1+$B$39))</f>
        <v>75.36375000000001</v>
      </c>
      <c r="E26" s="299">
        <f t="shared" si="21"/>
        <v>79.131937500000021</v>
      </c>
      <c r="F26" s="299">
        <f t="shared" si="21"/>
        <v>83.088534375000023</v>
      </c>
      <c r="G26" s="299">
        <f t="shared" si="21"/>
        <v>87.242961093750026</v>
      </c>
      <c r="H26" s="299">
        <f t="shared" si="21"/>
        <v>91.605109148437535</v>
      </c>
      <c r="I26" s="299">
        <f t="shared" si="21"/>
        <v>96.185364605859419</v>
      </c>
      <c r="J26" s="299">
        <f t="shared" si="21"/>
        <v>100.99463283615239</v>
      </c>
      <c r="K26" s="299">
        <f t="shared" si="21"/>
        <v>106.04436447796002</v>
      </c>
      <c r="L26" s="299">
        <f t="shared" si="21"/>
        <v>111.34658270185803</v>
      </c>
      <c r="M26" s="379"/>
      <c r="N26" s="379"/>
      <c r="O26" s="379"/>
      <c r="P26" s="379"/>
      <c r="Q26" s="379"/>
      <c r="R26" s="379"/>
      <c r="S26" s="379"/>
    </row>
    <row r="27" spans="1:19" ht="12.75">
      <c r="A27" s="415" t="s">
        <v>285</v>
      </c>
      <c r="B27" s="299">
        <f>(FinSnapshot!P91 - B25)/B40</f>
        <v>2741</v>
      </c>
      <c r="C27" s="299">
        <f t="shared" si="12"/>
        <v>3700.3500000000004</v>
      </c>
      <c r="D27" s="299">
        <f t="shared" ref="D27:L27" si="22">(C27*(1+$B$39))</f>
        <v>3885.3675000000007</v>
      </c>
      <c r="E27" s="299">
        <f t="shared" si="22"/>
        <v>4079.6358750000009</v>
      </c>
      <c r="F27" s="299">
        <f t="shared" si="22"/>
        <v>4283.617668750001</v>
      </c>
      <c r="G27" s="299">
        <f t="shared" si="22"/>
        <v>4497.7985521875016</v>
      </c>
      <c r="H27" s="299">
        <f t="shared" si="22"/>
        <v>4722.6884797968769</v>
      </c>
      <c r="I27" s="299">
        <f t="shared" si="22"/>
        <v>4958.8229037867213</v>
      </c>
      <c r="J27" s="299">
        <f t="shared" si="22"/>
        <v>5206.7640489760579</v>
      </c>
      <c r="K27" s="299">
        <f t="shared" si="22"/>
        <v>5467.1022514248607</v>
      </c>
      <c r="L27" s="299">
        <f t="shared" si="22"/>
        <v>5740.4573639961036</v>
      </c>
      <c r="M27" s="379"/>
      <c r="N27" s="379"/>
      <c r="O27" s="379"/>
      <c r="P27" s="379"/>
      <c r="Q27" s="379"/>
      <c r="R27" s="379"/>
      <c r="S27" s="379"/>
    </row>
    <row r="28" spans="1:19" ht="12.75">
      <c r="A28" s="415" t="s">
        <v>286</v>
      </c>
      <c r="B28" s="299">
        <f>Monthly!O930</f>
        <v>750</v>
      </c>
      <c r="C28" s="299">
        <f t="shared" si="12"/>
        <v>1012.5000000000001</v>
      </c>
      <c r="D28" s="299">
        <f t="shared" ref="D28:L28" si="23">12000/$B$40</f>
        <v>12000</v>
      </c>
      <c r="E28" s="299">
        <f t="shared" si="23"/>
        <v>12000</v>
      </c>
      <c r="F28" s="299">
        <f t="shared" si="23"/>
        <v>12000</v>
      </c>
      <c r="G28" s="299">
        <f t="shared" si="23"/>
        <v>12000</v>
      </c>
      <c r="H28" s="299">
        <f t="shared" si="23"/>
        <v>12000</v>
      </c>
      <c r="I28" s="299">
        <f t="shared" si="23"/>
        <v>12000</v>
      </c>
      <c r="J28" s="299">
        <f t="shared" si="23"/>
        <v>12000</v>
      </c>
      <c r="K28" s="299">
        <f t="shared" si="23"/>
        <v>12000</v>
      </c>
      <c r="L28" s="299">
        <f t="shared" si="23"/>
        <v>12000</v>
      </c>
      <c r="M28" s="379"/>
      <c r="N28" s="379"/>
      <c r="O28" s="379"/>
      <c r="P28" s="379"/>
      <c r="Q28" s="379"/>
      <c r="R28" s="379"/>
      <c r="S28" s="379"/>
    </row>
    <row r="29" spans="1:19" ht="12.75">
      <c r="A29" s="415" t="s">
        <v>138</v>
      </c>
      <c r="B29" s="416">
        <f t="shared" ref="B29:L29" si="24">SUM(B16:B26)</f>
        <v>10419.166666666666</v>
      </c>
      <c r="C29" s="416">
        <f t="shared" si="24"/>
        <v>13569.375</v>
      </c>
      <c r="D29" s="416">
        <f t="shared" si="24"/>
        <v>76023.206250000017</v>
      </c>
      <c r="E29" s="416">
        <f t="shared" si="24"/>
        <v>79309.5669375</v>
      </c>
      <c r="F29" s="416">
        <f t="shared" si="24"/>
        <v>92360.24565937501</v>
      </c>
      <c r="G29" s="416">
        <f t="shared" si="24"/>
        <v>95983.458317343742</v>
      </c>
      <c r="H29" s="416">
        <f t="shared" si="24"/>
        <v>99787.831608210952</v>
      </c>
      <c r="I29" s="416">
        <f t="shared" si="24"/>
        <v>103782.4235636215</v>
      </c>
      <c r="J29" s="416">
        <f t="shared" si="24"/>
        <v>107976.74511680259</v>
      </c>
      <c r="K29" s="416">
        <f t="shared" si="24"/>
        <v>103079.06524764271</v>
      </c>
      <c r="L29" s="416">
        <f t="shared" si="24"/>
        <v>107703.30476002485</v>
      </c>
      <c r="M29" s="379"/>
      <c r="N29" s="379"/>
      <c r="O29" s="379"/>
      <c r="P29" s="379"/>
      <c r="Q29" s="379"/>
      <c r="R29" s="379"/>
      <c r="S29" s="379"/>
    </row>
    <row r="30" spans="1:19" ht="12.75">
      <c r="A30" s="415" t="s">
        <v>287</v>
      </c>
      <c r="B30" s="416">
        <f>FinSnapshot!O85/B40</f>
        <v>112773</v>
      </c>
      <c r="C30" s="416">
        <f t="shared" ref="C30:L30" si="25">C32*$B$38</f>
        <v>123508.02099999999</v>
      </c>
      <c r="D30" s="416">
        <f t="shared" si="25"/>
        <v>127213.26162999999</v>
      </c>
      <c r="E30" s="416">
        <f t="shared" si="25"/>
        <v>131029.65947889999</v>
      </c>
      <c r="F30" s="416">
        <f t="shared" si="25"/>
        <v>134960.54926326699</v>
      </c>
      <c r="G30" s="416">
        <f t="shared" si="25"/>
        <v>139009.36574116501</v>
      </c>
      <c r="H30" s="416">
        <f t="shared" si="25"/>
        <v>143179.64671339997</v>
      </c>
      <c r="I30" s="416">
        <f t="shared" si="25"/>
        <v>147475.03611480197</v>
      </c>
      <c r="J30" s="416">
        <f t="shared" si="25"/>
        <v>151899.28719824602</v>
      </c>
      <c r="K30" s="416">
        <f t="shared" si="25"/>
        <v>156456.26581419341</v>
      </c>
      <c r="L30" s="416">
        <f t="shared" si="25"/>
        <v>161149.95378861923</v>
      </c>
      <c r="M30" s="379"/>
      <c r="N30" s="379"/>
      <c r="O30" s="379"/>
      <c r="P30" s="379"/>
      <c r="Q30" s="379"/>
      <c r="R30" s="379"/>
      <c r="S30" s="379"/>
    </row>
    <row r="31" spans="1:19" ht="12.75">
      <c r="A31" s="415" t="s">
        <v>288</v>
      </c>
      <c r="B31" s="417">
        <f>Monthly!O934</f>
        <v>8969.2500000000018</v>
      </c>
      <c r="C31" s="417">
        <f>Monthly!O857</f>
        <v>9854.0833333333358</v>
      </c>
      <c r="D31" s="417">
        <f t="shared" ref="D31:L31" si="26">SUM(D16:D30)/1 - D29</f>
        <v>219121.83537999997</v>
      </c>
      <c r="E31" s="417">
        <f t="shared" si="26"/>
        <v>226418.8622914</v>
      </c>
      <c r="F31" s="417">
        <f t="shared" si="26"/>
        <v>243604.41259139203</v>
      </c>
      <c r="G31" s="417">
        <f t="shared" si="26"/>
        <v>251490.62261069624</v>
      </c>
      <c r="H31" s="417">
        <f t="shared" si="26"/>
        <v>259690.16680140779</v>
      </c>
      <c r="I31" s="417">
        <f t="shared" si="26"/>
        <v>268216.28258221026</v>
      </c>
      <c r="J31" s="417">
        <f t="shared" si="26"/>
        <v>277082.79636402469</v>
      </c>
      <c r="K31" s="417">
        <f t="shared" si="26"/>
        <v>277002.43331326102</v>
      </c>
      <c r="L31" s="417">
        <f t="shared" si="26"/>
        <v>286593.71591264021</v>
      </c>
      <c r="M31" s="379"/>
      <c r="N31" s="379"/>
      <c r="O31" s="379"/>
      <c r="P31" s="379"/>
      <c r="Q31" s="379"/>
      <c r="R31" s="379"/>
      <c r="S31" s="379"/>
    </row>
    <row r="32" spans="1:19" ht="12.75">
      <c r="A32" s="415" t="s">
        <v>289</v>
      </c>
      <c r="B32" s="418">
        <f>FinSnapshot!O60/$B$40</f>
        <v>342602</v>
      </c>
      <c r="C32" s="418">
        <f t="shared" ref="C32:L32" si="27">(B32*(1+$B$42))</f>
        <v>352880.06</v>
      </c>
      <c r="D32" s="418">
        <f t="shared" si="27"/>
        <v>363466.46179999999</v>
      </c>
      <c r="E32" s="418">
        <f t="shared" si="27"/>
        <v>374370.45565399999</v>
      </c>
      <c r="F32" s="418">
        <f t="shared" si="27"/>
        <v>385601.56932362</v>
      </c>
      <c r="G32" s="418">
        <f t="shared" si="27"/>
        <v>397169.6164033286</v>
      </c>
      <c r="H32" s="418">
        <f t="shared" si="27"/>
        <v>409084.7048954285</v>
      </c>
      <c r="I32" s="418">
        <f t="shared" si="27"/>
        <v>421357.24604229134</v>
      </c>
      <c r="J32" s="418">
        <f t="shared" si="27"/>
        <v>433997.96342356008</v>
      </c>
      <c r="K32" s="418">
        <f t="shared" si="27"/>
        <v>447017.90232626692</v>
      </c>
      <c r="L32" s="418">
        <f t="shared" si="27"/>
        <v>460428.43939605495</v>
      </c>
      <c r="M32" s="379"/>
      <c r="N32" s="379"/>
      <c r="O32" s="379"/>
      <c r="P32" s="379"/>
      <c r="Q32" s="379"/>
      <c r="R32" s="379"/>
      <c r="S32" s="379"/>
    </row>
    <row r="33" spans="1:19" ht="12.75">
      <c r="A33" s="415" t="s">
        <v>290</v>
      </c>
      <c r="B33" s="419">
        <f t="shared" ref="B33:L33" si="28">80000/$B$40</f>
        <v>80000</v>
      </c>
      <c r="C33" s="419">
        <f t="shared" si="28"/>
        <v>80000</v>
      </c>
      <c r="D33" s="419">
        <f t="shared" si="28"/>
        <v>80000</v>
      </c>
      <c r="E33" s="419">
        <f t="shared" si="28"/>
        <v>80000</v>
      </c>
      <c r="F33" s="419">
        <f t="shared" si="28"/>
        <v>80000</v>
      </c>
      <c r="G33" s="419">
        <f t="shared" si="28"/>
        <v>80000</v>
      </c>
      <c r="H33" s="419">
        <f t="shared" si="28"/>
        <v>80000</v>
      </c>
      <c r="I33" s="419">
        <f t="shared" si="28"/>
        <v>80000</v>
      </c>
      <c r="J33" s="419">
        <f t="shared" si="28"/>
        <v>80000</v>
      </c>
      <c r="K33" s="419">
        <f t="shared" si="28"/>
        <v>80000</v>
      </c>
      <c r="L33" s="419">
        <f t="shared" si="28"/>
        <v>80000</v>
      </c>
      <c r="M33" s="379"/>
      <c r="N33" s="379"/>
      <c r="O33" s="379"/>
      <c r="P33" s="379"/>
      <c r="Q33" s="379"/>
      <c r="R33" s="379"/>
      <c r="S33" s="379"/>
    </row>
    <row r="34" spans="1:19" ht="12.75">
      <c r="A34" s="415" t="s">
        <v>291</v>
      </c>
      <c r="B34" s="419">
        <f t="shared" ref="B34:L34" si="29">20000/$B$40</f>
        <v>20000</v>
      </c>
      <c r="C34" s="419">
        <f t="shared" si="29"/>
        <v>20000</v>
      </c>
      <c r="D34" s="419">
        <f t="shared" si="29"/>
        <v>20000</v>
      </c>
      <c r="E34" s="419">
        <f t="shared" si="29"/>
        <v>20000</v>
      </c>
      <c r="F34" s="419">
        <f t="shared" si="29"/>
        <v>20000</v>
      </c>
      <c r="G34" s="419">
        <f t="shared" si="29"/>
        <v>20000</v>
      </c>
      <c r="H34" s="419">
        <f t="shared" si="29"/>
        <v>20000</v>
      </c>
      <c r="I34" s="419">
        <f t="shared" si="29"/>
        <v>20000</v>
      </c>
      <c r="J34" s="419">
        <f t="shared" si="29"/>
        <v>20000</v>
      </c>
      <c r="K34" s="419">
        <f t="shared" si="29"/>
        <v>20000</v>
      </c>
      <c r="L34" s="419">
        <f t="shared" si="29"/>
        <v>20000</v>
      </c>
      <c r="M34" s="379"/>
      <c r="N34" s="379"/>
      <c r="O34" s="379"/>
      <c r="P34" s="379"/>
      <c r="Q34" s="379"/>
      <c r="R34" s="379"/>
      <c r="S34" s="379"/>
    </row>
    <row r="35" spans="1:19" ht="12.75">
      <c r="A35" s="415" t="s">
        <v>292</v>
      </c>
      <c r="B35" s="418">
        <f t="shared" ref="B35:L35" si="30">(B32-B33-B34-B31)/$B$40</f>
        <v>233632.75</v>
      </c>
      <c r="C35" s="418">
        <f t="shared" si="30"/>
        <v>243025.97666666665</v>
      </c>
      <c r="D35" s="418">
        <f t="shared" si="30"/>
        <v>44344.626420000015</v>
      </c>
      <c r="E35" s="418">
        <f t="shared" si="30"/>
        <v>47951.59336259999</v>
      </c>
      <c r="F35" s="418">
        <f t="shared" si="30"/>
        <v>41997.156732227973</v>
      </c>
      <c r="G35" s="418">
        <f t="shared" si="30"/>
        <v>45678.993792632362</v>
      </c>
      <c r="H35" s="418">
        <f t="shared" si="30"/>
        <v>49394.538094020711</v>
      </c>
      <c r="I35" s="418">
        <f t="shared" si="30"/>
        <v>53140.963460081082</v>
      </c>
      <c r="J35" s="418">
        <f t="shared" si="30"/>
        <v>56915.167059535393</v>
      </c>
      <c r="K35" s="418">
        <f t="shared" si="30"/>
        <v>70015.469013005903</v>
      </c>
      <c r="L35" s="418">
        <f t="shared" si="30"/>
        <v>73834.723483414738</v>
      </c>
      <c r="M35" s="379"/>
      <c r="N35" s="379"/>
      <c r="O35" s="379"/>
      <c r="P35" s="379"/>
      <c r="Q35" s="379"/>
      <c r="R35" s="379"/>
      <c r="S35" s="379"/>
    </row>
    <row r="37" spans="1:19">
      <c r="A37" s="239" t="s">
        <v>293</v>
      </c>
      <c r="B37" s="241">
        <v>0.5</v>
      </c>
    </row>
    <row r="38" spans="1:19">
      <c r="A38" s="239" t="s">
        <v>294</v>
      </c>
      <c r="B38" s="241">
        <v>0.35</v>
      </c>
    </row>
    <row r="39" spans="1:19">
      <c r="A39" s="239" t="s">
        <v>295</v>
      </c>
      <c r="B39" s="241">
        <v>0.05</v>
      </c>
    </row>
    <row r="40" spans="1:19">
      <c r="A40" s="239" t="s">
        <v>296</v>
      </c>
      <c r="B40" s="240">
        <v>1</v>
      </c>
    </row>
    <row r="41" spans="1:19">
      <c r="A41" s="239" t="s">
        <v>297</v>
      </c>
      <c r="B41" s="241">
        <v>0</v>
      </c>
    </row>
    <row r="42" spans="1:19">
      <c r="A42" s="239" t="s">
        <v>298</v>
      </c>
      <c r="B42" s="242">
        <v>0.03</v>
      </c>
    </row>
    <row r="44" spans="1:19">
      <c r="A44" s="239" t="s">
        <v>299</v>
      </c>
      <c r="B44" s="240">
        <v>60000</v>
      </c>
      <c r="C44" s="240" t="s">
        <v>300</v>
      </c>
    </row>
    <row r="45" spans="1:19">
      <c r="A45" s="239" t="s">
        <v>301</v>
      </c>
      <c r="B45" s="240">
        <v>50000</v>
      </c>
      <c r="C45" s="240" t="s">
        <v>302</v>
      </c>
    </row>
    <row r="47" spans="1:19">
      <c r="A47" s="239" t="s">
        <v>282</v>
      </c>
      <c r="B47" s="240" t="s">
        <v>303</v>
      </c>
      <c r="C47" s="240">
        <v>2021</v>
      </c>
    </row>
  </sheetData>
  <conditionalFormatting sqref="B35:L35">
    <cfRule type="cellIs" dxfId="1387" priority="6" operator="lessThan">
      <formula>0</formula>
    </cfRule>
  </conditionalFormatting>
  <hyperlinks>
    <hyperlink ref="A3" location="Snapshot!B63" display="     Earnings" xr:uid="{00000000-0004-0000-0100-000000000000}"/>
    <hyperlink ref="A4" location="Snapshot!B112" display="     Expenses" xr:uid="{00000000-0004-0000-0100-000001000000}"/>
    <hyperlink ref="A8" location="Snapshot!C92" display="    Non-Operating Expenses" xr:uid="{00000000-0004-0000-0100-000002000000}"/>
  </hyperlinks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51"/>
  </sheetPr>
  <dimension ref="A1:AB34"/>
  <sheetViews>
    <sheetView zoomScale="159" zoomScaleNormal="159" zoomScalePageLayoutView="121" workbookViewId="0">
      <selection activeCell="P17" sqref="P17"/>
    </sheetView>
  </sheetViews>
  <sheetFormatPr defaultColWidth="8.85546875" defaultRowHeight="12.75" customHeight="1"/>
  <cols>
    <col min="1" max="1" width="16.140625" style="838" customWidth="1"/>
    <col min="2" max="2" width="13" style="838" customWidth="1"/>
    <col min="3" max="3" width="12.85546875" style="838" customWidth="1"/>
    <col min="4" max="4" width="11.28515625" style="838" customWidth="1"/>
    <col min="5" max="5" width="12.85546875" style="838" hidden="1" customWidth="1"/>
    <col min="6" max="6" width="11.7109375" style="838" hidden="1" customWidth="1"/>
    <col min="7" max="7" width="12.7109375" style="838" hidden="1" customWidth="1"/>
    <col min="8" max="8" width="13.85546875" style="837" hidden="1" customWidth="1"/>
    <col min="9" max="10" width="11.7109375" style="837" hidden="1" customWidth="1"/>
    <col min="11" max="11" width="13" style="837" hidden="1" customWidth="1"/>
    <col min="12" max="12" width="12.140625" style="837" hidden="1" customWidth="1"/>
    <col min="13" max="13" width="11.7109375" style="837" hidden="1" customWidth="1"/>
    <col min="14" max="14" width="12.28515625" style="837" hidden="1" customWidth="1"/>
    <col min="15" max="15" width="13.42578125" style="837" customWidth="1"/>
    <col min="16" max="16" width="13.7109375" style="837" customWidth="1"/>
    <col min="17" max="20" width="13.28515625" style="837" customWidth="1"/>
    <col min="21" max="21" width="15.28515625" style="697" customWidth="1"/>
    <col min="22" max="23" width="12.85546875" style="697" customWidth="1"/>
    <col min="24" max="24" width="15.5703125" style="838" customWidth="1"/>
    <col min="25" max="25" width="16" style="838" customWidth="1"/>
    <col min="26" max="26" width="13.42578125" style="838" customWidth="1"/>
    <col min="27" max="27" width="14.140625" style="838" customWidth="1"/>
    <col min="28" max="28" width="12.140625" style="838" customWidth="1"/>
    <col min="29" max="29" width="18" style="837" bestFit="1" customWidth="1"/>
    <col min="30" max="16384" width="8.85546875" style="837"/>
  </cols>
  <sheetData>
    <row r="1" spans="1:28">
      <c r="A1" s="1344"/>
      <c r="B1" s="1345">
        <v>2002</v>
      </c>
      <c r="C1" s="1345">
        <v>2003</v>
      </c>
      <c r="D1" s="1345">
        <v>2004</v>
      </c>
      <c r="E1" s="1345">
        <v>2005</v>
      </c>
      <c r="F1" s="1345">
        <v>2006</v>
      </c>
      <c r="G1" s="1345">
        <v>2007</v>
      </c>
      <c r="H1" s="1344">
        <v>2008</v>
      </c>
      <c r="I1" s="1344">
        <v>2009</v>
      </c>
      <c r="J1" s="1344">
        <v>2010</v>
      </c>
      <c r="K1" s="1344">
        <v>2011</v>
      </c>
      <c r="L1" s="1344">
        <v>2012</v>
      </c>
      <c r="M1" s="1344">
        <v>2013</v>
      </c>
      <c r="N1" s="1344">
        <v>2014</v>
      </c>
      <c r="O1" s="1344">
        <v>2015</v>
      </c>
      <c r="P1" s="1344">
        <v>2016</v>
      </c>
      <c r="Q1" s="1344">
        <v>2017</v>
      </c>
      <c r="R1" s="1344">
        <v>2018</v>
      </c>
      <c r="S1" s="1344">
        <v>2019</v>
      </c>
      <c r="T1" s="1344">
        <v>2020</v>
      </c>
      <c r="U1" s="1344">
        <v>2021</v>
      </c>
      <c r="V1" s="1344">
        <v>2022</v>
      </c>
      <c r="W1" s="1344">
        <v>2023</v>
      </c>
      <c r="X1" s="1344" t="s">
        <v>304</v>
      </c>
      <c r="Y1" s="1344" t="s">
        <v>305</v>
      </c>
      <c r="Z1" s="1344" t="s">
        <v>306</v>
      </c>
      <c r="AA1" s="1344" t="s">
        <v>307</v>
      </c>
      <c r="AB1" s="1344" t="s">
        <v>308</v>
      </c>
    </row>
    <row r="2" spans="1:28" ht="21" customHeight="1">
      <c r="A2" s="1346" t="s">
        <v>309</v>
      </c>
      <c r="B2" s="1308" t="s">
        <v>310</v>
      </c>
      <c r="C2" s="1308">
        <v>4791</v>
      </c>
      <c r="D2" s="1308">
        <f>Monthly!C$1784</f>
        <v>5167.166666666667</v>
      </c>
      <c r="E2" s="1308">
        <f>Monthly!$C$1706</f>
        <v>6372.083333333333</v>
      </c>
      <c r="F2" s="1308">
        <f>Monthly!C$1628</f>
        <v>5839.583333333333</v>
      </c>
      <c r="G2" s="1308">
        <f>Monthly!C$1550</f>
        <v>9598.6666666666679</v>
      </c>
      <c r="H2" s="1308">
        <f>Monthly!C$1473</f>
        <v>10828.249496237691</v>
      </c>
      <c r="I2" s="1308">
        <f>Monthly!C$1396</f>
        <v>4603.8229814143733</v>
      </c>
      <c r="J2" s="1308">
        <f>Monthly!C$1319</f>
        <v>11670.033233125811</v>
      </c>
      <c r="K2" s="1308">
        <f>Monthly!C$1241</f>
        <v>9174.6165664591426</v>
      </c>
      <c r="L2" s="1308">
        <f>Monthly!C$1164</f>
        <v>9285.5332331258105</v>
      </c>
      <c r="M2" s="1308">
        <f>Monthly!C$1087</f>
        <v>9994.6998997924766</v>
      </c>
      <c r="N2" s="1308">
        <f>Monthly!C$1010</f>
        <v>9449.1666666666661</v>
      </c>
      <c r="O2" s="1308">
        <f>Monthly!C$934</f>
        <v>7233.416666666667</v>
      </c>
      <c r="P2" s="1308">
        <f>Monthly!C$857</f>
        <v>10627.916666666666</v>
      </c>
      <c r="Q2" s="1308">
        <f>Monthly!C$780</f>
        <v>12832.9</v>
      </c>
      <c r="R2" s="1308">
        <f>Monthly!C703</f>
        <v>11992.5</v>
      </c>
      <c r="S2" s="1308">
        <f>Monthly!C$626</f>
        <v>11212.5</v>
      </c>
      <c r="T2" s="1308">
        <f>Monthly!C550</f>
        <v>16403.5</v>
      </c>
      <c r="U2" s="1308">
        <f ca="1">Monthly!C473</f>
        <v>19249.966770136241</v>
      </c>
      <c r="V2" s="1309">
        <f ca="1">Monthly!C396</f>
        <v>37226.800103469577</v>
      </c>
      <c r="W2" s="1309">
        <f ca="1">Monthly!C312</f>
        <v>21040.633436802909</v>
      </c>
      <c r="X2" s="1347">
        <f t="shared" ref="X2:X7" ca="1" si="0">(SUM(C2:T2))/($B$34-1)</f>
        <v>6961.5564754231382</v>
      </c>
      <c r="Y2" s="1348"/>
      <c r="Z2" s="1349">
        <f t="shared" ref="Z2:Z28" si="1">MEDIAN(B2:T2)</f>
        <v>9523.9166666666679</v>
      </c>
      <c r="AA2" s="1349">
        <f t="shared" ref="AA2:AA28" si="2">MAX(B2:T2)</f>
        <v>16403.5</v>
      </c>
      <c r="AB2" s="1349">
        <f t="shared" ref="AB2:AB28" si="3">MIN(B2:T2)</f>
        <v>4603.8229814143733</v>
      </c>
    </row>
    <row r="3" spans="1:28" ht="17.25" customHeight="1">
      <c r="A3" s="1346" t="s">
        <v>311</v>
      </c>
      <c r="B3" s="1310" t="s">
        <v>310</v>
      </c>
      <c r="C3" s="1310">
        <v>4789</v>
      </c>
      <c r="D3" s="1308">
        <f>Monthly!D$1784</f>
        <v>5284.166666666667</v>
      </c>
      <c r="E3" s="1308">
        <f>Monthly!D$1706</f>
        <v>4553.0833333333339</v>
      </c>
      <c r="F3" s="1308">
        <f>Monthly!D$1628</f>
        <v>5277.583333333333</v>
      </c>
      <c r="G3" s="1308">
        <f>Monthly!D$1550</f>
        <v>5674.666666666667</v>
      </c>
      <c r="H3" s="1308">
        <f>Monthly!D$1473</f>
        <v>6757.2494962376923</v>
      </c>
      <c r="I3" s="1308">
        <f>Monthly!D$1396</f>
        <v>16616.490680155817</v>
      </c>
      <c r="J3" s="1308">
        <f>Monthly!D$1319</f>
        <v>7230.0332331258096</v>
      </c>
      <c r="K3" s="1308">
        <f>Monthly!D$1241</f>
        <v>9024.6998997924766</v>
      </c>
      <c r="L3" s="1308">
        <f>Monthly!D1164</f>
        <v>8761.5332331258105</v>
      </c>
      <c r="M3" s="1308">
        <f>Monthly!D$1087</f>
        <v>10482.699899792477</v>
      </c>
      <c r="N3" s="1308">
        <f>Monthly!D$1010</f>
        <v>6971.166666666667</v>
      </c>
      <c r="O3" s="1308">
        <f>Monthly!D$934</f>
        <v>11151.416666666666</v>
      </c>
      <c r="P3" s="1308">
        <f>Monthly!D$857</f>
        <v>8998.9166666666661</v>
      </c>
      <c r="Q3" s="1308">
        <f>Monthly!D$780</f>
        <v>8990.9</v>
      </c>
      <c r="R3" s="1308">
        <f>Monthly!D$703</f>
        <v>11070.499999999998</v>
      </c>
      <c r="S3" s="1308">
        <f>Monthly!D$626</f>
        <v>11427.5</v>
      </c>
      <c r="T3" s="1308">
        <f>Monthly!D$550</f>
        <v>12072.5</v>
      </c>
      <c r="U3" s="1308">
        <f ca="1">Monthly!D473</f>
        <v>17398.966770136245</v>
      </c>
      <c r="V3" s="1309">
        <f ca="1">Monthly!D396</f>
        <v>22335.124637546709</v>
      </c>
      <c r="W3" s="1309">
        <f ca="1">Monthly!D312</f>
        <v>16593.633436802909</v>
      </c>
      <c r="X3" s="1347">
        <f t="shared" ca="1" si="0"/>
        <v>6463.9211017595871</v>
      </c>
      <c r="Y3" s="1348"/>
      <c r="Z3" s="1349">
        <f t="shared" si="1"/>
        <v>8876.216616562906</v>
      </c>
      <c r="AA3" s="1349">
        <f t="shared" si="2"/>
        <v>16616.490680155817</v>
      </c>
      <c r="AB3" s="1349">
        <f t="shared" si="3"/>
        <v>4553.0833333333339</v>
      </c>
    </row>
    <row r="4" spans="1:28" ht="15.75" customHeight="1">
      <c r="A4" s="1346" t="s">
        <v>312</v>
      </c>
      <c r="B4" s="1310" t="s">
        <v>310</v>
      </c>
      <c r="C4" s="1310">
        <v>5967</v>
      </c>
      <c r="D4" s="1308">
        <f>Monthly!E$1784</f>
        <v>21805.166666666668</v>
      </c>
      <c r="E4" s="1308">
        <f>Monthly!E$1706</f>
        <v>7299.083333333333</v>
      </c>
      <c r="F4" s="1308">
        <f>Monthly!E$1628</f>
        <v>5674.583333333333</v>
      </c>
      <c r="G4" s="1308">
        <f>Monthly!E$1550</f>
        <v>8183.666666666667</v>
      </c>
      <c r="H4" s="1308">
        <f>Monthly!E$1473</f>
        <v>7029.2494962376923</v>
      </c>
      <c r="I4" s="1308">
        <f>Monthly!E$1396</f>
        <v>7078.1617173909663</v>
      </c>
      <c r="J4" s="1308">
        <f>Monthly!E1319</f>
        <v>7665.0332331258096</v>
      </c>
      <c r="K4" s="1308">
        <f>Monthly!E$1241</f>
        <v>6130.6998997924766</v>
      </c>
      <c r="L4" s="1308">
        <f>Monthly!E$1164</f>
        <v>9062.5332331258105</v>
      </c>
      <c r="M4" s="1308">
        <f>Monthly!E$1087</f>
        <v>7952.6998997924766</v>
      </c>
      <c r="N4" s="1308">
        <f>Monthly!E$1010</f>
        <v>8020.166666666667</v>
      </c>
      <c r="O4" s="1308">
        <f>Monthly!E$934</f>
        <v>8972.4166666666661</v>
      </c>
      <c r="P4" s="1308">
        <f>Monthly!E$857</f>
        <v>7265.916666666667</v>
      </c>
      <c r="Q4" s="1308">
        <f>Monthly!E$780</f>
        <v>8806.9</v>
      </c>
      <c r="R4" s="1308">
        <f>Monthly!E703</f>
        <v>11857.5</v>
      </c>
      <c r="S4" s="1308">
        <f>Monthly!E$626</f>
        <v>9677.5</v>
      </c>
      <c r="T4" s="1308">
        <f>Monthly!E$550</f>
        <v>10550.5</v>
      </c>
      <c r="U4" s="1308">
        <f ca="1">Monthly!E473</f>
        <v>20023.966770136241</v>
      </c>
      <c r="V4" s="1309">
        <f ca="1">Monthly!E396</f>
        <v>27187.800103469577</v>
      </c>
      <c r="W4" s="1309">
        <f ca="1">Monthly!E312</f>
        <v>16992.633436802909</v>
      </c>
      <c r="X4" s="1347">
        <f t="shared" ca="1" si="0"/>
        <v>6624.9490616443845</v>
      </c>
      <c r="Y4" s="1348"/>
      <c r="Z4" s="1349">
        <f t="shared" si="1"/>
        <v>7986.4332832295713</v>
      </c>
      <c r="AA4" s="1349">
        <f t="shared" si="2"/>
        <v>21805.166666666668</v>
      </c>
      <c r="AB4" s="1349">
        <f t="shared" si="3"/>
        <v>5674.583333333333</v>
      </c>
    </row>
    <row r="5" spans="1:28" ht="15.75" customHeight="1">
      <c r="A5" s="1346" t="s">
        <v>313</v>
      </c>
      <c r="B5" s="1310" t="s">
        <v>310</v>
      </c>
      <c r="C5" s="1310">
        <v>6991</v>
      </c>
      <c r="D5" s="1308">
        <f>Monthly!F$1784</f>
        <v>4288.1666666666661</v>
      </c>
      <c r="E5" s="1308">
        <f>Monthly!F$1706</f>
        <v>4978.083333333333</v>
      </c>
      <c r="F5" s="1308">
        <f>Monthly!F$1628</f>
        <v>12725.583333333332</v>
      </c>
      <c r="G5" s="1308">
        <f>Monthly!F$1550</f>
        <v>5737.6666666666661</v>
      </c>
      <c r="H5" s="1308">
        <f>Monthly!F$1473</f>
        <v>8759.2494962376913</v>
      </c>
      <c r="I5" s="1308">
        <f>Monthly!F$1396</f>
        <v>5574.8361098122923</v>
      </c>
      <c r="J5" s="1308">
        <f>Monthly!F$1319</f>
        <v>9896.0332331258105</v>
      </c>
      <c r="K5" s="1308">
        <f>Monthly!F$1241</f>
        <v>8064.6998997924766</v>
      </c>
      <c r="L5" s="1308">
        <f>Monthly!F$1164</f>
        <v>9753.5332331258105</v>
      </c>
      <c r="M5" s="1308">
        <f>Monthly!F$1087</f>
        <v>9141.6998997924766</v>
      </c>
      <c r="N5" s="1308">
        <f>Monthly!F$1010</f>
        <v>19469.166666666664</v>
      </c>
      <c r="O5" s="1308">
        <f>Monthly!F$934</f>
        <v>11032.416666666668</v>
      </c>
      <c r="P5" s="1308">
        <f>Monthly!F$857</f>
        <v>12264.916666666666</v>
      </c>
      <c r="Q5" s="1308">
        <f>Monthly!F$780</f>
        <v>11078.9</v>
      </c>
      <c r="R5" s="1308">
        <f>Monthly!F703</f>
        <v>14610.499999999998</v>
      </c>
      <c r="S5" s="1308">
        <f>Monthly!F$626</f>
        <v>19728.500000000004</v>
      </c>
      <c r="T5" s="1308">
        <f>Monthly!F$550</f>
        <v>10159.5</v>
      </c>
      <c r="U5" s="1308">
        <f ca="1">Monthly!F473</f>
        <v>18280.966770136245</v>
      </c>
      <c r="V5" s="1309">
        <f ca="1">Monthly!F396</f>
        <v>21155.800103469577</v>
      </c>
      <c r="W5" s="1309">
        <f ca="1">Monthly!F312</f>
        <v>24239.633436802909</v>
      </c>
      <c r="X5" s="1347">
        <f t="shared" ca="1" si="0"/>
        <v>7677.2688279952736</v>
      </c>
      <c r="Y5" s="1348"/>
      <c r="Z5" s="1349">
        <f t="shared" si="1"/>
        <v>9824.7832331258105</v>
      </c>
      <c r="AA5" s="1349">
        <f t="shared" si="2"/>
        <v>19728.500000000004</v>
      </c>
      <c r="AB5" s="1349">
        <f t="shared" si="3"/>
        <v>4288.1666666666661</v>
      </c>
    </row>
    <row r="6" spans="1:28" ht="18" customHeight="1">
      <c r="A6" s="1346" t="s">
        <v>314</v>
      </c>
      <c r="B6" s="1310" t="s">
        <v>310</v>
      </c>
      <c r="C6" s="1310">
        <v>5585</v>
      </c>
      <c r="D6" s="1308">
        <f>Monthly!G$1784</f>
        <v>4218.1666666666661</v>
      </c>
      <c r="E6" s="1308">
        <f>Monthly!G$1706</f>
        <v>4643.0833333333339</v>
      </c>
      <c r="F6" s="1308">
        <f>Monthly!G$1628</f>
        <v>8793.5833333333321</v>
      </c>
      <c r="G6" s="1308">
        <f>Monthly!G$1550</f>
        <v>9511.6666666666679</v>
      </c>
      <c r="H6" s="1308">
        <f>Monthly!G$1473</f>
        <v>6834.2494962376923</v>
      </c>
      <c r="I6" s="1308">
        <f>Monthly!G$1396</f>
        <v>5204.5138741957244</v>
      </c>
      <c r="J6" s="1308">
        <f>Monthly!G$1319</f>
        <v>11692.033233125811</v>
      </c>
      <c r="K6" s="1308">
        <f>Monthly!G$1241</f>
        <v>9467.6998997924766</v>
      </c>
      <c r="L6" s="1308">
        <f>Monthly!G$1164</f>
        <v>10968.533233125811</v>
      </c>
      <c r="M6" s="1308">
        <f>Monthly!G$1087</f>
        <v>27395.25</v>
      </c>
      <c r="N6" s="1308">
        <f>Monthly!G$1010</f>
        <v>9000.1666666666661</v>
      </c>
      <c r="O6" s="1308">
        <f>Monthly!G$934</f>
        <v>7590.416666666667</v>
      </c>
      <c r="P6" s="1308">
        <f>Monthly!G$857</f>
        <v>6091.916666666667</v>
      </c>
      <c r="Q6" s="1308">
        <f>Monthly!G$780</f>
        <v>10325.9</v>
      </c>
      <c r="R6" s="1308">
        <f>Monthly!G703</f>
        <v>11106.5</v>
      </c>
      <c r="S6" s="1308">
        <f>Monthly!G$626</f>
        <v>11871.5</v>
      </c>
      <c r="T6" s="1308">
        <f>Monthly!G$550</f>
        <v>106767.33333333333</v>
      </c>
      <c r="U6" s="1308">
        <f ca="1">Monthly!G473</f>
        <v>18692.966770136245</v>
      </c>
      <c r="V6" s="1309">
        <f ca="1">Monthly!G396</f>
        <v>18135.800103469577</v>
      </c>
      <c r="W6" s="1309">
        <f ca="1">Monthly!G312</f>
        <v>19097.633436802909</v>
      </c>
      <c r="X6" s="1347">
        <f t="shared" ca="1" si="0"/>
        <v>11127.813044575452</v>
      </c>
      <c r="Y6" s="1348"/>
      <c r="Z6" s="1349">
        <f t="shared" si="1"/>
        <v>9233.9332832295713</v>
      </c>
      <c r="AA6" s="1349">
        <f t="shared" si="2"/>
        <v>106767.33333333333</v>
      </c>
      <c r="AB6" s="1349">
        <f t="shared" si="3"/>
        <v>4218.1666666666661</v>
      </c>
    </row>
    <row r="7" spans="1:28" ht="18.75" customHeight="1">
      <c r="A7" s="1346" t="s">
        <v>315</v>
      </c>
      <c r="B7" s="1310" t="s">
        <v>310</v>
      </c>
      <c r="C7" s="1310">
        <v>7709</v>
      </c>
      <c r="D7" s="1308">
        <f>Monthly!H$1784</f>
        <v>5993.166666666667</v>
      </c>
      <c r="E7" s="1308">
        <f>Monthly!H$1706</f>
        <v>5477.083333333333</v>
      </c>
      <c r="F7" s="1308">
        <f>Monthly!H$1628</f>
        <v>8650.5833333333321</v>
      </c>
      <c r="G7" s="1308">
        <f>Monthly!H$1550</f>
        <v>8655.6666666666679</v>
      </c>
      <c r="H7" s="1308">
        <f>Monthly!H$1473</f>
        <v>9419.2494962376913</v>
      </c>
      <c r="I7" s="1308">
        <f>Monthly!H$1396</f>
        <v>7862.1950274010751</v>
      </c>
      <c r="J7" s="1308">
        <f>Monthly!H$1319</f>
        <v>9412.0332331258105</v>
      </c>
      <c r="K7" s="1308">
        <f>Monthly!H$1241</f>
        <v>6516.6998997924766</v>
      </c>
      <c r="L7" s="1308">
        <f>Monthly!H$1164</f>
        <v>10179.533233125811</v>
      </c>
      <c r="M7" s="1308">
        <f>Monthly!H$1087</f>
        <v>10406.25</v>
      </c>
      <c r="N7" s="1308">
        <f>Monthly!H$1010</f>
        <v>7495.166666666667</v>
      </c>
      <c r="O7" s="1308">
        <f>Monthly!H$934</f>
        <v>8498.4166666666679</v>
      </c>
      <c r="P7" s="1308">
        <f>Monthly!H$857</f>
        <v>10510.916666666666</v>
      </c>
      <c r="Q7" s="1308">
        <f>Monthly!H$780</f>
        <v>12252.5</v>
      </c>
      <c r="R7" s="1308">
        <f>Monthly!H703</f>
        <v>12425.5</v>
      </c>
      <c r="S7" s="1308">
        <f>Monthly!H$626</f>
        <v>12699</v>
      </c>
      <c r="T7" s="1308">
        <f>Monthly!H$550</f>
        <v>14815.5</v>
      </c>
      <c r="U7" s="1308">
        <f ca="1">Monthly!H473</f>
        <v>20225.966770136245</v>
      </c>
      <c r="V7" s="1309">
        <f ca="1">Monthly!H396</f>
        <v>26746.800103469577</v>
      </c>
      <c r="W7" s="1309">
        <f ca="1">Monthly!H312</f>
        <v>22820.633436802909</v>
      </c>
      <c r="X7" s="1347">
        <f t="shared" ca="1" si="0"/>
        <v>7040.769203736786</v>
      </c>
      <c r="Y7" s="1348"/>
      <c r="Z7" s="1349">
        <f t="shared" si="1"/>
        <v>9033.8499498962392</v>
      </c>
      <c r="AA7" s="1349">
        <f t="shared" si="2"/>
        <v>14815.5</v>
      </c>
      <c r="AB7" s="1349">
        <f t="shared" si="3"/>
        <v>5477.083333333333</v>
      </c>
    </row>
    <row r="8" spans="1:28" ht="18.75" customHeight="1">
      <c r="A8" s="1346" t="s">
        <v>316</v>
      </c>
      <c r="B8" s="1310">
        <f>Monthly!I1938</f>
        <v>5456.833333333333</v>
      </c>
      <c r="C8" s="1310">
        <v>5900</v>
      </c>
      <c r="D8" s="1308">
        <f>Monthly!I$1784</f>
        <v>5600.166666666667</v>
      </c>
      <c r="E8" s="1308">
        <f>Monthly!I$1706</f>
        <v>5987.083333333333</v>
      </c>
      <c r="F8" s="1308">
        <f>Monthly!I$1628</f>
        <v>5499.583333333333</v>
      </c>
      <c r="G8" s="1308">
        <f>Monthly!I$1550</f>
        <v>7081.666666666667</v>
      </c>
      <c r="H8" s="1308">
        <f>Monthly!I$1473</f>
        <v>6543.4351572601454</v>
      </c>
      <c r="I8" s="1308">
        <f>Monthly!$I$1396</f>
        <v>4673.8795863724508</v>
      </c>
      <c r="J8" s="1308">
        <f>Monthly!I$1319</f>
        <v>7790.0332331258096</v>
      </c>
      <c r="K8" s="1308">
        <f>Monthly!I$1241</f>
        <v>7044.6998997924766</v>
      </c>
      <c r="L8" s="1308">
        <f>Monthly!I$1164</f>
        <v>8539.5332331258105</v>
      </c>
      <c r="M8" s="1308">
        <f>Monthly!I$1087</f>
        <v>9164.25</v>
      </c>
      <c r="N8" s="1308">
        <f>Monthly!I$1010</f>
        <v>12308.166666666666</v>
      </c>
      <c r="O8" s="1308">
        <f>Monthly!I$934</f>
        <v>8914.4166666666661</v>
      </c>
      <c r="P8" s="1308">
        <f>Monthly!I$857</f>
        <v>11037.25</v>
      </c>
      <c r="Q8" s="1308">
        <f>Monthly!I$780</f>
        <v>15014.5</v>
      </c>
      <c r="R8" s="1308">
        <f>Monthly!I703</f>
        <v>12768.5</v>
      </c>
      <c r="S8" s="1308">
        <f>Monthly!I$626</f>
        <v>13387</v>
      </c>
      <c r="T8" s="1308">
        <f>Monthly!I$550</f>
        <v>12328.5</v>
      </c>
      <c r="U8" s="1308">
        <f ca="1">Monthly!I473</f>
        <v>19035.966770136241</v>
      </c>
      <c r="V8" s="1309">
        <f ca="1">Monthly!I396</f>
        <v>20303.800103469577</v>
      </c>
      <c r="W8" s="1309">
        <f ca="1">Monthly!I312</f>
        <v>29160.633436802909</v>
      </c>
      <c r="X8" s="1347">
        <f t="shared" ref="X8:X28" ca="1" si="4">(SUM(B8:T8))/($B$34-1)</f>
        <v>6876.6457406809741</v>
      </c>
      <c r="Y8" s="1348"/>
      <c r="Z8" s="1349">
        <f t="shared" si="1"/>
        <v>7790.0332331258096</v>
      </c>
      <c r="AA8" s="1349">
        <f t="shared" si="2"/>
        <v>15014.5</v>
      </c>
      <c r="AB8" s="1349">
        <f t="shared" si="3"/>
        <v>4673.8795863724508</v>
      </c>
    </row>
    <row r="9" spans="1:28" ht="17.25" customHeight="1">
      <c r="A9" s="1346" t="s">
        <v>317</v>
      </c>
      <c r="B9" s="1310">
        <f>Monthly!J$1938</f>
        <v>5662.833333333333</v>
      </c>
      <c r="C9" s="1310">
        <v>5630</v>
      </c>
      <c r="D9" s="1308">
        <f>Monthly!J$1784</f>
        <v>3364.1666666666665</v>
      </c>
      <c r="E9" s="1308">
        <f>Monthly!J$1706</f>
        <v>5948.083333333333</v>
      </c>
      <c r="F9" s="1308">
        <f>Monthly!J$1628</f>
        <v>5795.583333333333</v>
      </c>
      <c r="G9" s="1308">
        <f>Monthly!J$1550</f>
        <v>6232.666666666667</v>
      </c>
      <c r="H9" s="1308">
        <f>Monthly!J$1473</f>
        <v>5047.4807634957378</v>
      </c>
      <c r="I9" s="1308">
        <f>Monthly!$J$1396</f>
        <v>4805.5675681386838</v>
      </c>
      <c r="J9" s="1308">
        <f>Monthly!J$1319</f>
        <v>14323.033233125811</v>
      </c>
      <c r="K9" s="1308">
        <f>Monthly!J$1241</f>
        <v>7836.6998997924766</v>
      </c>
      <c r="L9" s="1308">
        <f>Monthly!J$1164</f>
        <v>9616.5332331258105</v>
      </c>
      <c r="M9" s="1308">
        <f>Monthly!J$1087</f>
        <v>10647.25</v>
      </c>
      <c r="N9" s="1308">
        <f>Monthly!J$1010</f>
        <v>9470.1666666666679</v>
      </c>
      <c r="O9" s="1308">
        <f>Monthly!J$934</f>
        <v>7069.416666666667</v>
      </c>
      <c r="P9" s="1308">
        <f>Monthly!J$857</f>
        <v>7795.2500000000009</v>
      </c>
      <c r="Q9" s="1308">
        <f>Monthly!J$780</f>
        <v>10862</v>
      </c>
      <c r="R9" s="1308">
        <f>Monthly!J703</f>
        <v>10280.166666666666</v>
      </c>
      <c r="S9" s="1308">
        <f>Monthly!J$626</f>
        <v>11054</v>
      </c>
      <c r="T9" s="1308">
        <f>Monthly!J$550</f>
        <v>10952.499999999998</v>
      </c>
      <c r="U9" s="1308">
        <f ca="1">Monthly!J473</f>
        <v>18994.058130119625</v>
      </c>
      <c r="V9" s="1309">
        <f ca="1">Monthly!J396</f>
        <v>50314.800103469577</v>
      </c>
      <c r="W9" s="1309">
        <f ca="1">Monthly!J312</f>
        <v>24057.633436802909</v>
      </c>
      <c r="X9" s="1347">
        <f t="shared" ca="1" si="4"/>
        <v>6349.724917958828</v>
      </c>
      <c r="Y9" s="1348"/>
      <c r="Z9" s="1349">
        <f t="shared" si="1"/>
        <v>7795.2500000000009</v>
      </c>
      <c r="AA9" s="1349">
        <f t="shared" si="2"/>
        <v>14323.033233125811</v>
      </c>
      <c r="AB9" s="1349">
        <f t="shared" si="3"/>
        <v>3364.1666666666665</v>
      </c>
    </row>
    <row r="10" spans="1:28" ht="19.5" customHeight="1">
      <c r="A10" s="1346" t="s">
        <v>318</v>
      </c>
      <c r="B10" s="1310">
        <f>Monthly!K$1938</f>
        <v>7364.833333333333</v>
      </c>
      <c r="C10" s="1310">
        <v>6794</v>
      </c>
      <c r="D10" s="1308">
        <f>Monthly!K$1784</f>
        <v>3667.1666666666665</v>
      </c>
      <c r="E10" s="1308">
        <f>Monthly!K$1706</f>
        <v>8321.0833333333321</v>
      </c>
      <c r="F10" s="1308">
        <f>Monthly!K$1628</f>
        <v>6247.583333333333</v>
      </c>
      <c r="G10" s="1308">
        <f>Monthly!K$1550</f>
        <v>9424.6666666666679</v>
      </c>
      <c r="H10" s="1308">
        <f>Monthly!K$1473</f>
        <v>5837.050117878829</v>
      </c>
      <c r="I10" s="1308">
        <f>Monthly!K$1396</f>
        <v>5329.2589898137485</v>
      </c>
      <c r="J10" s="1308">
        <f>Monthly!K$1319</f>
        <v>12724.033233125811</v>
      </c>
      <c r="K10" s="1308">
        <f>Monthly!K$1241</f>
        <v>7861.6998997924766</v>
      </c>
      <c r="L10" s="1308">
        <f>Monthly!K$1164</f>
        <v>9328.5332331258105</v>
      </c>
      <c r="M10" s="1308">
        <f>Monthly!K$1087</f>
        <v>7533.25</v>
      </c>
      <c r="N10" s="1308">
        <f>Monthly!K$1010</f>
        <v>8408.1666666666661</v>
      </c>
      <c r="O10" s="1308">
        <f>Monthly!K$934</f>
        <v>8576.4166666666661</v>
      </c>
      <c r="P10" s="1308">
        <f>Monthly!K$857</f>
        <v>8664.25</v>
      </c>
      <c r="Q10" s="1308">
        <f>Monthly!K$780</f>
        <v>11410.5</v>
      </c>
      <c r="R10" s="1308">
        <f>Monthly!K703</f>
        <v>16317.166666666666</v>
      </c>
      <c r="S10" s="1308">
        <f>Monthly!K$626</f>
        <v>14983</v>
      </c>
      <c r="T10" s="1308">
        <f>Monthly!K$550</f>
        <v>69707.500000000015</v>
      </c>
      <c r="U10" s="1308">
        <f ca="1">Monthly!K473</f>
        <v>21111.871514897372</v>
      </c>
      <c r="V10" s="1309">
        <f ca="1">Monthly!K396</f>
        <v>19300.800103469577</v>
      </c>
      <c r="W10" s="1309">
        <f ca="1">Monthly!K312</f>
        <v>20546.633436802909</v>
      </c>
      <c r="X10" s="1347">
        <f t="shared" ca="1" si="4"/>
        <v>9520.8399502945849</v>
      </c>
      <c r="Y10" s="1348"/>
      <c r="Z10" s="1349">
        <f t="shared" si="1"/>
        <v>8408.1666666666661</v>
      </c>
      <c r="AA10" s="1349">
        <f t="shared" si="2"/>
        <v>69707.500000000015</v>
      </c>
      <c r="AB10" s="1349">
        <f t="shared" si="3"/>
        <v>3667.1666666666665</v>
      </c>
    </row>
    <row r="11" spans="1:28" ht="18" customHeight="1">
      <c r="A11" s="1346" t="s">
        <v>319</v>
      </c>
      <c r="B11" s="1310">
        <f>Monthly!L$1938</f>
        <v>5230.833333333333</v>
      </c>
      <c r="C11" s="1310">
        <v>7198</v>
      </c>
      <c r="D11" s="1308">
        <f>Monthly!L$1784</f>
        <v>10177.166666666666</v>
      </c>
      <c r="E11" s="1308">
        <f>Monthly!L$1706</f>
        <v>15253.083333333332</v>
      </c>
      <c r="F11" s="1308">
        <f>Monthly!L$1628</f>
        <v>4554.583333333333</v>
      </c>
      <c r="G11" s="1308">
        <f>Monthly!L$1550</f>
        <v>7160.666666666667</v>
      </c>
      <c r="H11" s="1308">
        <f>Monthly!L$1473</f>
        <v>4859.0422856359273</v>
      </c>
      <c r="I11" s="1308">
        <f>Monthly!L$1396</f>
        <v>5249.9538685971884</v>
      </c>
      <c r="J11" s="1308">
        <f>Monthly!L$1319</f>
        <v>6941.0332331258096</v>
      </c>
      <c r="K11" s="1308">
        <f>Monthly!L$1241</f>
        <v>7059.6998997924766</v>
      </c>
      <c r="L11" s="1308">
        <f>Monthly!L$1164</f>
        <v>9311.5332331258105</v>
      </c>
      <c r="M11" s="1308">
        <f>Monthly!L$1087</f>
        <v>10955.25</v>
      </c>
      <c r="N11" s="1308">
        <f>Monthly!L$1010</f>
        <v>7497.166666666667</v>
      </c>
      <c r="O11" s="1308">
        <f>Monthly!L$934</f>
        <v>9452.4166666666661</v>
      </c>
      <c r="P11" s="1308">
        <f>Monthly!L$857</f>
        <v>9897.25</v>
      </c>
      <c r="Q11" s="1308">
        <f>Monthly!L$780</f>
        <v>10009.5</v>
      </c>
      <c r="R11" s="1308">
        <f>Monthly!L703</f>
        <v>9973.1666666666661</v>
      </c>
      <c r="S11" s="1308">
        <f>Monthly!L$626</f>
        <v>10662</v>
      </c>
      <c r="T11" s="1308">
        <f>Monthly!L$550</f>
        <v>34119.166666666664</v>
      </c>
      <c r="U11" s="1308">
        <f ca="1">Monthly!L473</f>
        <v>23184.851524782287</v>
      </c>
      <c r="V11" s="1309">
        <f ca="1">Monthly!L396</f>
        <v>18289.800103469577</v>
      </c>
      <c r="W11" s="1309">
        <f ca="1">Monthly!L312</f>
        <v>22515.633436802909</v>
      </c>
      <c r="X11" s="1347">
        <f t="shared" ca="1" si="4"/>
        <v>7731.7296883448835</v>
      </c>
      <c r="Y11" s="1348"/>
      <c r="Z11" s="1349">
        <f t="shared" si="1"/>
        <v>9311.5332331258105</v>
      </c>
      <c r="AA11" s="1349">
        <f t="shared" si="2"/>
        <v>34119.166666666664</v>
      </c>
      <c r="AB11" s="1349">
        <f t="shared" si="3"/>
        <v>4554.583333333333</v>
      </c>
    </row>
    <row r="12" spans="1:28" ht="18" customHeight="1">
      <c r="A12" s="1346" t="s">
        <v>320</v>
      </c>
      <c r="B12" s="1310">
        <f>Monthly!M$1938</f>
        <v>6914.833333333333</v>
      </c>
      <c r="C12" s="1310">
        <v>5855</v>
      </c>
      <c r="D12" s="1308">
        <f>Monthly!M$1784</f>
        <v>4857.166666666667</v>
      </c>
      <c r="E12" s="1308">
        <f>Monthly!M$1706</f>
        <v>5164.083333333333</v>
      </c>
      <c r="F12" s="1308">
        <f>Monthly!M$1628</f>
        <v>6491.583333333333</v>
      </c>
      <c r="G12" s="1308">
        <f>Monthly!M$1550</f>
        <v>6183.666666666667</v>
      </c>
      <c r="H12" s="1308">
        <f>Monthly!M$1473</f>
        <v>5084.0344142318108</v>
      </c>
      <c r="I12" s="1308">
        <f>Monthly!M$1396</f>
        <v>8362.6522217745442</v>
      </c>
      <c r="J12" s="1308">
        <f>Monthly!M$1319</f>
        <v>7833.0332331258096</v>
      </c>
      <c r="K12" s="1308">
        <f>Monthly!M$1241</f>
        <v>10236.699899792477</v>
      </c>
      <c r="L12" s="1308">
        <f>Monthly!M$1164</f>
        <v>11229.533233125811</v>
      </c>
      <c r="M12" s="1308">
        <f>Monthly!M$1087</f>
        <v>10874.25</v>
      </c>
      <c r="N12" s="1308">
        <f>Monthly!M$1010</f>
        <v>11906.166666666666</v>
      </c>
      <c r="O12" s="1308">
        <f>Monthly!M$934</f>
        <v>9131.4166666666679</v>
      </c>
      <c r="P12" s="1308">
        <f>Monthly!M$857</f>
        <v>9158.25</v>
      </c>
      <c r="Q12" s="1308">
        <f>Monthly!M$780</f>
        <v>10471.5</v>
      </c>
      <c r="R12" s="1308">
        <f>Monthly!M703</f>
        <v>16661.166666666668</v>
      </c>
      <c r="S12" s="1308">
        <f>Monthly!M$626</f>
        <v>11502</v>
      </c>
      <c r="T12" s="1308">
        <f ca="1">Monthly!M$550</f>
        <v>20456.800103469577</v>
      </c>
      <c r="U12" s="1308">
        <f ca="1">Monthly!M473</f>
        <v>18051.831493021135</v>
      </c>
      <c r="V12" s="1309">
        <f ca="1">Monthly!M396</f>
        <v>18987.800103469577</v>
      </c>
      <c r="W12" s="1309">
        <f ca="1">Monthly!M312</f>
        <v>22076.633436802909</v>
      </c>
      <c r="X12" s="1347">
        <f t="shared" ca="1" si="4"/>
        <v>7432.2431849522245</v>
      </c>
      <c r="Y12" s="1348"/>
      <c r="Z12" s="1349">
        <f t="shared" ca="1" si="1"/>
        <v>9131.4166666666679</v>
      </c>
      <c r="AA12" s="1349">
        <f t="shared" ca="1" si="2"/>
        <v>20456.800103469577</v>
      </c>
      <c r="AB12" s="1349">
        <f t="shared" ca="1" si="3"/>
        <v>4857.166666666667</v>
      </c>
    </row>
    <row r="13" spans="1:28" ht="18" customHeight="1">
      <c r="A13" s="1346" t="s">
        <v>321</v>
      </c>
      <c r="B13" s="1310">
        <f>Monthly!N$1938</f>
        <v>8423.8333333333321</v>
      </c>
      <c r="C13" s="1310">
        <v>7015</v>
      </c>
      <c r="D13" s="1308">
        <f>Monthly!N$1784</f>
        <v>4748.1666666666661</v>
      </c>
      <c r="E13" s="1308">
        <f>Monthly!N$1706</f>
        <v>8177.083333333333</v>
      </c>
      <c r="F13" s="1308">
        <f>Monthly!N$1628</f>
        <v>5997.583333333333</v>
      </c>
      <c r="G13" s="1308">
        <f>Monthly!N$1550</f>
        <v>6525.666666666667</v>
      </c>
      <c r="H13" s="1308">
        <f>Monthly!N$1473</f>
        <v>5508.0265034706745</v>
      </c>
      <c r="I13" s="1308">
        <f>Monthly!N$1396</f>
        <v>7668.3540667177886</v>
      </c>
      <c r="J13" s="1308">
        <f>Monthly!N$1319</f>
        <v>11992.033233125811</v>
      </c>
      <c r="K13" s="1308">
        <f>Monthly!N$1241</f>
        <v>8336.6998997924766</v>
      </c>
      <c r="L13" s="1308">
        <f>Monthly!N$1164</f>
        <v>11827.533233125811</v>
      </c>
      <c r="M13" s="1308">
        <f>Monthly!N$1087</f>
        <v>8987.25</v>
      </c>
      <c r="N13" s="1308">
        <f>Monthly!N$1010</f>
        <v>7081.166666666667</v>
      </c>
      <c r="O13" s="1308">
        <f>Monthly!N$934</f>
        <v>10008.416666666668</v>
      </c>
      <c r="P13" s="1308">
        <f>Monthly!N$857</f>
        <v>15936.25</v>
      </c>
      <c r="Q13" s="1308">
        <f>Monthly!N$780</f>
        <v>11762.5</v>
      </c>
      <c r="R13" s="1308">
        <f>Monthly!N703</f>
        <v>11240.166666666666</v>
      </c>
      <c r="S13" s="1308">
        <f>Monthly!N$626</f>
        <v>11631</v>
      </c>
      <c r="T13" s="1308">
        <f ca="1">Monthly!N$550</f>
        <v>26284.217307519168</v>
      </c>
      <c r="U13" s="1308">
        <f ca="1">Monthly!N473</f>
        <v>21800.811419527141</v>
      </c>
      <c r="V13" s="1309">
        <f ca="1">Monthly!N396</f>
        <v>19823.800103469577</v>
      </c>
      <c r="W13" s="1309">
        <f ca="1">Monthly!N312</f>
        <v>18777.633436802909</v>
      </c>
      <c r="X13" s="1347">
        <f t="shared" ca="1" si="4"/>
        <v>7881.2894823785455</v>
      </c>
      <c r="Y13" s="1348"/>
      <c r="Z13" s="1349">
        <f t="shared" ca="1" si="1"/>
        <v>8423.8333333333321</v>
      </c>
      <c r="AA13" s="1349">
        <f t="shared" ca="1" si="2"/>
        <v>26284.217307519168</v>
      </c>
      <c r="AB13" s="1349">
        <f t="shared" ca="1" si="3"/>
        <v>4748.1666666666661</v>
      </c>
    </row>
    <row r="14" spans="1:28" ht="18" customHeight="1">
      <c r="A14" s="1350" t="s">
        <v>322</v>
      </c>
      <c r="B14" s="1351">
        <f>(SUM(B8:B13))/6</f>
        <v>6509</v>
      </c>
      <c r="C14" s="1351">
        <f>(SUM(C2:C13))/12</f>
        <v>6185.333333333333</v>
      </c>
      <c r="D14" s="1351">
        <f>SUM(D2:D13)/12</f>
        <v>6597.5</v>
      </c>
      <c r="E14" s="1351">
        <f>SUM(E2:E13)/12</f>
        <v>6847.7499999999991</v>
      </c>
      <c r="F14" s="1351">
        <f>SUM(F2:F13)/12</f>
        <v>6795.666666666667</v>
      </c>
      <c r="G14" s="1351">
        <f>SUM(G2:G10)/9</f>
        <v>7789.0000000000018</v>
      </c>
      <c r="H14" s="1351">
        <f t="shared" ref="H14:O14" si="5">SUM(H2:H13)/12</f>
        <v>6875.5471849499381</v>
      </c>
      <c r="I14" s="1351">
        <f t="shared" si="5"/>
        <v>6919.1405576487205</v>
      </c>
      <c r="J14" s="1351">
        <f t="shared" si="5"/>
        <v>9930.6998997924766</v>
      </c>
      <c r="K14" s="1351">
        <f t="shared" si="5"/>
        <v>8062.9429553480331</v>
      </c>
      <c r="L14" s="1351">
        <f t="shared" si="5"/>
        <v>9822.0332331258105</v>
      </c>
      <c r="M14" s="1351">
        <f t="shared" si="5"/>
        <v>11127.899966597492</v>
      </c>
      <c r="N14" s="1351">
        <f t="shared" si="5"/>
        <v>9756.3333333333339</v>
      </c>
      <c r="O14" s="1351">
        <f t="shared" si="5"/>
        <v>8969.2500000000018</v>
      </c>
      <c r="P14" s="1351">
        <f t="shared" ref="P14:T14" si="6">SUM(P2:P13)/12</f>
        <v>9854.0833333333339</v>
      </c>
      <c r="Q14" s="1351">
        <f t="shared" si="6"/>
        <v>11151.541666666666</v>
      </c>
      <c r="R14" s="1351">
        <f t="shared" si="6"/>
        <v>12525.277777777779</v>
      </c>
      <c r="S14" s="1351">
        <f t="shared" si="6"/>
        <v>12486.291666666666</v>
      </c>
      <c r="T14" s="1351">
        <f t="shared" ca="1" si="6"/>
        <v>28718.12645091573</v>
      </c>
      <c r="U14" s="1351">
        <f ca="1">SUM(U2:U13)/12</f>
        <v>19671.015956108437</v>
      </c>
      <c r="V14" s="1351">
        <f ca="1">SUM(V2:V13)/12</f>
        <v>24984.077147976004</v>
      </c>
      <c r="W14" s="1351">
        <f ca="1">SUM(W2:W13)/12</f>
        <v>21493.300103469581</v>
      </c>
      <c r="X14" s="1347">
        <f t="shared" ca="1" si="4"/>
        <v>7788.4757510898316</v>
      </c>
      <c r="Y14" s="1348"/>
      <c r="Z14" s="1349">
        <f t="shared" ca="1" si="1"/>
        <v>8969.2500000000018</v>
      </c>
      <c r="AA14" s="1349">
        <f t="shared" ca="1" si="2"/>
        <v>28718.12645091573</v>
      </c>
      <c r="AB14" s="1349">
        <f t="shared" ca="1" si="3"/>
        <v>6185.333333333333</v>
      </c>
    </row>
    <row r="15" spans="1:28" ht="18" customHeight="1">
      <c r="A15" s="1350" t="s">
        <v>323</v>
      </c>
      <c r="B15" s="1351">
        <f>SUM(B8:B13) + 5000*6</f>
        <v>69054</v>
      </c>
      <c r="C15" s="1351">
        <f t="shared" ref="C15:O15" si="7">SUM(C2:C13)</f>
        <v>74224</v>
      </c>
      <c r="D15" s="1351">
        <f t="shared" si="7"/>
        <v>79170</v>
      </c>
      <c r="E15" s="1351">
        <f t="shared" si="7"/>
        <v>82172.999999999985</v>
      </c>
      <c r="F15" s="1351">
        <f t="shared" si="7"/>
        <v>81548</v>
      </c>
      <c r="G15" s="1351">
        <f t="shared" si="7"/>
        <v>89971.000000000029</v>
      </c>
      <c r="H15" s="1351">
        <f t="shared" si="7"/>
        <v>82506.566219399261</v>
      </c>
      <c r="I15" s="1351">
        <f t="shared" si="7"/>
        <v>83029.686691784649</v>
      </c>
      <c r="J15" s="1351">
        <f t="shared" si="7"/>
        <v>119168.39879750973</v>
      </c>
      <c r="K15" s="1351">
        <f t="shared" si="7"/>
        <v>96755.315464176398</v>
      </c>
      <c r="L15" s="1351">
        <f t="shared" si="7"/>
        <v>117864.39879750973</v>
      </c>
      <c r="M15" s="1351">
        <f t="shared" si="7"/>
        <v>133534.7995991699</v>
      </c>
      <c r="N15" s="1351">
        <f t="shared" si="7"/>
        <v>117076.00000000001</v>
      </c>
      <c r="O15" s="1351">
        <f t="shared" si="7"/>
        <v>107631.00000000001</v>
      </c>
      <c r="P15" s="1351">
        <f t="shared" ref="P15:T15" si="8">SUM(P2:P13)</f>
        <v>118249</v>
      </c>
      <c r="Q15" s="1351">
        <f t="shared" si="8"/>
        <v>133818.5</v>
      </c>
      <c r="R15" s="1351">
        <f t="shared" si="8"/>
        <v>150303.33333333334</v>
      </c>
      <c r="S15" s="1351">
        <f t="shared" si="8"/>
        <v>149835.5</v>
      </c>
      <c r="T15" s="1351">
        <f t="shared" ca="1" si="8"/>
        <v>344617.51741098874</v>
      </c>
      <c r="U15" s="1351">
        <f ca="1">SUM(U2:U13)</f>
        <v>236052.19147330124</v>
      </c>
      <c r="V15" s="1351">
        <f ca="1">SUM(V2:V13)</f>
        <v>299808.92577571206</v>
      </c>
      <c r="W15" s="1351">
        <f ca="1">SUM(W2:W13)</f>
        <v>257919.60124163495</v>
      </c>
      <c r="X15" s="1347">
        <f t="shared" ca="1" si="4"/>
        <v>92938.750679744655</v>
      </c>
      <c r="Y15" s="1348"/>
      <c r="Z15" s="1349">
        <f t="shared" ca="1" si="1"/>
        <v>107631.00000000001</v>
      </c>
      <c r="AA15" s="1349">
        <f t="shared" ca="1" si="2"/>
        <v>344617.51741098874</v>
      </c>
      <c r="AB15" s="1349">
        <f t="shared" ca="1" si="3"/>
        <v>69054</v>
      </c>
    </row>
    <row r="16" spans="1:28" ht="18" customHeight="1">
      <c r="A16" s="1350" t="s">
        <v>285</v>
      </c>
      <c r="B16" s="1351">
        <f>FinSnapshot!B91</f>
        <v>1514</v>
      </c>
      <c r="C16" s="1351">
        <f>FinSnapshot!C91</f>
        <v>1814</v>
      </c>
      <c r="D16" s="1351">
        <f>FinSnapshot!D91</f>
        <v>956</v>
      </c>
      <c r="E16" s="1351">
        <f>FinSnapshot!E91</f>
        <v>1796</v>
      </c>
      <c r="F16" s="1351">
        <f>FinSnapshot!F91</f>
        <v>2018</v>
      </c>
      <c r="G16" s="1351">
        <f>FinSnapshot!G91</f>
        <v>2516</v>
      </c>
      <c r="H16" s="1351">
        <f>FinSnapshot!H91</f>
        <v>2478</v>
      </c>
      <c r="I16" s="1351">
        <f>FinSnapshot!I91</f>
        <v>3852</v>
      </c>
      <c r="J16" s="1351">
        <f>FinSnapshot!J91</f>
        <v>4996</v>
      </c>
      <c r="K16" s="1351">
        <f>FinSnapshot!K91</f>
        <v>4644</v>
      </c>
      <c r="L16" s="1351">
        <f>FinSnapshot!L91</f>
        <v>5654</v>
      </c>
      <c r="M16" s="1351">
        <f>FinSnapshot!M91</f>
        <v>6274</v>
      </c>
      <c r="N16" s="1351">
        <f>FinSnapshot!N91</f>
        <v>5732</v>
      </c>
      <c r="O16" s="1351">
        <f>FinSnapshot!O91</f>
        <v>5964</v>
      </c>
      <c r="P16" s="1351">
        <f>FinSnapshot!P91</f>
        <v>6662</v>
      </c>
      <c r="Q16" s="1351">
        <f>FinSnapshot!Q91</f>
        <v>2945</v>
      </c>
      <c r="R16" s="1351">
        <f>FinSnapshot!Q91</f>
        <v>2945</v>
      </c>
      <c r="S16" s="1351">
        <f>FinSnapshot!S91</f>
        <v>5732</v>
      </c>
      <c r="T16" s="1351">
        <f>FinSnapshot!T91</f>
        <v>5732</v>
      </c>
      <c r="U16" s="1351">
        <f>FinSnapshot!U91</f>
        <v>5732</v>
      </c>
      <c r="V16" s="1351">
        <f>FinSnapshot!V91</f>
        <v>5732</v>
      </c>
      <c r="W16" s="1351">
        <f>FinSnapshot!X91</f>
        <v>5732</v>
      </c>
      <c r="X16" s="1347">
        <f t="shared" ca="1" si="4"/>
        <v>3092.6666666666665</v>
      </c>
      <c r="Y16" s="1348"/>
      <c r="Z16" s="1349">
        <f t="shared" si="1"/>
        <v>3852</v>
      </c>
      <c r="AA16" s="1349">
        <f t="shared" si="2"/>
        <v>6662</v>
      </c>
      <c r="AB16" s="1349">
        <f t="shared" si="3"/>
        <v>956</v>
      </c>
    </row>
    <row r="17" spans="1:28" ht="18" customHeight="1">
      <c r="A17" s="1350" t="s">
        <v>288</v>
      </c>
      <c r="B17" s="1351">
        <f>B15+B16</f>
        <v>70568</v>
      </c>
      <c r="C17" s="1351">
        <f t="shared" ref="C17:M17" si="9">C15+C16</f>
        <v>76038</v>
      </c>
      <c r="D17" s="1351">
        <f t="shared" si="9"/>
        <v>80126</v>
      </c>
      <c r="E17" s="1351">
        <f t="shared" si="9"/>
        <v>83968.999999999985</v>
      </c>
      <c r="F17" s="1351">
        <f t="shared" si="9"/>
        <v>83566</v>
      </c>
      <c r="G17" s="1351">
        <f t="shared" si="9"/>
        <v>92487.000000000029</v>
      </c>
      <c r="H17" s="1351">
        <f t="shared" si="9"/>
        <v>84984.566219399261</v>
      </c>
      <c r="I17" s="1351">
        <f t="shared" si="9"/>
        <v>86881.686691784649</v>
      </c>
      <c r="J17" s="1351">
        <f t="shared" si="9"/>
        <v>124164.39879750973</v>
      </c>
      <c r="K17" s="1351">
        <f t="shared" si="9"/>
        <v>101399.3154641764</v>
      </c>
      <c r="L17" s="1351">
        <f t="shared" si="9"/>
        <v>123518.39879750973</v>
      </c>
      <c r="M17" s="1351">
        <f t="shared" si="9"/>
        <v>139808.7995991699</v>
      </c>
      <c r="N17" s="1351">
        <f t="shared" ref="N17:S17" si="10">N15+N16</f>
        <v>122808.00000000001</v>
      </c>
      <c r="O17" s="1351">
        <f t="shared" si="10"/>
        <v>113595.00000000001</v>
      </c>
      <c r="P17" s="1351">
        <f t="shared" si="10"/>
        <v>124911</v>
      </c>
      <c r="Q17" s="1351">
        <f t="shared" si="10"/>
        <v>136763.5</v>
      </c>
      <c r="R17" s="1351">
        <f t="shared" si="10"/>
        <v>153248.33333333334</v>
      </c>
      <c r="S17" s="1351">
        <f t="shared" si="10"/>
        <v>155567.5</v>
      </c>
      <c r="T17" s="1351">
        <f ca="1">T15+T16</f>
        <v>350349.51741098874</v>
      </c>
      <c r="U17" s="1351">
        <f ca="1">U15+U16</f>
        <v>241784.19147330124</v>
      </c>
      <c r="V17" s="1351">
        <f ca="1">V15+V16</f>
        <v>305540.92577571206</v>
      </c>
      <c r="W17" s="1351">
        <f ca="1">W15+W16</f>
        <v>263651.60124163493</v>
      </c>
      <c r="X17" s="1347">
        <f t="shared" ca="1" si="4"/>
        <v>96031.417346411326</v>
      </c>
      <c r="Y17" s="1348"/>
      <c r="Z17" s="1349">
        <f t="shared" ca="1" si="1"/>
        <v>113595.00000000001</v>
      </c>
      <c r="AA17" s="1349">
        <f t="shared" ca="1" si="2"/>
        <v>350349.51741098874</v>
      </c>
      <c r="AB17" s="1349">
        <f t="shared" ca="1" si="3"/>
        <v>70568</v>
      </c>
    </row>
    <row r="18" spans="1:28" ht="18" customHeight="1">
      <c r="A18" s="1352" t="s">
        <v>324</v>
      </c>
      <c r="B18" s="1353">
        <f>FinSnapshot!B109/12</f>
        <v>7157.6533333333327</v>
      </c>
      <c r="C18" s="1353">
        <f>FinSnapshot!C109/12</f>
        <v>7849.666666666667</v>
      </c>
      <c r="D18" s="1353">
        <f>FinSnapshot!D109/12</f>
        <v>8553.75</v>
      </c>
      <c r="E18" s="1353">
        <f>FinSnapshot!E109/12</f>
        <v>8587.1666666666661</v>
      </c>
      <c r="F18" s="1353">
        <f>FinSnapshot!F109/12</f>
        <v>10583.583333333334</v>
      </c>
      <c r="G18" s="1353">
        <f>FinSnapshot!G109/12</f>
        <v>11583.333333333334</v>
      </c>
      <c r="H18" s="1353">
        <f>FinSnapshot!H109/12</f>
        <v>11994.618333333332</v>
      </c>
      <c r="I18" s="1353">
        <f>FinSnapshot!I109/12</f>
        <v>12089.166666666666</v>
      </c>
      <c r="J18" s="1353">
        <f>FinSnapshot!J109/12</f>
        <v>13624.731666666667</v>
      </c>
      <c r="K18" s="1353">
        <f>FinSnapshot!K109/12</f>
        <v>14836.75</v>
      </c>
      <c r="L18" s="1353">
        <f>FinSnapshot!L109/12</f>
        <v>15042.166666666666</v>
      </c>
      <c r="M18" s="1353">
        <f>FinSnapshot!M109/12</f>
        <v>16520.833333333332</v>
      </c>
      <c r="N18" s="1353">
        <f>FinSnapshot!N109/12</f>
        <v>16954.833333333332</v>
      </c>
      <c r="O18" s="1353">
        <f>FinSnapshot!O109/12</f>
        <v>19602.916666666668</v>
      </c>
      <c r="P18" s="1353">
        <f>FinSnapshot!P109/12</f>
        <v>15414.333333333334</v>
      </c>
      <c r="Q18" s="1353">
        <f>FinSnapshot!Q109/12</f>
        <v>43349.583333333336</v>
      </c>
      <c r="R18" s="1353">
        <f>FinSnapshot!R109/12</f>
        <v>28208.25</v>
      </c>
      <c r="S18" s="1353">
        <f>FinSnapshot!S109/12</f>
        <v>29229.333333333332</v>
      </c>
      <c r="T18" s="1353">
        <f>FinSnapshot!T109/12</f>
        <v>31605.899166666666</v>
      </c>
      <c r="U18" s="1353">
        <f>FinSnapshot!U109/12</f>
        <v>33803.721666666657</v>
      </c>
      <c r="V18" s="1353">
        <f>FinSnapshot!V109/12</f>
        <v>41486.965833333328</v>
      </c>
      <c r="W18" s="1353">
        <f>FinSnapshot!X109/12</f>
        <v>84731.63</v>
      </c>
      <c r="X18" s="1347">
        <f t="shared" ca="1" si="4"/>
        <v>13449.523715277779</v>
      </c>
      <c r="Y18" s="1348"/>
      <c r="Z18" s="1349">
        <f t="shared" si="1"/>
        <v>14836.75</v>
      </c>
      <c r="AA18" s="1349">
        <f t="shared" si="2"/>
        <v>43349.583333333336</v>
      </c>
      <c r="AB18" s="1349">
        <f t="shared" si="3"/>
        <v>7157.6533333333327</v>
      </c>
    </row>
    <row r="19" spans="1:28" ht="18" customHeight="1">
      <c r="A19" s="1352" t="s">
        <v>325</v>
      </c>
      <c r="B19" s="1353">
        <f>B17/365</f>
        <v>193.33698630136988</v>
      </c>
      <c r="C19" s="1353">
        <f t="shared" ref="C19:M19" si="11">C17/365</f>
        <v>208.32328767123289</v>
      </c>
      <c r="D19" s="1353">
        <f t="shared" si="11"/>
        <v>219.52328767123288</v>
      </c>
      <c r="E19" s="1353">
        <f t="shared" si="11"/>
        <v>230.0520547945205</v>
      </c>
      <c r="F19" s="1353">
        <f t="shared" si="11"/>
        <v>228.94794520547944</v>
      </c>
      <c r="G19" s="1353">
        <f t="shared" si="11"/>
        <v>253.38904109589049</v>
      </c>
      <c r="H19" s="1353">
        <f t="shared" si="11"/>
        <v>232.83442799835413</v>
      </c>
      <c r="I19" s="1353">
        <f t="shared" si="11"/>
        <v>238.03201833365657</v>
      </c>
      <c r="J19" s="1353">
        <f t="shared" si="11"/>
        <v>340.17643506167047</v>
      </c>
      <c r="K19" s="1353">
        <f t="shared" si="11"/>
        <v>277.8063437374696</v>
      </c>
      <c r="L19" s="1353">
        <f t="shared" si="11"/>
        <v>338.40657204797185</v>
      </c>
      <c r="M19" s="1353">
        <f t="shared" si="11"/>
        <v>383.03780712101343</v>
      </c>
      <c r="N19" s="1353">
        <f t="shared" ref="N19:S19" si="12">N17/365</f>
        <v>336.46027397260281</v>
      </c>
      <c r="O19" s="1353">
        <f t="shared" si="12"/>
        <v>311.21917808219183</v>
      </c>
      <c r="P19" s="1353">
        <f t="shared" si="12"/>
        <v>342.22191780821919</v>
      </c>
      <c r="Q19" s="1353">
        <f t="shared" si="12"/>
        <v>374.69452054794522</v>
      </c>
      <c r="R19" s="1353">
        <f t="shared" si="12"/>
        <v>419.85844748858449</v>
      </c>
      <c r="S19" s="1353">
        <f t="shared" si="12"/>
        <v>426.21232876712327</v>
      </c>
      <c r="T19" s="1353">
        <f ca="1">T17/365</f>
        <v>959.8616915369555</v>
      </c>
      <c r="U19" s="1353">
        <f ca="1">U17/365</f>
        <v>662.42244239260617</v>
      </c>
      <c r="V19" s="1353">
        <f ca="1">V17/365</f>
        <v>837.09842678277278</v>
      </c>
      <c r="W19" s="1353">
        <f ca="1">W17/365</f>
        <v>722.33315408667102</v>
      </c>
      <c r="X19" s="1347">
        <f t="shared" ca="1" si="4"/>
        <v>263.09977355181189</v>
      </c>
      <c r="Y19" s="1348"/>
      <c r="Z19" s="1349">
        <f t="shared" ca="1" si="1"/>
        <v>311.21917808219183</v>
      </c>
      <c r="AA19" s="1349">
        <f t="shared" ca="1" si="2"/>
        <v>959.8616915369555</v>
      </c>
      <c r="AB19" s="1349">
        <f t="shared" ca="1" si="3"/>
        <v>193.33698630136988</v>
      </c>
    </row>
    <row r="20" spans="1:28" ht="18" customHeight="1">
      <c r="A20" s="1352" t="s">
        <v>326</v>
      </c>
      <c r="B20" s="1353">
        <f>FinSnapshot!B89/365</f>
        <v>239.46805479452053</v>
      </c>
      <c r="C20" s="1353">
        <f>FinSnapshot!C89/365</f>
        <v>263.04109589041099</v>
      </c>
      <c r="D20" s="1353">
        <f>FinSnapshot!D89/365</f>
        <v>283.83835616438358</v>
      </c>
      <c r="E20" s="1353">
        <f>FinSnapshot!E89/365</f>
        <v>287.23835616438356</v>
      </c>
      <c r="F20" s="1353">
        <f>FinSnapshot!F89/365</f>
        <v>353.48219178082189</v>
      </c>
      <c r="G20" s="1353">
        <f>FinSnapshot!G89/365</f>
        <v>387.71506849315068</v>
      </c>
      <c r="H20" s="1353">
        <f>FinSnapshot!H89/365</f>
        <v>401.1326575342465</v>
      </c>
      <c r="I20" s="1353">
        <f>FinSnapshot!I89/365</f>
        <v>408.00547945205477</v>
      </c>
      <c r="J20" s="1353">
        <f>FinSnapshot!J89/365</f>
        <v>461.62405479452053</v>
      </c>
      <c r="K20" s="1353">
        <f>FinSnapshot!K89/365</f>
        <v>488.28767123287673</v>
      </c>
      <c r="L20" s="1353">
        <f>FinSnapshot!L89/365</f>
        <v>496.06575342465754</v>
      </c>
      <c r="M20" s="1353">
        <f>FinSnapshot!M89/365</f>
        <v>540.98082191780827</v>
      </c>
      <c r="N20" s="1353">
        <f>FinSnapshot!N89/365</f>
        <v>546.09589041095887</v>
      </c>
      <c r="O20" s="1353">
        <f>FinSnapshot!O89/365</f>
        <v>629.66849315068498</v>
      </c>
      <c r="P20" s="1353">
        <f>FinSnapshot!P89/365</f>
        <v>395.4</v>
      </c>
      <c r="Q20" s="1353">
        <f>FinSnapshot!Q89/365</f>
        <v>1393.6164383561643</v>
      </c>
      <c r="R20" s="1353">
        <f>FinSnapshot!R89/365</f>
        <v>876.76712328767121</v>
      </c>
      <c r="S20" s="1353">
        <f>FinSnapshot!S89/365</f>
        <v>887.7178082191781</v>
      </c>
      <c r="T20" s="1353">
        <f>FinSnapshot!T89/365</f>
        <v>951.73093150684929</v>
      </c>
      <c r="U20" s="1353">
        <f>FinSnapshot!U89/365</f>
        <v>1075.2894794520546</v>
      </c>
      <c r="V20" s="1353">
        <f>FinSnapshot!V89/365</f>
        <v>1365.796136986301</v>
      </c>
      <c r="W20" s="1353">
        <f>FinSnapshot!X89/365</f>
        <v>2695.1713972602743</v>
      </c>
      <c r="X20" s="1347">
        <f t="shared" ca="1" si="4"/>
        <v>428.82817694063925</v>
      </c>
      <c r="Y20" s="1348"/>
      <c r="Z20" s="1349">
        <f t="shared" si="1"/>
        <v>461.62405479452053</v>
      </c>
      <c r="AA20" s="1349">
        <f t="shared" si="2"/>
        <v>1393.6164383561643</v>
      </c>
      <c r="AB20" s="1349">
        <f t="shared" si="3"/>
        <v>239.46805479452053</v>
      </c>
    </row>
    <row r="21" spans="1:28" ht="18" customHeight="1">
      <c r="A21" s="1352" t="s">
        <v>327</v>
      </c>
      <c r="B21" s="1353">
        <f>B19/24</f>
        <v>8.0557077625570788</v>
      </c>
      <c r="C21" s="1353">
        <f t="shared" ref="C21:R21" si="13">C19/24</f>
        <v>8.6801369863013704</v>
      </c>
      <c r="D21" s="1353">
        <f t="shared" si="13"/>
        <v>9.1468036529680372</v>
      </c>
      <c r="E21" s="1353">
        <f t="shared" si="13"/>
        <v>9.5855022831050203</v>
      </c>
      <c r="F21" s="1353">
        <f t="shared" si="13"/>
        <v>9.5394977168949762</v>
      </c>
      <c r="G21" s="1353">
        <f t="shared" si="13"/>
        <v>10.55787671232877</v>
      </c>
      <c r="H21" s="1353">
        <f t="shared" si="13"/>
        <v>9.7014344999314215</v>
      </c>
      <c r="I21" s="1353">
        <f t="shared" si="13"/>
        <v>9.9180007639023575</v>
      </c>
      <c r="J21" s="1353">
        <f t="shared" si="13"/>
        <v>14.174018127569603</v>
      </c>
      <c r="K21" s="1353">
        <f t="shared" si="13"/>
        <v>11.575264322394567</v>
      </c>
      <c r="L21" s="1353">
        <f t="shared" si="13"/>
        <v>14.10027383533216</v>
      </c>
      <c r="M21" s="1353">
        <f t="shared" si="13"/>
        <v>15.959908630042227</v>
      </c>
      <c r="N21" s="1353">
        <f t="shared" si="13"/>
        <v>14.019178082191784</v>
      </c>
      <c r="O21" s="1353">
        <f t="shared" si="13"/>
        <v>12.96746575342466</v>
      </c>
      <c r="P21" s="1353">
        <f t="shared" si="13"/>
        <v>14.259246575342466</v>
      </c>
      <c r="Q21" s="1353">
        <f t="shared" si="13"/>
        <v>15.612271689497717</v>
      </c>
      <c r="R21" s="1353">
        <f t="shared" si="13"/>
        <v>17.49410197869102</v>
      </c>
      <c r="S21" s="1353">
        <f>S19/24</f>
        <v>17.758847031963469</v>
      </c>
      <c r="T21" s="1353">
        <f ca="1">T19/24</f>
        <v>39.994237147373148</v>
      </c>
      <c r="U21" s="1353">
        <f ca="1">U19/24</f>
        <v>27.600935099691924</v>
      </c>
      <c r="V21" s="1353">
        <f ca="1">V19/24</f>
        <v>34.879101115948863</v>
      </c>
      <c r="W21" s="1353">
        <f ca="1">W19/24</f>
        <v>30.097214753611294</v>
      </c>
      <c r="X21" s="1347">
        <f t="shared" ca="1" si="4"/>
        <v>10.962490564658829</v>
      </c>
      <c r="Y21" s="1348"/>
      <c r="Z21" s="1349">
        <f t="shared" ca="1" si="1"/>
        <v>12.96746575342466</v>
      </c>
      <c r="AA21" s="1349">
        <f t="shared" ca="1" si="2"/>
        <v>39.994237147373148</v>
      </c>
      <c r="AB21" s="1349">
        <f t="shared" ca="1" si="3"/>
        <v>8.0557077625570788</v>
      </c>
    </row>
    <row r="22" spans="1:28" ht="18" customHeight="1">
      <c r="A22" s="1352" t="s">
        <v>328</v>
      </c>
      <c r="B22" s="1353">
        <f>B20/24</f>
        <v>9.9778356164383553</v>
      </c>
      <c r="C22" s="1353">
        <f t="shared" ref="C22:M22" si="14">C20/24</f>
        <v>10.960045662100457</v>
      </c>
      <c r="D22" s="1353">
        <f t="shared" si="14"/>
        <v>11.826598173515983</v>
      </c>
      <c r="E22" s="1353">
        <f t="shared" si="14"/>
        <v>11.968264840182648</v>
      </c>
      <c r="F22" s="1353">
        <f t="shared" si="14"/>
        <v>14.728424657534246</v>
      </c>
      <c r="G22" s="1353">
        <f t="shared" si="14"/>
        <v>16.154794520547945</v>
      </c>
      <c r="H22" s="1353">
        <f t="shared" si="14"/>
        <v>16.713860730593606</v>
      </c>
      <c r="I22" s="1353">
        <f t="shared" si="14"/>
        <v>17.000228310502283</v>
      </c>
      <c r="J22" s="1353">
        <f t="shared" si="14"/>
        <v>19.234335616438354</v>
      </c>
      <c r="K22" s="1353">
        <f t="shared" si="14"/>
        <v>20.345319634703198</v>
      </c>
      <c r="L22" s="1353">
        <f t="shared" si="14"/>
        <v>20.669406392694064</v>
      </c>
      <c r="M22" s="1353">
        <f t="shared" si="14"/>
        <v>22.540867579908678</v>
      </c>
      <c r="N22" s="1353">
        <f t="shared" ref="N22:S22" si="15">N20/24</f>
        <v>22.753995433789953</v>
      </c>
      <c r="O22" s="1353">
        <f t="shared" si="15"/>
        <v>26.236187214611874</v>
      </c>
      <c r="P22" s="1353">
        <f t="shared" si="15"/>
        <v>16.474999999999998</v>
      </c>
      <c r="Q22" s="1353">
        <f t="shared" si="15"/>
        <v>58.067351598173509</v>
      </c>
      <c r="R22" s="1353">
        <f t="shared" si="15"/>
        <v>36.531963470319631</v>
      </c>
      <c r="S22" s="1353">
        <f t="shared" si="15"/>
        <v>36.988242009132421</v>
      </c>
      <c r="T22" s="1353">
        <f>T20/24</f>
        <v>39.655455479452051</v>
      </c>
      <c r="U22" s="1353">
        <f>U20/24</f>
        <v>44.803728310502272</v>
      </c>
      <c r="V22" s="1353">
        <f>V20/24</f>
        <v>56.908172374429206</v>
      </c>
      <c r="W22" s="1353">
        <f>W20/24</f>
        <v>112.2988082191781</v>
      </c>
      <c r="X22" s="1347">
        <f t="shared" ca="1" si="4"/>
        <v>17.867840705859969</v>
      </c>
      <c r="Y22" s="1348"/>
      <c r="Z22" s="1349">
        <f t="shared" si="1"/>
        <v>19.234335616438354</v>
      </c>
      <c r="AA22" s="1349">
        <f t="shared" si="2"/>
        <v>58.067351598173509</v>
      </c>
      <c r="AB22" s="1349">
        <f t="shared" si="3"/>
        <v>9.9778356164383553</v>
      </c>
    </row>
    <row r="23" spans="1:28" ht="18" customHeight="1">
      <c r="A23" s="1354" t="s">
        <v>329</v>
      </c>
      <c r="B23" s="1355">
        <f>'Financials &amp; Forecast'!B12</f>
        <v>17146.839999999997</v>
      </c>
      <c r="C23" s="1355">
        <f>'Financials &amp; Forecast'!C12</f>
        <v>20561</v>
      </c>
      <c r="D23" s="1355">
        <f>'Financials &amp; Forecast'!D12</f>
        <v>24430</v>
      </c>
      <c r="E23" s="1355">
        <f>'Financials &amp; Forecast'!E12</f>
        <v>22428.000000000015</v>
      </c>
      <c r="F23" s="1355">
        <f>'Financials &amp; Forecast'!F12</f>
        <v>48756</v>
      </c>
      <c r="G23" s="1355">
        <f>'Financials &amp; Forecast'!G12</f>
        <v>54103.999999999971</v>
      </c>
      <c r="H23" s="1355">
        <f>'Financials &amp; Forecast'!H12</f>
        <v>53897.853780600737</v>
      </c>
      <c r="I23" s="1355">
        <f>'Financials &amp; Forecast'!I12</f>
        <v>68094.313308215351</v>
      </c>
      <c r="J23" s="1355">
        <f>'Financials &amp; Forecast'!J12</f>
        <v>51361.381202490273</v>
      </c>
      <c r="K23" s="1355">
        <f>'Financials &amp; Forecast'!K12</f>
        <v>77899.684535823588</v>
      </c>
      <c r="L23" s="1355">
        <f>'Financials &amp; Forecast'!L12</f>
        <v>65061.601202490274</v>
      </c>
      <c r="M23" s="1355">
        <f>'Financials &amp; Forecast'!M12</f>
        <v>67187.200400830101</v>
      </c>
      <c r="N23" s="1355">
        <f>'Financials &amp; Forecast'!N12</f>
        <v>78566</v>
      </c>
      <c r="O23" s="1355">
        <f>'Financials &amp; Forecast'!O12</f>
        <v>124965</v>
      </c>
      <c r="P23" s="1355">
        <f>'Financials &amp; Forecast'!P12</f>
        <v>66723</v>
      </c>
      <c r="Q23" s="1355">
        <f>'Financials &amp; Forecast'!Q12</f>
        <v>386376.5</v>
      </c>
      <c r="R23" s="1355">
        <f>'Financials &amp; Forecast'!R12</f>
        <v>188195.66666666663</v>
      </c>
      <c r="S23" s="1355">
        <f>'Financials &amp; Forecast'!S12</f>
        <v>200916.5</v>
      </c>
      <c r="T23" s="1355">
        <f ca="1">'Financials &amp; Forecast'!T12</f>
        <v>34653.272589011234</v>
      </c>
      <c r="U23" s="1355">
        <f ca="1">'Financials &amp; Forecast'!U12</f>
        <v>169592.46852669865</v>
      </c>
      <c r="V23" s="1355">
        <f>'Financials &amp; Forecast'!V12</f>
        <v>0</v>
      </c>
      <c r="W23" s="1356"/>
      <c r="X23" s="1347">
        <f t="shared" ca="1" si="4"/>
        <v>68805.158903588657</v>
      </c>
      <c r="Y23" s="1348"/>
      <c r="Z23" s="1349">
        <f t="shared" ca="1" si="1"/>
        <v>65061.601202490274</v>
      </c>
      <c r="AA23" s="1349">
        <f t="shared" ca="1" si="2"/>
        <v>386376.5</v>
      </c>
      <c r="AB23" s="1349">
        <f t="shared" ca="1" si="3"/>
        <v>17146.839999999997</v>
      </c>
    </row>
    <row r="24" spans="1:28" ht="18" customHeight="1">
      <c r="A24" s="1354" t="s">
        <v>330</v>
      </c>
      <c r="B24" s="1357">
        <f>B23/FinSnapshot!B60</f>
        <v>0.14723645913405226</v>
      </c>
      <c r="C24" s="1357">
        <f>C23/FinSnapshot!C60</f>
        <v>0.14833492049750382</v>
      </c>
      <c r="D24" s="1357">
        <f>D23/FinSnapshot!D60</f>
        <v>0.16717418825059022</v>
      </c>
      <c r="E24" s="1357">
        <f>E23/FinSnapshot!E60</f>
        <v>0.1401399650087479</v>
      </c>
      <c r="F24" s="1357">
        <f>F23/FinSnapshot!F60</f>
        <v>0.26554977015751291</v>
      </c>
      <c r="G24" s="1357">
        <f>G23/FinSnapshot!G60</f>
        <v>0.27564282184397004</v>
      </c>
      <c r="H24" s="1357">
        <f>H23/FinSnapshot!H60</f>
        <v>0.26291122993015131</v>
      </c>
      <c r="I24" s="1357">
        <f>I23/FinSnapshot!I60</f>
        <v>0.31878016988149072</v>
      </c>
      <c r="J24" s="1357">
        <f>J23/FinSnapshot!J60</f>
        <v>0.2192618451467733</v>
      </c>
      <c r="K24" s="1357">
        <f>K23/FinSnapshot!K60</f>
        <v>0.3221990881432058</v>
      </c>
      <c r="L24" s="1357">
        <f>L23/FinSnapshot!L60</f>
        <v>0.2544002862323419</v>
      </c>
      <c r="M24" s="1357">
        <f>M23/FinSnapshot!M60</f>
        <v>0.24316757293098118</v>
      </c>
      <c r="N24" s="1357">
        <f>N23/FinSnapshot!N60</f>
        <v>0.26644283921728218</v>
      </c>
      <c r="O24" s="1357">
        <f>O23/FinSnapshot!O60</f>
        <v>0.36475268679108702</v>
      </c>
      <c r="P24" s="1357">
        <f>P23/FinSnapshot!P60</f>
        <v>0.17302560777957859</v>
      </c>
      <c r="Q24" s="1357">
        <f>Q23/FinSnapshot!Q60</f>
        <v>0.47079240252761689</v>
      </c>
      <c r="R24" s="1357">
        <f>R23/FinSnapshot!R60</f>
        <v>0.36050392534344755</v>
      </c>
      <c r="S24" s="1357">
        <f>S23/FinSnapshot!S60</f>
        <v>0.37659086734368735</v>
      </c>
      <c r="T24" s="1357">
        <f ca="1">T23/FinSnapshot!T60</f>
        <v>6.2466286873280284E-2</v>
      </c>
      <c r="U24" s="1357">
        <f ca="1">U23/FinSnapshot!U60</f>
        <v>0.28985475363370888</v>
      </c>
      <c r="V24" s="1357">
        <f>V23/FinSnapshot!V60</f>
        <v>0</v>
      </c>
      <c r="W24" s="1357">
        <f>W23/FinSnapshot!X60</f>
        <v>0</v>
      </c>
      <c r="X24" s="1347">
        <f t="shared" ca="1" si="4"/>
        <v>0.20164053887638755</v>
      </c>
      <c r="Y24" s="1348"/>
      <c r="Z24" s="1349">
        <f t="shared" ca="1" si="1"/>
        <v>0.26291122993015131</v>
      </c>
      <c r="AA24" s="1349">
        <f t="shared" ca="1" si="2"/>
        <v>0.47079240252761689</v>
      </c>
      <c r="AB24" s="1349">
        <f t="shared" ca="1" si="3"/>
        <v>6.2466286873280284E-2</v>
      </c>
    </row>
    <row r="25" spans="1:28" ht="18" customHeight="1">
      <c r="A25" s="1354" t="s">
        <v>331</v>
      </c>
      <c r="B25" s="1357">
        <f>(B17+ FinSnapshot!B85)/FinSnapshot!B60</f>
        <v>0.85541686158699148</v>
      </c>
      <c r="C25" s="1357">
        <f>(C17+ FinSnapshot!C85)/FinSnapshot!C60</f>
        <v>0.85591435084985423</v>
      </c>
      <c r="D25" s="1357">
        <f>(D17+ FinSnapshot!D85)/FinSnapshot!D60</f>
        <v>0.83936086495363871</v>
      </c>
      <c r="E25" s="1357">
        <f>(E17+ FinSnapshot!E85)/FinSnapshot!E60</f>
        <v>0.86957635591102223</v>
      </c>
      <c r="F25" s="1357">
        <f>(F17+ FinSnapshot!F85)/FinSnapshot!F60</f>
        <v>0.75242914097732072</v>
      </c>
      <c r="G25" s="1357">
        <f>(G17+ FinSnapshot!G85)/FinSnapshot!G60</f>
        <v>0.7502127030868696</v>
      </c>
      <c r="H25" s="1357">
        <f>(H17+ FinSnapshot!H85)/FinSnapshot!H60</f>
        <v>0.70035290150143048</v>
      </c>
      <c r="I25" s="1357">
        <f>(I17+ FinSnapshot!I85)/FinSnapshot!I60</f>
        <v>0.70956133258329301</v>
      </c>
      <c r="J25" s="1357">
        <f>(J17+ FinSnapshot!J85)/FinSnapshot!J60</f>
        <v>0.81076204675048136</v>
      </c>
      <c r="K25" s="1357">
        <f>K17/FinSnapshot!K60</f>
        <v>0.41939536951370654</v>
      </c>
      <c r="L25" s="1357">
        <f>L17/FinSnapshot!L60</f>
        <v>0.4829748335158448</v>
      </c>
      <c r="M25" s="1357">
        <f>M17/FinSnapshot!M60</f>
        <v>0.50600361780372749</v>
      </c>
      <c r="N25" s="1357">
        <f>N17/FinSnapshot!N60</f>
        <v>0.41648183945467498</v>
      </c>
      <c r="O25" s="1357">
        <f>O17/FinSnapshot!O60</f>
        <v>0.3315654899854642</v>
      </c>
      <c r="P25" s="1357">
        <f>P17/FinSnapshot!P60</f>
        <v>0.32391831442463531</v>
      </c>
      <c r="Q25" s="1357">
        <f>Q17/FinSnapshot!Q60</f>
        <v>0.16664371860888469</v>
      </c>
      <c r="R25" s="1357">
        <f>R17/FinSnapshot!R60</f>
        <v>0.29355949952270122</v>
      </c>
      <c r="S25" s="1357">
        <f>S17/FinSnapshot!S60</f>
        <v>0.29159028629051909</v>
      </c>
      <c r="T25" s="1357">
        <f ca="1">T17/FinSnapshot!T60</f>
        <v>0.63154304991817733</v>
      </c>
      <c r="U25" s="1357">
        <f ca="1">U17/FinSnapshot!U60</f>
        <v>0.41323944312412847</v>
      </c>
      <c r="V25" s="1357">
        <f ca="1">V17/FinSnapshot!V60</f>
        <v>0.40345959250428926</v>
      </c>
      <c r="W25" s="1357">
        <f ca="1">W17/FinSnapshot!X60</f>
        <v>0.26801009940256315</v>
      </c>
      <c r="X25" s="1347">
        <f t="shared" ca="1" si="4"/>
        <v>0.4586359407183016</v>
      </c>
      <c r="Y25" s="1348"/>
      <c r="Z25" s="1349">
        <f t="shared" ca="1" si="1"/>
        <v>0.63154304991817733</v>
      </c>
      <c r="AA25" s="1349">
        <f t="shared" ca="1" si="2"/>
        <v>0.86957635591102223</v>
      </c>
      <c r="AB25" s="1349">
        <f t="shared" ca="1" si="3"/>
        <v>0.16664371860888469</v>
      </c>
    </row>
    <row r="26" spans="1:28" ht="18" customHeight="1">
      <c r="A26" s="1354" t="s">
        <v>332</v>
      </c>
      <c r="B26" s="1358">
        <f>B23/12</f>
        <v>1428.903333333333</v>
      </c>
      <c r="C26" s="1358">
        <f>C23/12</f>
        <v>1713.4166666666667</v>
      </c>
      <c r="D26" s="1358">
        <f>D23/12</f>
        <v>2035.8333333333333</v>
      </c>
      <c r="E26" s="1358">
        <f>E23/12</f>
        <v>1869.0000000000011</v>
      </c>
      <c r="F26" s="1358">
        <f>F23/12</f>
        <v>4063</v>
      </c>
      <c r="G26" s="1359">
        <f t="shared" ref="G26:L26" ca="1" si="16">IF(YEAR(TODAY())=2007,G23/MONTH(TODAY()),G23/12)</f>
        <v>4508.6666666666642</v>
      </c>
      <c r="H26" s="1359">
        <f t="shared" ca="1" si="16"/>
        <v>4491.4878150500617</v>
      </c>
      <c r="I26" s="1359">
        <f t="shared" ca="1" si="16"/>
        <v>5674.5261090179456</v>
      </c>
      <c r="J26" s="1359">
        <f t="shared" ca="1" si="16"/>
        <v>4280.115100207523</v>
      </c>
      <c r="K26" s="1359">
        <f t="shared" ca="1" si="16"/>
        <v>6491.640377985299</v>
      </c>
      <c r="L26" s="1359">
        <f t="shared" ca="1" si="16"/>
        <v>5421.8001002075225</v>
      </c>
      <c r="M26" s="1359">
        <f t="shared" ref="M26:R26" ca="1" si="17">IF(YEAR(TODAY())=2013,M23/MONTH(TODAY()),M23/12)</f>
        <v>5598.9333667358414</v>
      </c>
      <c r="N26" s="1359">
        <f t="shared" ca="1" si="17"/>
        <v>6547.166666666667</v>
      </c>
      <c r="O26" s="1359">
        <f t="shared" ca="1" si="17"/>
        <v>10413.75</v>
      </c>
      <c r="P26" s="1359">
        <f t="shared" ca="1" si="17"/>
        <v>5560.25</v>
      </c>
      <c r="Q26" s="1359">
        <f t="shared" ca="1" si="17"/>
        <v>32198.041666666668</v>
      </c>
      <c r="R26" s="1359">
        <f t="shared" ca="1" si="17"/>
        <v>15682.972222222219</v>
      </c>
      <c r="S26" s="1359">
        <f ca="1">IF(YEAR(TODAY())=2013,S23/MONTH(TODAY()),S23/12)</f>
        <v>16743.041666666668</v>
      </c>
      <c r="T26" s="1359">
        <f ca="1">IF(YEAR(TODAY())=2013,T23/MONTH(TODAY()),T23/12)</f>
        <v>2887.7727157509362</v>
      </c>
      <c r="U26" s="1359">
        <f ca="1">IF(YEAR(TODAY())=2013,U23/MONTH(TODAY()),U23/12)</f>
        <v>14132.705710558221</v>
      </c>
      <c r="V26" s="1359">
        <f ca="1">IF(YEAR(TODAY())=2013,V23/MONTH(TODAY()),V23/12)</f>
        <v>0</v>
      </c>
      <c r="W26" s="1359">
        <f ca="1">IF(YEAR(TODAY())=2013,W23/MONTH(TODAY()),W23/12)</f>
        <v>0</v>
      </c>
      <c r="X26" s="1347">
        <f t="shared" ca="1" si="4"/>
        <v>5733.763241965723</v>
      </c>
      <c r="Y26" s="1348"/>
      <c r="Z26" s="1349">
        <f t="shared" ca="1" si="1"/>
        <v>5421.8001002075225</v>
      </c>
      <c r="AA26" s="1349">
        <f t="shared" ca="1" si="2"/>
        <v>32198.041666666668</v>
      </c>
      <c r="AB26" s="1349">
        <f t="shared" ca="1" si="3"/>
        <v>1428.903333333333</v>
      </c>
    </row>
    <row r="27" spans="1:28" ht="18" customHeight="1">
      <c r="A27" s="1360" t="s">
        <v>333</v>
      </c>
      <c r="B27" s="1361">
        <f>FinSnapshot!B64/12</f>
        <v>9730.57</v>
      </c>
      <c r="C27" s="1361">
        <f>FinSnapshot!C64/12</f>
        <v>11600.083333333334</v>
      </c>
      <c r="D27" s="1361">
        <f>FinSnapshot!D64/12</f>
        <v>12257.5</v>
      </c>
      <c r="E27" s="1361">
        <f>FinSnapshot!E64/12</f>
        <v>13466.25</v>
      </c>
      <c r="F27" s="1361">
        <f>FinSnapshot!F64/12</f>
        <v>15575.416666666666</v>
      </c>
      <c r="G27" s="1361">
        <f>FinSnapshot!G64/12</f>
        <v>16779.833333333332</v>
      </c>
      <c r="H27" s="1361">
        <f>FinSnapshot!H64/12</f>
        <v>17433</v>
      </c>
      <c r="I27" s="1361">
        <f>FinSnapshot!I64/12</f>
        <v>18176.083333333332</v>
      </c>
      <c r="J27" s="1361">
        <f>FinSnapshot!J64/12</f>
        <v>19825.731666666667</v>
      </c>
      <c r="K27" s="1361">
        <f>FinSnapshot!K64/12</f>
        <v>20519.583333333332</v>
      </c>
      <c r="L27" s="1361">
        <f>FinSnapshot!L64/12</f>
        <v>21736.75</v>
      </c>
      <c r="M27" s="1361">
        <f>FinSnapshot!M64/12</f>
        <v>23613.833333333332</v>
      </c>
      <c r="N27" s="1361">
        <f>FinSnapshot!N64/12</f>
        <v>25394.583333333332</v>
      </c>
      <c r="O27" s="1361">
        <f>FinSnapshot!O64/12</f>
        <v>29497.666666666668</v>
      </c>
      <c r="P27" s="1361">
        <f>FinSnapshot!P64/12</f>
        <v>44689.75</v>
      </c>
      <c r="Q27" s="1361">
        <f>FinSnapshot!Q64/12</f>
        <v>76181.5</v>
      </c>
      <c r="R27" s="1361">
        <f>FinSnapshot!R64/12</f>
        <v>45520.5</v>
      </c>
      <c r="S27" s="1361">
        <f>FinSnapshot!S64/12</f>
        <v>47165.083333333336</v>
      </c>
      <c r="T27" s="1361">
        <f>FinSnapshot!T64/12</f>
        <v>49364.383333333331</v>
      </c>
      <c r="U27" s="1361">
        <f>FinSnapshot!U64/12</f>
        <v>50332.554999999993</v>
      </c>
      <c r="V27" s="1361">
        <f>FinSnapshot!V64/12</f>
        <v>63530.20166666666</v>
      </c>
      <c r="W27" s="1361">
        <f>FinSnapshot!X64/12</f>
        <v>85209.296666666676</v>
      </c>
      <c r="X27" s="1347">
        <f t="shared" ca="1" si="4"/>
        <v>21605.337569444444</v>
      </c>
      <c r="Y27" s="1348"/>
      <c r="Z27" s="1349">
        <f t="shared" si="1"/>
        <v>20519.583333333332</v>
      </c>
      <c r="AA27" s="1349">
        <f t="shared" si="2"/>
        <v>76181.5</v>
      </c>
      <c r="AB27" s="1349">
        <f t="shared" si="3"/>
        <v>9730.57</v>
      </c>
    </row>
    <row r="28" spans="1:28" ht="18" customHeight="1">
      <c r="A28" s="1360" t="s">
        <v>334</v>
      </c>
      <c r="B28" s="1361">
        <f>FinSnapshot!B52/12</f>
        <v>25.75</v>
      </c>
      <c r="C28" s="1361">
        <f>FinSnapshot!C52/12</f>
        <v>49.083333333333336</v>
      </c>
      <c r="D28" s="1361">
        <f>FinSnapshot!D52/12</f>
        <v>79.583333333333329</v>
      </c>
      <c r="E28" s="1361">
        <f>FinSnapshot!E52/12</f>
        <v>129.58333333333334</v>
      </c>
      <c r="F28" s="1361">
        <f>FinSnapshot!F52/12</f>
        <v>275.08333333333331</v>
      </c>
      <c r="G28" s="1361">
        <f>FinSnapshot!G52/12</f>
        <v>422.91666666666669</v>
      </c>
      <c r="H28" s="1361">
        <f>FinSnapshot!H52/12</f>
        <v>-627.58333333333337</v>
      </c>
      <c r="I28" s="1361">
        <f>FinSnapshot!I52/12</f>
        <v>504.5</v>
      </c>
      <c r="J28" s="1361">
        <f>FinSnapshot!J52/12</f>
        <v>586.08333333333337</v>
      </c>
      <c r="K28" s="1361">
        <f>FinSnapshot!K52/12</f>
        <v>89.5</v>
      </c>
      <c r="L28" s="1361">
        <f>FinSnapshot!L52/12</f>
        <v>626.33333333333337</v>
      </c>
      <c r="M28" s="1361">
        <f>FinSnapshot!M52/12</f>
        <v>794.83333333333337</v>
      </c>
      <c r="N28" s="1361">
        <f>FinSnapshot!N52/12</f>
        <v>170.75</v>
      </c>
      <c r="O28" s="1361">
        <f>FinSnapshot!O52/12</f>
        <v>727.58333333333337</v>
      </c>
      <c r="P28" s="1361">
        <f>FinSnapshot!P52/12</f>
        <v>3942.75</v>
      </c>
      <c r="Q28" s="1361">
        <f>FinSnapshot!Q52/12</f>
        <v>1205.8333333333333</v>
      </c>
      <c r="R28" s="1361">
        <f>FinSnapshot!R52/12</f>
        <v>2017.5833333333333</v>
      </c>
      <c r="S28" s="1361">
        <f>FinSnapshot!S52/12</f>
        <v>2705.5833333333335</v>
      </c>
      <c r="T28" s="1361">
        <f>FinSnapshot!T52/12</f>
        <v>3135.0833333333335</v>
      </c>
      <c r="U28" s="1361">
        <f>FinSnapshot!U52/12</f>
        <v>1574.6666666666667</v>
      </c>
      <c r="V28" s="1361">
        <f>FinSnapshot!V52/12</f>
        <v>421.66666666666669</v>
      </c>
      <c r="W28" s="1361">
        <f>FinSnapshot!X52/12</f>
        <v>3231.1666666666665</v>
      </c>
      <c r="X28" s="1347">
        <f t="shared" ca="1" si="4"/>
        <v>702.53472222222229</v>
      </c>
      <c r="Y28" s="1348"/>
      <c r="Z28" s="1349">
        <f t="shared" si="1"/>
        <v>504.5</v>
      </c>
      <c r="AA28" s="1349">
        <f t="shared" si="2"/>
        <v>3942.75</v>
      </c>
      <c r="AB28" s="1349">
        <f t="shared" si="3"/>
        <v>-627.58333333333337</v>
      </c>
    </row>
    <row r="29" spans="1:28" ht="18" customHeight="1">
      <c r="A29" s="1360" t="s">
        <v>335</v>
      </c>
      <c r="B29" s="1361"/>
      <c r="C29" s="1361"/>
      <c r="D29" s="1361"/>
      <c r="E29" s="1361"/>
      <c r="F29" s="1361"/>
      <c r="G29" s="1361"/>
      <c r="H29" s="1361"/>
      <c r="I29" s="1361"/>
      <c r="J29" s="1361"/>
      <c r="K29" s="1361"/>
      <c r="L29" s="1361"/>
      <c r="M29" s="1361"/>
      <c r="N29" s="1361"/>
      <c r="O29" s="1361"/>
      <c r="P29" s="1361"/>
      <c r="Q29" s="1361"/>
      <c r="R29" s="1362"/>
      <c r="S29" s="1362"/>
      <c r="T29" s="1362"/>
      <c r="U29" s="1362"/>
      <c r="V29" s="1362"/>
      <c r="W29" s="1363"/>
      <c r="X29" s="1364"/>
      <c r="Y29" s="1365"/>
      <c r="Z29" s="1366"/>
      <c r="AA29" s="1366"/>
      <c r="AB29" s="1367"/>
    </row>
    <row r="30" spans="1:28" ht="18" customHeight="1">
      <c r="A30" s="1368" t="s">
        <v>336</v>
      </c>
      <c r="B30" s="1369"/>
      <c r="C30" s="1369">
        <f t="shared" ref="C30:P30" si="18">(C15-B15)/B15</f>
        <v>7.486894314594375E-2</v>
      </c>
      <c r="D30" s="1369">
        <f t="shared" si="18"/>
        <v>6.6636128475964646E-2</v>
      </c>
      <c r="E30" s="1369">
        <f t="shared" si="18"/>
        <v>3.793103448275844E-2</v>
      </c>
      <c r="F30" s="1369">
        <f t="shared" si="18"/>
        <v>-7.6059046158712179E-3</v>
      </c>
      <c r="G30" s="1369">
        <f t="shared" si="18"/>
        <v>0.10328886054838904</v>
      </c>
      <c r="H30" s="1369">
        <f t="shared" si="18"/>
        <v>-8.2964886247799463E-2</v>
      </c>
      <c r="I30" s="1369">
        <f t="shared" si="18"/>
        <v>6.3403495788967867E-3</v>
      </c>
      <c r="J30" s="1369">
        <f t="shared" si="18"/>
        <v>0.43525049347561628</v>
      </c>
      <c r="K30" s="1369">
        <f t="shared" si="18"/>
        <v>-0.18807908438391888</v>
      </c>
      <c r="L30" s="1369">
        <f t="shared" si="18"/>
        <v>0.21816975358990953</v>
      </c>
      <c r="M30" s="1369">
        <f t="shared" si="18"/>
        <v>0.13295279118660605</v>
      </c>
      <c r="N30" s="1369">
        <f t="shared" si="18"/>
        <v>-0.12325475942281788</v>
      </c>
      <c r="O30" s="1369">
        <f t="shared" si="18"/>
        <v>-8.0674092042775619E-2</v>
      </c>
      <c r="P30" s="1369">
        <f t="shared" si="18"/>
        <v>9.8651875389060617E-2</v>
      </c>
      <c r="Q30" s="1369">
        <f t="shared" ref="Q30:U30" si="19">(Q15-P15)/P15</f>
        <v>0.13166707540867154</v>
      </c>
      <c r="R30" s="1370">
        <f t="shared" si="19"/>
        <v>0.12318799966621463</v>
      </c>
      <c r="S30" s="1370">
        <f t="shared" si="19"/>
        <v>-3.1125945310594774E-3</v>
      </c>
      <c r="T30" s="1370">
        <f t="shared" ca="1" si="19"/>
        <v>1.2999724191596034</v>
      </c>
      <c r="U30" s="1370">
        <f t="shared" ca="1" si="19"/>
        <v>-0.31503136217017419</v>
      </c>
      <c r="V30" s="1370">
        <f ca="1">(V15-U15)/U15</f>
        <v>0.27009592202672711</v>
      </c>
      <c r="W30" s="1370">
        <f ca="1">(W15-V15)/V15</f>
        <v>-0.13972007146116336</v>
      </c>
      <c r="X30" s="2255"/>
      <c r="Y30" s="2256"/>
      <c r="Z30" s="2256"/>
      <c r="AA30" s="1311"/>
      <c r="AB30" s="1312"/>
    </row>
    <row r="31" spans="1:28" ht="20.25" customHeight="1">
      <c r="A31" s="1368" t="s">
        <v>337</v>
      </c>
      <c r="B31" s="1369"/>
      <c r="C31" s="1369">
        <f t="shared" ref="C31:P31" si="20">(C27-B27)/B27</f>
        <v>0.19212783355274504</v>
      </c>
      <c r="D31" s="1369">
        <f t="shared" si="20"/>
        <v>5.6673443437906285E-2</v>
      </c>
      <c r="E31" s="1369">
        <f t="shared" si="20"/>
        <v>9.86130940240669E-2</v>
      </c>
      <c r="F31" s="1369">
        <f t="shared" si="20"/>
        <v>0.15662613323432031</v>
      </c>
      <c r="G31" s="1369">
        <f t="shared" si="20"/>
        <v>7.7328054359166384E-2</v>
      </c>
      <c r="H31" s="1369">
        <f t="shared" si="20"/>
        <v>3.8925694534113445E-2</v>
      </c>
      <c r="I31" s="1369">
        <f t="shared" si="20"/>
        <v>4.2625097994225439E-2</v>
      </c>
      <c r="J31" s="1369">
        <f t="shared" si="20"/>
        <v>9.0759285324579525E-2</v>
      </c>
      <c r="K31" s="1369">
        <f t="shared" si="20"/>
        <v>3.4997531406785354E-2</v>
      </c>
      <c r="L31" s="1369">
        <f t="shared" si="20"/>
        <v>5.9317318821451116E-2</v>
      </c>
      <c r="M31" s="1369">
        <f t="shared" si="20"/>
        <v>8.6355289237504781E-2</v>
      </c>
      <c r="N31" s="1369">
        <f t="shared" si="20"/>
        <v>7.5411305520069458E-2</v>
      </c>
      <c r="O31" s="1369">
        <f t="shared" si="20"/>
        <v>0.16157317013142578</v>
      </c>
      <c r="P31" s="1369">
        <f t="shared" si="20"/>
        <v>0.51502661227441715</v>
      </c>
      <c r="Q31" s="1369">
        <f t="shared" ref="Q31:U31" si="21">(Q27-P27)/P27</f>
        <v>0.70467500937015759</v>
      </c>
      <c r="R31" s="1370">
        <f t="shared" si="21"/>
        <v>-0.40247304135518464</v>
      </c>
      <c r="S31" s="1370">
        <f t="shared" si="21"/>
        <v>3.6128411008959388E-2</v>
      </c>
      <c r="T31" s="1370">
        <f t="shared" si="21"/>
        <v>4.6629833863680845E-2</v>
      </c>
      <c r="U31" s="1370">
        <f t="shared" si="21"/>
        <v>1.9612757240966141E-2</v>
      </c>
      <c r="V31" s="1370">
        <f>(V27-U27)/U27</f>
        <v>0.26220895535040234</v>
      </c>
      <c r="W31" s="1370">
        <f>(W27-V27)/V27</f>
        <v>0.3412407710233149</v>
      </c>
      <c r="X31" s="2257"/>
      <c r="Y31" s="2258"/>
      <c r="Z31" s="2258"/>
      <c r="AA31" s="1313"/>
      <c r="AB31" s="1314"/>
    </row>
    <row r="34" spans="1:2">
      <c r="A34" s="838" t="s">
        <v>338</v>
      </c>
      <c r="B34" s="838">
        <f ca="1">YEAR(TODAY()) - 2002 + 1</f>
        <v>25</v>
      </c>
    </row>
  </sheetData>
  <mergeCells count="1">
    <mergeCell ref="X30:Z31"/>
  </mergeCells>
  <phoneticPr fontId="4" type="noConversion"/>
  <conditionalFormatting sqref="B10">
    <cfRule type="aboveAverage" dxfId="1386" priority="83"/>
  </conditionalFormatting>
  <conditionalFormatting sqref="B11">
    <cfRule type="aboveAverage" dxfId="1385" priority="82"/>
  </conditionalFormatting>
  <conditionalFormatting sqref="B12">
    <cfRule type="aboveAverage" dxfId="1384" priority="81"/>
  </conditionalFormatting>
  <conditionalFormatting sqref="B13">
    <cfRule type="aboveAverage" dxfId="1383" priority="80"/>
  </conditionalFormatting>
  <conditionalFormatting sqref="B8:C8">
    <cfRule type="aboveAverage" dxfId="1382" priority="290"/>
  </conditionalFormatting>
  <conditionalFormatting sqref="B9:C9">
    <cfRule type="aboveAverage" dxfId="1381" priority="289"/>
  </conditionalFormatting>
  <conditionalFormatting sqref="B14:J14">
    <cfRule type="aboveAverage" dxfId="1380" priority="284"/>
  </conditionalFormatting>
  <conditionalFormatting sqref="B15:N15">
    <cfRule type="aboveAverage" dxfId="1379" priority="283"/>
  </conditionalFormatting>
  <conditionalFormatting sqref="B17:N17">
    <cfRule type="aboveAverage" dxfId="1378" priority="282"/>
  </conditionalFormatting>
  <conditionalFormatting sqref="B17:W17">
    <cfRule type="expression" priority="6">
      <formula>"if(C20&gt;B20)"</formula>
    </cfRule>
  </conditionalFormatting>
  <conditionalFormatting sqref="C3">
    <cfRule type="aboveAverage" dxfId="1377" priority="295"/>
  </conditionalFormatting>
  <conditionalFormatting sqref="C4">
    <cfRule type="aboveAverage" dxfId="1376" priority="294"/>
  </conditionalFormatting>
  <conditionalFormatting sqref="C5">
    <cfRule type="aboveAverage" dxfId="1375" priority="293"/>
  </conditionalFormatting>
  <conditionalFormatting sqref="C6">
    <cfRule type="aboveAverage" dxfId="1374" priority="292"/>
  </conditionalFormatting>
  <conditionalFormatting sqref="C7">
    <cfRule type="aboveAverage" dxfId="1373" priority="291"/>
  </conditionalFormatting>
  <conditionalFormatting sqref="C10">
    <cfRule type="aboveAverage" dxfId="1372" priority="288"/>
  </conditionalFormatting>
  <conditionalFormatting sqref="C11">
    <cfRule type="aboveAverage" dxfId="1371" priority="287"/>
  </conditionalFormatting>
  <conditionalFormatting sqref="C12">
    <cfRule type="aboveAverage" dxfId="1370" priority="286"/>
  </conditionalFormatting>
  <conditionalFormatting sqref="C13">
    <cfRule type="aboveAverage" dxfId="1369" priority="285"/>
  </conditionalFormatting>
  <conditionalFormatting sqref="C2:E2">
    <cfRule type="aboveAverage" dxfId="1368" priority="296"/>
  </conditionalFormatting>
  <conditionalFormatting sqref="D3:D13">
    <cfRule type="aboveAverage" dxfId="1367" priority="79"/>
  </conditionalFormatting>
  <conditionalFormatting sqref="E3:E13">
    <cfRule type="aboveAverage" dxfId="1366" priority="77"/>
  </conditionalFormatting>
  <conditionalFormatting sqref="F2">
    <cfRule type="aboveAverage" dxfId="1365" priority="74"/>
  </conditionalFormatting>
  <conditionalFormatting sqref="F3:F13">
    <cfRule type="aboveAverage" dxfId="1364" priority="73"/>
  </conditionalFormatting>
  <conditionalFormatting sqref="G2">
    <cfRule type="aboveAverage" dxfId="1363" priority="72"/>
  </conditionalFormatting>
  <conditionalFormatting sqref="G3:G13">
    <cfRule type="aboveAverage" dxfId="1362" priority="70"/>
  </conditionalFormatting>
  <conditionalFormatting sqref="H2">
    <cfRule type="aboveAverage" dxfId="1361" priority="69"/>
  </conditionalFormatting>
  <conditionalFormatting sqref="H3:H13">
    <cfRule type="aboveAverage" dxfId="1360" priority="67"/>
  </conditionalFormatting>
  <conditionalFormatting sqref="I2">
    <cfRule type="aboveAverage" dxfId="1359" priority="66"/>
  </conditionalFormatting>
  <conditionalFormatting sqref="I3:I13">
    <cfRule type="aboveAverage" dxfId="1358" priority="64"/>
  </conditionalFormatting>
  <conditionalFormatting sqref="J2">
    <cfRule type="aboveAverage" dxfId="1357" priority="63"/>
  </conditionalFormatting>
  <conditionalFormatting sqref="J3:J13">
    <cfRule type="aboveAverage" dxfId="1356" priority="61"/>
  </conditionalFormatting>
  <conditionalFormatting sqref="K2">
    <cfRule type="aboveAverage" dxfId="1355" priority="60"/>
  </conditionalFormatting>
  <conditionalFormatting sqref="K3:K13">
    <cfRule type="aboveAverage" dxfId="1354" priority="58"/>
  </conditionalFormatting>
  <conditionalFormatting sqref="K14:L14">
    <cfRule type="aboveAverage" dxfId="1353" priority="280"/>
  </conditionalFormatting>
  <conditionalFormatting sqref="L2">
    <cfRule type="aboveAverage" dxfId="1352" priority="57"/>
  </conditionalFormatting>
  <conditionalFormatting sqref="L3:L13">
    <cfRule type="aboveAverage" dxfId="1351" priority="55"/>
  </conditionalFormatting>
  <conditionalFormatting sqref="M2">
    <cfRule type="aboveAverage" dxfId="1350" priority="54"/>
  </conditionalFormatting>
  <conditionalFormatting sqref="M3:M13">
    <cfRule type="aboveAverage" dxfId="1349" priority="52"/>
  </conditionalFormatting>
  <conditionalFormatting sqref="M14:N14">
    <cfRule type="aboveAverage" dxfId="1348" priority="194"/>
  </conditionalFormatting>
  <conditionalFormatting sqref="N3:N13">
    <cfRule type="aboveAverage" dxfId="1347" priority="49"/>
  </conditionalFormatting>
  <conditionalFormatting sqref="N2:R2">
    <cfRule type="aboveAverage" dxfId="1346" priority="1873"/>
  </conditionalFormatting>
  <conditionalFormatting sqref="O3:O13">
    <cfRule type="aboveAverage" dxfId="1345" priority="48"/>
  </conditionalFormatting>
  <conditionalFormatting sqref="O14">
    <cfRule type="aboveAverage" dxfId="1344" priority="141"/>
  </conditionalFormatting>
  <conditionalFormatting sqref="O15">
    <cfRule type="aboveAverage" dxfId="1343" priority="192"/>
  </conditionalFormatting>
  <conditionalFormatting sqref="O17">
    <cfRule type="aboveAverage" dxfId="1342" priority="191"/>
  </conditionalFormatting>
  <conditionalFormatting sqref="P3:P13">
    <cfRule type="aboveAverage" dxfId="1341" priority="47"/>
  </conditionalFormatting>
  <conditionalFormatting sqref="P14:Q14">
    <cfRule type="aboveAverage" dxfId="1340" priority="88"/>
  </conditionalFormatting>
  <conditionalFormatting sqref="P15:Q15">
    <cfRule type="aboveAverage" dxfId="1339" priority="139"/>
  </conditionalFormatting>
  <conditionalFormatting sqref="P17:Q17">
    <cfRule type="aboveAverage" dxfId="1338" priority="138"/>
  </conditionalFormatting>
  <conditionalFormatting sqref="Q3:Q13">
    <cfRule type="aboveAverage" dxfId="1337" priority="46"/>
  </conditionalFormatting>
  <conditionalFormatting sqref="R3:R13">
    <cfRule type="aboveAverage" dxfId="1336" priority="1874"/>
  </conditionalFormatting>
  <conditionalFormatting sqref="R14">
    <cfRule type="aboveAverage" dxfId="1335" priority="1877"/>
  </conditionalFormatting>
  <conditionalFormatting sqref="R15">
    <cfRule type="aboveAverage" dxfId="1334" priority="1875"/>
  </conditionalFormatting>
  <conditionalFormatting sqref="R17">
    <cfRule type="aboveAverage" dxfId="1333" priority="1876"/>
  </conditionalFormatting>
  <conditionalFormatting sqref="S2">
    <cfRule type="aboveAverage" dxfId="1332" priority="33"/>
  </conditionalFormatting>
  <conditionalFormatting sqref="S3:S13">
    <cfRule type="aboveAverage" dxfId="1331" priority="31"/>
  </conditionalFormatting>
  <conditionalFormatting sqref="S14">
    <cfRule type="aboveAverage" dxfId="1330" priority="34"/>
  </conditionalFormatting>
  <conditionalFormatting sqref="S15">
    <cfRule type="aboveAverage" dxfId="1329" priority="36"/>
  </conditionalFormatting>
  <conditionalFormatting sqref="S17">
    <cfRule type="aboveAverage" dxfId="1328" priority="35"/>
  </conditionalFormatting>
  <conditionalFormatting sqref="T2">
    <cfRule type="aboveAverage" dxfId="1327" priority="20"/>
  </conditionalFormatting>
  <conditionalFormatting sqref="T3:T13">
    <cfRule type="aboveAverage" dxfId="1326" priority="19"/>
  </conditionalFormatting>
  <conditionalFormatting sqref="T14">
    <cfRule type="aboveAverage" dxfId="1325" priority="21"/>
  </conditionalFormatting>
  <conditionalFormatting sqref="T15">
    <cfRule type="aboveAverage" dxfId="1324" priority="23"/>
  </conditionalFormatting>
  <conditionalFormatting sqref="T17">
    <cfRule type="aboveAverage" dxfId="1323" priority="22"/>
  </conditionalFormatting>
  <conditionalFormatting sqref="U2">
    <cfRule type="aboveAverage" dxfId="1322" priority="13"/>
  </conditionalFormatting>
  <conditionalFormatting sqref="U3:U13">
    <cfRule type="aboveAverage" dxfId="1321" priority="10"/>
  </conditionalFormatting>
  <conditionalFormatting sqref="U14">
    <cfRule type="aboveAverage" dxfId="1320" priority="14"/>
  </conditionalFormatting>
  <conditionalFormatting sqref="U15">
    <cfRule type="aboveAverage" dxfId="1319" priority="16"/>
  </conditionalFormatting>
  <conditionalFormatting sqref="U17">
    <cfRule type="aboveAverage" dxfId="1318" priority="15"/>
  </conditionalFormatting>
  <conditionalFormatting sqref="V2:W2">
    <cfRule type="aboveAverage" dxfId="1317" priority="2"/>
  </conditionalFormatting>
  <conditionalFormatting sqref="V3:W13">
    <cfRule type="aboveAverage" dxfId="1316" priority="1"/>
  </conditionalFormatting>
  <conditionalFormatting sqref="V14:W14">
    <cfRule type="aboveAverage" dxfId="1315" priority="3"/>
  </conditionalFormatting>
  <conditionalFormatting sqref="V15:W15">
    <cfRule type="aboveAverage" dxfId="1314" priority="5"/>
  </conditionalFormatting>
  <conditionalFormatting sqref="V17:W17">
    <cfRule type="aboveAverage" dxfId="1313" priority="4"/>
  </conditionalFormatting>
  <hyperlinks>
    <hyperlink ref="G1" location="Monthly!A1" display="Monthly!A1" xr:uid="{00000000-0004-0000-0200-000000000000}"/>
    <hyperlink ref="F1" location="Monthly!A75" display="Monthly!A75" xr:uid="{00000000-0004-0000-0200-000001000000}"/>
    <hyperlink ref="E1" location="Monthly!A144" display="Monthly!A144" xr:uid="{00000000-0004-0000-0200-000002000000}"/>
    <hyperlink ref="D1" location="Monthly!A213" display="Monthly!A213" xr:uid="{00000000-0004-0000-0200-000003000000}"/>
    <hyperlink ref="C1" location="Monthly!A278" display="Monthly!A278" xr:uid="{00000000-0004-0000-0200-000004000000}"/>
    <hyperlink ref="B1" location="Monthly!A333" display="Monthly!A333" xr:uid="{00000000-0004-0000-0200-000005000000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200-000003000000}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FF0000"/>
          <x14:colorLow theme="4"/>
          <x14:sparklines>
            <x14:sparkline>
              <xm:f>M!C2:T2</xm:f>
              <xm:sqref>Y2</xm:sqref>
            </x14:sparkline>
          </x14:sparklines>
        </x14:sparklineGroup>
        <x14:sparklineGroup manualMax="0" manualMin="0" displayEmptyCellsAs="gap" high="1" xr2:uid="{E077DCD1-DACA-6D4E-9B19-9EF9D08F1E6C}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FF0000"/>
          <x14:colorLow theme="4"/>
          <x14:sparklines>
            <x14:sparkline>
              <xm:f>M!C4:T4</xm:f>
              <xm:sqref>Y4</xm:sqref>
            </x14:sparkline>
            <x14:sparkline>
              <xm:f>M!C5:T5</xm:f>
              <xm:sqref>Y5</xm:sqref>
            </x14:sparkline>
            <x14:sparkline>
              <xm:f>M!C6:T6</xm:f>
              <xm:sqref>Y6</xm:sqref>
            </x14:sparkline>
            <x14:sparkline>
              <xm:f>M!C7:T7</xm:f>
              <xm:sqref>Y7</xm:sqref>
            </x14:sparkline>
            <x14:sparkline>
              <xm:f>M!C8:T8</xm:f>
              <xm:sqref>Y8</xm:sqref>
            </x14:sparkline>
            <x14:sparkline>
              <xm:f>M!C9:T9</xm:f>
              <xm:sqref>Y9</xm:sqref>
            </x14:sparkline>
            <x14:sparkline>
              <xm:f>M!C10:T10</xm:f>
              <xm:sqref>Y10</xm:sqref>
            </x14:sparkline>
            <x14:sparkline>
              <xm:f>M!C11:T11</xm:f>
              <xm:sqref>Y11</xm:sqref>
            </x14:sparkline>
            <x14:sparkline>
              <xm:f>M!C12:T12</xm:f>
              <xm:sqref>Y12</xm:sqref>
            </x14:sparkline>
            <x14:sparkline>
              <xm:f>M!C13:T13</xm:f>
              <xm:sqref>Y13</xm:sqref>
            </x14:sparkline>
            <x14:sparkline>
              <xm:f>M!C14:T14</xm:f>
              <xm:sqref>Y14</xm:sqref>
            </x14:sparkline>
            <x14:sparkline>
              <xm:f>M!C15:T15</xm:f>
              <xm:sqref>Y15</xm:sqref>
            </x14:sparkline>
            <x14:sparkline>
              <xm:f>M!C16:T16</xm:f>
              <xm:sqref>Y16</xm:sqref>
            </x14:sparkline>
            <x14:sparkline>
              <xm:f>M!C17:T17</xm:f>
              <xm:sqref>Y17</xm:sqref>
            </x14:sparkline>
            <x14:sparkline>
              <xm:f>M!C18:T18</xm:f>
              <xm:sqref>Y18</xm:sqref>
            </x14:sparkline>
            <x14:sparkline>
              <xm:f>M!C19:T19</xm:f>
              <xm:sqref>Y19</xm:sqref>
            </x14:sparkline>
            <x14:sparkline>
              <xm:f>M!C20:T20</xm:f>
              <xm:sqref>Y20</xm:sqref>
            </x14:sparkline>
            <x14:sparkline>
              <xm:f>M!C21:T21</xm:f>
              <xm:sqref>Y21</xm:sqref>
            </x14:sparkline>
            <x14:sparkline>
              <xm:f>M!C22:T22</xm:f>
              <xm:sqref>Y22</xm:sqref>
            </x14:sparkline>
            <x14:sparkline>
              <xm:f>M!C23:T23</xm:f>
              <xm:sqref>Y23</xm:sqref>
            </x14:sparkline>
            <x14:sparkline>
              <xm:f>M!C24:T24</xm:f>
              <xm:sqref>Y24</xm:sqref>
            </x14:sparkline>
            <x14:sparkline>
              <xm:f>M!C25:T25</xm:f>
              <xm:sqref>Y25</xm:sqref>
            </x14:sparkline>
            <x14:sparkline>
              <xm:f>M!C26:T26</xm:f>
              <xm:sqref>Y26</xm:sqref>
            </x14:sparkline>
            <x14:sparkline>
              <xm:f>M!C27:T27</xm:f>
              <xm:sqref>Y27</xm:sqref>
            </x14:sparkline>
            <x14:sparkline>
              <xm:f>M!C28:T28</xm:f>
              <xm:sqref>Y28</xm:sqref>
            </x14:sparkline>
            <x14:sparkline>
              <xm:f>M!C29:T29</xm:f>
              <xm:sqref>Y29</xm:sqref>
            </x14:sparkline>
          </x14:sparklines>
        </x14:sparklineGroup>
        <x14:sparklineGroup manualMax="0" manualMin="0" displayEmptyCellsAs="gap" high="1" xr2:uid="{0BD01402-B037-6C4B-8174-41EF6F9C96A8}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FF0000"/>
          <x14:colorLow theme="4"/>
          <x14:sparklines>
            <x14:sparkline>
              <xm:f>M!C3:T3</xm:f>
              <xm:sqref>Y3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24B6-BAE4-4538-8744-4A4023C30E17}">
  <dimension ref="A1:CQ32"/>
  <sheetViews>
    <sheetView workbookViewId="0">
      <selection activeCell="Q29" sqref="Q29"/>
    </sheetView>
  </sheetViews>
  <sheetFormatPr defaultColWidth="8.85546875" defaultRowHeight="12.75" customHeight="1"/>
  <cols>
    <col min="1" max="1" width="20.85546875" style="1860" customWidth="1"/>
    <col min="2" max="2" width="12.85546875" style="1860" hidden="1" customWidth="1"/>
    <col min="3" max="3" width="13.28515625" style="1860" hidden="1" customWidth="1"/>
    <col min="4" max="4" width="12.42578125" style="1860" hidden="1" customWidth="1"/>
    <col min="5" max="5" width="13.28515625" style="1860" hidden="1" customWidth="1"/>
    <col min="6" max="6" width="22.85546875" style="1860" customWidth="1"/>
    <col min="7" max="7" width="13.28515625" style="1860" hidden="1" customWidth="1"/>
    <col min="8" max="8" width="15.5703125" style="1860" hidden="1" customWidth="1"/>
    <col min="9" max="9" width="14" style="1860" hidden="1" customWidth="1"/>
    <col min="10" max="10" width="14.28515625" style="1860" hidden="1" customWidth="1"/>
    <col min="11" max="11" width="18.7109375" style="1860" customWidth="1"/>
    <col min="12" max="12" width="20.5703125" style="1860" customWidth="1"/>
    <col min="13" max="13" width="13.42578125" style="1860" hidden="1" customWidth="1"/>
    <col min="14" max="14" width="14.7109375" style="1860" hidden="1" customWidth="1"/>
    <col min="15" max="15" width="16.28515625" style="1860" hidden="1" customWidth="1"/>
    <col min="16" max="16" width="17.140625" style="1860" customWidth="1"/>
    <col min="17" max="17" width="17.7109375" style="1860" customWidth="1"/>
    <col min="18" max="18" width="16.5703125" style="1860" hidden="1" customWidth="1"/>
    <col min="19" max="19" width="20.140625" style="1860" customWidth="1"/>
    <col min="20" max="16384" width="8.85546875" style="1860"/>
  </cols>
  <sheetData>
    <row r="1" spans="1:19">
      <c r="G1" s="1861"/>
      <c r="K1" s="1861"/>
      <c r="L1" s="1861"/>
      <c r="M1" s="1861"/>
      <c r="N1" s="1861"/>
      <c r="O1" s="1861"/>
      <c r="P1" s="1861"/>
      <c r="Q1" s="1861"/>
      <c r="R1" s="1861"/>
      <c r="S1" s="1861"/>
    </row>
    <row r="2" spans="1:19" s="1861" customFormat="1" ht="37.5" customHeight="1">
      <c r="A2" s="1862" t="s">
        <v>339</v>
      </c>
      <c r="B2" s="1863" t="s">
        <v>340</v>
      </c>
      <c r="C2" s="1863" t="s">
        <v>341</v>
      </c>
      <c r="D2" s="1863" t="s">
        <v>342</v>
      </c>
      <c r="E2" s="1863" t="s">
        <v>343</v>
      </c>
      <c r="F2" s="1863" t="s">
        <v>344</v>
      </c>
      <c r="G2" s="1863" t="s">
        <v>345</v>
      </c>
      <c r="H2" s="1863" t="s">
        <v>346</v>
      </c>
      <c r="I2" s="1863" t="s">
        <v>347</v>
      </c>
      <c r="J2" s="1863" t="s">
        <v>348</v>
      </c>
      <c r="K2" s="1863" t="s">
        <v>349</v>
      </c>
      <c r="L2" s="1863" t="s">
        <v>350</v>
      </c>
      <c r="M2" s="1863" t="s">
        <v>351</v>
      </c>
      <c r="N2" s="1864" t="s">
        <v>352</v>
      </c>
      <c r="O2" s="1863" t="s">
        <v>343</v>
      </c>
      <c r="P2" s="1864" t="s">
        <v>353</v>
      </c>
      <c r="Q2" s="1865" t="s">
        <v>354</v>
      </c>
      <c r="R2" s="2157" t="s">
        <v>355</v>
      </c>
      <c r="S2" s="2156" t="s">
        <v>356</v>
      </c>
    </row>
    <row r="3" spans="1:19" s="1871" customFormat="1" ht="13.5">
      <c r="A3" s="1866" t="s">
        <v>29</v>
      </c>
      <c r="B3" s="1867">
        <v>2021</v>
      </c>
      <c r="C3" s="1867">
        <v>2021</v>
      </c>
      <c r="D3" s="1868">
        <v>2022</v>
      </c>
      <c r="E3" s="1868">
        <v>2022</v>
      </c>
      <c r="F3" s="1868">
        <v>2022</v>
      </c>
      <c r="G3" s="1869">
        <v>2023</v>
      </c>
      <c r="H3" s="1869">
        <v>2023</v>
      </c>
      <c r="I3" s="1869">
        <v>2023</v>
      </c>
      <c r="J3" s="1869">
        <v>2023</v>
      </c>
      <c r="K3" s="1869">
        <v>2023</v>
      </c>
      <c r="L3" s="1869">
        <v>2023</v>
      </c>
      <c r="M3" s="1869">
        <v>2023</v>
      </c>
      <c r="N3" s="1870">
        <v>2024</v>
      </c>
      <c r="O3" s="1870">
        <v>2024</v>
      </c>
      <c r="P3" s="1870">
        <v>2024</v>
      </c>
      <c r="Q3" s="1870">
        <v>2024</v>
      </c>
      <c r="R3" s="2158">
        <v>2024</v>
      </c>
      <c r="S3" s="1870">
        <v>2025</v>
      </c>
    </row>
    <row r="4" spans="1:19" ht="13.5">
      <c r="A4" s="1872" t="s">
        <v>357</v>
      </c>
      <c r="B4" s="1873" t="s">
        <v>358</v>
      </c>
      <c r="C4" s="1873" t="s">
        <v>359</v>
      </c>
      <c r="D4" s="1873" t="s">
        <v>360</v>
      </c>
      <c r="E4" s="1873" t="s">
        <v>361</v>
      </c>
      <c r="F4" s="1873" t="s">
        <v>362</v>
      </c>
      <c r="G4" s="1873" t="s">
        <v>363</v>
      </c>
      <c r="H4" s="1873" t="s">
        <v>364</v>
      </c>
      <c r="I4" s="1873" t="s">
        <v>365</v>
      </c>
      <c r="J4" s="1873" t="s">
        <v>366</v>
      </c>
      <c r="K4" s="1873" t="s">
        <v>367</v>
      </c>
      <c r="L4" s="1873" t="s">
        <v>368</v>
      </c>
      <c r="M4" s="1873" t="s">
        <v>369</v>
      </c>
      <c r="N4" s="1874" t="s">
        <v>370</v>
      </c>
      <c r="O4" s="1873" t="s">
        <v>371</v>
      </c>
      <c r="P4" s="1874" t="s">
        <v>372</v>
      </c>
      <c r="Q4" s="1874" t="s">
        <v>373</v>
      </c>
      <c r="R4" s="2159" t="s">
        <v>374</v>
      </c>
      <c r="S4" s="1874" t="s">
        <v>375</v>
      </c>
    </row>
    <row r="5" spans="1:19" ht="13.5">
      <c r="A5" s="1872" t="s">
        <v>376</v>
      </c>
      <c r="B5" s="1873">
        <v>4</v>
      </c>
      <c r="C5" s="1873">
        <v>5</v>
      </c>
      <c r="D5" s="1873">
        <v>4</v>
      </c>
      <c r="E5" s="1873">
        <v>6</v>
      </c>
      <c r="F5" s="1873">
        <v>9</v>
      </c>
      <c r="G5" s="1873">
        <v>5</v>
      </c>
      <c r="H5" s="1873">
        <v>3</v>
      </c>
      <c r="I5" s="1873">
        <v>2</v>
      </c>
      <c r="J5" s="1873">
        <v>5</v>
      </c>
      <c r="K5" s="1873">
        <v>5</v>
      </c>
      <c r="L5" s="1873">
        <v>6</v>
      </c>
      <c r="M5" s="1873">
        <v>4</v>
      </c>
      <c r="N5" s="1873">
        <v>5</v>
      </c>
      <c r="O5" s="1873">
        <v>4</v>
      </c>
      <c r="P5" s="1873">
        <v>7</v>
      </c>
      <c r="Q5" s="1873">
        <v>5</v>
      </c>
      <c r="R5" s="2160">
        <v>4</v>
      </c>
      <c r="S5" s="1873">
        <v>8</v>
      </c>
    </row>
    <row r="6" spans="1:19" ht="13.5">
      <c r="A6" s="1872" t="s">
        <v>377</v>
      </c>
      <c r="B6" s="1873">
        <v>3</v>
      </c>
      <c r="C6" s="1873">
        <v>4</v>
      </c>
      <c r="D6" s="1873">
        <v>3</v>
      </c>
      <c r="E6" s="1873">
        <v>5</v>
      </c>
      <c r="F6" s="1873">
        <v>8</v>
      </c>
      <c r="G6" s="1873">
        <v>4</v>
      </c>
      <c r="H6" s="1873">
        <v>2</v>
      </c>
      <c r="I6" s="1873">
        <v>1</v>
      </c>
      <c r="J6" s="1873">
        <v>4</v>
      </c>
      <c r="K6" s="1873">
        <v>4</v>
      </c>
      <c r="L6" s="1873">
        <v>5</v>
      </c>
      <c r="M6" s="1873">
        <v>3</v>
      </c>
      <c r="N6" s="1873">
        <v>4</v>
      </c>
      <c r="O6" s="1873">
        <v>3</v>
      </c>
      <c r="P6" s="1873">
        <v>5</v>
      </c>
      <c r="Q6" s="1873">
        <v>4</v>
      </c>
      <c r="R6" s="2160">
        <v>3</v>
      </c>
      <c r="S6" s="1873">
        <v>7</v>
      </c>
    </row>
    <row r="7" spans="1:19" ht="13.5">
      <c r="A7" s="1872" t="s">
        <v>378</v>
      </c>
      <c r="B7" s="1873" t="s">
        <v>37</v>
      </c>
      <c r="C7" s="1873" t="s">
        <v>37</v>
      </c>
      <c r="D7" s="1873" t="s">
        <v>37</v>
      </c>
      <c r="E7" s="1874" t="s">
        <v>37</v>
      </c>
      <c r="F7" s="1874">
        <f>Aug!CE11</f>
        <v>4562</v>
      </c>
      <c r="G7" s="1874">
        <v>2415</v>
      </c>
      <c r="H7" s="1874" t="s">
        <v>37</v>
      </c>
      <c r="I7" s="1874" t="s">
        <v>37</v>
      </c>
      <c r="J7" s="1874"/>
      <c r="K7" s="1874">
        <v>1054</v>
      </c>
      <c r="L7" s="1874">
        <f>Nov!CI12</f>
        <v>4053</v>
      </c>
      <c r="M7" s="1874">
        <f>Dec!CI103</f>
        <v>1262</v>
      </c>
      <c r="N7" s="1874">
        <f>Jun!CM16</f>
        <v>1385</v>
      </c>
      <c r="O7" s="1874">
        <v>0</v>
      </c>
      <c r="P7" s="1874">
        <f>Aug!CM11</f>
        <v>6100</v>
      </c>
      <c r="Q7" s="1874">
        <v>5100</v>
      </c>
      <c r="R7" s="2159" t="s">
        <v>37</v>
      </c>
      <c r="S7" s="1874">
        <v>5800</v>
      </c>
    </row>
    <row r="8" spans="1:19" ht="13.5">
      <c r="A8" s="1872" t="s">
        <v>277</v>
      </c>
      <c r="B8" s="1874">
        <v>150</v>
      </c>
      <c r="C8" s="1874">
        <v>325</v>
      </c>
      <c r="D8" s="1874">
        <v>225</v>
      </c>
      <c r="E8" s="1874">
        <v>200</v>
      </c>
      <c r="F8" s="1874">
        <f>Aug!CE23</f>
        <v>859</v>
      </c>
      <c r="G8" s="1874">
        <v>125</v>
      </c>
      <c r="H8" s="1874">
        <f>177</f>
        <v>177</v>
      </c>
      <c r="I8" s="1874">
        <v>175</v>
      </c>
      <c r="J8" s="1874">
        <f>Jun!CI84</f>
        <v>34</v>
      </c>
      <c r="K8" s="1874">
        <f>1036-710</f>
        <v>326</v>
      </c>
      <c r="L8" s="1874">
        <f>148</f>
        <v>148</v>
      </c>
      <c r="M8" s="1874">
        <f>Dec!CI107</f>
        <v>197</v>
      </c>
      <c r="N8" s="1874">
        <f>130</f>
        <v>130</v>
      </c>
      <c r="O8" s="1874">
        <f>Jul!CM15</f>
        <v>288</v>
      </c>
      <c r="P8" s="1874">
        <f>Aug!CM19</f>
        <v>1010</v>
      </c>
      <c r="Q8" s="1874">
        <v>500</v>
      </c>
      <c r="R8" s="2159">
        <v>200</v>
      </c>
      <c r="S8" s="1874">
        <v>544</v>
      </c>
    </row>
    <row r="9" spans="1:19" ht="13.5">
      <c r="A9" s="1872" t="s">
        <v>379</v>
      </c>
      <c r="B9" s="1874" t="s">
        <v>37</v>
      </c>
      <c r="C9" s="1874" t="s">
        <v>37</v>
      </c>
      <c r="D9" s="1874" t="s">
        <v>37</v>
      </c>
      <c r="E9" s="1874" t="s">
        <v>37</v>
      </c>
      <c r="F9" s="1874">
        <v>0</v>
      </c>
      <c r="G9" s="1874">
        <v>469</v>
      </c>
      <c r="H9" s="1874" t="s">
        <v>37</v>
      </c>
      <c r="I9" s="1874">
        <v>0</v>
      </c>
      <c r="J9" s="1874" t="s">
        <v>37</v>
      </c>
      <c r="K9" s="1874">
        <v>605</v>
      </c>
      <c r="L9" s="1874">
        <v>500</v>
      </c>
      <c r="M9" s="1874">
        <v>0</v>
      </c>
      <c r="N9" s="1874">
        <v>899</v>
      </c>
      <c r="O9" s="1874">
        <v>0</v>
      </c>
      <c r="P9" s="1874">
        <f>Aug!CM21</f>
        <v>700</v>
      </c>
      <c r="Q9" s="1874">
        <v>899</v>
      </c>
      <c r="R9" s="2159">
        <v>0</v>
      </c>
      <c r="S9" s="1874" t="s">
        <v>37</v>
      </c>
    </row>
    <row r="10" spans="1:19" ht="13.5">
      <c r="A10" s="1872" t="s">
        <v>380</v>
      </c>
      <c r="B10" s="1874">
        <v>495</v>
      </c>
      <c r="C10" s="1874">
        <v>490</v>
      </c>
      <c r="D10" s="1874">
        <v>1000</v>
      </c>
      <c r="E10" s="1874">
        <v>1500</v>
      </c>
      <c r="F10" s="1874">
        <f>Aug!CE15</f>
        <v>1441</v>
      </c>
      <c r="G10" s="1874">
        <v>1000</v>
      </c>
      <c r="H10" s="1874">
        <f>204 + 155</f>
        <v>359</v>
      </c>
      <c r="I10" s="1874">
        <v>210</v>
      </c>
      <c r="J10" s="1874">
        <f>Jun!CI79</f>
        <v>1300</v>
      </c>
      <c r="K10" s="1874">
        <v>905</v>
      </c>
      <c r="L10" s="1874">
        <f>1399 + 150 + 150</f>
        <v>1699</v>
      </c>
      <c r="M10" s="1874">
        <f>Dec!CI104</f>
        <v>930</v>
      </c>
      <c r="N10" s="1874">
        <f>Jun!CM17</f>
        <v>1330</v>
      </c>
      <c r="O10" s="1874">
        <f>Jul!CM11</f>
        <v>1119</v>
      </c>
      <c r="P10" s="1874">
        <f>Aug!CM13</f>
        <v>1254</v>
      </c>
      <c r="Q10" s="1874">
        <v>1000</v>
      </c>
      <c r="R10" s="2159">
        <v>520</v>
      </c>
      <c r="S10" s="1874">
        <v>1931</v>
      </c>
    </row>
    <row r="11" spans="1:19" ht="13.5">
      <c r="A11" s="1872" t="s">
        <v>278</v>
      </c>
      <c r="B11" s="1874">
        <v>180</v>
      </c>
      <c r="C11" s="1874">
        <v>322</v>
      </c>
      <c r="D11" s="1874">
        <v>271</v>
      </c>
      <c r="E11" s="1874">
        <v>390</v>
      </c>
      <c r="F11" s="1874">
        <f>Aug!CE19</f>
        <v>677</v>
      </c>
      <c r="G11" s="1874">
        <v>622</v>
      </c>
      <c r="H11" s="1874">
        <v>34</v>
      </c>
      <c r="I11" s="1874">
        <v>102</v>
      </c>
      <c r="J11" s="1874">
        <f>Jun!CI80</f>
        <v>414</v>
      </c>
      <c r="K11" s="1874">
        <v>653</v>
      </c>
      <c r="L11" s="1874">
        <f>Nov!CI15</f>
        <v>306</v>
      </c>
      <c r="M11" s="1874">
        <f>Dec!CI106</f>
        <v>1008</v>
      </c>
      <c r="N11" s="1874">
        <f>Jun!CM20</f>
        <v>548</v>
      </c>
      <c r="O11" s="1874">
        <f>Jul!CM14</f>
        <v>478</v>
      </c>
      <c r="P11" s="1874">
        <f>Aug!CM18</f>
        <v>732</v>
      </c>
      <c r="Q11" s="1874">
        <v>1200</v>
      </c>
      <c r="R11" s="2159">
        <v>240</v>
      </c>
      <c r="S11" s="1874">
        <f>Aug!CQ17</f>
        <v>1194</v>
      </c>
    </row>
    <row r="12" spans="1:19" ht="13.5">
      <c r="A12" s="1872" t="s">
        <v>381</v>
      </c>
      <c r="B12" s="1874">
        <v>50</v>
      </c>
      <c r="C12" s="1874">
        <v>1240</v>
      </c>
      <c r="D12" s="1874">
        <v>35</v>
      </c>
      <c r="E12" s="1874">
        <v>620</v>
      </c>
      <c r="F12" s="1874">
        <f>Aug!CE27</f>
        <v>416</v>
      </c>
      <c r="G12" s="1874">
        <v>322</v>
      </c>
      <c r="H12" s="1874">
        <v>30</v>
      </c>
      <c r="I12" s="1874">
        <v>758</v>
      </c>
      <c r="J12" s="1874">
        <f>Jun!CI82</f>
        <v>614</v>
      </c>
      <c r="K12" s="1874">
        <v>65</v>
      </c>
      <c r="L12" s="1874">
        <f>Nov!CI17</f>
        <v>900</v>
      </c>
      <c r="M12" s="1874">
        <f>Dec!CI105</f>
        <v>512</v>
      </c>
      <c r="N12" s="1874">
        <v>35</v>
      </c>
      <c r="O12" s="1874">
        <f>Jul!CM20</f>
        <v>596</v>
      </c>
      <c r="P12" s="1874">
        <f>Aug!CM24</f>
        <v>1004</v>
      </c>
      <c r="Q12" s="1874">
        <v>1500</v>
      </c>
      <c r="R12" s="2159" t="s">
        <v>37</v>
      </c>
      <c r="S12" s="1874">
        <f>Aug!CQ22</f>
        <v>1756</v>
      </c>
    </row>
    <row r="13" spans="1:19" ht="13.5">
      <c r="A13" s="1872" t="s">
        <v>382</v>
      </c>
      <c r="B13" s="1874" t="s">
        <v>37</v>
      </c>
      <c r="C13" s="1873" t="s">
        <v>37</v>
      </c>
      <c r="D13" s="1874" t="s">
        <v>37</v>
      </c>
      <c r="E13" s="1874">
        <v>85</v>
      </c>
      <c r="F13" s="1874">
        <f>Aug!CE32+Aug!CE31</f>
        <v>508</v>
      </c>
      <c r="G13" s="1874">
        <v>294</v>
      </c>
      <c r="H13" s="1874">
        <v>190</v>
      </c>
      <c r="I13" s="1874">
        <v>98</v>
      </c>
      <c r="J13" s="1874">
        <f>Jun!CI83</f>
        <v>80</v>
      </c>
      <c r="K13" s="1874">
        <v>390</v>
      </c>
      <c r="L13" s="1874">
        <v>390</v>
      </c>
      <c r="M13" s="1874">
        <v>390</v>
      </c>
      <c r="N13" s="1874">
        <v>450</v>
      </c>
      <c r="O13" s="1874">
        <f>Jul!CM21</f>
        <v>450</v>
      </c>
      <c r="P13" s="1874">
        <f>Aug!CM26</f>
        <v>311</v>
      </c>
      <c r="Q13" s="1874">
        <f>Aug!CM26</f>
        <v>311</v>
      </c>
      <c r="R13" s="2159">
        <v>200</v>
      </c>
      <c r="S13" s="1874">
        <v>450</v>
      </c>
    </row>
    <row r="14" spans="1:19" ht="13.5">
      <c r="A14" s="1872" t="s">
        <v>244</v>
      </c>
      <c r="B14" s="1874">
        <f t="shared" ref="B14:K14" si="0">SUM(B7:B13)</f>
        <v>875</v>
      </c>
      <c r="C14" s="1874">
        <f t="shared" si="0"/>
        <v>2377</v>
      </c>
      <c r="D14" s="1874">
        <f t="shared" si="0"/>
        <v>1531</v>
      </c>
      <c r="E14" s="1874">
        <f t="shared" si="0"/>
        <v>2795</v>
      </c>
      <c r="F14" s="1874">
        <f t="shared" si="0"/>
        <v>8463</v>
      </c>
      <c r="G14" s="1874">
        <f t="shared" ref="G14:J14" si="1">SUM(G7:G13)</f>
        <v>5247</v>
      </c>
      <c r="H14" s="1874">
        <f t="shared" si="1"/>
        <v>790</v>
      </c>
      <c r="I14" s="1874">
        <f t="shared" si="1"/>
        <v>1343</v>
      </c>
      <c r="J14" s="1874">
        <f t="shared" si="1"/>
        <v>2442</v>
      </c>
      <c r="K14" s="1874">
        <f t="shared" si="0"/>
        <v>3998</v>
      </c>
      <c r="L14" s="1874">
        <f t="shared" ref="L14:N14" si="2">SUM(L7:L13)</f>
        <v>7996</v>
      </c>
      <c r="M14" s="1874">
        <f t="shared" si="2"/>
        <v>4299</v>
      </c>
      <c r="N14" s="1874">
        <f t="shared" si="2"/>
        <v>4777</v>
      </c>
      <c r="O14" s="1874">
        <f t="shared" ref="O14:P14" si="3">SUM(O7:O13)</f>
        <v>2931</v>
      </c>
      <c r="P14" s="1874">
        <f>SUM(P7:P13)-P9</f>
        <v>10411</v>
      </c>
      <c r="Q14" s="1874">
        <f t="shared" ref="Q14:R14" si="4">SUM(Q7:Q13)</f>
        <v>10510</v>
      </c>
      <c r="R14" s="2159">
        <f t="shared" si="4"/>
        <v>1160</v>
      </c>
      <c r="S14" s="1874">
        <f>SUM(S7:S13)</f>
        <v>11675</v>
      </c>
    </row>
    <row r="15" spans="1:19" ht="13.5">
      <c r="A15" s="1872" t="s">
        <v>383</v>
      </c>
      <c r="B15" s="1874">
        <f>B14/7</f>
        <v>125</v>
      </c>
      <c r="C15" s="1874">
        <f>C14/7</f>
        <v>339.57142857142856</v>
      </c>
      <c r="D15" s="1874">
        <f>D14/7</f>
        <v>218.71428571428572</v>
      </c>
      <c r="E15" s="1874">
        <f>E14/7</f>
        <v>399.28571428571428</v>
      </c>
      <c r="F15" s="1874">
        <f t="shared" ref="F15:K15" si="5">F14/F6</f>
        <v>1057.875</v>
      </c>
      <c r="G15" s="1874">
        <f t="shared" si="5"/>
        <v>1311.75</v>
      </c>
      <c r="H15" s="1874">
        <f t="shared" si="5"/>
        <v>395</v>
      </c>
      <c r="I15" s="1874">
        <f t="shared" si="5"/>
        <v>1343</v>
      </c>
      <c r="J15" s="1874">
        <f t="shared" si="5"/>
        <v>610.5</v>
      </c>
      <c r="K15" s="1874">
        <f t="shared" si="5"/>
        <v>999.5</v>
      </c>
      <c r="L15" s="1874">
        <f t="shared" ref="L15:N15" si="6">L14/L6</f>
        <v>1599.2</v>
      </c>
      <c r="M15" s="1874">
        <f t="shared" si="6"/>
        <v>1433</v>
      </c>
      <c r="N15" s="1874">
        <f t="shared" si="6"/>
        <v>1194.25</v>
      </c>
      <c r="O15" s="1874">
        <f t="shared" ref="O15:P15" si="7">O14/O6</f>
        <v>977</v>
      </c>
      <c r="P15" s="1874">
        <f t="shared" si="7"/>
        <v>2082.1999999999998</v>
      </c>
      <c r="Q15" s="1874">
        <f t="shared" ref="Q15:R15" si="8">Q14/Q6</f>
        <v>2627.5</v>
      </c>
      <c r="R15" s="2159">
        <f t="shared" si="8"/>
        <v>386.66666666666669</v>
      </c>
      <c r="S15" s="1874">
        <f>S14/S6</f>
        <v>1667.8571428571429</v>
      </c>
    </row>
    <row r="16" spans="1:19" ht="13.5">
      <c r="G16" s="1875"/>
      <c r="K16" s="1875"/>
      <c r="L16" s="1875"/>
      <c r="M16" s="1875"/>
      <c r="N16" s="1875"/>
      <c r="O16" s="1875"/>
      <c r="P16" s="1875"/>
      <c r="Q16" s="1875"/>
      <c r="R16" s="1875"/>
      <c r="S16" s="1875"/>
    </row>
    <row r="18" spans="1:95" ht="12.75" customHeight="1">
      <c r="A18" s="1872" t="s">
        <v>29</v>
      </c>
      <c r="B18" s="1876">
        <v>2021</v>
      </c>
      <c r="C18" s="1876">
        <v>2022</v>
      </c>
      <c r="D18" s="1876">
        <v>2023</v>
      </c>
      <c r="E18" s="1876">
        <v>2024</v>
      </c>
      <c r="CQ18" s="1860" t="str" cm="1">
        <f t="array" ref="CQ18:CQ32">TripCompare!S2:S16</f>
        <v>Denmark-Norway</v>
      </c>
    </row>
    <row r="19" spans="1:95" ht="12.75" customHeight="1">
      <c r="A19" s="1872" t="s">
        <v>384</v>
      </c>
      <c r="B19" s="1877">
        <v>2</v>
      </c>
      <c r="C19" s="1877">
        <v>3</v>
      </c>
      <c r="D19" s="1877">
        <v>7</v>
      </c>
      <c r="E19" s="1877">
        <v>5</v>
      </c>
      <c r="CQ19" s="1860">
        <v>2025</v>
      </c>
    </row>
    <row r="20" spans="1:95" ht="12.75" customHeight="1">
      <c r="A20" s="1872" t="s">
        <v>376</v>
      </c>
      <c r="B20" s="1878">
        <f>B5+C5</f>
        <v>9</v>
      </c>
      <c r="C20" s="1878">
        <f>SUM(D5:F5)</f>
        <v>19</v>
      </c>
      <c r="D20" s="1878">
        <f>SUM(G5:M5)</f>
        <v>30</v>
      </c>
      <c r="E20" s="1878">
        <v>25</v>
      </c>
      <c r="CQ20" s="1860" t="str">
        <v>July 30- Aug 7</v>
      </c>
    </row>
    <row r="21" spans="1:95" ht="12.75" customHeight="1">
      <c r="A21" s="1872" t="s">
        <v>377</v>
      </c>
      <c r="B21" s="1878">
        <f>B6+C6</f>
        <v>7</v>
      </c>
      <c r="C21" s="1878">
        <f>SUM(D6:F6)</f>
        <v>16</v>
      </c>
      <c r="D21" s="1878">
        <f>SUM(G6:M6)</f>
        <v>23</v>
      </c>
      <c r="E21" s="1878">
        <v>19</v>
      </c>
      <c r="CQ21" s="1860">
        <v>8</v>
      </c>
    </row>
    <row r="22" spans="1:95" ht="12.75" customHeight="1">
      <c r="A22" s="1872" t="s">
        <v>378</v>
      </c>
      <c r="B22" s="1878" t="s">
        <v>37</v>
      </c>
      <c r="C22" s="1879">
        <f>SUM(D7:F7)</f>
        <v>4562</v>
      </c>
      <c r="D22" s="1879">
        <f>SUM(G7:M7)</f>
        <v>8784</v>
      </c>
      <c r="E22" s="1879">
        <f>SUM(N7:R7)</f>
        <v>12585</v>
      </c>
      <c r="CQ22" s="1860">
        <v>7</v>
      </c>
    </row>
    <row r="23" spans="1:95" ht="12.75" customHeight="1">
      <c r="A23" s="1872" t="s">
        <v>277</v>
      </c>
      <c r="B23" s="1879">
        <f>B8+C8</f>
        <v>475</v>
      </c>
      <c r="C23" s="1879">
        <f>SUM(D8:F8)</f>
        <v>1284</v>
      </c>
      <c r="D23" s="1879">
        <f>SUM(G8:M8)</f>
        <v>1182</v>
      </c>
      <c r="E23" s="1879">
        <f>SUM(N8:R8)</f>
        <v>2128</v>
      </c>
      <c r="CQ23" s="1860">
        <v>5800</v>
      </c>
    </row>
    <row r="24" spans="1:95" ht="12.75" customHeight="1">
      <c r="A24" s="1872" t="s">
        <v>379</v>
      </c>
      <c r="B24" s="1879" t="s">
        <v>37</v>
      </c>
      <c r="C24" s="1879">
        <f>SUM(D9:F9)</f>
        <v>0</v>
      </c>
      <c r="D24" s="1879">
        <f>SUM(G9:M9)</f>
        <v>1574</v>
      </c>
      <c r="E24" s="1879">
        <f>SUM(N9:R9)</f>
        <v>2498</v>
      </c>
      <c r="CQ24" s="1860">
        <v>544</v>
      </c>
    </row>
    <row r="25" spans="1:95" ht="12.75" customHeight="1">
      <c r="A25" s="1872" t="s">
        <v>380</v>
      </c>
      <c r="B25" s="1879">
        <f>B10+C10</f>
        <v>985</v>
      </c>
      <c r="C25" s="1879">
        <f>SUM(D10:F10)</f>
        <v>3941</v>
      </c>
      <c r="D25" s="1879">
        <f>SUM(G10:M10)</f>
        <v>6403</v>
      </c>
      <c r="E25" s="1879">
        <f>SUM(N10:R10)</f>
        <v>5223</v>
      </c>
      <c r="CQ25" s="1860" t="str">
        <v>-</v>
      </c>
    </row>
    <row r="26" spans="1:95" ht="12.75" customHeight="1">
      <c r="A26" s="1872" t="s">
        <v>278</v>
      </c>
      <c r="B26" s="1879">
        <f>B11+C11</f>
        <v>502</v>
      </c>
      <c r="C26" s="1879">
        <f>SUM(D11:F11)</f>
        <v>1338</v>
      </c>
      <c r="D26" s="1879">
        <f>SUM(G11:M11)</f>
        <v>3139</v>
      </c>
      <c r="E26" s="1879">
        <f>SUM(N11:R11)</f>
        <v>3198</v>
      </c>
      <c r="CQ26" s="1860">
        <v>1931</v>
      </c>
    </row>
    <row r="27" spans="1:95" ht="12.75" customHeight="1">
      <c r="A27" s="1872" t="s">
        <v>381</v>
      </c>
      <c r="B27" s="1879">
        <f>B12+C12</f>
        <v>1290</v>
      </c>
      <c r="C27" s="1879">
        <f>SUM(D12:F12)</f>
        <v>1071</v>
      </c>
      <c r="D27" s="1879">
        <f>SUM(G12:M12)</f>
        <v>3201</v>
      </c>
      <c r="E27" s="1879">
        <f>SUM(N12:R12)</f>
        <v>3135</v>
      </c>
      <c r="CQ27" s="1860">
        <v>1194</v>
      </c>
    </row>
    <row r="28" spans="1:95" ht="12.75" customHeight="1">
      <c r="A28" s="1872" t="s">
        <v>382</v>
      </c>
      <c r="B28" s="1879" t="s">
        <v>37</v>
      </c>
      <c r="C28" s="1879">
        <f>SUM(D13:F13)</f>
        <v>593</v>
      </c>
      <c r="D28" s="1879">
        <f>SUM(G13:M13)</f>
        <v>1832</v>
      </c>
      <c r="E28" s="1879">
        <f>SUM(N13:R13)</f>
        <v>1722</v>
      </c>
      <c r="CQ28" s="1860">
        <v>1756</v>
      </c>
    </row>
    <row r="29" spans="1:95" ht="12.75" customHeight="1">
      <c r="A29" s="1872" t="s">
        <v>244</v>
      </c>
      <c r="B29" s="1879">
        <f>B14+C14</f>
        <v>3252</v>
      </c>
      <c r="C29" s="1879">
        <f>SUM(D14:F14)</f>
        <v>12789</v>
      </c>
      <c r="D29" s="1879">
        <f>SUM(G14:M14)</f>
        <v>26115</v>
      </c>
      <c r="E29" s="1879">
        <f>SUM(N14:R14)</f>
        <v>29789</v>
      </c>
      <c r="F29" s="1875"/>
      <c r="CQ29" s="1860">
        <v>450</v>
      </c>
    </row>
    <row r="30" spans="1:95" ht="12.75" customHeight="1">
      <c r="A30" s="1872" t="s">
        <v>383</v>
      </c>
      <c r="B30" s="1879">
        <f>B29/B21</f>
        <v>464.57142857142856</v>
      </c>
      <c r="C30" s="1879">
        <f>C29/C21</f>
        <v>799.3125</v>
      </c>
      <c r="D30" s="1879">
        <f>D29/D21</f>
        <v>1135.4347826086957</v>
      </c>
      <c r="E30" s="1879">
        <f>E29/E21</f>
        <v>1567.8421052631579</v>
      </c>
      <c r="CQ30" s="1860">
        <v>11675</v>
      </c>
    </row>
    <row r="31" spans="1:95" ht="12.75" customHeight="1">
      <c r="CQ31" s="1860">
        <v>1667.8571428571429</v>
      </c>
    </row>
    <row r="32" spans="1:95" ht="12.75" customHeight="1">
      <c r="CQ32" s="1860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50"/>
  </sheetPr>
  <dimension ref="A1:AD96"/>
  <sheetViews>
    <sheetView topLeftCell="D96" zoomScale="150" zoomScaleNormal="150" zoomScalePageLayoutView="113" workbookViewId="0">
      <selection activeCell="G96" sqref="G96"/>
    </sheetView>
  </sheetViews>
  <sheetFormatPr defaultColWidth="8.85546875" defaultRowHeight="13.5" customHeight="1"/>
  <cols>
    <col min="1" max="1" width="3.85546875" style="283" customWidth="1"/>
    <col min="2" max="2" width="20.85546875" style="283" customWidth="1"/>
    <col min="3" max="3" width="11.28515625" style="284" customWidth="1"/>
    <col min="4" max="17" width="11.28515625" style="282" customWidth="1"/>
    <col min="18" max="18" width="11.85546875" style="282" customWidth="1"/>
    <col min="19" max="28" width="11.7109375" style="282" customWidth="1"/>
    <col min="29" max="29" width="8.85546875" style="283"/>
    <col min="30" max="30" width="13.85546875" style="283" customWidth="1"/>
    <col min="31" max="16384" width="8.85546875" style="283"/>
  </cols>
  <sheetData>
    <row r="1" spans="1:30" ht="12">
      <c r="A1" s="2268" t="s">
        <v>385</v>
      </c>
      <c r="B1" s="2269"/>
      <c r="C1" s="281" t="s">
        <v>386</v>
      </c>
    </row>
    <row r="2" spans="1:30" ht="11.25" hidden="1">
      <c r="C2" s="284" t="s">
        <v>386</v>
      </c>
    </row>
    <row r="3" spans="1:30" ht="11.25" hidden="1">
      <c r="C3" s="284" t="s">
        <v>387</v>
      </c>
    </row>
    <row r="4" spans="1:30" ht="11.25">
      <c r="A4" s="285" t="s">
        <v>388</v>
      </c>
      <c r="B4" s="286"/>
      <c r="C4" s="287">
        <v>2002</v>
      </c>
      <c r="D4" s="287">
        <v>2003</v>
      </c>
      <c r="E4" s="287">
        <v>2004</v>
      </c>
      <c r="F4" s="287">
        <v>2005</v>
      </c>
      <c r="G4" s="287">
        <v>2006</v>
      </c>
      <c r="H4" s="287">
        <v>2007</v>
      </c>
      <c r="I4" s="287">
        <v>2008</v>
      </c>
      <c r="J4" s="287">
        <v>2009</v>
      </c>
      <c r="K4" s="287">
        <v>2010</v>
      </c>
      <c r="L4" s="287">
        <v>2011</v>
      </c>
      <c r="M4" s="287">
        <v>2012</v>
      </c>
      <c r="N4" s="287">
        <v>2013</v>
      </c>
      <c r="O4" s="287">
        <v>2014</v>
      </c>
      <c r="P4" s="287">
        <v>2015</v>
      </c>
      <c r="Q4" s="287">
        <v>2016</v>
      </c>
      <c r="R4" s="287">
        <v>2017</v>
      </c>
      <c r="S4" s="287">
        <v>2018</v>
      </c>
      <c r="T4" s="287">
        <v>2019</v>
      </c>
      <c r="U4" s="287">
        <v>2020</v>
      </c>
      <c r="V4" s="287">
        <v>2021</v>
      </c>
      <c r="W4" s="287">
        <v>2022</v>
      </c>
      <c r="X4" s="287">
        <v>2023</v>
      </c>
      <c r="Y4" s="287">
        <v>2024</v>
      </c>
      <c r="Z4" s="422" t="s">
        <v>389</v>
      </c>
      <c r="AA4" s="422" t="s">
        <v>390</v>
      </c>
      <c r="AB4" s="287" t="s">
        <v>391</v>
      </c>
    </row>
    <row r="5" spans="1:30" ht="11.25">
      <c r="A5" s="288"/>
      <c r="B5" s="289"/>
      <c r="C5" s="290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D5" s="283" t="s">
        <v>392</v>
      </c>
    </row>
    <row r="6" spans="1:30" ht="14.1" customHeight="1">
      <c r="A6" s="2270" t="s">
        <v>56</v>
      </c>
      <c r="B6" s="2271"/>
      <c r="C6" s="2261">
        <f t="shared" ref="C6:R6" si="0">SUM(C14:C19)+C8</f>
        <v>1075</v>
      </c>
      <c r="D6" s="2261">
        <f t="shared" si="0"/>
        <v>1075.25</v>
      </c>
      <c r="E6" s="2261">
        <f t="shared" si="0"/>
        <v>1672.9166666666667</v>
      </c>
      <c r="F6" s="2261">
        <f t="shared" si="0"/>
        <v>2662.25</v>
      </c>
      <c r="G6" s="2261">
        <f t="shared" si="0"/>
        <v>2629.9166666666665</v>
      </c>
      <c r="H6" s="2261">
        <f t="shared" si="0"/>
        <v>2544.5</v>
      </c>
      <c r="I6" s="2261">
        <f t="shared" si="0"/>
        <v>2585.130518283273</v>
      </c>
      <c r="J6" s="2261">
        <f t="shared" si="0"/>
        <v>2624.8072243153879</v>
      </c>
      <c r="K6" s="2261">
        <f t="shared" si="0"/>
        <v>2457.9498997924775</v>
      </c>
      <c r="L6" s="2261">
        <f t="shared" si="0"/>
        <v>2574.616566459144</v>
      </c>
      <c r="M6" s="2261">
        <f t="shared" si="0"/>
        <v>2476.0332331258105</v>
      </c>
      <c r="N6" s="2261">
        <f t="shared" si="0"/>
        <v>3555.399966597492</v>
      </c>
      <c r="O6" s="2261">
        <f t="shared" si="0"/>
        <v>1701.25</v>
      </c>
      <c r="P6" s="2261">
        <f t="shared" si="0"/>
        <v>1706.5833333333333</v>
      </c>
      <c r="Q6" s="2261">
        <f t="shared" si="0"/>
        <v>2937.4166666666665</v>
      </c>
      <c r="R6" s="2261">
        <f t="shared" si="0"/>
        <v>4304</v>
      </c>
      <c r="S6" s="2261">
        <f>SUM(S14:S19)+S8</f>
        <v>4518.25</v>
      </c>
      <c r="T6" s="2261">
        <f>SUM(T14:T19)+T8</f>
        <v>4746.166666666667</v>
      </c>
      <c r="U6" s="2261">
        <f>SUM(U14:U19)+U8</f>
        <v>4746.166666666667</v>
      </c>
      <c r="V6" s="2177">
        <v>4746.166666666667</v>
      </c>
      <c r="W6" s="2177"/>
      <c r="X6" s="2177"/>
      <c r="Y6" s="2177"/>
      <c r="Z6" s="2261">
        <f>S6-P6</f>
        <v>2811.666666666667</v>
      </c>
      <c r="AA6" s="2281">
        <f>(S6-P6)/P6</f>
        <v>1.647541383856634</v>
      </c>
      <c r="AB6" s="2261">
        <f>SUM(AB14:AB19)+AB8</f>
        <v>13192</v>
      </c>
      <c r="AD6" s="487">
        <f>AB6+AB20+AB38+AB57+AB61+AB72</f>
        <v>19202.333333333336</v>
      </c>
    </row>
    <row r="7" spans="1:30" ht="14.1" customHeight="1">
      <c r="A7" s="2272"/>
      <c r="B7" s="2273"/>
      <c r="C7" s="2261"/>
      <c r="D7" s="2261"/>
      <c r="E7" s="2261"/>
      <c r="F7" s="2261"/>
      <c r="G7" s="2261"/>
      <c r="H7" s="2261"/>
      <c r="I7" s="2261"/>
      <c r="J7" s="2261"/>
      <c r="K7" s="2261"/>
      <c r="L7" s="2261"/>
      <c r="M7" s="2261"/>
      <c r="N7" s="2261"/>
      <c r="O7" s="2261"/>
      <c r="P7" s="2261"/>
      <c r="Q7" s="2261"/>
      <c r="R7" s="2261"/>
      <c r="S7" s="2261"/>
      <c r="T7" s="2261"/>
      <c r="U7" s="2261"/>
      <c r="V7" s="2177"/>
      <c r="W7" s="2177"/>
      <c r="X7" s="2177"/>
      <c r="Y7" s="2177"/>
      <c r="Z7" s="2261"/>
      <c r="AA7" s="2281"/>
      <c r="AB7" s="2261"/>
    </row>
    <row r="8" spans="1:30" ht="12">
      <c r="A8" s="294"/>
      <c r="B8" s="295" t="s">
        <v>393</v>
      </c>
      <c r="C8" s="296">
        <f>IF($C$1="APM",Monthly!O1870,IF($C$1="Yearly",Monthly!O1870*12,0))</f>
        <v>1075</v>
      </c>
      <c r="D8" s="296">
        <f>IF($C$1="APM",Monthly!O1793,IF($C$1="Yearly",Monthly!O1793*12,0))</f>
        <v>1075</v>
      </c>
      <c r="E8" s="296">
        <f>IF($C$1="APM",Monthly!O1716,IF($C$1="Yearly",Monthly!O1716*12,0))</f>
        <v>1378.75</v>
      </c>
      <c r="F8" s="296">
        <f>IF($C$1="APM",Monthly!O1638,IF($C$1="Yearly",Monthly!O1638*12,0))</f>
        <v>2045.0833333333333</v>
      </c>
      <c r="G8" s="296">
        <f>IF($C$1="APM",Monthly!O1560,IF($C$1="Yearly",Monthly!O1560*12,0))</f>
        <v>1978.0833333333333</v>
      </c>
      <c r="H8" s="296">
        <f>IF($C$1="APM",Monthly!O1482,IF($C$1="Yearly",Monthly!O1482*12,0))</f>
        <v>1894</v>
      </c>
      <c r="I8" s="296">
        <f>IF($C$1="APM",Monthly!O1405,IF($C$1="Yearly",Monthly!O1405*12,0))</f>
        <v>1895.2971849499397</v>
      </c>
      <c r="J8" s="296">
        <f>IF($C$1="APM",Monthly!O1328,IF($C$1="Yearly",Monthly!O1328*12,0))</f>
        <v>1892.7238909820546</v>
      </c>
      <c r="K8" s="296">
        <f>IF($C$1="APM",Monthly!O1251,IF($C$1="Yearly",Monthly!O1251*12,0))</f>
        <v>1755.4498997924773</v>
      </c>
      <c r="L8" s="296">
        <f>IF($C$1="APM",Monthly!O1173,IF($C$1="Yearly",Monthly!O1173*12,0))</f>
        <v>1755.4498997924773</v>
      </c>
      <c r="M8" s="296">
        <f>IF($C$1="APM",Monthly!O1096,IF($C$1="Yearly",Monthly!O1096*12,0))</f>
        <v>1755.4498997924773</v>
      </c>
      <c r="N8" s="296">
        <f>IF($C$1="APM",Monthly!O1019,IF($C$1="Yearly",Monthly!O1019*12,0))</f>
        <v>2688.899966597492</v>
      </c>
      <c r="O8" s="296">
        <f>IF($C$1="APM",Monthly!O942,IF($C$1="Yearly",Monthly!O942*12,0))</f>
        <v>1057</v>
      </c>
      <c r="P8" s="296">
        <f>IF($C$1="APM",Monthly!$O866,IF($C$1="Yearly",Monthly!$O866*12,0))</f>
        <v>1057</v>
      </c>
      <c r="Q8" s="296">
        <f>IF($C$1="APM",Monthly!$O789,IF($C$1="Yearly",Monthly!$O789*12,0))</f>
        <v>2446</v>
      </c>
      <c r="R8" s="296">
        <f>IF($C$1="APM",Monthly!$O712,IF($C$1="Yearly",Monthly!$O712*12,0))</f>
        <v>4296.833333333333</v>
      </c>
      <c r="S8" s="296">
        <f>IF($C$1="APM",Monthly!$O635,IF($C$1="Yearly",Monthly!$O635*12,0))</f>
        <v>4487</v>
      </c>
      <c r="T8" s="296">
        <f>IF($C$1="APM",Monthly!$O558,IF($C$1="Yearly",Monthly!$O558*12,0))</f>
        <v>4742</v>
      </c>
      <c r="U8" s="296">
        <f>IF($C$1="APM",Monthly!$O558,IF($C$1="Yearly",Monthly!$O558*12,0))</f>
        <v>4742</v>
      </c>
      <c r="V8" s="296"/>
      <c r="W8" s="296"/>
      <c r="X8" s="296"/>
      <c r="Y8" s="296"/>
      <c r="Z8" s="296">
        <f>S8-P8</f>
        <v>3430</v>
      </c>
      <c r="AA8" s="420">
        <f>T8-Q8</f>
        <v>2296</v>
      </c>
      <c r="AB8" s="296">
        <v>9242</v>
      </c>
    </row>
    <row r="9" spans="1:30" ht="12">
      <c r="A9" s="294"/>
      <c r="B9" s="297" t="s">
        <v>394</v>
      </c>
      <c r="C9" s="296">
        <f>IF($C$1="APM",Monthly!O1871,IF($C$1="Yearly",Monthly!O1871*12,0))</f>
        <v>0</v>
      </c>
      <c r="D9" s="296">
        <f>IF($C$1="APM",Monthly!O1794,IF($C$1="Yearly",Monthly!O1794*12,0))</f>
        <v>0</v>
      </c>
      <c r="E9" s="296">
        <f>IF($C$1="APM",Monthly!O1717,IF($C$1="Yearly",Monthly!O1717*12,0))</f>
        <v>899.5</v>
      </c>
      <c r="F9" s="296">
        <f>IF($C$1="APM",Monthly!O1639,IF($C$1="Yearly",Monthly!O1639*12,0))</f>
        <v>856.25</v>
      </c>
      <c r="G9" s="296">
        <f>IF($C$1="APM",Monthly!O1561,IF($C$1="Yearly",Monthly!O1561*12,0))</f>
        <v>837</v>
      </c>
      <c r="H9" s="296">
        <f>IF($C$1="APM",Monthly!O1483,IF($C$1="Yearly",Monthly!O1483*12,0))</f>
        <v>820.5</v>
      </c>
      <c r="I9" s="296">
        <f>IF($C$1="APM",Monthly!O1406,IF($C$1="Yearly",Monthly!O1406*12,0))</f>
        <v>966.1193477656708</v>
      </c>
      <c r="J9" s="296">
        <f>IF($C$1="APM",Monthly!O1329,IF($C$1="Yearly",Monthly!O1329*12,0))</f>
        <v>902.71851673181061</v>
      </c>
      <c r="K9" s="296">
        <f>IF($C$1="APM",Monthly!O1252,IF($C$1="Yearly",Monthly!O1252*12,0))</f>
        <v>982.20460149695793</v>
      </c>
      <c r="L9" s="296">
        <f>IF($C$1="APM",Monthly!O1174,IF($C$1="Yearly",Monthly!O1174*12,0))</f>
        <v>967.1475835520954</v>
      </c>
      <c r="M9" s="296">
        <f>IF($C$1="APM",Monthly!O1097,IF($C$1="Yearly",Monthly!O1097*12,0))</f>
        <v>951.24123144117664</v>
      </c>
      <c r="N9" s="296">
        <f>IF($C$1="APM",Monthly!O1020,IF($C$1="Yearly",Monthly!O1020*12,0))</f>
        <v>751.72535101413871</v>
      </c>
      <c r="O9" s="296">
        <f>IF($C$1="APM",Monthly!O943,IF($C$1="Yearly",Monthly!O943*12,0))</f>
        <v>657</v>
      </c>
      <c r="P9" s="296">
        <f>IF($C$1="APM",Monthly!$O867,IF($C$1="Yearly",Monthly!$O867*12,0))</f>
        <v>657</v>
      </c>
      <c r="Q9" s="296">
        <f>IF($C$1="APM",Monthly!$O790,IF($C$1="Yearly",Monthly!$O790*12,0))</f>
        <v>383.25</v>
      </c>
      <c r="R9" s="296">
        <f>IF($C$1="APM",Monthly!$O713,IF($C$1="Yearly",Monthly!$O713*12,0))</f>
        <v>0</v>
      </c>
      <c r="S9" s="296">
        <f>IF($C$1="APM",Monthly!$O636,IF($C$1="Yearly",Monthly!$O636*12,0))</f>
        <v>0</v>
      </c>
      <c r="T9" s="296">
        <f>IF($C$1="APM",Monthly!$O559,IF($C$1="Yearly",Monthly!$O559*12,0))</f>
        <v>0</v>
      </c>
      <c r="U9" s="296">
        <f>IF($C$1="APM",Monthly!$O559,IF($C$1="Yearly",Monthly!$O559*12,0))</f>
        <v>0</v>
      </c>
      <c r="V9" s="296"/>
      <c r="W9" s="296"/>
      <c r="X9" s="296"/>
      <c r="Y9" s="296"/>
      <c r="Z9" s="296">
        <f t="shared" ref="Z9:Z19" si="1">S9-P9</f>
        <v>-657</v>
      </c>
      <c r="AA9" s="420">
        <f>IF($C$1="APM",Monthly!$O559,IF($C$1="Yearly",Monthly!$O559*12,0))</f>
        <v>0</v>
      </c>
      <c r="AB9" s="296">
        <f>IF($C$1="APM",Monthly!$O559,IF($C$1="Yearly",Monthly!$O559*12,0))</f>
        <v>0</v>
      </c>
    </row>
    <row r="10" spans="1:30" ht="12">
      <c r="A10" s="294"/>
      <c r="B10" s="297" t="s">
        <v>395</v>
      </c>
      <c r="C10" s="296">
        <f>IF($C$1="APM",Monthly!O1872,IF($C$1="Yearly",Monthly!O1872*12,0))</f>
        <v>0</v>
      </c>
      <c r="D10" s="296">
        <f>IF($C$1="APM",Monthly!O1795,IF($C$1="Yearly",Monthly!O1795*12,0))</f>
        <v>0</v>
      </c>
      <c r="E10" s="296">
        <f>IF($C$1="APM",Monthly!O1718,IF($C$1="Yearly",Monthly!O1718*12,0))</f>
        <v>177.16666666666666</v>
      </c>
      <c r="F10" s="296">
        <f>IF($C$1="APM",Monthly!O1640,IF($C$1="Yearly",Monthly!O1640*12,0))</f>
        <v>446</v>
      </c>
      <c r="G10" s="296">
        <f>IF($C$1="APM",Monthly!O1562,IF($C$1="Yearly",Monthly!O1562*12,0))</f>
        <v>431.75</v>
      </c>
      <c r="H10" s="296">
        <f>IF($C$1="APM",Monthly!O1484,IF($C$1="Yearly",Monthly!O1484*12,0))</f>
        <v>363.5</v>
      </c>
      <c r="I10" s="296">
        <f>IF($C$1="APM",Monthly!O1407,IF($C$1="Yearly",Monthly!O1407*12,0))</f>
        <v>281.22315240680922</v>
      </c>
      <c r="J10" s="296">
        <f>IF($C$1="APM",Monthly!O1330,IF($C$1="Yearly",Monthly!O1330*12,0))</f>
        <v>346.41728623159548</v>
      </c>
      <c r="K10" s="296">
        <f>IF($C$1="APM",Monthly!O1253,IF($C$1="Yearly",Monthly!O1253*12,0))</f>
        <v>266.93120146644827</v>
      </c>
      <c r="L10" s="296">
        <f>IF($C$1="APM",Monthly!O1175,IF($C$1="Yearly",Monthly!O1175*12,0))</f>
        <v>281.98821941131075</v>
      </c>
      <c r="M10" s="296">
        <f>IF($C$1="APM",Monthly!O1098,IF($C$1="Yearly",Monthly!O1098*12,0))</f>
        <v>297.89457152222963</v>
      </c>
      <c r="N10" s="296">
        <f>IF($C$1="APM",Monthly!O1021,IF($C$1="Yearly",Monthly!O1021*12,0))</f>
        <v>369.31991664032989</v>
      </c>
      <c r="O10" s="296">
        <f>IF($C$1="APM",Monthly!O944,IF($C$1="Yearly",Monthly!O944*12,0))</f>
        <v>400</v>
      </c>
      <c r="P10" s="296">
        <f>IF($C$1="APM",Monthly!$O868,IF($C$1="Yearly",Monthly!$O868*12,0))</f>
        <v>400</v>
      </c>
      <c r="Q10" s="296">
        <f>IF($C$1="APM",Monthly!$O791,IF($C$1="Yearly",Monthly!$O791*12,0))</f>
        <v>233.33333333333334</v>
      </c>
      <c r="R10" s="296">
        <f>IF($C$1="APM",Monthly!$O714,IF($C$1="Yearly",Monthly!$O714*12,0))</f>
        <v>0</v>
      </c>
      <c r="S10" s="296">
        <f>IF($C$1="APM",Monthly!$O637,IF($C$1="Yearly",Monthly!$O637*12,0))</f>
        <v>0</v>
      </c>
      <c r="T10" s="296">
        <f>IF($C$1="APM",Monthly!$O560,IF($C$1="Yearly",Monthly!$O560*12,0))</f>
        <v>0</v>
      </c>
      <c r="U10" s="296">
        <f>IF($C$1="APM",Monthly!$O560,IF($C$1="Yearly",Monthly!$O560*12,0))</f>
        <v>0</v>
      </c>
      <c r="V10" s="296"/>
      <c r="W10" s="296"/>
      <c r="X10" s="296"/>
      <c r="Y10" s="296"/>
      <c r="Z10" s="296">
        <f t="shared" si="1"/>
        <v>-400</v>
      </c>
      <c r="AA10" s="420">
        <f>IF($C$1="APM",Monthly!$O560,IF($C$1="Yearly",Monthly!$O560*12,0))</f>
        <v>0</v>
      </c>
      <c r="AB10" s="296">
        <f>IF($C$1="APM",Monthly!$O560,IF($C$1="Yearly",Monthly!$O560*12,0))</f>
        <v>0</v>
      </c>
    </row>
    <row r="11" spans="1:30" ht="12">
      <c r="A11" s="294"/>
      <c r="B11" s="295" t="s">
        <v>396</v>
      </c>
      <c r="C11" s="296">
        <f>IF($C$1="APM",Monthly!O1873,IF($C$1="Yearly",Monthly!O1873*12,0))</f>
        <v>0</v>
      </c>
      <c r="D11" s="296">
        <f>IF($C$1="APM",Monthly!O1796,IF($C$1="Yearly",Monthly!O1796*12,0))</f>
        <v>0</v>
      </c>
      <c r="E11" s="296">
        <f>IF($C$1="APM",Monthly!O1719,IF($C$1="Yearly",Monthly!O1719*12,0))</f>
        <v>0</v>
      </c>
      <c r="F11" s="296">
        <f>IF($C$1="APM",Monthly!O1641,IF($C$1="Yearly",Monthly!O1641*12,0))</f>
        <v>0</v>
      </c>
      <c r="G11" s="296">
        <f>IF($C$1="APM",Monthly!O1563,IF($C$1="Yearly",Monthly!O1563*12,0))</f>
        <v>0</v>
      </c>
      <c r="H11" s="296">
        <f>IF($C$1="APM",Monthly!O1485,IF($C$1="Yearly",Monthly!O1485*12,0))</f>
        <v>0</v>
      </c>
      <c r="I11" s="296">
        <f>IF($C$1="APM",Monthly!O1408,IF($C$1="Yearly",Monthly!O1408*12,0))</f>
        <v>58.833333333333336</v>
      </c>
      <c r="J11" s="296">
        <f>IF($C$1="APM",Monthly!O1331,IF($C$1="Yearly",Monthly!O1331*12,0))</f>
        <v>0</v>
      </c>
      <c r="K11" s="296">
        <f>IF($C$1="APM",Monthly!O1254,IF($C$1="Yearly",Monthly!O1254*12,0))</f>
        <v>0</v>
      </c>
      <c r="L11" s="296">
        <f>IF($C$1="APM",Monthly!O1176,IF($C$1="Yearly",Monthly!O1176*12,0))</f>
        <v>0</v>
      </c>
      <c r="M11" s="296">
        <f>IF($C$1="APM",Monthly!O1099,IF($C$1="Yearly",Monthly!O1099*12,0))</f>
        <v>0</v>
      </c>
      <c r="N11" s="296">
        <f>IF($C$1="APM",Monthly!O1022,IF($C$1="Yearly",Monthly!O1022*12,0))</f>
        <v>0</v>
      </c>
      <c r="O11" s="296">
        <f>IF($C$1="APM",Monthly!O945,IF($C$1="Yearly",Monthly!O945*12,0))</f>
        <v>0</v>
      </c>
      <c r="P11" s="296">
        <f>IF($C$1="APM",Monthly!$O869,IF($C$1="Yearly",Monthly!$O869*12,0))</f>
        <v>0</v>
      </c>
      <c r="Q11" s="296">
        <f>IF($C$1="APM",Monthly!$O792,IF($C$1="Yearly",Monthly!$O792*12,0))</f>
        <v>0</v>
      </c>
      <c r="R11" s="296">
        <f>IF($C$1="APM",Monthly!$O715,IF($C$1="Yearly",Monthly!$O715*12,0))</f>
        <v>0</v>
      </c>
      <c r="S11" s="296">
        <f>IF($C$1="APM",Monthly!$O638,IF($C$1="Yearly",Monthly!$O638*12,0))</f>
        <v>0</v>
      </c>
      <c r="T11" s="296">
        <f>IF($C$1="APM",Monthly!$O561,IF($C$1="Yearly",Monthly!$O561*12,0))</f>
        <v>0</v>
      </c>
      <c r="U11" s="296">
        <f>IF($C$1="APM",Monthly!$O561,IF($C$1="Yearly",Monthly!$O561*12,0))</f>
        <v>0</v>
      </c>
      <c r="V11" s="296"/>
      <c r="W11" s="296"/>
      <c r="X11" s="296"/>
      <c r="Y11" s="296"/>
      <c r="Z11" s="296">
        <f t="shared" si="1"/>
        <v>0</v>
      </c>
      <c r="AA11" s="420">
        <f>IF($C$1="APM",Monthly!$O561,IF($C$1="Yearly",Monthly!$O561*12,0))</f>
        <v>0</v>
      </c>
      <c r="AB11" s="296">
        <f>IF($C$1="APM",Monthly!$O561,IF($C$1="Yearly",Monthly!$O561*12,0))</f>
        <v>0</v>
      </c>
    </row>
    <row r="12" spans="1:30" ht="12">
      <c r="A12" s="294"/>
      <c r="B12" s="295" t="s">
        <v>397</v>
      </c>
      <c r="C12" s="296">
        <f>IF($C$1="APM",Monthly!O1874,IF($C$1="Yearly",Monthly!O1874*12,0))</f>
        <v>0</v>
      </c>
      <c r="D12" s="296">
        <f>IF($C$1="APM",Monthly!O1797,IF($C$1="Yearly",Monthly!O1797*12,0))</f>
        <v>0</v>
      </c>
      <c r="E12" s="296">
        <f>IF($C$1="APM",Monthly!O1720,IF($C$1="Yearly",Monthly!O1720*12,0))</f>
        <v>149.75</v>
      </c>
      <c r="F12" s="296">
        <f>IF($C$1="APM",Monthly!O1642,IF($C$1="Yearly",Monthly!O1642*12,0))</f>
        <v>283.16666666666669</v>
      </c>
      <c r="G12" s="296">
        <f>IF($C$1="APM",Monthly!O1564,IF($C$1="Yearly",Monthly!O1564*12,0))</f>
        <v>255.66666666666666</v>
      </c>
      <c r="H12" s="296">
        <f>IF($C$1="APM",Monthly!O1486,IF($C$1="Yearly",Monthly!O1486*12,0))</f>
        <v>231</v>
      </c>
      <c r="I12" s="296">
        <f>IF($C$1="APM",Monthly!O1409,IF($C$1="Yearly",Monthly!O1409*12,0))</f>
        <v>197.5701124056948</v>
      </c>
      <c r="J12" s="296">
        <f>IF($C$1="APM",Monthly!O1332,IF($C$1="Yearly",Monthly!O1332*12,0))</f>
        <v>177.77421721313215</v>
      </c>
      <c r="K12" s="296">
        <f>IF($C$1="APM",Monthly!O1255,IF($C$1="Yearly",Monthly!O1255*12,0))</f>
        <v>157.51059632819502</v>
      </c>
      <c r="L12" s="296">
        <f>IF($C$1="APM",Monthly!O1177,IF($C$1="Yearly",Monthly!O1177*12,0))</f>
        <v>135.99715964662309</v>
      </c>
      <c r="M12" s="296">
        <f>IF($C$1="APM",Monthly!O1100,IF($C$1="Yearly",Monthly!O1100*12,0))</f>
        <v>113.15682126484637</v>
      </c>
      <c r="N12" s="296">
        <f>IF($C$1="APM",Monthly!O1023,IF($C$1="Yearly",Monthly!O1023*12,0))</f>
        <v>32.402276240344847</v>
      </c>
      <c r="O12" s="296">
        <f>IF($C$1="APM",Monthly!O946,IF($C$1="Yearly",Monthly!O946*12,0))</f>
        <v>0</v>
      </c>
      <c r="P12" s="296">
        <f>IF($C$1="APM",Monthly!$O870,IF($C$1="Yearly",Monthly!$O870*12,0))</f>
        <v>0</v>
      </c>
      <c r="Q12" s="296">
        <f>IF($C$1="APM",Monthly!$O793,IF($C$1="Yearly",Monthly!$O793*12,0))</f>
        <v>0</v>
      </c>
      <c r="R12" s="296">
        <f>IF($C$1="APM",Monthly!$O716,IF($C$1="Yearly",Monthly!$O716*12,0))</f>
        <v>0</v>
      </c>
      <c r="S12" s="296">
        <f>IF($C$1="APM",Monthly!$O639,IF($C$1="Yearly",Monthly!$O639*12,0))</f>
        <v>0</v>
      </c>
      <c r="T12" s="296">
        <f>IF($C$1="APM",Monthly!$O562,IF($C$1="Yearly",Monthly!$O562*12,0))</f>
        <v>0</v>
      </c>
      <c r="U12" s="296">
        <f>IF($C$1="APM",Monthly!$O562,IF($C$1="Yearly",Monthly!$O562*12,0))</f>
        <v>0</v>
      </c>
      <c r="V12" s="296"/>
      <c r="W12" s="296"/>
      <c r="X12" s="296"/>
      <c r="Y12" s="296"/>
      <c r="Z12" s="296">
        <f t="shared" si="1"/>
        <v>0</v>
      </c>
      <c r="AA12" s="420">
        <f>IF($C$1="APM",Monthly!$O562,IF($C$1="Yearly",Monthly!$O562*12,0))</f>
        <v>0</v>
      </c>
      <c r="AB12" s="296">
        <f>IF($C$1="APM",Monthly!$O562,IF($C$1="Yearly",Monthly!$O562*12,0))</f>
        <v>0</v>
      </c>
    </row>
    <row r="13" spans="1:30" ht="12">
      <c r="A13" s="294"/>
      <c r="B13" s="297" t="s">
        <v>398</v>
      </c>
      <c r="C13" s="296">
        <f>IF($C$1="APM",Monthly!O1875,IF($C$1="Yearly",Monthly!O1875*12,0))</f>
        <v>0</v>
      </c>
      <c r="D13" s="296">
        <f>IF($C$1="APM",Monthly!O1798,IF($C$1="Yearly",Monthly!O1798*12,0))</f>
        <v>0</v>
      </c>
      <c r="E13" s="296">
        <f>IF($C$1="APM",Monthly!O1721,IF($C$1="Yearly",Monthly!O1721*12,0))</f>
        <v>105</v>
      </c>
      <c r="F13" s="296">
        <f>IF($C$1="APM",Monthly!O1643,IF($C$1="Yearly",Monthly!O1643*12,0))</f>
        <v>459.66666666666669</v>
      </c>
      <c r="G13" s="296">
        <f>IF($C$1="APM",Monthly!O1565,IF($C$1="Yearly",Monthly!O1565*12,0))</f>
        <v>453.66666666666669</v>
      </c>
      <c r="H13" s="296">
        <f>IF($C$1="APM",Monthly!O1487,IF($C$1="Yearly",Monthly!O1487*12,0))</f>
        <v>479</v>
      </c>
      <c r="I13" s="296">
        <f>IF($C$1="APM",Monthly!O1410,IF($C$1="Yearly",Monthly!O1410*12,0))</f>
        <v>391.55123903843156</v>
      </c>
      <c r="J13" s="296">
        <f>IF($C$1="APM",Monthly!O1333,IF($C$1="Yearly",Monthly!O1333*12,0))</f>
        <v>465.8138708055165</v>
      </c>
      <c r="K13" s="296">
        <f>IF($C$1="APM",Monthly!O1256,IF($C$1="Yearly",Monthly!O1256*12,0))</f>
        <v>348.80350050087577</v>
      </c>
      <c r="L13" s="296">
        <f>IF($C$1="APM",Monthly!O1178,IF($C$1="Yearly",Monthly!O1178*12,0))</f>
        <v>370.3169371824477</v>
      </c>
      <c r="M13" s="296">
        <f>IF($C$1="APM",Monthly!O1101,IF($C$1="Yearly",Monthly!O1101*12,0))</f>
        <v>393.15727556422439</v>
      </c>
      <c r="N13" s="296">
        <f>IF($C$1="APM",Monthly!O1024,IF($C$1="Yearly",Monthly!O1024*12,0))</f>
        <v>1535.4524227026786</v>
      </c>
      <c r="O13" s="296">
        <f>IF($C$1="APM",Monthly!O947,IF($C$1="Yearly",Monthly!O947*12,0))</f>
        <v>0</v>
      </c>
      <c r="P13" s="296">
        <f>IF($C$1="APM",Monthly!$O871,IF($C$1="Yearly",Monthly!$O871*12,0))</f>
        <v>0</v>
      </c>
      <c r="Q13" s="296">
        <f>IF($C$1="APM",Monthly!$O794,IF($C$1="Yearly",Monthly!$O794*12,0))</f>
        <v>0</v>
      </c>
      <c r="R13" s="296">
        <f>IF($C$1="APM",Monthly!$O717,IF($C$1="Yearly",Monthly!$O717*12,0))</f>
        <v>0</v>
      </c>
      <c r="S13" s="296">
        <f>IF($C$1="APM",Monthly!$O640,IF($C$1="Yearly",Monthly!$O640*12,0))</f>
        <v>0</v>
      </c>
      <c r="T13" s="296">
        <f>IF($C$1="APM",Monthly!$O563,IF($C$1="Yearly",Monthly!$O563*12,0))</f>
        <v>0</v>
      </c>
      <c r="U13" s="296">
        <f>IF($C$1="APM",Monthly!$O563,IF($C$1="Yearly",Monthly!$O563*12,0))</f>
        <v>0</v>
      </c>
      <c r="V13" s="296"/>
      <c r="W13" s="296"/>
      <c r="X13" s="296"/>
      <c r="Y13" s="296"/>
      <c r="Z13" s="296">
        <f t="shared" si="1"/>
        <v>0</v>
      </c>
      <c r="AA13" s="420">
        <f>IF($C$1="APM",Monthly!$O563,IF($C$1="Yearly",Monthly!$O563*12,0))</f>
        <v>0</v>
      </c>
      <c r="AB13" s="296">
        <f>IF($C$1="APM",Monthly!$O563,IF($C$1="Yearly",Monthly!$O563*12,0))</f>
        <v>0</v>
      </c>
    </row>
    <row r="14" spans="1:30" ht="12">
      <c r="A14" s="294"/>
      <c r="B14" s="295" t="s">
        <v>287</v>
      </c>
      <c r="C14" s="296">
        <f>IF($C$1="APM",Monthly!O1876,IF($C$1="Yearly",Monthly!O1876*12,0))</f>
        <v>0</v>
      </c>
      <c r="D14" s="296">
        <f>IF($C$1="APM",Monthly!O1799,IF($C$1="Yearly",Monthly!O1799*12,0))</f>
        <v>0</v>
      </c>
      <c r="E14" s="296">
        <f>IF($C$1="APM",Monthly!O1722,IF($C$1="Yearly",Monthly!O1722*12,0))</f>
        <v>156</v>
      </c>
      <c r="F14" s="296">
        <f>IF($C$1="APM",Monthly!O1644,IF($C$1="Yearly",Monthly!O1644*12,0))</f>
        <v>312</v>
      </c>
      <c r="G14" s="296">
        <f>IF($C$1="APM",Monthly!O1566,IF($C$1="Yearly",Monthly!O1566*12,0))</f>
        <v>312</v>
      </c>
      <c r="H14" s="296">
        <f>IF($C$1="APM",Monthly!O1488,IF($C$1="Yearly",Monthly!O1488*12,0))</f>
        <v>312</v>
      </c>
      <c r="I14" s="296">
        <f>IF($C$1="APM",Monthly!O1411,IF($C$1="Yearly",Monthly!O1411*12,0))</f>
        <v>317.58333333333331</v>
      </c>
      <c r="J14" s="296">
        <f>IF($C$1="APM",Monthly!O1334,IF($C$1="Yearly",Monthly!O1334*12,0))</f>
        <v>312</v>
      </c>
      <c r="K14" s="296">
        <f>IF($C$1="APM",Monthly!O1257,IF($C$1="Yearly",Monthly!O1257*12,0))</f>
        <v>308.25</v>
      </c>
      <c r="L14" s="296">
        <f>IF($C$1="APM",Monthly!O1179,IF($C$1="Yearly",Monthly!O1179*12,0))</f>
        <v>308.25</v>
      </c>
      <c r="M14" s="296">
        <f>IF($C$1="APM",Monthly!O1102,IF($C$1="Yearly",Monthly!O1102*12,0))</f>
        <v>308.25</v>
      </c>
      <c r="N14" s="296">
        <f>IF($C$1="APM",Monthly!O1025,IF($C$1="Yearly",Monthly!O1025*12,0))</f>
        <v>303</v>
      </c>
      <c r="O14" s="296">
        <f>IF($C$1="APM",Monthly!O948,IF($C$1="Yearly",Monthly!O948*12,0))</f>
        <v>303</v>
      </c>
      <c r="P14" s="296">
        <f>IF($C$1="APM",Monthly!$O872,IF($C$1="Yearly",Monthly!$O872*12,0))</f>
        <v>303</v>
      </c>
      <c r="Q14" s="296">
        <f>IF($C$1="APM",Monthly!$O795,IF($C$1="Yearly",Monthly!$O795*12,0))</f>
        <v>176.75</v>
      </c>
      <c r="R14" s="296">
        <f>IF($C$1="APM",Monthly!$O718,IF($C$1="Yearly",Monthly!$O718*12,0))</f>
        <v>0</v>
      </c>
      <c r="S14" s="296">
        <f>IF($C$1="APM",Monthly!$O641,IF($C$1="Yearly",Monthly!$O641*12,0))</f>
        <v>0</v>
      </c>
      <c r="T14" s="296">
        <f>IF($C$1="APM",Monthly!$O564,IF($C$1="Yearly",Monthly!$O564*12,0))</f>
        <v>0</v>
      </c>
      <c r="U14" s="296">
        <f>IF($C$1="APM",Monthly!$O564,IF($C$1="Yearly",Monthly!$O564*12,0))</f>
        <v>0</v>
      </c>
      <c r="V14" s="296"/>
      <c r="W14" s="296"/>
      <c r="X14" s="296"/>
      <c r="Y14" s="296"/>
      <c r="Z14" s="296">
        <f t="shared" si="1"/>
        <v>-303</v>
      </c>
      <c r="AA14" s="420">
        <f>IF($C$1="APM",Monthly!$O564,IF($C$1="Yearly",Monthly!$O564*12,0))</f>
        <v>0</v>
      </c>
      <c r="AB14" s="296">
        <v>3325</v>
      </c>
    </row>
    <row r="15" spans="1:30" ht="12">
      <c r="A15" s="294"/>
      <c r="B15" s="295" t="s">
        <v>399</v>
      </c>
      <c r="C15" s="296">
        <f>IF($C$1="APM",Monthly!O1877,IF($C$1="Yearly",Monthly!O1877*12,0))</f>
        <v>0</v>
      </c>
      <c r="D15" s="296">
        <f>IF($C$1="APM",Monthly!O1800,IF($C$1="Yearly",Monthly!O1800*12,0))</f>
        <v>0</v>
      </c>
      <c r="E15" s="296">
        <f>IF($C$1="APM",Monthly!O1723,IF($C$1="Yearly",Monthly!O1723*12,0))</f>
        <v>0</v>
      </c>
      <c r="F15" s="296">
        <f>IF($C$1="APM",Monthly!O1645,IF($C$1="Yearly",Monthly!O1645*12,0))</f>
        <v>10.416666666666666</v>
      </c>
      <c r="G15" s="296">
        <f>IF($C$1="APM",Monthly!O1567,IF($C$1="Yearly",Monthly!O1567*12,0))</f>
        <v>22.916666666666668</v>
      </c>
      <c r="H15" s="296">
        <f>IF($C$1="APM",Monthly!O1489,IF($C$1="Yearly",Monthly!O1489*12,0))</f>
        <v>22.916666666666668</v>
      </c>
      <c r="I15" s="296">
        <f>IF($C$1="APM",Monthly!O1412,IF($C$1="Yearly",Monthly!O1412*12,0))</f>
        <v>25</v>
      </c>
      <c r="J15" s="296">
        <f>IF($C$1="APM",Monthly!O1335,IF($C$1="Yearly",Monthly!O1335*12,0))</f>
        <v>25</v>
      </c>
      <c r="K15" s="296">
        <f>IF($C$1="APM",Monthly!O1258,IF($C$1="Yearly",Monthly!O1258*12,0))</f>
        <v>25</v>
      </c>
      <c r="L15" s="296">
        <f>IF($C$1="APM",Monthly!O1180,IF($C$1="Yearly",Monthly!O1180*12,0))</f>
        <v>25</v>
      </c>
      <c r="M15" s="296">
        <f>IF($C$1="APM",Monthly!O1103,IF($C$1="Yearly",Monthly!O1103*12,0))</f>
        <v>25</v>
      </c>
      <c r="N15" s="296">
        <f>IF($C$1="APM",Monthly!O1026,IF($C$1="Yearly",Monthly!O1026*12,0))</f>
        <v>0</v>
      </c>
      <c r="O15" s="296">
        <f>IF($C$1="APM",Monthly!O949,IF($C$1="Yearly",Monthly!O949*12,0))</f>
        <v>0</v>
      </c>
      <c r="P15" s="296">
        <f>IF($C$1="APM",Monthly!$O873,IF($C$1="Yearly",Monthly!$O873*12,0))</f>
        <v>0</v>
      </c>
      <c r="Q15" s="296">
        <f>IF($C$1="APM",Monthly!$O796,IF($C$1="Yearly",Monthly!$O796*12,0))</f>
        <v>0</v>
      </c>
      <c r="R15" s="296">
        <f>IF($C$1="APM",Monthly!$O719,IF($C$1="Yearly",Monthly!$O719*12,0))</f>
        <v>0</v>
      </c>
      <c r="S15" s="296">
        <f>IF($C$1="APM",Monthly!$O642,IF($C$1="Yearly",Monthly!$O642*12,0))</f>
        <v>0</v>
      </c>
      <c r="T15" s="296">
        <f>IF($C$1="APM",Monthly!$O565,IF($C$1="Yearly",Monthly!$O565*12,0))</f>
        <v>0</v>
      </c>
      <c r="U15" s="296">
        <f>IF($C$1="APM",Monthly!$O565,IF($C$1="Yearly",Monthly!$O565*12,0))</f>
        <v>0</v>
      </c>
      <c r="V15" s="296"/>
      <c r="W15" s="296"/>
      <c r="X15" s="296"/>
      <c r="Y15" s="296"/>
      <c r="Z15" s="296">
        <f t="shared" si="1"/>
        <v>0</v>
      </c>
      <c r="AA15" s="420">
        <f>IF($C$1="APM",Monthly!$O565,IF($C$1="Yearly",Monthly!$O565*12,0))</f>
        <v>0</v>
      </c>
      <c r="AB15" s="296"/>
    </row>
    <row r="16" spans="1:30" ht="12">
      <c r="A16" s="294"/>
      <c r="B16" s="295" t="s">
        <v>400</v>
      </c>
      <c r="C16" s="296">
        <f>IF($C$1="APM",Monthly!O1878,IF($C$1="Yearly",Monthly!O1878*12,0))</f>
        <v>0</v>
      </c>
      <c r="D16" s="296">
        <f>IF($C$1="APM",Monthly!O1801,IF($C$1="Yearly",Monthly!O1801*12,0))</f>
        <v>0</v>
      </c>
      <c r="E16" s="296">
        <f>IF($C$1="APM",Monthly!O1724,IF($C$1="Yearly",Monthly!O1724*12,0))</f>
        <v>15.333333333333334</v>
      </c>
      <c r="F16" s="296">
        <f>IF($C$1="APM",Monthly!O1646,IF($C$1="Yearly",Monthly!O1646*12,0))</f>
        <v>14.916666666666666</v>
      </c>
      <c r="G16" s="296">
        <f>IF($C$1="APM",Monthly!O1568,IF($C$1="Yearly",Monthly!O1568*12,0))</f>
        <v>15.333333333333334</v>
      </c>
      <c r="H16" s="296">
        <f>IF($C$1="APM",Monthly!O1490,IF($C$1="Yearly",Monthly!O1490*12,0))</f>
        <v>15.333333333333334</v>
      </c>
      <c r="I16" s="296">
        <f>IF($C$1="APM",Monthly!O1413,IF($C$1="Yearly",Monthly!O1413*12,0))</f>
        <v>16.75</v>
      </c>
      <c r="J16" s="296">
        <f>IF($C$1="APM",Monthly!O1336,IF($C$1="Yearly",Monthly!O1336*12,0))</f>
        <v>16.75</v>
      </c>
      <c r="K16" s="296">
        <f>IF($C$1="APM",Monthly!O1259,IF($C$1="Yearly",Monthly!O1259*12,0))</f>
        <v>17.083333333333332</v>
      </c>
      <c r="L16" s="296">
        <f>IF($C$1="APM",Monthly!O1181,IF($C$1="Yearly",Monthly!O1181*12,0))</f>
        <v>17.416666666666668</v>
      </c>
      <c r="M16" s="296">
        <f>IF($C$1="APM",Monthly!O1104,IF($C$1="Yearly",Monthly!O1104*12,0))</f>
        <v>18.583333333333332</v>
      </c>
      <c r="N16" s="296">
        <f>IF($C$1="APM",Monthly!O1027,IF($C$1="Yearly",Monthly!O1027*12,0))</f>
        <v>20.166666666666668</v>
      </c>
      <c r="O16" s="296">
        <f>IF($C$1="APM",Monthly!O950,IF($C$1="Yearly",Monthly!O950*12,0))</f>
        <v>20.166666666666668</v>
      </c>
      <c r="P16" s="296">
        <f>IF($C$1="APM",Monthly!$O874,IF($C$1="Yearly",Monthly!$O874*12,0))</f>
        <v>21</v>
      </c>
      <c r="Q16" s="296">
        <f>IF($C$1="APM",Monthly!$O797,IF($C$1="Yearly",Monthly!$O797*12,0))</f>
        <v>20.166666666666668</v>
      </c>
      <c r="R16" s="296">
        <f>IF($C$1="APM",Monthly!$O720,IF($C$1="Yearly",Monthly!$O720*12,0))</f>
        <v>0</v>
      </c>
      <c r="S16" s="296">
        <f>IF($C$1="APM",Monthly!$O643,IF($C$1="Yearly",Monthly!$O643*12,0))</f>
        <v>0</v>
      </c>
      <c r="T16" s="296">
        <f>IF($C$1="APM",Monthly!$O566,IF($C$1="Yearly",Monthly!$O566*12,0))</f>
        <v>0</v>
      </c>
      <c r="U16" s="296">
        <f>IF($C$1="APM",Monthly!$O566,IF($C$1="Yearly",Monthly!$O566*12,0))</f>
        <v>0</v>
      </c>
      <c r="V16" s="296"/>
      <c r="W16" s="296"/>
      <c r="X16" s="296"/>
      <c r="Y16" s="296"/>
      <c r="Z16" s="296">
        <f t="shared" si="1"/>
        <v>-21</v>
      </c>
      <c r="AA16" s="420">
        <f>IF($C$1="APM",Monthly!$O566,IF($C$1="Yearly",Monthly!$O566*12,0))</f>
        <v>0</v>
      </c>
      <c r="AB16" s="296">
        <f>1500/12</f>
        <v>125</v>
      </c>
    </row>
    <row r="17" spans="1:28" ht="12">
      <c r="A17" s="294"/>
      <c r="B17" s="295" t="s">
        <v>401</v>
      </c>
      <c r="C17" s="296">
        <f>IF($C$1="APM",Monthly!O1879,IF($C$1="Yearly",Monthly!O1879*12,0))</f>
        <v>0</v>
      </c>
      <c r="D17" s="296">
        <f>IF($C$1="APM",Monthly!O1802,IF($C$1="Yearly",Monthly!O1802*12,0))</f>
        <v>0</v>
      </c>
      <c r="E17" s="296">
        <f>IF($C$1="APM",Monthly!O1725,IF($C$1="Yearly",Monthly!O1725*12,0))</f>
        <v>102</v>
      </c>
      <c r="F17" s="296">
        <f>IF($C$1="APM",Monthly!O1647,IF($C$1="Yearly",Monthly!O1647*12,0))</f>
        <v>214</v>
      </c>
      <c r="G17" s="296">
        <f>IF($C$1="APM",Monthly!O1569,IF($C$1="Yearly",Monthly!O1569*12,0))</f>
        <v>234</v>
      </c>
      <c r="H17" s="296">
        <f>IF($C$1="APM",Monthly!O1491,IF($C$1="Yearly",Monthly!O1491*12,0))</f>
        <v>244</v>
      </c>
      <c r="I17" s="296">
        <f>IF($C$1="APM",Monthly!O1414,IF($C$1="Yearly",Monthly!O1414*12,0))</f>
        <v>274.75</v>
      </c>
      <c r="J17" s="296">
        <f>IF($C$1="APM",Monthly!O1337,IF($C$1="Yearly",Monthly!O1337*12,0))</f>
        <v>305.83333333333331</v>
      </c>
      <c r="K17" s="296">
        <f>IF($C$1="APM",Monthly!O1260,IF($C$1="Yearly",Monthly!O1260*12,0))</f>
        <v>317.91666666666669</v>
      </c>
      <c r="L17" s="296">
        <f>IF($C$1="APM",Monthly!O1182,IF($C$1="Yearly",Monthly!O1182*12,0))</f>
        <v>361.41666666666669</v>
      </c>
      <c r="M17" s="296">
        <f>IF($C$1="APM",Monthly!O1105,IF($C$1="Yearly",Monthly!O1105*12,0))</f>
        <v>296.41666666666669</v>
      </c>
      <c r="N17" s="296">
        <f>IF($C$1="APM",Monthly!O1028,IF($C$1="Yearly",Monthly!O1028*12,0))</f>
        <v>288.33333333333331</v>
      </c>
      <c r="O17" s="296">
        <f>IF($C$1="APM",Monthly!O951,IF($C$1="Yearly",Monthly!O951*12,0))</f>
        <v>289</v>
      </c>
      <c r="P17" s="296">
        <f>IF($C$1="APM",Monthly!$O875,IF($C$1="Yearly",Monthly!$O875*12,0))</f>
        <v>308.33333333333331</v>
      </c>
      <c r="Q17" s="296">
        <f>IF($C$1="APM",Monthly!$O798,IF($C$1="Yearly",Monthly!$O798*12,0))</f>
        <v>177.08333333333334</v>
      </c>
      <c r="R17" s="296">
        <f>IF($C$1="APM",Monthly!$O721,IF($C$1="Yearly",Monthly!$O721*12,0))</f>
        <v>4.166666666666667</v>
      </c>
      <c r="S17" s="296">
        <f>IF($C$1="APM",Monthly!$O644,IF($C$1="Yearly",Monthly!$O644*12,0))</f>
        <v>0</v>
      </c>
      <c r="T17" s="296">
        <f>IF($C$1="APM",Monthly!$O567,IF($C$1="Yearly",Monthly!$O567*12,0))</f>
        <v>0</v>
      </c>
      <c r="U17" s="296">
        <f>IF($C$1="APM",Monthly!$O567,IF($C$1="Yearly",Monthly!$O567*12,0))</f>
        <v>0</v>
      </c>
      <c r="V17" s="296"/>
      <c r="W17" s="296"/>
      <c r="X17" s="296"/>
      <c r="Y17" s="296"/>
      <c r="Z17" s="296">
        <f t="shared" si="1"/>
        <v>-308.33333333333331</v>
      </c>
      <c r="AA17" s="420">
        <f>IF($C$1="APM",Monthly!$O567,IF($C$1="Yearly",Monthly!$O567*12,0))</f>
        <v>0</v>
      </c>
      <c r="AB17" s="296">
        <f>IF($C$1="APM",Monthly!$O567,IF($C$1="Yearly",Monthly!$O567*12,0))</f>
        <v>0</v>
      </c>
    </row>
    <row r="18" spans="1:28" ht="12">
      <c r="A18" s="294"/>
      <c r="B18" s="295" t="s">
        <v>402</v>
      </c>
      <c r="C18" s="296">
        <f>IF($C$1="APM",Monthly!O1880,IF($C$1="Yearly",Monthly!O1880*12,0))</f>
        <v>0</v>
      </c>
      <c r="D18" s="296">
        <f>IF($C$1="APM",Monthly!O1803,IF($C$1="Yearly",Monthly!O1803*12,0))</f>
        <v>0</v>
      </c>
      <c r="E18" s="296">
        <f>IF($C$1="APM",Monthly!O1726,IF($C$1="Yearly",Monthly!O1726*12,0))</f>
        <v>20.833333333333332</v>
      </c>
      <c r="F18" s="296">
        <f>IF($C$1="APM",Monthly!O1648,IF($C$1="Yearly",Monthly!O1648*12,0))</f>
        <v>65.833333333333329</v>
      </c>
      <c r="G18" s="296">
        <f>IF($C$1="APM",Monthly!O1570,IF($C$1="Yearly",Monthly!O1570*12,0))</f>
        <v>67.583333333333329</v>
      </c>
      <c r="H18" s="296">
        <f>IF($C$1="APM",Monthly!O1492,IF($C$1="Yearly",Monthly!O1492*12,0))</f>
        <v>39</v>
      </c>
      <c r="I18" s="296">
        <f>IF($C$1="APM",Monthly!O1415,IF($C$1="Yearly",Monthly!O1415*12,0))</f>
        <v>36.916666666666664</v>
      </c>
      <c r="J18" s="296">
        <f>IF($C$1="APM",Monthly!O1338,IF($C$1="Yearly",Monthly!O1338*12,0))</f>
        <v>34</v>
      </c>
      <c r="K18" s="296">
        <f>IF($C$1="APM",Monthly!O1261,IF($C$1="Yearly",Monthly!O1261*12,0))</f>
        <v>34</v>
      </c>
      <c r="L18" s="296">
        <f>IF($C$1="APM",Monthly!O1183,IF($C$1="Yearly",Monthly!O1183*12,0))</f>
        <v>34</v>
      </c>
      <c r="M18" s="296">
        <f>IF($C$1="APM",Monthly!O1106,IF($C$1="Yearly",Monthly!O1106*12,0))</f>
        <v>34</v>
      </c>
      <c r="N18" s="296">
        <f>IF($C$1="APM",Monthly!O1029,IF($C$1="Yearly",Monthly!O1029*12,0))</f>
        <v>0</v>
      </c>
      <c r="O18" s="296">
        <f>IF($C$1="APM",Monthly!O952,IF($C$1="Yearly",Monthly!O952*12,0))</f>
        <v>0</v>
      </c>
      <c r="P18" s="296">
        <f>IF($C$1="APM",Monthly!$O876,IF($C$1="Yearly",Monthly!$O876*12,0))</f>
        <v>0</v>
      </c>
      <c r="Q18" s="296">
        <f>IF($C$1="APM",Monthly!$O799,IF($C$1="Yearly",Monthly!$O799*12,0))</f>
        <v>0</v>
      </c>
      <c r="R18" s="296">
        <f>IF($C$1="APM",Monthly!$O722,IF($C$1="Yearly",Monthly!$O722*12,0))</f>
        <v>0</v>
      </c>
      <c r="S18" s="296">
        <f>IF($C$1="APM",Monthly!$O645,IF($C$1="Yearly",Monthly!$O645*12,0))</f>
        <v>0</v>
      </c>
      <c r="T18" s="296">
        <f>IF($C$1="APM",Monthly!$O568,IF($C$1="Yearly",Monthly!$O568*12,0))</f>
        <v>0</v>
      </c>
      <c r="U18" s="296">
        <f>IF($C$1="APM",Monthly!$O568,IF($C$1="Yearly",Monthly!$O568*12,0))</f>
        <v>0</v>
      </c>
      <c r="V18" s="296"/>
      <c r="W18" s="296"/>
      <c r="X18" s="296"/>
      <c r="Y18" s="296"/>
      <c r="Z18" s="296">
        <f t="shared" si="1"/>
        <v>0</v>
      </c>
      <c r="AA18" s="420">
        <f>IF($C$1="APM",Monthly!$O568,IF($C$1="Yearly",Monthly!$O568*12,0))</f>
        <v>0</v>
      </c>
      <c r="AB18" s="296">
        <f>IF($C$1="APM",Monthly!$O568,IF($C$1="Yearly",Monthly!$O568*12,0))</f>
        <v>0</v>
      </c>
    </row>
    <row r="19" spans="1:28" ht="12">
      <c r="A19" s="294"/>
      <c r="B19" s="295" t="s">
        <v>403</v>
      </c>
      <c r="C19" s="296">
        <f>IF($C$1="APM",Monthly!O1881,IF($C$1="Yearly",Monthly!O1881*12,0))</f>
        <v>0</v>
      </c>
      <c r="D19" s="296">
        <f>IF($C$1="APM",Monthly!O1804,IF($C$1="Yearly",Monthly!O1804*12,0))</f>
        <v>0.25</v>
      </c>
      <c r="E19" s="296">
        <f>IF($C$1="APM",Monthly!O1727,IF($C$1="Yearly",Monthly!O1727*12,0))</f>
        <v>0</v>
      </c>
      <c r="F19" s="296">
        <f>IF($C$1="APM",Monthly!O1649,IF($C$1="Yearly",Monthly!O1649*12,0))</f>
        <v>0</v>
      </c>
      <c r="G19" s="296">
        <f>IF($C$1="APM",Monthly!O1571,IF($C$1="Yearly",Monthly!O1571*12,0))</f>
        <v>0</v>
      </c>
      <c r="H19" s="296">
        <f>IF($C$1="APM",Monthly!O1493,IF($C$1="Yearly",Monthly!O1493*12,0))</f>
        <v>17.25</v>
      </c>
      <c r="I19" s="296">
        <f>IF($C$1="APM",Monthly!O1416,IF($C$1="Yearly",Monthly!O1416*12,0))</f>
        <v>18.833333333333332</v>
      </c>
      <c r="J19" s="296">
        <f>IF($C$1="APM",Monthly!O1339,IF($C$1="Yearly",Monthly!O1339*12,0))</f>
        <v>38.5</v>
      </c>
      <c r="K19" s="296">
        <f>IF($C$1="APM",Monthly!O1262,IF($C$1="Yearly",Monthly!O1262*12,0))</f>
        <v>0.25</v>
      </c>
      <c r="L19" s="296">
        <f>IF($C$1="APM",Monthly!O1184,IF($C$1="Yearly",Monthly!O1184*12,0))</f>
        <v>73.083333333333329</v>
      </c>
      <c r="M19" s="296">
        <f>IF($C$1="APM",Monthly!O1107,IF($C$1="Yearly",Monthly!O1107*12,0))</f>
        <v>38.333333333333336</v>
      </c>
      <c r="N19" s="296">
        <f>IF($C$1="APM",Monthly!O1030,IF($C$1="Yearly",Monthly!O1030*12,0))</f>
        <v>255</v>
      </c>
      <c r="O19" s="296">
        <f>IF($C$1="APM",Monthly!O953,IF($C$1="Yearly",Monthly!O953*12,0))</f>
        <v>32.083333333333336</v>
      </c>
      <c r="P19" s="296">
        <f>IF($C$1="APM",Monthly!$O877,IF($C$1="Yearly",Monthly!$O877*12,0))</f>
        <v>17.25</v>
      </c>
      <c r="Q19" s="296">
        <f>IF($C$1="APM",Monthly!$O800,IF($C$1="Yearly",Monthly!$O800*12,0))</f>
        <v>117.41666666666667</v>
      </c>
      <c r="R19" s="296">
        <f>IF($C$1="APM",Monthly!$O723,IF($C$1="Yearly",Monthly!$O723*12,0))</f>
        <v>3</v>
      </c>
      <c r="S19" s="296">
        <f>IF($C$1="APM",Monthly!$O646,IF($C$1="Yearly",Monthly!$O646*12,0))</f>
        <v>31.25</v>
      </c>
      <c r="T19" s="296">
        <f>IF($C$1="APM",Monthly!$O569,IF($C$1="Yearly",Monthly!$O569*12,0))</f>
        <v>4.166666666666667</v>
      </c>
      <c r="U19" s="296">
        <f>IF($C$1="APM",Monthly!$O569,IF($C$1="Yearly",Monthly!$O569*12,0))</f>
        <v>4.166666666666667</v>
      </c>
      <c r="V19" s="296"/>
      <c r="W19" s="296"/>
      <c r="X19" s="296"/>
      <c r="Y19" s="296"/>
      <c r="Z19" s="296">
        <f t="shared" si="1"/>
        <v>14</v>
      </c>
      <c r="AA19" s="420">
        <f>T19-Q19</f>
        <v>-113.25</v>
      </c>
      <c r="AB19" s="296">
        <v>500</v>
      </c>
    </row>
    <row r="20" spans="1:28" ht="14.1" customHeight="1">
      <c r="A20" s="2272" t="s">
        <v>404</v>
      </c>
      <c r="B20" s="2273"/>
      <c r="C20" s="2261">
        <f>SUM(C22:C27)</f>
        <v>966.66666666666674</v>
      </c>
      <c r="D20" s="2261">
        <f>SUM(D22:D27)</f>
        <v>1728.9999999999998</v>
      </c>
      <c r="E20" s="2261">
        <f>SUM(E22:E27)</f>
        <v>1999.4999999999998</v>
      </c>
      <c r="F20" s="2261">
        <f>SUM(F22:F27)</f>
        <v>406.41666666666669</v>
      </c>
      <c r="G20" s="2261">
        <f>SUM(G22:G27)</f>
        <v>560.41666666666663</v>
      </c>
      <c r="H20" s="2261">
        <f t="shared" ref="H20:O20" si="2">SUM(H22:H27)</f>
        <v>357.91666666666669</v>
      </c>
      <c r="I20" s="2261">
        <f t="shared" si="2"/>
        <v>355.25000000000006</v>
      </c>
      <c r="J20" s="2261">
        <f t="shared" si="2"/>
        <v>246.58333333333337</v>
      </c>
      <c r="K20" s="2261">
        <f t="shared" si="2"/>
        <v>775.58333333333337</v>
      </c>
      <c r="L20" s="2261">
        <f t="shared" si="2"/>
        <v>802.41666666666663</v>
      </c>
      <c r="M20" s="2261">
        <f t="shared" si="2"/>
        <v>722.58333333333337</v>
      </c>
      <c r="N20" s="2261">
        <f t="shared" si="2"/>
        <v>703.83333333333326</v>
      </c>
      <c r="O20" s="2261">
        <f t="shared" si="2"/>
        <v>710</v>
      </c>
      <c r="P20" s="2261">
        <f t="shared" ref="P20:U20" si="3">SUM(P22:P27)</f>
        <v>228.41666666666663</v>
      </c>
      <c r="Q20" s="2261">
        <f t="shared" si="3"/>
        <v>718</v>
      </c>
      <c r="R20" s="2261">
        <f t="shared" si="3"/>
        <v>1120.9166666666667</v>
      </c>
      <c r="S20" s="2261">
        <f t="shared" si="3"/>
        <v>1352.1111111111111</v>
      </c>
      <c r="T20" s="2261">
        <f t="shared" si="3"/>
        <v>1175.7083333333333</v>
      </c>
      <c r="U20" s="2261">
        <f t="shared" si="3"/>
        <v>1175.7083333333333</v>
      </c>
      <c r="V20" s="2177"/>
      <c r="W20" s="2177"/>
      <c r="X20" s="2177"/>
      <c r="Y20" s="2177"/>
      <c r="Z20" s="2261">
        <f>S20-P20</f>
        <v>1123.6944444444443</v>
      </c>
      <c r="AA20" s="2281">
        <f>(S20-P20)/P20</f>
        <v>4.9194941019092795</v>
      </c>
      <c r="AB20" s="2261">
        <f>SUM(AB22:AB27)</f>
        <v>1323.3333333333335</v>
      </c>
    </row>
    <row r="21" spans="1:28" ht="14.1" customHeight="1">
      <c r="A21" s="2272"/>
      <c r="B21" s="2273"/>
      <c r="C21" s="2261"/>
      <c r="D21" s="2261"/>
      <c r="E21" s="2261"/>
      <c r="F21" s="2261"/>
      <c r="G21" s="2261"/>
      <c r="H21" s="2261"/>
      <c r="I21" s="2261"/>
      <c r="J21" s="2261"/>
      <c r="K21" s="2261"/>
      <c r="L21" s="2261"/>
      <c r="M21" s="2261"/>
      <c r="N21" s="2261"/>
      <c r="O21" s="2261"/>
      <c r="P21" s="2261"/>
      <c r="Q21" s="2261"/>
      <c r="R21" s="2261"/>
      <c r="S21" s="2261"/>
      <c r="T21" s="2261"/>
      <c r="U21" s="2261"/>
      <c r="V21" s="2177"/>
      <c r="W21" s="2177"/>
      <c r="X21" s="2177"/>
      <c r="Y21" s="2177"/>
      <c r="Z21" s="2261"/>
      <c r="AA21" s="2281"/>
      <c r="AB21" s="2261"/>
    </row>
    <row r="22" spans="1:28" ht="12">
      <c r="A22" s="294"/>
      <c r="B22" s="295" t="s">
        <v>405</v>
      </c>
      <c r="C22" s="296">
        <f>IF($C$1="APM",Monthly!O1884,IF($C$1="Yearly",Monthly!O1884*12,0))</f>
        <v>808</v>
      </c>
      <c r="D22" s="296">
        <f>IF($C$1="APM",Monthly!O1807,IF($C$1="Yearly",Monthly!O1807*12,0))</f>
        <v>1379.25</v>
      </c>
      <c r="E22" s="296">
        <f>IF($C$1="APM",Monthly!O1730,IF($C$1="Yearly",Monthly!O1730*12,0))</f>
        <v>1716.8333333333333</v>
      </c>
      <c r="F22" s="296">
        <f>IF($C$1="APM",Monthly!O1652,IF($C$1="Yearly",Monthly!O1652*12,0))</f>
        <v>0</v>
      </c>
      <c r="G22" s="296">
        <f>IF($C$1="APM",Monthly!O1574,IF($C$1="Yearly",Monthly!O1574*12,0))</f>
        <v>0</v>
      </c>
      <c r="H22" s="296">
        <f>IF($C$1="APM",Monthly!O1496,IF($C$1="Yearly",Monthly!O1496*12,0))</f>
        <v>0</v>
      </c>
      <c r="I22" s="296">
        <f>IF($C$1="APM",Monthly!O1419,IF($C$1="Yearly",Monthly!O1419*12,0))</f>
        <v>0</v>
      </c>
      <c r="J22" s="296">
        <f>IF($C$1="APM",Monthly!O1342,IF($C$1="Yearly",Monthly!O1342*12,0))</f>
        <v>39.166666666666664</v>
      </c>
      <c r="K22" s="296">
        <f>IF($C$1="APM",Monthly!O1265,IF($C$1="Yearly",Monthly!O1265*12,0))</f>
        <v>470</v>
      </c>
      <c r="L22" s="296">
        <f>IF($C$1="APM",Monthly!O1187,IF($C$1="Yearly",Monthly!O1187*12,0))</f>
        <v>470</v>
      </c>
      <c r="M22" s="296">
        <f>IF($C$1="APM",Monthly!O1110,IF($C$1="Yearly",Monthly!O1110*12,0))</f>
        <v>470</v>
      </c>
      <c r="N22" s="296">
        <f>IF($C$1="APM",Monthly!O1033,IF($C$1="Yearly",Monthly!O1033*12,0))</f>
        <v>470</v>
      </c>
      <c r="O22" s="296">
        <f>IF($C$1="APM",Monthly!O956,IF($C$1="Yearly",Monthly!O956*12,0))</f>
        <v>430.83333333333331</v>
      </c>
      <c r="P22" s="296">
        <f>IF($C$1="APM",Monthly!$O880,IF($C$1="Yearly",Monthly!$O880*12,0))</f>
        <v>0</v>
      </c>
      <c r="Q22" s="296">
        <f>IF($C$1="APM",Monthly!$O803,IF($C$1="Yearly",Monthly!$O803*12,0))</f>
        <v>389.16666666666669</v>
      </c>
      <c r="R22" s="296">
        <f>IF($C$1="APM",Monthly!$O726,IF($C$1="Yearly",Monthly!$O726*12,0))</f>
        <v>778.33333333333337</v>
      </c>
      <c r="S22" s="296">
        <f>IF($C$1="APM",Monthly!$O649,IF($C$1="Yearly",Monthly!$O649*12,0))</f>
        <v>778.33333333333337</v>
      </c>
      <c r="T22" s="296">
        <f>IF($C$1="APM",Monthly!$O572,IF($C$1="Yearly",Monthly!$O572*12,0))</f>
        <v>778.33333333333337</v>
      </c>
      <c r="U22" s="296">
        <f>IF($C$1="APM",Monthly!$O572,IF($C$1="Yearly",Monthly!$O572*12,0))</f>
        <v>778.33333333333337</v>
      </c>
      <c r="V22" s="296"/>
      <c r="W22" s="296"/>
      <c r="X22" s="296"/>
      <c r="Y22" s="296"/>
      <c r="Z22" s="296">
        <f t="shared" ref="Z22:Z27" si="4">S22-P22</f>
        <v>778.33333333333337</v>
      </c>
      <c r="AA22" s="420">
        <f t="shared" ref="AA22:AA27" si="5">T22-Q22</f>
        <v>389.16666666666669</v>
      </c>
      <c r="AB22" s="296">
        <f>IF($C$1="APM",Monthly!$O572,IF($C$1="Yearly",Monthly!$O572*12,0))</f>
        <v>778.33333333333337</v>
      </c>
    </row>
    <row r="23" spans="1:28" ht="12">
      <c r="A23" s="294"/>
      <c r="B23" s="295" t="s">
        <v>400</v>
      </c>
      <c r="C23" s="296">
        <f>IF($C$1="APM",Monthly!O1885,IF($C$1="Yearly",Monthly!O1885*12,0))</f>
        <v>144</v>
      </c>
      <c r="D23" s="296">
        <f>IF($C$1="APM",Monthly!O1808,IF($C$1="Yearly",Monthly!O1808*12,0))</f>
        <v>149.83333333333334</v>
      </c>
      <c r="E23" s="296">
        <f>IF($C$1="APM",Monthly!O1731,IF($C$1="Yearly",Monthly!O1731*12,0))</f>
        <v>166.83333333333334</v>
      </c>
      <c r="F23" s="296">
        <f>IF($C$1="APM",Monthly!O1653,IF($C$1="Yearly",Monthly!O1653*12,0))</f>
        <v>170.5</v>
      </c>
      <c r="G23" s="296">
        <f>IF($C$1="APM",Monthly!O1575,IF($C$1="Yearly",Monthly!O1575*12,0))</f>
        <v>146.66666666666666</v>
      </c>
      <c r="H23" s="296">
        <f>IF($C$1="APM",Monthly!O1497,IF($C$1="Yearly",Monthly!O1497*12,0))</f>
        <v>145.58333333333334</v>
      </c>
      <c r="I23" s="296">
        <f>IF($C$1="APM",Monthly!O1420,IF($C$1="Yearly",Monthly!O1420*12,0))</f>
        <v>141.33333333333334</v>
      </c>
      <c r="J23" s="296">
        <f>IF($C$1="APM",Monthly!O1343,IF($C$1="Yearly",Monthly!O1343*12,0))</f>
        <v>125.41666666666667</v>
      </c>
      <c r="K23" s="296">
        <f>IF($C$1="APM",Monthly!O1266,IF($C$1="Yearly",Monthly!O1266*12,0))</f>
        <v>110.66666666666667</v>
      </c>
      <c r="L23" s="296">
        <f>IF($C$1="APM",Monthly!O1188,IF($C$1="Yearly",Monthly!O1188*12,0))</f>
        <v>98</v>
      </c>
      <c r="M23" s="296">
        <f>IF($C$1="APM",Monthly!O1111,IF($C$1="Yearly",Monthly!O1111*12,0))</f>
        <v>102</v>
      </c>
      <c r="N23" s="296">
        <f>IF($C$1="APM",Monthly!O1034,IF($C$1="Yearly",Monthly!O1034*12,0))</f>
        <v>106</v>
      </c>
      <c r="O23" s="296">
        <f>IF($C$1="APM",Monthly!O957,IF($C$1="Yearly",Monthly!O957*12,0))</f>
        <v>91</v>
      </c>
      <c r="P23" s="296">
        <f>IF($C$1="APM",Monthly!$O881,IF($C$1="Yearly",Monthly!$O881*12,0))</f>
        <v>92</v>
      </c>
      <c r="Q23" s="296">
        <f>IF($C$1="APM",Monthly!$O804,IF($C$1="Yearly",Monthly!$O804*12,0))</f>
        <v>125</v>
      </c>
      <c r="R23" s="296">
        <f>IF($C$1="APM",Monthly!$O727,IF($C$1="Yearly",Monthly!$O727*12,0))</f>
        <v>157</v>
      </c>
      <c r="S23" s="296">
        <f>IF($C$1="APM",Monthly!$O650,IF($C$1="Yearly",Monthly!$O650*12,0))</f>
        <v>164.7777777777778</v>
      </c>
      <c r="T23" s="296">
        <f>IF($C$1="APM",Monthly!$O573,IF($C$1="Yearly",Monthly!$O573*12,0))</f>
        <v>173.29166666666666</v>
      </c>
      <c r="U23" s="296">
        <f>IF($C$1="APM",Monthly!$O573,IF($C$1="Yearly",Monthly!$O573*12,0))</f>
        <v>173.29166666666666</v>
      </c>
      <c r="V23" s="296"/>
      <c r="W23" s="296"/>
      <c r="X23" s="296"/>
      <c r="Y23" s="296"/>
      <c r="Z23" s="296">
        <f t="shared" si="4"/>
        <v>72.7777777777778</v>
      </c>
      <c r="AA23" s="420">
        <f t="shared" si="5"/>
        <v>48.291666666666657</v>
      </c>
      <c r="AB23" s="296">
        <v>200</v>
      </c>
    </row>
    <row r="24" spans="1:28" ht="12">
      <c r="A24" s="294"/>
      <c r="B24" s="295" t="s">
        <v>406</v>
      </c>
      <c r="C24" s="296">
        <f>IF($C$1="APM",Monthly!O1886,IF($C$1="Yearly",Monthly!O1886*12,0))</f>
        <v>0</v>
      </c>
      <c r="D24" s="296">
        <f>IF($C$1="APM",Monthly!O1809,IF($C$1="Yearly",Monthly!O1809*12,0))</f>
        <v>56.833333333333336</v>
      </c>
      <c r="E24" s="296">
        <f>IF($C$1="APM",Monthly!O1732,IF($C$1="Yearly",Monthly!O1732*12,0))</f>
        <v>31.083333333333332</v>
      </c>
      <c r="F24" s="296">
        <f>IF($C$1="APM",Monthly!O1654,IF($C$1="Yearly",Monthly!O1654*12,0))</f>
        <v>29.166666666666668</v>
      </c>
      <c r="G24" s="296">
        <f>IF($C$1="APM",Monthly!O1576,IF($C$1="Yearly",Monthly!O1576*12,0))</f>
        <v>17.416666666666668</v>
      </c>
      <c r="H24" s="296">
        <f>IF($C$1="APM",Monthly!O1498,IF($C$1="Yearly",Monthly!O1498*12,0))</f>
        <v>20.833333333333332</v>
      </c>
      <c r="I24" s="296">
        <f>IF($C$1="APM",Monthly!O1421,IF($C$1="Yearly",Monthly!O1421*12,0))</f>
        <v>14.083333333333334</v>
      </c>
      <c r="J24" s="296">
        <f>IF($C$1="APM",Monthly!O1344,IF($C$1="Yearly",Monthly!O1344*12,0))</f>
        <v>21.583333333333332</v>
      </c>
      <c r="K24" s="296">
        <f>IF($C$1="APM",Monthly!O1267,IF($C$1="Yearly",Monthly!O1267*12,0))</f>
        <v>59.333333333333336</v>
      </c>
      <c r="L24" s="296">
        <f>IF($C$1="APM",Monthly!O1189,IF($C$1="Yearly",Monthly!O1189*12,0))</f>
        <v>55</v>
      </c>
      <c r="M24" s="296">
        <f>IF($C$1="APM",Monthly!O1112,IF($C$1="Yearly",Monthly!O1112*12,0))</f>
        <v>38.166666666666664</v>
      </c>
      <c r="N24" s="296">
        <f>IF($C$1="APM",Monthly!O1035,IF($C$1="Yearly",Monthly!O1035*12,0))</f>
        <v>13.166666666666666</v>
      </c>
      <c r="O24" s="296">
        <f>IF($C$1="APM",Monthly!O958,IF($C$1="Yearly",Monthly!O958*12,0))</f>
        <v>5.333333333333333</v>
      </c>
      <c r="P24" s="296">
        <f>IF($C$1="APM",Monthly!$O882,IF($C$1="Yearly",Monthly!$O882*12,0))</f>
        <v>31</v>
      </c>
      <c r="Q24" s="296">
        <f>IF($C$1="APM",Monthly!$O805,IF($C$1="Yearly",Monthly!$O805*12,0))</f>
        <v>40.666666666666664</v>
      </c>
      <c r="R24" s="296">
        <f>IF($C$1="APM",Monthly!$O728,IF($C$1="Yearly",Monthly!$O728*12,0))</f>
        <v>47.833333333333336</v>
      </c>
      <c r="S24" s="296">
        <f>IF($C$1="APM",Monthly!$O651,IF($C$1="Yearly",Monthly!$O651*12,0))</f>
        <v>122.91666666666667</v>
      </c>
      <c r="T24" s="296">
        <f>IF($C$1="APM",Monthly!$O574,IF($C$1="Yearly",Monthly!$O574*12,0))</f>
        <v>55.25</v>
      </c>
      <c r="U24" s="296">
        <f>IF($C$1="APM",Monthly!$O574,IF($C$1="Yearly",Monthly!$O574*12,0))</f>
        <v>55.25</v>
      </c>
      <c r="V24" s="296"/>
      <c r="W24" s="296"/>
      <c r="X24" s="296"/>
      <c r="Y24" s="296"/>
      <c r="Z24" s="296">
        <f t="shared" si="4"/>
        <v>91.916666666666671</v>
      </c>
      <c r="AA24" s="420">
        <f t="shared" si="5"/>
        <v>14.583333333333336</v>
      </c>
      <c r="AB24" s="296">
        <v>120</v>
      </c>
    </row>
    <row r="25" spans="1:28" ht="12">
      <c r="A25" s="294"/>
      <c r="B25" s="295" t="s">
        <v>407</v>
      </c>
      <c r="C25" s="296">
        <f>IF($C$1="APM",Monthly!O1887,IF($C$1="Yearly",Monthly!O1887*12,0))</f>
        <v>0</v>
      </c>
      <c r="D25" s="296">
        <f>IF($C$1="APM",Monthly!O1810,IF($C$1="Yearly",Monthly!O1810*12,0))</f>
        <v>98.666666666666671</v>
      </c>
      <c r="E25" s="296">
        <f>IF($C$1="APM",Monthly!O1733,IF($C$1="Yearly",Monthly!O1733*12,0))</f>
        <v>0</v>
      </c>
      <c r="F25" s="296">
        <f>IF($C$1="APM",Monthly!O1655,IF($C$1="Yearly",Monthly!O1655*12,0))</f>
        <v>0</v>
      </c>
      <c r="G25" s="296">
        <f>IF($C$1="APM",Monthly!O1577,IF($C$1="Yearly",Monthly!O1577*12,0))</f>
        <v>27.916666666666668</v>
      </c>
      <c r="H25" s="296">
        <f>IF($C$1="APM",Monthly!O1499,IF($C$1="Yearly",Monthly!O1499*12,0))</f>
        <v>0</v>
      </c>
      <c r="I25" s="296">
        <f>IF($C$1="APM",Monthly!O1422,IF($C$1="Yearly",Monthly!O1422*12,0))</f>
        <v>4.916666666666667</v>
      </c>
      <c r="J25" s="296">
        <f>IF($C$1="APM",Monthly!O1345,IF($C$1="Yearly",Monthly!O1345*12,0))</f>
        <v>12.833333333333334</v>
      </c>
      <c r="K25" s="296">
        <f>IF($C$1="APM",Monthly!O1268,IF($C$1="Yearly",Monthly!O1268*12,0))</f>
        <v>81.25</v>
      </c>
      <c r="L25" s="296">
        <f>IF($C$1="APM",Monthly!O1190,IF($C$1="Yearly",Monthly!O1190*12,0))</f>
        <v>0</v>
      </c>
      <c r="M25" s="296">
        <f>IF($C$1="APM",Monthly!O1113,IF($C$1="Yearly",Monthly!O1113*12,0))</f>
        <v>0</v>
      </c>
      <c r="N25" s="296">
        <f>IF($C$1="APM",Monthly!O1036,IF($C$1="Yearly",Monthly!O1036*12,0))</f>
        <v>0.83333333333333337</v>
      </c>
      <c r="O25" s="296">
        <f>IF($C$1="APM",Monthly!O959,IF($C$1="Yearly",Monthly!O959*12,0))</f>
        <v>0.58333333333333337</v>
      </c>
      <c r="P25" s="296">
        <f>IF($C$1="APM",Monthly!$O883,IF($C$1="Yearly",Monthly!$O883*12,0))</f>
        <v>0.58333333333333337</v>
      </c>
      <c r="Q25" s="296">
        <f>IF($C$1="APM",Monthly!$O806,IF($C$1="Yearly",Monthly!$O806*12,0))</f>
        <v>43.166666666666664</v>
      </c>
      <c r="R25" s="296">
        <f>IF($C$1="APM",Monthly!$O729,IF($C$1="Yearly",Monthly!$O729*12,0))</f>
        <v>33.333333333333336</v>
      </c>
      <c r="S25" s="296">
        <f>IF($C$1="APM",Monthly!$O652,IF($C$1="Yearly",Monthly!$O652*12,0))</f>
        <v>162.83333333333334</v>
      </c>
      <c r="T25" s="296">
        <f>IF($C$1="APM",Monthly!$O575,IF($C$1="Yearly",Monthly!$O575*12,0))</f>
        <v>20.25</v>
      </c>
      <c r="U25" s="296">
        <f>IF($C$1="APM",Monthly!$O575,IF($C$1="Yearly",Monthly!$O575*12,0))</f>
        <v>20.25</v>
      </c>
      <c r="V25" s="296"/>
      <c r="W25" s="296"/>
      <c r="X25" s="296"/>
      <c r="Y25" s="296"/>
      <c r="Z25" s="296">
        <f t="shared" si="4"/>
        <v>162.25</v>
      </c>
      <c r="AA25" s="420">
        <f t="shared" si="5"/>
        <v>-22.916666666666664</v>
      </c>
      <c r="AB25" s="296">
        <v>50</v>
      </c>
    </row>
    <row r="26" spans="1:28" ht="12">
      <c r="A26" s="294"/>
      <c r="B26" s="295" t="s">
        <v>408</v>
      </c>
      <c r="C26" s="296">
        <f>IF($C$1="APM",Monthly!O1888,IF($C$1="Yearly",Monthly!O1888*12,0))</f>
        <v>5.333333333333333</v>
      </c>
      <c r="D26" s="296">
        <f>IF($C$1="APM",Monthly!O1811,IF($C$1="Yearly",Monthly!O1811*12,0))</f>
        <v>10.333333333333334</v>
      </c>
      <c r="E26" s="296">
        <f>IF($C$1="APM",Monthly!O1734,IF($C$1="Yearly",Monthly!O1734*12,0))</f>
        <v>37.916666666666664</v>
      </c>
      <c r="F26" s="296">
        <f>IF($C$1="APM",Monthly!O1656,IF($C$1="Yearly",Monthly!O1656*12,0))</f>
        <v>160.33333333333334</v>
      </c>
      <c r="G26" s="296">
        <f>IF($C$1="APM",Monthly!O1578,IF($C$1="Yearly",Monthly!O1578*12,0))</f>
        <v>174.83333333333334</v>
      </c>
      <c r="H26" s="296">
        <f>IF($C$1="APM",Monthly!O1500,IF($C$1="Yearly",Monthly!O1500*12,0))</f>
        <v>105.33333333333333</v>
      </c>
      <c r="I26" s="296">
        <f>IF($C$1="APM",Monthly!O1423,IF($C$1="Yearly",Monthly!O1423*12,0))</f>
        <v>118</v>
      </c>
      <c r="J26" s="296">
        <f>IF($C$1="APM",Monthly!O1346,IF($C$1="Yearly",Monthly!O1346*12,0))</f>
        <v>1.5833333333333333</v>
      </c>
      <c r="K26" s="296">
        <f>IF($C$1="APM",Monthly!O1269,IF($C$1="Yearly",Monthly!O1269*12,0))</f>
        <v>16</v>
      </c>
      <c r="L26" s="296">
        <f>IF($C$1="APM",Monthly!O1191,IF($C$1="Yearly",Monthly!O1191*12,0))</f>
        <v>97.25</v>
      </c>
      <c r="M26" s="296">
        <f>IF($C$1="APM",Monthly!O1114,IF($C$1="Yearly",Monthly!O1114*12,0))</f>
        <v>55.083333333333336</v>
      </c>
      <c r="N26" s="296">
        <f>IF($C$1="APM",Monthly!O1037,IF($C$1="Yearly",Monthly!O1037*12,0))</f>
        <v>19.416666666666668</v>
      </c>
      <c r="O26" s="296">
        <f>IF($C$1="APM",Monthly!O960,IF($C$1="Yearly",Monthly!O960*12,0))</f>
        <v>147.25</v>
      </c>
      <c r="P26" s="296">
        <f>IF($C$1="APM",Monthly!$O884,IF($C$1="Yearly",Monthly!$O884*12,0))</f>
        <v>16</v>
      </c>
      <c r="Q26" s="296">
        <f>IF($C$1="APM",Monthly!$O807,IF($C$1="Yearly",Monthly!$O807*12,0))</f>
        <v>71.333333333333329</v>
      </c>
      <c r="R26" s="296">
        <f>IF($C$1="APM",Monthly!$O730,IF($C$1="Yearly",Monthly!$O730*12,0))</f>
        <v>97.916666666666671</v>
      </c>
      <c r="S26" s="296">
        <f>IF($C$1="APM",Monthly!$O653,IF($C$1="Yearly",Monthly!$O653*12,0))</f>
        <v>97.916666666666671</v>
      </c>
      <c r="T26" s="296">
        <f>IF($C$1="APM",Monthly!$O576,IF($C$1="Yearly",Monthly!$O576*12,0))</f>
        <v>97</v>
      </c>
      <c r="U26" s="296">
        <f>IF($C$1="APM",Monthly!$O576,IF($C$1="Yearly",Monthly!$O576*12,0))</f>
        <v>97</v>
      </c>
      <c r="V26" s="296"/>
      <c r="W26" s="296"/>
      <c r="X26" s="296"/>
      <c r="Y26" s="296"/>
      <c r="Z26" s="296">
        <f t="shared" si="4"/>
        <v>81.916666666666671</v>
      </c>
      <c r="AA26" s="420">
        <f t="shared" si="5"/>
        <v>25.666666666666671</v>
      </c>
      <c r="AB26" s="296">
        <v>100</v>
      </c>
    </row>
    <row r="27" spans="1:28" ht="12">
      <c r="A27" s="294"/>
      <c r="B27" s="295" t="s">
        <v>409</v>
      </c>
      <c r="C27" s="296">
        <f>IF($C$1="APM",Monthly!O1889,IF($C$1="Yearly",Monthly!O1889*12,0))</f>
        <v>9.3333333333333339</v>
      </c>
      <c r="D27" s="296">
        <f>IF($C$1="APM",Monthly!O1812,IF($C$1="Yearly",Monthly!O1812*12,0))</f>
        <v>34.083333333333336</v>
      </c>
      <c r="E27" s="296">
        <f>IF($C$1="APM",Monthly!O1735,IF($C$1="Yearly",Monthly!O1735*12,0))</f>
        <v>46.833333333333336</v>
      </c>
      <c r="F27" s="296">
        <f>IF($C$1="APM",Monthly!O1657,IF($C$1="Yearly",Monthly!O1657*12,0))</f>
        <v>46.416666666666664</v>
      </c>
      <c r="G27" s="296">
        <f>IF($C$1="APM",Monthly!O1579,IF($C$1="Yearly",Monthly!O1579*12,0))</f>
        <v>193.58333333333334</v>
      </c>
      <c r="H27" s="296">
        <f>IF($C$1="APM",Monthly!O1501,IF($C$1="Yearly",Monthly!O1501*12,0))</f>
        <v>86.166666666666671</v>
      </c>
      <c r="I27" s="296">
        <f>IF($C$1="APM",Monthly!O1424,IF($C$1="Yearly",Monthly!O1424*12,0))</f>
        <v>76.916666666666671</v>
      </c>
      <c r="J27" s="296">
        <f>IF($C$1="APM",Monthly!O1347,IF($C$1="Yearly",Monthly!O1347*12,0))</f>
        <v>46</v>
      </c>
      <c r="K27" s="296">
        <f>IF($C$1="APM",Monthly!O1270,IF($C$1="Yearly",Monthly!O1270*12,0))</f>
        <v>38.333333333333336</v>
      </c>
      <c r="L27" s="296">
        <f>IF($C$1="APM",Monthly!O1192,IF($C$1="Yearly",Monthly!O1192*12,0))</f>
        <v>82.166666666666671</v>
      </c>
      <c r="M27" s="296">
        <f>IF($C$1="APM",Monthly!O1115,IF($C$1="Yearly",Monthly!O1115*12,0))</f>
        <v>57.333333333333336</v>
      </c>
      <c r="N27" s="296">
        <f>IF($C$1="APM",Monthly!O1038,IF($C$1="Yearly",Monthly!O1038*12,0))</f>
        <v>94.416666666666671</v>
      </c>
      <c r="O27" s="296">
        <f>IF($C$1="APM",Monthly!O961,IF($C$1="Yearly",Monthly!O961*12,0))</f>
        <v>35</v>
      </c>
      <c r="P27" s="296">
        <f>IF($C$1="APM",Monthly!$O885,IF($C$1="Yearly",Monthly!$O885*12,0))</f>
        <v>88.833333333333329</v>
      </c>
      <c r="Q27" s="296">
        <f>IF($C$1="APM",Monthly!$O808,IF($C$1="Yearly",Monthly!$O808*12,0))</f>
        <v>48.666666666666664</v>
      </c>
      <c r="R27" s="296">
        <f>IF($C$1="APM",Monthly!$O731,IF($C$1="Yearly",Monthly!$O731*12,0))</f>
        <v>6.5</v>
      </c>
      <c r="S27" s="296">
        <f>IF($C$1="APM",Monthly!$O654,IF($C$1="Yearly",Monthly!$O654*12,0))</f>
        <v>25.333333333333332</v>
      </c>
      <c r="T27" s="296">
        <f>IF($C$1="APM",Monthly!$O577,IF($C$1="Yearly",Monthly!$O577*12,0))</f>
        <v>51.583333333333336</v>
      </c>
      <c r="U27" s="296">
        <f>IF($C$1="APM",Monthly!$O577,IF($C$1="Yearly",Monthly!$O577*12,0))</f>
        <v>51.583333333333336</v>
      </c>
      <c r="V27" s="296"/>
      <c r="W27" s="296"/>
      <c r="X27" s="296"/>
      <c r="Y27" s="296"/>
      <c r="Z27" s="296">
        <f t="shared" si="4"/>
        <v>-63.5</v>
      </c>
      <c r="AA27" s="420">
        <f t="shared" si="5"/>
        <v>2.9166666666666714</v>
      </c>
      <c r="AB27" s="296">
        <v>75</v>
      </c>
    </row>
    <row r="28" spans="1:28" ht="14.1" customHeight="1">
      <c r="A28" s="2272" t="s">
        <v>277</v>
      </c>
      <c r="B28" s="2273"/>
      <c r="C28" s="2261">
        <f t="shared" ref="C28:H28" si="6">SUM(C30:C33)</f>
        <v>275.5</v>
      </c>
      <c r="D28" s="2261">
        <f t="shared" si="6"/>
        <v>242.58333333333334</v>
      </c>
      <c r="E28" s="2261">
        <f t="shared" si="6"/>
        <v>189.25</v>
      </c>
      <c r="F28" s="2261">
        <f t="shared" si="6"/>
        <v>239.16666666666669</v>
      </c>
      <c r="G28" s="2261">
        <f t="shared" si="6"/>
        <v>229.58333333333331</v>
      </c>
      <c r="H28" s="2261">
        <f t="shared" si="6"/>
        <v>293.5</v>
      </c>
      <c r="I28" s="2261">
        <f t="shared" ref="I28:O28" si="7">SUM(I30:I33)</f>
        <v>403.99999999999994</v>
      </c>
      <c r="J28" s="2261">
        <f t="shared" si="7"/>
        <v>283.33333333333337</v>
      </c>
      <c r="K28" s="2261">
        <f t="shared" si="7"/>
        <v>362.66666666666669</v>
      </c>
      <c r="L28" s="2261">
        <f t="shared" si="7"/>
        <v>263.58333333333331</v>
      </c>
      <c r="M28" s="2261">
        <f t="shared" si="7"/>
        <v>324.25</v>
      </c>
      <c r="N28" s="2261">
        <f t="shared" si="7"/>
        <v>426</v>
      </c>
      <c r="O28" s="2261">
        <f t="shared" si="7"/>
        <v>442.5</v>
      </c>
      <c r="P28" s="2261">
        <f t="shared" ref="P28:U28" si="8">SUM(P30:P33)</f>
        <v>292.33333333333337</v>
      </c>
      <c r="Q28" s="2261">
        <f t="shared" si="8"/>
        <v>279.66666666666669</v>
      </c>
      <c r="R28" s="2261">
        <f t="shared" si="8"/>
        <v>448.66666666666663</v>
      </c>
      <c r="S28" s="2261">
        <f t="shared" si="8"/>
        <v>604.75000000000011</v>
      </c>
      <c r="T28" s="2261">
        <f t="shared" si="8"/>
        <v>316.83333333333331</v>
      </c>
      <c r="U28" s="2261">
        <f t="shared" si="8"/>
        <v>316.83333333333331</v>
      </c>
      <c r="V28" s="2177"/>
      <c r="W28" s="2177"/>
      <c r="X28" s="2177"/>
      <c r="Y28" s="2177"/>
      <c r="Z28" s="2261">
        <f>S28-P28</f>
        <v>312.41666666666674</v>
      </c>
      <c r="AA28" s="2281">
        <f>(S28-P28)/P28</f>
        <v>1.0687001140250856</v>
      </c>
      <c r="AB28" s="2261">
        <f>SUM(AB30:AB33)</f>
        <v>340</v>
      </c>
    </row>
    <row r="29" spans="1:28" ht="14.1" customHeight="1">
      <c r="A29" s="2272"/>
      <c r="B29" s="2273"/>
      <c r="C29" s="2261"/>
      <c r="D29" s="2261"/>
      <c r="E29" s="2261"/>
      <c r="F29" s="2261"/>
      <c r="G29" s="2261"/>
      <c r="H29" s="2261"/>
      <c r="I29" s="2261"/>
      <c r="J29" s="2261"/>
      <c r="K29" s="2261"/>
      <c r="L29" s="2261"/>
      <c r="M29" s="2261"/>
      <c r="N29" s="2261"/>
      <c r="O29" s="2261"/>
      <c r="P29" s="2261"/>
      <c r="Q29" s="2261"/>
      <c r="R29" s="2261"/>
      <c r="S29" s="2261"/>
      <c r="T29" s="2261"/>
      <c r="U29" s="2261"/>
      <c r="V29" s="2177"/>
      <c r="W29" s="2177"/>
      <c r="X29" s="2177"/>
      <c r="Y29" s="2177"/>
      <c r="Z29" s="2261"/>
      <c r="AA29" s="2281"/>
      <c r="AB29" s="2261"/>
    </row>
    <row r="30" spans="1:28" ht="12">
      <c r="A30" s="294"/>
      <c r="B30" s="295" t="s">
        <v>410</v>
      </c>
      <c r="C30" s="296">
        <f>IF($C$1="APM",Monthly!O1892,IF($C$1="Yearly",Monthly!O1892*12,0))</f>
        <v>221</v>
      </c>
      <c r="D30" s="296">
        <f>IF($C$1="APM",Monthly!O1815,IF($C$1="Yearly",Monthly!O1815*12,0))</f>
        <v>201.83333333333334</v>
      </c>
      <c r="E30" s="296">
        <f>IF($C$1="APM",Monthly!O1738,IF($C$1="Yearly",Monthly!O1738*12,0))</f>
        <v>171.83333333333334</v>
      </c>
      <c r="F30" s="296">
        <f>IF($C$1="APM",Monthly!O1660,IF($C$1="Yearly",Monthly!O1660*12,0))</f>
        <v>191.83333333333334</v>
      </c>
      <c r="G30" s="296">
        <f>IF($C$1="APM",Monthly!O1582,IF($C$1="Yearly",Monthly!O1582*12,0))</f>
        <v>207.75</v>
      </c>
      <c r="H30" s="296">
        <f>IF($C$1="APM",Monthly!O1504,IF($C$1="Yearly",Monthly!O1504*12,0))</f>
        <v>246.58333333333334</v>
      </c>
      <c r="I30" s="296">
        <f>IF($C$1="APM",Monthly!O1427,IF($C$1="Yearly",Monthly!O1427*12,0))</f>
        <v>328.58333333333331</v>
      </c>
      <c r="J30" s="296">
        <f>IF($C$1="APM",Monthly!O1350,IF($C$1="Yearly",Monthly!O1350*12,0))</f>
        <v>231.58333333333334</v>
      </c>
      <c r="K30" s="296">
        <f>IF($C$1="APM",Monthly!O1273,IF($C$1="Yearly",Monthly!O1273*12,0))</f>
        <v>257.25</v>
      </c>
      <c r="L30" s="296">
        <f>IF($C$1="APM",Monthly!O1195,IF($C$1="Yearly",Monthly!O1195*12,0))</f>
        <v>214.41666666666666</v>
      </c>
      <c r="M30" s="296">
        <f>IF($C$1="APM",Monthly!O1118,IF($C$1="Yearly",Monthly!O1118*12,0))</f>
        <v>267</v>
      </c>
      <c r="N30" s="296">
        <f>IF($C$1="APM",Monthly!O1041,IF($C$1="Yearly",Monthly!O1041*12,0))</f>
        <v>330.58333333333331</v>
      </c>
      <c r="O30" s="296">
        <f>IF($C$1="APM",Monthly!O964,IF($C$1="Yearly",Monthly!O964*12,0))</f>
        <v>327.08333333333331</v>
      </c>
      <c r="P30" s="296">
        <f>IF($C$1="APM",Monthly!$O888,IF($C$1="Yearly",Monthly!$O888*12,0))</f>
        <v>230.08333333333334</v>
      </c>
      <c r="Q30" s="296">
        <f>IF($C$1="APM",Monthly!$O811,IF($C$1="Yearly",Monthly!$O811*12,0))</f>
        <v>217.66666666666666</v>
      </c>
      <c r="R30" s="296">
        <f>IF($C$1="APM",Monthly!$O734,IF($C$1="Yearly",Monthly!$O734*12,0))</f>
        <v>183.58333333333334</v>
      </c>
      <c r="S30" s="296">
        <f>IF($C$1="APM",Monthly!$O657,IF($C$1="Yearly",Monthly!$O657*12,0))</f>
        <v>190.41666666666666</v>
      </c>
      <c r="T30" s="296">
        <f>IF($C$1="APM",Monthly!$O580,IF($C$1="Yearly",Monthly!$O580*12,0))</f>
        <v>189.25</v>
      </c>
      <c r="U30" s="296">
        <f>IF($C$1="APM",Monthly!$O580,IF($C$1="Yearly",Monthly!$O580*12,0))</f>
        <v>189.25</v>
      </c>
      <c r="V30" s="296"/>
      <c r="W30" s="296"/>
      <c r="X30" s="296"/>
      <c r="Y30" s="296"/>
      <c r="Z30" s="296">
        <f t="shared" ref="Z30:AA33" si="9">S30-P30</f>
        <v>-39.666666666666686</v>
      </c>
      <c r="AA30" s="420">
        <f t="shared" si="9"/>
        <v>-28.416666666666657</v>
      </c>
      <c r="AB30" s="296">
        <v>300</v>
      </c>
    </row>
    <row r="31" spans="1:28" ht="12">
      <c r="A31" s="294"/>
      <c r="B31" s="295" t="s">
        <v>411</v>
      </c>
      <c r="C31" s="296">
        <f>IF($C$1="APM",Monthly!O1893,IF($C$1="Yearly",Monthly!O1893*12,0))</f>
        <v>21.166666666666668</v>
      </c>
      <c r="D31" s="296">
        <f>IF($C$1="APM",Monthly!O1816,IF($C$1="Yearly",Monthly!O1816*12,0))</f>
        <v>0</v>
      </c>
      <c r="E31" s="296">
        <f>IF($C$1="APM",Monthly!O1739,IF($C$1="Yearly",Monthly!O1739*12,0))</f>
        <v>0</v>
      </c>
      <c r="F31" s="296">
        <f>IF($C$1="APM",Monthly!O1661,IF($C$1="Yearly",Monthly!O1661*12,0))</f>
        <v>30.833333333333332</v>
      </c>
      <c r="G31" s="296">
        <f>IF($C$1="APM",Monthly!O1583,IF($C$1="Yearly",Monthly!O1583*12,0))</f>
        <v>11.666666666666666</v>
      </c>
      <c r="H31" s="296">
        <f>IF($C$1="APM",Monthly!O1505,IF($C$1="Yearly",Monthly!O1505*12,0))</f>
        <v>33.5</v>
      </c>
      <c r="I31" s="296">
        <f>IF($C$1="APM",Monthly!O1428,IF($C$1="Yearly",Monthly!O1428*12,0))</f>
        <v>44.333333333333336</v>
      </c>
      <c r="J31" s="296">
        <f>IF($C$1="APM",Monthly!O1351,IF($C$1="Yearly",Monthly!O1351*12,0))</f>
        <v>0</v>
      </c>
      <c r="K31" s="296">
        <f>IF($C$1="APM",Monthly!O1274,IF($C$1="Yearly",Monthly!O1274*12,0))</f>
        <v>46.25</v>
      </c>
      <c r="L31" s="296">
        <f>IF($C$1="APM",Monthly!O1196,IF($C$1="Yearly",Monthly!O1196*12,0))</f>
        <v>8.25</v>
      </c>
      <c r="M31" s="296">
        <f>IF($C$1="APM",Monthly!O1119,IF($C$1="Yearly",Monthly!O1119*12,0))</f>
        <v>21.416666666666668</v>
      </c>
      <c r="N31" s="296">
        <f>IF($C$1="APM",Monthly!O1042,IF($C$1="Yearly",Monthly!O1042*12,0))</f>
        <v>44.916666666666664</v>
      </c>
      <c r="O31" s="296">
        <f>IF($C$1="APM",Monthly!O965,IF($C$1="Yearly",Monthly!O965*12,0))</f>
        <v>59.333333333333336</v>
      </c>
      <c r="P31" s="296">
        <f>IF($C$1="APM",Monthly!$O889,IF($C$1="Yearly",Monthly!$O889*12,0))</f>
        <v>24</v>
      </c>
      <c r="Q31" s="296">
        <f>IF($C$1="APM",Monthly!$O812,IF($C$1="Yearly",Monthly!$O812*12,0))</f>
        <v>14.333333333333334</v>
      </c>
      <c r="R31" s="296">
        <f>IF($C$1="APM",Monthly!$O735,IF($C$1="Yearly",Monthly!$O735*12,0))</f>
        <v>193.41666666666666</v>
      </c>
      <c r="S31" s="296">
        <f>IF($C$1="APM",Monthly!$O658,IF($C$1="Yearly",Monthly!$O658*12,0))</f>
        <v>365.16666666666669</v>
      </c>
      <c r="T31" s="296">
        <f>IF($C$1="APM",Monthly!$O581,IF($C$1="Yearly",Monthly!$O581*12,0))</f>
        <v>120</v>
      </c>
      <c r="U31" s="296">
        <f>IF($C$1="APM",Monthly!$O581,IF($C$1="Yearly",Monthly!$O581*12,0))</f>
        <v>120</v>
      </c>
      <c r="V31" s="296"/>
      <c r="W31" s="296"/>
      <c r="X31" s="296"/>
      <c r="Y31" s="296"/>
      <c r="Z31" s="296">
        <f t="shared" si="9"/>
        <v>341.16666666666669</v>
      </c>
      <c r="AA31" s="420">
        <f t="shared" si="9"/>
        <v>105.66666666666667</v>
      </c>
      <c r="AB31" s="296" t="s">
        <v>37</v>
      </c>
    </row>
    <row r="32" spans="1:28" ht="12">
      <c r="A32" s="294"/>
      <c r="B32" s="295" t="s">
        <v>412</v>
      </c>
      <c r="C32" s="296">
        <f>IF($C$1="APM",Monthly!O1894,IF($C$1="Yearly",Monthly!O1894*12,0))</f>
        <v>7.5</v>
      </c>
      <c r="D32" s="296">
        <f>IF($C$1="APM",Monthly!O1817,IF($C$1="Yearly",Monthly!O1817*12,0))</f>
        <v>10.583333333333334</v>
      </c>
      <c r="E32" s="296">
        <f>IF($C$1="APM",Monthly!O1740,IF($C$1="Yearly",Monthly!O1740*12,0))</f>
        <v>2</v>
      </c>
      <c r="F32" s="296">
        <f>IF($C$1="APM",Monthly!O1662,IF($C$1="Yearly",Monthly!O1662*12,0))</f>
        <v>8.1666666666666661</v>
      </c>
      <c r="G32" s="296">
        <f>IF($C$1="APM",Monthly!O1584,IF($C$1="Yearly",Monthly!O1584*12,0))</f>
        <v>4.75</v>
      </c>
      <c r="H32" s="296">
        <f>IF($C$1="APM",Monthly!O1506,IF($C$1="Yearly",Monthly!O1506*12,0))</f>
        <v>3.5833333333333335</v>
      </c>
      <c r="I32" s="296">
        <f>IF($C$1="APM",Monthly!O1429,IF($C$1="Yearly",Monthly!O1429*12,0))</f>
        <v>14</v>
      </c>
      <c r="J32" s="296">
        <f>IF($C$1="APM",Monthly!O1352,IF($C$1="Yearly",Monthly!O1352*12,0))</f>
        <v>25.5</v>
      </c>
      <c r="K32" s="296">
        <f>IF($C$1="APM",Monthly!O1275,IF($C$1="Yearly",Monthly!O1275*12,0))</f>
        <v>28</v>
      </c>
      <c r="L32" s="296">
        <f>IF($C$1="APM",Monthly!O1197,IF($C$1="Yearly",Monthly!O1197*12,0))</f>
        <v>24.666666666666668</v>
      </c>
      <c r="M32" s="296">
        <f>IF($C$1="APM",Monthly!O1120,IF($C$1="Yearly",Monthly!O1120*12,0))</f>
        <v>20</v>
      </c>
      <c r="N32" s="296">
        <f>IF($C$1="APM",Monthly!O1043,IF($C$1="Yearly",Monthly!O1043*12,0))</f>
        <v>35.083333333333336</v>
      </c>
      <c r="O32" s="296">
        <f>IF($C$1="APM",Monthly!O966,IF($C$1="Yearly",Monthly!O966*12,0))</f>
        <v>22.666666666666668</v>
      </c>
      <c r="P32" s="296">
        <f>IF($C$1="APM",Monthly!$O890,IF($C$1="Yearly",Monthly!$O890*12,0))</f>
        <v>14.5</v>
      </c>
      <c r="Q32" s="296">
        <f>IF($C$1="APM",Monthly!$O813,IF($C$1="Yearly",Monthly!$O813*12,0))</f>
        <v>29.75</v>
      </c>
      <c r="R32" s="296">
        <f>IF($C$1="APM",Monthly!$O736,IF($C$1="Yearly",Monthly!$O736*12,0))</f>
        <v>61.583333333333336</v>
      </c>
      <c r="S32" s="296">
        <f>IF($C$1="APM",Monthly!$O659,IF($C$1="Yearly",Monthly!$O659*12,0))</f>
        <v>47.083333333333336</v>
      </c>
      <c r="T32" s="296">
        <f>IF($C$1="APM",Monthly!$O582,IF($C$1="Yearly",Monthly!$O582*12,0))</f>
        <v>5.5</v>
      </c>
      <c r="U32" s="296">
        <f>IF($C$1="APM",Monthly!$O582,IF($C$1="Yearly",Monthly!$O582*12,0))</f>
        <v>5.5</v>
      </c>
      <c r="V32" s="296"/>
      <c r="W32" s="296"/>
      <c r="X32" s="296"/>
      <c r="Y32" s="296"/>
      <c r="Z32" s="296">
        <f t="shared" si="9"/>
        <v>32.583333333333336</v>
      </c>
      <c r="AA32" s="420">
        <f t="shared" si="9"/>
        <v>-24.25</v>
      </c>
      <c r="AB32" s="296">
        <v>20</v>
      </c>
    </row>
    <row r="33" spans="1:28" ht="12">
      <c r="A33" s="294"/>
      <c r="B33" s="295" t="s">
        <v>413</v>
      </c>
      <c r="C33" s="296">
        <f>IF($C$1="APM",Monthly!O1895,IF($C$1="Yearly",Monthly!O1895*12,0))</f>
        <v>25.833333333333332</v>
      </c>
      <c r="D33" s="296">
        <f>IF($C$1="APM",Monthly!O1818,IF($C$1="Yearly",Monthly!O1818*12,0))</f>
        <v>30.166666666666668</v>
      </c>
      <c r="E33" s="296">
        <f>IF($C$1="APM",Monthly!O1741,IF($C$1="Yearly",Monthly!O1741*12,0))</f>
        <v>15.416666666666666</v>
      </c>
      <c r="F33" s="296">
        <f>IF($C$1="APM",Monthly!O1663,IF($C$1="Yearly",Monthly!O1663*12,0))</f>
        <v>8.3333333333333339</v>
      </c>
      <c r="G33" s="296">
        <f>IF($C$1="APM",Monthly!O1585,IF($C$1="Yearly",Monthly!O1585*12,0))</f>
        <v>5.416666666666667</v>
      </c>
      <c r="H33" s="296">
        <f>IF($C$1="APM",Monthly!O1507,IF($C$1="Yearly",Monthly!O1507*12,0))</f>
        <v>9.8333333333333339</v>
      </c>
      <c r="I33" s="296">
        <f>IF($C$1="APM",Monthly!O1430,IF($C$1="Yearly",Monthly!O1430*12,0))</f>
        <v>17.083333333333332</v>
      </c>
      <c r="J33" s="296">
        <f>IF($C$1="APM",Monthly!O1353,IF($C$1="Yearly",Monthly!O1353*12,0))</f>
        <v>26.25</v>
      </c>
      <c r="K33" s="296">
        <f>IF($C$1="APM",Monthly!O1276,IF($C$1="Yearly",Monthly!O1276*12,0))</f>
        <v>31.166666666666668</v>
      </c>
      <c r="L33" s="296">
        <f>IF($C$1="APM",Monthly!O1198,IF($C$1="Yearly",Monthly!O1198*12,0))</f>
        <v>16.25</v>
      </c>
      <c r="M33" s="296">
        <f>IF($C$1="APM",Monthly!O1121,IF($C$1="Yearly",Monthly!O1121*12,0))</f>
        <v>15.833333333333334</v>
      </c>
      <c r="N33" s="296">
        <f>IF($C$1="APM",Monthly!O1044,IF($C$1="Yearly",Monthly!O1044*12,0))</f>
        <v>15.416666666666666</v>
      </c>
      <c r="O33" s="296">
        <f>IF($C$1="APM",Monthly!O967,IF($C$1="Yearly",Monthly!O967*12,0))</f>
        <v>33.416666666666664</v>
      </c>
      <c r="P33" s="296">
        <f>IF($C$1="APM",Monthly!$O891,IF($C$1="Yearly",Monthly!$O891*12,0))</f>
        <v>23.75</v>
      </c>
      <c r="Q33" s="296">
        <f>IF($C$1="APM",Monthly!$O814,IF($C$1="Yearly",Monthly!$O814*12,0))</f>
        <v>17.916666666666668</v>
      </c>
      <c r="R33" s="296">
        <f>IF($C$1="APM",Monthly!$O737,IF($C$1="Yearly",Monthly!$O737*12,0))</f>
        <v>10.083333333333334</v>
      </c>
      <c r="S33" s="296">
        <f>IF($C$1="APM",Monthly!$O660,IF($C$1="Yearly",Monthly!$O660*12,0))</f>
        <v>2.0833333333333335</v>
      </c>
      <c r="T33" s="296">
        <f>IF($C$1="APM",Monthly!$O583,IF($C$1="Yearly",Monthly!$O583*12,0))</f>
        <v>2.0833333333333335</v>
      </c>
      <c r="U33" s="296">
        <f>IF($C$1="APM",Monthly!$O583,IF($C$1="Yearly",Monthly!$O583*12,0))</f>
        <v>2.0833333333333335</v>
      </c>
      <c r="V33" s="296"/>
      <c r="W33" s="296"/>
      <c r="X33" s="296"/>
      <c r="Y33" s="296"/>
      <c r="Z33" s="296">
        <f t="shared" si="9"/>
        <v>-21.666666666666668</v>
      </c>
      <c r="AA33" s="420">
        <f t="shared" si="9"/>
        <v>-15.833333333333334</v>
      </c>
      <c r="AB33" s="296">
        <v>20</v>
      </c>
    </row>
    <row r="34" spans="1:28" ht="14.1" customHeight="1">
      <c r="A34" s="2272" t="s">
        <v>278</v>
      </c>
      <c r="B34" s="2273"/>
      <c r="C34" s="2261">
        <f t="shared" ref="C34:H34" si="10">SUM(C36:C37)</f>
        <v>478</v>
      </c>
      <c r="D34" s="2261">
        <f t="shared" si="10"/>
        <v>517.91666666666674</v>
      </c>
      <c r="E34" s="2261">
        <f t="shared" si="10"/>
        <v>287.16666666666669</v>
      </c>
      <c r="F34" s="2261">
        <f t="shared" si="10"/>
        <v>273.75</v>
      </c>
      <c r="G34" s="2261">
        <f t="shared" si="10"/>
        <v>271.25</v>
      </c>
      <c r="H34" s="2261">
        <f t="shared" si="10"/>
        <v>324.66666666666663</v>
      </c>
      <c r="I34" s="2261">
        <f t="shared" ref="I34:O34" si="11">SUM(I36:I37)</f>
        <v>490.91666666666669</v>
      </c>
      <c r="J34" s="2261">
        <f t="shared" si="11"/>
        <v>509.58333333333331</v>
      </c>
      <c r="K34" s="2261">
        <f t="shared" si="11"/>
        <v>533.75</v>
      </c>
      <c r="L34" s="2261">
        <f t="shared" si="11"/>
        <v>603.16666666666663</v>
      </c>
      <c r="M34" s="2261">
        <f t="shared" si="11"/>
        <v>783.66666666666674</v>
      </c>
      <c r="N34" s="2261">
        <f t="shared" si="11"/>
        <v>745.83333333333337</v>
      </c>
      <c r="O34" s="2261">
        <f t="shared" si="11"/>
        <v>897.66666666666663</v>
      </c>
      <c r="P34" s="2261">
        <f t="shared" ref="P34:U34" si="12">SUM(P36:P37)</f>
        <v>942.5</v>
      </c>
      <c r="Q34" s="2261">
        <f t="shared" si="12"/>
        <v>838.25</v>
      </c>
      <c r="R34" s="2261">
        <f t="shared" si="12"/>
        <v>761.33333333333337</v>
      </c>
      <c r="S34" s="2261">
        <f t="shared" si="12"/>
        <v>885.91666666666674</v>
      </c>
      <c r="T34" s="2261">
        <f t="shared" si="12"/>
        <v>802.58333333333337</v>
      </c>
      <c r="U34" s="2261">
        <f t="shared" si="12"/>
        <v>802.58333333333337</v>
      </c>
      <c r="V34" s="2177"/>
      <c r="W34" s="2177"/>
      <c r="X34" s="2177"/>
      <c r="Y34" s="2177"/>
      <c r="Z34" s="2261">
        <f>S34-P34</f>
        <v>-56.583333333333258</v>
      </c>
      <c r="AA34" s="2282">
        <f>(S34-P34)/P34</f>
        <v>-6.0035366931918577E-2</v>
      </c>
      <c r="AB34" s="2261">
        <f>SUM(AB36:AB37)</f>
        <v>1000</v>
      </c>
    </row>
    <row r="35" spans="1:28" ht="14.1" customHeight="1">
      <c r="A35" s="2272"/>
      <c r="B35" s="2273"/>
      <c r="C35" s="2261"/>
      <c r="D35" s="2261"/>
      <c r="E35" s="2261"/>
      <c r="F35" s="2261"/>
      <c r="G35" s="2261"/>
      <c r="H35" s="2261"/>
      <c r="I35" s="2261"/>
      <c r="J35" s="2261"/>
      <c r="K35" s="2261"/>
      <c r="L35" s="2261"/>
      <c r="M35" s="2261"/>
      <c r="N35" s="2261"/>
      <c r="O35" s="2261"/>
      <c r="P35" s="2261"/>
      <c r="Q35" s="2261"/>
      <c r="R35" s="2261"/>
      <c r="S35" s="2261"/>
      <c r="T35" s="2261"/>
      <c r="U35" s="2261"/>
      <c r="V35" s="2177"/>
      <c r="W35" s="2177"/>
      <c r="X35" s="2177"/>
      <c r="Y35" s="2177"/>
      <c r="Z35" s="2261"/>
      <c r="AA35" s="2282"/>
      <c r="AB35" s="2261"/>
    </row>
    <row r="36" spans="1:28" ht="12">
      <c r="A36" s="294"/>
      <c r="B36" s="295" t="s">
        <v>414</v>
      </c>
      <c r="C36" s="296">
        <f>IF($C$1="APM",Monthly!O1898,IF($C$1="Yearly",Monthly!O1898*12,0))</f>
        <v>358.66666666666669</v>
      </c>
      <c r="D36" s="296">
        <f>IF($C$1="APM",Monthly!O1821,IF($C$1="Yearly",Monthly!O1821*12,0))</f>
        <v>349.16666666666669</v>
      </c>
      <c r="E36" s="296">
        <f>IF($C$1="APM",Monthly!O1744,IF($C$1="Yearly",Monthly!O1744*12,0))</f>
        <v>227.25</v>
      </c>
      <c r="F36" s="296">
        <f>IF($C$1="APM",Monthly!O1666,IF($C$1="Yearly",Monthly!O1666*12,0))</f>
        <v>186.75</v>
      </c>
      <c r="G36" s="296">
        <f>IF($C$1="APM",Monthly!O1588,IF($C$1="Yearly",Monthly!O1588*12,0))</f>
        <v>193.41666666666666</v>
      </c>
      <c r="H36" s="296">
        <f>IF($C$1="APM",Monthly!O1510,IF($C$1="Yearly",Monthly!O1510*12,0))</f>
        <v>234.41666666666666</v>
      </c>
      <c r="I36" s="296">
        <f>IF($C$1="APM",Monthly!O1433,IF($C$1="Yearly",Monthly!O1433*12,0))</f>
        <v>377.5</v>
      </c>
      <c r="J36" s="296">
        <f>IF($C$1="APM",Monthly!O1356,IF($C$1="Yearly",Monthly!O1356*12,0))</f>
        <v>479.75</v>
      </c>
      <c r="K36" s="296">
        <f>IF($C$1="APM",Monthly!O1279,IF($C$1="Yearly",Monthly!O1279*12,0))</f>
        <v>435.16666666666669</v>
      </c>
      <c r="L36" s="296">
        <f>IF($C$1="APM",Monthly!O1201,IF($C$1="Yearly",Monthly!O1201*12,0))</f>
        <v>504.25</v>
      </c>
      <c r="M36" s="296">
        <f>IF($C$1="APM",Monthly!O1124,IF($C$1="Yearly",Monthly!O1124*12,0))</f>
        <v>640.83333333333337</v>
      </c>
      <c r="N36" s="296">
        <f>IF($C$1="APM",Monthly!O1047,IF($C$1="Yearly",Monthly!O1047*12,0))</f>
        <v>580.25</v>
      </c>
      <c r="O36" s="296">
        <f>IF($C$1="APM",Monthly!O970,IF($C$1="Yearly",Monthly!O970*12,0))</f>
        <v>689.75</v>
      </c>
      <c r="P36" s="296">
        <f>IF($C$1="APM",Monthly!$O894,IF($C$1="Yearly",Monthly!$O894*12,0))</f>
        <v>753.5</v>
      </c>
      <c r="Q36" s="296">
        <f>IF($C$1="APM",Monthly!$O817,IF($C$1="Yearly",Monthly!$O817*12,0))</f>
        <v>658.58333333333337</v>
      </c>
      <c r="R36" s="296">
        <f>IF($C$1="APM",Monthly!$O740,IF($C$1="Yearly",Monthly!$O740*12,0))</f>
        <v>657.83333333333337</v>
      </c>
      <c r="S36" s="296">
        <f>IF($C$1="APM",Monthly!$O663,IF($C$1="Yearly",Monthly!$O663*12,0))</f>
        <v>804.08333333333337</v>
      </c>
      <c r="T36" s="296">
        <f>IF($C$1="APM",Monthly!$O586,IF($C$1="Yearly",Monthly!$O586*12,0))</f>
        <v>682.33333333333337</v>
      </c>
      <c r="U36" s="296">
        <f>IF($C$1="APM",Monthly!$O586,IF($C$1="Yearly",Monthly!$O586*12,0))</f>
        <v>682.33333333333337</v>
      </c>
      <c r="V36" s="296"/>
      <c r="W36" s="296"/>
      <c r="X36" s="296"/>
      <c r="Y36" s="296"/>
      <c r="Z36" s="296">
        <f>S36-P36</f>
        <v>50.583333333333371</v>
      </c>
      <c r="AA36" s="420">
        <f>T36-Q36</f>
        <v>23.75</v>
      </c>
      <c r="AB36" s="296">
        <v>800</v>
      </c>
    </row>
    <row r="37" spans="1:28" ht="12">
      <c r="A37" s="294"/>
      <c r="B37" s="295" t="s">
        <v>278</v>
      </c>
      <c r="C37" s="296">
        <f>IF($C$1="APM",Monthly!O1899,IF($C$1="Yearly",Monthly!O1899*12,0))</f>
        <v>119.33333333333333</v>
      </c>
      <c r="D37" s="296">
        <f>IF($C$1="APM",Monthly!O1822,IF($C$1="Yearly",Monthly!O1822*12,0))</f>
        <v>168.75</v>
      </c>
      <c r="E37" s="296">
        <f>IF($C$1="APM",Monthly!O1745,IF($C$1="Yearly",Monthly!O1745*12,0))</f>
        <v>59.916666666666664</v>
      </c>
      <c r="F37" s="296">
        <f>IF($C$1="APM",Monthly!O1667,IF($C$1="Yearly",Monthly!O1667*12,0))</f>
        <v>87</v>
      </c>
      <c r="G37" s="296">
        <f>IF($C$1="APM",Monthly!O1589,IF($C$1="Yearly",Monthly!O1589*12,0))</f>
        <v>77.833333333333329</v>
      </c>
      <c r="H37" s="296">
        <f>IF($C$1="APM",Monthly!O1511,IF($C$1="Yearly",Monthly!O1511*12,0))</f>
        <v>90.25</v>
      </c>
      <c r="I37" s="296">
        <f>IF($C$1="APM",Monthly!O1434,IF($C$1="Yearly",Monthly!O1434*12,0))</f>
        <v>113.41666666666667</v>
      </c>
      <c r="J37" s="296">
        <f>IF($C$1="APM",Monthly!O1357,IF($C$1="Yearly",Monthly!O1357*12,0))</f>
        <v>29.833333333333332</v>
      </c>
      <c r="K37" s="296">
        <f>IF($C$1="APM",Monthly!O1280,IF($C$1="Yearly",Monthly!O1280*12,0))</f>
        <v>98.583333333333329</v>
      </c>
      <c r="L37" s="296">
        <f>IF($C$1="APM",Monthly!O1202,IF($C$1="Yearly",Monthly!O1202*12,0))</f>
        <v>98.916666666666671</v>
      </c>
      <c r="M37" s="296">
        <f>IF($C$1="APM",Monthly!O1125,IF($C$1="Yearly",Monthly!O1125*12,0))</f>
        <v>142.83333333333334</v>
      </c>
      <c r="N37" s="296">
        <f>IF($C$1="APM",Monthly!O1048,IF($C$1="Yearly",Monthly!O1048*12,0))</f>
        <v>165.58333333333334</v>
      </c>
      <c r="O37" s="296">
        <f>IF($C$1="APM",Monthly!O971,IF($C$1="Yearly",Monthly!O971*12,0))</f>
        <v>207.91666666666666</v>
      </c>
      <c r="P37" s="296">
        <f>IF($C$1="APM",Monthly!$O895,IF($C$1="Yearly",Monthly!$O895*12,0))</f>
        <v>189</v>
      </c>
      <c r="Q37" s="296">
        <f>IF($C$1="APM",Monthly!$O818,IF($C$1="Yearly",Monthly!$O818*12,0))</f>
        <v>179.66666666666666</v>
      </c>
      <c r="R37" s="296">
        <f>IF($C$1="APM",Monthly!$O741,IF($C$1="Yearly",Monthly!$O741*12,0))</f>
        <v>103.5</v>
      </c>
      <c r="S37" s="296">
        <f>IF($C$1="APM",Monthly!$O664,IF($C$1="Yearly",Monthly!$O664*12,0))</f>
        <v>81.833333333333329</v>
      </c>
      <c r="T37" s="296">
        <f>IF($C$1="APM",Monthly!$O587,IF($C$1="Yearly",Monthly!$O587*12,0))</f>
        <v>120.25</v>
      </c>
      <c r="U37" s="296">
        <f>IF($C$1="APM",Monthly!$O587,IF($C$1="Yearly",Monthly!$O587*12,0))</f>
        <v>120.25</v>
      </c>
      <c r="V37" s="296"/>
      <c r="W37" s="296"/>
      <c r="X37" s="296"/>
      <c r="Y37" s="296"/>
      <c r="Z37" s="296">
        <f>S37-P37</f>
        <v>-107.16666666666667</v>
      </c>
      <c r="AA37" s="420">
        <f>T37-Q37</f>
        <v>-59.416666666666657</v>
      </c>
      <c r="AB37" s="296">
        <v>200</v>
      </c>
    </row>
    <row r="38" spans="1:28" ht="12">
      <c r="A38" s="2272" t="s">
        <v>279</v>
      </c>
      <c r="B38" s="2273"/>
      <c r="C38" s="2177">
        <f t="shared" ref="C38:U38" si="13">SUM(C40:C47)</f>
        <v>550.33333333333337</v>
      </c>
      <c r="D38" s="2177">
        <f t="shared" si="13"/>
        <v>421.08333333333337</v>
      </c>
      <c r="E38" s="2177">
        <f t="shared" si="13"/>
        <v>364.24999999999994</v>
      </c>
      <c r="F38" s="2177">
        <f t="shared" si="13"/>
        <v>457.58333333333331</v>
      </c>
      <c r="G38" s="2177">
        <f t="shared" si="13"/>
        <v>428.91666666666663</v>
      </c>
      <c r="H38" s="2177">
        <f t="shared" si="13"/>
        <v>421.58333333333331</v>
      </c>
      <c r="I38" s="2261">
        <f t="shared" si="13"/>
        <v>456.91666666666663</v>
      </c>
      <c r="J38" s="2261">
        <f t="shared" si="13"/>
        <v>474.16666666666663</v>
      </c>
      <c r="K38" s="2261">
        <f t="shared" si="13"/>
        <v>409.58333333333326</v>
      </c>
      <c r="L38" s="2261">
        <f t="shared" si="13"/>
        <v>389.00000000000006</v>
      </c>
      <c r="M38" s="2261">
        <f t="shared" si="13"/>
        <v>418.33333333333331</v>
      </c>
      <c r="N38" s="2261">
        <f t="shared" si="13"/>
        <v>370.66666666666669</v>
      </c>
      <c r="O38" s="2261">
        <f t="shared" si="13"/>
        <v>462.75</v>
      </c>
      <c r="P38" s="2261">
        <f t="shared" si="13"/>
        <v>302.66666666666669</v>
      </c>
      <c r="Q38" s="2261">
        <f t="shared" si="13"/>
        <v>299.66666666666669</v>
      </c>
      <c r="R38" s="2261">
        <f t="shared" si="13"/>
        <v>357.16666666666669</v>
      </c>
      <c r="S38" s="2261">
        <f t="shared" si="13"/>
        <v>329.66666666666663</v>
      </c>
      <c r="T38" s="2261">
        <f t="shared" si="13"/>
        <v>511</v>
      </c>
      <c r="U38" s="2261">
        <f t="shared" si="13"/>
        <v>511</v>
      </c>
      <c r="V38" s="2177"/>
      <c r="W38" s="2177"/>
      <c r="X38" s="2177"/>
      <c r="Y38" s="2177"/>
      <c r="Z38" s="2261">
        <f>S38-P38</f>
        <v>26.999999999999943</v>
      </c>
      <c r="AA38" s="2281">
        <f>(S38-P38)/P38</f>
        <v>8.9207048458149585E-2</v>
      </c>
      <c r="AB38" s="2261">
        <f>SUM(AB40:AB47)</f>
        <v>1000</v>
      </c>
    </row>
    <row r="39" spans="1:28" ht="12">
      <c r="A39" s="2272"/>
      <c r="B39" s="2273"/>
      <c r="C39" s="2177"/>
      <c r="D39" s="2177"/>
      <c r="E39" s="2177"/>
      <c r="F39" s="2177"/>
      <c r="G39" s="2177"/>
      <c r="H39" s="2177"/>
      <c r="I39" s="2261"/>
      <c r="J39" s="2261"/>
      <c r="K39" s="2261"/>
      <c r="L39" s="2261"/>
      <c r="M39" s="2261"/>
      <c r="N39" s="2261"/>
      <c r="O39" s="2261"/>
      <c r="P39" s="2261"/>
      <c r="Q39" s="2261"/>
      <c r="R39" s="2261"/>
      <c r="S39" s="2261"/>
      <c r="T39" s="2261"/>
      <c r="U39" s="2261"/>
      <c r="V39" s="2177"/>
      <c r="W39" s="2177"/>
      <c r="X39" s="2177"/>
      <c r="Y39" s="2177"/>
      <c r="Z39" s="2261"/>
      <c r="AA39" s="2281"/>
      <c r="AB39" s="2261"/>
    </row>
    <row r="40" spans="1:28" ht="12">
      <c r="A40" s="294"/>
      <c r="B40" s="295" t="s">
        <v>415</v>
      </c>
      <c r="C40" s="296">
        <f>IF($C$1="APM",Monthly!O1902,IF($C$1="Yearly",Monthly!O1902*12,0))</f>
        <v>57.166666666666664</v>
      </c>
      <c r="D40" s="296">
        <f>IF($C$1="APM",Monthly!O1825,IF($C$1="Yearly",Monthly!O1825*12,0))</f>
        <v>52.083333333333336</v>
      </c>
      <c r="E40" s="296">
        <f>IF($C$1="APM",Monthly!O1748,IF($C$1="Yearly",Monthly!O1748*12,0))</f>
        <v>62.083333333333336</v>
      </c>
      <c r="F40" s="296">
        <f>IF($C$1="APM",Monthly!O1670,IF($C$1="Yearly",Monthly!O1670*12,0))</f>
        <v>65.416666666666671</v>
      </c>
      <c r="G40" s="296">
        <f>IF($C$1="APM",Monthly!O1592,IF($C$1="Yearly",Monthly!O1592*12,0))</f>
        <v>74.5</v>
      </c>
      <c r="H40" s="296">
        <f>IF($C$1="APM",Monthly!O1514,IF($C$1="Yearly",Monthly!O1514*12,0))</f>
        <v>93.083333333333329</v>
      </c>
      <c r="I40" s="296">
        <f>IF($C$1="APM",Monthly!O1437,IF($C$1="Yearly",Monthly!O1437*12,0))</f>
        <v>112.41666666666667</v>
      </c>
      <c r="J40" s="296">
        <f>IF($C$1="APM",Monthly!O1360,IF($C$1="Yearly",Monthly!O1360*12,0))</f>
        <v>146.33333333333334</v>
      </c>
      <c r="K40" s="296">
        <f>IF($C$1="APM",Monthly!O1283,IF($C$1="Yearly",Monthly!O1283*12,0))</f>
        <v>121.08333333333333</v>
      </c>
      <c r="L40" s="296">
        <f>IF($C$1="APM",Monthly!O1205,IF($C$1="Yearly",Monthly!O1205*12,0))</f>
        <v>110.5</v>
      </c>
      <c r="M40" s="296">
        <f>IF($C$1="APM",Monthly!O1128,IF($C$1="Yearly",Monthly!O1128*12,0))</f>
        <v>147.16666666666666</v>
      </c>
      <c r="N40" s="296">
        <f>IF($C$1="APM",Monthly!O1051,IF($C$1="Yearly",Monthly!O1051*12,0))</f>
        <v>112.83333333333333</v>
      </c>
      <c r="O40" s="296">
        <f>IF($C$1="APM",Monthly!O974,IF($C$1="Yearly",Monthly!O974*12,0))</f>
        <v>327.08333333333331</v>
      </c>
      <c r="P40" s="296">
        <f>IF($C$1="APM",Monthly!$O898,IF($C$1="Yearly",Monthly!$O898*12,0))</f>
        <v>157.08333333333334</v>
      </c>
      <c r="Q40" s="296">
        <f>IF($C$1="APM",Monthly!$O821,IF($C$1="Yearly",Monthly!$O821*12,0))</f>
        <v>130</v>
      </c>
      <c r="R40" s="296">
        <f>IF($C$1="APM",Monthly!$O744,IF($C$1="Yearly",Monthly!$O744*12,0))</f>
        <v>83.333333333333329</v>
      </c>
      <c r="S40" s="296">
        <f>IF($C$1="APM",Monthly!$O667,IF($C$1="Yearly",Monthly!$O667*12,0))</f>
        <v>90.333333333333329</v>
      </c>
      <c r="T40" s="296">
        <f>IF($C$1="APM",Monthly!$O590,IF($C$1="Yearly",Monthly!$O590*12,0))</f>
        <v>96.833333333333329</v>
      </c>
      <c r="U40" s="296">
        <f>IF($C$1="APM",Monthly!$O590,IF($C$1="Yearly",Monthly!$O590*12,0))</f>
        <v>96.833333333333329</v>
      </c>
      <c r="V40" s="296"/>
      <c r="W40" s="296"/>
      <c r="X40" s="296"/>
      <c r="Y40" s="296"/>
      <c r="Z40" s="296">
        <f t="shared" ref="Z40:Z47" si="14">S40-P40</f>
        <v>-66.750000000000014</v>
      </c>
      <c r="AA40" s="420">
        <f t="shared" ref="AA40:AA47" si="15">T40-Q40</f>
        <v>-33.166666666666671</v>
      </c>
      <c r="AB40" s="296">
        <v>250</v>
      </c>
    </row>
    <row r="41" spans="1:28" ht="12">
      <c r="A41" s="294"/>
      <c r="B41" s="295" t="s">
        <v>416</v>
      </c>
      <c r="C41" s="296">
        <f>IF($C$1="APM",Monthly!O1903,IF($C$1="Yearly",Monthly!O1903*12,0))</f>
        <v>0</v>
      </c>
      <c r="D41" s="296">
        <f>IF($C$1="APM",Monthly!O1826,IF($C$1="Yearly",Monthly!O1826*12,0))</f>
        <v>0</v>
      </c>
      <c r="E41" s="296">
        <f>IF($C$1="APM",Monthly!O1749,IF($C$1="Yearly",Monthly!O1749*12,0))</f>
        <v>0</v>
      </c>
      <c r="F41" s="296">
        <f>IF($C$1="APM",Monthly!O1671,IF($C$1="Yearly",Monthly!O1671*12,0))</f>
        <v>0</v>
      </c>
      <c r="G41" s="296">
        <f>IF($C$1="APM",Monthly!O1593,IF($C$1="Yearly",Monthly!O1593*12,0))</f>
        <v>0</v>
      </c>
      <c r="H41" s="296">
        <f>IF($C$1="APM",Monthly!O1515,IF($C$1="Yearly",Monthly!O1515*12,0))</f>
        <v>0</v>
      </c>
      <c r="I41" s="296">
        <f>IF($C$1="APM",Monthly!O1438,IF($C$1="Yearly",Monthly!O1438*12,0))</f>
        <v>0</v>
      </c>
      <c r="J41" s="296">
        <f>IF($C$1="APM",Monthly!O1361,IF($C$1="Yearly",Monthly!O1361*12,0))</f>
        <v>0</v>
      </c>
      <c r="K41" s="296">
        <f>IF($C$1="APM",Monthly!O1284,IF($C$1="Yearly",Monthly!O1284*12,0))</f>
        <v>0</v>
      </c>
      <c r="L41" s="296">
        <f>IF($C$1="APM",Monthly!O1206,IF($C$1="Yearly",Monthly!O1206*12,0))</f>
        <v>0</v>
      </c>
      <c r="M41" s="296">
        <f>IF($C$1="APM",Monthly!O1129,IF($C$1="Yearly",Monthly!O1129*12,0))</f>
        <v>0</v>
      </c>
      <c r="N41" s="296">
        <f>IF($C$1="APM",Monthly!O1052,IF($C$1="Yearly",Monthly!O1052*12,0))</f>
        <v>0</v>
      </c>
      <c r="O41" s="296">
        <f>IF($C$1="APM",Monthly!O975,IF($C$1="Yearly",Monthly!O975*12,0))</f>
        <v>0</v>
      </c>
      <c r="P41" s="296">
        <f>IF($C$1="APM",Monthly!$O899,IF($C$1="Yearly",Monthly!$O899*12,0))</f>
        <v>0</v>
      </c>
      <c r="Q41" s="296">
        <f>IF($C$1="APM",Monthly!$O822,IF($C$1="Yearly",Monthly!$O822*12,0))</f>
        <v>21.166666666666668</v>
      </c>
      <c r="R41" s="296">
        <f>IF($C$1="APM",Monthly!$O745,IF($C$1="Yearly",Monthly!$O745*12,0))</f>
        <v>51.583333333333336</v>
      </c>
      <c r="S41" s="296">
        <f>IF($C$1="APM",Monthly!$O668,IF($C$1="Yearly",Monthly!$O668*12,0))</f>
        <v>55</v>
      </c>
      <c r="T41" s="296">
        <f>IF($C$1="APM",Monthly!$O591,IF($C$1="Yearly",Monthly!$O591*12,0))</f>
        <v>70.5</v>
      </c>
      <c r="U41" s="296">
        <f>IF($C$1="APM",Monthly!$O591,IF($C$1="Yearly",Monthly!$O591*12,0))</f>
        <v>70.5</v>
      </c>
      <c r="V41" s="296"/>
      <c r="W41" s="296"/>
      <c r="X41" s="296"/>
      <c r="Y41" s="296"/>
      <c r="Z41" s="296">
        <f t="shared" si="14"/>
        <v>55</v>
      </c>
      <c r="AA41" s="420">
        <f t="shared" si="15"/>
        <v>49.333333333333329</v>
      </c>
      <c r="AB41" s="296">
        <v>150</v>
      </c>
    </row>
    <row r="42" spans="1:28" ht="12">
      <c r="A42" s="294"/>
      <c r="B42" s="295" t="s">
        <v>417</v>
      </c>
      <c r="C42" s="296">
        <f>IF($C$1="APM",Monthly!O1904,IF($C$1="Yearly",Monthly!O1904*12,0))</f>
        <v>0</v>
      </c>
      <c r="D42" s="296">
        <f>IF($C$1="APM",Monthly!O1827,IF($C$1="Yearly",Monthly!O1827*12,0))</f>
        <v>0</v>
      </c>
      <c r="E42" s="296">
        <f>IF($C$1="APM",Monthly!O1750,IF($C$1="Yearly",Monthly!O1750*12,0))</f>
        <v>0</v>
      </c>
      <c r="F42" s="296">
        <f>IF($C$1="APM",Monthly!O1672,IF($C$1="Yearly",Monthly!O1672*12,0))</f>
        <v>0</v>
      </c>
      <c r="G42" s="296">
        <f>IF($C$1="APM",Monthly!O1594,IF($C$1="Yearly",Monthly!O1594*12,0))</f>
        <v>0</v>
      </c>
      <c r="H42" s="296">
        <f>IF($C$1="APM",Monthly!O1516,IF($C$1="Yearly",Monthly!O1516*12,0))</f>
        <v>0</v>
      </c>
      <c r="I42" s="296">
        <f>IF($C$1="APM",Monthly!O1439,IF($C$1="Yearly",Monthly!O1439*12,0))</f>
        <v>0</v>
      </c>
      <c r="J42" s="296">
        <f>IF($C$1="APM",Monthly!O1362,IF($C$1="Yearly",Monthly!O1362*12,0))</f>
        <v>0</v>
      </c>
      <c r="K42" s="296">
        <f>IF($C$1="APM",Monthly!O1285,IF($C$1="Yearly",Monthly!O1285*12,0))</f>
        <v>0</v>
      </c>
      <c r="L42" s="296">
        <f>IF($C$1="APM",Monthly!O1207,IF($C$1="Yearly",Monthly!O1207*12,0))</f>
        <v>0</v>
      </c>
      <c r="M42" s="296">
        <f>IF($C$1="APM",Monthly!O1130,IF($C$1="Yearly",Monthly!O1130*12,0))</f>
        <v>0</v>
      </c>
      <c r="N42" s="296">
        <f>IF($C$1="APM",Monthly!O1053,IF($C$1="Yearly",Monthly!O1053*12,0))</f>
        <v>0</v>
      </c>
      <c r="O42" s="296">
        <f>IF($C$1="APM",Monthly!O976,IF($C$1="Yearly",Monthly!O976*12,0))</f>
        <v>0</v>
      </c>
      <c r="P42" s="296">
        <f>IF($C$1="APM",Monthly!$O900,IF($C$1="Yearly",Monthly!$O900*12,0))</f>
        <v>0</v>
      </c>
      <c r="Q42" s="296">
        <f>IF($C$1="APM",Monthly!$O823,IF($C$1="Yearly",Monthly!$O823*12,0))</f>
        <v>24.083333333333332</v>
      </c>
      <c r="R42" s="296">
        <f>IF($C$1="APM",Monthly!$O746,IF($C$1="Yearly",Monthly!$O746*12,0))</f>
        <v>56.666666666666664</v>
      </c>
      <c r="S42" s="296">
        <f>IF($C$1="APM",Monthly!$O669,IF($C$1="Yearly",Monthly!$O669*12,0))</f>
        <v>65</v>
      </c>
      <c r="T42" s="296">
        <f>IF($C$1="APM",Monthly!$O592,IF($C$1="Yearly",Monthly!$O592*12,0))</f>
        <v>53.083333333333336</v>
      </c>
      <c r="U42" s="296">
        <f>IF($C$1="APM",Monthly!$O592,IF($C$1="Yearly",Monthly!$O592*12,0))</f>
        <v>53.083333333333336</v>
      </c>
      <c r="V42" s="296"/>
      <c r="W42" s="296"/>
      <c r="X42" s="296"/>
      <c r="Y42" s="296"/>
      <c r="Z42" s="296">
        <f t="shared" si="14"/>
        <v>65</v>
      </c>
      <c r="AA42" s="420">
        <f t="shared" si="15"/>
        <v>29.000000000000004</v>
      </c>
      <c r="AB42" s="296">
        <v>100</v>
      </c>
    </row>
    <row r="43" spans="1:28" ht="12">
      <c r="A43" s="294"/>
      <c r="B43" s="295" t="s">
        <v>410</v>
      </c>
      <c r="C43" s="296">
        <f>IF($C$1="APM",Monthly!O1905,IF($C$1="Yearly",Monthly!O1905*12,0))</f>
        <v>0</v>
      </c>
      <c r="D43" s="296">
        <f>IF($C$1="APM",Monthly!O1828,IF($C$1="Yearly",Monthly!O1828*12,0))</f>
        <v>0</v>
      </c>
      <c r="E43" s="296">
        <f>IF($C$1="APM",Monthly!O1751,IF($C$1="Yearly",Monthly!O1751*12,0))</f>
        <v>65.416666666666671</v>
      </c>
      <c r="F43" s="296">
        <f>IF($C$1="APM",Monthly!O1673,IF($C$1="Yearly",Monthly!O1673*12,0))</f>
        <v>92</v>
      </c>
      <c r="G43" s="296">
        <f>IF($C$1="APM",Monthly!O1595,IF($C$1="Yearly",Monthly!O1595*12,0))</f>
        <v>87.083333333333329</v>
      </c>
      <c r="H43" s="296">
        <f>IF($C$1="APM",Monthly!O1517,IF($C$1="Yearly",Monthly!O1517*12,0))</f>
        <v>97.25</v>
      </c>
      <c r="I43" s="296">
        <f>IF($C$1="APM",Monthly!O1440,IF($C$1="Yearly",Monthly!O1440*12,0))</f>
        <v>96.333333333333329</v>
      </c>
      <c r="J43" s="296">
        <f>IF($C$1="APM",Monthly!O1363,IF($C$1="Yearly",Monthly!O1363*12,0))</f>
        <v>85.666666666666671</v>
      </c>
      <c r="K43" s="296">
        <f>IF($C$1="APM",Monthly!O1286,IF($C$1="Yearly",Monthly!O1286*12,0))</f>
        <v>79.583333333333329</v>
      </c>
      <c r="L43" s="296">
        <f>IF($C$1="APM",Monthly!O1208,IF($C$1="Yearly",Monthly!O1208*12,0))</f>
        <v>73</v>
      </c>
      <c r="M43" s="296">
        <f>IF($C$1="APM",Monthly!O1131,IF($C$1="Yearly",Monthly!O1131*12,0))</f>
        <v>89</v>
      </c>
      <c r="N43" s="296">
        <f>IF($C$1="APM",Monthly!O1054,IF($C$1="Yearly",Monthly!O1054*12,0))</f>
        <v>97.083333333333329</v>
      </c>
      <c r="O43" s="296">
        <f>IF($C$1="APM",Monthly!O977,IF($C$1="Yearly",Monthly!O977*12,0))</f>
        <v>59.333333333333336</v>
      </c>
      <c r="P43" s="296">
        <f>IF($C$1="APM",Monthly!$O901,IF($C$1="Yearly",Monthly!$O901*12,0))</f>
        <v>75.75</v>
      </c>
      <c r="Q43" s="296">
        <f>IF($C$1="APM",Monthly!$O824,IF($C$1="Yearly",Monthly!$O824*12,0))</f>
        <v>56.333333333333336</v>
      </c>
      <c r="R43" s="296">
        <f>IF($C$1="APM",Monthly!$O747,IF($C$1="Yearly",Monthly!$O747*12,0))</f>
        <v>30.916666666666668</v>
      </c>
      <c r="S43" s="296">
        <f>IF($C$1="APM",Monthly!$O670,IF($C$1="Yearly",Monthly!$O670*12,0))</f>
        <v>35.5</v>
      </c>
      <c r="T43" s="296">
        <f>IF($C$1="APM",Monthly!$O593,IF($C$1="Yearly",Monthly!$O593*12,0))</f>
        <v>40.666666666666664</v>
      </c>
      <c r="U43" s="296">
        <f>IF($C$1="APM",Monthly!$O593,IF($C$1="Yearly",Monthly!$O593*12,0))</f>
        <v>40.666666666666664</v>
      </c>
      <c r="V43" s="296"/>
      <c r="W43" s="296"/>
      <c r="X43" s="296"/>
      <c r="Y43" s="296"/>
      <c r="Z43" s="296">
        <f t="shared" si="14"/>
        <v>-40.25</v>
      </c>
      <c r="AA43" s="420">
        <f t="shared" si="15"/>
        <v>-15.666666666666671</v>
      </c>
      <c r="AB43" s="296">
        <v>100</v>
      </c>
    </row>
    <row r="44" spans="1:28" ht="12">
      <c r="A44" s="294"/>
      <c r="B44" s="295" t="s">
        <v>418</v>
      </c>
      <c r="C44" s="296">
        <f>IF($C$1="APM",Monthly!O1906,IF($C$1="Yearly",Monthly!O1906*12,0))</f>
        <v>70.5</v>
      </c>
      <c r="D44" s="296">
        <f>IF($C$1="APM",Monthly!O1829,IF($C$1="Yearly",Monthly!O1829*12,0))</f>
        <v>67.5</v>
      </c>
      <c r="E44" s="296">
        <f>IF($C$1="APM",Monthly!O1752,IF($C$1="Yearly",Monthly!O1752*12,0))</f>
        <v>71.25</v>
      </c>
      <c r="F44" s="296">
        <f>IF($C$1="APM",Monthly!O1674,IF($C$1="Yearly",Monthly!O1674*12,0))</f>
        <v>105</v>
      </c>
      <c r="G44" s="296">
        <f>IF($C$1="APM",Monthly!O1596,IF($C$1="Yearly",Monthly!O1596*12,0))</f>
        <v>109.58333333333333</v>
      </c>
      <c r="H44" s="296">
        <f>IF($C$1="APM",Monthly!O1518,IF($C$1="Yearly",Monthly!O1518*12,0))</f>
        <v>109.58333333333333</v>
      </c>
      <c r="I44" s="296">
        <f>IF($C$1="APM",Monthly!O1441,IF($C$1="Yearly",Monthly!O1441*12,0))</f>
        <v>132.66666666666666</v>
      </c>
      <c r="J44" s="296">
        <f>IF($C$1="APM",Monthly!O1364,IF($C$1="Yearly",Monthly!O1364*12,0))</f>
        <v>75.833333333333329</v>
      </c>
      <c r="K44" s="296">
        <f>IF($C$1="APM",Monthly!O1287,IF($C$1="Yearly",Monthly!O1287*12,0))</f>
        <v>60</v>
      </c>
      <c r="L44" s="296">
        <f>IF($C$1="APM",Monthly!O1209,IF($C$1="Yearly",Monthly!O1209*12,0))</f>
        <v>60.833333333333336</v>
      </c>
      <c r="M44" s="296">
        <f>IF($C$1="APM",Monthly!O1132,IF($C$1="Yearly",Monthly!O1132*12,0))</f>
        <v>75.416666666666671</v>
      </c>
      <c r="N44" s="296">
        <f>IF($C$1="APM",Monthly!O1055,IF($C$1="Yearly",Monthly!O1055*12,0))</f>
        <v>62.333333333333336</v>
      </c>
      <c r="O44" s="296">
        <f>IF($C$1="APM",Monthly!O978,IF($C$1="Yearly",Monthly!O978*12,0))</f>
        <v>22.666666666666668</v>
      </c>
      <c r="P44" s="296">
        <f>IF($C$1="APM",Monthly!$O902,IF($C$1="Yearly",Monthly!$O902*12,0))</f>
        <v>50</v>
      </c>
      <c r="Q44" s="296">
        <f>IF($C$1="APM",Monthly!$O825,IF($C$1="Yearly",Monthly!$O825*12,0))</f>
        <v>60.833333333333336</v>
      </c>
      <c r="R44" s="296">
        <f>IF($C$1="APM",Monthly!$O748,IF($C$1="Yearly",Monthly!$O748*12,0))</f>
        <v>59</v>
      </c>
      <c r="S44" s="296">
        <f>IF($C$1="APM",Monthly!$O671,IF($C$1="Yearly",Monthly!$O671*12,0))</f>
        <v>58</v>
      </c>
      <c r="T44" s="296">
        <f>IF($C$1="APM",Monthly!$O594,IF($C$1="Yearly",Monthly!$O594*12,0))</f>
        <v>63.666666666666664</v>
      </c>
      <c r="U44" s="296">
        <f>IF($C$1="APM",Monthly!$O594,IF($C$1="Yearly",Monthly!$O594*12,0))</f>
        <v>63.666666666666664</v>
      </c>
      <c r="V44" s="296"/>
      <c r="W44" s="296"/>
      <c r="X44" s="296"/>
      <c r="Y44" s="296"/>
      <c r="Z44" s="296">
        <f t="shared" si="14"/>
        <v>8</v>
      </c>
      <c r="AA44" s="420">
        <f t="shared" si="15"/>
        <v>2.8333333333333286</v>
      </c>
      <c r="AB44" s="296">
        <v>100</v>
      </c>
    </row>
    <row r="45" spans="1:28" ht="12">
      <c r="A45" s="294"/>
      <c r="B45" s="295" t="s">
        <v>419</v>
      </c>
      <c r="C45" s="296">
        <f>IF($C$1="APM",Monthly!O1907,IF($C$1="Yearly",Monthly!O1907*12,0))</f>
        <v>30</v>
      </c>
      <c r="D45" s="296">
        <f>IF($C$1="APM",Monthly!O1830,IF($C$1="Yearly",Monthly!O1830*12,0))</f>
        <v>33.333333333333336</v>
      </c>
      <c r="E45" s="296">
        <f>IF($C$1="APM",Monthly!O1753,IF($C$1="Yearly",Monthly!O1753*12,0))</f>
        <v>28.416666666666668</v>
      </c>
      <c r="F45" s="296">
        <f>IF($C$1="APM",Monthly!O1675,IF($C$1="Yearly",Monthly!O1675*12,0))</f>
        <v>31.5</v>
      </c>
      <c r="G45" s="296">
        <f>IF($C$1="APM",Monthly!O1597,IF($C$1="Yearly",Monthly!O1597*12,0))</f>
        <v>33.166666666666664</v>
      </c>
      <c r="H45" s="296">
        <f>IF($C$1="APM",Monthly!O1519,IF($C$1="Yearly",Monthly!O1519*12,0))</f>
        <v>35.666666666666664</v>
      </c>
      <c r="I45" s="296">
        <f>IF($C$1="APM",Monthly!O1442,IF($C$1="Yearly",Monthly!O1442*12,0))</f>
        <v>25.833333333333332</v>
      </c>
      <c r="J45" s="296">
        <f>IF($C$1="APM",Monthly!O1365,IF($C$1="Yearly",Monthly!O1365*12,0))</f>
        <v>31.416666666666668</v>
      </c>
      <c r="K45" s="296">
        <f>IF($C$1="APM",Monthly!O1288,IF($C$1="Yearly",Monthly!O1288*12,0))</f>
        <v>35</v>
      </c>
      <c r="L45" s="296">
        <f>IF($C$1="APM",Monthly!O1210,IF($C$1="Yearly",Monthly!O1210*12,0))</f>
        <v>35</v>
      </c>
      <c r="M45" s="296">
        <f>IF($C$1="APM",Monthly!O1133,IF($C$1="Yearly",Monthly!O1133*12,0))</f>
        <v>35.666666666666664</v>
      </c>
      <c r="N45" s="296">
        <f>IF($C$1="APM",Monthly!O1056,IF($C$1="Yearly",Monthly!O1056*12,0))</f>
        <v>20.416666666666668</v>
      </c>
      <c r="O45" s="296">
        <f>IF($C$1="APM",Monthly!O979,IF($C$1="Yearly",Monthly!O979*12,0))</f>
        <v>33.416666666666664</v>
      </c>
      <c r="P45" s="296">
        <f>IF($C$1="APM",Monthly!$O903,IF($C$1="Yearly",Monthly!$O903*12,0))</f>
        <v>4</v>
      </c>
      <c r="Q45" s="296">
        <f>IF($C$1="APM",Monthly!$O826,IF($C$1="Yearly",Monthly!$O826*12,0))</f>
        <v>4.5</v>
      </c>
      <c r="R45" s="296">
        <f>IF($C$1="APM",Monthly!$O749,IF($C$1="Yearly",Monthly!$O749*12,0))</f>
        <v>0</v>
      </c>
      <c r="S45" s="296">
        <f>IF($C$1="APM",Monthly!$O672,IF($C$1="Yearly",Monthly!$O672*12,0))</f>
        <v>0</v>
      </c>
      <c r="T45" s="296">
        <f>IF($C$1="APM",Monthly!$O595,IF($C$1="Yearly",Monthly!$O595*12,0))</f>
        <v>0</v>
      </c>
      <c r="U45" s="296">
        <f>IF($C$1="APM",Monthly!$O595,IF($C$1="Yearly",Monthly!$O595*12,0))</f>
        <v>0</v>
      </c>
      <c r="V45" s="296"/>
      <c r="W45" s="296"/>
      <c r="X45" s="296"/>
      <c r="Y45" s="296"/>
      <c r="Z45" s="296">
        <f t="shared" si="14"/>
        <v>-4</v>
      </c>
      <c r="AA45" s="420">
        <f t="shared" si="15"/>
        <v>-4.5</v>
      </c>
      <c r="AB45" s="296">
        <f>IF($C$1="APM",Monthly!$O595,IF($C$1="Yearly",Monthly!$O595*12,0))</f>
        <v>0</v>
      </c>
    </row>
    <row r="46" spans="1:28" ht="12">
      <c r="A46" s="294"/>
      <c r="B46" s="295" t="s">
        <v>420</v>
      </c>
      <c r="C46" s="296">
        <f>IF($C$1="APM",Monthly!O1908,IF($C$1="Yearly",Monthly!O1908*12,0))</f>
        <v>276.16666666666669</v>
      </c>
      <c r="D46" s="296">
        <f>IF($C$1="APM",Monthly!O1831,IF($C$1="Yearly",Monthly!O1831*12,0))</f>
        <v>187.41666666666666</v>
      </c>
      <c r="E46" s="296">
        <f>IF($C$1="APM",Monthly!O1754,IF($C$1="Yearly",Monthly!O1754*12,0))</f>
        <v>58.75</v>
      </c>
      <c r="F46" s="296">
        <f>IF($C$1="APM",Monthly!O1676,IF($C$1="Yearly",Monthly!O1676*12,0))</f>
        <v>76.333333333333329</v>
      </c>
      <c r="G46" s="296">
        <f>IF($C$1="APM",Monthly!O1598,IF($C$1="Yearly",Monthly!O1598*12,0))</f>
        <v>57.25</v>
      </c>
      <c r="H46" s="296">
        <f>IF($C$1="APM",Monthly!O1520,IF($C$1="Yearly",Monthly!O1520*12,0))</f>
        <v>17.416666666666668</v>
      </c>
      <c r="I46" s="296">
        <f>IF($C$1="APM",Monthly!O1443,IF($C$1="Yearly",Monthly!O1443*12,0))</f>
        <v>20.25</v>
      </c>
      <c r="J46" s="296">
        <f>IF($C$1="APM",Monthly!O1366,IF($C$1="Yearly",Monthly!O1366*12,0))</f>
        <v>14.583333333333334</v>
      </c>
      <c r="K46" s="296">
        <f>IF($C$1="APM",Monthly!O1289,IF($C$1="Yearly",Monthly!O1289*12,0))</f>
        <v>4.333333333333333</v>
      </c>
      <c r="L46" s="296">
        <f>IF($C$1="APM",Monthly!O1211,IF($C$1="Yearly",Monthly!O1211*12,0))</f>
        <v>0.16666666666666666</v>
      </c>
      <c r="M46" s="296">
        <f>IF($C$1="APM",Monthly!O1134,IF($C$1="Yearly",Monthly!O1134*12,0))</f>
        <v>0</v>
      </c>
      <c r="N46" s="296">
        <f>IF($C$1="APM",Monthly!O1057,IF($C$1="Yearly",Monthly!O1057*12,0))</f>
        <v>7.5</v>
      </c>
      <c r="O46" s="296">
        <f>IF($C$1="APM",Monthly!O980,IF($C$1="Yearly",Monthly!O980*12,0))</f>
        <v>13.25</v>
      </c>
      <c r="P46" s="296">
        <f>IF($C$1="APM",Monthly!$O904,IF($C$1="Yearly",Monthly!$O904*12,0))</f>
        <v>15.833333333333334</v>
      </c>
      <c r="Q46" s="296">
        <f>IF($C$1="APM",Monthly!$O827,IF($C$1="Yearly",Monthly!$O827*12,0))</f>
        <v>2.75</v>
      </c>
      <c r="R46" s="296">
        <f>IF($C$1="APM",Monthly!$O750,IF($C$1="Yearly",Monthly!$O750*12,0))</f>
        <v>2.5</v>
      </c>
      <c r="S46" s="296">
        <f>IF($C$1="APM",Monthly!$O673,IF($C$1="Yearly",Monthly!$O673*12,0))</f>
        <v>0.83333333333333337</v>
      </c>
      <c r="T46" s="296">
        <f>IF($C$1="APM",Monthly!$O596,IF($C$1="Yearly",Monthly!$O596*12,0))</f>
        <v>1.6666666666666667</v>
      </c>
      <c r="U46" s="296">
        <f>IF($C$1="APM",Monthly!$O596,IF($C$1="Yearly",Monthly!$O596*12,0))</f>
        <v>1.6666666666666667</v>
      </c>
      <c r="V46" s="296"/>
      <c r="W46" s="296"/>
      <c r="X46" s="296"/>
      <c r="Y46" s="296"/>
      <c r="Z46" s="296">
        <f t="shared" si="14"/>
        <v>-15</v>
      </c>
      <c r="AA46" s="420">
        <f t="shared" si="15"/>
        <v>-1.0833333333333333</v>
      </c>
      <c r="AB46" s="296">
        <v>100</v>
      </c>
    </row>
    <row r="47" spans="1:28" ht="12">
      <c r="A47" s="294"/>
      <c r="B47" s="295" t="s">
        <v>421</v>
      </c>
      <c r="C47" s="296">
        <f>IF($C$1="APM",Monthly!O1909,IF($C$1="Yearly",Monthly!O1909*12,0))</f>
        <v>116.5</v>
      </c>
      <c r="D47" s="296">
        <f>IF($C$1="APM",Monthly!O1832,IF($C$1="Yearly",Monthly!O1832*12,0))</f>
        <v>80.75</v>
      </c>
      <c r="E47" s="296">
        <f>IF($C$1="APM",Monthly!O1755,IF($C$1="Yearly",Monthly!O1755*12,0))</f>
        <v>78.333333333333329</v>
      </c>
      <c r="F47" s="296">
        <f>IF($C$1="APM",Monthly!O1677,IF($C$1="Yearly",Monthly!O1677*12,0))</f>
        <v>87.333333333333329</v>
      </c>
      <c r="G47" s="296">
        <f>IF($C$1="APM",Monthly!O1599,IF($C$1="Yearly",Monthly!O1599*12,0))</f>
        <v>67.333333333333329</v>
      </c>
      <c r="H47" s="296">
        <f>IF($C$1="APM",Monthly!O1521,IF($C$1="Yearly",Monthly!O1521*12,0))</f>
        <v>68.583333333333329</v>
      </c>
      <c r="I47" s="296">
        <f>IF($C$1="APM",Monthly!O1444,IF($C$1="Yearly",Monthly!O1444*12,0))</f>
        <v>69.416666666666671</v>
      </c>
      <c r="J47" s="296">
        <f>IF($C$1="APM",Monthly!O1367,IF($C$1="Yearly",Monthly!O1367*12,0))</f>
        <v>120.33333333333333</v>
      </c>
      <c r="K47" s="296">
        <f>IF($C$1="APM",Monthly!O1290,IF($C$1="Yearly",Monthly!O1290*12,0))</f>
        <v>109.58333333333333</v>
      </c>
      <c r="L47" s="296">
        <f>IF($C$1="APM",Monthly!O1212,IF($C$1="Yearly",Monthly!O1212*12,0))</f>
        <v>109.5</v>
      </c>
      <c r="M47" s="296">
        <f>IF($C$1="APM",Monthly!O1135,IF($C$1="Yearly",Monthly!O1135*12,0))</f>
        <v>71.083333333333329</v>
      </c>
      <c r="N47" s="296">
        <f>IF($C$1="APM",Monthly!O1058,IF($C$1="Yearly",Monthly!O1058*12,0))</f>
        <v>70.5</v>
      </c>
      <c r="O47" s="296">
        <f>IF($C$1="APM",Monthly!O981,IF($C$1="Yearly",Monthly!O981*12,0))</f>
        <v>7</v>
      </c>
      <c r="P47" s="296">
        <f>IF($C$1="APM",Monthly!$O905,IF($C$1="Yearly",Monthly!$O905*12,0))</f>
        <v>0</v>
      </c>
      <c r="Q47" s="296">
        <f>IF($C$1="APM",Monthly!$O828,IF($C$1="Yearly",Monthly!$O828*12,0))</f>
        <v>0</v>
      </c>
      <c r="R47" s="296">
        <f>IF($C$1="APM",Monthly!$O751,IF($C$1="Yearly",Monthly!$O751*12,0))</f>
        <v>73.166666666666671</v>
      </c>
      <c r="S47" s="296">
        <f>IF($C$1="APM",Monthly!$O674,IF($C$1="Yearly",Monthly!$O674*12,0))</f>
        <v>25</v>
      </c>
      <c r="T47" s="296">
        <f>IF($C$1="APM",Monthly!$O597,IF($C$1="Yearly",Monthly!$O597*12,0))</f>
        <v>184.58333333333334</v>
      </c>
      <c r="U47" s="296">
        <f>IF($C$1="APM",Monthly!$O597,IF($C$1="Yearly",Monthly!$O597*12,0))</f>
        <v>184.58333333333334</v>
      </c>
      <c r="V47" s="296"/>
      <c r="W47" s="296"/>
      <c r="X47" s="296"/>
      <c r="Y47" s="296"/>
      <c r="Z47" s="296">
        <f t="shared" si="14"/>
        <v>25</v>
      </c>
      <c r="AA47" s="420">
        <f t="shared" si="15"/>
        <v>184.58333333333334</v>
      </c>
      <c r="AB47" s="296">
        <v>200</v>
      </c>
    </row>
    <row r="48" spans="1:28" ht="14.1" customHeight="1">
      <c r="A48" s="2277" t="s">
        <v>422</v>
      </c>
      <c r="B48" s="2278"/>
      <c r="C48" s="2259">
        <f t="shared" ref="C48:N48" si="16">SUM(C50:C56)</f>
        <v>1477.1666666666667</v>
      </c>
      <c r="D48" s="2259">
        <f t="shared" si="16"/>
        <v>923.66666666666674</v>
      </c>
      <c r="E48" s="2259">
        <f t="shared" si="16"/>
        <v>886.25</v>
      </c>
      <c r="F48" s="2259">
        <f t="shared" si="16"/>
        <v>498.66666666666669</v>
      </c>
      <c r="G48" s="2259">
        <f t="shared" si="16"/>
        <v>669.41666666666674</v>
      </c>
      <c r="H48" s="2259">
        <f t="shared" si="16"/>
        <v>762.16666666666674</v>
      </c>
      <c r="I48" s="2259">
        <f t="shared" si="16"/>
        <v>602.5</v>
      </c>
      <c r="J48" s="2259">
        <f t="shared" si="16"/>
        <v>419.83333333333331</v>
      </c>
      <c r="K48" s="2259">
        <f t="shared" si="16"/>
        <v>1165</v>
      </c>
      <c r="L48" s="2259">
        <f t="shared" si="16"/>
        <v>920.41666666666663</v>
      </c>
      <c r="M48" s="2259">
        <f t="shared" si="16"/>
        <v>922.41666666666674</v>
      </c>
      <c r="N48" s="2259">
        <f t="shared" si="16"/>
        <v>1306.25</v>
      </c>
      <c r="O48" s="2259">
        <f t="shared" ref="O48:T48" si="17">SUM(O50:O56)</f>
        <v>1392.25</v>
      </c>
      <c r="P48" s="2259">
        <f t="shared" si="17"/>
        <v>1458.9166666666667</v>
      </c>
      <c r="Q48" s="2259">
        <f t="shared" si="17"/>
        <v>1572.75</v>
      </c>
      <c r="R48" s="2259">
        <f t="shared" si="17"/>
        <v>898.08333333333326</v>
      </c>
      <c r="S48" s="2259">
        <f t="shared" si="17"/>
        <v>1309.9166666666665</v>
      </c>
      <c r="T48" s="2259">
        <f t="shared" si="17"/>
        <v>1384.25</v>
      </c>
      <c r="U48" s="2259">
        <f>SUM(U50:U56)</f>
        <v>1384.25</v>
      </c>
      <c r="V48" s="2175"/>
      <c r="W48" s="2175"/>
      <c r="X48" s="2175"/>
      <c r="Y48" s="2175"/>
      <c r="Z48" s="2261">
        <f>S48-P48</f>
        <v>-149.00000000000023</v>
      </c>
      <c r="AA48" s="2282">
        <f>(S48-P48)/P48</f>
        <v>-0.10213057634089237</v>
      </c>
      <c r="AB48" s="2259">
        <f>SUM(AB50:AB56)</f>
        <v>1910</v>
      </c>
    </row>
    <row r="49" spans="1:28" ht="14.1" customHeight="1">
      <c r="A49" s="2279"/>
      <c r="B49" s="2280"/>
      <c r="C49" s="2260"/>
      <c r="D49" s="2260"/>
      <c r="E49" s="2260"/>
      <c r="F49" s="2260"/>
      <c r="G49" s="2260"/>
      <c r="H49" s="2260"/>
      <c r="I49" s="2260"/>
      <c r="J49" s="2260"/>
      <c r="K49" s="2260"/>
      <c r="L49" s="2260"/>
      <c r="M49" s="2260"/>
      <c r="N49" s="2260"/>
      <c r="O49" s="2260"/>
      <c r="P49" s="2260"/>
      <c r="Q49" s="2260"/>
      <c r="R49" s="2260"/>
      <c r="S49" s="2260"/>
      <c r="T49" s="2260"/>
      <c r="U49" s="2260"/>
      <c r="V49" s="2176"/>
      <c r="W49" s="2176"/>
      <c r="X49" s="2176"/>
      <c r="Y49" s="2176"/>
      <c r="Z49" s="2261"/>
      <c r="AA49" s="2282"/>
      <c r="AB49" s="2260"/>
    </row>
    <row r="50" spans="1:28" ht="12">
      <c r="A50" s="2274"/>
      <c r="B50" s="291" t="s">
        <v>280</v>
      </c>
      <c r="C50" s="296">
        <f>IF($C$1="APM",Monthly!O1912,IF($C$1="Yearly",Monthly!O1912*12,0))</f>
        <v>617.5</v>
      </c>
      <c r="D50" s="296">
        <f>IF($C$1="APM",Monthly!O1835,IF($C$1="Yearly",Monthly!O1835*12,0))</f>
        <v>219.58333333333334</v>
      </c>
      <c r="E50" s="296">
        <f>IF($C$1="APM",Monthly!O1758,IF($C$1="Yearly",Monthly!O1758*12,0))</f>
        <v>210.33333333333334</v>
      </c>
      <c r="F50" s="296">
        <f>IF($C$1="APM",Monthly!O1680,IF($C$1="Yearly",Monthly!O1680*12,0))</f>
        <v>152.25</v>
      </c>
      <c r="G50" s="296">
        <f>IF($C$1="APM",Monthly!O1602,IF($C$1="Yearly",Monthly!O1602*12,0))</f>
        <v>124.5</v>
      </c>
      <c r="H50" s="296">
        <f>IF($C$1="APM",Monthly!O1524,IF($C$1="Yearly",Monthly!O1524*12,0))</f>
        <v>114.66666666666667</v>
      </c>
      <c r="I50" s="296">
        <f>IF($C$1="APM",Monthly!O1447,IF($C$1="Yearly",Monthly!O1447*12,0))</f>
        <v>133.25</v>
      </c>
      <c r="J50" s="296">
        <f>IF($C$1="APM",Monthly!O1370,IF($C$1="Yearly",Monthly!O1370*12,0))</f>
        <v>194.66666666666666</v>
      </c>
      <c r="K50" s="296">
        <f>IF($C$1="APM",Monthly!O1293,IF($C$1="Yearly",Monthly!O1293*12,0))</f>
        <v>421.16666666666669</v>
      </c>
      <c r="L50" s="296">
        <f>IF($C$1="APM",Monthly!O1215,IF($C$1="Yearly",Monthly!O1215*12,0))</f>
        <v>272.41666666666669</v>
      </c>
      <c r="M50" s="296">
        <f>IF($C$1="APM",Monthly!O1138,IF($C$1="Yearly",Monthly!O1138*12,0))</f>
        <v>303.66666666666669</v>
      </c>
      <c r="N50" s="296">
        <f>IF($C$1="APM",Monthly!O1061,IF($C$1="Yearly",Monthly!O1061*12,0))</f>
        <v>352.83333333333331</v>
      </c>
      <c r="O50" s="296">
        <f>IF($C$1="APM",Monthly!O984,IF($C$1="Yearly",Monthly!O984*12,0))</f>
        <v>250.16666666666666</v>
      </c>
      <c r="P50" s="296">
        <f>IF($C$1="APM",Monthly!$O908,IF($C$1="Yearly",Monthly!$O908*12,0))</f>
        <v>446.16666666666669</v>
      </c>
      <c r="Q50" s="296">
        <f>IF($C$1="APM",Monthly!$O831,IF($C$1="Yearly",Monthly!$O831*12,0))</f>
        <v>200.41666666666666</v>
      </c>
      <c r="R50" s="296">
        <f>IF($C$1="APM",Monthly!$O754,IF($C$1="Yearly",Monthly!$O754*12,0))</f>
        <v>187.25</v>
      </c>
      <c r="S50" s="296">
        <f>IF($C$1="APM",Monthly!$O677,IF($C$1="Yearly",Monthly!$O677*12,0))</f>
        <v>153.91666666666666</v>
      </c>
      <c r="T50" s="296">
        <f>IF($C$1="APM",Monthly!$O600,IF($C$1="Yearly",Monthly!$O600*12,0))</f>
        <v>371.66666666666669</v>
      </c>
      <c r="U50" s="296">
        <f>IF($C$1="APM",Monthly!$O600,IF($C$1="Yearly",Monthly!$O600*12,0))</f>
        <v>371.66666666666669</v>
      </c>
      <c r="V50" s="296"/>
      <c r="W50" s="296"/>
      <c r="X50" s="296"/>
      <c r="Y50" s="296"/>
      <c r="Z50" s="296">
        <f t="shared" ref="Z50:Z56" si="18">S50-P50</f>
        <v>-292.25</v>
      </c>
      <c r="AA50" s="420">
        <f t="shared" ref="AA50:AA56" si="19">T50-Q50</f>
        <v>171.25000000000003</v>
      </c>
      <c r="AB50" s="296">
        <v>400</v>
      </c>
    </row>
    <row r="51" spans="1:28" ht="12">
      <c r="A51" s="2276"/>
      <c r="B51" s="291" t="s">
        <v>423</v>
      </c>
      <c r="C51" s="296">
        <f>IF($C$1="APM",Monthly!O1913,IF($C$1="Yearly",Monthly!O1913*12,0))</f>
        <v>280.5</v>
      </c>
      <c r="D51" s="296">
        <f>IF($C$1="APM",Monthly!O1836,IF($C$1="Yearly",Monthly!O1836*12,0))</f>
        <v>182.5</v>
      </c>
      <c r="E51" s="296">
        <f>IF($C$1="APM",Monthly!O1759,IF($C$1="Yearly",Monthly!O1759*12,0))</f>
        <v>43.583333333333336</v>
      </c>
      <c r="F51" s="296">
        <f>IF($C$1="APM",Monthly!O1681,IF($C$1="Yearly",Monthly!O1681*12,0))</f>
        <v>125</v>
      </c>
      <c r="G51" s="296">
        <f>IF($C$1="APM",Monthly!O1603,IF($C$1="Yearly",Monthly!O1603*12,0))</f>
        <v>80</v>
      </c>
      <c r="H51" s="296">
        <f>IF($C$1="APM",Monthly!O1525,IF($C$1="Yearly",Monthly!O1525*12,0))</f>
        <v>220.75</v>
      </c>
      <c r="I51" s="296">
        <f>IF($C$1="APM",Monthly!O1448,IF($C$1="Yearly",Monthly!O1448*12,0))</f>
        <v>70.833333333333329</v>
      </c>
      <c r="J51" s="296">
        <f>IF($C$1="APM",Monthly!O1371,IF($C$1="Yearly",Monthly!O1371*12,0))</f>
        <v>65.833333333333329</v>
      </c>
      <c r="K51" s="296">
        <f>IF($C$1="APM",Monthly!O1294,IF($C$1="Yearly",Monthly!O1294*12,0))</f>
        <v>118.91666666666667</v>
      </c>
      <c r="L51" s="296">
        <f>IF($C$1="APM",Monthly!O1216,IF($C$1="Yearly",Monthly!O1216*12,0))</f>
        <v>111.75</v>
      </c>
      <c r="M51" s="296">
        <f>IF($C$1="APM",Monthly!O1139,IF($C$1="Yearly",Monthly!O1139*12,0))</f>
        <v>211.91666666666666</v>
      </c>
      <c r="N51" s="296">
        <f>IF($C$1="APM",Monthly!O1062,IF($C$1="Yearly",Monthly!O1062*12,0))</f>
        <v>190.08333333333334</v>
      </c>
      <c r="O51" s="296">
        <f>IF($C$1="APM",Monthly!O985,IF($C$1="Yearly",Monthly!O985*12,0))</f>
        <v>227.08333333333334</v>
      </c>
      <c r="P51" s="296">
        <f>IF($C$1="APM",Monthly!$O909,IF($C$1="Yearly",Monthly!$O909*12,0))</f>
        <v>227.91666666666666</v>
      </c>
      <c r="Q51" s="296">
        <f>IF($C$1="APM",Monthly!$O832,IF($C$1="Yearly",Monthly!$O832*12,0))</f>
        <v>103.41666666666667</v>
      </c>
      <c r="R51" s="296">
        <f>IF($C$1="APM",Monthly!$O755,IF($C$1="Yearly",Monthly!$O755*12,0))</f>
        <v>212.5</v>
      </c>
      <c r="S51" s="296">
        <f>IF($C$1="APM",Monthly!$O678,IF($C$1="Yearly",Monthly!$O678*12,0))</f>
        <v>180.58333333333334</v>
      </c>
      <c r="T51" s="296">
        <f>IF($C$1="APM",Monthly!$O601,IF($C$1="Yearly",Monthly!$O601*12,0))</f>
        <v>201.91666666666666</v>
      </c>
      <c r="U51" s="296">
        <f>IF($C$1="APM",Monthly!$O601,IF($C$1="Yearly",Monthly!$O601*12,0))</f>
        <v>201.91666666666666</v>
      </c>
      <c r="V51" s="296"/>
      <c r="W51" s="296"/>
      <c r="X51" s="296"/>
      <c r="Y51" s="296"/>
      <c r="Z51" s="296">
        <f t="shared" si="18"/>
        <v>-47.333333333333314</v>
      </c>
      <c r="AA51" s="420">
        <f t="shared" si="19"/>
        <v>98.499999999999986</v>
      </c>
      <c r="AB51" s="296">
        <v>200</v>
      </c>
    </row>
    <row r="52" spans="1:28" ht="12">
      <c r="A52" s="2276"/>
      <c r="B52" s="291" t="s">
        <v>424</v>
      </c>
      <c r="C52" s="296">
        <f>IF($C$1="APM",Monthly!O1914,IF($C$1="Yearly",Monthly!O1914*12,0))</f>
        <v>211.66666666666666</v>
      </c>
      <c r="D52" s="296">
        <f>IF($C$1="APM",Monthly!O1837,IF($C$1="Yearly",Monthly!O1837*12,0))</f>
        <v>15.833333333333334</v>
      </c>
      <c r="E52" s="296">
        <f>IF($C$1="APM",Monthly!O1760,IF($C$1="Yearly",Monthly!O1760*12,0))</f>
        <v>340.58333333333331</v>
      </c>
      <c r="F52" s="296">
        <f>IF($C$1="APM",Monthly!O1682,IF($C$1="Yearly",Monthly!O1682*12,0))</f>
        <v>2.0833333333333335</v>
      </c>
      <c r="G52" s="296">
        <f>IF($C$1="APM",Monthly!O1604,IF($C$1="Yearly",Monthly!O1604*12,0))</f>
        <v>0</v>
      </c>
      <c r="H52" s="296">
        <f>IF($C$1="APM",Monthly!O1526,IF($C$1="Yearly",Monthly!O1526*12,0))</f>
        <v>7.25</v>
      </c>
      <c r="I52" s="296">
        <f>IF($C$1="APM",Monthly!O1449,IF($C$1="Yearly",Monthly!O1449*12,0))</f>
        <v>71.333333333333329</v>
      </c>
      <c r="J52" s="296">
        <f>IF($C$1="APM",Monthly!O1372,IF($C$1="Yearly",Monthly!O1372*12,0))</f>
        <v>16.25</v>
      </c>
      <c r="K52" s="296">
        <f>IF($C$1="APM",Monthly!O1295,IF($C$1="Yearly",Monthly!O1295*12,0))</f>
        <v>0</v>
      </c>
      <c r="L52" s="296">
        <f>IF($C$1="APM",Monthly!O1217,IF($C$1="Yearly",Monthly!O1217*12,0))</f>
        <v>39.583333333333336</v>
      </c>
      <c r="M52" s="296">
        <f>IF($C$1="APM",Monthly!O1140,IF($C$1="Yearly",Monthly!O1140*12,0))</f>
        <v>0</v>
      </c>
      <c r="N52" s="296">
        <f>IF($C$1="APM",Monthly!O1063,IF($C$1="Yearly",Monthly!O1063*12,0))</f>
        <v>5.833333333333333</v>
      </c>
      <c r="O52" s="296">
        <f>IF($C$1="APM",Monthly!O986,IF($C$1="Yearly",Monthly!O986*12,0))</f>
        <v>23.083333333333332</v>
      </c>
      <c r="P52" s="296">
        <f>IF($C$1="APM",Monthly!$O910,IF($C$1="Yearly",Monthly!$O910*12,0))</f>
        <v>0</v>
      </c>
      <c r="Q52" s="296">
        <f>IF($C$1="APM",Monthly!$O833,IF($C$1="Yearly",Monthly!$O833*12,0))</f>
        <v>109.91666666666667</v>
      </c>
      <c r="R52" s="296">
        <f>IF($C$1="APM",Monthly!$O756,IF($C$1="Yearly",Monthly!$O756*12,0))</f>
        <v>0</v>
      </c>
      <c r="S52" s="296">
        <f>IF($C$1="APM",Monthly!$O679,IF($C$1="Yearly",Monthly!$O679*12,0))</f>
        <v>0</v>
      </c>
      <c r="T52" s="296">
        <f>IF($C$1="APM",Monthly!$O602,IF($C$1="Yearly",Monthly!$O602*12,0))</f>
        <v>0</v>
      </c>
      <c r="U52" s="296">
        <f>IF($C$1="APM",Monthly!$O602,IF($C$1="Yearly",Monthly!$O602*12,0))</f>
        <v>0</v>
      </c>
      <c r="V52" s="296"/>
      <c r="W52" s="296"/>
      <c r="X52" s="296"/>
      <c r="Y52" s="296"/>
      <c r="Z52" s="296">
        <f t="shared" si="18"/>
        <v>0</v>
      </c>
      <c r="AA52" s="420">
        <f t="shared" si="19"/>
        <v>-109.91666666666667</v>
      </c>
      <c r="AB52" s="296">
        <v>200</v>
      </c>
    </row>
    <row r="53" spans="1:28" ht="12">
      <c r="A53" s="2276"/>
      <c r="B53" s="291" t="s">
        <v>425</v>
      </c>
      <c r="C53" s="296">
        <f>IF($C$1="APM",Monthly!O1915,IF($C$1="Yearly",Monthly!O1915*12,0))</f>
        <v>0</v>
      </c>
      <c r="D53" s="296">
        <f>IF($C$1="APM",Monthly!O1838,IF($C$1="Yearly",Monthly!O1838*12,0))</f>
        <v>6.916666666666667</v>
      </c>
      <c r="E53" s="296">
        <f>IF($C$1="APM",Monthly!O1761,IF($C$1="Yearly",Monthly!O1761*12,0))</f>
        <v>63.5</v>
      </c>
      <c r="F53" s="296">
        <f>IF($C$1="APM",Monthly!O1683,IF($C$1="Yearly",Monthly!O1683*12,0))</f>
        <v>6.166666666666667</v>
      </c>
      <c r="G53" s="296">
        <f>IF($C$1="APM",Monthly!O1605,IF($C$1="Yearly",Monthly!O1605*12,0))</f>
        <v>7.833333333333333</v>
      </c>
      <c r="H53" s="296">
        <f>IF($C$1="APM",Monthly!O1527,IF($C$1="Yearly",Monthly!O1527*12,0))</f>
        <v>0.83333333333333337</v>
      </c>
      <c r="I53" s="296">
        <f>IF($C$1="APM",Monthly!O1450,IF($C$1="Yearly",Monthly!O1450*12,0))</f>
        <v>45.083333333333336</v>
      </c>
      <c r="J53" s="296">
        <f>IF($C$1="APM",Monthly!O1373,IF($C$1="Yearly",Monthly!O1373*12,0))</f>
        <v>2.5833333333333335</v>
      </c>
      <c r="K53" s="296">
        <f>IF($C$1="APM",Monthly!O1296,IF($C$1="Yearly",Monthly!O1296*12,0))</f>
        <v>18.666666666666668</v>
      </c>
      <c r="L53" s="296">
        <f>IF($C$1="APM",Monthly!O1218,IF($C$1="Yearly",Monthly!O1218*12,0))</f>
        <v>37.333333333333336</v>
      </c>
      <c r="M53" s="296">
        <f>IF($C$1="APM",Monthly!O1141,IF($C$1="Yearly",Monthly!O1141*12,0))</f>
        <v>28.333333333333332</v>
      </c>
      <c r="N53" s="296">
        <f>IF($C$1="APM",Monthly!O1064,IF($C$1="Yearly",Monthly!O1064*12,0))</f>
        <v>5.833333333333333</v>
      </c>
      <c r="O53" s="296">
        <f>IF($C$1="APM",Monthly!O987,IF($C$1="Yearly",Monthly!O987*12,0))</f>
        <v>39.583333333333336</v>
      </c>
      <c r="P53" s="296">
        <f>IF($C$1="APM",Monthly!$O911,IF($C$1="Yearly",Monthly!$O911*12,0))</f>
        <v>37.25</v>
      </c>
      <c r="Q53" s="296">
        <f>IF($C$1="APM",Monthly!$O834,IF($C$1="Yearly",Monthly!$O834*12,0))</f>
        <v>9.5</v>
      </c>
      <c r="R53" s="296">
        <f>IF($C$1="APM",Monthly!$O757,IF($C$1="Yearly",Monthly!$O757*12,0))</f>
        <v>23.083333333333332</v>
      </c>
      <c r="S53" s="296">
        <f>IF($C$1="APM",Monthly!$O680,IF($C$1="Yearly",Monthly!$O680*12,0))</f>
        <v>63</v>
      </c>
      <c r="T53" s="296">
        <f>IF($C$1="APM",Monthly!$O603,IF($C$1="Yearly",Monthly!$O603*12,0))</f>
        <v>13.833333333333334</v>
      </c>
      <c r="U53" s="296">
        <f>IF($C$1="APM",Monthly!$O603,IF($C$1="Yearly",Monthly!$O603*12,0))</f>
        <v>13.833333333333334</v>
      </c>
      <c r="V53" s="296"/>
      <c r="W53" s="296"/>
      <c r="X53" s="296"/>
      <c r="Y53" s="296"/>
      <c r="Z53" s="296">
        <f t="shared" si="18"/>
        <v>25.75</v>
      </c>
      <c r="AA53" s="420">
        <f t="shared" si="19"/>
        <v>4.3333333333333339</v>
      </c>
      <c r="AB53" s="296">
        <v>200</v>
      </c>
    </row>
    <row r="54" spans="1:28" ht="12">
      <c r="A54" s="2276"/>
      <c r="B54" s="291" t="s">
        <v>426</v>
      </c>
      <c r="C54" s="296">
        <f>IF($C$1="APM",Monthly!O1916,IF($C$1="Yearly",Monthly!O1916*12,0))</f>
        <v>181.83333333333334</v>
      </c>
      <c r="D54" s="296">
        <f>IF($C$1="APM",Monthly!O1839,IF($C$1="Yearly",Monthly!O1839*12,0))</f>
        <v>221.41666666666666</v>
      </c>
      <c r="E54" s="296">
        <f>IF($C$1="APM",Monthly!O1762,IF($C$1="Yearly",Monthly!O1762*12,0))</f>
        <v>138.66666666666666</v>
      </c>
      <c r="F54" s="296">
        <f>IF($C$1="APM",Monthly!O1684,IF($C$1="Yearly",Monthly!O1684*12,0))</f>
        <v>69.916666666666671</v>
      </c>
      <c r="G54" s="296">
        <f>IF($C$1="APM",Monthly!O1606,IF($C$1="Yearly",Monthly!O1606*12,0))</f>
        <v>80.5</v>
      </c>
      <c r="H54" s="296">
        <f>IF($C$1="APM",Monthly!O1528,IF($C$1="Yearly",Monthly!O1528*12,0))</f>
        <v>122.75</v>
      </c>
      <c r="I54" s="296">
        <f>IF($C$1="APM",Monthly!O1451,IF($C$1="Yearly",Monthly!O1451*12,0))</f>
        <v>176.25</v>
      </c>
      <c r="J54" s="296">
        <f>IF($C$1="APM",Monthly!O1374,IF($C$1="Yearly",Monthly!O1374*12,0))</f>
        <v>123.33333333333333</v>
      </c>
      <c r="K54" s="296">
        <f>IF($C$1="APM",Monthly!O1297,IF($C$1="Yearly",Monthly!O1297*12,0))</f>
        <v>152.66666666666666</v>
      </c>
      <c r="L54" s="296">
        <f>IF($C$1="APM",Monthly!O1219,IF($C$1="Yearly",Monthly!O1219*12,0))</f>
        <v>339.66666666666669</v>
      </c>
      <c r="M54" s="296">
        <f>IF($C$1="APM",Monthly!O1142,IF($C$1="Yearly",Monthly!O1142*12,0))</f>
        <v>174.5</v>
      </c>
      <c r="N54" s="296">
        <f>IF($C$1="APM",Monthly!O1065,IF($C$1="Yearly",Monthly!O1065*12,0))</f>
        <v>147</v>
      </c>
      <c r="O54" s="296">
        <f>IF($C$1="APM",Monthly!O988,IF($C$1="Yearly",Monthly!O988*12,0))</f>
        <v>222.25</v>
      </c>
      <c r="P54" s="296">
        <f>IF($C$1="APM",Monthly!$O912,IF($C$1="Yearly",Monthly!$O912*12,0))</f>
        <v>251.83333333333334</v>
      </c>
      <c r="Q54" s="296">
        <f>IF($C$1="APM",Monthly!$O835,IF($C$1="Yearly",Monthly!$O835*12,0))</f>
        <v>93.416666666666671</v>
      </c>
      <c r="R54" s="296">
        <f>IF($C$1="APM",Monthly!$O758,IF($C$1="Yearly",Monthly!$O758*12,0))</f>
        <v>126.33333333333333</v>
      </c>
      <c r="S54" s="296">
        <f>IF($C$1="APM",Monthly!$O681,IF($C$1="Yearly",Monthly!$O681*12,0))</f>
        <v>272</v>
      </c>
      <c r="T54" s="296">
        <f>IF($C$1="APM",Monthly!$O604,IF($C$1="Yearly",Monthly!$O604*12,0))</f>
        <v>39.083333333333336</v>
      </c>
      <c r="U54" s="296">
        <f>IF($C$1="APM",Monthly!$O604,IF($C$1="Yearly",Monthly!$O604*12,0))</f>
        <v>39.083333333333336</v>
      </c>
      <c r="V54" s="296"/>
      <c r="W54" s="296"/>
      <c r="X54" s="296"/>
      <c r="Y54" s="296"/>
      <c r="Z54" s="296">
        <f t="shared" si="18"/>
        <v>20.166666666666657</v>
      </c>
      <c r="AA54" s="420">
        <f t="shared" si="19"/>
        <v>-54.333333333333336</v>
      </c>
      <c r="AB54" s="296">
        <v>100</v>
      </c>
    </row>
    <row r="55" spans="1:28" ht="12">
      <c r="A55" s="2276"/>
      <c r="B55" s="291" t="s">
        <v>427</v>
      </c>
      <c r="C55" s="296">
        <f>IF($C$1="APM",Monthly!O1917,IF($C$1="Yearly",Monthly!O1917*12,0))</f>
        <v>0</v>
      </c>
      <c r="D55" s="296">
        <f>IF($C$1="APM",Monthly!O1840,IF($C$1="Yearly",Monthly!O1840*12,0))</f>
        <v>0</v>
      </c>
      <c r="E55" s="296">
        <f>IF($C$1="APM",Monthly!O1763,IF($C$1="Yearly",Monthly!O1763*12,0))</f>
        <v>0</v>
      </c>
      <c r="F55" s="296">
        <f>IF($C$1="APM",Monthly!O1685,IF($C$1="Yearly",Monthly!O1685*12,0))</f>
        <v>0</v>
      </c>
      <c r="G55" s="296">
        <f>IF($C$1="APM",Monthly!O1607,IF($C$1="Yearly",Monthly!O1607*12,0))</f>
        <v>3.3333333333333335</v>
      </c>
      <c r="H55" s="296">
        <f>IF($C$1="APM",Monthly!O1529,IF($C$1="Yearly",Monthly!O1529*12,0))</f>
        <v>7.5</v>
      </c>
      <c r="I55" s="296">
        <f>IF($C$1="APM",Monthly!O1452,IF($C$1="Yearly",Monthly!O1452*12,0))</f>
        <v>7.5</v>
      </c>
      <c r="J55" s="296">
        <f>IF($C$1="APM",Monthly!O1375,IF($C$1="Yearly",Monthly!O1375*12,0))</f>
        <v>16.666666666666668</v>
      </c>
      <c r="K55" s="296">
        <f>IF($C$1="APM",Monthly!O1298,IF($C$1="Yearly",Monthly!O1298*12,0))</f>
        <v>25.583333333333332</v>
      </c>
      <c r="L55" s="296">
        <f>IF($C$1="APM",Monthly!O1220,IF($C$1="Yearly",Monthly!O1220*12,0))</f>
        <v>0</v>
      </c>
      <c r="M55" s="296">
        <f>IF($C$1="APM",Monthly!O1143,IF($C$1="Yearly",Monthly!O1143*12,0))</f>
        <v>0</v>
      </c>
      <c r="N55" s="296">
        <f>IF($C$1="APM",Monthly!O1066,IF($C$1="Yearly",Monthly!O1066*12,0))</f>
        <v>27.083333333333332</v>
      </c>
      <c r="O55" s="296">
        <f>IF($C$1="APM",Monthly!O989,IF($C$1="Yearly",Monthly!O989*12,0))</f>
        <v>0</v>
      </c>
      <c r="P55" s="296">
        <f>IF($C$1="APM",Monthly!$O913,IF($C$1="Yearly",Monthly!$O913*12,0))</f>
        <v>0</v>
      </c>
      <c r="Q55" s="296">
        <f>IF($C$1="APM",Monthly!$O836,IF($C$1="Yearly",Monthly!$O836*12,0))</f>
        <v>39</v>
      </c>
      <c r="R55" s="296">
        <f>IF($C$1="APM",Monthly!$O759,IF($C$1="Yearly",Monthly!$O759*12,0))</f>
        <v>94</v>
      </c>
      <c r="S55" s="296">
        <f>IF($C$1="APM",Monthly!$O682,IF($C$1="Yearly",Monthly!$O682*12,0))</f>
        <v>95</v>
      </c>
      <c r="T55" s="296">
        <f>IF($C$1="APM",Monthly!$O605,IF($C$1="Yearly",Monthly!$O605*12,0))</f>
        <v>110</v>
      </c>
      <c r="U55" s="296">
        <f>IF($C$1="APM",Monthly!$O605,IF($C$1="Yearly",Monthly!$O605*12,0))</f>
        <v>110</v>
      </c>
      <c r="V55" s="296"/>
      <c r="W55" s="296"/>
      <c r="X55" s="296"/>
      <c r="Y55" s="296"/>
      <c r="Z55" s="296">
        <f t="shared" si="18"/>
        <v>95</v>
      </c>
      <c r="AA55" s="420">
        <f t="shared" si="19"/>
        <v>71</v>
      </c>
      <c r="AB55" s="296">
        <f>IF($C$1="APM",Monthly!$O605,IF($C$1="Yearly",Monthly!$O605*12,0))</f>
        <v>110</v>
      </c>
    </row>
    <row r="56" spans="1:28" ht="12">
      <c r="A56" s="2275"/>
      <c r="B56" s="291" t="s">
        <v>381</v>
      </c>
      <c r="C56" s="296">
        <f>IF($C$1="APM",Monthly!O1918,IF($C$1="Yearly",Monthly!O1918*12,0))</f>
        <v>185.66666666666666</v>
      </c>
      <c r="D56" s="296">
        <f>IF($C$1="APM",Monthly!O1841,IF($C$1="Yearly",Monthly!O1841*12,0))</f>
        <v>277.41666666666669</v>
      </c>
      <c r="E56" s="296">
        <f>IF($C$1="APM",Monthly!O1764,IF($C$1="Yearly",Monthly!O1764*12,0))</f>
        <v>89.583333333333329</v>
      </c>
      <c r="F56" s="296">
        <f>IF($C$1="APM",Monthly!O1686,IF($C$1="Yearly",Monthly!O1686*12,0))</f>
        <v>143.25</v>
      </c>
      <c r="G56" s="296">
        <f>IF($C$1="APM",Monthly!O1608,IF($C$1="Yearly",Monthly!O1608*12,0))</f>
        <v>373.25</v>
      </c>
      <c r="H56" s="296">
        <f>IF($C$1="APM",Monthly!O1530,IF($C$1="Yearly",Monthly!O1530*12,0))</f>
        <v>288.41666666666669</v>
      </c>
      <c r="I56" s="296">
        <f>IF($C$1="APM",Monthly!O1453,IF($C$1="Yearly",Monthly!O1453*12,0))</f>
        <v>98.25</v>
      </c>
      <c r="J56" s="296">
        <f>IF($C$1="APM",Monthly!O1376,IF($C$1="Yearly",Monthly!O1376*12,0))</f>
        <v>0.5</v>
      </c>
      <c r="K56" s="296">
        <f>IF($C$1="APM",Monthly!O1299,IF($C$1="Yearly",Monthly!O1299*12,0))</f>
        <v>428</v>
      </c>
      <c r="L56" s="296">
        <f>IF($C$1="APM",Monthly!O1221,IF($C$1="Yearly",Monthly!O1221*12,0))</f>
        <v>119.66666666666667</v>
      </c>
      <c r="M56" s="296">
        <f>IF($C$1="APM",Monthly!O1144,IF($C$1="Yearly",Monthly!O1144*12,0))</f>
        <v>204</v>
      </c>
      <c r="N56" s="296">
        <f>IF($C$1="APM",Monthly!O1067,IF($C$1="Yearly",Monthly!O1067*12,0))</f>
        <v>577.58333333333337</v>
      </c>
      <c r="O56" s="296">
        <f>IF($C$1="APM",Monthly!O990,IF($C$1="Yearly",Monthly!O990*12,0))</f>
        <v>630.08333333333337</v>
      </c>
      <c r="P56" s="296">
        <f>IF($C$1="APM",Monthly!$O914,IF($C$1="Yearly",Monthly!$O914*12,0))</f>
        <v>495.75</v>
      </c>
      <c r="Q56" s="296">
        <f>IF($C$1="APM",Monthly!$O837,IF($C$1="Yearly",Monthly!$O837*12,0))</f>
        <v>1017.0833333333334</v>
      </c>
      <c r="R56" s="296">
        <f>IF($C$1="APM",Monthly!$O760,IF($C$1="Yearly",Monthly!$O760*12,0))</f>
        <v>254.91666666666666</v>
      </c>
      <c r="S56" s="296">
        <f>IF($C$1="APM",Monthly!$O683,IF($C$1="Yearly",Monthly!$O683*12,0))</f>
        <v>545.41666666666663</v>
      </c>
      <c r="T56" s="296">
        <f>IF($C$1="APM",Monthly!$O606,IF($C$1="Yearly",Monthly!$O606*12,0))</f>
        <v>647.75</v>
      </c>
      <c r="U56" s="296">
        <f>IF($C$1="APM",Monthly!$O606,IF($C$1="Yearly",Monthly!$O606*12,0))</f>
        <v>647.75</v>
      </c>
      <c r="V56" s="296"/>
      <c r="W56" s="296"/>
      <c r="X56" s="296"/>
      <c r="Y56" s="296"/>
      <c r="Z56" s="296">
        <f t="shared" si="18"/>
        <v>49.666666666666629</v>
      </c>
      <c r="AA56" s="420">
        <f t="shared" si="19"/>
        <v>-369.33333333333337</v>
      </c>
      <c r="AB56" s="296">
        <v>700</v>
      </c>
    </row>
    <row r="57" spans="1:28" ht="14.1" customHeight="1">
      <c r="A57" s="2277" t="s">
        <v>428</v>
      </c>
      <c r="B57" s="2278"/>
      <c r="C57" s="2259">
        <f>SUM(C59:C60)</f>
        <v>0</v>
      </c>
      <c r="D57" s="2259">
        <f t="shared" ref="D57:N57" si="20">SUM(D59:D60)</f>
        <v>0</v>
      </c>
      <c r="E57" s="2259">
        <f t="shared" si="20"/>
        <v>0</v>
      </c>
      <c r="F57" s="2259">
        <f t="shared" si="20"/>
        <v>0</v>
      </c>
      <c r="G57" s="2259">
        <f t="shared" si="20"/>
        <v>0</v>
      </c>
      <c r="H57" s="2259">
        <f t="shared" si="20"/>
        <v>632.75</v>
      </c>
      <c r="I57" s="2259">
        <f t="shared" si="20"/>
        <v>347.83333333333331</v>
      </c>
      <c r="J57" s="2259">
        <f t="shared" si="20"/>
        <v>1224.25</v>
      </c>
      <c r="K57" s="2259">
        <f t="shared" si="20"/>
        <v>2705.416666666667</v>
      </c>
      <c r="L57" s="2259">
        <f t="shared" si="20"/>
        <v>1574.8333333333333</v>
      </c>
      <c r="M57" s="2259">
        <f t="shared" si="20"/>
        <v>2901.166666666667</v>
      </c>
      <c r="N57" s="2259">
        <f t="shared" si="20"/>
        <v>2596.0833333333335</v>
      </c>
      <c r="O57" s="2259">
        <f t="shared" ref="O57:T57" si="21">SUM(O59:O60)</f>
        <v>2391</v>
      </c>
      <c r="P57" s="2259">
        <f t="shared" si="21"/>
        <v>2468</v>
      </c>
      <c r="Q57" s="2259">
        <f t="shared" si="21"/>
        <v>1724.8333333333333</v>
      </c>
      <c r="R57" s="2259">
        <f t="shared" si="21"/>
        <v>1940.2916666666665</v>
      </c>
      <c r="S57" s="2259">
        <f t="shared" si="21"/>
        <v>2149</v>
      </c>
      <c r="T57" s="2259">
        <f t="shared" si="21"/>
        <v>2422.5833333333335</v>
      </c>
      <c r="U57" s="2259">
        <f>SUM(U59:U60)</f>
        <v>2422.5833333333335</v>
      </c>
      <c r="V57" s="2175"/>
      <c r="W57" s="2175"/>
      <c r="X57" s="2175"/>
      <c r="Y57" s="2175"/>
      <c r="Z57" s="2261">
        <f>S57-P57</f>
        <v>-319</v>
      </c>
      <c r="AA57" s="2282">
        <f>(S57-P57)/P57</f>
        <v>-0.1292544570502431</v>
      </c>
      <c r="AB57" s="2259">
        <f>SUM(AB59:AB60)</f>
        <v>2600</v>
      </c>
    </row>
    <row r="58" spans="1:28" ht="14.1" customHeight="1">
      <c r="A58" s="2279"/>
      <c r="B58" s="2280"/>
      <c r="C58" s="2260"/>
      <c r="D58" s="2260"/>
      <c r="E58" s="2260"/>
      <c r="F58" s="2260"/>
      <c r="G58" s="2260"/>
      <c r="H58" s="2260"/>
      <c r="I58" s="2260"/>
      <c r="J58" s="2260"/>
      <c r="K58" s="2260"/>
      <c r="L58" s="2260"/>
      <c r="M58" s="2260"/>
      <c r="N58" s="2260"/>
      <c r="O58" s="2260"/>
      <c r="P58" s="2260"/>
      <c r="Q58" s="2260"/>
      <c r="R58" s="2260"/>
      <c r="S58" s="2260"/>
      <c r="T58" s="2260"/>
      <c r="U58" s="2260"/>
      <c r="V58" s="2176"/>
      <c r="W58" s="2176"/>
      <c r="X58" s="2176"/>
      <c r="Y58" s="2176"/>
      <c r="Z58" s="2261"/>
      <c r="AA58" s="2282"/>
      <c r="AB58" s="2260"/>
    </row>
    <row r="59" spans="1:28" ht="12">
      <c r="A59" s="2274"/>
      <c r="B59" s="291" t="s">
        <v>429</v>
      </c>
      <c r="C59" s="296">
        <f>IF($C$1="APM",Monthly!O1921,IF($C$1="Yearly",Monthly!O1921*12,0))</f>
        <v>0</v>
      </c>
      <c r="D59" s="296">
        <f>IF($C$1="APM",Monthly!O1844,IF($C$1="Yearly",Monthly!O1844*12,0))</f>
        <v>0</v>
      </c>
      <c r="E59" s="296">
        <f>IF($C$1="APM",Monthly!O1767,IF($C$1="Yearly",Monthly!O1767*12,0))</f>
        <v>0</v>
      </c>
      <c r="F59" s="296">
        <f>IF($C$1="APM",Monthly!O1689,IF($C$1="Yearly",Monthly!O1689*12,0))</f>
        <v>0</v>
      </c>
      <c r="G59" s="296">
        <f>IF($C$1="APM",Monthly!O1611,IF($C$1="Yearly",Monthly!O1611*12,0))</f>
        <v>0</v>
      </c>
      <c r="H59" s="296">
        <f>IF($C$1="APM",Monthly!O1533,IF($C$1="Yearly",Monthly!O1533*12,0))</f>
        <v>632.75</v>
      </c>
      <c r="I59" s="296">
        <f>IF($C$1="APM",Monthly!O1456,IF($C$1="Yearly",Monthly!O1456*12,0))</f>
        <v>347.83333333333331</v>
      </c>
      <c r="J59" s="296">
        <f>IF($C$1="APM",Monthly!O1379,IF($C$1="Yearly",Monthly!O1379*12,0))</f>
        <v>1224.25</v>
      </c>
      <c r="K59" s="296">
        <f>IF($C$1="APM",Monthly!O1302,IF($C$1="Yearly",Monthly!O1302*12,0))</f>
        <v>1338.9166666666667</v>
      </c>
      <c r="L59" s="296">
        <f>IF($C$1="APM",Monthly!O1224,IF($C$1="Yearly",Monthly!O1224*12,0))</f>
        <v>204.58333333333334</v>
      </c>
      <c r="M59" s="296">
        <f>IF($C$1="APM",Monthly!O1147,IF($C$1="Yearly",Monthly!O1147*12,0))</f>
        <v>14.583333333333334</v>
      </c>
      <c r="N59" s="296">
        <f>IF($C$1="APM",Monthly!O1070,IF($C$1="Yearly",Monthly!O1070*12,0))</f>
        <v>0</v>
      </c>
      <c r="O59" s="296">
        <f>IF($C$1="APM",Monthly!O993,IF($C$1="Yearly",Monthly!O993*12,0))</f>
        <v>208.16666666666666</v>
      </c>
      <c r="P59" s="296">
        <f>IF($C$1="APM",Monthly!$O917,IF($C$1="Yearly",Monthly!$O917*12,0))</f>
        <v>576.58333333333337</v>
      </c>
      <c r="Q59" s="296">
        <f>IF($C$1="APM",Monthly!$O840,IF($C$1="Yearly",Monthly!$O840*12,0))</f>
        <v>335.75</v>
      </c>
      <c r="R59" s="296">
        <f>IF($C$1="APM",Monthly!$O763,IF($C$1="Yearly",Monthly!$O763*12,0))</f>
        <v>321.33333333333331</v>
      </c>
      <c r="S59" s="296">
        <f>IF($C$1="APM",Monthly!$O686,IF($C$1="Yearly",Monthly!$O686*12,0))</f>
        <v>613.75</v>
      </c>
      <c r="T59" s="296">
        <f>IF($C$1="APM",Monthly!$O609,IF($C$1="Yearly",Monthly!$O609*12,0))</f>
        <v>674.58333333333337</v>
      </c>
      <c r="U59" s="296">
        <f>IF($C$1="APM",Monthly!$O609,IF($C$1="Yearly",Monthly!$O609*12,0))</f>
        <v>674.58333333333337</v>
      </c>
      <c r="V59" s="296"/>
      <c r="W59" s="296"/>
      <c r="X59" s="296"/>
      <c r="Y59" s="296"/>
      <c r="Z59" s="296">
        <f>S59-P59</f>
        <v>37.166666666666629</v>
      </c>
      <c r="AA59" s="420">
        <f>T59-Q59</f>
        <v>338.83333333333337</v>
      </c>
      <c r="AB59" s="296">
        <v>800</v>
      </c>
    </row>
    <row r="60" spans="1:28" ht="12">
      <c r="A60" s="2276"/>
      <c r="B60" s="291" t="s">
        <v>430</v>
      </c>
      <c r="C60" s="296">
        <f>IF($C$1="APM",Monthly!O1922,IF($C$1="Yearly",Monthly!O1922*12,0))</f>
        <v>0</v>
      </c>
      <c r="D60" s="296">
        <f>IF($C$1="APM",Monthly!O1845,IF($C$1="Yearly",Monthly!O1845*12,0))</f>
        <v>0</v>
      </c>
      <c r="E60" s="296">
        <f>IF($C$1="APM",Monthly!O1768,IF($C$1="Yearly",Monthly!O1768*12,0))</f>
        <v>0</v>
      </c>
      <c r="F60" s="296">
        <f>IF($C$1="APM",Monthly!O1690,IF($C$1="Yearly",Monthly!O1690*12,0))</f>
        <v>0</v>
      </c>
      <c r="G60" s="296">
        <f>IF($C$1="APM",Monthly!O1612,IF($C$1="Yearly",Monthly!O1612*12,0))</f>
        <v>0</v>
      </c>
      <c r="H60" s="296">
        <f>IF($C$1="APM",Monthly!O1534,IF($C$1="Yearly",Monthly!O1534*12,0))</f>
        <v>0</v>
      </c>
      <c r="I60" s="296">
        <f>IF($C$1="APM",Monthly!O1457,IF($C$1="Yearly",Monthly!O1457*12,0))</f>
        <v>0</v>
      </c>
      <c r="J60" s="296">
        <f>IF($C$1="APM",Monthly!O1380,IF($C$1="Yearly",Monthly!O1380*12,0))</f>
        <v>0</v>
      </c>
      <c r="K60" s="296">
        <f>IF($C$1="APM",Monthly!O1303,IF($C$1="Yearly",Monthly!O1303*12,0))</f>
        <v>1366.5</v>
      </c>
      <c r="L60" s="296">
        <f>IF($C$1="APM",Monthly!O1225,IF($C$1="Yearly",Monthly!O1225*12,0))</f>
        <v>1370.25</v>
      </c>
      <c r="M60" s="296">
        <f>IF($C$1="APM",Monthly!O1148,IF($C$1="Yearly",Monthly!O1148*12,0))</f>
        <v>2886.5833333333335</v>
      </c>
      <c r="N60" s="296">
        <f>IF($C$1="APM",Monthly!O1071,IF($C$1="Yearly",Monthly!O1071*12,0))</f>
        <v>2596.0833333333335</v>
      </c>
      <c r="O60" s="296">
        <f>IF($C$1="APM",Monthly!O994,IF($C$1="Yearly",Monthly!O994*12,0))</f>
        <v>2182.8333333333335</v>
      </c>
      <c r="P60" s="296">
        <f>IF($C$1="APM",Monthly!$O918,IF($C$1="Yearly",Monthly!$O918*12,0))</f>
        <v>1891.4166666666667</v>
      </c>
      <c r="Q60" s="296">
        <f>IF($C$1="APM",Monthly!$O841,IF($C$1="Yearly",Monthly!$O841*12,0))</f>
        <v>1389.0833333333333</v>
      </c>
      <c r="R60" s="296">
        <f>IF($C$1="APM",Monthly!$O764,IF($C$1="Yearly",Monthly!$O764*12,0))</f>
        <v>1618.9583333333333</v>
      </c>
      <c r="S60" s="296">
        <f>IF($C$1="APM",Monthly!$O687,IF($C$1="Yearly",Monthly!$O687*12,0))</f>
        <v>1535.25</v>
      </c>
      <c r="T60" s="296">
        <f>IF($C$1="APM",Monthly!$O610,IF($C$1="Yearly",Monthly!$O610*12,0))</f>
        <v>1748</v>
      </c>
      <c r="U60" s="296">
        <f>IF($C$1="APM",Monthly!$O610,IF($C$1="Yearly",Monthly!$O610*12,0))</f>
        <v>1748</v>
      </c>
      <c r="V60" s="296"/>
      <c r="W60" s="296"/>
      <c r="X60" s="296"/>
      <c r="Y60" s="296"/>
      <c r="Z60" s="296">
        <f>S60-P60</f>
        <v>-356.16666666666674</v>
      </c>
      <c r="AA60" s="420">
        <f>T60-Q60</f>
        <v>358.91666666666674</v>
      </c>
      <c r="AB60" s="296">
        <v>1800</v>
      </c>
    </row>
    <row r="61" spans="1:28" ht="12">
      <c r="A61" s="2277" t="s">
        <v>431</v>
      </c>
      <c r="B61" s="2278"/>
      <c r="C61" s="2259">
        <f>SUM(C63:C66)</f>
        <v>155.66666666666669</v>
      </c>
      <c r="D61" s="2259">
        <f t="shared" ref="D61:N61" si="22">SUM(D63:D66)</f>
        <v>170.60416666666669</v>
      </c>
      <c r="E61" s="2259">
        <f t="shared" si="22"/>
        <v>84.166666666666657</v>
      </c>
      <c r="F61" s="2259">
        <f t="shared" si="22"/>
        <v>151.5</v>
      </c>
      <c r="G61" s="2259">
        <f t="shared" si="22"/>
        <v>196.5</v>
      </c>
      <c r="H61" s="2259">
        <f t="shared" si="22"/>
        <v>211.75000000000003</v>
      </c>
      <c r="I61" s="2259">
        <f t="shared" si="22"/>
        <v>310.33333333333337</v>
      </c>
      <c r="J61" s="2259">
        <f t="shared" si="22"/>
        <v>319.75000000000006</v>
      </c>
      <c r="K61" s="2259">
        <f t="shared" si="22"/>
        <v>445.83333333333337</v>
      </c>
      <c r="L61" s="2259">
        <f t="shared" si="22"/>
        <v>155.32638888888889</v>
      </c>
      <c r="M61" s="2259">
        <f t="shared" si="22"/>
        <v>429.08333333333326</v>
      </c>
      <c r="N61" s="2259">
        <f t="shared" si="22"/>
        <v>459.75000000000006</v>
      </c>
      <c r="O61" s="2259">
        <f t="shared" ref="O61:T61" si="23">SUM(O63:O66)</f>
        <v>501.5</v>
      </c>
      <c r="P61" s="2259">
        <f t="shared" si="23"/>
        <v>687.5</v>
      </c>
      <c r="Q61" s="2259">
        <f t="shared" si="23"/>
        <v>756.08333333333337</v>
      </c>
      <c r="R61" s="2259">
        <f t="shared" si="23"/>
        <v>527.75</v>
      </c>
      <c r="S61" s="2259">
        <f t="shared" si="23"/>
        <v>381.66666666666663</v>
      </c>
      <c r="T61" s="2259">
        <f t="shared" si="23"/>
        <v>510.41666666666669</v>
      </c>
      <c r="U61" s="2259">
        <f>SUM(U63:U66)</f>
        <v>510.41666666666669</v>
      </c>
      <c r="V61" s="2175"/>
      <c r="W61" s="2175"/>
      <c r="X61" s="2175"/>
      <c r="Y61" s="2175"/>
      <c r="Z61" s="2261">
        <f>S61-P61</f>
        <v>-305.83333333333337</v>
      </c>
      <c r="AA61" s="2282">
        <f>(S61-P61)/P61</f>
        <v>-0.44484848484848488</v>
      </c>
      <c r="AB61" s="2259">
        <f>SUM(AB63:AB66)</f>
        <v>587</v>
      </c>
    </row>
    <row r="62" spans="1:28" ht="12">
      <c r="A62" s="2279"/>
      <c r="B62" s="2280"/>
      <c r="C62" s="2260"/>
      <c r="D62" s="2260"/>
      <c r="E62" s="2260"/>
      <c r="F62" s="2260"/>
      <c r="G62" s="2260"/>
      <c r="H62" s="2260"/>
      <c r="I62" s="2260"/>
      <c r="J62" s="2260"/>
      <c r="K62" s="2260"/>
      <c r="L62" s="2260"/>
      <c r="M62" s="2260"/>
      <c r="N62" s="2260"/>
      <c r="O62" s="2260"/>
      <c r="P62" s="2260"/>
      <c r="Q62" s="2260"/>
      <c r="R62" s="2260"/>
      <c r="S62" s="2260"/>
      <c r="T62" s="2260"/>
      <c r="U62" s="2260"/>
      <c r="V62" s="2176"/>
      <c r="W62" s="2176"/>
      <c r="X62" s="2176"/>
      <c r="Y62" s="2176"/>
      <c r="Z62" s="2261"/>
      <c r="AA62" s="2282"/>
      <c r="AB62" s="2260"/>
    </row>
    <row r="63" spans="1:28" ht="12">
      <c r="A63" s="292"/>
      <c r="B63" s="291" t="s">
        <v>432</v>
      </c>
      <c r="C63" s="296">
        <f>IF($C$1="APM",Monthly!O1925,IF($C$1="Yearly",Monthly!O1925*12,0))</f>
        <v>72.25</v>
      </c>
      <c r="D63" s="296">
        <f>IF($C$1="APM",Monthly!O1848,IF($C$1="Yearly",Monthly!O1848*12,0))</f>
        <v>78.4375</v>
      </c>
      <c r="E63" s="296">
        <f>IF($C$1="APM",Monthly!O1771,IF($C$1="Yearly",Monthly!O1771*12,0))</f>
        <v>26.833333333333332</v>
      </c>
      <c r="F63" s="296">
        <f>IF($C$1="APM",Monthly!O1693,IF($C$1="Yearly",Monthly!O1693*12,0))</f>
        <v>120.75</v>
      </c>
      <c r="G63" s="296">
        <f>IF($C$1="APM",Monthly!O1615,IF($C$1="Yearly",Monthly!O1615*12,0))</f>
        <v>132</v>
      </c>
      <c r="H63" s="296">
        <f>IF($C$1="APM",Monthly!O1537,IF($C$1="Yearly",Monthly!O1537*12,0))</f>
        <v>141.16666666666669</v>
      </c>
      <c r="I63" s="296">
        <f>IF($C$1="APM",Monthly!O1460,IF($C$1="Yearly",Monthly!O1460*12,0))</f>
        <v>148.16666666666669</v>
      </c>
      <c r="J63" s="296">
        <f>IF($C$1="APM",Monthly!O1383,IF($C$1="Yearly",Monthly!O1383*12,0))</f>
        <v>165.91666666666669</v>
      </c>
      <c r="K63" s="296">
        <f>IF($C$1="APM",Monthly!O1306,IF($C$1="Yearly",Monthly!O1306*12,0))</f>
        <v>239.58333333333337</v>
      </c>
      <c r="L63" s="296">
        <f>IF($C$1="APM",Monthly!O1228,IF($C$1="Yearly",Monthly!O1228*12,0))</f>
        <v>78.576388888888886</v>
      </c>
      <c r="M63" s="296">
        <f>IF($C$1="APM",Monthly!O1151,IF($C$1="Yearly",Monthly!O1151*12,0))</f>
        <v>290.66666666666663</v>
      </c>
      <c r="N63" s="296">
        <f>IF($C$1="APM",Monthly!O1074,IF($C$1="Yearly",Monthly!O1074*12,0))</f>
        <v>305.08333333333337</v>
      </c>
      <c r="O63" s="296">
        <f>IF($C$1="APM",Monthly!O997,IF($C$1="Yearly",Monthly!O997*12,0))</f>
        <v>290.08333333333337</v>
      </c>
      <c r="P63" s="296">
        <f>IF($C$1="APM",Monthly!$O921,IF($C$1="Yearly",Monthly!$O921*12,0))</f>
        <v>295.91666666666663</v>
      </c>
      <c r="Q63" s="296">
        <f>IF($C$1="APM",Monthly!$O844,IF($C$1="Yearly",Monthly!$O844*12,0))</f>
        <v>331.08333333333337</v>
      </c>
      <c r="R63" s="296">
        <f>IF($C$1="APM",Monthly!$O767,IF($C$1="Yearly",Monthly!$O767*12,0))</f>
        <v>78.166666666666657</v>
      </c>
      <c r="S63" s="296">
        <f>IF($C$1="APM",Monthly!$O690,IF($C$1="Yearly",Monthly!$O690*12,0))</f>
        <v>83.166666666666671</v>
      </c>
      <c r="T63" s="296">
        <f>IF($C$1="APM",Monthly!$O613,IF($C$1="Yearly",Monthly!$O613*12,0))</f>
        <v>78.166666666666657</v>
      </c>
      <c r="U63" s="296">
        <f>IF($C$1="APM",Monthly!$O613,IF($C$1="Yearly",Monthly!$O613*12,0))</f>
        <v>78.166666666666657</v>
      </c>
      <c r="V63" s="296"/>
      <c r="W63" s="296"/>
      <c r="X63" s="296"/>
      <c r="Y63" s="296"/>
      <c r="Z63" s="296">
        <f t="shared" ref="Z63:AA66" si="24">S63-P63</f>
        <v>-212.74999999999994</v>
      </c>
      <c r="AA63" s="420">
        <f t="shared" si="24"/>
        <v>-252.91666666666671</v>
      </c>
      <c r="AB63" s="296">
        <v>100</v>
      </c>
    </row>
    <row r="64" spans="1:28" ht="14.1" customHeight="1">
      <c r="A64" s="292"/>
      <c r="B64" s="291" t="s">
        <v>284</v>
      </c>
      <c r="C64" s="296">
        <f>IF($C$1="APM",Monthly!O1926,IF($C$1="Yearly",Monthly!O1926*12,0))</f>
        <v>37.833333333333336</v>
      </c>
      <c r="D64" s="296">
        <f>IF($C$1="APM",Monthly!O1849,IF($C$1="Yearly",Monthly!O1849*12,0))</f>
        <v>70.166666666666671</v>
      </c>
      <c r="E64" s="296">
        <f>IF($C$1="APM",Monthly!O1772,IF($C$1="Yearly",Monthly!O1772*12,0))</f>
        <v>25</v>
      </c>
      <c r="F64" s="296">
        <f>IF($C$1="APM",Monthly!O1694,IF($C$1="Yearly",Monthly!O1694*12,0))</f>
        <v>17.416666666666668</v>
      </c>
      <c r="G64" s="296">
        <f>IF($C$1="APM",Monthly!O1616,IF($C$1="Yearly",Monthly!O1616*12,0))</f>
        <v>37.916666666666664</v>
      </c>
      <c r="H64" s="296">
        <f>IF($C$1="APM",Monthly!O1538,IF($C$1="Yearly",Monthly!O1538*12,0))</f>
        <v>23.083333333333332</v>
      </c>
      <c r="I64" s="296">
        <f>IF($C$1="APM",Monthly!O1461,IF($C$1="Yearly",Monthly!O1461*12,0))</f>
        <v>113.16666666666667</v>
      </c>
      <c r="J64" s="296">
        <f>IF($C$1="APM",Monthly!O1384,IF($C$1="Yearly",Monthly!O1384*12,0))</f>
        <v>110.91666666666667</v>
      </c>
      <c r="K64" s="296">
        <f>IF($C$1="APM",Monthly!O1307,IF($C$1="Yearly",Monthly!O1307*12,0))</f>
        <v>130.25</v>
      </c>
      <c r="L64" s="296">
        <f>IF($C$1="APM",Monthly!O1229,IF($C$1="Yearly",Monthly!O1229*12,0))</f>
        <v>52.5</v>
      </c>
      <c r="M64" s="296">
        <f>IF($C$1="APM",Monthly!O1152,IF($C$1="Yearly",Monthly!O1152*12,0))</f>
        <v>46</v>
      </c>
      <c r="N64" s="296">
        <f>IF($C$1="APM",Monthly!O1075,IF($C$1="Yearly",Monthly!O1075*12,0))</f>
        <v>52.5</v>
      </c>
      <c r="O64" s="296">
        <f>IF($C$1="APM",Monthly!O998,IF($C$1="Yearly",Monthly!O998*12,0))</f>
        <v>105.33333333333333</v>
      </c>
      <c r="P64" s="296">
        <f>IF($C$1="APM",Monthly!$O922,IF($C$1="Yearly",Monthly!$O922*12,0))</f>
        <v>78.083333333333329</v>
      </c>
      <c r="Q64" s="296">
        <f>IF($C$1="APM",Monthly!$O845,IF($C$1="Yearly",Monthly!$O845*12,0))</f>
        <v>44.166666666666664</v>
      </c>
      <c r="R64" s="296">
        <f>IF($C$1="APM",Monthly!$O768,IF($C$1="Yearly",Monthly!$O768*12,0))</f>
        <v>17.583333333333332</v>
      </c>
      <c r="S64" s="296">
        <f>IF($C$1="APM",Monthly!$O691,IF($C$1="Yearly",Monthly!$O691*12,0))</f>
        <v>32.833333333333336</v>
      </c>
      <c r="T64" s="296">
        <f>IF($C$1="APM",Monthly!$O614,IF($C$1="Yearly",Monthly!$O614*12,0))</f>
        <v>166.58333333333334</v>
      </c>
      <c r="U64" s="296">
        <f>IF($C$1="APM",Monthly!$O614,IF($C$1="Yearly",Monthly!$O614*12,0))</f>
        <v>166.58333333333334</v>
      </c>
      <c r="V64" s="296"/>
      <c r="W64" s="296"/>
      <c r="X64" s="296"/>
      <c r="Y64" s="296"/>
      <c r="Z64" s="296">
        <f t="shared" si="24"/>
        <v>-45.249999999999993</v>
      </c>
      <c r="AA64" s="420">
        <f t="shared" si="24"/>
        <v>122.41666666666669</v>
      </c>
      <c r="AB64" s="296">
        <v>200</v>
      </c>
    </row>
    <row r="65" spans="1:28" ht="14.1" customHeight="1">
      <c r="A65" s="292"/>
      <c r="B65" s="291" t="s">
        <v>433</v>
      </c>
      <c r="C65" s="296">
        <f>IF($C$1="APM",Monthly!O1927,IF($C$1="Yearly",Monthly!O1927*12,0))</f>
        <v>45.583333333333336</v>
      </c>
      <c r="D65" s="296">
        <f>IF($C$1="APM",Monthly!O1850,IF($C$1="Yearly",Monthly!O1850*12,0))</f>
        <v>22</v>
      </c>
      <c r="E65" s="296">
        <f>IF($C$1="APM",Monthly!O1773,IF($C$1="Yearly",Monthly!O1773*12,0))</f>
        <v>32.333333333333329</v>
      </c>
      <c r="F65" s="296">
        <f>IF($C$1="APM",Monthly!O1695,IF($C$1="Yearly",Monthly!O1695*12,0))</f>
        <v>13.333333333333334</v>
      </c>
      <c r="G65" s="296">
        <f>IF($C$1="APM",Monthly!O1617,IF($C$1="Yearly",Monthly!O1617*12,0))</f>
        <v>26.583333333333332</v>
      </c>
      <c r="H65" s="296">
        <f>IF($C$1="APM",Monthly!O1539,IF($C$1="Yearly",Monthly!O1539*12,0))</f>
        <v>47.5</v>
      </c>
      <c r="I65" s="296">
        <f>IF($C$1="APM",Monthly!O1462,IF($C$1="Yearly",Monthly!O1462*12,0))</f>
        <v>49</v>
      </c>
      <c r="J65" s="296">
        <f>IF($C$1="APM",Monthly!O1385,IF($C$1="Yearly",Monthly!O1385*12,0))</f>
        <v>42.916666666666679</v>
      </c>
      <c r="K65" s="296">
        <f>IF($C$1="APM",Monthly!O1308,IF($C$1="Yearly",Monthly!O1308*12,0))</f>
        <v>76</v>
      </c>
      <c r="L65" s="296">
        <f>IF($C$1="APM",Monthly!O1230,IF($C$1="Yearly",Monthly!O1230*12,0))</f>
        <v>24.25</v>
      </c>
      <c r="M65" s="296">
        <f>IF($C$1="APM",Monthly!O1153,IF($C$1="Yearly",Monthly!O1153*12,0))</f>
        <v>92.416666666666643</v>
      </c>
      <c r="N65" s="296">
        <f>IF($C$1="APM",Monthly!O1076,IF($C$1="Yearly",Monthly!O1076*12,0))</f>
        <v>102.16666666666667</v>
      </c>
      <c r="O65" s="296">
        <f>IF($C$1="APM",Monthly!O999,IF($C$1="Yearly",Monthly!O999*12,0))</f>
        <v>106.08333333333333</v>
      </c>
      <c r="P65" s="296">
        <f>IF($C$1="APM",Monthly!$O923,IF($C$1="Yearly",Monthly!$O923*12,0))</f>
        <v>110.5</v>
      </c>
      <c r="Q65" s="296">
        <f>IF($C$1="APM",Monthly!$O846,IF($C$1="Yearly",Monthly!$O846*12,0))</f>
        <v>145.83333333333331</v>
      </c>
      <c r="R65" s="296">
        <f>IF($C$1="APM",Monthly!$O769,IF($C$1="Yearly",Monthly!$O769*12,0))</f>
        <v>229</v>
      </c>
      <c r="S65" s="296">
        <f>IF($C$1="APM",Monthly!$O692,IF($C$1="Yearly",Monthly!$O692*12,0))</f>
        <v>28.666666666666668</v>
      </c>
      <c r="T65" s="296">
        <f>IF($C$1="APM",Monthly!$O615,IF($C$1="Yearly",Monthly!$O615*12,0))</f>
        <v>28.666666666666668</v>
      </c>
      <c r="U65" s="296">
        <f>IF($C$1="APM",Monthly!$O615,IF($C$1="Yearly",Monthly!$O615*12,0))</f>
        <v>28.666666666666668</v>
      </c>
      <c r="V65" s="296"/>
      <c r="W65" s="296"/>
      <c r="X65" s="296"/>
      <c r="Y65" s="296"/>
      <c r="Z65" s="296">
        <f t="shared" si="24"/>
        <v>-81.833333333333329</v>
      </c>
      <c r="AA65" s="420">
        <f t="shared" si="24"/>
        <v>-117.16666666666664</v>
      </c>
      <c r="AB65" s="296">
        <v>50</v>
      </c>
    </row>
    <row r="66" spans="1:28" ht="12">
      <c r="A66" s="292"/>
      <c r="B66" s="291" t="s">
        <v>434</v>
      </c>
      <c r="C66" s="296">
        <f>IF($C$1="APM",Monthly!O1928,IF($C$1="Yearly",Monthly!O1928*12,0))</f>
        <v>0</v>
      </c>
      <c r="D66" s="296">
        <f>IF($C$1="APM",Monthly!O1851,IF($C$1="Yearly",Monthly!O1851*12,0))</f>
        <v>0</v>
      </c>
      <c r="E66" s="296">
        <f>IF($C$1="APM",Monthly!O1774,IF($C$1="Yearly",Monthly!O1774*12,0))</f>
        <v>0</v>
      </c>
      <c r="F66" s="296">
        <f>IF($C$1="APM",Monthly!O1696,IF($C$1="Yearly",Monthly!O1696*12,0))</f>
        <v>0</v>
      </c>
      <c r="G66" s="296">
        <f>IF($C$1="APM",Monthly!O1618,IF($C$1="Yearly",Monthly!O1618*12,0))</f>
        <v>0</v>
      </c>
      <c r="H66" s="296">
        <f>IF($C$1="APM",Monthly!O1540,IF($C$1="Yearly",Monthly!O1540*12,0))</f>
        <v>0</v>
      </c>
      <c r="I66" s="296">
        <f>IF($C$1="APM",Monthly!O1463,IF($C$1="Yearly",Monthly!O1463*12,0))</f>
        <v>0</v>
      </c>
      <c r="J66" s="296">
        <f>IF($C$1="APM",Monthly!O1386,IF($C$1="Yearly",Monthly!O1386*12,0))</f>
        <v>0</v>
      </c>
      <c r="K66" s="296">
        <f>IF($C$1="APM",Monthly!O1309,IF($C$1="Yearly",Monthly!O1309*12,0))</f>
        <v>0</v>
      </c>
      <c r="L66" s="296">
        <f>IF($C$1="APM",Monthly!O1231,IF($C$1="Yearly",Monthly!O1231*12,0))</f>
        <v>0</v>
      </c>
      <c r="M66" s="296">
        <f>IF($C$1="APM",Monthly!O1154,IF($C$1="Yearly",Monthly!O1154*12,0))</f>
        <v>0</v>
      </c>
      <c r="N66" s="296">
        <f>IF($C$1="APM",Monthly!O1077,IF($C$1="Yearly",Monthly!O1077*12,0))</f>
        <v>0</v>
      </c>
      <c r="O66" s="296">
        <f>IF($C$1="APM",Monthly!O1000,IF($C$1="Yearly",Monthly!O1000*12,0))</f>
        <v>0</v>
      </c>
      <c r="P66" s="296">
        <f>IF($C$1="APM",Monthly!$O924,IF($C$1="Yearly",Monthly!$O924*12,0))</f>
        <v>203</v>
      </c>
      <c r="Q66" s="296">
        <f>IF($C$1="APM",Monthly!$O847,IF($C$1="Yearly",Monthly!$O847*12,0))</f>
        <v>235</v>
      </c>
      <c r="R66" s="296">
        <f>IF($C$1="APM",Monthly!$O770,IF($C$1="Yearly",Monthly!$O770*12,0))</f>
        <v>203</v>
      </c>
      <c r="S66" s="296">
        <f>IF($C$1="APM",Monthly!$O693,IF($C$1="Yearly",Monthly!$O693*12,0))</f>
        <v>237</v>
      </c>
      <c r="T66" s="296">
        <f>IF($C$1="APM",Monthly!$O616,IF($C$1="Yearly",Monthly!$O616*12,0))</f>
        <v>237</v>
      </c>
      <c r="U66" s="296">
        <f>IF($C$1="APM",Monthly!$O616,IF($C$1="Yearly",Monthly!$O616*12,0))</f>
        <v>237</v>
      </c>
      <c r="V66" s="296"/>
      <c r="W66" s="296"/>
      <c r="X66" s="296"/>
      <c r="Y66" s="296"/>
      <c r="Z66" s="296">
        <f t="shared" si="24"/>
        <v>34</v>
      </c>
      <c r="AA66" s="420">
        <f t="shared" si="24"/>
        <v>2</v>
      </c>
      <c r="AB66" s="296">
        <f>IF($C$1="APM",Monthly!$O616,IF($C$1="Yearly",Monthly!$O616*12,0))</f>
        <v>237</v>
      </c>
    </row>
    <row r="67" spans="1:28" ht="12">
      <c r="A67" s="2277" t="s">
        <v>435</v>
      </c>
      <c r="B67" s="2278"/>
      <c r="C67" s="2259">
        <f>SUM(C69:C71)</f>
        <v>614</v>
      </c>
      <c r="D67" s="2259">
        <f t="shared" ref="D67:N67" si="25">SUM(D69:D71)</f>
        <v>403.41666666666669</v>
      </c>
      <c r="E67" s="2259">
        <f t="shared" si="25"/>
        <v>884</v>
      </c>
      <c r="F67" s="2259">
        <f t="shared" si="25"/>
        <v>406.25</v>
      </c>
      <c r="G67" s="2259">
        <f t="shared" si="25"/>
        <v>21.333333333333332</v>
      </c>
      <c r="H67" s="2259">
        <f t="shared" si="25"/>
        <v>236</v>
      </c>
      <c r="I67" s="2259">
        <f t="shared" si="25"/>
        <v>431</v>
      </c>
      <c r="J67" s="2259">
        <f t="shared" si="25"/>
        <v>403.41666666666669</v>
      </c>
      <c r="K67" s="2259">
        <f t="shared" si="25"/>
        <v>403.41666666666669</v>
      </c>
      <c r="L67" s="2259">
        <f t="shared" si="25"/>
        <v>40</v>
      </c>
      <c r="M67" s="2259">
        <f t="shared" si="25"/>
        <v>24.083333333333336</v>
      </c>
      <c r="N67" s="2259">
        <f t="shared" si="25"/>
        <v>5.75</v>
      </c>
      <c r="O67" s="2259">
        <f t="shared" ref="O67:T67" si="26">SUM(O69:O71)</f>
        <v>618.25</v>
      </c>
      <c r="P67" s="2259">
        <f t="shared" si="26"/>
        <v>132.33333333333334</v>
      </c>
      <c r="Q67" s="2259">
        <f t="shared" si="26"/>
        <v>144.08333333333331</v>
      </c>
      <c r="R67" s="2259">
        <f t="shared" si="26"/>
        <v>85</v>
      </c>
      <c r="S67" s="2259">
        <f t="shared" si="26"/>
        <v>105.08333333333333</v>
      </c>
      <c r="T67" s="2259">
        <f t="shared" si="26"/>
        <v>200.08333333333334</v>
      </c>
      <c r="U67" s="2259">
        <f>SUM(U69:U71)</f>
        <v>200.08333333333334</v>
      </c>
      <c r="V67" s="2175"/>
      <c r="W67" s="2175"/>
      <c r="X67" s="2175"/>
      <c r="Y67" s="2175"/>
      <c r="Z67" s="2261">
        <f>S67-P67</f>
        <v>-27.250000000000014</v>
      </c>
      <c r="AA67" s="2282">
        <f>(S67-P67)/P67</f>
        <v>-0.20591939546599505</v>
      </c>
      <c r="AB67" s="2259">
        <f>SUM(AB69:AB71)</f>
        <v>200.08333333333334</v>
      </c>
    </row>
    <row r="68" spans="1:28" ht="12">
      <c r="A68" s="2279"/>
      <c r="B68" s="2280"/>
      <c r="C68" s="2260"/>
      <c r="D68" s="2260"/>
      <c r="E68" s="2260"/>
      <c r="F68" s="2260"/>
      <c r="G68" s="2260"/>
      <c r="H68" s="2260"/>
      <c r="I68" s="2260"/>
      <c r="J68" s="2260"/>
      <c r="K68" s="2260"/>
      <c r="L68" s="2260"/>
      <c r="M68" s="2260"/>
      <c r="N68" s="2260"/>
      <c r="O68" s="2260"/>
      <c r="P68" s="2260"/>
      <c r="Q68" s="2260"/>
      <c r="R68" s="2260"/>
      <c r="S68" s="2260"/>
      <c r="T68" s="2260"/>
      <c r="U68" s="2260"/>
      <c r="V68" s="2176"/>
      <c r="W68" s="2176"/>
      <c r="X68" s="2176"/>
      <c r="Y68" s="2176"/>
      <c r="Z68" s="2261"/>
      <c r="AA68" s="2282"/>
      <c r="AB68" s="2260"/>
    </row>
    <row r="69" spans="1:28" ht="11.1" customHeight="1">
      <c r="A69" s="292"/>
      <c r="B69" s="298" t="s">
        <v>405</v>
      </c>
      <c r="C69" s="296">
        <f>IF($C$1="APM",Monthly!O1931,IF($C$1="Yearly",Monthly!O1931*12,0))</f>
        <v>194</v>
      </c>
      <c r="D69" s="296">
        <f>IF($C$1="APM",Monthly!O1854,IF($C$1="Yearly",Monthly!O1854*12,0))</f>
        <v>66.666666666666671</v>
      </c>
      <c r="E69" s="296">
        <f>IF($C$1="APM",Monthly!O1777,IF($C$1="Yearly",Monthly!O1777*12,0))</f>
        <v>551.5</v>
      </c>
      <c r="F69" s="296">
        <f>IF($C$1="APM",Monthly!O1699,IF($C$1="Yearly",Monthly!O1699*12,0))</f>
        <v>0</v>
      </c>
      <c r="G69" s="296">
        <f>IF($C$1="APM",Monthly!O1621,IF($C$1="Yearly",Monthly!O1621*12,0))</f>
        <v>1.5833333333333333</v>
      </c>
      <c r="H69" s="296">
        <f>IF($C$1="APM",Monthly!O1543,IF($C$1="Yearly",Monthly!O1543*12,0))</f>
        <v>0</v>
      </c>
      <c r="I69" s="296">
        <f>IF($C$1="APM",Monthly!O1466,IF($C$1="Yearly",Monthly!O1466*12,0))</f>
        <v>0</v>
      </c>
      <c r="J69" s="296">
        <f>IF($C$1="APM",Monthly!O1389,IF($C$1="Yearly",Monthly!O1389*12,0))</f>
        <v>66.666666666666671</v>
      </c>
      <c r="K69" s="299">
        <f>IF($C$1="APM",Monthly!O1312,IF($C$1="Yearly",Monthly!O1312*12,0))</f>
        <v>66.666666666666671</v>
      </c>
      <c r="L69" s="299">
        <f>IF($C$1="APM",Monthly!O1234,IF($C$1="Yearly",Monthly!O1234*12,0))</f>
        <v>0</v>
      </c>
      <c r="M69" s="299">
        <f>IF($C$1="APM",Monthly!O1157,IF($C$1="Yearly",Monthly!O1157*12,0))</f>
        <v>0</v>
      </c>
      <c r="N69" s="299">
        <f>IF($C$1="APM",Monthly!O1080,IF($C$1="Yearly",Monthly!O1080*12,0))</f>
        <v>0</v>
      </c>
      <c r="O69" s="299">
        <f>IF($C$1="APM",Monthly!O1003,IF($C$1="Yearly",Monthly!O1003*12,0))</f>
        <v>0</v>
      </c>
      <c r="P69" s="299">
        <f>IF($C$1="APM",Monthly!$O927,IF($C$1="Yearly",Monthly!$O927*12,0))</f>
        <v>0</v>
      </c>
      <c r="Q69" s="299">
        <f>IF($C$1="APM",Monthly!$O850,IF($C$1="Yearly",Monthly!$O850*12,0))</f>
        <v>0</v>
      </c>
      <c r="R69" s="299">
        <f>IF($C$1="APM",Monthly!$O773,IF($C$1="Yearly",Monthly!$O773*12,0))</f>
        <v>0</v>
      </c>
      <c r="S69" s="299">
        <f>IF($C$1="APM",Monthly!$O696,IF($C$1="Yearly",Monthly!$O696*12,0))</f>
        <v>0</v>
      </c>
      <c r="T69" s="299">
        <f>IF($C$1="APM",Monthly!$O696,IF($C$1="Yearly",Monthly!$O696*12,0))</f>
        <v>0</v>
      </c>
      <c r="U69" s="299">
        <f>IF($C$1="APM",Monthly!$O696,IF($C$1="Yearly",Monthly!$O696*12,0))</f>
        <v>0</v>
      </c>
      <c r="V69" s="299"/>
      <c r="W69" s="299"/>
      <c r="X69" s="299"/>
      <c r="Y69" s="299"/>
      <c r="Z69" s="296">
        <f t="shared" ref="Z69:AA71" si="27">S69-P69</f>
        <v>0</v>
      </c>
      <c r="AA69" s="420">
        <f t="shared" si="27"/>
        <v>0</v>
      </c>
      <c r="AB69" s="299">
        <f>IF($C$1="APM",Monthly!$O696,IF($C$1="Yearly",Monthly!$O696*12,0))</f>
        <v>0</v>
      </c>
    </row>
    <row r="70" spans="1:28" ht="12">
      <c r="A70" s="292"/>
      <c r="B70" s="291" t="s">
        <v>436</v>
      </c>
      <c r="C70" s="296">
        <f>IF($C$1="APM",Monthly!O1932,IF($C$1="Yearly",Monthly!O1932*12,0))</f>
        <v>0</v>
      </c>
      <c r="D70" s="296">
        <f>IF($C$1="APM",Monthly!O1855,IF($C$1="Yearly",Monthly!O1855*12,0))</f>
        <v>4.333333333333333</v>
      </c>
      <c r="E70" s="296">
        <f>IF($C$1="APM",Monthly!O1778,IF($C$1="Yearly",Monthly!O1778*12,0))</f>
        <v>1.3333333333333333</v>
      </c>
      <c r="F70" s="296">
        <f>IF($C$1="APM",Monthly!O1700,IF($C$1="Yearly",Monthly!O1700*12,0))</f>
        <v>4.166666666666667</v>
      </c>
      <c r="G70" s="296">
        <f>IF($C$1="APM",Monthly!O1622,IF($C$1="Yearly",Monthly!O1622*12,0))</f>
        <v>0</v>
      </c>
      <c r="H70" s="296">
        <f>IF($C$1="APM",Monthly!O1544,IF($C$1="Yearly",Monthly!O1544*12,0))</f>
        <v>18.5</v>
      </c>
      <c r="I70" s="296">
        <f>IF($C$1="APM",Monthly!O1467,IF($C$1="Yearly",Monthly!O1467*12,0))</f>
        <v>21.5</v>
      </c>
      <c r="J70" s="296">
        <f>IF($C$1="APM",Monthly!O1390,IF($C$1="Yearly",Monthly!O1390*12,0))</f>
        <v>4.333333333333333</v>
      </c>
      <c r="K70" s="299">
        <f>IF($C$1="APM",Monthly!O1313,IF($C$1="Yearly",Monthly!O1313*12,0))</f>
        <v>4.333333333333333</v>
      </c>
      <c r="L70" s="299">
        <f>IF($C$1="APM",Monthly!O1235,IF($C$1="Yearly",Monthly!O1235*12,0))</f>
        <v>27.166666666666668</v>
      </c>
      <c r="M70" s="299">
        <f>IF($C$1="APM",Monthly!O1158,IF($C$1="Yearly",Monthly!O1158*12,0))</f>
        <v>11.25</v>
      </c>
      <c r="N70" s="299">
        <f>IF($C$1="APM",Monthly!O1081,IF($C$1="Yearly",Monthly!O1081*12,0))</f>
        <v>5.75</v>
      </c>
      <c r="O70" s="299">
        <f>IF($C$1="APM",Monthly!O1004,IF($C$1="Yearly",Monthly!O1004*12,0))</f>
        <v>76.166666666666671</v>
      </c>
      <c r="P70" s="299">
        <f>IF($C$1="APM",Monthly!$O928,IF($C$1="Yearly",Monthly!$O928*12,0))</f>
        <v>79.166666666666671</v>
      </c>
      <c r="Q70" s="299">
        <f>IF($C$1="APM",Monthly!$O851,IF($C$1="Yearly",Monthly!$O851*12,0))</f>
        <v>55</v>
      </c>
      <c r="R70" s="299">
        <f>IF($C$1="APM",Monthly!$O774,IF($C$1="Yearly",Monthly!$O774*12,0))</f>
        <v>64.833333333333329</v>
      </c>
      <c r="S70" s="299">
        <f>IF($C$1="APM",Monthly!$O697,IF($C$1="Yearly",Monthly!$O697*12,0))</f>
        <v>31.25</v>
      </c>
      <c r="T70" s="296">
        <f>IF($C$1="APM",Monthly!$O620,IF($C$1="Yearly",Monthly!$O620*12,0))</f>
        <v>200.08333333333334</v>
      </c>
      <c r="U70" s="296">
        <f>IF($C$1="APM",Monthly!$O620,IF($C$1="Yearly",Monthly!$O620*12,0))</f>
        <v>200.08333333333334</v>
      </c>
      <c r="V70" s="296"/>
      <c r="W70" s="296"/>
      <c r="X70" s="296"/>
      <c r="Y70" s="296"/>
      <c r="Z70" s="296">
        <f t="shared" si="27"/>
        <v>-47.916666666666671</v>
      </c>
      <c r="AA70" s="420">
        <f t="shared" si="27"/>
        <v>145.08333333333334</v>
      </c>
      <c r="AB70" s="296">
        <f>IF($C$1="APM",Monthly!$O620,IF($C$1="Yearly",Monthly!$O620*12,0))</f>
        <v>200.08333333333334</v>
      </c>
    </row>
    <row r="71" spans="1:28" ht="12">
      <c r="A71" s="292"/>
      <c r="B71" s="291" t="s">
        <v>130</v>
      </c>
      <c r="C71" s="296">
        <f>IF($C$1="APM",Monthly!O1933,IF($C$1="Yearly",Monthly!O1933*12,0))</f>
        <v>420</v>
      </c>
      <c r="D71" s="296">
        <f>IF($C$1="APM",Monthly!O1856,IF($C$1="Yearly",Monthly!O1856*12,0))</f>
        <v>332.41666666666669</v>
      </c>
      <c r="E71" s="296">
        <f>IF($C$1="APM",Monthly!O1779,IF($C$1="Yearly",Monthly!O1779*12,0))</f>
        <v>331.16666666666669</v>
      </c>
      <c r="F71" s="296">
        <f>IF($C$1="APM",Monthly!O1701,IF($C$1="Yearly",Monthly!O1701*12,0))</f>
        <v>402.08333333333331</v>
      </c>
      <c r="G71" s="296">
        <f>IF($C$1="APM",Monthly!O1623,IF($C$1="Yearly",Monthly!O1623*12,0))</f>
        <v>19.75</v>
      </c>
      <c r="H71" s="296">
        <f>IF($C$1="APM",Monthly!O1545,IF($C$1="Yearly",Monthly!O1545*12,0))</f>
        <v>217.5</v>
      </c>
      <c r="I71" s="296">
        <f>IF($C$1="APM",Monthly!O1468,IF($C$1="Yearly",Monthly!O1468*12,0))</f>
        <v>409.5</v>
      </c>
      <c r="J71" s="296">
        <f>IF($C$1="APM",Monthly!O1391,IF($C$1="Yearly",Monthly!O1391*12,0))</f>
        <v>332.41666666666669</v>
      </c>
      <c r="K71" s="299">
        <f>IF($C$1="APM",Monthly!O1314,IF($C$1="Yearly",Monthly!O1314*12,0))</f>
        <v>332.41666666666669</v>
      </c>
      <c r="L71" s="299">
        <f>IF($C$1="APM",Monthly!O1236,IF($C$1="Yearly",Monthly!O1236*12,0))</f>
        <v>12.833333333333334</v>
      </c>
      <c r="M71" s="299">
        <f>IF($C$1="APM",Monthly!O1159,IF($C$1="Yearly",Monthly!O1159*12,0))</f>
        <v>12.833333333333334</v>
      </c>
      <c r="N71" s="299">
        <f>IF($C$1="APM",Monthly!O1082,IF($C$1="Yearly",Monthly!O1082*12,0))</f>
        <v>0</v>
      </c>
      <c r="O71" s="299">
        <f>IF($C$1="APM",Monthly!O1005,IF($C$1="Yearly",Monthly!O1005*12,0))</f>
        <v>542.08333333333337</v>
      </c>
      <c r="P71" s="299">
        <f>IF($C$1="APM",Monthly!$O929,IF($C$1="Yearly",Monthly!$O929*12,0))</f>
        <v>53.166666666666664</v>
      </c>
      <c r="Q71" s="299">
        <f>IF($C$1="APM",Monthly!$O852,IF($C$1="Yearly",Monthly!$O852*12,0))</f>
        <v>89.083333333333329</v>
      </c>
      <c r="R71" s="299">
        <f>IF($C$1="APM",Monthly!$O775,IF($C$1="Yearly",Monthly!$O775*12,0))</f>
        <v>20.166666666666668</v>
      </c>
      <c r="S71" s="299">
        <f>IF($C$1="APM",Monthly!$O698,IF($C$1="Yearly",Monthly!$O698*12,0))</f>
        <v>73.833333333333329</v>
      </c>
      <c r="T71" s="296">
        <f>IF($C$1="APM",Monthly!$O621,IF($C$1="Yearly",Monthly!$O621*12,0))</f>
        <v>0</v>
      </c>
      <c r="U71" s="296">
        <f>IF($C$1="APM",Monthly!$O621,IF($C$1="Yearly",Monthly!$O621*12,0))</f>
        <v>0</v>
      </c>
      <c r="V71" s="296"/>
      <c r="W71" s="296"/>
      <c r="X71" s="296"/>
      <c r="Y71" s="296"/>
      <c r="Z71" s="296">
        <f t="shared" si="27"/>
        <v>20.666666666666664</v>
      </c>
      <c r="AA71" s="420">
        <f t="shared" si="27"/>
        <v>-89.083333333333329</v>
      </c>
      <c r="AB71" s="296">
        <f>IF($C$1="APM",Monthly!$O621,IF($C$1="Yearly",Monthly!$O621*12,0))</f>
        <v>0</v>
      </c>
    </row>
    <row r="72" spans="1:28" ht="12">
      <c r="A72" s="2277" t="s">
        <v>286</v>
      </c>
      <c r="B72" s="2278"/>
      <c r="C72" s="2259">
        <f>SUM(C74:C75)</f>
        <v>916.66666666666674</v>
      </c>
      <c r="D72" s="2259">
        <f t="shared" ref="D72:N72" si="28">SUM(D74:D75)</f>
        <v>671.5</v>
      </c>
      <c r="E72" s="2259">
        <f t="shared" si="28"/>
        <v>230</v>
      </c>
      <c r="F72" s="2259">
        <f t="shared" si="28"/>
        <v>1752.1666666666667</v>
      </c>
      <c r="G72" s="2259">
        <f t="shared" si="28"/>
        <v>1788.3333333333333</v>
      </c>
      <c r="H72" s="2259">
        <f t="shared" si="28"/>
        <v>1712.75</v>
      </c>
      <c r="I72" s="2259">
        <f t="shared" si="28"/>
        <v>891.66666666666663</v>
      </c>
      <c r="J72" s="2259">
        <f t="shared" si="28"/>
        <v>413.41666666666669</v>
      </c>
      <c r="K72" s="2259">
        <f t="shared" si="28"/>
        <v>671.5</v>
      </c>
      <c r="L72" s="2259">
        <f t="shared" si="28"/>
        <v>739.58333333333337</v>
      </c>
      <c r="M72" s="2259">
        <f t="shared" si="28"/>
        <v>820.41666666666663</v>
      </c>
      <c r="N72" s="2259">
        <f t="shared" si="28"/>
        <v>958.33333333333337</v>
      </c>
      <c r="O72" s="2259">
        <f t="shared" ref="O72:T72" si="29">SUM(O74:O75)</f>
        <v>639.16666666666663</v>
      </c>
      <c r="P72" s="2259">
        <f t="shared" si="29"/>
        <v>750</v>
      </c>
      <c r="Q72" s="2259">
        <f t="shared" si="29"/>
        <v>583.33333333333337</v>
      </c>
      <c r="R72" s="2259">
        <f t="shared" si="29"/>
        <v>708.33333333333337</v>
      </c>
      <c r="S72" s="2259">
        <f t="shared" si="29"/>
        <v>888.91666666666663</v>
      </c>
      <c r="T72" s="2259">
        <f t="shared" si="29"/>
        <v>416.66666666666669</v>
      </c>
      <c r="U72" s="2259">
        <f>SUM(U74:U75)</f>
        <v>416.66666666666669</v>
      </c>
      <c r="V72" s="2175"/>
      <c r="W72" s="2175"/>
      <c r="X72" s="2175"/>
      <c r="Y72" s="2175"/>
      <c r="Z72" s="2261">
        <f>S72-P72</f>
        <v>138.91666666666663</v>
      </c>
      <c r="AA72" s="2281">
        <f>(S72-P72)/P72</f>
        <v>0.18522222222222218</v>
      </c>
      <c r="AB72" s="2259">
        <f>SUM(AB74:AB75)</f>
        <v>500</v>
      </c>
    </row>
    <row r="73" spans="1:28" ht="12">
      <c r="A73" s="2279"/>
      <c r="B73" s="2280"/>
      <c r="C73" s="2260"/>
      <c r="D73" s="2260"/>
      <c r="E73" s="2260"/>
      <c r="F73" s="2260"/>
      <c r="G73" s="2260"/>
      <c r="H73" s="2260"/>
      <c r="I73" s="2260"/>
      <c r="J73" s="2260"/>
      <c r="K73" s="2260"/>
      <c r="L73" s="2260"/>
      <c r="M73" s="2260"/>
      <c r="N73" s="2260"/>
      <c r="O73" s="2260"/>
      <c r="P73" s="2260"/>
      <c r="Q73" s="2260"/>
      <c r="R73" s="2260"/>
      <c r="S73" s="2260"/>
      <c r="T73" s="2260"/>
      <c r="U73" s="2260"/>
      <c r="V73" s="2176"/>
      <c r="W73" s="2176"/>
      <c r="X73" s="2176"/>
      <c r="Y73" s="2176"/>
      <c r="Z73" s="2261"/>
      <c r="AA73" s="2281"/>
      <c r="AB73" s="2260"/>
    </row>
    <row r="74" spans="1:28" ht="12">
      <c r="A74" s="2274"/>
      <c r="B74" s="291" t="s">
        <v>82</v>
      </c>
      <c r="C74" s="296">
        <f>IF($C$1="APM",Monthly!O1936,IF($C$1="Yearly",Monthly!O1936*12,0))</f>
        <v>500</v>
      </c>
      <c r="D74" s="296">
        <f>IF($C$1="APM",Monthly!O1859,IF($C$1="Yearly",Monthly!O1859*12,0))</f>
        <v>416.66666666666669</v>
      </c>
      <c r="E74" s="296">
        <f>IF($C$1="APM",Monthly!O1782,IF($C$1="Yearly",Monthly!O1782*12,0))</f>
        <v>125</v>
      </c>
      <c r="F74" s="296">
        <f>IF($C$1="APM",Monthly!O1704,IF($C$1="Yearly",Monthly!O1704*12,0))</f>
        <v>1502.1666666666667</v>
      </c>
      <c r="G74" s="296">
        <f>IF($C$1="APM",Monthly!O1626,IF($C$1="Yearly",Monthly!O1626*12,0))</f>
        <v>1788.3333333333333</v>
      </c>
      <c r="H74" s="296">
        <f>IF($C$1="APM",Monthly!O1548,IF($C$1="Yearly",Monthly!O1548*12,0))</f>
        <v>1671.0833333333333</v>
      </c>
      <c r="I74" s="296">
        <f>IF($C$1="APM",Monthly!O1471,IF($C$1="Yearly",Monthly!O1471*12,0))</f>
        <v>850</v>
      </c>
      <c r="J74" s="296">
        <f>IF($C$1="APM",Monthly!O1394,IF($C$1="Yearly",Monthly!O1394*12,0))</f>
        <v>308.41666666666669</v>
      </c>
      <c r="K74" s="296">
        <f>IF($C$1="APM",Monthly!O1317,IF($C$1="Yearly",Monthly!O1317*12,0))</f>
        <v>416.66666666666669</v>
      </c>
      <c r="L74" s="296">
        <f>IF($C$1="APM",Monthly!O1239,IF($C$1="Yearly",Monthly!O1239*12,0))</f>
        <v>739.58333333333337</v>
      </c>
      <c r="M74" s="296">
        <f>IF($C$1="APM",Monthly!O1162,IF($C$1="Yearly",Monthly!O1162*12,0))</f>
        <v>820.41666666666663</v>
      </c>
      <c r="N74" s="296">
        <f>IF($C$1="APM",Monthly!O1085,IF($C$1="Yearly",Monthly!O1085*12,0))</f>
        <v>958.33333333333337</v>
      </c>
      <c r="O74" s="296">
        <f>IF($C$1="APM",Monthly!O1008,IF($C$1="Yearly",Monthly!O1008*12,0))</f>
        <v>639.16666666666663</v>
      </c>
      <c r="P74" s="296">
        <f>IF($C$1="APM",Monthly!$O932,IF($C$1="Yearly",Monthly!$O932*12,0))</f>
        <v>750</v>
      </c>
      <c r="Q74" s="296">
        <f>IF($C$1="APM",Monthly!$O855,IF($C$1="Yearly",Monthly!$O855*12,0))</f>
        <v>583.33333333333337</v>
      </c>
      <c r="R74" s="296">
        <f>IF($C$1="APM",Monthly!$O778,IF($C$1="Yearly",Monthly!$O778*12,0))</f>
        <v>708.33333333333337</v>
      </c>
      <c r="S74" s="296">
        <f>IF($C$1="APM",Monthly!$O701,IF($C$1="Yearly",Monthly!$O701*12,0))</f>
        <v>888.91666666666663</v>
      </c>
      <c r="T74" s="296">
        <f>IF($C$1="APM",Monthly!$O624,IF($C$1="Yearly",Monthly!$O624*12,0))</f>
        <v>416.66666666666669</v>
      </c>
      <c r="U74" s="296">
        <f>IF($C$1="APM",Monthly!$O624,IF($C$1="Yearly",Monthly!$O624*12,0))</f>
        <v>416.66666666666669</v>
      </c>
      <c r="V74" s="296"/>
      <c r="W74" s="296"/>
      <c r="X74" s="296"/>
      <c r="Y74" s="296"/>
      <c r="Z74" s="296">
        <f>S74-P74</f>
        <v>138.91666666666663</v>
      </c>
      <c r="AA74" s="420">
        <f>T74-Q74</f>
        <v>-166.66666666666669</v>
      </c>
      <c r="AB74" s="296">
        <v>500</v>
      </c>
    </row>
    <row r="75" spans="1:28" ht="12">
      <c r="A75" s="2275"/>
      <c r="B75" s="291" t="s">
        <v>83</v>
      </c>
      <c r="C75" s="296">
        <f>IF($C$1="APM",Monthly!O1937,IF($C$1="Yearly",Monthly!O1937*12,0))</f>
        <v>416.66666666666669</v>
      </c>
      <c r="D75" s="296">
        <f>IF($C$1="APM",Monthly!O1860,IF($C$1="Yearly",Monthly!O1860*12,0))</f>
        <v>254.83333333333334</v>
      </c>
      <c r="E75" s="296">
        <f>IF($C$1="APM",Monthly!O1783,IF($C$1="Yearly",Monthly!O1783*12,0))</f>
        <v>105</v>
      </c>
      <c r="F75" s="296">
        <f>IF($C$1="APM",Monthly!O1705,IF($C$1="Yearly",Monthly!O1705*12,0))</f>
        <v>250</v>
      </c>
      <c r="G75" s="296">
        <f>IF($C$1="APM",Monthly!O1627,IF($C$1="Yearly",Monthly!O1627*12,0))</f>
        <v>0</v>
      </c>
      <c r="H75" s="296">
        <f>IF($C$1="APM",Monthly!O1549,IF($C$1="Yearly",Monthly!O1549*12,0))</f>
        <v>41.666666666666664</v>
      </c>
      <c r="I75" s="296">
        <f>IF($C$1="APM",Monthly!O1472,IF($C$1="Yearly",Monthly!O1472*12,0))</f>
        <v>41.666666666666664</v>
      </c>
      <c r="J75" s="296">
        <f>IF($C$1="APM",Monthly!O1395,IF($C$1="Yearly",Monthly!O1395*12,0))</f>
        <v>105</v>
      </c>
      <c r="K75" s="296">
        <f>IF($C$1="APM",Monthly!O1318,IF($C$1="Yearly",Monthly!O1318*12,0))</f>
        <v>254.83333333333334</v>
      </c>
      <c r="L75" s="296">
        <f>IF($C$1="APM",Monthly!O1240,IF($C$1="Yearly",Monthly!O1240*12,0))</f>
        <v>0</v>
      </c>
      <c r="M75" s="296">
        <f>IF($C$1="APM",Monthly!O1163,IF($C$1="Yearly",Monthly!O1163*12,0))</f>
        <v>0</v>
      </c>
      <c r="N75" s="296">
        <f>IF($C$1="APM",Monthly!O1086,IF($C$1="Yearly",Monthly!O1086*12,0))</f>
        <v>0</v>
      </c>
      <c r="O75" s="296">
        <f>IF($C$1="APM",Monthly!O1009,IF($C$1="Yearly",Monthly!O1009*12,0))</f>
        <v>0</v>
      </c>
      <c r="P75" s="296">
        <f>IF($C$1="APM",Monthly!$O933,IF($C$1="Yearly",Monthly!$O933*12,0))</f>
        <v>0</v>
      </c>
      <c r="Q75" s="296">
        <f>IF($C$1="APM",Monthly!$O856,IF($C$1="Yearly",Monthly!$O856*12,0))</f>
        <v>0</v>
      </c>
      <c r="R75" s="296">
        <f>IF($C$1="APM",Monthly!$O779,IF($C$1="Yearly",Monthly!$O779*12,0))</f>
        <v>0</v>
      </c>
      <c r="S75" s="296">
        <f>IF($C$1="APM",Monthly!$O702,IF($C$1="Yearly",Monthly!$O702*12,0))</f>
        <v>0</v>
      </c>
      <c r="T75" s="296">
        <f>IF($C$1="APM",Monthly!$O625,IF($C$1="Yearly",Monthly!$O625*12,0))</f>
        <v>0</v>
      </c>
      <c r="U75" s="296">
        <f>IF($C$1="APM",Monthly!$O625,IF($C$1="Yearly",Monthly!$O625*12,0))</f>
        <v>0</v>
      </c>
      <c r="V75" s="296"/>
      <c r="W75" s="296"/>
      <c r="X75" s="296"/>
      <c r="Y75" s="296"/>
      <c r="Z75" s="296">
        <f>S75-P75</f>
        <v>0</v>
      </c>
      <c r="AA75" s="420">
        <f>T75-Q75</f>
        <v>0</v>
      </c>
      <c r="AB75" s="296">
        <f>IF($C$1="APM",Monthly!$O625,IF($C$1="Yearly",Monthly!$O625*12,0))</f>
        <v>0</v>
      </c>
    </row>
    <row r="76" spans="1:28" ht="12">
      <c r="A76" s="2266" t="s">
        <v>437</v>
      </c>
      <c r="B76" s="2267"/>
      <c r="C76" s="293">
        <f t="shared" ref="C76:U76" si="30">C6+C20+C28+C34+C38+C48+C57+C61+ C68+ C67+C72</f>
        <v>6509.0000000000009</v>
      </c>
      <c r="D76" s="293">
        <f t="shared" si="30"/>
        <v>6155.0208333333339</v>
      </c>
      <c r="E76" s="293">
        <f t="shared" si="30"/>
        <v>6597.5</v>
      </c>
      <c r="F76" s="293">
        <f t="shared" si="30"/>
        <v>6847.75</v>
      </c>
      <c r="G76" s="293">
        <f t="shared" si="30"/>
        <v>6795.6666666666661</v>
      </c>
      <c r="H76" s="293">
        <f t="shared" si="30"/>
        <v>7497.583333333333</v>
      </c>
      <c r="I76" s="293">
        <f t="shared" si="30"/>
        <v>6875.547184949939</v>
      </c>
      <c r="J76" s="293">
        <f t="shared" si="30"/>
        <v>6919.1405576487223</v>
      </c>
      <c r="K76" s="293">
        <f t="shared" si="30"/>
        <v>9930.6998997924784</v>
      </c>
      <c r="L76" s="293">
        <f t="shared" si="30"/>
        <v>8062.9429553480322</v>
      </c>
      <c r="M76" s="293">
        <f t="shared" si="30"/>
        <v>9822.0332331258123</v>
      </c>
      <c r="N76" s="293">
        <f t="shared" si="30"/>
        <v>11127.899966597493</v>
      </c>
      <c r="O76" s="293">
        <f t="shared" si="30"/>
        <v>9756.3333333333321</v>
      </c>
      <c r="P76" s="293">
        <f t="shared" si="30"/>
        <v>8969.25</v>
      </c>
      <c r="Q76" s="293">
        <f t="shared" si="30"/>
        <v>9854.0833333333358</v>
      </c>
      <c r="R76" s="293">
        <f t="shared" si="30"/>
        <v>11151.541666666668</v>
      </c>
      <c r="S76" s="293">
        <f t="shared" si="30"/>
        <v>12525.277777777777</v>
      </c>
      <c r="T76" s="293">
        <f t="shared" si="30"/>
        <v>12486.291666666666</v>
      </c>
      <c r="U76" s="293">
        <f t="shared" si="30"/>
        <v>12486.291666666666</v>
      </c>
      <c r="V76" s="293"/>
      <c r="W76" s="293"/>
      <c r="X76" s="293"/>
      <c r="Y76" s="293"/>
      <c r="Z76" s="293">
        <f>S76-P76</f>
        <v>3556.0277777777774</v>
      </c>
      <c r="AA76" s="424">
        <f>(S76-P76)/P76</f>
        <v>0.39646879926167489</v>
      </c>
      <c r="AB76" s="471">
        <f>AB6+AB20+AB28+AB34+AB38+AB48+AB57+AB61+ AB68+ AB67+AB72</f>
        <v>22652.416666666668</v>
      </c>
    </row>
    <row r="77" spans="1:28" ht="12">
      <c r="A77" s="300"/>
      <c r="B77" s="2179" t="s">
        <v>287</v>
      </c>
      <c r="C77" s="301"/>
      <c r="D77" s="301">
        <f>FinSnapshot!C85/FinSnapshot!C64</f>
        <v>0.30604665196370717</v>
      </c>
      <c r="E77" s="301">
        <f>FinSnapshot!D85/FinSnapshot!D64</f>
        <v>0.28916989598205178</v>
      </c>
      <c r="F77" s="301">
        <f>FinSnapshot!E85/FinSnapshot!E64</f>
        <v>0.34158235093907607</v>
      </c>
      <c r="G77" s="301">
        <f>FinSnapshot!F85/FinSnapshot!F64</f>
        <v>0.29203606110055913</v>
      </c>
      <c r="H77" s="301">
        <f>FinSnapshot!G85/FinSnapshot!G64</f>
        <v>0.27198820012117719</v>
      </c>
      <c r="I77" s="301">
        <f>FinSnapshot!H85/FinSnapshot!H64</f>
        <v>0.28007504923612309</v>
      </c>
      <c r="J77" s="301">
        <f>FinSnapshot!I85/FinSnapshot!I64</f>
        <v>0.29657562822940403</v>
      </c>
      <c r="K77" s="301">
        <f>FinSnapshot!J85/FinSnapshot!J64</f>
        <v>0.27638324235028233</v>
      </c>
      <c r="L77" s="301">
        <f>FinSnapshot!K85/FinSnapshot!K64</f>
        <v>0.25808678701240684</v>
      </c>
      <c r="M77" s="301">
        <f>FinSnapshot!L85/FinSnapshot!L64</f>
        <v>0.28630851744932739</v>
      </c>
      <c r="N77" s="301">
        <f>FinSnapshot!M85/FinSnapshot!M64</f>
        <v>0.27823380363205186</v>
      </c>
      <c r="O77" s="301">
        <f>FinSnapshot!N85/FinSnapshot!N64</f>
        <v>0.31353471048616011</v>
      </c>
      <c r="P77" s="301">
        <f>FinSnapshot!O85/FinSnapshot!O64</f>
        <v>0.31859299605618524</v>
      </c>
      <c r="Q77" s="301">
        <f>FinSnapshot!P85/FinSnapshot!P64</f>
        <v>0.44996149378026656</v>
      </c>
      <c r="R77" s="301">
        <f>FinSnapshot!Q85/FinSnapshot!Q64</f>
        <v>0.34131646134560228</v>
      </c>
      <c r="S77" s="301">
        <f>FinSnapshot!R85/FinSnapshot!R64</f>
        <v>0.36982421839244589</v>
      </c>
      <c r="T77" s="301">
        <f>FinSnapshot!S85/FinSnapshot!S64</f>
        <v>0.37014846788143063</v>
      </c>
      <c r="U77" s="301">
        <f>FinSnapshot!T85/FinSnapshot!T64</f>
        <v>0.35006651219181983</v>
      </c>
      <c r="V77" s="301"/>
      <c r="W77" s="301"/>
      <c r="X77" s="301"/>
      <c r="Y77" s="301"/>
      <c r="Z77" s="301"/>
      <c r="AA77" s="301"/>
      <c r="AB77" s="301">
        <f>FinSnapshot!X85/FinSnapshot!X64</f>
        <v>0</v>
      </c>
    </row>
    <row r="78" spans="1:28" ht="12">
      <c r="A78" s="2264" t="s">
        <v>438</v>
      </c>
      <c r="B78" s="2265"/>
      <c r="C78" s="302"/>
      <c r="D78" s="303">
        <f>(D76-C76)/C76</f>
        <v>-5.4383033748143635E-2</v>
      </c>
      <c r="E78" s="303">
        <f t="shared" ref="E78:T78" si="31">(E76-D76)/D76</f>
        <v>7.1889141994509798E-2</v>
      </c>
      <c r="F78" s="303">
        <f t="shared" si="31"/>
        <v>3.793103448275862E-2</v>
      </c>
      <c r="G78" s="303">
        <f t="shared" si="31"/>
        <v>-7.6059046158714816E-3</v>
      </c>
      <c r="H78" s="303">
        <f t="shared" si="31"/>
        <v>0.10328886054838873</v>
      </c>
      <c r="I78" s="303">
        <f t="shared" si="31"/>
        <v>-8.2964886247799047E-2</v>
      </c>
      <c r="J78" s="303">
        <f t="shared" si="31"/>
        <v>6.3403495788969186E-3</v>
      </c>
      <c r="K78" s="303">
        <f t="shared" si="31"/>
        <v>0.43525049347561612</v>
      </c>
      <c r="L78" s="303">
        <f t="shared" si="31"/>
        <v>-0.18807908438391907</v>
      </c>
      <c r="M78" s="303">
        <f t="shared" si="31"/>
        <v>0.21816975358990989</v>
      </c>
      <c r="N78" s="303">
        <f t="shared" si="31"/>
        <v>0.13295279118660602</v>
      </c>
      <c r="O78" s="303">
        <f t="shared" si="31"/>
        <v>-0.12325475942281824</v>
      </c>
      <c r="P78" s="303">
        <f t="shared" si="31"/>
        <v>-8.0674092042775522E-2</v>
      </c>
      <c r="Q78" s="303">
        <f t="shared" si="31"/>
        <v>9.8651875389061047E-2</v>
      </c>
      <c r="R78" s="303">
        <f t="shared" si="31"/>
        <v>0.13166707540867137</v>
      </c>
      <c r="S78" s="303">
        <f t="shared" si="31"/>
        <v>0.12318799966621441</v>
      </c>
      <c r="T78" s="303">
        <f t="shared" si="31"/>
        <v>-3.1125945310594293E-3</v>
      </c>
      <c r="U78" s="303">
        <f>(U76-T76)/T76</f>
        <v>0</v>
      </c>
      <c r="V78" s="303"/>
      <c r="W78" s="303"/>
      <c r="X78" s="303"/>
      <c r="Y78" s="303"/>
      <c r="Z78" s="303"/>
      <c r="AA78" s="303"/>
      <c r="AB78" s="303">
        <f>(AB76-AA76)/AA76</f>
        <v>57134.433377988862</v>
      </c>
    </row>
    <row r="79" spans="1:28" ht="12">
      <c r="A79" s="425"/>
      <c r="B79" s="426" t="s">
        <v>324</v>
      </c>
      <c r="C79" s="423">
        <f>M!B18</f>
        <v>7157.6533333333327</v>
      </c>
      <c r="D79" s="423">
        <f>M!C18</f>
        <v>7849.666666666667</v>
      </c>
      <c r="E79" s="423">
        <f>M!D18</f>
        <v>8553.75</v>
      </c>
      <c r="F79" s="423">
        <f>M!E18</f>
        <v>8587.1666666666661</v>
      </c>
      <c r="G79" s="423">
        <f>M!F18</f>
        <v>10583.583333333334</v>
      </c>
      <c r="H79" s="423">
        <f>M!G18</f>
        <v>11583.333333333334</v>
      </c>
      <c r="I79" s="423">
        <f>M!H18</f>
        <v>11994.618333333332</v>
      </c>
      <c r="J79" s="423">
        <f>M!I18</f>
        <v>12089.166666666666</v>
      </c>
      <c r="K79" s="423">
        <f>M!J18</f>
        <v>13624.731666666667</v>
      </c>
      <c r="L79" s="423">
        <f>M!K18</f>
        <v>14836.75</v>
      </c>
      <c r="M79" s="423">
        <f>M!L18</f>
        <v>15042.166666666666</v>
      </c>
      <c r="N79" s="423">
        <f>M!M18</f>
        <v>16520.833333333332</v>
      </c>
      <c r="O79" s="423">
        <f>M!N18</f>
        <v>16954.833333333332</v>
      </c>
      <c r="P79" s="423">
        <f>M!O18</f>
        <v>19602.916666666668</v>
      </c>
      <c r="Q79" s="423">
        <f>M!P18</f>
        <v>15414.333333333334</v>
      </c>
      <c r="R79" s="423">
        <f>M!Q18</f>
        <v>43349.583333333336</v>
      </c>
      <c r="S79" s="423">
        <f>M!R18</f>
        <v>28208.25</v>
      </c>
      <c r="T79" s="423">
        <f>M!S18</f>
        <v>29229.333333333332</v>
      </c>
      <c r="U79" s="423">
        <f ca="1">M!X18</f>
        <v>13449.523715277779</v>
      </c>
      <c r="V79" s="423"/>
      <c r="W79" s="423"/>
      <c r="X79" s="423"/>
      <c r="Y79" s="423"/>
      <c r="Z79" s="427">
        <f>S79-P79</f>
        <v>8605.3333333333321</v>
      </c>
      <c r="AA79" s="421">
        <f>(S79-P79)/P79</f>
        <v>0.43898229430144314</v>
      </c>
      <c r="AB79" s="423">
        <v>24021</v>
      </c>
    </row>
    <row r="80" spans="1:28" ht="12">
      <c r="A80" s="425"/>
      <c r="B80" s="426" t="s">
        <v>439</v>
      </c>
      <c r="C80" s="423">
        <f t="shared" ref="C80:O80" si="32">C79-C76</f>
        <v>648.65333333333183</v>
      </c>
      <c r="D80" s="423">
        <f t="shared" si="32"/>
        <v>1694.645833333333</v>
      </c>
      <c r="E80" s="423">
        <f t="shared" si="32"/>
        <v>1956.25</v>
      </c>
      <c r="F80" s="423">
        <f t="shared" si="32"/>
        <v>1739.4166666666661</v>
      </c>
      <c r="G80" s="423">
        <f t="shared" si="32"/>
        <v>3787.9166666666679</v>
      </c>
      <c r="H80" s="423">
        <f t="shared" si="32"/>
        <v>4085.7500000000009</v>
      </c>
      <c r="I80" s="423">
        <f t="shared" si="32"/>
        <v>5119.0711483833929</v>
      </c>
      <c r="J80" s="423">
        <f t="shared" si="32"/>
        <v>5170.0261090179438</v>
      </c>
      <c r="K80" s="423">
        <f t="shared" si="32"/>
        <v>3694.0317668741882</v>
      </c>
      <c r="L80" s="423">
        <f t="shared" si="32"/>
        <v>6773.8070446519678</v>
      </c>
      <c r="M80" s="423">
        <f t="shared" si="32"/>
        <v>5220.1334335408537</v>
      </c>
      <c r="N80" s="423">
        <f t="shared" si="32"/>
        <v>5392.9333667358387</v>
      </c>
      <c r="O80" s="423">
        <f t="shared" si="32"/>
        <v>7198.5</v>
      </c>
      <c r="P80" s="423">
        <f t="shared" ref="P80:U80" si="33">P79-P76</f>
        <v>10633.666666666668</v>
      </c>
      <c r="Q80" s="423">
        <f t="shared" si="33"/>
        <v>5560.2499999999982</v>
      </c>
      <c r="R80" s="423">
        <f t="shared" si="33"/>
        <v>32198.041666666668</v>
      </c>
      <c r="S80" s="423">
        <f t="shared" si="33"/>
        <v>15682.972222222223</v>
      </c>
      <c r="T80" s="423">
        <f t="shared" si="33"/>
        <v>16743.041666666664</v>
      </c>
      <c r="U80" s="423">
        <f t="shared" ca="1" si="33"/>
        <v>963.23204861111299</v>
      </c>
      <c r="V80" s="423"/>
      <c r="W80" s="423"/>
      <c r="X80" s="423"/>
      <c r="Y80" s="423"/>
      <c r="Z80" s="427">
        <f>S80-P80</f>
        <v>5049.3055555555547</v>
      </c>
      <c r="AA80" s="421">
        <f>(S80-P80)/P80</f>
        <v>0.47484143652759042</v>
      </c>
      <c r="AB80" s="423">
        <f>AB79-AB76</f>
        <v>1368.5833333333321</v>
      </c>
    </row>
    <row r="81" spans="2:29" ht="12.95" customHeight="1">
      <c r="B81" s="2262">
        <f ca="1">12*(YEAR(TODAY())-2002+1)+MONTH(TODAY())</f>
        <v>303</v>
      </c>
    </row>
    <row r="82" spans="2:29" ht="11.25">
      <c r="B82" s="2263"/>
      <c r="T82" s="481">
        <f>T76-T6+T19</f>
        <v>7744.2916666666661</v>
      </c>
      <c r="U82" s="481"/>
      <c r="V82" s="481"/>
      <c r="W82" s="481"/>
      <c r="X82" s="481"/>
      <c r="Y82" s="481"/>
      <c r="Z82" s="481"/>
      <c r="AA82" s="481"/>
      <c r="AB82" s="481">
        <f>AB76-AB6</f>
        <v>9460.4166666666679</v>
      </c>
      <c r="AC82" s="283" t="s">
        <v>440</v>
      </c>
    </row>
    <row r="83" spans="2:29" ht="11.25">
      <c r="T83" s="481">
        <f>T6</f>
        <v>4746.166666666667</v>
      </c>
      <c r="U83" s="481"/>
      <c r="V83" s="481"/>
      <c r="W83" s="481"/>
      <c r="X83" s="481"/>
      <c r="Y83" s="481"/>
      <c r="Z83" s="481"/>
      <c r="AA83" s="481"/>
      <c r="AB83" s="481">
        <f>AB6</f>
        <v>13192</v>
      </c>
      <c r="AC83" s="283" t="s">
        <v>441</v>
      </c>
    </row>
    <row r="84" spans="2:29" ht="11.25">
      <c r="T84" s="485">
        <f>T82+T83</f>
        <v>12490.458333333332</v>
      </c>
      <c r="U84" s="486"/>
      <c r="V84" s="486"/>
      <c r="W84" s="486"/>
      <c r="X84" s="486"/>
      <c r="Y84" s="486"/>
      <c r="Z84" s="486"/>
      <c r="AA84" s="486"/>
      <c r="AB84" s="485">
        <f>AB82+AB83</f>
        <v>22652.416666666668</v>
      </c>
      <c r="AC84" s="283" t="s">
        <v>244</v>
      </c>
    </row>
    <row r="85" spans="2:29" ht="11.25">
      <c r="AB85" s="483">
        <f>AB84-T84</f>
        <v>10161.958333333336</v>
      </c>
      <c r="AC85" s="283" t="s">
        <v>442</v>
      </c>
    </row>
    <row r="86" spans="2:29" ht="11.25">
      <c r="S86" s="282" t="s">
        <v>71</v>
      </c>
      <c r="T86" s="482">
        <f>9100*2</f>
        <v>18200</v>
      </c>
      <c r="U86" s="482"/>
      <c r="V86" s="482"/>
      <c r="W86" s="482"/>
      <c r="X86" s="482"/>
      <c r="Y86" s="482"/>
      <c r="Z86" s="482"/>
      <c r="AA86" s="482"/>
      <c r="AB86" s="482">
        <f>9100*2</f>
        <v>18200</v>
      </c>
    </row>
    <row r="87" spans="2:29" ht="11.25">
      <c r="S87" s="282" t="s">
        <v>241</v>
      </c>
      <c r="T87" s="481">
        <f>T86-T84</f>
        <v>5709.5416666666679</v>
      </c>
      <c r="AB87" s="484">
        <f>AB86-AB84</f>
        <v>-4452.4166666666679</v>
      </c>
    </row>
    <row r="93" spans="2:29" ht="13.5" customHeight="1">
      <c r="B93" s="283" t="s">
        <v>443</v>
      </c>
      <c r="C93" s="284">
        <f>C74*12</f>
        <v>6000</v>
      </c>
      <c r="D93" s="284">
        <f t="shared" ref="D93:Z93" si="34">D74*12</f>
        <v>5000</v>
      </c>
      <c r="E93" s="284">
        <f t="shared" si="34"/>
        <v>1500</v>
      </c>
      <c r="F93" s="284">
        <f t="shared" si="34"/>
        <v>18026</v>
      </c>
      <c r="G93" s="284">
        <f t="shared" si="34"/>
        <v>21460</v>
      </c>
      <c r="H93" s="284">
        <f t="shared" si="34"/>
        <v>20053</v>
      </c>
      <c r="I93" s="284">
        <f t="shared" si="34"/>
        <v>10200</v>
      </c>
      <c r="J93" s="284">
        <f t="shared" si="34"/>
        <v>3701</v>
      </c>
      <c r="K93" s="284">
        <f t="shared" si="34"/>
        <v>5000</v>
      </c>
      <c r="L93" s="284">
        <f t="shared" si="34"/>
        <v>8875</v>
      </c>
      <c r="M93" s="284">
        <f t="shared" si="34"/>
        <v>9845</v>
      </c>
      <c r="N93" s="284">
        <f t="shared" si="34"/>
        <v>11500</v>
      </c>
      <c r="O93" s="284">
        <f t="shared" si="34"/>
        <v>7670</v>
      </c>
      <c r="P93" s="284">
        <f t="shared" si="34"/>
        <v>9000</v>
      </c>
      <c r="Q93" s="284">
        <f t="shared" si="34"/>
        <v>7000</v>
      </c>
      <c r="R93" s="284">
        <f t="shared" si="34"/>
        <v>8500</v>
      </c>
      <c r="S93" s="284">
        <f t="shared" si="34"/>
        <v>10667</v>
      </c>
      <c r="T93" s="284">
        <f t="shared" si="34"/>
        <v>5000</v>
      </c>
      <c r="U93" s="284">
        <f t="shared" si="34"/>
        <v>5000</v>
      </c>
      <c r="V93" s="284">
        <f t="shared" si="34"/>
        <v>0</v>
      </c>
      <c r="W93" s="284">
        <f t="shared" si="34"/>
        <v>0</v>
      </c>
      <c r="X93" s="284">
        <f t="shared" si="34"/>
        <v>0</v>
      </c>
      <c r="Y93" s="284">
        <f t="shared" si="34"/>
        <v>0</v>
      </c>
      <c r="Z93" s="284">
        <f t="shared" si="34"/>
        <v>1666.9999999999995</v>
      </c>
    </row>
    <row r="96" spans="2:29" ht="13.5" customHeight="1">
      <c r="G96" s="282">
        <f>173000</f>
        <v>173000</v>
      </c>
    </row>
  </sheetData>
  <mergeCells count="231">
    <mergeCell ref="AB72:AB73"/>
    <mergeCell ref="AB6:AB7"/>
    <mergeCell ref="AB20:AB21"/>
    <mergeCell ref="AB28:AB29"/>
    <mergeCell ref="AB34:AB35"/>
    <mergeCell ref="AB38:AB39"/>
    <mergeCell ref="AB48:AB49"/>
    <mergeCell ref="AB57:AB58"/>
    <mergeCell ref="AB61:AB62"/>
    <mergeCell ref="AB67:AB68"/>
    <mergeCell ref="Z72:Z73"/>
    <mergeCell ref="AA6:AA7"/>
    <mergeCell ref="AA20:AA21"/>
    <mergeCell ref="AA28:AA29"/>
    <mergeCell ref="AA34:AA35"/>
    <mergeCell ref="AA38:AA39"/>
    <mergeCell ref="AA48:AA49"/>
    <mergeCell ref="AA57:AA58"/>
    <mergeCell ref="AA61:AA62"/>
    <mergeCell ref="AA67:AA68"/>
    <mergeCell ref="AA72:AA73"/>
    <mergeCell ref="Z6:Z7"/>
    <mergeCell ref="Z20:Z21"/>
    <mergeCell ref="Z28:Z29"/>
    <mergeCell ref="Z34:Z35"/>
    <mergeCell ref="Z38:Z39"/>
    <mergeCell ref="Z48:Z49"/>
    <mergeCell ref="Z57:Z58"/>
    <mergeCell ref="Z61:Z62"/>
    <mergeCell ref="Z67:Z68"/>
    <mergeCell ref="T72:T73"/>
    <mergeCell ref="T6:T7"/>
    <mergeCell ref="T20:T21"/>
    <mergeCell ref="T28:T29"/>
    <mergeCell ref="T34:T35"/>
    <mergeCell ref="T38:T39"/>
    <mergeCell ref="T48:T49"/>
    <mergeCell ref="T57:T58"/>
    <mergeCell ref="T61:T62"/>
    <mergeCell ref="T67:T68"/>
    <mergeCell ref="P72:P73"/>
    <mergeCell ref="Q61:Q62"/>
    <mergeCell ref="R61:R62"/>
    <mergeCell ref="Q67:Q68"/>
    <mergeCell ref="R67:R68"/>
    <mergeCell ref="Q72:Q73"/>
    <mergeCell ref="R72:R73"/>
    <mergeCell ref="O61:O62"/>
    <mergeCell ref="P61:P62"/>
    <mergeCell ref="O67:O68"/>
    <mergeCell ref="P67:P68"/>
    <mergeCell ref="I72:I73"/>
    <mergeCell ref="J72:J73"/>
    <mergeCell ref="K72:K73"/>
    <mergeCell ref="L72:L73"/>
    <mergeCell ref="M72:M73"/>
    <mergeCell ref="N72:N73"/>
    <mergeCell ref="O72:O73"/>
    <mergeCell ref="H67:H68"/>
    <mergeCell ref="I67:I68"/>
    <mergeCell ref="J67:J68"/>
    <mergeCell ref="K67:K68"/>
    <mergeCell ref="L67:L68"/>
    <mergeCell ref="M67:M68"/>
    <mergeCell ref="N67:N68"/>
    <mergeCell ref="G72:G73"/>
    <mergeCell ref="A67:B68"/>
    <mergeCell ref="A72:B73"/>
    <mergeCell ref="A28:B29"/>
    <mergeCell ref="A34:B35"/>
    <mergeCell ref="A38:B39"/>
    <mergeCell ref="H72:H73"/>
    <mergeCell ref="F48:F49"/>
    <mergeCell ref="G48:G49"/>
    <mergeCell ref="C48:C49"/>
    <mergeCell ref="D48:D49"/>
    <mergeCell ref="C34:C35"/>
    <mergeCell ref="D34:D35"/>
    <mergeCell ref="C28:C29"/>
    <mergeCell ref="D28:D29"/>
    <mergeCell ref="J34:J35"/>
    <mergeCell ref="A74:A75"/>
    <mergeCell ref="C57:C58"/>
    <mergeCell ref="D57:D58"/>
    <mergeCell ref="A50:A56"/>
    <mergeCell ref="A57:B58"/>
    <mergeCell ref="A59:A60"/>
    <mergeCell ref="A61:B62"/>
    <mergeCell ref="E57:E58"/>
    <mergeCell ref="F57:F58"/>
    <mergeCell ref="A48:B49"/>
    <mergeCell ref="C61:C62"/>
    <mergeCell ref="D61:D62"/>
    <mergeCell ref="G67:G68"/>
    <mergeCell ref="E61:E62"/>
    <mergeCell ref="F61:F62"/>
    <mergeCell ref="C72:C73"/>
    <mergeCell ref="D72:D73"/>
    <mergeCell ref="E72:E73"/>
    <mergeCell ref="F72:F73"/>
    <mergeCell ref="C67:C68"/>
    <mergeCell ref="D67:D68"/>
    <mergeCell ref="E67:E68"/>
    <mergeCell ref="F67:F68"/>
    <mergeCell ref="Q6:Q7"/>
    <mergeCell ref="Q20:Q21"/>
    <mergeCell ref="C6:C7"/>
    <mergeCell ref="D6:D7"/>
    <mergeCell ref="G20:G21"/>
    <mergeCell ref="I6:I7"/>
    <mergeCell ref="J6:J7"/>
    <mergeCell ref="Q28:Q29"/>
    <mergeCell ref="O6:O7"/>
    <mergeCell ref="P6:P7"/>
    <mergeCell ref="K6:K7"/>
    <mergeCell ref="L6:L7"/>
    <mergeCell ref="O20:O21"/>
    <mergeCell ref="P20:P21"/>
    <mergeCell ref="M20:M21"/>
    <mergeCell ref="O28:O29"/>
    <mergeCell ref="P28:P29"/>
    <mergeCell ref="M6:M7"/>
    <mergeCell ref="N6:N7"/>
    <mergeCell ref="N20:N21"/>
    <mergeCell ref="A6:B7"/>
    <mergeCell ref="A20:B21"/>
    <mergeCell ref="E6:E7"/>
    <mergeCell ref="F6:F7"/>
    <mergeCell ref="G6:G7"/>
    <mergeCell ref="H6:H7"/>
    <mergeCell ref="H20:H21"/>
    <mergeCell ref="I20:I21"/>
    <mergeCell ref="J20:J21"/>
    <mergeCell ref="C20:C21"/>
    <mergeCell ref="D20:D21"/>
    <mergeCell ref="E20:E21"/>
    <mergeCell ref="F20:F21"/>
    <mergeCell ref="K34:K35"/>
    <mergeCell ref="L34:L35"/>
    <mergeCell ref="M34:M35"/>
    <mergeCell ref="N34:N35"/>
    <mergeCell ref="L20:L21"/>
    <mergeCell ref="K20:K21"/>
    <mergeCell ref="R6:R7"/>
    <mergeCell ref="R20:R21"/>
    <mergeCell ref="E34:E35"/>
    <mergeCell ref="F34:F35"/>
    <mergeCell ref="G34:G35"/>
    <mergeCell ref="H34:H35"/>
    <mergeCell ref="I34:I35"/>
    <mergeCell ref="K28:K29"/>
    <mergeCell ref="L28:L29"/>
    <mergeCell ref="M28:M29"/>
    <mergeCell ref="N28:N29"/>
    <mergeCell ref="E28:E29"/>
    <mergeCell ref="F28:F29"/>
    <mergeCell ref="G28:G29"/>
    <mergeCell ref="H28:H29"/>
    <mergeCell ref="I28:I29"/>
    <mergeCell ref="J28:J29"/>
    <mergeCell ref="O34:O35"/>
    <mergeCell ref="N57:N58"/>
    <mergeCell ref="O57:O58"/>
    <mergeCell ref="P57:P58"/>
    <mergeCell ref="H57:H58"/>
    <mergeCell ref="I57:I58"/>
    <mergeCell ref="J57:J58"/>
    <mergeCell ref="K38:K39"/>
    <mergeCell ref="L38:L39"/>
    <mergeCell ref="M38:M39"/>
    <mergeCell ref="N38:N39"/>
    <mergeCell ref="I38:I39"/>
    <mergeCell ref="J38:J39"/>
    <mergeCell ref="A1:B1"/>
    <mergeCell ref="Q48:Q49"/>
    <mergeCell ref="Q57:Q58"/>
    <mergeCell ref="R28:R29"/>
    <mergeCell ref="R34:R35"/>
    <mergeCell ref="R38:R39"/>
    <mergeCell ref="R48:R49"/>
    <mergeCell ref="R57:R58"/>
    <mergeCell ref="G61:G62"/>
    <mergeCell ref="H61:H62"/>
    <mergeCell ref="I61:I62"/>
    <mergeCell ref="J61:J62"/>
    <mergeCell ref="K61:K62"/>
    <mergeCell ref="L61:L62"/>
    <mergeCell ref="M61:M62"/>
    <mergeCell ref="N61:N62"/>
    <mergeCell ref="O38:O39"/>
    <mergeCell ref="P38:P39"/>
    <mergeCell ref="Q34:Q35"/>
    <mergeCell ref="Q38:Q39"/>
    <mergeCell ref="P34:P35"/>
    <mergeCell ref="E48:E49"/>
    <mergeCell ref="K57:K58"/>
    <mergeCell ref="L57:L58"/>
    <mergeCell ref="B81:B82"/>
    <mergeCell ref="S72:S73"/>
    <mergeCell ref="S6:S7"/>
    <mergeCell ref="S20:S21"/>
    <mergeCell ref="S28:S29"/>
    <mergeCell ref="S34:S35"/>
    <mergeCell ref="S38:S39"/>
    <mergeCell ref="S48:S49"/>
    <mergeCell ref="S57:S58"/>
    <mergeCell ref="S61:S62"/>
    <mergeCell ref="S67:S68"/>
    <mergeCell ref="A78:B78"/>
    <mergeCell ref="A76:B76"/>
    <mergeCell ref="N48:N49"/>
    <mergeCell ref="O48:O49"/>
    <mergeCell ref="P48:P49"/>
    <mergeCell ref="G57:G58"/>
    <mergeCell ref="H48:H49"/>
    <mergeCell ref="I48:I49"/>
    <mergeCell ref="J48:J49"/>
    <mergeCell ref="K48:K49"/>
    <mergeCell ref="L48:L49"/>
    <mergeCell ref="M48:M49"/>
    <mergeCell ref="M57:M58"/>
    <mergeCell ref="U72:U73"/>
    <mergeCell ref="U6:U7"/>
    <mergeCell ref="U20:U21"/>
    <mergeCell ref="U28:U29"/>
    <mergeCell ref="U34:U35"/>
    <mergeCell ref="U38:U39"/>
    <mergeCell ref="U48:U49"/>
    <mergeCell ref="U57:U58"/>
    <mergeCell ref="U61:U62"/>
    <mergeCell ref="U67:U68"/>
  </mergeCells>
  <phoneticPr fontId="4" type="noConversion"/>
  <dataValidations count="1">
    <dataValidation type="list" allowBlank="1" showInputMessage="1" showErrorMessage="1" sqref="C1" xr:uid="{00000000-0002-0000-0300-000000000000}">
      <formula1>$C$2:$C$3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FF0000"/>
  </sheetPr>
  <dimension ref="A1:DI128"/>
  <sheetViews>
    <sheetView topLeftCell="R16" zoomScale="141" zoomScaleNormal="141" zoomScalePageLayoutView="110" workbookViewId="0">
      <selection activeCell="K16" sqref="K16"/>
    </sheetView>
  </sheetViews>
  <sheetFormatPr defaultColWidth="8.85546875" defaultRowHeight="15" customHeight="1"/>
  <cols>
    <col min="1" max="1" width="3.85546875" style="145" customWidth="1"/>
    <col min="2" max="2" width="17.28515625" style="145" customWidth="1"/>
    <col min="3" max="3" width="12.28515625" style="145" customWidth="1"/>
    <col min="4" max="4" width="12.140625" style="145" customWidth="1"/>
    <col min="5" max="5" width="12.28515625" style="145" customWidth="1"/>
    <col min="6" max="6" width="10.7109375" style="145" customWidth="1"/>
    <col min="7" max="7" width="11.85546875" style="145" customWidth="1"/>
    <col min="8" max="8" width="12.28515625" style="146" customWidth="1"/>
    <col min="9" max="9" width="13.42578125" style="145" customWidth="1"/>
    <col min="10" max="10" width="12.7109375" style="145" customWidth="1"/>
    <col min="11" max="11" width="10.7109375" style="145" customWidth="1"/>
    <col min="12" max="12" width="11.140625" style="145" customWidth="1"/>
    <col min="13" max="24" width="10.28515625" style="145" customWidth="1"/>
    <col min="25" max="25" width="10.28515625" style="145" hidden="1" customWidth="1"/>
    <col min="26" max="26" width="19.7109375" style="145" customWidth="1"/>
    <col min="27" max="28" width="10.28515625" style="145" customWidth="1"/>
    <col min="29" max="29" width="12" style="140" customWidth="1"/>
    <col min="30" max="30" width="8.28515625" style="140" customWidth="1"/>
    <col min="31" max="31" width="13.28515625" style="140" customWidth="1"/>
    <col min="32" max="32" width="12.7109375" style="141" customWidth="1"/>
    <col min="33" max="33" width="9.85546875" style="142" customWidth="1"/>
    <col min="34" max="34" width="9.42578125" style="143" customWidth="1"/>
    <col min="35" max="35" width="10.140625" style="143" customWidth="1"/>
    <col min="36" max="36" width="0.7109375" style="143" customWidth="1"/>
    <col min="37" max="113" width="8.85546875" style="143"/>
    <col min="114" max="16384" width="8.85546875" style="144"/>
  </cols>
  <sheetData>
    <row r="1" spans="1:28" ht="6.95" customHeight="1">
      <c r="A1" s="2291"/>
      <c r="B1" s="2292"/>
      <c r="C1" s="2289" t="s">
        <v>320</v>
      </c>
      <c r="D1" s="2299" t="s">
        <v>444</v>
      </c>
      <c r="E1" s="2299"/>
      <c r="F1" s="2299"/>
      <c r="G1" s="2299"/>
      <c r="H1" s="2299"/>
      <c r="I1" s="2299"/>
      <c r="J1" s="2299"/>
      <c r="K1" s="2299"/>
      <c r="L1" s="2299"/>
      <c r="M1" s="2299"/>
      <c r="N1" s="2299"/>
      <c r="O1" s="2299"/>
      <c r="P1" s="2299"/>
      <c r="Q1" s="2299"/>
      <c r="R1" s="2299"/>
      <c r="S1" s="2299"/>
      <c r="T1" s="2299"/>
      <c r="U1" s="2299"/>
      <c r="V1" s="2299"/>
      <c r="W1" s="2299"/>
      <c r="X1" s="2299"/>
      <c r="Y1" s="2299"/>
      <c r="Z1" s="2299"/>
      <c r="AA1" s="2299"/>
      <c r="AB1" s="2300"/>
    </row>
    <row r="2" spans="1:28" s="225" customFormat="1" ht="12" customHeight="1">
      <c r="A2" s="2291"/>
      <c r="B2" s="2292"/>
      <c r="C2" s="2290"/>
      <c r="D2" s="2301"/>
      <c r="E2" s="2301"/>
      <c r="F2" s="2301"/>
      <c r="G2" s="2301"/>
      <c r="H2" s="2301"/>
      <c r="I2" s="2301"/>
      <c r="J2" s="2301"/>
      <c r="K2" s="2301"/>
      <c r="L2" s="2301"/>
      <c r="M2" s="2301"/>
      <c r="N2" s="2301"/>
      <c r="O2" s="2301"/>
      <c r="P2" s="2301"/>
      <c r="Q2" s="2301"/>
      <c r="R2" s="2301"/>
      <c r="S2" s="2301"/>
      <c r="T2" s="2301"/>
      <c r="U2" s="2301"/>
      <c r="V2" s="2301"/>
      <c r="W2" s="2301"/>
      <c r="X2" s="2301"/>
      <c r="Y2" s="2301"/>
      <c r="Z2" s="2301"/>
      <c r="AA2" s="2301"/>
      <c r="AB2" s="2302"/>
    </row>
    <row r="3" spans="1:28" s="147" customFormat="1" ht="13.5">
      <c r="A3" s="1128"/>
      <c r="B3" s="1129"/>
      <c r="C3" s="1130">
        <v>2003</v>
      </c>
      <c r="D3" s="1130">
        <v>2004</v>
      </c>
      <c r="E3" s="1130">
        <v>2005</v>
      </c>
      <c r="F3" s="1130">
        <v>2006</v>
      </c>
      <c r="G3" s="1131">
        <v>2007</v>
      </c>
      <c r="H3" s="1131">
        <v>2008</v>
      </c>
      <c r="I3" s="1131">
        <v>2009</v>
      </c>
      <c r="J3" s="1131">
        <v>2010</v>
      </c>
      <c r="K3" s="1131">
        <v>2011</v>
      </c>
      <c r="L3" s="1131">
        <v>2012</v>
      </c>
      <c r="M3" s="1131">
        <v>2013</v>
      </c>
      <c r="N3" s="1131">
        <v>2014</v>
      </c>
      <c r="O3" s="1131">
        <v>2015</v>
      </c>
      <c r="P3" s="1131">
        <v>2016</v>
      </c>
      <c r="Q3" s="1131">
        <v>2017</v>
      </c>
      <c r="R3" s="1131">
        <v>2018</v>
      </c>
      <c r="S3" s="1131">
        <v>2019</v>
      </c>
      <c r="T3" s="1131">
        <v>2020</v>
      </c>
      <c r="U3" s="1131">
        <v>2021</v>
      </c>
      <c r="V3" s="1131">
        <v>2022</v>
      </c>
      <c r="W3" s="1131">
        <v>2023</v>
      </c>
      <c r="X3" s="1132" t="s">
        <v>386</v>
      </c>
      <c r="Y3" s="1133" t="s">
        <v>445</v>
      </c>
      <c r="Z3" s="1133"/>
      <c r="AA3" s="1133" t="s">
        <v>307</v>
      </c>
      <c r="AB3" s="1133" t="s">
        <v>308</v>
      </c>
    </row>
    <row r="4" spans="1:28" s="147" customFormat="1" ht="14.1" customHeight="1">
      <c r="A4" s="2293" t="s">
        <v>56</v>
      </c>
      <c r="B4" s="2294"/>
      <c r="C4" s="2285">
        <f>C6+ SUM(C12:C17)</f>
        <v>1075</v>
      </c>
      <c r="D4" s="2285">
        <f t="shared" ref="D4:J4" si="0">SUM(D7:D17)</f>
        <v>2370</v>
      </c>
      <c r="E4" s="2285">
        <f t="shared" si="0"/>
        <v>2662</v>
      </c>
      <c r="F4" s="2285">
        <f t="shared" si="0"/>
        <v>2782</v>
      </c>
      <c r="G4" s="2285">
        <f t="shared" si="0"/>
        <v>2519</v>
      </c>
      <c r="H4" s="2285">
        <f t="shared" si="0"/>
        <v>2456.8677475651443</v>
      </c>
      <c r="I4" s="2285">
        <f t="shared" si="0"/>
        <v>2564.818888441212</v>
      </c>
      <c r="J4" s="2285">
        <f t="shared" si="0"/>
        <v>2439.4498997924766</v>
      </c>
      <c r="K4" s="2285">
        <f t="shared" ref="K4:X4" si="1">K6+ SUM(K12:K17)</f>
        <v>2397.4498997924766</v>
      </c>
      <c r="L4" s="2285">
        <f t="shared" si="1"/>
        <v>2604.4498997924766</v>
      </c>
      <c r="M4" s="2285">
        <f t="shared" si="1"/>
        <v>1649</v>
      </c>
      <c r="N4" s="2285">
        <f t="shared" si="1"/>
        <v>1649</v>
      </c>
      <c r="O4" s="2285">
        <f t="shared" si="1"/>
        <v>1675</v>
      </c>
      <c r="P4" s="2285">
        <f t="shared" si="1"/>
        <v>4387</v>
      </c>
      <c r="Q4" s="2285">
        <f t="shared" si="1"/>
        <v>4387</v>
      </c>
      <c r="R4" s="2285">
        <f t="shared" ref="R4:W4" si="2">R6+ SUM(R12:R17)</f>
        <v>0</v>
      </c>
      <c r="S4" s="2285">
        <f t="shared" si="2"/>
        <v>0</v>
      </c>
      <c r="T4" s="2285">
        <f t="shared" si="2"/>
        <v>0</v>
      </c>
      <c r="U4" s="2285">
        <f t="shared" ca="1" si="2"/>
        <v>12825.043733886214</v>
      </c>
      <c r="V4" s="2285">
        <f t="shared" ca="1" si="2"/>
        <v>14278.243814642668</v>
      </c>
      <c r="W4" s="2285">
        <f t="shared" si="2"/>
        <v>0</v>
      </c>
      <c r="X4" s="2285">
        <f t="shared" si="1"/>
        <v>2507.8690890255857</v>
      </c>
      <c r="Y4" s="2303">
        <f>X4/7000</f>
        <v>0.35826701271794081</v>
      </c>
      <c r="Z4" s="1134"/>
      <c r="AA4" s="2285">
        <f>AA6+ SUM(AA12:AA17)</f>
        <v>5341</v>
      </c>
      <c r="AB4" s="2285">
        <f>AB6+ SUM(AB12:AB17)</f>
        <v>1057</v>
      </c>
    </row>
    <row r="5" spans="1:28" s="147" customFormat="1" ht="14.1" customHeight="1">
      <c r="A5" s="2293"/>
      <c r="B5" s="2294"/>
      <c r="C5" s="2286"/>
      <c r="D5" s="2286"/>
      <c r="E5" s="2286"/>
      <c r="F5" s="2286"/>
      <c r="G5" s="2286"/>
      <c r="H5" s="2286"/>
      <c r="I5" s="2286"/>
      <c r="J5" s="2286"/>
      <c r="K5" s="2286"/>
      <c r="L5" s="2286"/>
      <c r="M5" s="2286"/>
      <c r="N5" s="2286"/>
      <c r="O5" s="2286"/>
      <c r="P5" s="2286"/>
      <c r="Q5" s="2286"/>
      <c r="R5" s="2286"/>
      <c r="S5" s="2286"/>
      <c r="T5" s="2286"/>
      <c r="U5" s="2286"/>
      <c r="V5" s="2286"/>
      <c r="W5" s="2286"/>
      <c r="X5" s="2286"/>
      <c r="Y5" s="2304"/>
      <c r="Z5" s="1135"/>
      <c r="AA5" s="2286"/>
      <c r="AB5" s="2286"/>
    </row>
    <row r="6" spans="1:28" s="147" customFormat="1" ht="13.5">
      <c r="A6" s="1136"/>
      <c r="B6" s="1137" t="s">
        <v>446</v>
      </c>
      <c r="C6" s="1138">
        <f>IF(ISNUMBER(FIND("Jan",$C$1)),Monthly!$C1793,(IF(ISNUMBER(FIND("Feb",$C$1)),Monthly!$D1793,((IF(ISNUMBER(FIND("Mar",$C$1)),Monthly!$E1793,(IF(ISNUMBER(FIND("Apr",$C$1)),Monthly!$F1793,((IF(ISNUMBER(FIND("May",$C$1)),Monthly!$G1793,((IF(ISNUMBER(FIND("Jun",$C$1)),Monthly!$H1793,(IF(ISNUMBER(FIND("Jul",$C$1)),Monthly!$I1793,(IF(ISNUMBER(FIND("Aug",$C$1)),Monthly!$J1793,(IF(ISNUMBER(FIND("Sep",$C$1)),Monthly!$K1793,(IF(ISNUMBER(FIND("Oct",$C$1)),Monthly!$L1793,(IF(ISNUMBER(FIND("Nov",$C$1)),Monthly!$M1793,(IF(ISNUMBER(FIND("Dec",$C$1)),Monthly!$N1793,))))))))))))))))))))))))))</f>
        <v>1075</v>
      </c>
      <c r="D6" s="1139">
        <f t="shared" ref="D6:L6" si="3">SUM(D7:D11)</f>
        <v>1804</v>
      </c>
      <c r="E6" s="1139">
        <f t="shared" si="3"/>
        <v>2003</v>
      </c>
      <c r="F6" s="1139">
        <f t="shared" si="3"/>
        <v>2172</v>
      </c>
      <c r="G6" s="1139">
        <f t="shared" si="3"/>
        <v>1894</v>
      </c>
      <c r="H6" s="1139">
        <f t="shared" si="3"/>
        <v>1753.8677475651443</v>
      </c>
      <c r="I6" s="1139">
        <f t="shared" si="3"/>
        <v>1895.8188884412118</v>
      </c>
      <c r="J6" s="1139">
        <f t="shared" si="3"/>
        <v>1755.4498997924768</v>
      </c>
      <c r="K6" s="1139">
        <f t="shared" si="3"/>
        <v>1755.4498997924768</v>
      </c>
      <c r="L6" s="1139">
        <f t="shared" si="3"/>
        <v>1755.4498997924768</v>
      </c>
      <c r="M6" s="1139">
        <f>SUM(M7:M11)</f>
        <v>1057</v>
      </c>
      <c r="N6" s="1140">
        <f>SUM(N7:N11)</f>
        <v>1057</v>
      </c>
      <c r="O6" s="1141">
        <f>SUM(O7:O11)</f>
        <v>1057</v>
      </c>
      <c r="P6" s="1142">
        <f>IF(ISNUMBER(FIND("Jan",$C$1)),Monthly!$C712,(IF(ISNUMBER(FIND("Feb",$C$1)),Monthly!$D712,((IF(ISNUMBER(FIND("Mar",$C$1)),Monthly!$E712,(IF(ISNUMBER(FIND("Apr",$C$1)),Monthly!$F712,((IF(ISNUMBER(FIND("May",$C$1)),Monthly!$G712,((IF(ISNUMBER(FIND("Jun",$C$1)),Monthly!$H712,(IF(ISNUMBER(FIND("Jul",$C$1)),Monthly!$I712,(IF(ISNUMBER(FIND("Aug",$C$1)),Monthly!$J712,(IF(ISNUMBER(FIND("Sep",$C$1)),Monthly!$K712,(IF(ISNUMBER(FIND("Oct",$C$1)),Monthly!$L712,(IF(ISNUMBER(FIND("Nov",$C$1)),Monthly!$M712,(IF(ISNUMBER(FIND("Dec",$C$1)),Monthly!$N712,))))))))))))))))))))))))))</f>
        <v>4384</v>
      </c>
      <c r="Q6" s="1142">
        <f>IF(ISNUMBER(FIND("Jan",$C$1)),Monthly!$C712,(IF(ISNUMBER(FIND("Feb",$C$1)),Monthly!$D712,((IF(ISNUMBER(FIND("Mar",$C$1)),Monthly!$E712,(IF(ISNUMBER(FIND("Apr",$C$1)),Monthly!$F712,((IF(ISNUMBER(FIND("May",$C$1)),Monthly!$G712,((IF(ISNUMBER(FIND("Jun",$C$1)),Monthly!$H712,(IF(ISNUMBER(FIND("Jul",$C$1)),Monthly!$I712,(IF(ISNUMBER(FIND("Aug",$C$1)),Monthly!$J712,(IF(ISNUMBER(FIND("Sep",$C$1)),Monthly!$K712,(IF(ISNUMBER(FIND("Oct",$C$1)),Monthly!$L712,(IF(ISNUMBER(FIND("Nov",$C$1)),Monthly!$M712,(IF(ISNUMBER(FIND("Dec",$C$1)),Monthly!$N712,))))))))))))))))))))))))))</f>
        <v>4384</v>
      </c>
      <c r="R6" s="1142"/>
      <c r="S6" s="1142"/>
      <c r="T6" s="1142"/>
      <c r="U6" s="1143">
        <f ca="1">Monthly!O405</f>
        <v>9419.6270672195478</v>
      </c>
      <c r="V6" s="1142">
        <f ca="1">Monthly!O320</f>
        <v>9422.8271479760024</v>
      </c>
      <c r="W6" s="1142"/>
      <c r="X6" s="1144">
        <f t="shared" ref="X6:X17" si="4">SUM(C6:Q6)/$E$77</f>
        <v>1986.8690890255857</v>
      </c>
      <c r="Y6" s="1145">
        <f t="shared" ref="Y6:Y17" si="5">X6/7000</f>
        <v>0.28383844128936941</v>
      </c>
      <c r="Z6" s="1146"/>
      <c r="AA6" s="1147">
        <f t="shared" ref="AA6:AA17" si="6">MAX(C6:Q6)</f>
        <v>4384</v>
      </c>
      <c r="AB6" s="1147">
        <f t="shared" ref="AB6:AB17" si="7">MIN(C6:Q6)</f>
        <v>1057</v>
      </c>
    </row>
    <row r="7" spans="1:28" s="147" customFormat="1" ht="14.1" customHeight="1">
      <c r="A7" s="1136"/>
      <c r="B7" s="1137" t="s">
        <v>447</v>
      </c>
      <c r="C7" s="1138">
        <f>IF(ISNUMBER(FIND("Jan",$C$1)),Monthly!$C1794,(IF(ISNUMBER(FIND("Feb",$C$1)),Monthly!$D1794,((IF(ISNUMBER(FIND("Mar",$C$1)),Monthly!$E1794,(IF(ISNUMBER(FIND("Apr",$C$1)),Monthly!$F1794,((IF(ISNUMBER(FIND("May",$C$1)),Monthly!$G1794,((IF(ISNUMBER(FIND("Jun",$C$1)),Monthly!$H1794,(IF(ISNUMBER(FIND("Jul",$C$1)),Monthly!$I1794,(IF(ISNUMBER(FIND("Aug",$C$1)),Monthly!$J1794,(IF(ISNUMBER(FIND("Sep",$C$1)),Monthly!$K1794,(IF(ISNUMBER(FIND("Oct",$C$1)),Monthly!$L1794,(IF(ISNUMBER(FIND("Nov",$C$1)),Monthly!$M1794,(IF(ISNUMBER(FIND("Dec",$C$1)),Monthly!$N1794,))))))))))))))))))))))))))</f>
        <v>0</v>
      </c>
      <c r="D7" s="1139">
        <f>IF(ISNUMBER(FIND("Jan",$C$1)),Monthly!$C1717,(IF(ISNUMBER(FIND("Feb",$C$1)),Monthly!$D1717,((IF(ISNUMBER(FIND("Mar",$C$1)),Monthly!$E1717,(IF(ISNUMBER(FIND("Apr",$C$1)),Monthly!$F1717,((IF(ISNUMBER(FIND("May",$C$1)),Monthly!$G1717,((IF(ISNUMBER(FIND("Jun",$C$1)),Monthly!$H1717,(IF(ISNUMBER(FIND("Jul",$C$1)),Monthly!$I1717,(IF(ISNUMBER(FIND("Aug",$C$1)),Monthly!$J1717,(IF(ISNUMBER(FIND("Sep",$C$1)),Monthly!$K1717,(IF(ISNUMBER(FIND("Oct",$C$1)),Monthly!$L1717,(IF(ISNUMBER(FIND("Nov",$C$1)),Monthly!$M1717,(IF(ISNUMBER(FIND("Dec",$C$1)),Monthly!$N1717,))))))))))))))))))))))))))</f>
        <v>867</v>
      </c>
      <c r="E7" s="1139">
        <f xml:space="preserve">
IF(ISNUMBER(FIND("Jan",$C$1)),Monthly!$C1639,(IF(ISNUMBER(FIND("Feb",$C$1)),Monthly!$D1639,((IF(ISNUMBER(FIND("Mar",$C$1)),Monthly!$E1639,(IF(ISNUMBER(FIND("Apr",$C$1)),Monthly!$F1639,((IF(ISNUMBER(FIND("May",$C$1)),Monthly!$G1639,((IF(ISNUMBER(FIND("Jun",$C$1)),Monthly!$H1639,(IF(ISNUMBER(FIND("Jul",$C$1)),Monthly!$I1639,(IF(ISNUMBER(FIND("Aug",$C$1)),Monthly!$J1639,(IF(ISNUMBER(FIND("Sep",$C$1)),Monthly!$K1639,(IF(ISNUMBER(FIND("Oct",$C$1)),Monthly!$L1639,(IF(ISNUMBER(FIND("Nov",$C$1)),Monthly!$M1639,(IF(ISNUMBER(FIND("Dec",$C$1)),Monthly!$N1639,))))))))))))))))))))))))))</f>
        <v>850</v>
      </c>
      <c r="F7" s="1138">
        <f>IF(ISNUMBER(FIND("Jan",$C$1)),Monthly!$C1561,(IF(ISNUMBER(FIND("Feb",$C$1)),Monthly!$D1561,((IF(ISNUMBER(FIND("Mar",$C$1)),Monthly!$E1561,(IF(ISNUMBER(FIND("Apr",$C$1)),Monthly!$F1561,((IF(ISNUMBER(FIND("May",$C$1)),Monthly!$G1561,((IF(ISNUMBER(FIND("Jun",$C$1)),Monthly!$H1561,(IF(ISNUMBER(FIND("Jul",$C$1)),Monthly!$I1561,(IF(ISNUMBER(FIND("Aug",$C$1)),Monthly!$J1561,(IF(ISNUMBER(FIND("Sep",$C$1)),Monthly!$K1561,(IF(ISNUMBER(FIND("Oct",$C$1)),Monthly!$L1561,(IF(ISNUMBER(FIND("Nov",$C$1)),Monthly!$M1561,(IF(ISNUMBER(FIND("Dec",$C$1)),Monthly!$N1561,))))))))))))))))))))))))))</f>
        <v>830</v>
      </c>
      <c r="G7" s="1139">
        <f>IF(ISNUMBER(FIND("Jan",$C$1)),Monthly!$C1483,(IF(ISNUMBER(FIND("Feb",$C$1)),Monthly!$D1483,((IF(ISNUMBER(FIND("Mar",$C$1)),Monthly!$E1483,(IF(ISNUMBER(FIND("Apr",$C$1)),Monthly!$F1483,((IF(ISNUMBER(FIND("May",$C$1)),Monthly!$G1483,((IF(ISNUMBER(FIND("Jun",$C$1)),Monthly!$H1483,(IF(ISNUMBER(FIND("Jul",$C$1)),Monthly!$I1483,(IF(ISNUMBER(FIND("Aug",$C$1)),Monthly!$J1483,(IF(ISNUMBER(FIND("Sep",$C$1)),Monthly!$K1483,(IF(ISNUMBER(FIND("Oct",$C$1)),Monthly!$L1483,(IF(ISNUMBER(FIND("Nov",$C$1)),Monthly!$M1483,(IF(ISNUMBER(FIND("Dec",$C$1)),Monthly!$N1483,))))))))))))))))))))))))))</f>
        <v>816</v>
      </c>
      <c r="H7" s="1139">
        <f>IF(ISNUMBER(FIND("Jan",$C$1)),Monthly!$C1406,(IF(ISNUMBER(FIND("Feb",$C$1)),Monthly!$D1406,((IF(ISNUMBER(FIND("Mar",$C$1)),Monthly!$E1406,(IF(ISNUMBER(FIND("Apr",$C$1)),Monthly!$F1406,((IF(ISNUMBER(FIND("May",$C$1)),Monthly!$G1406,((IF(ISNUMBER(FIND("Jun",$C$1)),Monthly!$H1406,(IF(ISNUMBER(FIND("Jul",$C$1)),Monthly!$I1406,(IF(ISNUMBER(FIND("Aug",$C$1)),Monthly!$J1406,(IF(ISNUMBER(FIND("Sep",$C$1)),Monthly!$K1406,(IF(ISNUMBER(FIND("Oct",$C$1)),Monthly!$L1406,(IF(ISNUMBER(FIND("Nov",$C$1)),Monthly!$M1406,(IF(ISNUMBER(FIND("Dec",$C$1)),Monthly!$N1406,))))))))))))))))))))))))))</f>
        <v>1006.1209188376228</v>
      </c>
      <c r="I7" s="1139">
        <f>IF(ISNUMBER(FIND("Jan",$C$1)),Monthly!$C1329,(IF(ISNUMBER(FIND("Feb",$C$1)),Monthly!$D1329,((IF(ISNUMBER(FIND("Mar",$C$1)),Monthly!$E1329,(IF(ISNUMBER(FIND("Apr",$C$1)),Monthly!$F1329,((IF(ISNUMBER(FIND("May",$C$1)),Monthly!$G1329,((IF(ISNUMBER(FIND("Jun",$C$1)),Monthly!$H1329,(IF(ISNUMBER(FIND("Jul",$C$1)),Monthly!$I1329,(IF(ISNUMBER(FIND("Aug",$C$1)),Monthly!$J1329,(IF(ISNUMBER(FIND("Sep",$C$1)),Monthly!$K1329,(IF(ISNUMBER(FIND("Oct",$C$1)),Monthly!$L1329,(IF(ISNUMBER(FIND("Nov",$C$1)),Monthly!$M1329,(IF(ISNUMBER(FIND("Dec",$C$1)),Monthly!$N1329,))))))))))))))))))))))))))</f>
        <v>895.5601886596836</v>
      </c>
      <c r="J7" s="1138">
        <f>IF(ISNUMBER(FIND("Jan",$C$1)),Monthly!$C1252,(IF(ISNUMBER(FIND("Feb",$C$1)),Monthly!$D1252,((IF(ISNUMBER(FIND("Mar",$C$1)),Monthly!$E1252,(IF(ISNUMBER(FIND("Apr",$C$1)),Monthly!$F1252,((IF(ISNUMBER(FIND("May",$C$1)),Monthly!$G1252,((IF(ISNUMBER(FIND("Jun",$C$1)),Monthly!$H1252,(IF(ISNUMBER(FIND("Jul",$C$1)),Monthly!$I1252,(IF(ISNUMBER(FIND("Aug",$C$1)),Monthly!$J1252,(IF(ISNUMBER(FIND("Sep",$C$1)),Monthly!$K1252,(IF(ISNUMBER(FIND("Oct",$C$1)),Monthly!$L1252,(IF(ISNUMBER(FIND("Nov",$C$1)),Monthly!$M1252,(IF(ISNUMBER(FIND("Dec",$C$1)),Monthly!$N1252,))))))))))))))))))))))))))</f>
        <v>976.68876499361886</v>
      </c>
      <c r="K7" s="1148">
        <f>IF(ISNUMBER(FIND("Jan",$C$1)),Monthly!$C1174,(IF(ISNUMBER(FIND("Feb",$C$1)),Monthly!$D1174,((IF(ISNUMBER(FIND("Mar",$C$1)),Monthly!$E1174,(IF(ISNUMBER(FIND("Apr",$C$1)),Monthly!$F1174,((IF(ISNUMBER(FIND("May",$C$1)),Monthly!$G1174,((IF(ISNUMBER(FIND("Jun",$C$1)),Monthly!$H1174,(IF(ISNUMBER(FIND("Jul",$C$1)),Monthly!$I1174,(IF(ISNUMBER(FIND("Aug",$C$1)),Monthly!$J1174,(IF(ISNUMBER(FIND("Sep",$C$1)),Monthly!$K1174,(IF(ISNUMBER(FIND("Oct",$C$1)),Monthly!$L1174,(IF(ISNUMBER(FIND("Nov",$C$1)),Monthly!$M1174,(IF(ISNUMBER(FIND("Dec",$C$1)),Monthly!$N1174,))))))))))))))))))))))))))</f>
        <v>961.32061051336677</v>
      </c>
      <c r="L7" s="1139">
        <f>IF(ISNUMBER(FIND("Jan",$C$1)),Monthly!$C1097,(IF(ISNUMBER(FIND("Feb",$C$1)),Monthly!$D1097,((IF(ISNUMBER(FIND("Mar",$C$1)),Monthly!$E1097,(IF(ISNUMBER(FIND("Apr",$C$1)),Monthly!$F1097,((IF(ISNUMBER(FIND("May",$C$1)),Monthly!$G1097,((IF(ISNUMBER(FIND("Jun",$C$1)),Monthly!$H1097,(IF(ISNUMBER(FIND("Jul",$C$1)),Monthly!$I1097,(IF(ISNUMBER(FIND("Aug",$C$1)),Monthly!$J1097,(IF(ISNUMBER(FIND("Sep",$C$1)),Monthly!$K1097,(IF(ISNUMBER(FIND("Oct",$C$1)),Monthly!$L1097,(IF(ISNUMBER(FIND("Nov",$C$1)),Monthly!$M1097,(IF(ISNUMBER(FIND("Dec",$C$1)),Monthly!$N1097,))))))))))))))))))))))))))</f>
        <v>945.08557132080898</v>
      </c>
      <c r="M7" s="1139">
        <f>IF(ISNUMBER(FIND("Jan",$C$1)),Monthly!$C1020,(IF(ISNUMBER(FIND("Feb",$C$1)),Monthly!$D1020,((IF(ISNUMBER(FIND("Mar",$C$1)),Monthly!$E1020,(IF(ISNUMBER(FIND("Apr",$C$1)),Monthly!$F1020,((IF(ISNUMBER(FIND("May",$C$1)),Monthly!$G1020,((IF(ISNUMBER(FIND("Jun",$C$1)),Monthly!$H1020,(IF(ISNUMBER(FIND("Jul",$C$1)),Monthly!$I1020,(IF(ISNUMBER(FIND("Aug",$C$1)),Monthly!$J1020,(IF(ISNUMBER(FIND("Sep",$C$1)),Monthly!$K1020,(IF(ISNUMBER(FIND("Oct",$C$1)),Monthly!$L1020,(IF(ISNUMBER(FIND("Nov",$C$1)),Monthly!$M1020,(IF(ISNUMBER(FIND("Dec",$C$1)),Monthly!$N1020,))))))))))))))))))))))))))</f>
        <v>657</v>
      </c>
      <c r="N7" s="1148">
        <f>IF(ISNUMBER(FIND("Jan",$C$1)),Monthly!$C943,(IF(ISNUMBER(FIND("Feb",$C$1)),Monthly!$D943,((IF(ISNUMBER(FIND("Mar",$C$1)),Monthly!$E943,(IF(ISNUMBER(FIND("Apr",$C$1)),Monthly!$F943,((IF(ISNUMBER(FIND("May",$C$1)),Monthly!$G943,((IF(ISNUMBER(FIND("Jun",$C$1)),Monthly!$H943,(IF(ISNUMBER(FIND("Jul",$C$1)),Monthly!$I943,(IF(ISNUMBER(FIND("Aug",$C$1)),Monthly!$J943,(IF(ISNUMBER(FIND("Sep",$C$1)),Monthly!$K943,(IF(ISNUMBER(FIND("Oct",$C$1)),Monthly!$L943,(IF(ISNUMBER(FIND("Nov",$C$1)),Monthly!$M943,(IF(ISNUMBER(FIND("Dec",$C$1)),Monthly!$N943,))))))))))))))))))))))))))</f>
        <v>657</v>
      </c>
      <c r="O7" s="1148">
        <f>IF(ISNUMBER(FIND("Jan",$C$1)),Monthly!$C867,(IF(ISNUMBER(FIND("Feb",$C$1)),Monthly!$D867,((IF(ISNUMBER(FIND("Mar",$C$1)),Monthly!$E867,(IF(ISNUMBER(FIND("Apr",$C$1)),Monthly!$F867,((IF(ISNUMBER(FIND("May",$C$1)),Monthly!$G867,((IF(ISNUMBER(FIND("Jun",$C$1)),Monthly!$H867,(IF(ISNUMBER(FIND("Jul",$C$1)),Monthly!$I867,(IF(ISNUMBER(FIND("Aug",$C$1)),Monthly!$J867,(IF(ISNUMBER(FIND("Sep",$C$1)),Monthly!$K867,(IF(ISNUMBER(FIND("Oct",$C$1)),Monthly!$L867,(IF(ISNUMBER(FIND("Nov",$C$1)),Monthly!$M867,(IF(ISNUMBER(FIND("Dec",$C$1)),Monthly!$N867,))))))))))))))))))))))))))</f>
        <v>657</v>
      </c>
      <c r="P7" s="1148">
        <f>IF(ISNUMBER(FIND("Jan",$C$1)),Monthly!$C790,(IF(ISNUMBER(FIND("Feb",$C$1)),Monthly!$D790,((IF(ISNUMBER(FIND("Mar",$C$1)),Monthly!$E790,(IF(ISNUMBER(FIND("Apr",$C$1)),Monthly!$F790,((IF(ISNUMBER(FIND("May",$C$1)),Monthly!$G790,((IF(ISNUMBER(FIND("Jun",$C$1)),Monthly!$H790,(IF(ISNUMBER(FIND("Jul",$C$1)),Monthly!$I790,(IF(ISNUMBER(FIND("Aug",$C$1)),Monthly!$J790,(IF(ISNUMBER(FIND("Sep",$C$1)),Monthly!$K790,(IF(ISNUMBER(FIND("Oct",$C$1)),Monthly!$L790,(IF(ISNUMBER(FIND("Nov",$C$1)),Monthly!$M790,(IF(ISNUMBER(FIND("Dec",$C$1)),Monthly!$N790,))))))))))))))))))))))))))</f>
        <v>0</v>
      </c>
      <c r="Q7" s="1142">
        <f>IF(ISNUMBER(FIND("Jan",$C$1)),Monthly!$C713,(IF(ISNUMBER(FIND("Feb",$C$1)),Monthly!$D713,((IF(ISNUMBER(FIND("Mar",$C$1)),Monthly!$E713,(IF(ISNUMBER(FIND("Apr",$C$1)),Monthly!$F713,((IF(ISNUMBER(FIND("May",$C$1)),Monthly!$G713,((IF(ISNUMBER(FIND("Jun",$C$1)),Monthly!$H713,(IF(ISNUMBER(FIND("Jul",$C$1)),Monthly!$I713,(IF(ISNUMBER(FIND("Aug",$C$1)),Monthly!$J713,(IF(ISNUMBER(FIND("Sep",$C$1)),Monthly!$K713,(IF(ISNUMBER(FIND("Oct",$C$1)),Monthly!$L713,(IF(ISNUMBER(FIND("Nov",$C$1)),Monthly!$M713,(IF(ISNUMBER(FIND("Dec",$C$1)),Monthly!$N713,))))))))))))))))))))))))))</f>
        <v>0</v>
      </c>
      <c r="R7" s="1142"/>
      <c r="S7" s="1142"/>
      <c r="T7" s="1142"/>
      <c r="U7" s="1143">
        <f ca="1">Monthly!O406</f>
        <v>4837.6872622305291</v>
      </c>
      <c r="V7" s="1142">
        <f ca="1">Monthly!O321</f>
        <v>4733.9792995192138</v>
      </c>
      <c r="W7" s="1142"/>
      <c r="X7" s="1144">
        <f t="shared" si="4"/>
        <v>674.58507028834003</v>
      </c>
      <c r="Y7" s="1145">
        <f t="shared" si="5"/>
        <v>9.6369295755477147E-2</v>
      </c>
      <c r="Z7" s="1146"/>
      <c r="AA7" s="1147">
        <f t="shared" si="6"/>
        <v>1006.1209188376228</v>
      </c>
      <c r="AB7" s="1147">
        <f t="shared" si="7"/>
        <v>0</v>
      </c>
    </row>
    <row r="8" spans="1:28" s="147" customFormat="1" ht="13.5">
      <c r="A8" s="1136" t="s">
        <v>448</v>
      </c>
      <c r="B8" s="1137" t="s">
        <v>449</v>
      </c>
      <c r="C8" s="1138">
        <f>IF(ISNUMBER(FIND("Jan",$C$1)),Monthly!$C1795,(IF(ISNUMBER(FIND("Feb",$C$1)),Monthly!$D1795,((IF(ISNUMBER(FIND("Mar",$C$1)),Monthly!$E1795,(IF(ISNUMBER(FIND("Apr",$C$1)),Monthly!$F1795,((IF(ISNUMBER(FIND("May",$C$1)),Monthly!$G1795,((IF(ISNUMBER(FIND("Jun",$C$1)),Monthly!$H1795,(IF(ISNUMBER(FIND("Jul",$C$1)),Monthly!$I1795,(IF(ISNUMBER(FIND("Aug",$C$1)),Monthly!$J1795,(IF(ISNUMBER(FIND("Sep",$C$1)),Monthly!$K1795,(IF(ISNUMBER(FIND("Oct",$C$1)),Monthly!$L1795,(IF(ISNUMBER(FIND("Nov",$C$1)),Monthly!$M1795,(IF(ISNUMBER(FIND("Dec",$C$1)),Monthly!$N1795,))))))))))))))))))))))))))</f>
        <v>0</v>
      </c>
      <c r="D8" s="1139">
        <f>IF(ISNUMBER(FIND("Jan",$C$1)),Monthly!$C1718,(IF(ISNUMBER(FIND("Feb",$C$1)),Monthly!$D1718,((IF(ISNUMBER(FIND("Mar",$C$1)),Monthly!$E1718,(IF(ISNUMBER(FIND("Apr",$C$1)),Monthly!$F1718,((IF(ISNUMBER(FIND("May",$C$1)),Monthly!$G1718,((IF(ISNUMBER(FIND("Jun",$C$1)),Monthly!$H1718,(IF(ISNUMBER(FIND("Jul",$C$1)),Monthly!$I1718,(IF(ISNUMBER(FIND("Aug",$C$1)),Monthly!$J1718,(IF(ISNUMBER(FIND("Sep",$C$1)),Monthly!$K1718,(IF(ISNUMBER(FIND("Oct",$C$1)),Monthly!$L1718,(IF(ISNUMBER(FIND("Nov",$C$1)),Monthly!$M1718,(IF(ISNUMBER(FIND("Dec",$C$1)),Monthly!$N1718,))))))))))))))))))))))))))</f>
        <v>427</v>
      </c>
      <c r="E8" s="1139">
        <f xml:space="preserve">
IF(ISNUMBER(FIND("Jan",$C$1)),Monthly!$C1640,(IF(ISNUMBER(FIND("Feb",$C$1)),Monthly!$D1640,((IF(ISNUMBER(FIND("Mar",$C$1)),Monthly!$E1640,(IF(ISNUMBER(FIND("Apr",$C$1)),Monthly!$F1640,((IF(ISNUMBER(FIND("May",$C$1)),Monthly!$G1640,((IF(ISNUMBER(FIND("Jun",$C$1)),Monthly!$H1640,(IF(ISNUMBER(FIND("Jul",$C$1)),Monthly!$I1640,(IF(ISNUMBER(FIND("Aug",$C$1)),Monthly!$J1640,(IF(ISNUMBER(FIND("Sep",$C$1)),Monthly!$K1640,(IF(ISNUMBER(FIND("Oct",$C$1)),Monthly!$L1640,(IF(ISNUMBER(FIND("Nov",$C$1)),Monthly!$M1640,(IF(ISNUMBER(FIND("Dec",$C$1)),Monthly!$N1640,))))))))))))))))))))))))))</f>
        <v>444</v>
      </c>
      <c r="F8" s="1138">
        <f>IF(ISNUMBER(FIND("Jan",$C$1)),Monthly!$C1562,(IF(ISNUMBER(FIND("Feb",$C$1)),Monthly!$D1562,((IF(ISNUMBER(FIND("Mar",$C$1)),Monthly!$E1562,(IF(ISNUMBER(FIND("Apr",$C$1)),Monthly!$F1562,((IF(ISNUMBER(FIND("May",$C$1)),Monthly!$G1562,((IF(ISNUMBER(FIND("Jun",$C$1)),Monthly!$H1562,(IF(ISNUMBER(FIND("Jul",$C$1)),Monthly!$I1562,(IF(ISNUMBER(FIND("Aug",$C$1)),Monthly!$J1562,(IF(ISNUMBER(FIND("Sep",$C$1)),Monthly!$K1562,(IF(ISNUMBER(FIND("Oct",$C$1)),Monthly!$L1562,(IF(ISNUMBER(FIND("Nov",$C$1)),Monthly!$M1562,(IF(ISNUMBER(FIND("Dec",$C$1)),Monthly!$N1562,))))))))))))))))))))))))))</f>
        <v>630</v>
      </c>
      <c r="G8" s="1139">
        <f>IF(ISNUMBER(FIND("Jan",$C$1)),Monthly!$C1484,(IF(ISNUMBER(FIND("Feb",$C$1)),Monthly!$D1484,((IF(ISNUMBER(FIND("Mar",$C$1)),Monthly!$E1484,(IF(ISNUMBER(FIND("Apr",$C$1)),Monthly!$F1484,((IF(ISNUMBER(FIND("May",$C$1)),Monthly!$G1484,((IF(ISNUMBER(FIND("Jun",$C$1)),Monthly!$H1484,(IF(ISNUMBER(FIND("Jul",$C$1)),Monthly!$I1484,(IF(ISNUMBER(FIND("Aug",$C$1)),Monthly!$J1484,(IF(ISNUMBER(FIND("Sep",$C$1)),Monthly!$K1484,(IF(ISNUMBER(FIND("Oct",$C$1)),Monthly!$L1484,(IF(ISNUMBER(FIND("Nov",$C$1)),Monthly!$M1484,(IF(ISNUMBER(FIND("Dec",$C$1)),Monthly!$N1484,))))))))))))))))))))))))))</f>
        <v>368</v>
      </c>
      <c r="H8" s="1139">
        <f>IF(ISNUMBER(FIND("Jan",$C$1)),Monthly!$C1407,(IF(ISNUMBER(FIND("Feb",$C$1)),Monthly!$D1407,((IF(ISNUMBER(FIND("Mar",$C$1)),Monthly!$E1407,(IF(ISNUMBER(FIND("Apr",$C$1)),Monthly!$F1407,((IF(ISNUMBER(FIND("May",$C$1)),Monthly!$G1407,((IF(ISNUMBER(FIND("Jun",$C$1)),Monthly!$H1407,(IF(ISNUMBER(FIND("Jul",$C$1)),Monthly!$I1407,(IF(ISNUMBER(FIND("Aug",$C$1)),Monthly!$J1407,(IF(ISNUMBER(FIND("Sep",$C$1)),Monthly!$K1407,(IF(ISNUMBER(FIND("Oct",$C$1)),Monthly!$L1407,(IF(ISNUMBER(FIND("Nov",$C$1)),Monthly!$M1407,(IF(ISNUMBER(FIND("Dec",$C$1)),Monthly!$N1407,))))))))))))))))))))))))))</f>
        <v>243.0148841257834</v>
      </c>
      <c r="I8" s="1139">
        <f>IF(ISNUMBER(FIND("Jan",$C$1)),Monthly!$C1330,(IF(ISNUMBER(FIND("Feb",$C$1)),Monthly!$D1330,((IF(ISNUMBER(FIND("Mar",$C$1)),Monthly!$E1330,(IF(ISNUMBER(FIND("Apr",$C$1)),Monthly!$F1330,((IF(ISNUMBER(FIND("May",$C$1)),Monthly!$G1330,((IF(ISNUMBER(FIND("Jun",$C$1)),Monthly!$H1330,(IF(ISNUMBER(FIND("Jul",$C$1)),Monthly!$I1330,(IF(ISNUMBER(FIND("Aug",$C$1)),Monthly!$J1330,(IF(ISNUMBER(FIND("Sep",$C$1)),Monthly!$K1330,(IF(ISNUMBER(FIND("Oct",$C$1)),Monthly!$L1330,(IF(ISNUMBER(FIND("Nov",$C$1)),Monthly!$M1330,(IF(ISNUMBER(FIND("Dec",$C$1)),Monthly!$N1330,))))))))))))))))))))))))))</f>
        <v>353.57561430372255</v>
      </c>
      <c r="J8" s="1138">
        <f>IF(ISNUMBER(FIND("Jan",$C$1)),Monthly!$C1253,(IF(ISNUMBER(FIND("Feb",$C$1)),Monthly!$D1253,((IF(ISNUMBER(FIND("Mar",$C$1)),Monthly!$E1253,(IF(ISNUMBER(FIND("Apr",$C$1)),Monthly!$F1253,((IF(ISNUMBER(FIND("May",$C$1)),Monthly!$G1253,((IF(ISNUMBER(FIND("Jun",$C$1)),Monthly!$H1253,(IF(ISNUMBER(FIND("Jul",$C$1)),Monthly!$I1253,(IF(ISNUMBER(FIND("Aug",$C$1)),Monthly!$J1253,(IF(ISNUMBER(FIND("Sep",$C$1)),Monthly!$K1253,(IF(ISNUMBER(FIND("Oct",$C$1)),Monthly!$L1253,(IF(ISNUMBER(FIND("Nov",$C$1)),Monthly!$M1253,(IF(ISNUMBER(FIND("Dec",$C$1)),Monthly!$N1253,))))))))))))))))))))))))))</f>
        <v>272.44703796978729</v>
      </c>
      <c r="K8" s="1148">
        <f>IF(ISNUMBER(FIND("Jan",$C$1)),Monthly!$C1175,(IF(ISNUMBER(FIND("Feb",$C$1)),Monthly!$D1175,((IF(ISNUMBER(FIND("Mar",$C$1)),Monthly!$E1175,(IF(ISNUMBER(FIND("Apr",$C$1)),Monthly!$F1175,((IF(ISNUMBER(FIND("May",$C$1)),Monthly!$G1175,((IF(ISNUMBER(FIND("Jun",$C$1)),Monthly!$H1175,(IF(ISNUMBER(FIND("Jul",$C$1)),Monthly!$I1175,(IF(ISNUMBER(FIND("Aug",$C$1)),Monthly!$J1175,(IF(ISNUMBER(FIND("Sep",$C$1)),Monthly!$K1175,(IF(ISNUMBER(FIND("Oct",$C$1)),Monthly!$L1175,(IF(ISNUMBER(FIND("Nov",$C$1)),Monthly!$M1175,(IF(ISNUMBER(FIND("Dec",$C$1)),Monthly!$N1175,))))))))))))))))))))))))))</f>
        <v>287.81519245003938</v>
      </c>
      <c r="L8" s="1139">
        <f>IF(ISNUMBER(FIND("Jan",$C$1)),Monthly!$C1098,(IF(ISNUMBER(FIND("Feb",$C$1)),Monthly!$D1098,((IF(ISNUMBER(FIND("Mar",$C$1)),Monthly!$E1098,(IF(ISNUMBER(FIND("Apr",$C$1)),Monthly!$F1098,((IF(ISNUMBER(FIND("May",$C$1)),Monthly!$G1098,((IF(ISNUMBER(FIND("Jun",$C$1)),Monthly!$H1098,(IF(ISNUMBER(FIND("Jul",$C$1)),Monthly!$I1098,(IF(ISNUMBER(FIND("Aug",$C$1)),Monthly!$J1098,(IF(ISNUMBER(FIND("Sep",$C$1)),Monthly!$K1098,(IF(ISNUMBER(FIND("Oct",$C$1)),Monthly!$L1098,(IF(ISNUMBER(FIND("Nov",$C$1)),Monthly!$M1098,(IF(ISNUMBER(FIND("Dec",$C$1)),Monthly!$N1098,))))))))))))))))))))))))))</f>
        <v>304.05023164259717</v>
      </c>
      <c r="M8" s="1139">
        <f>IF(ISNUMBER(FIND("Jan",$C$1)),Monthly!$C1021,(IF(ISNUMBER(FIND("Feb",$C$1)),Monthly!$D1021,((IF(ISNUMBER(FIND("Mar",$C$1)),Monthly!$E1021,(IF(ISNUMBER(FIND("Apr",$C$1)),Monthly!$F1021,((IF(ISNUMBER(FIND("May",$C$1)),Monthly!$G1021,((IF(ISNUMBER(FIND("Jun",$C$1)),Monthly!$H1021,(IF(ISNUMBER(FIND("Jul",$C$1)),Monthly!$I1021,(IF(ISNUMBER(FIND("Aug",$C$1)),Monthly!$J1021,(IF(ISNUMBER(FIND("Sep",$C$1)),Monthly!$K1021,(IF(ISNUMBER(FIND("Oct",$C$1)),Monthly!$L1021,(IF(ISNUMBER(FIND("Nov",$C$1)),Monthly!$M1021,(IF(ISNUMBER(FIND("Dec",$C$1)),Monthly!$N1021,))))))))))))))))))))))))))</f>
        <v>400</v>
      </c>
      <c r="N8" s="1148">
        <f>IF(ISNUMBER(FIND("Jan",$C$1)),Monthly!$C944,(IF(ISNUMBER(FIND("Feb",$C$1)),Monthly!$D944,((IF(ISNUMBER(FIND("Mar",$C$1)),Monthly!$E944,(IF(ISNUMBER(FIND("Apr",$C$1)),Monthly!$F944,((IF(ISNUMBER(FIND("May",$C$1)),Monthly!$G944,((IF(ISNUMBER(FIND("Jun",$C$1)),Monthly!$H944,(IF(ISNUMBER(FIND("Jul",$C$1)),Monthly!$I944,(IF(ISNUMBER(FIND("Aug",$C$1)),Monthly!$J944,(IF(ISNUMBER(FIND("Sep",$C$1)),Monthly!$K944,(IF(ISNUMBER(FIND("Oct",$C$1)),Monthly!$L944,(IF(ISNUMBER(FIND("Nov",$C$1)),Monthly!$M944,(IF(ISNUMBER(FIND("Dec",$C$1)),Monthly!$N944,))))))))))))))))))))))))))</f>
        <v>400</v>
      </c>
      <c r="O8" s="1148">
        <f>IF(ISNUMBER(FIND("Jan",$C$1)),Monthly!$C868,(IF(ISNUMBER(FIND("Feb",$C$1)),Monthly!$D868,((IF(ISNUMBER(FIND("Mar",$C$1)),Monthly!$E868,(IF(ISNUMBER(FIND("Apr",$C$1)),Monthly!$F868,((IF(ISNUMBER(FIND("May",$C$1)),Monthly!$G868,((IF(ISNUMBER(FIND("Jun",$C$1)),Monthly!$H868,(IF(ISNUMBER(FIND("Jul",$C$1)),Monthly!$I868,(IF(ISNUMBER(FIND("Aug",$C$1)),Monthly!$J868,(IF(ISNUMBER(FIND("Sep",$C$1)),Monthly!$K868,(IF(ISNUMBER(FIND("Oct",$C$1)),Monthly!$L868,(IF(ISNUMBER(FIND("Nov",$C$1)),Monthly!$M868,(IF(ISNUMBER(FIND("Dec",$C$1)),Monthly!$N868,))))))))))))))))))))))))))</f>
        <v>400</v>
      </c>
      <c r="P8" s="1148">
        <f>IF(ISNUMBER(FIND("Jan",$C$1)),Monthly!$C791,(IF(ISNUMBER(FIND("Feb",$C$1)),Monthly!$D791,((IF(ISNUMBER(FIND("Mar",$C$1)),Monthly!$E791,(IF(ISNUMBER(FIND("Apr",$C$1)),Monthly!$F791,((IF(ISNUMBER(FIND("May",$C$1)),Monthly!$G791,((IF(ISNUMBER(FIND("Jun",$C$1)),Monthly!$H791,(IF(ISNUMBER(FIND("Jul",$C$1)),Monthly!$I791,(IF(ISNUMBER(FIND("Aug",$C$1)),Monthly!$J791,(IF(ISNUMBER(FIND("Sep",$C$1)),Monthly!$K791,(IF(ISNUMBER(FIND("Oct",$C$1)),Monthly!$L791,(IF(ISNUMBER(FIND("Nov",$C$1)),Monthly!$M791,(IF(ISNUMBER(FIND("Dec",$C$1)),Monthly!$N791,))))))))))))))))))))))))))</f>
        <v>0</v>
      </c>
      <c r="Q8" s="1142">
        <f>IF(ISNUMBER(FIND("Jan",$C$1)),Monthly!$C714,(IF(ISNUMBER(FIND("Feb",$C$1)),Monthly!$D714,((IF(ISNUMBER(FIND("Mar",$C$1)),Monthly!$E714,(IF(ISNUMBER(FIND("Apr",$C$1)),Monthly!$F714,((IF(ISNUMBER(FIND("May",$C$1)),Monthly!$G714,((IF(ISNUMBER(FIND("Jun",$C$1)),Monthly!$H714,(IF(ISNUMBER(FIND("Jul",$C$1)),Monthly!$I714,(IF(ISNUMBER(FIND("Aug",$C$1)),Monthly!$J714,(IF(ISNUMBER(FIND("Sep",$C$1)),Monthly!$K714,(IF(ISNUMBER(FIND("Oct",$C$1)),Monthly!$L714,(IF(ISNUMBER(FIND("Nov",$C$1)),Monthly!$M714,(IF(ISNUMBER(FIND("Dec",$C$1)),Monthly!$N714,))))))))))))))))))))))))))</f>
        <v>0</v>
      </c>
      <c r="R8" s="1142"/>
      <c r="S8" s="1142"/>
      <c r="T8" s="1142"/>
      <c r="U8" s="1143">
        <f ca="1">Monthly!O407</f>
        <v>4581.9398049890196</v>
      </c>
      <c r="V8" s="1142">
        <f ca="1">Monthly!O322</f>
        <v>4688.8478484567904</v>
      </c>
      <c r="W8" s="1142"/>
      <c r="X8" s="1144">
        <f t="shared" si="4"/>
        <v>301.99353069946199</v>
      </c>
      <c r="Y8" s="1145">
        <f t="shared" si="5"/>
        <v>4.3141932957065997E-2</v>
      </c>
      <c r="Z8" s="1146"/>
      <c r="AA8" s="1147">
        <f t="shared" si="6"/>
        <v>630</v>
      </c>
      <c r="AB8" s="1147">
        <f t="shared" si="7"/>
        <v>0</v>
      </c>
    </row>
    <row r="9" spans="1:28" s="147" customFormat="1" ht="13.5">
      <c r="A9" s="1136"/>
      <c r="B9" s="1137" t="s">
        <v>450</v>
      </c>
      <c r="C9" s="1138">
        <f>IF(ISNUMBER(FIND("Jan",$C$1)),Monthly!$C1796,(IF(ISNUMBER(FIND("Feb",$C$1)),Monthly!$D1796,((IF(ISNUMBER(FIND("Mar",$C$1)),Monthly!$E1796,(IF(ISNUMBER(FIND("Apr",$C$1)),Monthly!$F1796,((IF(ISNUMBER(FIND("May",$C$1)),Monthly!$G1796,((IF(ISNUMBER(FIND("Jun",$C$1)),Monthly!$H1796,(IF(ISNUMBER(FIND("Jul",$C$1)),Monthly!$I1796,(IF(ISNUMBER(FIND("Aug",$C$1)),Monthly!$J1796,(IF(ISNUMBER(FIND("Sep",$C$1)),Monthly!$K1796,(IF(ISNUMBER(FIND("Oct",$C$1)),Monthly!$L1796,(IF(ISNUMBER(FIND("Nov",$C$1)),Monthly!$M1796,(IF(ISNUMBER(FIND("Dec",$C$1)),Monthly!$N1796,))))))))))))))))))))))))))</f>
        <v>0</v>
      </c>
      <c r="D9" s="1139">
        <f>IF(ISNUMBER(FIND("Jan",$C$1)),Monthly!$C1719,(IF(ISNUMBER(FIND("Feb",$C$1)),Monthly!$D1719,((IF(ISNUMBER(FIND("Mar",$C$1)),Monthly!$E1719,(IF(ISNUMBER(FIND("Apr",$C$1)),Monthly!$F1719,((IF(ISNUMBER(FIND("May",$C$1)),Monthly!$G1719,((IF(ISNUMBER(FIND("Jun",$C$1)),Monthly!$H1719,(IF(ISNUMBER(FIND("Jul",$C$1)),Monthly!$I1719,(IF(ISNUMBER(FIND("Aug",$C$1)),Monthly!$J1719,(IF(ISNUMBER(FIND("Sep",$C$1)),Monthly!$K1719,(IF(ISNUMBER(FIND("Oct",$C$1)),Monthly!$L1719,(IF(ISNUMBER(FIND("Nov",$C$1)),Monthly!$M1719,(IF(ISNUMBER(FIND("Dec",$C$1)),Monthly!$N1719,))))))))))))))))))))))))))</f>
        <v>0</v>
      </c>
      <c r="E9" s="1139">
        <f xml:space="preserve">
IF(ISNUMBER(FIND("Jan",$C$1)),Monthly!$C1641,(IF(ISNUMBER(FIND("Feb",$C$1)),Monthly!$D1641,((IF(ISNUMBER(FIND("Mar",$C$1)),Monthly!$E1641,(IF(ISNUMBER(FIND("Apr",$C$1)),Monthly!$F1641,((IF(ISNUMBER(FIND("May",$C$1)),Monthly!$G1641,((IF(ISNUMBER(FIND("Jun",$C$1)),Monthly!$H1641,(IF(ISNUMBER(FIND("Jul",$C$1)),Monthly!$I1641,(IF(ISNUMBER(FIND("Aug",$C$1)),Monthly!$J1641,(IF(ISNUMBER(FIND("Sep",$C$1)),Monthly!$K1641,(IF(ISNUMBER(FIND("Oct",$C$1)),Monthly!$L1641,(IF(ISNUMBER(FIND("Nov",$C$1)),Monthly!$M1641,(IF(ISNUMBER(FIND("Dec",$C$1)),Monthly!$N1641,))))))))))))))))))))))))))</f>
        <v>0</v>
      </c>
      <c r="F9" s="1138">
        <f>IF(ISNUMBER(FIND("Jan",$C$1)),Monthly!$C1563,(IF(ISNUMBER(FIND("Feb",$C$1)),Monthly!$D1563,((IF(ISNUMBER(FIND("Mar",$C$1)),Monthly!$E1563,(IF(ISNUMBER(FIND("Apr",$C$1)),Monthly!$F1563,((IF(ISNUMBER(FIND("May",$C$1)),Monthly!$G1563,((IF(ISNUMBER(FIND("Jun",$C$1)),Monthly!$H1563,(IF(ISNUMBER(FIND("Jul",$C$1)),Monthly!$I1563,(IF(ISNUMBER(FIND("Aug",$C$1)),Monthly!$J1563,(IF(ISNUMBER(FIND("Sep",$C$1)),Monthly!$K1563,(IF(ISNUMBER(FIND("Oct",$C$1)),Monthly!$L1563,(IF(ISNUMBER(FIND("Nov",$C$1)),Monthly!$M1563,(IF(ISNUMBER(FIND("Dec",$C$1)),Monthly!$N1563,))))))))))))))))))))))))))</f>
        <v>0</v>
      </c>
      <c r="G9" s="1139">
        <f>IF(ISNUMBER(FIND("Jan",$C$1)),Monthly!$C1485,(IF(ISNUMBER(FIND("Feb",$C$1)),Monthly!$D1485,((IF(ISNUMBER(FIND("Mar",$C$1)),Monthly!$E1485,(IF(ISNUMBER(FIND("Apr",$C$1)),Monthly!$F1485,((IF(ISNUMBER(FIND("May",$C$1)),Monthly!$G1485,((IF(ISNUMBER(FIND("Jun",$C$1)),Monthly!$H1485,(IF(ISNUMBER(FIND("Jul",$C$1)),Monthly!$I1485,(IF(ISNUMBER(FIND("Aug",$C$1)),Monthly!$J1485,(IF(ISNUMBER(FIND("Sep",$C$1)),Monthly!$K1485,(IF(ISNUMBER(FIND("Oct",$C$1)),Monthly!$L1485,(IF(ISNUMBER(FIND("Nov",$C$1)),Monthly!$M1485,(IF(ISNUMBER(FIND("Dec",$C$1)),Monthly!$N1485,))))))))))))))))))))))))))</f>
        <v>0</v>
      </c>
      <c r="H9" s="1139">
        <f>IF(ISNUMBER(FIND("Jan",$C$1)),Monthly!$C1408,(IF(ISNUMBER(FIND("Feb",$C$1)),Monthly!$D1408,((IF(ISNUMBER(FIND("Mar",$C$1)),Monthly!$E1408,(IF(ISNUMBER(FIND("Apr",$C$1)),Monthly!$F1408,((IF(ISNUMBER(FIND("May",$C$1)),Monthly!$G1408,((IF(ISNUMBER(FIND("Jun",$C$1)),Monthly!$H1408,(IF(ISNUMBER(FIND("Jul",$C$1)),Monthly!$I1408,(IF(ISNUMBER(FIND("Aug",$C$1)),Monthly!$J1408,(IF(ISNUMBER(FIND("Sep",$C$1)),Monthly!$K1408,(IF(ISNUMBER(FIND("Oct",$C$1)),Monthly!$L1408,(IF(ISNUMBER(FIND("Nov",$C$1)),Monthly!$M1408,(IF(ISNUMBER(FIND("Dec",$C$1)),Monthly!$N1408,))))))))))))))))))))))))))</f>
        <v>0</v>
      </c>
      <c r="I9" s="1139">
        <f>IF(ISNUMBER(FIND("Jan",$C$1)),Monthly!$C1331,(IF(ISNUMBER(FIND("Feb",$C$1)),Monthly!$D1331,((IF(ISNUMBER(FIND("Mar",$C$1)),Monthly!$E1331,(IF(ISNUMBER(FIND("Apr",$C$1)),Monthly!$F1331,((IF(ISNUMBER(FIND("May",$C$1)),Monthly!$G1331,((IF(ISNUMBER(FIND("Jun",$C$1)),Monthly!$H1331,(IF(ISNUMBER(FIND("Jul",$C$1)),Monthly!$I1331,(IF(ISNUMBER(FIND("Aug",$C$1)),Monthly!$J1331,(IF(ISNUMBER(FIND("Sep",$C$1)),Monthly!$K1331,(IF(ISNUMBER(FIND("Oct",$C$1)),Monthly!$L1331,(IF(ISNUMBER(FIND("Nov",$C$1)),Monthly!$M1331,(IF(ISNUMBER(FIND("Dec",$C$1)),Monthly!$N1331,))))))))))))))))))))))))))</f>
        <v>0</v>
      </c>
      <c r="J9" s="1138">
        <f>IF(ISNUMBER(FIND("Jan",$C$1)),Monthly!$C1254,(IF(ISNUMBER(FIND("Feb",$C$1)),Monthly!$D1254,((IF(ISNUMBER(FIND("Mar",$C$1)),Monthly!$E1254,(IF(ISNUMBER(FIND("Apr",$C$1)),Monthly!$F1254,((IF(ISNUMBER(FIND("May",$C$1)),Monthly!$G1254,((IF(ISNUMBER(FIND("Jun",$C$1)),Monthly!$H1254,(IF(ISNUMBER(FIND("Jul",$C$1)),Monthly!$I1254,(IF(ISNUMBER(FIND("Aug",$C$1)),Monthly!$J1254,(IF(ISNUMBER(FIND("Sep",$C$1)),Monthly!$K1254,(IF(ISNUMBER(FIND("Oct",$C$1)),Monthly!$L1254,(IF(ISNUMBER(FIND("Nov",$C$1)),Monthly!$M1254,(IF(ISNUMBER(FIND("Dec",$C$1)),Monthly!$N1254,))))))))))))))))))))))))))</f>
        <v>0</v>
      </c>
      <c r="K9" s="1148">
        <f>IF(ISNUMBER(FIND("Jan",$C$1)),Monthly!$C1176,(IF(ISNUMBER(FIND("Feb",$C$1)),Monthly!$D1176,((IF(ISNUMBER(FIND("Mar",$C$1)),Monthly!$E1176,(IF(ISNUMBER(FIND("Apr",$C$1)),Monthly!$F1176,((IF(ISNUMBER(FIND("May",$C$1)),Monthly!$G1176,((IF(ISNUMBER(FIND("Jun",$C$1)),Monthly!$H1176,(IF(ISNUMBER(FIND("Jul",$C$1)),Monthly!$I1176,(IF(ISNUMBER(FIND("Aug",$C$1)),Monthly!$J1176,(IF(ISNUMBER(FIND("Sep",$C$1)),Monthly!$K1176,(IF(ISNUMBER(FIND("Oct",$C$1)),Monthly!$L1176,(IF(ISNUMBER(FIND("Nov",$C$1)),Monthly!$M1176,(IF(ISNUMBER(FIND("Dec",$C$1)),Monthly!$N1176,))))))))))))))))))))))))))</f>
        <v>0</v>
      </c>
      <c r="L9" s="1139">
        <f>IF(ISNUMBER(FIND("Jan",$C$1)),Monthly!$C1099,(IF(ISNUMBER(FIND("Feb",$C$1)),Monthly!$D1099,((IF(ISNUMBER(FIND("Mar",$C$1)),Monthly!$E1099,(IF(ISNUMBER(FIND("Apr",$C$1)),Monthly!$F1099,((IF(ISNUMBER(FIND("May",$C$1)),Monthly!$G1099,((IF(ISNUMBER(FIND("Jun",$C$1)),Monthly!$H1099,(IF(ISNUMBER(FIND("Jul",$C$1)),Monthly!$I1099,(IF(ISNUMBER(FIND("Aug",$C$1)),Monthly!$J1099,(IF(ISNUMBER(FIND("Sep",$C$1)),Monthly!$K1099,(IF(ISNUMBER(FIND("Oct",$C$1)),Monthly!$L1099,(IF(ISNUMBER(FIND("Nov",$C$1)),Monthly!$M1099,(IF(ISNUMBER(FIND("Dec",$C$1)),Monthly!$N1099,))))))))))))))))))))))))))</f>
        <v>0</v>
      </c>
      <c r="M9" s="1139">
        <f>IF(ISNUMBER(FIND("Jan",$C$1)),Monthly!$C1022,(IF(ISNUMBER(FIND("Feb",$C$1)),Monthly!$D1022,((IF(ISNUMBER(FIND("Mar",$C$1)),Monthly!$E1022,(IF(ISNUMBER(FIND("Apr",$C$1)),Monthly!$F1022,((IF(ISNUMBER(FIND("May",$C$1)),Monthly!$G1022,((IF(ISNUMBER(FIND("Jun",$C$1)),Monthly!$H1022,(IF(ISNUMBER(FIND("Jul",$C$1)),Monthly!$I1022,(IF(ISNUMBER(FIND("Aug",$C$1)),Monthly!$J1022,(IF(ISNUMBER(FIND("Sep",$C$1)),Monthly!$K1022,(IF(ISNUMBER(FIND("Oct",$C$1)),Monthly!$L1022,(IF(ISNUMBER(FIND("Nov",$C$1)),Monthly!$M1022,(IF(ISNUMBER(FIND("Dec",$C$1)),Monthly!$N1022,))))))))))))))))))))))))))</f>
        <v>0</v>
      </c>
      <c r="N9" s="1148">
        <f>IF(ISNUMBER(FIND("Jan",$C$1)),Monthly!$C945,(IF(ISNUMBER(FIND("Feb",$C$1)),Monthly!$D945,((IF(ISNUMBER(FIND("Mar",$C$1)),Monthly!$E945,(IF(ISNUMBER(FIND("Apr",$C$1)),Monthly!$F945,((IF(ISNUMBER(FIND("May",$C$1)),Monthly!$G945,((IF(ISNUMBER(FIND("Jun",$C$1)),Monthly!$H945,(IF(ISNUMBER(FIND("Jul",$C$1)),Monthly!$I945,(IF(ISNUMBER(FIND("Aug",$C$1)),Monthly!$J945,(IF(ISNUMBER(FIND("Sep",$C$1)),Monthly!$K945,(IF(ISNUMBER(FIND("Oct",$C$1)),Monthly!$L945,(IF(ISNUMBER(FIND("Nov",$C$1)),Monthly!$M945,(IF(ISNUMBER(FIND("Dec",$C$1)),Monthly!$N945,))))))))))))))))))))))))))</f>
        <v>0</v>
      </c>
      <c r="O9" s="1148">
        <f>IF(ISNUMBER(FIND("Jan",$C$1)),Monthly!$C869,(IF(ISNUMBER(FIND("Feb",$C$1)),Monthly!$D869,((IF(ISNUMBER(FIND("Mar",$C$1)),Monthly!$E869,(IF(ISNUMBER(FIND("Apr",$C$1)),Monthly!$F869,((IF(ISNUMBER(FIND("May",$C$1)),Monthly!$G869,((IF(ISNUMBER(FIND("Jun",$C$1)),Monthly!$H869,(IF(ISNUMBER(FIND("Jul",$C$1)),Monthly!$I869,(IF(ISNUMBER(FIND("Aug",$C$1)),Monthly!$J869,(IF(ISNUMBER(FIND("Sep",$C$1)),Monthly!$K869,(IF(ISNUMBER(FIND("Oct",$C$1)),Monthly!$L869,(IF(ISNUMBER(FIND("Nov",$C$1)),Monthly!$M869,(IF(ISNUMBER(FIND("Dec",$C$1)),Monthly!$N869,))))))))))))))))))))))))))</f>
        <v>0</v>
      </c>
      <c r="P9" s="1148">
        <f>IF(ISNUMBER(FIND("Jan",$C$1)),Monthly!$C792,(IF(ISNUMBER(FIND("Feb",$C$1)),Monthly!$D792,((IF(ISNUMBER(FIND("Mar",$C$1)),Monthly!$E792,(IF(ISNUMBER(FIND("Apr",$C$1)),Monthly!$F792,((IF(ISNUMBER(FIND("May",$C$1)),Monthly!$G792,((IF(ISNUMBER(FIND("Jun",$C$1)),Monthly!$H792,(IF(ISNUMBER(FIND("Jul",$C$1)),Monthly!$I792,(IF(ISNUMBER(FIND("Aug",$C$1)),Monthly!$J792,(IF(ISNUMBER(FIND("Sep",$C$1)),Monthly!$K792,(IF(ISNUMBER(FIND("Oct",$C$1)),Monthly!$L792,(IF(ISNUMBER(FIND("Nov",$C$1)),Monthly!$M792,(IF(ISNUMBER(FIND("Dec",$C$1)),Monthly!$N792,))))))))))))))))))))))))))</f>
        <v>0</v>
      </c>
      <c r="Q9" s="1142">
        <f>IF(ISNUMBER(FIND("Jan",$C$1)),Monthly!$C715,(IF(ISNUMBER(FIND("Feb",$C$1)),Monthly!$D715,((IF(ISNUMBER(FIND("Mar",$C$1)),Monthly!$E715,(IF(ISNUMBER(FIND("Apr",$C$1)),Monthly!$F715,((IF(ISNUMBER(FIND("May",$C$1)),Monthly!$G715,((IF(ISNUMBER(FIND("Jun",$C$1)),Monthly!$H715,(IF(ISNUMBER(FIND("Jul",$C$1)),Monthly!$I715,(IF(ISNUMBER(FIND("Aug",$C$1)),Monthly!$J715,(IF(ISNUMBER(FIND("Sep",$C$1)),Monthly!$K715,(IF(ISNUMBER(FIND("Oct",$C$1)),Monthly!$L715,(IF(ISNUMBER(FIND("Nov",$C$1)),Monthly!$M715,(IF(ISNUMBER(FIND("Dec",$C$1)),Monthly!$N715,))))))))))))))))))))))))))</f>
        <v>0</v>
      </c>
      <c r="R9" s="1142"/>
      <c r="S9" s="1142"/>
      <c r="T9" s="1142"/>
      <c r="U9" s="1143">
        <f>Monthly!O408</f>
        <v>0</v>
      </c>
      <c r="V9" s="1142">
        <f>Monthly!O323</f>
        <v>0</v>
      </c>
      <c r="W9" s="1142"/>
      <c r="X9" s="1144">
        <f t="shared" si="4"/>
        <v>0</v>
      </c>
      <c r="Y9" s="1145">
        <f t="shared" si="5"/>
        <v>0</v>
      </c>
      <c r="Z9" s="1146"/>
      <c r="AA9" s="1147">
        <f t="shared" si="6"/>
        <v>0</v>
      </c>
      <c r="AB9" s="1147">
        <f t="shared" si="7"/>
        <v>0</v>
      </c>
    </row>
    <row r="10" spans="1:28" s="147" customFormat="1" ht="13.5">
      <c r="A10" s="1136"/>
      <c r="B10" s="1137" t="s">
        <v>451</v>
      </c>
      <c r="C10" s="1138">
        <f>IF(ISNUMBER(FIND("Jan",$C$1)),Monthly!$C1797,(IF(ISNUMBER(FIND("Feb",$C$1)),Monthly!$D1797,((IF(ISNUMBER(FIND("Mar",$C$1)),Monthly!$E1797,(IF(ISNUMBER(FIND("Apr",$C$1)),Monthly!$F1797,((IF(ISNUMBER(FIND("May",$C$1)),Monthly!$G1797,((IF(ISNUMBER(FIND("Jun",$C$1)),Monthly!$H1797,(IF(ISNUMBER(FIND("Jul",$C$1)),Monthly!$I1797,(IF(ISNUMBER(FIND("Aug",$C$1)),Monthly!$J1797,(IF(ISNUMBER(FIND("Sep",$C$1)),Monthly!$K1797,(IF(ISNUMBER(FIND("Oct",$C$1)),Monthly!$L1797,(IF(ISNUMBER(FIND("Nov",$C$1)),Monthly!$M1797,(IF(ISNUMBER(FIND("Dec",$C$1)),Monthly!$N1797,))))))))))))))))))))))))))</f>
        <v>0</v>
      </c>
      <c r="D10" s="1139">
        <f>IF(ISNUMBER(FIND("Jan",$C$1)),Monthly!$C1720,(IF(ISNUMBER(FIND("Feb",$C$1)),Monthly!$D1720,((IF(ISNUMBER(FIND("Mar",$C$1)),Monthly!$E1720,(IF(ISNUMBER(FIND("Apr",$C$1)),Monthly!$F1720,((IF(ISNUMBER(FIND("May",$C$1)),Monthly!$G1720,((IF(ISNUMBER(FIND("Jun",$C$1)),Monthly!$H1720,(IF(ISNUMBER(FIND("Jul",$C$1)),Monthly!$I1720,(IF(ISNUMBER(FIND("Aug",$C$1)),Monthly!$J1720,(IF(ISNUMBER(FIND("Sep",$C$1)),Monthly!$K1720,(IF(ISNUMBER(FIND("Oct",$C$1)),Monthly!$L1720,(IF(ISNUMBER(FIND("Nov",$C$1)),Monthly!$M1720,(IF(ISNUMBER(FIND("Dec",$C$1)),Monthly!$N1720,))))))))))))))))))))))))))</f>
        <v>298</v>
      </c>
      <c r="E10" s="1139">
        <f xml:space="preserve">
IF(ISNUMBER(FIND("Jan",$C$1)),Monthly!$C1642,(IF(ISNUMBER(FIND("Feb",$C$1)),Monthly!$D1642,((IF(ISNUMBER(FIND("Mar",$C$1)),Monthly!$E1642,(IF(ISNUMBER(FIND("Apr",$C$1)),Monthly!$F1642,((IF(ISNUMBER(FIND("May",$C$1)),Monthly!$G1642,((IF(ISNUMBER(FIND("Jun",$C$1)),Monthly!$H1642,(IF(ISNUMBER(FIND("Jul",$C$1)),Monthly!$I1642,(IF(ISNUMBER(FIND("Aug",$C$1)),Monthly!$J1642,(IF(ISNUMBER(FIND("Sep",$C$1)),Monthly!$K1642,(IF(ISNUMBER(FIND("Oct",$C$1)),Monthly!$L1642,(IF(ISNUMBER(FIND("Nov",$C$1)),Monthly!$M1642,(IF(ISNUMBER(FIND("Dec",$C$1)),Monthly!$N1642,))))))))))))))))))))))))))</f>
        <v>273</v>
      </c>
      <c r="F10" s="1138">
        <f>IF(ISNUMBER(FIND("Jan",$C$1)),Monthly!$C1564,(IF(ISNUMBER(FIND("Feb",$C$1)),Monthly!$D1564,((IF(ISNUMBER(FIND("Mar",$C$1)),Monthly!$E1564,(IF(ISNUMBER(FIND("Apr",$C$1)),Monthly!$F1564,((IF(ISNUMBER(FIND("May",$C$1)),Monthly!$G1564,((IF(ISNUMBER(FIND("Jun",$C$1)),Monthly!$H1564,(IF(ISNUMBER(FIND("Jul",$C$1)),Monthly!$I1564,(IF(ISNUMBER(FIND("Aug",$C$1)),Monthly!$J1564,(IF(ISNUMBER(FIND("Sep",$C$1)),Monthly!$K1564,(IF(ISNUMBER(FIND("Oct",$C$1)),Monthly!$L1564,(IF(ISNUMBER(FIND("Nov",$C$1)),Monthly!$M1564,(IF(ISNUMBER(FIND("Dec",$C$1)),Monthly!$N1564,))))))))))))))))))))))))))</f>
        <v>248</v>
      </c>
      <c r="G10" s="1139">
        <f>IF(ISNUMBER(FIND("Jan",$C$1)),Monthly!$C1486,(IF(ISNUMBER(FIND("Feb",$C$1)),Monthly!$D1486,((IF(ISNUMBER(FIND("Mar",$C$1)),Monthly!$E1486,(IF(ISNUMBER(FIND("Apr",$C$1)),Monthly!$F1486,((IF(ISNUMBER(FIND("May",$C$1)),Monthly!$G1486,((IF(ISNUMBER(FIND("Jun",$C$1)),Monthly!$H1486,(IF(ISNUMBER(FIND("Jul",$C$1)),Monthly!$I1486,(IF(ISNUMBER(FIND("Aug",$C$1)),Monthly!$J1486,(IF(ISNUMBER(FIND("Sep",$C$1)),Monthly!$K1486,(IF(ISNUMBER(FIND("Oct",$C$1)),Monthly!$L1486,(IF(ISNUMBER(FIND("Nov",$C$1)),Monthly!$M1486,(IF(ISNUMBER(FIND("Dec",$C$1)),Monthly!$N1486,))))))))))))))))))))))))))</f>
        <v>222</v>
      </c>
      <c r="H10" s="1139">
        <f>IF(ISNUMBER(FIND("Jan",$C$1)),Monthly!$C1409,(IF(ISNUMBER(FIND("Feb",$C$1)),Monthly!$D1409,((IF(ISNUMBER(FIND("Mar",$C$1)),Monthly!$E1409,(IF(ISNUMBER(FIND("Apr",$C$1)),Monthly!$F1409,((IF(ISNUMBER(FIND("May",$C$1)),Monthly!$G1409,((IF(ISNUMBER(FIND("Jun",$C$1)),Monthly!$H1409,(IF(ISNUMBER(FIND("Jul",$C$1)),Monthly!$I1409,(IF(ISNUMBER(FIND("Aug",$C$1)),Monthly!$J1409,(IF(ISNUMBER(FIND("Sep",$C$1)),Monthly!$K1409,(IF(ISNUMBER(FIND("Oct",$C$1)),Monthly!$L1409,(IF(ISNUMBER(FIND("Nov",$C$1)),Monthly!$M1409,(IF(ISNUMBER(FIND("Dec",$C$1)),Monthly!$N1409,))))))))))))))))))))))))))</f>
        <v>188.30149913524119</v>
      </c>
      <c r="I10" s="1139">
        <f>IF(ISNUMBER(FIND("Jan",$C$1)),Monthly!$C1332,(IF(ISNUMBER(FIND("Feb",$C$1)),Monthly!$D1332,((IF(ISNUMBER(FIND("Mar",$C$1)),Monthly!$E1332,(IF(ISNUMBER(FIND("Apr",$C$1)),Monthly!$F1332,((IF(ISNUMBER(FIND("May",$C$1)),Monthly!$G1332,((IF(ISNUMBER(FIND("Jun",$C$1)),Monthly!$H1332,(IF(ISNUMBER(FIND("Jul",$C$1)),Monthly!$I1332,(IF(ISNUMBER(FIND("Aug",$C$1)),Monthly!$J1332,(IF(ISNUMBER(FIND("Sep",$C$1)),Monthly!$K1332,(IF(ISNUMBER(FIND("Oct",$C$1)),Monthly!$L1332,(IF(ISNUMBER(FIND("Nov",$C$1)),Monthly!$M1332,(IF(ISNUMBER(FIND("Dec",$C$1)),Monthly!$N1332,))))))))))))))))))))))))))</f>
        <v>170.36691387889127</v>
      </c>
      <c r="J10" s="1138">
        <f>IF(ISNUMBER(FIND("Jan",$C$1)),Monthly!$C1255,(IF(ISNUMBER(FIND("Feb",$C$1)),Monthly!$D1255,((IF(ISNUMBER(FIND("Mar",$C$1)),Monthly!$E1255,(IF(ISNUMBER(FIND("Apr",$C$1)),Monthly!$F1255,((IF(ISNUMBER(FIND("May",$C$1)),Monthly!$G1255,((IF(ISNUMBER(FIND("Jun",$C$1)),Monthly!$H1255,(IF(ISNUMBER(FIND("Jul",$C$1)),Monthly!$I1255,(IF(ISNUMBER(FIND("Aug",$C$1)),Monthly!$J1255,(IF(ISNUMBER(FIND("Sep",$C$1)),Monthly!$K1255,(IF(ISNUMBER(FIND("Oct",$C$1)),Monthly!$L1255,(IF(ISNUMBER(FIND("Nov",$C$1)),Monthly!$M1255,(IF(ISNUMBER(FIND("Dec",$C$1)),Monthly!$N1255,))))))))))))))))))))))))))</f>
        <v>149.64642673248147</v>
      </c>
      <c r="K10" s="1148">
        <f>IF(ISNUMBER(FIND("Jan",$C$1)),Monthly!$C1177,(IF(ISNUMBER(FIND("Feb",$C$1)),Monthly!$D1177,((IF(ISNUMBER(FIND("Mar",$C$1)),Monthly!$E1177,(IF(ISNUMBER(FIND("Apr",$C$1)),Monthly!$F1177,((IF(ISNUMBER(FIND("May",$C$1)),Monthly!$G1177,((IF(ISNUMBER(FIND("Jun",$C$1)),Monthly!$H1177,(IF(ISNUMBER(FIND("Jul",$C$1)),Monthly!$I1177,(IF(ISNUMBER(FIND("Aug",$C$1)),Monthly!$J1177,(IF(ISNUMBER(FIND("Sep",$C$1)),Monthly!$K1177,(IF(ISNUMBER(FIND("Oct",$C$1)),Monthly!$L1177,(IF(ISNUMBER(FIND("Nov",$C$1)),Monthly!$M1177,(IF(ISNUMBER(FIND("Dec",$C$1)),Monthly!$N1177,))))))))))))))))))))))))))</f>
        <v>127.64794527811466</v>
      </c>
      <c r="L10" s="1139">
        <f>IF(ISNUMBER(FIND("Jan",$C$1)),Monthly!$C1100,(IF(ISNUMBER(FIND("Feb",$C$1)),Monthly!$D1100,((IF(ISNUMBER(FIND("Mar",$C$1)),Monthly!$E1100,(IF(ISNUMBER(FIND("Apr",$C$1)),Monthly!$F1100,((IF(ISNUMBER(FIND("May",$C$1)),Monthly!$G1100,((IF(ISNUMBER(FIND("Jun",$C$1)),Monthly!$H1100,(IF(ISNUMBER(FIND("Jul",$C$1)),Monthly!$I1100,(IF(ISNUMBER(FIND("Aug",$C$1)),Monthly!$J1100,(IF(ISNUMBER(FIND("Sep",$C$1)),Monthly!$K1100,(IF(ISNUMBER(FIND("Oct",$C$1)),Monthly!$L1100,(IF(ISNUMBER(FIND("Nov",$C$1)),Monthly!$M1100,(IF(ISNUMBER(FIND("Dec",$C$1)),Monthly!$N1100,))))))))))))))))))))))))))</f>
        <v>104.29264562330069</v>
      </c>
      <c r="M10" s="1139">
        <f>IF(ISNUMBER(FIND("Jan",$C$1)),Monthly!$C1023,(IF(ISNUMBER(FIND("Feb",$C$1)),Monthly!$D1023,((IF(ISNUMBER(FIND("Mar",$C$1)),Monthly!$E1023,(IF(ISNUMBER(FIND("Apr",$C$1)),Monthly!$F1023,((IF(ISNUMBER(FIND("May",$C$1)),Monthly!$G1023,((IF(ISNUMBER(FIND("Jun",$C$1)),Monthly!$H1023,(IF(ISNUMBER(FIND("Jul",$C$1)),Monthly!$I1023,(IF(ISNUMBER(FIND("Aug",$C$1)),Monthly!$J1023,(IF(ISNUMBER(FIND("Sep",$C$1)),Monthly!$K1023,(IF(ISNUMBER(FIND("Oct",$C$1)),Monthly!$L1023,(IF(ISNUMBER(FIND("Nov",$C$1)),Monthly!$M1023,(IF(ISNUMBER(FIND("Dec",$C$1)),Monthly!$N1023,))))))))))))))))))))))))))</f>
        <v>0</v>
      </c>
      <c r="N10" s="1148">
        <f>IF(ISNUMBER(FIND("Jan",$C$1)),Monthly!$C946,(IF(ISNUMBER(FIND("Feb",$C$1)),Monthly!$D946,((IF(ISNUMBER(FIND("Mar",$C$1)),Monthly!$E946,(IF(ISNUMBER(FIND("Apr",$C$1)),Monthly!$F946,((IF(ISNUMBER(FIND("May",$C$1)),Monthly!$G946,((IF(ISNUMBER(FIND("Jun",$C$1)),Monthly!$H946,(IF(ISNUMBER(FIND("Jul",$C$1)),Monthly!$I946,(IF(ISNUMBER(FIND("Aug",$C$1)),Monthly!$J946,(IF(ISNUMBER(FIND("Sep",$C$1)),Monthly!$K946,(IF(ISNUMBER(FIND("Oct",$C$1)),Monthly!$L946,(IF(ISNUMBER(FIND("Nov",$C$1)),Monthly!$M946,(IF(ISNUMBER(FIND("Dec",$C$1)),Monthly!$N946,))))))))))))))))))))))))))</f>
        <v>0</v>
      </c>
      <c r="O10" s="1148">
        <f>IF(ISNUMBER(FIND("Jan",$C$1)),Monthly!$C870,(IF(ISNUMBER(FIND("Feb",$C$1)),Monthly!$D870,((IF(ISNUMBER(FIND("Mar",$C$1)),Monthly!$E870,(IF(ISNUMBER(FIND("Apr",$C$1)),Monthly!$F870,((IF(ISNUMBER(FIND("May",$C$1)),Monthly!$G870,((IF(ISNUMBER(FIND("Jun",$C$1)),Monthly!$H870,(IF(ISNUMBER(FIND("Jul",$C$1)),Monthly!$I870,(IF(ISNUMBER(FIND("Aug",$C$1)),Monthly!$J870,(IF(ISNUMBER(FIND("Sep",$C$1)),Monthly!$K870,(IF(ISNUMBER(FIND("Oct",$C$1)),Monthly!$L870,(IF(ISNUMBER(FIND("Nov",$C$1)),Monthly!$M870,(IF(ISNUMBER(FIND("Dec",$C$1)),Monthly!$N870,))))))))))))))))))))))))))</f>
        <v>0</v>
      </c>
      <c r="P10" s="1148">
        <f>IF(ISNUMBER(FIND("Jan",$C$1)),Monthly!$C793,(IF(ISNUMBER(FIND("Feb",$C$1)),Monthly!$D793,((IF(ISNUMBER(FIND("Mar",$C$1)),Monthly!$E793,(IF(ISNUMBER(FIND("Apr",$C$1)),Monthly!$F793,((IF(ISNUMBER(FIND("May",$C$1)),Monthly!$G793,((IF(ISNUMBER(FIND("Jun",$C$1)),Monthly!$H793,(IF(ISNUMBER(FIND("Jul",$C$1)),Monthly!$I793,(IF(ISNUMBER(FIND("Aug",$C$1)),Monthly!$J793,(IF(ISNUMBER(FIND("Sep",$C$1)),Monthly!$K793,(IF(ISNUMBER(FIND("Oct",$C$1)),Monthly!$L793,(IF(ISNUMBER(FIND("Nov",$C$1)),Monthly!$M793,(IF(ISNUMBER(FIND("Dec",$C$1)),Monthly!$N793,))))))))))))))))))))))))))</f>
        <v>0</v>
      </c>
      <c r="Q10" s="1142">
        <f>IF(ISNUMBER(FIND("Jan",$C$1)),Monthly!$C716,(IF(ISNUMBER(FIND("Feb",$C$1)),Monthly!$D716,((IF(ISNUMBER(FIND("Mar",$C$1)),Monthly!$E716,(IF(ISNUMBER(FIND("Apr",$C$1)),Monthly!$F716,((IF(ISNUMBER(FIND("May",$C$1)),Monthly!$G716,((IF(ISNUMBER(FIND("Jun",$C$1)),Monthly!$H716,(IF(ISNUMBER(FIND("Jul",$C$1)),Monthly!$I716,(IF(ISNUMBER(FIND("Aug",$C$1)),Monthly!$J716,(IF(ISNUMBER(FIND("Sep",$C$1)),Monthly!$K716,(IF(ISNUMBER(FIND("Oct",$C$1)),Monthly!$L716,(IF(ISNUMBER(FIND("Nov",$C$1)),Monthly!$M716,(IF(ISNUMBER(FIND("Dec",$C$1)),Monthly!$N716,))))))))))))))))))))))))))</f>
        <v>0</v>
      </c>
      <c r="R10" s="1142"/>
      <c r="S10" s="1142"/>
      <c r="T10" s="1142"/>
      <c r="U10" s="1143">
        <f>Monthly!O409</f>
        <v>0</v>
      </c>
      <c r="V10" s="1142">
        <f>Monthly!O324</f>
        <v>0</v>
      </c>
      <c r="W10" s="1142"/>
      <c r="X10" s="1144">
        <f t="shared" si="4"/>
        <v>118.75036204320193</v>
      </c>
      <c r="Y10" s="1145">
        <f t="shared" si="5"/>
        <v>1.6964337434743133E-2</v>
      </c>
      <c r="Z10" s="1146"/>
      <c r="AA10" s="1147">
        <f t="shared" si="6"/>
        <v>298</v>
      </c>
      <c r="AB10" s="1147">
        <f t="shared" si="7"/>
        <v>0</v>
      </c>
    </row>
    <row r="11" spans="1:28" s="147" customFormat="1" ht="13.5">
      <c r="A11" s="1136"/>
      <c r="B11" s="1137" t="s">
        <v>452</v>
      </c>
      <c r="C11" s="1138">
        <f>IF(ISNUMBER(FIND("Jan",$C$1)),Monthly!$C1798,(IF(ISNUMBER(FIND("Feb",$C$1)),Monthly!$D1798,((IF(ISNUMBER(FIND("Mar",$C$1)),Monthly!$E1798,(IF(ISNUMBER(FIND("Apr",$C$1)),Monthly!$F1798,((IF(ISNUMBER(FIND("May",$C$1)),Monthly!$G1798,((IF(ISNUMBER(FIND("Jun",$C$1)),Monthly!$H1798,(IF(ISNUMBER(FIND("Jul",$C$1)),Monthly!$I1798,(IF(ISNUMBER(FIND("Aug",$C$1)),Monthly!$J1798,(IF(ISNUMBER(FIND("Sep",$C$1)),Monthly!$K1798,(IF(ISNUMBER(FIND("Oct",$C$1)),Monthly!$L1798,(IF(ISNUMBER(FIND("Nov",$C$1)),Monthly!$M1798,(IF(ISNUMBER(FIND("Dec",$C$1)),Monthly!$N1798,))))))))))))))))))))))))))</f>
        <v>0</v>
      </c>
      <c r="D11" s="1139">
        <f>IF(ISNUMBER(FIND("Jan",$C$1)),Monthly!$C1721,(IF(ISNUMBER(FIND("Feb",$C$1)),Monthly!$D1721,((IF(ISNUMBER(FIND("Mar",$C$1)),Monthly!$E1721,(IF(ISNUMBER(FIND("Apr",$C$1)),Monthly!$F1721,((IF(ISNUMBER(FIND("May",$C$1)),Monthly!$G1721,((IF(ISNUMBER(FIND("Jun",$C$1)),Monthly!$H1721,(IF(ISNUMBER(FIND("Jul",$C$1)),Monthly!$I1721,(IF(ISNUMBER(FIND("Aug",$C$1)),Monthly!$J1721,(IF(ISNUMBER(FIND("Sep",$C$1)),Monthly!$K1721,(IF(ISNUMBER(FIND("Oct",$C$1)),Monthly!$L1721,(IF(ISNUMBER(FIND("Nov",$C$1)),Monthly!$M1721,(IF(ISNUMBER(FIND("Dec",$C$1)),Monthly!$N1721,))))))))))))))))))))))))))</f>
        <v>212</v>
      </c>
      <c r="E11" s="1139">
        <f xml:space="preserve">
IF(ISNUMBER(FIND("Jan",$C$1)),Monthly!$C1643,(IF(ISNUMBER(FIND("Feb",$C$1)),Monthly!$D1643,((IF(ISNUMBER(FIND("Mar",$C$1)),Monthly!$E1643,(IF(ISNUMBER(FIND("Apr",$C$1)),Monthly!$F1643,((IF(ISNUMBER(FIND("May",$C$1)),Monthly!$G1643,((IF(ISNUMBER(FIND("Jun",$C$1)),Monthly!$H1643,(IF(ISNUMBER(FIND("Jul",$C$1)),Monthly!$I1643,(IF(ISNUMBER(FIND("Aug",$C$1)),Monthly!$J1643,(IF(ISNUMBER(FIND("Sep",$C$1)),Monthly!$K1643,(IF(ISNUMBER(FIND("Oct",$C$1)),Monthly!$L1643,(IF(ISNUMBER(FIND("Nov",$C$1)),Monthly!$M1643,(IF(ISNUMBER(FIND("Dec",$C$1)),Monthly!$N1643,))))))))))))))))))))))))))</f>
        <v>436</v>
      </c>
      <c r="F11" s="1138">
        <f>IF(ISNUMBER(FIND("Jan",$C$1)),Monthly!$C1565,(IF(ISNUMBER(FIND("Feb",$C$1)),Monthly!$D1565,((IF(ISNUMBER(FIND("Mar",$C$1)),Monthly!$E1565,(IF(ISNUMBER(FIND("Apr",$C$1)),Monthly!$F1565,((IF(ISNUMBER(FIND("May",$C$1)),Monthly!$G1565,((IF(ISNUMBER(FIND("Jun",$C$1)),Monthly!$H1565,(IF(ISNUMBER(FIND("Jul",$C$1)),Monthly!$I1565,(IF(ISNUMBER(FIND("Aug",$C$1)),Monthly!$J1565,(IF(ISNUMBER(FIND("Sep",$C$1)),Monthly!$K1565,(IF(ISNUMBER(FIND("Oct",$C$1)),Monthly!$L1565,(IF(ISNUMBER(FIND("Nov",$C$1)),Monthly!$M1565,(IF(ISNUMBER(FIND("Dec",$C$1)),Monthly!$N1565,))))))))))))))))))))))))))</f>
        <v>464</v>
      </c>
      <c r="G11" s="1139">
        <f>IF(ISNUMBER(FIND("Jan",$C$1)),Monthly!$C1487,(IF(ISNUMBER(FIND("Feb",$C$1)),Monthly!$D1487,((IF(ISNUMBER(FIND("Mar",$C$1)),Monthly!$E1487,(IF(ISNUMBER(FIND("Apr",$C$1)),Monthly!$F1487,((IF(ISNUMBER(FIND("May",$C$1)),Monthly!$G1487,((IF(ISNUMBER(FIND("Jun",$C$1)),Monthly!$H1487,(IF(ISNUMBER(FIND("Jul",$C$1)),Monthly!$I1487,(IF(ISNUMBER(FIND("Aug",$C$1)),Monthly!$J1487,(IF(ISNUMBER(FIND("Sep",$C$1)),Monthly!$K1487,(IF(ISNUMBER(FIND("Oct",$C$1)),Monthly!$L1487,(IF(ISNUMBER(FIND("Nov",$C$1)),Monthly!$M1487,(IF(ISNUMBER(FIND("Dec",$C$1)),Monthly!$N1487,))))))))))))))))))))))))))</f>
        <v>488</v>
      </c>
      <c r="H11" s="1139">
        <f>IF(ISNUMBER(FIND("Jan",$C$1)),Monthly!$C1410,(IF(ISNUMBER(FIND("Feb",$C$1)),Monthly!$D1410,((IF(ISNUMBER(FIND("Mar",$C$1)),Monthly!$E1410,(IF(ISNUMBER(FIND("Apr",$C$1)),Monthly!$F1410,((IF(ISNUMBER(FIND("May",$C$1)),Monthly!$G1410,((IF(ISNUMBER(FIND("Jun",$C$1)),Monthly!$H1410,(IF(ISNUMBER(FIND("Jul",$C$1)),Monthly!$I1410,(IF(ISNUMBER(FIND("Aug",$C$1)),Monthly!$J1410,(IF(ISNUMBER(FIND("Sep",$C$1)),Monthly!$K1410,(IF(ISNUMBER(FIND("Oct",$C$1)),Monthly!$L1410,(IF(ISNUMBER(FIND("Nov",$C$1)),Monthly!$M1410,(IF(ISNUMBER(FIND("Dec",$C$1)),Monthly!$N1410,))))))))))))))))))))))))))</f>
        <v>316.43044546649708</v>
      </c>
      <c r="I11" s="1139">
        <f>IF(ISNUMBER(FIND("Jan",$C$1)),Monthly!$C1333,(IF(ISNUMBER(FIND("Feb",$C$1)),Monthly!$D1333,((IF(ISNUMBER(FIND("Mar",$C$1)),Monthly!$E1333,(IF(ISNUMBER(FIND("Apr",$C$1)),Monthly!$F1333,((IF(ISNUMBER(FIND("May",$C$1)),Monthly!$G1333,((IF(ISNUMBER(FIND("Jun",$C$1)),Monthly!$H1333,(IF(ISNUMBER(FIND("Jul",$C$1)),Monthly!$I1333,(IF(ISNUMBER(FIND("Aug",$C$1)),Monthly!$J1333,(IF(ISNUMBER(FIND("Sep",$C$1)),Monthly!$K1333,(IF(ISNUMBER(FIND("Oct",$C$1)),Monthly!$L1333,(IF(ISNUMBER(FIND("Nov",$C$1)),Monthly!$M1333,(IF(ISNUMBER(FIND("Dec",$C$1)),Monthly!$N1333,))))))))))))))))))))))))))</f>
        <v>476.31617159891448</v>
      </c>
      <c r="J11" s="1138">
        <f>IF(ISNUMBER(FIND("Jan",$C$1)),Monthly!$C1256,(IF(ISNUMBER(FIND("Feb",$C$1)),Monthly!$D1256,((IF(ISNUMBER(FIND("Mar",$C$1)),Monthly!$E1256,(IF(ISNUMBER(FIND("Apr",$C$1)),Monthly!$F1256,((IF(ISNUMBER(FIND("May",$C$1)),Monthly!$G1256,((IF(ISNUMBER(FIND("Jun",$C$1)),Monthly!$H1256,(IF(ISNUMBER(FIND("Jul",$C$1)),Monthly!$I1256,(IF(ISNUMBER(FIND("Aug",$C$1)),Monthly!$J1256,(IF(ISNUMBER(FIND("Sep",$C$1)),Monthly!$K1256,(IF(ISNUMBER(FIND("Oct",$C$1)),Monthly!$L1256,(IF(ISNUMBER(FIND("Nov",$C$1)),Monthly!$M1256,(IF(ISNUMBER(FIND("Dec",$C$1)),Monthly!$N1256,))))))))))))))))))))))))))</f>
        <v>356.66767009658929</v>
      </c>
      <c r="K11" s="1148">
        <f>IF(ISNUMBER(FIND("Jan",$C$1)),Monthly!$C1178,(IF(ISNUMBER(FIND("Feb",$C$1)),Monthly!$D1178,((IF(ISNUMBER(FIND("Mar",$C$1)),Monthly!$E1178,(IF(ISNUMBER(FIND("Apr",$C$1)),Monthly!$F1178,((IF(ISNUMBER(FIND("May",$C$1)),Monthly!$G1178,((IF(ISNUMBER(FIND("Jun",$C$1)),Monthly!$H1178,(IF(ISNUMBER(FIND("Jul",$C$1)),Monthly!$I1178,(IF(ISNUMBER(FIND("Aug",$C$1)),Monthly!$J1178,(IF(ISNUMBER(FIND("Sep",$C$1)),Monthly!$K1178,(IF(ISNUMBER(FIND("Oct",$C$1)),Monthly!$L1178,(IF(ISNUMBER(FIND("Nov",$C$1)),Monthly!$M1178,(IF(ISNUMBER(FIND("Dec",$C$1)),Monthly!$N1178,))))))))))))))))))))))))))</f>
        <v>378.6661515509561</v>
      </c>
      <c r="L11" s="1139">
        <f>IF(ISNUMBER(FIND("Jan",$C$1)),Monthly!$C1101,(IF(ISNUMBER(FIND("Feb",$C$1)),Monthly!$D1101,((IF(ISNUMBER(FIND("Mar",$C$1)),Monthly!$E1101,(IF(ISNUMBER(FIND("Apr",$C$1)),Monthly!$F1101,((IF(ISNUMBER(FIND("May",$C$1)),Monthly!$G1101,((IF(ISNUMBER(FIND("Jun",$C$1)),Monthly!$H1101,(IF(ISNUMBER(FIND("Jul",$C$1)),Monthly!$I1101,(IF(ISNUMBER(FIND("Aug",$C$1)),Monthly!$J1101,(IF(ISNUMBER(FIND("Sep",$C$1)),Monthly!$K1101,(IF(ISNUMBER(FIND("Oct",$C$1)),Monthly!$L1101,(IF(ISNUMBER(FIND("Nov",$C$1)),Monthly!$M1101,(IF(ISNUMBER(FIND("Dec",$C$1)),Monthly!$N1101,))))))))))))))))))))))))))</f>
        <v>402.02145120577006</v>
      </c>
      <c r="M11" s="1139">
        <f>IF(ISNUMBER(FIND("Jan",$C$1)),Monthly!$C1024,(IF(ISNUMBER(FIND("Feb",$C$1)),Monthly!$D1024,((IF(ISNUMBER(FIND("Mar",$C$1)),Monthly!$E1024,(IF(ISNUMBER(FIND("Apr",$C$1)),Monthly!$F1024,((IF(ISNUMBER(FIND("May",$C$1)),Monthly!$G1024,((IF(ISNUMBER(FIND("Jun",$C$1)),Monthly!$H1024,(IF(ISNUMBER(FIND("Jul",$C$1)),Monthly!$I1024,(IF(ISNUMBER(FIND("Aug",$C$1)),Monthly!$J1024,(IF(ISNUMBER(FIND("Sep",$C$1)),Monthly!$K1024,(IF(ISNUMBER(FIND("Oct",$C$1)),Monthly!$L1024,(IF(ISNUMBER(FIND("Nov",$C$1)),Monthly!$M1024,(IF(ISNUMBER(FIND("Dec",$C$1)),Monthly!$N1024,))))))))))))))))))))))))))</f>
        <v>0</v>
      </c>
      <c r="N11" s="1148">
        <f>IF(ISNUMBER(FIND("Jan",$C$1)),Monthly!$C947,(IF(ISNUMBER(FIND("Feb",$C$1)),Monthly!$D947,((IF(ISNUMBER(FIND("Mar",$C$1)),Monthly!$E947,(IF(ISNUMBER(FIND("Apr",$C$1)),Monthly!$F947,((IF(ISNUMBER(FIND("May",$C$1)),Monthly!$G947,((IF(ISNUMBER(FIND("Jun",$C$1)),Monthly!$H947,(IF(ISNUMBER(FIND("Jul",$C$1)),Monthly!$I947,(IF(ISNUMBER(FIND("Aug",$C$1)),Monthly!$J947,(IF(ISNUMBER(FIND("Sep",$C$1)),Monthly!$K947,(IF(ISNUMBER(FIND("Oct",$C$1)),Monthly!$L947,(IF(ISNUMBER(FIND("Nov",$C$1)),Monthly!$M947,(IF(ISNUMBER(FIND("Dec",$C$1)),Monthly!$N947,))))))))))))))))))))))))))</f>
        <v>0</v>
      </c>
      <c r="O11" s="1148">
        <f>IF(ISNUMBER(FIND("Jan",$C$1)),Monthly!$C871,(IF(ISNUMBER(FIND("Feb",$C$1)),Monthly!$D871,((IF(ISNUMBER(FIND("Mar",$C$1)),Monthly!$E871,(IF(ISNUMBER(FIND("Apr",$C$1)),Monthly!$F871,((IF(ISNUMBER(FIND("May",$C$1)),Monthly!$G871,((IF(ISNUMBER(FIND("Jun",$C$1)),Monthly!$H871,(IF(ISNUMBER(FIND("Jul",$C$1)),Monthly!$I871,(IF(ISNUMBER(FIND("Aug",$C$1)),Monthly!$J871,(IF(ISNUMBER(FIND("Sep",$C$1)),Monthly!$K871,(IF(ISNUMBER(FIND("Oct",$C$1)),Monthly!$L871,(IF(ISNUMBER(FIND("Nov",$C$1)),Monthly!$M871,(IF(ISNUMBER(FIND("Dec",$C$1)),Monthly!$N871,))))))))))))))))))))))))))</f>
        <v>0</v>
      </c>
      <c r="P11" s="1148">
        <f>IF(ISNUMBER(FIND("Jan",$C$1)),Monthly!$C794,(IF(ISNUMBER(FIND("Feb",$C$1)),Monthly!$D794,((IF(ISNUMBER(FIND("Mar",$C$1)),Monthly!$E794,(IF(ISNUMBER(FIND("Apr",$C$1)),Monthly!$F794,((IF(ISNUMBER(FIND("May",$C$1)),Monthly!$G794,((IF(ISNUMBER(FIND("Jun",$C$1)),Monthly!$H794,(IF(ISNUMBER(FIND("Jul",$C$1)),Monthly!$I794,(IF(ISNUMBER(FIND("Aug",$C$1)),Monthly!$J794,(IF(ISNUMBER(FIND("Sep",$C$1)),Monthly!$K794,(IF(ISNUMBER(FIND("Oct",$C$1)),Monthly!$L794,(IF(ISNUMBER(FIND("Nov",$C$1)),Monthly!$M794,(IF(ISNUMBER(FIND("Dec",$C$1)),Monthly!$N794,))))))))))))))))))))))))))</f>
        <v>0</v>
      </c>
      <c r="Q11" s="1142">
        <f>IF(ISNUMBER(FIND("Jan",$C$1)),Monthly!$C717,(IF(ISNUMBER(FIND("Feb",$C$1)),Monthly!$D717,((IF(ISNUMBER(FIND("Mar",$C$1)),Monthly!$E717,(IF(ISNUMBER(FIND("Apr",$C$1)),Monthly!$F717,((IF(ISNUMBER(FIND("May",$C$1)),Monthly!$G717,((IF(ISNUMBER(FIND("Jun",$C$1)),Monthly!$H717,(IF(ISNUMBER(FIND("Jul",$C$1)),Monthly!$I717,(IF(ISNUMBER(FIND("Aug",$C$1)),Monthly!$J717,(IF(ISNUMBER(FIND("Sep",$C$1)),Monthly!$K717,(IF(ISNUMBER(FIND("Oct",$C$1)),Monthly!$L717,(IF(ISNUMBER(FIND("Nov",$C$1)),Monthly!$M717,(IF(ISNUMBER(FIND("Dec",$C$1)),Monthly!$N717,))))))))))))))))))))))))))</f>
        <v>0</v>
      </c>
      <c r="R11" s="1142"/>
      <c r="S11" s="1142"/>
      <c r="T11" s="1142"/>
      <c r="U11" s="1143">
        <f>Monthly!O410</f>
        <v>0</v>
      </c>
      <c r="V11" s="1142">
        <f>Monthly!O325</f>
        <v>0</v>
      </c>
      <c r="W11" s="1142"/>
      <c r="X11" s="1144">
        <f t="shared" si="4"/>
        <v>235.34012599458177</v>
      </c>
      <c r="Y11" s="1145">
        <f t="shared" si="5"/>
        <v>3.3620017999225968E-2</v>
      </c>
      <c r="Z11" s="1146"/>
      <c r="AA11" s="1147">
        <f t="shared" si="6"/>
        <v>488</v>
      </c>
      <c r="AB11" s="1147">
        <f t="shared" si="7"/>
        <v>0</v>
      </c>
    </row>
    <row r="12" spans="1:28" s="147" customFormat="1" ht="13.5">
      <c r="A12" s="1136"/>
      <c r="B12" s="1137" t="s">
        <v>287</v>
      </c>
      <c r="C12" s="1138">
        <f>IF(ISNUMBER(FIND("Jan",$C$1)),Monthly!$C1799,(IF(ISNUMBER(FIND("Feb",$C$1)),Monthly!$D1799,((IF(ISNUMBER(FIND("Mar",$C$1)),Monthly!$E1799,(IF(ISNUMBER(FIND("Apr",$C$1)),Monthly!$F1799,((IF(ISNUMBER(FIND("May",$C$1)),Monthly!$G1799,((IF(ISNUMBER(FIND("Jun",$C$1)),Monthly!$H1799,(IF(ISNUMBER(FIND("Jul",$C$1)),Monthly!$I1799,(IF(ISNUMBER(FIND("Aug",$C$1)),Monthly!$J1799,(IF(ISNUMBER(FIND("Sep",$C$1)),Monthly!$K1799,(IF(ISNUMBER(FIND("Oct",$C$1)),Monthly!$L1799,(IF(ISNUMBER(FIND("Nov",$C$1)),Monthly!$M1799,(IF(ISNUMBER(FIND("Dec",$C$1)),Monthly!$N1799,))))))))))))))))))))))))))</f>
        <v>0</v>
      </c>
      <c r="D12" s="1139">
        <f>IF(ISNUMBER(FIND("Jan",$C$1)),Monthly!$C1722,(IF(ISNUMBER(FIND("Feb",$C$1)),Monthly!$D1722,((IF(ISNUMBER(FIND("Mar",$C$1)),Monthly!$E1722,(IF(ISNUMBER(FIND("Apr",$C$1)),Monthly!$F1722,((IF(ISNUMBER(FIND("May",$C$1)),Monthly!$G1722,((IF(ISNUMBER(FIND("Jun",$C$1)),Monthly!$H1722,(IF(ISNUMBER(FIND("Jul",$C$1)),Monthly!$I1722,(IF(ISNUMBER(FIND("Aug",$C$1)),Monthly!$J1722,(IF(ISNUMBER(FIND("Sep",$C$1)),Monthly!$K1722,(IF(ISNUMBER(FIND("Oct",$C$1)),Monthly!$L1722,(IF(ISNUMBER(FIND("Nov",$C$1)),Monthly!$M1722,(IF(ISNUMBER(FIND("Dec",$C$1)),Monthly!$N1722,))))))))))))))))))))))))))</f>
        <v>312</v>
      </c>
      <c r="E12" s="1139">
        <f xml:space="preserve">
IF(ISNUMBER(FIND("Jan",$C$1)),Monthly!$C1644,(IF(ISNUMBER(FIND("Feb",$C$1)),Monthly!$D1644,((IF(ISNUMBER(FIND("Mar",$C$1)),Monthly!$E1644,(IF(ISNUMBER(FIND("Apr",$C$1)),Monthly!$F1644,((IF(ISNUMBER(FIND("May",$C$1)),Monthly!$G1644,((IF(ISNUMBER(FIND("Jun",$C$1)),Monthly!$H1644,(IF(ISNUMBER(FIND("Jul",$C$1)),Monthly!$I1644,(IF(ISNUMBER(FIND("Aug",$C$1)),Monthly!$J1644,(IF(ISNUMBER(FIND("Sep",$C$1)),Monthly!$K1644,(IF(ISNUMBER(FIND("Oct",$C$1)),Monthly!$L1644,(IF(ISNUMBER(FIND("Nov",$C$1)),Monthly!$M1644,(IF(ISNUMBER(FIND("Dec",$C$1)),Monthly!$N1644,))))))))))))))))))))))))))</f>
        <v>312</v>
      </c>
      <c r="F12" s="1138">
        <f>IF(ISNUMBER(FIND("Jan",$C$1)),Monthly!$C1566,(IF(ISNUMBER(FIND("Feb",$C$1)),Monthly!$D1566,((IF(ISNUMBER(FIND("Mar",$C$1)),Monthly!$E1566,(IF(ISNUMBER(FIND("Apr",$C$1)),Monthly!$F1566,((IF(ISNUMBER(FIND("May",$C$1)),Monthly!$G1566,((IF(ISNUMBER(FIND("Jun",$C$1)),Monthly!$H1566,(IF(ISNUMBER(FIND("Jul",$C$1)),Monthly!$I1566,(IF(ISNUMBER(FIND("Aug",$C$1)),Monthly!$J1566,(IF(ISNUMBER(FIND("Sep",$C$1)),Monthly!$K1566,(IF(ISNUMBER(FIND("Oct",$C$1)),Monthly!$L1566,(IF(ISNUMBER(FIND("Nov",$C$1)),Monthly!$M1566,(IF(ISNUMBER(FIND("Dec",$C$1)),Monthly!$N1566,))))))))))))))))))))))))))</f>
        <v>312</v>
      </c>
      <c r="G12" s="1139">
        <f>IF(ISNUMBER(FIND("Jan",$C$1)),Monthly!$C1488,(IF(ISNUMBER(FIND("Feb",$C$1)),Monthly!$D1488,((IF(ISNUMBER(FIND("Mar",$C$1)),Monthly!$E1488,(IF(ISNUMBER(FIND("Apr",$C$1)),Monthly!$F1488,((IF(ISNUMBER(FIND("May",$C$1)),Monthly!$G1488,((IF(ISNUMBER(FIND("Jun",$C$1)),Monthly!$H1488,(IF(ISNUMBER(FIND("Jul",$C$1)),Monthly!$I1488,(IF(ISNUMBER(FIND("Aug",$C$1)),Monthly!$J1488,(IF(ISNUMBER(FIND("Sep",$C$1)),Monthly!$K1488,(IF(ISNUMBER(FIND("Oct",$C$1)),Monthly!$L1488,(IF(ISNUMBER(FIND("Nov",$C$1)),Monthly!$M1488,(IF(ISNUMBER(FIND("Dec",$C$1)),Monthly!$N1488,))))))))))))))))))))))))))</f>
        <v>312</v>
      </c>
      <c r="H12" s="1139">
        <f>IF(ISNUMBER(FIND("Jan",$C$1)),Monthly!$C1411,(IF(ISNUMBER(FIND("Feb",$C$1)),Monthly!$D1411,((IF(ISNUMBER(FIND("Mar",$C$1)),Monthly!$E1411,(IF(ISNUMBER(FIND("Apr",$C$1)),Monthly!$F1411,((IF(ISNUMBER(FIND("May",$C$1)),Monthly!$G1411,((IF(ISNUMBER(FIND("Jun",$C$1)),Monthly!$H1411,(IF(ISNUMBER(FIND("Jul",$C$1)),Monthly!$I1411,(IF(ISNUMBER(FIND("Aug",$C$1)),Monthly!$J1411,(IF(ISNUMBER(FIND("Sep",$C$1)),Monthly!$K1411,(IF(ISNUMBER(FIND("Oct",$C$1)),Monthly!$L1411,(IF(ISNUMBER(FIND("Nov",$C$1)),Monthly!$M1411,(IF(ISNUMBER(FIND("Dec",$C$1)),Monthly!$N1411,))))))))))))))))))))))))))</f>
        <v>312</v>
      </c>
      <c r="I12" s="1139">
        <f>IF(ISNUMBER(FIND("Jan",$C$1)),Monthly!$C1334,(IF(ISNUMBER(FIND("Feb",$C$1)),Monthly!$D1334,((IF(ISNUMBER(FIND("Mar",$C$1)),Monthly!$E1334,(IF(ISNUMBER(FIND("Apr",$C$1)),Monthly!$F1334,((IF(ISNUMBER(FIND("May",$C$1)),Monthly!$G1334,((IF(ISNUMBER(FIND("Jun",$C$1)),Monthly!$H1334,(IF(ISNUMBER(FIND("Jul",$C$1)),Monthly!$I1334,(IF(ISNUMBER(FIND("Aug",$C$1)),Monthly!$J1334,(IF(ISNUMBER(FIND("Sep",$C$1)),Monthly!$K1334,(IF(ISNUMBER(FIND("Oct",$C$1)),Monthly!$L1334,(IF(ISNUMBER(FIND("Nov",$C$1)),Monthly!$M1334,(IF(ISNUMBER(FIND("Dec",$C$1)),Monthly!$N1334,))))))))))))))))))))))))))</f>
        <v>312</v>
      </c>
      <c r="J12" s="1138">
        <f>IF(ISNUMBER(FIND("Jan",$C$1)),Monthly!$C1257,(IF(ISNUMBER(FIND("Feb",$C$1)),Monthly!$D1257,((IF(ISNUMBER(FIND("Mar",$C$1)),Monthly!$E1257,(IF(ISNUMBER(FIND("Apr",$C$1)),Monthly!$F1257,((IF(ISNUMBER(FIND("May",$C$1)),Monthly!$G1257,((IF(ISNUMBER(FIND("Jun",$C$1)),Monthly!$H1257,(IF(ISNUMBER(FIND("Jul",$C$1)),Monthly!$I1257,(IF(ISNUMBER(FIND("Aug",$C$1)),Monthly!$J1257,(IF(ISNUMBER(FIND("Sep",$C$1)),Monthly!$K1257,(IF(ISNUMBER(FIND("Oct",$C$1)),Monthly!$L1257,(IF(ISNUMBER(FIND("Nov",$C$1)),Monthly!$M1257,(IF(ISNUMBER(FIND("Dec",$C$1)),Monthly!$N1257,))))))))))))))))))))))))))</f>
        <v>303</v>
      </c>
      <c r="K12" s="1148">
        <f>IF(ISNUMBER(FIND("Jan",$C$1)),Monthly!$C1179,(IF(ISNUMBER(FIND("Feb",$C$1)),Monthly!$D1179,((IF(ISNUMBER(FIND("Mar",$C$1)),Monthly!$E1179,(IF(ISNUMBER(FIND("Apr",$C$1)),Monthly!$F1179,((IF(ISNUMBER(FIND("May",$C$1)),Monthly!$G1179,((IF(ISNUMBER(FIND("Jun",$C$1)),Monthly!$H1179,(IF(ISNUMBER(FIND("Jul",$C$1)),Monthly!$I1179,(IF(ISNUMBER(FIND("Aug",$C$1)),Monthly!$J1179,(IF(ISNUMBER(FIND("Sep",$C$1)),Monthly!$K1179,(IF(ISNUMBER(FIND("Oct",$C$1)),Monthly!$L1179,(IF(ISNUMBER(FIND("Nov",$C$1)),Monthly!$M1179,(IF(ISNUMBER(FIND("Dec",$C$1)),Monthly!$N1179,))))))))))))))))))))))))))</f>
        <v>303</v>
      </c>
      <c r="L12" s="1139">
        <f>IF(ISNUMBER(FIND("Jan",$C$1)),Monthly!$C1102,(IF(ISNUMBER(FIND("Feb",$C$1)),Monthly!$D1102,((IF(ISNUMBER(FIND("Mar",$C$1)),Monthly!$E1102,(IF(ISNUMBER(FIND("Apr",$C$1)),Monthly!$F1102,((IF(ISNUMBER(FIND("May",$C$1)),Monthly!$G1102,((IF(ISNUMBER(FIND("Jun",$C$1)),Monthly!$H1102,(IF(ISNUMBER(FIND("Jul",$C$1)),Monthly!$I1102,(IF(ISNUMBER(FIND("Aug",$C$1)),Monthly!$J1102,(IF(ISNUMBER(FIND("Sep",$C$1)),Monthly!$K1102,(IF(ISNUMBER(FIND("Oct",$C$1)),Monthly!$L1102,(IF(ISNUMBER(FIND("Nov",$C$1)),Monthly!$M1102,(IF(ISNUMBER(FIND("Dec",$C$1)),Monthly!$N1102,))))))))))))))))))))))))))</f>
        <v>303</v>
      </c>
      <c r="M12" s="1139">
        <f>IF(ISNUMBER(FIND("Jan",$C$1)),Monthly!$C1025,(IF(ISNUMBER(FIND("Feb",$C$1)),Monthly!$D1025,((IF(ISNUMBER(FIND("Mar",$C$1)),Monthly!$E1025,(IF(ISNUMBER(FIND("Apr",$C$1)),Monthly!$F1025,((IF(ISNUMBER(FIND("May",$C$1)),Monthly!$G1025,((IF(ISNUMBER(FIND("Jun",$C$1)),Monthly!$H1025,(IF(ISNUMBER(FIND("Jul",$C$1)),Monthly!$I1025,(IF(ISNUMBER(FIND("Aug",$C$1)),Monthly!$J1025,(IF(ISNUMBER(FIND("Sep",$C$1)),Monthly!$K1025,(IF(ISNUMBER(FIND("Oct",$C$1)),Monthly!$L1025,(IF(ISNUMBER(FIND("Nov",$C$1)),Monthly!$M1025,(IF(ISNUMBER(FIND("Dec",$C$1)),Monthly!$N1025,))))))))))))))))))))))))))</f>
        <v>303</v>
      </c>
      <c r="N12" s="1148">
        <f>IF(ISNUMBER(FIND("Jan",$C$1)),Monthly!$C948,(IF(ISNUMBER(FIND("Feb",$C$1)),Monthly!$D948,((IF(ISNUMBER(FIND("Mar",$C$1)),Monthly!$E948,(IF(ISNUMBER(FIND("Apr",$C$1)),Monthly!$F948,((IF(ISNUMBER(FIND("May",$C$1)),Monthly!$G948,((IF(ISNUMBER(FIND("Jun",$C$1)),Monthly!$H948,(IF(ISNUMBER(FIND("Jul",$C$1)),Monthly!$I948,(IF(ISNUMBER(FIND("Aug",$C$1)),Monthly!$J948,(IF(ISNUMBER(FIND("Sep",$C$1)),Monthly!$K948,(IF(ISNUMBER(FIND("Oct",$C$1)),Monthly!$L948,(IF(ISNUMBER(FIND("Nov",$C$1)),Monthly!$M948,(IF(ISNUMBER(FIND("Dec",$C$1)),Monthly!$N948,))))))))))))))))))))))))))</f>
        <v>303</v>
      </c>
      <c r="O12" s="1148">
        <f>IF(ISNUMBER(FIND("Jan",$C$1)),Monthly!$C872,(IF(ISNUMBER(FIND("Feb",$C$1)),Monthly!$D872,((IF(ISNUMBER(FIND("Mar",$C$1)),Monthly!$E872,(IF(ISNUMBER(FIND("Apr",$C$1)),Monthly!$F872,((IF(ISNUMBER(FIND("May",$C$1)),Monthly!$G872,((IF(ISNUMBER(FIND("Jun",$C$1)),Monthly!$H872,(IF(ISNUMBER(FIND("Jul",$C$1)),Monthly!$I872,(IF(ISNUMBER(FIND("Aug",$C$1)),Monthly!$J872,(IF(ISNUMBER(FIND("Sep",$C$1)),Monthly!$K872,(IF(ISNUMBER(FIND("Oct",$C$1)),Monthly!$L872,(IF(ISNUMBER(FIND("Nov",$C$1)),Monthly!$M872,(IF(ISNUMBER(FIND("Dec",$C$1)),Monthly!$N872,))))))))))))))))))))))))))</f>
        <v>303</v>
      </c>
      <c r="P12" s="1148">
        <f>IF(ISNUMBER(FIND("Jan",$C$1)),Monthly!$C795,(IF(ISNUMBER(FIND("Feb",$C$1)),Monthly!$D795,((IF(ISNUMBER(FIND("Mar",$C$1)),Monthly!$E795,(IF(ISNUMBER(FIND("Apr",$C$1)),Monthly!$F795,((IF(ISNUMBER(FIND("May",$C$1)),Monthly!$G795,((IF(ISNUMBER(FIND("Jun",$C$1)),Monthly!$H795,(IF(ISNUMBER(FIND("Jul",$C$1)),Monthly!$I795,(IF(ISNUMBER(FIND("Aug",$C$1)),Monthly!$J795,(IF(ISNUMBER(FIND("Sep",$C$1)),Monthly!$K795,(IF(ISNUMBER(FIND("Oct",$C$1)),Monthly!$L795,(IF(ISNUMBER(FIND("Nov",$C$1)),Monthly!$M795,(IF(ISNUMBER(FIND("Dec",$C$1)),Monthly!$N795,))))))))))))))))))))))))))</f>
        <v>0</v>
      </c>
      <c r="Q12" s="1142">
        <f>IF(ISNUMBER(FIND("Jan",$C$1)),Monthly!$C718,(IF(ISNUMBER(FIND("Feb",$C$1)),Monthly!$D718,((IF(ISNUMBER(FIND("Mar",$C$1)),Monthly!$E718,(IF(ISNUMBER(FIND("Apr",$C$1)),Monthly!$F718,((IF(ISNUMBER(FIND("May",$C$1)),Monthly!$G718,((IF(ISNUMBER(FIND("Jun",$C$1)),Monthly!$H718,(IF(ISNUMBER(FIND("Jul",$C$1)),Monthly!$I718,(IF(ISNUMBER(FIND("Aug",$C$1)),Monthly!$J718,(IF(ISNUMBER(FIND("Sep",$C$1)),Monthly!$K718,(IF(ISNUMBER(FIND("Oct",$C$1)),Monthly!$L718,(IF(ISNUMBER(FIND("Nov",$C$1)),Monthly!$M718,(IF(ISNUMBER(FIND("Dec",$C$1)),Monthly!$N718,))))))))))))))))))))))))))</f>
        <v>0</v>
      </c>
      <c r="R12" s="1142"/>
      <c r="S12" s="1142"/>
      <c r="T12" s="1142"/>
      <c r="U12" s="1143">
        <f>Monthly!O411</f>
        <v>3250</v>
      </c>
      <c r="V12" s="1142">
        <f>Monthly!O326</f>
        <v>3250</v>
      </c>
      <c r="W12" s="1142"/>
      <c r="X12" s="1144">
        <f t="shared" si="4"/>
        <v>246</v>
      </c>
      <c r="Y12" s="1145">
        <f t="shared" si="5"/>
        <v>3.5142857142857142E-2</v>
      </c>
      <c r="Z12" s="1146"/>
      <c r="AA12" s="1147">
        <f t="shared" si="6"/>
        <v>312</v>
      </c>
      <c r="AB12" s="1147">
        <f t="shared" si="7"/>
        <v>0</v>
      </c>
    </row>
    <row r="13" spans="1:28" s="147" customFormat="1" ht="13.5">
      <c r="A13" s="1136"/>
      <c r="B13" s="1137" t="s">
        <v>453</v>
      </c>
      <c r="C13" s="1138">
        <f>IF(ISNUMBER(FIND("Jan",$C$1)),Monthly!$C1800,(IF(ISNUMBER(FIND("Feb",$C$1)),Monthly!$D1800,((IF(ISNUMBER(FIND("Mar",$C$1)),Monthly!$E1800,(IF(ISNUMBER(FIND("Apr",$C$1)),Monthly!$F1800,((IF(ISNUMBER(FIND("May",$C$1)),Monthly!$G1800,((IF(ISNUMBER(FIND("Jun",$C$1)),Monthly!$H1800,(IF(ISNUMBER(FIND("Jul",$C$1)),Monthly!$I1800,(IF(ISNUMBER(FIND("Aug",$C$1)),Monthly!$J1800,(IF(ISNUMBER(FIND("Sep",$C$1)),Monthly!$K1800,(IF(ISNUMBER(FIND("Oct",$C$1)),Monthly!$L1800,(IF(ISNUMBER(FIND("Nov",$C$1)),Monthly!$M1800,(IF(ISNUMBER(FIND("Dec",$C$1)),Monthly!$N1800,))))))))))))))))))))))))))</f>
        <v>0</v>
      </c>
      <c r="D13" s="1139">
        <f>IF(ISNUMBER(FIND("Jan",$C$1)),Monthly!$C1723,(IF(ISNUMBER(FIND("Feb",$C$1)),Monthly!$D1723,((IF(ISNUMBER(FIND("Mar",$C$1)),Monthly!$E1723,(IF(ISNUMBER(FIND("Apr",$C$1)),Monthly!$F1723,((IF(ISNUMBER(FIND("May",$C$1)),Monthly!$G1723,((IF(ISNUMBER(FIND("Jun",$C$1)),Monthly!$H1723,(IF(ISNUMBER(FIND("Jul",$C$1)),Monthly!$I1723,(IF(ISNUMBER(FIND("Aug",$C$1)),Monthly!$J1723,(IF(ISNUMBER(FIND("Sep",$C$1)),Monthly!$K1723,(IF(ISNUMBER(FIND("Oct",$C$1)),Monthly!$L1723,(IF(ISNUMBER(FIND("Nov",$C$1)),Monthly!$M1723,(IF(ISNUMBER(FIND("Dec",$C$1)),Monthly!$N1723,))))))))))))))))))))))))))</f>
        <v>0</v>
      </c>
      <c r="E13" s="1139">
        <f xml:space="preserve">
IF(ISNUMBER(FIND("Jan",$C$1)),Monthly!$C1645,(IF(ISNUMBER(FIND("Feb",$C$1)),Monthly!$D1645,((IF(ISNUMBER(FIND("Mar",$C$1)),Monthly!$E1645,(IF(ISNUMBER(FIND("Apr",$C$1)),Monthly!$F1645,((IF(ISNUMBER(FIND("May",$C$1)),Monthly!$G1645,((IF(ISNUMBER(FIND("Jun",$C$1)),Monthly!$H1645,(IF(ISNUMBER(FIND("Jul",$C$1)),Monthly!$I1645,(IF(ISNUMBER(FIND("Aug",$C$1)),Monthly!$J1645,(IF(ISNUMBER(FIND("Sep",$C$1)),Monthly!$K1645,(IF(ISNUMBER(FIND("Oct",$C$1)),Monthly!$L1645,(IF(ISNUMBER(FIND("Nov",$C$1)),Monthly!$M1645,(IF(ISNUMBER(FIND("Dec",$C$1)),Monthly!$N1645,))))))))))))))))))))))))))</f>
        <v>25</v>
      </c>
      <c r="F13" s="1138">
        <f>IF(ISNUMBER(FIND("Jan",$C$1)),Monthly!$C1567,(IF(ISNUMBER(FIND("Feb",$C$1)),Monthly!$D1567,((IF(ISNUMBER(FIND("Mar",$C$1)),Monthly!$E1567,(IF(ISNUMBER(FIND("Apr",$C$1)),Monthly!$F1567,((IF(ISNUMBER(FIND("May",$C$1)),Monthly!$G1567,((IF(ISNUMBER(FIND("Jun",$C$1)),Monthly!$H1567,(IF(ISNUMBER(FIND("Jul",$C$1)),Monthly!$I1567,(IF(ISNUMBER(FIND("Aug",$C$1)),Monthly!$J1567,(IF(ISNUMBER(FIND("Sep",$C$1)),Monthly!$K1567,(IF(ISNUMBER(FIND("Oct",$C$1)),Monthly!$L1567,(IF(ISNUMBER(FIND("Nov",$C$1)),Monthly!$M1567,(IF(ISNUMBER(FIND("Dec",$C$1)),Monthly!$N1567,))))))))))))))))))))))))))</f>
        <v>25</v>
      </c>
      <c r="G13" s="1139">
        <f>IF(ISNUMBER(FIND("Jan",$C$1)),Monthly!$C1489,(IF(ISNUMBER(FIND("Feb",$C$1)),Monthly!$D1489,((IF(ISNUMBER(FIND("Mar",$C$1)),Monthly!$E1489,(IF(ISNUMBER(FIND("Apr",$C$1)),Monthly!$F1489,((IF(ISNUMBER(FIND("May",$C$1)),Monthly!$G1489,((IF(ISNUMBER(FIND("Jun",$C$1)),Monthly!$H1489,(IF(ISNUMBER(FIND("Jul",$C$1)),Monthly!$I1489,(IF(ISNUMBER(FIND("Aug",$C$1)),Monthly!$J1489,(IF(ISNUMBER(FIND("Sep",$C$1)),Monthly!$K1489,(IF(ISNUMBER(FIND("Oct",$C$1)),Monthly!$L1489,(IF(ISNUMBER(FIND("Nov",$C$1)),Monthly!$M1489,(IF(ISNUMBER(FIND("Dec",$C$1)),Monthly!$N1489,))))))))))))))))))))))))))</f>
        <v>25</v>
      </c>
      <c r="H13" s="1139">
        <f>IF(ISNUMBER(FIND("Jan",$C$1)),Monthly!$C1412,(IF(ISNUMBER(FIND("Feb",$C$1)),Monthly!$D1412,((IF(ISNUMBER(FIND("Mar",$C$1)),Monthly!$E1412,(IF(ISNUMBER(FIND("Apr",$C$1)),Monthly!$F1412,((IF(ISNUMBER(FIND("May",$C$1)),Monthly!$G1412,((IF(ISNUMBER(FIND("Jun",$C$1)),Monthly!$H1412,(IF(ISNUMBER(FIND("Jul",$C$1)),Monthly!$I1412,(IF(ISNUMBER(FIND("Aug",$C$1)),Monthly!$J1412,(IF(ISNUMBER(FIND("Sep",$C$1)),Monthly!$K1412,(IF(ISNUMBER(FIND("Oct",$C$1)),Monthly!$L1412,(IF(ISNUMBER(FIND("Nov",$C$1)),Monthly!$M1412,(IF(ISNUMBER(FIND("Dec",$C$1)),Monthly!$N1412,))))))))))))))))))))))))))</f>
        <v>25</v>
      </c>
      <c r="I13" s="1139">
        <f>IF(ISNUMBER(FIND("Jan",$C$1)),Monthly!$C1335,(IF(ISNUMBER(FIND("Feb",$C$1)),Monthly!$D1335,((IF(ISNUMBER(FIND("Mar",$C$1)),Monthly!$E1335,(IF(ISNUMBER(FIND("Apr",$C$1)),Monthly!$F1335,((IF(ISNUMBER(FIND("May",$C$1)),Monthly!$G1335,((IF(ISNUMBER(FIND("Jun",$C$1)),Monthly!$H1335,(IF(ISNUMBER(FIND("Jul",$C$1)),Monthly!$I1335,(IF(ISNUMBER(FIND("Aug",$C$1)),Monthly!$J1335,(IF(ISNUMBER(FIND("Sep",$C$1)),Monthly!$K1335,(IF(ISNUMBER(FIND("Oct",$C$1)),Monthly!$L1335,(IF(ISNUMBER(FIND("Nov",$C$1)),Monthly!$M1335,(IF(ISNUMBER(FIND("Dec",$C$1)),Monthly!$N1335,))))))))))))))))))))))))))</f>
        <v>25</v>
      </c>
      <c r="J13" s="1138">
        <f>IF(ISNUMBER(FIND("Jan",$C$1)),Monthly!$C1258,(IF(ISNUMBER(FIND("Feb",$C$1)),Monthly!$D1258,((IF(ISNUMBER(FIND("Mar",$C$1)),Monthly!$E1258,(IF(ISNUMBER(FIND("Apr",$C$1)),Monthly!$F1258,((IF(ISNUMBER(FIND("May",$C$1)),Monthly!$G1258,((IF(ISNUMBER(FIND("Jun",$C$1)),Monthly!$H1258,(IF(ISNUMBER(FIND("Jul",$C$1)),Monthly!$I1258,(IF(ISNUMBER(FIND("Aug",$C$1)),Monthly!$J1258,(IF(ISNUMBER(FIND("Sep",$C$1)),Monthly!$K1258,(IF(ISNUMBER(FIND("Oct",$C$1)),Monthly!$L1258,(IF(ISNUMBER(FIND("Nov",$C$1)),Monthly!$M1258,(IF(ISNUMBER(FIND("Dec",$C$1)),Monthly!$N1258,))))))))))))))))))))))))))</f>
        <v>25</v>
      </c>
      <c r="K13" s="1148">
        <f>IF(ISNUMBER(FIND("Jan",$C$1)),Monthly!$C1180,(IF(ISNUMBER(FIND("Feb",$C$1)),Monthly!$D1180,((IF(ISNUMBER(FIND("Mar",$C$1)),Monthly!$E1180,(IF(ISNUMBER(FIND("Apr",$C$1)),Monthly!$F1180,((IF(ISNUMBER(FIND("May",$C$1)),Monthly!$G1180,((IF(ISNUMBER(FIND("Jun",$C$1)),Monthly!$H1180,(IF(ISNUMBER(FIND("Jul",$C$1)),Monthly!$I1180,(IF(ISNUMBER(FIND("Aug",$C$1)),Monthly!$J1180,(IF(ISNUMBER(FIND("Sep",$C$1)),Monthly!$K1180,(IF(ISNUMBER(FIND("Oct",$C$1)),Monthly!$L1180,(IF(ISNUMBER(FIND("Nov",$C$1)),Monthly!$M1180,(IF(ISNUMBER(FIND("Dec",$C$1)),Monthly!$N1180,))))))))))))))))))))))))))</f>
        <v>25</v>
      </c>
      <c r="L13" s="1139">
        <f>IF(ISNUMBER(FIND("Jan",$C$1)),Monthly!$C1103,(IF(ISNUMBER(FIND("Feb",$C$1)),Monthly!$D1103,((IF(ISNUMBER(FIND("Mar",$C$1)),Monthly!$E1103,(IF(ISNUMBER(FIND("Apr",$C$1)),Monthly!$F1103,((IF(ISNUMBER(FIND("May",$C$1)),Monthly!$G1103,((IF(ISNUMBER(FIND("Jun",$C$1)),Monthly!$H1103,(IF(ISNUMBER(FIND("Jul",$C$1)),Monthly!$I1103,(IF(ISNUMBER(FIND("Aug",$C$1)),Monthly!$J1103,(IF(ISNUMBER(FIND("Sep",$C$1)),Monthly!$K1103,(IF(ISNUMBER(FIND("Oct",$C$1)),Monthly!$L1103,(IF(ISNUMBER(FIND("Nov",$C$1)),Monthly!$M1103,(IF(ISNUMBER(FIND("Dec",$C$1)),Monthly!$N1103,))))))))))))))))))))))))))</f>
        <v>25</v>
      </c>
      <c r="M13" s="1139">
        <f>IF(ISNUMBER(FIND("Jan",$C$1)),Monthly!$C1026,(IF(ISNUMBER(FIND("Feb",$C$1)),Monthly!$D1026,((IF(ISNUMBER(FIND("Mar",$C$1)),Monthly!$E1026,(IF(ISNUMBER(FIND("Apr",$C$1)),Monthly!$F1026,((IF(ISNUMBER(FIND("May",$C$1)),Monthly!$G1026,((IF(ISNUMBER(FIND("Jun",$C$1)),Monthly!$H1026,(IF(ISNUMBER(FIND("Jul",$C$1)),Monthly!$I1026,(IF(ISNUMBER(FIND("Aug",$C$1)),Monthly!$J1026,(IF(ISNUMBER(FIND("Sep",$C$1)),Monthly!$K1026,(IF(ISNUMBER(FIND("Oct",$C$1)),Monthly!$L1026,(IF(ISNUMBER(FIND("Nov",$C$1)),Monthly!$M1026,(IF(ISNUMBER(FIND("Dec",$C$1)),Monthly!$N1026,))))))))))))))))))))))))))</f>
        <v>0</v>
      </c>
      <c r="N13" s="1148">
        <f>IF(ISNUMBER(FIND("Jan",$C$1)),Monthly!$C949,(IF(ISNUMBER(FIND("Feb",$C$1)),Monthly!$D949,((IF(ISNUMBER(FIND("Mar",$C$1)),Monthly!$E949,(IF(ISNUMBER(FIND("Apr",$C$1)),Monthly!$F949,((IF(ISNUMBER(FIND("May",$C$1)),Monthly!$G949,((IF(ISNUMBER(FIND("Jun",$C$1)),Monthly!$H949,(IF(ISNUMBER(FIND("Jul",$C$1)),Monthly!$I949,(IF(ISNUMBER(FIND("Aug",$C$1)),Monthly!$J949,(IF(ISNUMBER(FIND("Sep",$C$1)),Monthly!$K949,(IF(ISNUMBER(FIND("Oct",$C$1)),Monthly!$L949,(IF(ISNUMBER(FIND("Nov",$C$1)),Monthly!$M949,(IF(ISNUMBER(FIND("Dec",$C$1)),Monthly!$N949,))))))))))))))))))))))))))</f>
        <v>0</v>
      </c>
      <c r="O13" s="1148">
        <f>IF(ISNUMBER(FIND("Jan",$C$1)),Monthly!$C873,(IF(ISNUMBER(FIND("Feb",$C$1)),Monthly!$D873,((IF(ISNUMBER(FIND("Mar",$C$1)),Monthly!$E873,(IF(ISNUMBER(FIND("Apr",$C$1)),Monthly!$F873,((IF(ISNUMBER(FIND("May",$C$1)),Monthly!$G873,((IF(ISNUMBER(FIND("Jun",$C$1)),Monthly!$H873,(IF(ISNUMBER(FIND("Jul",$C$1)),Monthly!$I873,(IF(ISNUMBER(FIND("Aug",$C$1)),Monthly!$J873,(IF(ISNUMBER(FIND("Sep",$C$1)),Monthly!$K873,(IF(ISNUMBER(FIND("Oct",$C$1)),Monthly!$L873,(IF(ISNUMBER(FIND("Nov",$C$1)),Monthly!$M873,(IF(ISNUMBER(FIND("Dec",$C$1)),Monthly!$N873,))))))))))))))))))))))))))</f>
        <v>0</v>
      </c>
      <c r="P13" s="1148">
        <f>IF(ISNUMBER(FIND("Jan",$C$1)),Monthly!$C796,(IF(ISNUMBER(FIND("Feb",$C$1)),Monthly!$D796,((IF(ISNUMBER(FIND("Mar",$C$1)),Monthly!$E796,(IF(ISNUMBER(FIND("Apr",$C$1)),Monthly!$F796,((IF(ISNUMBER(FIND("May",$C$1)),Monthly!$G796,((IF(ISNUMBER(FIND("Jun",$C$1)),Monthly!$H796,(IF(ISNUMBER(FIND("Jul",$C$1)),Monthly!$I796,(IF(ISNUMBER(FIND("Aug",$C$1)),Monthly!$J796,(IF(ISNUMBER(FIND("Sep",$C$1)),Monthly!$K796,(IF(ISNUMBER(FIND("Oct",$C$1)),Monthly!$L796,(IF(ISNUMBER(FIND("Nov",$C$1)),Monthly!$M796,(IF(ISNUMBER(FIND("Dec",$C$1)),Monthly!$N796,))))))))))))))))))))))))))</f>
        <v>0</v>
      </c>
      <c r="Q13" s="1142">
        <f>IF(ISNUMBER(FIND("Jan",$C$1)),Monthly!$C719,(IF(ISNUMBER(FIND("Feb",$C$1)),Monthly!$D719,((IF(ISNUMBER(FIND("Mar",$C$1)),Monthly!$E719,(IF(ISNUMBER(FIND("Apr",$C$1)),Monthly!$F719,((IF(ISNUMBER(FIND("May",$C$1)),Monthly!$G719,((IF(ISNUMBER(FIND("Jun",$C$1)),Monthly!$H719,(IF(ISNUMBER(FIND("Jul",$C$1)),Monthly!$I719,(IF(ISNUMBER(FIND("Aug",$C$1)),Monthly!$J719,(IF(ISNUMBER(FIND("Sep",$C$1)),Monthly!$K719,(IF(ISNUMBER(FIND("Oct",$C$1)),Monthly!$L719,(IF(ISNUMBER(FIND("Nov",$C$1)),Monthly!$M719,(IF(ISNUMBER(FIND("Dec",$C$1)),Monthly!$N719,))))))))))))))))))))))))))</f>
        <v>0</v>
      </c>
      <c r="R13" s="1142"/>
      <c r="S13" s="1142"/>
      <c r="T13" s="1142"/>
      <c r="U13" s="1143">
        <f>Monthly!O412</f>
        <v>0</v>
      </c>
      <c r="V13" s="1142">
        <f>Monthly!O327</f>
        <v>0</v>
      </c>
      <c r="W13" s="1142"/>
      <c r="X13" s="1144">
        <f t="shared" si="4"/>
        <v>13.333333333333334</v>
      </c>
      <c r="Y13" s="1145">
        <f t="shared" si="5"/>
        <v>1.9047619047619048E-3</v>
      </c>
      <c r="Z13" s="1146"/>
      <c r="AA13" s="1147">
        <f t="shared" si="6"/>
        <v>25</v>
      </c>
      <c r="AB13" s="1147">
        <f t="shared" si="7"/>
        <v>0</v>
      </c>
    </row>
    <row r="14" spans="1:28" s="147" customFormat="1" ht="13.5">
      <c r="A14" s="1136"/>
      <c r="B14" s="1137" t="s">
        <v>400</v>
      </c>
      <c r="C14" s="1138">
        <f>IF(ISNUMBER(FIND("Jan",$C$1)),Monthly!$C1801,(IF(ISNUMBER(FIND("Feb",$C$1)),Monthly!$D1801,((IF(ISNUMBER(FIND("Mar",$C$1)),Monthly!$E1801,(IF(ISNUMBER(FIND("Apr",$C$1)),Monthly!$F1801,((IF(ISNUMBER(FIND("May",$C$1)),Monthly!$G1801,((IF(ISNUMBER(FIND("Jun",$C$1)),Monthly!$H1801,(IF(ISNUMBER(FIND("Jul",$C$1)),Monthly!$I1801,(IF(ISNUMBER(FIND("Aug",$C$1)),Monthly!$J1801,(IF(ISNUMBER(FIND("Sep",$C$1)),Monthly!$K1801,(IF(ISNUMBER(FIND("Oct",$C$1)),Monthly!$L1801,(IF(ISNUMBER(FIND("Nov",$C$1)),Monthly!$M1801,(IF(ISNUMBER(FIND("Dec",$C$1)),Monthly!$N1801,))))))))))))))))))))))))))</f>
        <v>0</v>
      </c>
      <c r="D14" s="1139">
        <f>IF(ISNUMBER(FIND("Jan",$C$1)),Monthly!$C1724,(IF(ISNUMBER(FIND("Feb",$C$1)),Monthly!$D1724,((IF(ISNUMBER(FIND("Mar",$C$1)),Monthly!$E1724,(IF(ISNUMBER(FIND("Apr",$C$1)),Monthly!$F1724,((IF(ISNUMBER(FIND("May",$C$1)),Monthly!$G1724,((IF(ISNUMBER(FIND("Jun",$C$1)),Monthly!$H1724,(IF(ISNUMBER(FIND("Jul",$C$1)),Monthly!$I1724,(IF(ISNUMBER(FIND("Aug",$C$1)),Monthly!$J1724,(IF(ISNUMBER(FIND("Sep",$C$1)),Monthly!$K1724,(IF(ISNUMBER(FIND("Oct",$C$1)),Monthly!$L1724,(IF(ISNUMBER(FIND("Nov",$C$1)),Monthly!$M1724,(IF(ISNUMBER(FIND("Dec",$C$1)),Monthly!$N1724,))))))))))))))))))))))))))</f>
        <v>0</v>
      </c>
      <c r="E14" s="1139">
        <f xml:space="preserve">
IF(ISNUMBER(FIND("Jan",$C$1)),Monthly!$C1646,(IF(ISNUMBER(FIND("Feb",$C$1)),Monthly!$D1646,((IF(ISNUMBER(FIND("Mar",$C$1)),Monthly!$E1646,(IF(ISNUMBER(FIND("Apr",$C$1)),Monthly!$F1646,((IF(ISNUMBER(FIND("May",$C$1)),Monthly!$G1646,((IF(ISNUMBER(FIND("Jun",$C$1)),Monthly!$H1646,(IF(ISNUMBER(FIND("Jul",$C$1)),Monthly!$I1646,(IF(ISNUMBER(FIND("Aug",$C$1)),Monthly!$J1646,(IF(ISNUMBER(FIND("Sep",$C$1)),Monthly!$K1646,(IF(ISNUMBER(FIND("Oct",$C$1)),Monthly!$L1646,(IF(ISNUMBER(FIND("Nov",$C$1)),Monthly!$M1646,(IF(ISNUMBER(FIND("Dec",$C$1)),Monthly!$N1646,))))))))))))))))))))))))))</f>
        <v>0</v>
      </c>
      <c r="F14" s="1138">
        <f>IF(ISNUMBER(FIND("Jan",$C$1)),Monthly!$C1568,(IF(ISNUMBER(FIND("Feb",$C$1)),Monthly!$D1568,((IF(ISNUMBER(FIND("Mar",$C$1)),Monthly!$E1568,(IF(ISNUMBER(FIND("Apr",$C$1)),Monthly!$F1568,((IF(ISNUMBER(FIND("May",$C$1)),Monthly!$G1568,((IF(ISNUMBER(FIND("Jun",$C$1)),Monthly!$H1568,(IF(ISNUMBER(FIND("Jul",$C$1)),Monthly!$I1568,(IF(ISNUMBER(FIND("Aug",$C$1)),Monthly!$J1568,(IF(ISNUMBER(FIND("Sep",$C$1)),Monthly!$K1568,(IF(ISNUMBER(FIND("Oct",$C$1)),Monthly!$L1568,(IF(ISNUMBER(FIND("Nov",$C$1)),Monthly!$M1568,(IF(ISNUMBER(FIND("Dec",$C$1)),Monthly!$N1568,))))))))))))))))))))))))))</f>
        <v>0</v>
      </c>
      <c r="G14" s="1139">
        <f>IF(ISNUMBER(FIND("Jan",$C$1)),Monthly!$C1490,(IF(ISNUMBER(FIND("Feb",$C$1)),Monthly!$D1490,((IF(ISNUMBER(FIND("Mar",$C$1)),Monthly!$E1490,(IF(ISNUMBER(FIND("Apr",$C$1)),Monthly!$F1490,((IF(ISNUMBER(FIND("May",$C$1)),Monthly!$G1490,((IF(ISNUMBER(FIND("Jun",$C$1)),Monthly!$H1490,(IF(ISNUMBER(FIND("Jul",$C$1)),Monthly!$I1490,(IF(ISNUMBER(FIND("Aug",$C$1)),Monthly!$J1490,(IF(ISNUMBER(FIND("Sep",$C$1)),Monthly!$K1490,(IF(ISNUMBER(FIND("Oct",$C$1)),Monthly!$L1490,(IF(ISNUMBER(FIND("Nov",$C$1)),Monthly!$M1490,(IF(ISNUMBER(FIND("Dec",$C$1)),Monthly!$N1490,))))))))))))))))))))))))))</f>
        <v>0</v>
      </c>
      <c r="H14" s="1139">
        <f>IF(ISNUMBER(FIND("Jan",$C$1)),Monthly!$C1413,(IF(ISNUMBER(FIND("Feb",$C$1)),Monthly!$D1413,((IF(ISNUMBER(FIND("Mar",$C$1)),Monthly!$E1413,(IF(ISNUMBER(FIND("Apr",$C$1)),Monthly!$F1413,((IF(ISNUMBER(FIND("May",$C$1)),Monthly!$G1413,((IF(ISNUMBER(FIND("Jun",$C$1)),Monthly!$H1413,(IF(ISNUMBER(FIND("Jul",$C$1)),Monthly!$I1413,(IF(ISNUMBER(FIND("Aug",$C$1)),Monthly!$J1413,(IF(ISNUMBER(FIND("Sep",$C$1)),Monthly!$K1413,(IF(ISNUMBER(FIND("Oct",$C$1)),Monthly!$L1413,(IF(ISNUMBER(FIND("Nov",$C$1)),Monthly!$M1413,(IF(ISNUMBER(FIND("Dec",$C$1)),Monthly!$N1413,))))))))))))))))))))))))))</f>
        <v>0</v>
      </c>
      <c r="I14" s="1139">
        <f>IF(ISNUMBER(FIND("Jan",$C$1)),Monthly!$C1336,(IF(ISNUMBER(FIND("Feb",$C$1)),Monthly!$D1336,((IF(ISNUMBER(FIND("Mar",$C$1)),Monthly!$E1336,(IF(ISNUMBER(FIND("Apr",$C$1)),Monthly!$F1336,((IF(ISNUMBER(FIND("May",$C$1)),Monthly!$G1336,((IF(ISNUMBER(FIND("Jun",$C$1)),Monthly!$H1336,(IF(ISNUMBER(FIND("Jul",$C$1)),Monthly!$I1336,(IF(ISNUMBER(FIND("Aug",$C$1)),Monthly!$J1336,(IF(ISNUMBER(FIND("Sep",$C$1)),Monthly!$K1336,(IF(ISNUMBER(FIND("Oct",$C$1)),Monthly!$L1336,(IF(ISNUMBER(FIND("Nov",$C$1)),Monthly!$M1336,(IF(ISNUMBER(FIND("Dec",$C$1)),Monthly!$N1336,))))))))))))))))))))))))))</f>
        <v>0</v>
      </c>
      <c r="J14" s="1138">
        <f>IF(ISNUMBER(FIND("Jan",$C$1)),Monthly!$C1259,(IF(ISNUMBER(FIND("Feb",$C$1)),Monthly!$D1259,((IF(ISNUMBER(FIND("Mar",$C$1)),Monthly!$E1259,(IF(ISNUMBER(FIND("Apr",$C$1)),Monthly!$F1259,((IF(ISNUMBER(FIND("May",$C$1)),Monthly!$G1259,((IF(ISNUMBER(FIND("Jun",$C$1)),Monthly!$H1259,(IF(ISNUMBER(FIND("Jul",$C$1)),Monthly!$I1259,(IF(ISNUMBER(FIND("Aug",$C$1)),Monthly!$J1259,(IF(ISNUMBER(FIND("Sep",$C$1)),Monthly!$K1259,(IF(ISNUMBER(FIND("Oct",$C$1)),Monthly!$L1259,(IF(ISNUMBER(FIND("Nov",$C$1)),Monthly!$M1259,(IF(ISNUMBER(FIND("Dec",$C$1)),Monthly!$N1259,))))))))))))))))))))))))))</f>
        <v>0</v>
      </c>
      <c r="K14" s="1148">
        <f>IF(ISNUMBER(FIND("Jan",$C$1)),Monthly!$C1181,(IF(ISNUMBER(FIND("Feb",$C$1)),Monthly!$D1181,((IF(ISNUMBER(FIND("Mar",$C$1)),Monthly!$E1181,(IF(ISNUMBER(FIND("Apr",$C$1)),Monthly!$F1181,((IF(ISNUMBER(FIND("May",$C$1)),Monthly!$G1181,((IF(ISNUMBER(FIND("Jun",$C$1)),Monthly!$H1181,(IF(ISNUMBER(FIND("Jul",$C$1)),Monthly!$I1181,(IF(ISNUMBER(FIND("Aug",$C$1)),Monthly!$J1181,(IF(ISNUMBER(FIND("Sep",$C$1)),Monthly!$K1181,(IF(ISNUMBER(FIND("Oct",$C$1)),Monthly!$L1181,(IF(ISNUMBER(FIND("Nov",$C$1)),Monthly!$M1181,(IF(ISNUMBER(FIND("Dec",$C$1)),Monthly!$N1181,))))))))))))))))))))))))))</f>
        <v>0</v>
      </c>
      <c r="L14" s="1139">
        <f>IF(ISNUMBER(FIND("Jan",$C$1)),Monthly!$C1104,(IF(ISNUMBER(FIND("Feb",$C$1)),Monthly!$D1104,((IF(ISNUMBER(FIND("Mar",$C$1)),Monthly!$E1104,(IF(ISNUMBER(FIND("Apr",$C$1)),Monthly!$F1104,((IF(ISNUMBER(FIND("May",$C$1)),Monthly!$G1104,((IF(ISNUMBER(FIND("Jun",$C$1)),Monthly!$H1104,(IF(ISNUMBER(FIND("Jul",$C$1)),Monthly!$I1104,(IF(ISNUMBER(FIND("Aug",$C$1)),Monthly!$J1104,(IF(ISNUMBER(FIND("Sep",$C$1)),Monthly!$K1104,(IF(ISNUMBER(FIND("Oct",$C$1)),Monthly!$L1104,(IF(ISNUMBER(FIND("Nov",$C$1)),Monthly!$M1104,(IF(ISNUMBER(FIND("Dec",$C$1)),Monthly!$N1104,))))))))))))))))))))))))))</f>
        <v>0</v>
      </c>
      <c r="M14" s="1139">
        <f>IF(ISNUMBER(FIND("Jan",$C$1)),Monthly!$C1027,(IF(ISNUMBER(FIND("Feb",$C$1)),Monthly!$D1027,((IF(ISNUMBER(FIND("Mar",$C$1)),Monthly!$E1027,(IF(ISNUMBER(FIND("Apr",$C$1)),Monthly!$F1027,((IF(ISNUMBER(FIND("May",$C$1)),Monthly!$G1027,((IF(ISNUMBER(FIND("Jun",$C$1)),Monthly!$H1027,(IF(ISNUMBER(FIND("Jul",$C$1)),Monthly!$I1027,(IF(ISNUMBER(FIND("Aug",$C$1)),Monthly!$J1027,(IF(ISNUMBER(FIND("Sep",$C$1)),Monthly!$K1027,(IF(ISNUMBER(FIND("Oct",$C$1)),Monthly!$L1027,(IF(ISNUMBER(FIND("Nov",$C$1)),Monthly!$M1027,(IF(ISNUMBER(FIND("Dec",$C$1)),Monthly!$N1027,))))))))))))))))))))))))))</f>
        <v>0</v>
      </c>
      <c r="N14" s="1148">
        <f>IF(ISNUMBER(FIND("Jan",$C$1)),Monthly!$C950,(IF(ISNUMBER(FIND("Feb",$C$1)),Monthly!$D950,((IF(ISNUMBER(FIND("Mar",$C$1)),Monthly!$E950,(IF(ISNUMBER(FIND("Apr",$C$1)),Monthly!$F950,((IF(ISNUMBER(FIND("May",$C$1)),Monthly!$G950,((IF(ISNUMBER(FIND("Jun",$C$1)),Monthly!$H950,(IF(ISNUMBER(FIND("Jul",$C$1)),Monthly!$I950,(IF(ISNUMBER(FIND("Aug",$C$1)),Monthly!$J950,(IF(ISNUMBER(FIND("Sep",$C$1)),Monthly!$K950,(IF(ISNUMBER(FIND("Oct",$C$1)),Monthly!$L950,(IF(ISNUMBER(FIND("Nov",$C$1)),Monthly!$M950,(IF(ISNUMBER(FIND("Dec",$C$1)),Monthly!$N950,))))))))))))))))))))))))))</f>
        <v>0</v>
      </c>
      <c r="O14" s="1148">
        <f>IF(ISNUMBER(FIND("Jan",$C$1)),Monthly!$C874,(IF(ISNUMBER(FIND("Feb",$C$1)),Monthly!$D874,((IF(ISNUMBER(FIND("Mar",$C$1)),Monthly!$E874,(IF(ISNUMBER(FIND("Apr",$C$1)),Monthly!$F874,((IF(ISNUMBER(FIND("May",$C$1)),Monthly!$G874,((IF(ISNUMBER(FIND("Jun",$C$1)),Monthly!$H874,(IF(ISNUMBER(FIND("Jul",$C$1)),Monthly!$I874,(IF(ISNUMBER(FIND("Aug",$C$1)),Monthly!$J874,(IF(ISNUMBER(FIND("Sep",$C$1)),Monthly!$K874,(IF(ISNUMBER(FIND("Oct",$C$1)),Monthly!$L874,(IF(ISNUMBER(FIND("Nov",$C$1)),Monthly!$M874,(IF(ISNUMBER(FIND("Dec",$C$1)),Monthly!$N874,))))))))))))))))))))))))))</f>
        <v>0</v>
      </c>
      <c r="P14" s="1148">
        <f>IF(ISNUMBER(FIND("Jan",$C$1)),Monthly!$C797,(IF(ISNUMBER(FIND("Feb",$C$1)),Monthly!$D797,((IF(ISNUMBER(FIND("Mar",$C$1)),Monthly!$E797,(IF(ISNUMBER(FIND("Apr",$C$1)),Monthly!$F797,((IF(ISNUMBER(FIND("May",$C$1)),Monthly!$G797,((IF(ISNUMBER(FIND("Jun",$C$1)),Monthly!$H797,(IF(ISNUMBER(FIND("Jul",$C$1)),Monthly!$I797,(IF(ISNUMBER(FIND("Aug",$C$1)),Monthly!$J797,(IF(ISNUMBER(FIND("Sep",$C$1)),Monthly!$K797,(IF(ISNUMBER(FIND("Oct",$C$1)),Monthly!$L797,(IF(ISNUMBER(FIND("Nov",$C$1)),Monthly!$M797,(IF(ISNUMBER(FIND("Dec",$C$1)),Monthly!$N797,))))))))))))))))))))))))))</f>
        <v>0</v>
      </c>
      <c r="Q14" s="1142">
        <f>IF(ISNUMBER(FIND("Jan",$C$1)),Monthly!$C720,(IF(ISNUMBER(FIND("Feb",$C$1)),Monthly!$D720,((IF(ISNUMBER(FIND("Mar",$C$1)),Monthly!$E720,(IF(ISNUMBER(FIND("Apr",$C$1)),Monthly!$F720,((IF(ISNUMBER(FIND("May",$C$1)),Monthly!$G720,((IF(ISNUMBER(FIND("Jun",$C$1)),Monthly!$H720,(IF(ISNUMBER(FIND("Jul",$C$1)),Monthly!$I720,(IF(ISNUMBER(FIND("Aug",$C$1)),Monthly!$J720,(IF(ISNUMBER(FIND("Sep",$C$1)),Monthly!$K720,(IF(ISNUMBER(FIND("Oct",$C$1)),Monthly!$L720,(IF(ISNUMBER(FIND("Nov",$C$1)),Monthly!$M720,(IF(ISNUMBER(FIND("Dec",$C$1)),Monthly!$N720,))))))))))))))))))))))))))</f>
        <v>0</v>
      </c>
      <c r="R14" s="1142"/>
      <c r="S14" s="1142"/>
      <c r="T14" s="1142"/>
      <c r="U14" s="1143">
        <f>Monthly!O413</f>
        <v>147.66666666666666</v>
      </c>
      <c r="V14" s="1142">
        <f>Monthly!O328</f>
        <v>0</v>
      </c>
      <c r="W14" s="1142"/>
      <c r="X14" s="1144">
        <f t="shared" si="4"/>
        <v>0</v>
      </c>
      <c r="Y14" s="1145">
        <f t="shared" si="5"/>
        <v>0</v>
      </c>
      <c r="Z14" s="1146"/>
      <c r="AA14" s="1147">
        <f t="shared" si="6"/>
        <v>0</v>
      </c>
      <c r="AB14" s="1147">
        <f t="shared" si="7"/>
        <v>0</v>
      </c>
    </row>
    <row r="15" spans="1:28" s="147" customFormat="1" ht="13.5">
      <c r="A15" s="1136"/>
      <c r="B15" s="1137" t="s">
        <v>401</v>
      </c>
      <c r="C15" s="1138">
        <f>IF(ISNUMBER(FIND("Jan",$C$1)),Monthly!$C1802,(IF(ISNUMBER(FIND("Feb",$C$1)),Monthly!$D1802,((IF(ISNUMBER(FIND("Mar",$C$1)),Monthly!$E1802,(IF(ISNUMBER(FIND("Apr",$C$1)),Monthly!$F1802,((IF(ISNUMBER(FIND("May",$C$1)),Monthly!$G1802,((IF(ISNUMBER(FIND("Jun",$C$1)),Monthly!$H1802,(IF(ISNUMBER(FIND("Jul",$C$1)),Monthly!$I1802,(IF(ISNUMBER(FIND("Aug",$C$1)),Monthly!$J1802,(IF(ISNUMBER(FIND("Sep",$C$1)),Monthly!$K1802,(IF(ISNUMBER(FIND("Oct",$C$1)),Monthly!$L1802,(IF(ISNUMBER(FIND("Nov",$C$1)),Monthly!$M1802,(IF(ISNUMBER(FIND("Dec",$C$1)),Monthly!$N1802,))))))))))))))))))))))))))</f>
        <v>0</v>
      </c>
      <c r="D15" s="1139">
        <f>IF(ISNUMBER(FIND("Jan",$C$1)),Monthly!$C1725,(IF(ISNUMBER(FIND("Feb",$C$1)),Monthly!$D1725,((IF(ISNUMBER(FIND("Mar",$C$1)),Monthly!$E1725,(IF(ISNUMBER(FIND("Apr",$C$1)),Monthly!$F1725,((IF(ISNUMBER(FIND("May",$C$1)),Monthly!$G1725,((IF(ISNUMBER(FIND("Jun",$C$1)),Monthly!$H1725,(IF(ISNUMBER(FIND("Jul",$C$1)),Monthly!$I1725,(IF(ISNUMBER(FIND("Aug",$C$1)),Monthly!$J1725,(IF(ISNUMBER(FIND("Sep",$C$1)),Monthly!$K1725,(IF(ISNUMBER(FIND("Oct",$C$1)),Monthly!$L1725,(IF(ISNUMBER(FIND("Nov",$C$1)),Monthly!$M1725,(IF(ISNUMBER(FIND("Dec",$C$1)),Monthly!$N1725,))))))))))))))))))))))))))</f>
        <v>204</v>
      </c>
      <c r="E15" s="1139">
        <f xml:space="preserve">
IF(ISNUMBER(FIND("Jan",$C$1)),Monthly!$C1647,(IF(ISNUMBER(FIND("Feb",$C$1)),Monthly!$D1647,((IF(ISNUMBER(FIND("Mar",$C$1)),Monthly!$E1647,(IF(ISNUMBER(FIND("Apr",$C$1)),Monthly!$F1647,((IF(ISNUMBER(FIND("May",$C$1)),Monthly!$G1647,((IF(ISNUMBER(FIND("Jun",$C$1)),Monthly!$H1647,(IF(ISNUMBER(FIND("Jul",$C$1)),Monthly!$I1647,(IF(ISNUMBER(FIND("Aug",$C$1)),Monthly!$J1647,(IF(ISNUMBER(FIND("Sep",$C$1)),Monthly!$K1647,(IF(ISNUMBER(FIND("Oct",$C$1)),Monthly!$L1647,(IF(ISNUMBER(FIND("Nov",$C$1)),Monthly!$M1647,(IF(ISNUMBER(FIND("Dec",$C$1)),Monthly!$N1647,))))))))))))))))))))))))))</f>
        <v>234</v>
      </c>
      <c r="F15" s="1138">
        <f>IF(ISNUMBER(FIND("Jan",$C$1)),Monthly!$C1569,(IF(ISNUMBER(FIND("Feb",$C$1)),Monthly!$D1569,((IF(ISNUMBER(FIND("Mar",$C$1)),Monthly!$E1569,(IF(ISNUMBER(FIND("Apr",$C$1)),Monthly!$F1569,((IF(ISNUMBER(FIND("May",$C$1)),Monthly!$G1569,((IF(ISNUMBER(FIND("Jun",$C$1)),Monthly!$H1569,(IF(ISNUMBER(FIND("Jul",$C$1)),Monthly!$I1569,(IF(ISNUMBER(FIND("Aug",$C$1)),Monthly!$J1569,(IF(ISNUMBER(FIND("Sep",$C$1)),Monthly!$K1569,(IF(ISNUMBER(FIND("Oct",$C$1)),Monthly!$L1569,(IF(ISNUMBER(FIND("Nov",$C$1)),Monthly!$M1569,(IF(ISNUMBER(FIND("Dec",$C$1)),Monthly!$N1569,))))))))))))))))))))))))))</f>
        <v>234</v>
      </c>
      <c r="G15" s="1139">
        <f>IF(ISNUMBER(FIND("Jan",$C$1)),Monthly!$C1491,(IF(ISNUMBER(FIND("Feb",$C$1)),Monthly!$D1491,((IF(ISNUMBER(FIND("Mar",$C$1)),Monthly!$E1491,(IF(ISNUMBER(FIND("Apr",$C$1)),Monthly!$F1491,((IF(ISNUMBER(FIND("May",$C$1)),Monthly!$G1491,((IF(ISNUMBER(FIND("Jun",$C$1)),Monthly!$H1491,(IF(ISNUMBER(FIND("Jul",$C$1)),Monthly!$I1491,(IF(ISNUMBER(FIND("Aug",$C$1)),Monthly!$J1491,(IF(ISNUMBER(FIND("Sep",$C$1)),Monthly!$K1491,(IF(ISNUMBER(FIND("Oct",$C$1)),Monthly!$L1491,(IF(ISNUMBER(FIND("Nov",$C$1)),Monthly!$M1491,(IF(ISNUMBER(FIND("Dec",$C$1)),Monthly!$N1491,))))))))))))))))))))))))))</f>
        <v>249</v>
      </c>
      <c r="H15" s="1139">
        <f>IF(ISNUMBER(FIND("Jan",$C$1)),Monthly!$C1414,(IF(ISNUMBER(FIND("Feb",$C$1)),Monthly!$D1414,((IF(ISNUMBER(FIND("Mar",$C$1)),Monthly!$E1414,(IF(ISNUMBER(FIND("Apr",$C$1)),Monthly!$F1414,((IF(ISNUMBER(FIND("May",$C$1)),Monthly!$G1414,((IF(ISNUMBER(FIND("Jun",$C$1)),Monthly!$H1414,(IF(ISNUMBER(FIND("Jul",$C$1)),Monthly!$I1414,(IF(ISNUMBER(FIND("Aug",$C$1)),Monthly!$J1414,(IF(ISNUMBER(FIND("Sep",$C$1)),Monthly!$K1414,(IF(ISNUMBER(FIND("Oct",$C$1)),Monthly!$L1414,(IF(ISNUMBER(FIND("Nov",$C$1)),Monthly!$M1414,(IF(ISNUMBER(FIND("Dec",$C$1)),Monthly!$N1414,))))))))))))))))))))))))))</f>
        <v>332</v>
      </c>
      <c r="I15" s="1139">
        <f>IF(ISNUMBER(FIND("Jan",$C$1)),Monthly!$C1337,(IF(ISNUMBER(FIND("Feb",$C$1)),Monthly!$D1337,((IF(ISNUMBER(FIND("Mar",$C$1)),Monthly!$E1337,(IF(ISNUMBER(FIND("Apr",$C$1)),Monthly!$F1337,((IF(ISNUMBER(FIND("May",$C$1)),Monthly!$G1337,((IF(ISNUMBER(FIND("Jun",$C$1)),Monthly!$H1337,(IF(ISNUMBER(FIND("Jul",$C$1)),Monthly!$I1337,(IF(ISNUMBER(FIND("Aug",$C$1)),Monthly!$J1337,(IF(ISNUMBER(FIND("Sep",$C$1)),Monthly!$K1337,(IF(ISNUMBER(FIND("Oct",$C$1)),Monthly!$L1337,(IF(ISNUMBER(FIND("Nov",$C$1)),Monthly!$M1337,(IF(ISNUMBER(FIND("Dec",$C$1)),Monthly!$N1337,))))))))))))))))))))))))))</f>
        <v>298</v>
      </c>
      <c r="J15" s="1138">
        <f>IF(ISNUMBER(FIND("Jan",$C$1)),Monthly!$C1260,(IF(ISNUMBER(FIND("Feb",$C$1)),Monthly!$D1260,((IF(ISNUMBER(FIND("Mar",$C$1)),Monthly!$E1260,(IF(ISNUMBER(FIND("Apr",$C$1)),Monthly!$F1260,((IF(ISNUMBER(FIND("May",$C$1)),Monthly!$G1260,((IF(ISNUMBER(FIND("Jun",$C$1)),Monthly!$H1260,(IF(ISNUMBER(FIND("Jul",$C$1)),Monthly!$I1260,(IF(ISNUMBER(FIND("Aug",$C$1)),Monthly!$J1260,(IF(ISNUMBER(FIND("Sep",$C$1)),Monthly!$K1260,(IF(ISNUMBER(FIND("Oct",$C$1)),Monthly!$L1260,(IF(ISNUMBER(FIND("Nov",$C$1)),Monthly!$M1260,(IF(ISNUMBER(FIND("Dec",$C$1)),Monthly!$N1260,))))))))))))))))))))))))))</f>
        <v>322</v>
      </c>
      <c r="K15" s="1148">
        <f>IF(ISNUMBER(FIND("Jan",$C$1)),Monthly!$C1182,(IF(ISNUMBER(FIND("Feb",$C$1)),Monthly!$D1182,((IF(ISNUMBER(FIND("Mar",$C$1)),Monthly!$E1182,(IF(ISNUMBER(FIND("Apr",$C$1)),Monthly!$F1182,((IF(ISNUMBER(FIND("May",$C$1)),Monthly!$G1182,((IF(ISNUMBER(FIND("Jun",$C$1)),Monthly!$H1182,(IF(ISNUMBER(FIND("Jul",$C$1)),Monthly!$I1182,(IF(ISNUMBER(FIND("Aug",$C$1)),Monthly!$J1182,(IF(ISNUMBER(FIND("Sep",$C$1)),Monthly!$K1182,(IF(ISNUMBER(FIND("Oct",$C$1)),Monthly!$L1182,(IF(ISNUMBER(FIND("Nov",$C$1)),Monthly!$M1182,(IF(ISNUMBER(FIND("Dec",$C$1)),Monthly!$N1182,))))))))))))))))))))))))))</f>
        <v>280</v>
      </c>
      <c r="L15" s="1139">
        <f>IF(ISNUMBER(FIND("Jan",$C$1)),Monthly!$C1105,(IF(ISNUMBER(FIND("Feb",$C$1)),Monthly!$D1105,((IF(ISNUMBER(FIND("Mar",$C$1)),Monthly!$E1105,(IF(ISNUMBER(FIND("Apr",$C$1)),Monthly!$F1105,((IF(ISNUMBER(FIND("May",$C$1)),Monthly!$G1105,((IF(ISNUMBER(FIND("Jun",$C$1)),Monthly!$H1105,(IF(ISNUMBER(FIND("Jul",$C$1)),Monthly!$I1105,(IF(ISNUMBER(FIND("Aug",$C$1)),Monthly!$J1105,(IF(ISNUMBER(FIND("Sep",$C$1)),Monthly!$K1105,(IF(ISNUMBER(FIND("Oct",$C$1)),Monthly!$L1105,(IF(ISNUMBER(FIND("Nov",$C$1)),Monthly!$M1105,(IF(ISNUMBER(FIND("Dec",$C$1)),Monthly!$N1105,))))))))))))))))))))))))))</f>
        <v>287</v>
      </c>
      <c r="M15" s="1139">
        <f>IF(ISNUMBER(FIND("Jan",$C$1)),Monthly!$C1028,(IF(ISNUMBER(FIND("Feb",$C$1)),Monthly!$D1028,((IF(ISNUMBER(FIND("Mar",$C$1)),Monthly!$E1028,(IF(ISNUMBER(FIND("Apr",$C$1)),Monthly!$F1028,((IF(ISNUMBER(FIND("May",$C$1)),Monthly!$G1028,((IF(ISNUMBER(FIND("Jun",$C$1)),Monthly!$H1028,(IF(ISNUMBER(FIND("Jul",$C$1)),Monthly!$I1028,(IF(ISNUMBER(FIND("Aug",$C$1)),Monthly!$J1028,(IF(ISNUMBER(FIND("Sep",$C$1)),Monthly!$K1028,(IF(ISNUMBER(FIND("Oct",$C$1)),Monthly!$L1028,(IF(ISNUMBER(FIND("Nov",$C$1)),Monthly!$M1028,(IF(ISNUMBER(FIND("Dec",$C$1)),Monthly!$N1028,))))))))))))))))))))))))))</f>
        <v>289</v>
      </c>
      <c r="N15" s="1148">
        <f>IF(ISNUMBER(FIND("Jan",$C$1)),Monthly!$C951,(IF(ISNUMBER(FIND("Feb",$C$1)),Monthly!$D951,((IF(ISNUMBER(FIND("Mar",$C$1)),Monthly!$E951,(IF(ISNUMBER(FIND("Apr",$C$1)),Monthly!$F951,((IF(ISNUMBER(FIND("May",$C$1)),Monthly!$G951,((IF(ISNUMBER(FIND("Jun",$C$1)),Monthly!$H951,(IF(ISNUMBER(FIND("Jul",$C$1)),Monthly!$I951,(IF(ISNUMBER(FIND("Aug",$C$1)),Monthly!$J951,(IF(ISNUMBER(FIND("Sep",$C$1)),Monthly!$K951,(IF(ISNUMBER(FIND("Oct",$C$1)),Monthly!$L951,(IF(ISNUMBER(FIND("Nov",$C$1)),Monthly!$M951,(IF(ISNUMBER(FIND("Dec",$C$1)),Monthly!$N951,))))))))))))))))))))))))))</f>
        <v>289</v>
      </c>
      <c r="O15" s="1148">
        <f>IF(ISNUMBER(FIND("Jan",$C$1)),Monthly!$C875,(IF(ISNUMBER(FIND("Feb",$C$1)),Monthly!$D875,((IF(ISNUMBER(FIND("Mar",$C$1)),Monthly!$E875,(IF(ISNUMBER(FIND("Apr",$C$1)),Monthly!$F875,((IF(ISNUMBER(FIND("May",$C$1)),Monthly!$G875,((IF(ISNUMBER(FIND("Jun",$C$1)),Monthly!$H875,(IF(ISNUMBER(FIND("Jul",$C$1)),Monthly!$I875,(IF(ISNUMBER(FIND("Aug",$C$1)),Monthly!$J875,(IF(ISNUMBER(FIND("Sep",$C$1)),Monthly!$K875,(IF(ISNUMBER(FIND("Oct",$C$1)),Monthly!$L875,(IF(ISNUMBER(FIND("Nov",$C$1)),Monthly!$M875,(IF(ISNUMBER(FIND("Dec",$C$1)),Monthly!$N875,))))))))))))))))))))))))))</f>
        <v>315</v>
      </c>
      <c r="P15" s="1148">
        <f>IF(ISNUMBER(FIND("Jan",$C$1)),Monthly!$C798,(IF(ISNUMBER(FIND("Feb",$C$1)),Monthly!$D798,((IF(ISNUMBER(FIND("Mar",$C$1)),Monthly!$E798,(IF(ISNUMBER(FIND("Apr",$C$1)),Monthly!$F798,((IF(ISNUMBER(FIND("May",$C$1)),Monthly!$G798,((IF(ISNUMBER(FIND("Jun",$C$1)),Monthly!$H798,(IF(ISNUMBER(FIND("Jul",$C$1)),Monthly!$I798,(IF(ISNUMBER(FIND("Aug",$C$1)),Monthly!$J798,(IF(ISNUMBER(FIND("Sep",$C$1)),Monthly!$K798,(IF(ISNUMBER(FIND("Oct",$C$1)),Monthly!$L798,(IF(ISNUMBER(FIND("Nov",$C$1)),Monthly!$M798,(IF(ISNUMBER(FIND("Dec",$C$1)),Monthly!$N798,))))))))))))))))))))))))))</f>
        <v>0</v>
      </c>
      <c r="Q15" s="1142">
        <f>IF(ISNUMBER(FIND("Jan",$C$1)),Monthly!$C721,(IF(ISNUMBER(FIND("Feb",$C$1)),Monthly!$D721,((IF(ISNUMBER(FIND("Mar",$C$1)),Monthly!$E721,(IF(ISNUMBER(FIND("Apr",$C$1)),Monthly!$F721,((IF(ISNUMBER(FIND("May",$C$1)),Monthly!$G721,((IF(ISNUMBER(FIND("Jun",$C$1)),Monthly!$H721,(IF(ISNUMBER(FIND("Jul",$C$1)),Monthly!$I721,(IF(ISNUMBER(FIND("Aug",$C$1)),Monthly!$J721,(IF(ISNUMBER(FIND("Sep",$C$1)),Monthly!$K721,(IF(ISNUMBER(FIND("Oct",$C$1)),Monthly!$L721,(IF(ISNUMBER(FIND("Nov",$C$1)),Monthly!$M721,(IF(ISNUMBER(FIND("Dec",$C$1)),Monthly!$N721,))))))))))))))))))))))))))</f>
        <v>0</v>
      </c>
      <c r="R15" s="1142"/>
      <c r="S15" s="1142"/>
      <c r="T15" s="1142"/>
      <c r="U15" s="1143">
        <f>Monthly!O414</f>
        <v>0</v>
      </c>
      <c r="V15" s="1142">
        <f>Monthly!O329</f>
        <v>0</v>
      </c>
      <c r="W15" s="1142"/>
      <c r="X15" s="1144">
        <f t="shared" si="4"/>
        <v>222.2</v>
      </c>
      <c r="Y15" s="1145">
        <f t="shared" si="5"/>
        <v>3.1742857142857142E-2</v>
      </c>
      <c r="Z15" s="1146"/>
      <c r="AA15" s="1147">
        <f t="shared" si="6"/>
        <v>332</v>
      </c>
      <c r="AB15" s="1147">
        <f t="shared" si="7"/>
        <v>0</v>
      </c>
    </row>
    <row r="16" spans="1:28" s="147" customFormat="1" ht="13.5">
      <c r="A16" s="1136"/>
      <c r="B16" s="1137" t="s">
        <v>402</v>
      </c>
      <c r="C16" s="1138">
        <f>IF(ISNUMBER(FIND("Jan",$C$1)),Monthly!$C1803,(IF(ISNUMBER(FIND("Feb",$C$1)),Monthly!$D1803,((IF(ISNUMBER(FIND("Mar",$C$1)),Monthly!$E1803,(IF(ISNUMBER(FIND("Apr",$C$1)),Monthly!$F1803,((IF(ISNUMBER(FIND("May",$C$1)),Monthly!$G1803,((IF(ISNUMBER(FIND("Jun",$C$1)),Monthly!$H1803,(IF(ISNUMBER(FIND("Jul",$C$1)),Monthly!$I1803,(IF(ISNUMBER(FIND("Aug",$C$1)),Monthly!$J1803,(IF(ISNUMBER(FIND("Sep",$C$1)),Monthly!$K1803,(IF(ISNUMBER(FIND("Oct",$C$1)),Monthly!$L1803,(IF(ISNUMBER(FIND("Nov",$C$1)),Monthly!$M1803,(IF(ISNUMBER(FIND("Dec",$C$1)),Monthly!$N1803,))))))))))))))))))))))))))</f>
        <v>0</v>
      </c>
      <c r="D16" s="1139">
        <f>IF(ISNUMBER(FIND("Jan",$C$1)),Monthly!$C1726,(IF(ISNUMBER(FIND("Feb",$C$1)),Monthly!$D1726,((IF(ISNUMBER(FIND("Mar",$C$1)),Monthly!$E1726,(IF(ISNUMBER(FIND("Apr",$C$1)),Monthly!$F1726,((IF(ISNUMBER(FIND("May",$C$1)),Monthly!$G1726,((IF(ISNUMBER(FIND("Jun",$C$1)),Monthly!$H1726,(IF(ISNUMBER(FIND("Jul",$C$1)),Monthly!$I1726,(IF(ISNUMBER(FIND("Aug",$C$1)),Monthly!$J1726,(IF(ISNUMBER(FIND("Sep",$C$1)),Monthly!$K1726,(IF(ISNUMBER(FIND("Oct",$C$1)),Monthly!$L1726,(IF(ISNUMBER(FIND("Nov",$C$1)),Monthly!$M1726,(IF(ISNUMBER(FIND("Dec",$C$1)),Monthly!$N1726,))))))))))))))))))))))))))</f>
        <v>50</v>
      </c>
      <c r="E16" s="1139">
        <f xml:space="preserve">
IF(ISNUMBER(FIND("Jan",$C$1)),Monthly!$C1648,(IF(ISNUMBER(FIND("Feb",$C$1)),Monthly!$D1648,((IF(ISNUMBER(FIND("Mar",$C$1)),Monthly!$E1648,(IF(ISNUMBER(FIND("Apr",$C$1)),Monthly!$F1648,((IF(ISNUMBER(FIND("May",$C$1)),Monthly!$G1648,((IF(ISNUMBER(FIND("Jun",$C$1)),Monthly!$H1648,(IF(ISNUMBER(FIND("Jul",$C$1)),Monthly!$I1648,(IF(ISNUMBER(FIND("Aug",$C$1)),Monthly!$J1648,(IF(ISNUMBER(FIND("Sep",$C$1)),Monthly!$K1648,(IF(ISNUMBER(FIND("Oct",$C$1)),Monthly!$L1648,(IF(ISNUMBER(FIND("Nov",$C$1)),Monthly!$M1648,(IF(ISNUMBER(FIND("Dec",$C$1)),Monthly!$N1648,))))))))))))))))))))))))))</f>
        <v>88</v>
      </c>
      <c r="F16" s="1138">
        <f>IF(ISNUMBER(FIND("Jan",$C$1)),Monthly!$C1570,(IF(ISNUMBER(FIND("Feb",$C$1)),Monthly!$D1570,((IF(ISNUMBER(FIND("Mar",$C$1)),Monthly!$E1570,(IF(ISNUMBER(FIND("Apr",$C$1)),Monthly!$F1570,((IF(ISNUMBER(FIND("May",$C$1)),Monthly!$G1570,((IF(ISNUMBER(FIND("Jun",$C$1)),Monthly!$H1570,(IF(ISNUMBER(FIND("Jul",$C$1)),Monthly!$I1570,(IF(ISNUMBER(FIND("Aug",$C$1)),Monthly!$J1570,(IF(ISNUMBER(FIND("Sep",$C$1)),Monthly!$K1570,(IF(ISNUMBER(FIND("Oct",$C$1)),Monthly!$L1570,(IF(ISNUMBER(FIND("Nov",$C$1)),Monthly!$M1570,(IF(ISNUMBER(FIND("Dec",$C$1)),Monthly!$N1570,))))))))))))))))))))))))))</f>
        <v>39</v>
      </c>
      <c r="G16" s="1139">
        <f>IF(ISNUMBER(FIND("Jan",$C$1)),Monthly!$C1492,(IF(ISNUMBER(FIND("Feb",$C$1)),Monthly!$D1492,((IF(ISNUMBER(FIND("Mar",$C$1)),Monthly!$E1492,(IF(ISNUMBER(FIND("Apr",$C$1)),Monthly!$F1492,((IF(ISNUMBER(FIND("May",$C$1)),Monthly!$G1492,((IF(ISNUMBER(FIND("Jun",$C$1)),Monthly!$H1492,(IF(ISNUMBER(FIND("Jul",$C$1)),Monthly!$I1492,(IF(ISNUMBER(FIND("Aug",$C$1)),Monthly!$J1492,(IF(ISNUMBER(FIND("Sep",$C$1)),Monthly!$K1492,(IF(ISNUMBER(FIND("Oct",$C$1)),Monthly!$L1492,(IF(ISNUMBER(FIND("Nov",$C$1)),Monthly!$M1492,(IF(ISNUMBER(FIND("Dec",$C$1)),Monthly!$N1492,))))))))))))))))))))))))))</f>
        <v>39</v>
      </c>
      <c r="H16" s="1139">
        <f>IF(ISNUMBER(FIND("Jan",$C$1)),Monthly!$C1415,(IF(ISNUMBER(FIND("Feb",$C$1)),Monthly!$D1415,((IF(ISNUMBER(FIND("Mar",$C$1)),Monthly!$E1415,(IF(ISNUMBER(FIND("Apr",$C$1)),Monthly!$F1415,((IF(ISNUMBER(FIND("May",$C$1)),Monthly!$G1415,((IF(ISNUMBER(FIND("Jun",$C$1)),Monthly!$H1415,(IF(ISNUMBER(FIND("Jul",$C$1)),Monthly!$I1415,(IF(ISNUMBER(FIND("Aug",$C$1)),Monthly!$J1415,(IF(ISNUMBER(FIND("Sep",$C$1)),Monthly!$K1415,(IF(ISNUMBER(FIND("Oct",$C$1)),Monthly!$L1415,(IF(ISNUMBER(FIND("Nov",$C$1)),Monthly!$M1415,(IF(ISNUMBER(FIND("Dec",$C$1)),Monthly!$N1415,))))))))))))))))))))))))))</f>
        <v>34</v>
      </c>
      <c r="I16" s="1139">
        <f>IF(ISNUMBER(FIND("Jan",$C$1)),Monthly!$C1338,(IF(ISNUMBER(FIND("Feb",$C$1)),Monthly!$D1338,((IF(ISNUMBER(FIND("Mar",$C$1)),Monthly!$E1338,(IF(ISNUMBER(FIND("Apr",$C$1)),Monthly!$F1338,((IF(ISNUMBER(FIND("May",$C$1)),Monthly!$G1338,((IF(ISNUMBER(FIND("Jun",$C$1)),Monthly!$H1338,(IF(ISNUMBER(FIND("Jul",$C$1)),Monthly!$I1338,(IF(ISNUMBER(FIND("Aug",$C$1)),Monthly!$J1338,(IF(ISNUMBER(FIND("Sep",$C$1)),Monthly!$K1338,(IF(ISNUMBER(FIND("Oct",$C$1)),Monthly!$L1338,(IF(ISNUMBER(FIND("Nov",$C$1)),Monthly!$M1338,(IF(ISNUMBER(FIND("Dec",$C$1)),Monthly!$N1338,))))))))))))))))))))))))))</f>
        <v>34</v>
      </c>
      <c r="J16" s="1138">
        <f>IF(ISNUMBER(FIND("Jan",$C$1)),Monthly!$C1261,(IF(ISNUMBER(FIND("Feb",$C$1)),Monthly!$D1261,((IF(ISNUMBER(FIND("Mar",$C$1)),Monthly!$E1261,(IF(ISNUMBER(FIND("Apr",$C$1)),Monthly!$F1261,((IF(ISNUMBER(FIND("May",$C$1)),Monthly!$G1261,((IF(ISNUMBER(FIND("Jun",$C$1)),Monthly!$H1261,(IF(ISNUMBER(FIND("Jul",$C$1)),Monthly!$I1261,(IF(ISNUMBER(FIND("Aug",$C$1)),Monthly!$J1261,(IF(ISNUMBER(FIND("Sep",$C$1)),Monthly!$K1261,(IF(ISNUMBER(FIND("Oct",$C$1)),Monthly!$L1261,(IF(ISNUMBER(FIND("Nov",$C$1)),Monthly!$M1261,(IF(ISNUMBER(FIND("Dec",$C$1)),Monthly!$N1261,))))))))))))))))))))))))))</f>
        <v>34</v>
      </c>
      <c r="K16" s="1148">
        <f>IF(ISNUMBER(FIND("Jan",$C$1)),Monthly!$C1183,(IF(ISNUMBER(FIND("Feb",$C$1)),Monthly!$D1183,((IF(ISNUMBER(FIND("Mar",$C$1)),Monthly!$E1183,(IF(ISNUMBER(FIND("Apr",$C$1)),Monthly!$F1183,((IF(ISNUMBER(FIND("May",$C$1)),Monthly!$G1183,((IF(ISNUMBER(FIND("Jun",$C$1)),Monthly!$H1183,(IF(ISNUMBER(FIND("Jul",$C$1)),Monthly!$I1183,(IF(ISNUMBER(FIND("Aug",$C$1)),Monthly!$J1183,(IF(ISNUMBER(FIND("Sep",$C$1)),Monthly!$K1183,(IF(ISNUMBER(FIND("Oct",$C$1)),Monthly!$L1183,(IF(ISNUMBER(FIND("Nov",$C$1)),Monthly!$M1183,(IF(ISNUMBER(FIND("Dec",$C$1)),Monthly!$N1183,))))))))))))))))))))))))))</f>
        <v>34</v>
      </c>
      <c r="L16" s="1139">
        <f>IF(ISNUMBER(FIND("Jan",$C$1)),Monthly!$C1106,(IF(ISNUMBER(FIND("Feb",$C$1)),Monthly!$D1106,((IF(ISNUMBER(FIND("Mar",$C$1)),Monthly!$E1106,(IF(ISNUMBER(FIND("Apr",$C$1)),Monthly!$F1106,((IF(ISNUMBER(FIND("May",$C$1)),Monthly!$G1106,((IF(ISNUMBER(FIND("Jun",$C$1)),Monthly!$H1106,(IF(ISNUMBER(FIND("Jul",$C$1)),Monthly!$I1106,(IF(ISNUMBER(FIND("Aug",$C$1)),Monthly!$J1106,(IF(ISNUMBER(FIND("Sep",$C$1)),Monthly!$K1106,(IF(ISNUMBER(FIND("Oct",$C$1)),Monthly!$L1106,(IF(ISNUMBER(FIND("Nov",$C$1)),Monthly!$M1106,(IF(ISNUMBER(FIND("Dec",$C$1)),Monthly!$N1106,))))))))))))))))))))))))))</f>
        <v>34</v>
      </c>
      <c r="M16" s="1139">
        <f>IF(ISNUMBER(FIND("Jan",$C$1)),Monthly!$C1029,(IF(ISNUMBER(FIND("Feb",$C$1)),Monthly!$D1029,((IF(ISNUMBER(FIND("Mar",$C$1)),Monthly!$E1029,(IF(ISNUMBER(FIND("Apr",$C$1)),Monthly!$F1029,((IF(ISNUMBER(FIND("May",$C$1)),Monthly!$G1029,((IF(ISNUMBER(FIND("Jun",$C$1)),Monthly!$H1029,(IF(ISNUMBER(FIND("Jul",$C$1)),Monthly!$I1029,(IF(ISNUMBER(FIND("Aug",$C$1)),Monthly!$J1029,(IF(ISNUMBER(FIND("Sep",$C$1)),Monthly!$K1029,(IF(ISNUMBER(FIND("Oct",$C$1)),Monthly!$L1029,(IF(ISNUMBER(FIND("Nov",$C$1)),Monthly!$M1029,(IF(ISNUMBER(FIND("Dec",$C$1)),Monthly!$N1029,))))))))))))))))))))))))))</f>
        <v>0</v>
      </c>
      <c r="N16" s="1148">
        <f>IF(ISNUMBER(FIND("Jan",$C$1)),Monthly!$C952,(IF(ISNUMBER(FIND("Feb",$C$1)),Monthly!$D952,((IF(ISNUMBER(FIND("Mar",$C$1)),Monthly!$E952,(IF(ISNUMBER(FIND("Apr",$C$1)),Monthly!$F952,((IF(ISNUMBER(FIND("May",$C$1)),Monthly!$G952,((IF(ISNUMBER(FIND("Jun",$C$1)),Monthly!$H952,(IF(ISNUMBER(FIND("Jul",$C$1)),Monthly!$I952,(IF(ISNUMBER(FIND("Aug",$C$1)),Monthly!$J952,(IF(ISNUMBER(FIND("Sep",$C$1)),Monthly!$K952,(IF(ISNUMBER(FIND("Oct",$C$1)),Monthly!$L952,(IF(ISNUMBER(FIND("Nov",$C$1)),Monthly!$M952,(IF(ISNUMBER(FIND("Dec",$C$1)),Monthly!$N952,))))))))))))))))))))))))))</f>
        <v>0</v>
      </c>
      <c r="O16" s="1148">
        <f>IF(ISNUMBER(FIND("Jan",$C$1)),Monthly!$C876,(IF(ISNUMBER(FIND("Feb",$C$1)),Monthly!$D876,((IF(ISNUMBER(FIND("Mar",$C$1)),Monthly!$E876,(IF(ISNUMBER(FIND("Apr",$C$1)),Monthly!$F876,((IF(ISNUMBER(FIND("May",$C$1)),Monthly!$G876,((IF(ISNUMBER(FIND("Jun",$C$1)),Monthly!$H876,(IF(ISNUMBER(FIND("Jul",$C$1)),Monthly!$I876,(IF(ISNUMBER(FIND("Aug",$C$1)),Monthly!$J876,(IF(ISNUMBER(FIND("Sep",$C$1)),Monthly!$K876,(IF(ISNUMBER(FIND("Oct",$C$1)),Monthly!$L876,(IF(ISNUMBER(FIND("Nov",$C$1)),Monthly!$M876,(IF(ISNUMBER(FIND("Dec",$C$1)),Monthly!$N876,))))))))))))))))))))))))))</f>
        <v>0</v>
      </c>
      <c r="P16" s="1148">
        <f>IF(ISNUMBER(FIND("Jan",$C$1)),Monthly!$C799,(IF(ISNUMBER(FIND("Feb",$C$1)),Monthly!$D799,((IF(ISNUMBER(FIND("Mar",$C$1)),Monthly!$E799,(IF(ISNUMBER(FIND("Apr",$C$1)),Monthly!$F799,((IF(ISNUMBER(FIND("May",$C$1)),Monthly!$G799,((IF(ISNUMBER(FIND("Jun",$C$1)),Monthly!$H799,(IF(ISNUMBER(FIND("Jul",$C$1)),Monthly!$I799,(IF(ISNUMBER(FIND("Aug",$C$1)),Monthly!$J799,(IF(ISNUMBER(FIND("Sep",$C$1)),Monthly!$K799,(IF(ISNUMBER(FIND("Oct",$C$1)),Monthly!$L799,(IF(ISNUMBER(FIND("Nov",$C$1)),Monthly!$M799,(IF(ISNUMBER(FIND("Dec",$C$1)),Monthly!$N799,))))))))))))))))))))))))))</f>
        <v>0</v>
      </c>
      <c r="Q16" s="1142">
        <f>IF(ISNUMBER(FIND("Jan",$C$1)),Monthly!$C722,(IF(ISNUMBER(FIND("Feb",$C$1)),Monthly!$D722,((IF(ISNUMBER(FIND("Mar",$C$1)),Monthly!$E722,(IF(ISNUMBER(FIND("Apr",$C$1)),Monthly!$F722,((IF(ISNUMBER(FIND("May",$C$1)),Monthly!$G722,((IF(ISNUMBER(FIND("Jun",$C$1)),Monthly!$H722,(IF(ISNUMBER(FIND("Jul",$C$1)),Monthly!$I722,(IF(ISNUMBER(FIND("Aug",$C$1)),Monthly!$J722,(IF(ISNUMBER(FIND("Sep",$C$1)),Monthly!$K722,(IF(ISNUMBER(FIND("Oct",$C$1)),Monthly!$L722,(IF(ISNUMBER(FIND("Nov",$C$1)),Monthly!$M722,(IF(ISNUMBER(FIND("Dec",$C$1)),Monthly!$N722,))))))))))))))))))))))))))</f>
        <v>0</v>
      </c>
      <c r="R16" s="1142"/>
      <c r="S16" s="1142"/>
      <c r="T16" s="1142"/>
      <c r="U16" s="1143">
        <f>Monthly!O415</f>
        <v>0</v>
      </c>
      <c r="V16" s="1142">
        <f>Monthly!O330</f>
        <v>0</v>
      </c>
      <c r="W16" s="1142"/>
      <c r="X16" s="1144">
        <f t="shared" si="4"/>
        <v>25.733333333333334</v>
      </c>
      <c r="Y16" s="1145">
        <f t="shared" si="5"/>
        <v>3.6761904761904761E-3</v>
      </c>
      <c r="Z16" s="1146"/>
      <c r="AA16" s="1147">
        <f t="shared" si="6"/>
        <v>88</v>
      </c>
      <c r="AB16" s="1147">
        <f t="shared" si="7"/>
        <v>0</v>
      </c>
    </row>
    <row r="17" spans="1:30" s="147" customFormat="1" ht="13.5">
      <c r="A17" s="1136"/>
      <c r="B17" s="1137" t="s">
        <v>403</v>
      </c>
      <c r="C17" s="1138">
        <f>IF(ISNUMBER(FIND("Jan",$C$1)),Monthly!$C1804,(IF(ISNUMBER(FIND("Feb",$C$1)),Monthly!$D1804,((IF(ISNUMBER(FIND("Mar",$C$1)),Monthly!$E1804,(IF(ISNUMBER(FIND("Apr",$C$1)),Monthly!$F1804,((IF(ISNUMBER(FIND("May",$C$1)),Monthly!$G1804,((IF(ISNUMBER(FIND("Jun",$C$1)),Monthly!$H1804,(IF(ISNUMBER(FIND("Jul",$C$1)),Monthly!$I1804,(IF(ISNUMBER(FIND("Aug",$C$1)),Monthly!$J1804,(IF(ISNUMBER(FIND("Sep",$C$1)),Monthly!$K1804,(IF(ISNUMBER(FIND("Oct",$C$1)),Monthly!$L1804,(IF(ISNUMBER(FIND("Nov",$C$1)),Monthly!$M1804,(IF(ISNUMBER(FIND("Dec",$C$1)),Monthly!$N1804,))))))))))))))))))))))))))</f>
        <v>0</v>
      </c>
      <c r="D17" s="1139">
        <f>IF(ISNUMBER(FIND("Jan",$C$1)),Monthly!$C1727,(IF(ISNUMBER(FIND("Feb",$C$1)),Monthly!$D1727,((IF(ISNUMBER(FIND("Mar",$C$1)),Monthly!$E1727,(IF(ISNUMBER(FIND("Apr",$C$1)),Monthly!$F1727,((IF(ISNUMBER(FIND("May",$C$1)),Monthly!$G1727,((IF(ISNUMBER(FIND("Jun",$C$1)),Monthly!$H1727,(IF(ISNUMBER(FIND("Jul",$C$1)),Monthly!$I1727,(IF(ISNUMBER(FIND("Aug",$C$1)),Monthly!$J1727,(IF(ISNUMBER(FIND("Sep",$C$1)),Monthly!$K1727,(IF(ISNUMBER(FIND("Oct",$C$1)),Monthly!$L1727,(IF(ISNUMBER(FIND("Nov",$C$1)),Monthly!$M1727,(IF(ISNUMBER(FIND("Dec",$C$1)),Monthly!$N1727,))))))))))))))))))))))))))</f>
        <v>0</v>
      </c>
      <c r="E17" s="1139">
        <f xml:space="preserve">
IF(ISNUMBER(FIND("Jan",$C$1)),Monthly!$C1649,(IF(ISNUMBER(FIND("Feb",$C$1)),Monthly!$D1649,((IF(ISNUMBER(FIND("Mar",$C$1)),Monthly!$E1649,(IF(ISNUMBER(FIND("Apr",$C$1)),Monthly!$F1649,((IF(ISNUMBER(FIND("May",$C$1)),Monthly!$G1649,((IF(ISNUMBER(FIND("Jun",$C$1)),Monthly!$H1649,(IF(ISNUMBER(FIND("Jul",$C$1)),Monthly!$I1649,(IF(ISNUMBER(FIND("Aug",$C$1)),Monthly!$J1649,(IF(ISNUMBER(FIND("Sep",$C$1)),Monthly!$K1649,(IF(ISNUMBER(FIND("Oct",$C$1)),Monthly!$L1649,(IF(ISNUMBER(FIND("Nov",$C$1)),Monthly!$M1649,(IF(ISNUMBER(FIND("Dec",$C$1)),Monthly!$N1649,))))))))))))))))))))))))))</f>
        <v>0</v>
      </c>
      <c r="F17" s="1138">
        <f>IF(ISNUMBER(FIND("Jan",$C$1)),Monthly!$C1571,(IF(ISNUMBER(FIND("Feb",$C$1)),Monthly!$D1571,((IF(ISNUMBER(FIND("Mar",$C$1)),Monthly!$E1571,(IF(ISNUMBER(FIND("Apr",$C$1)),Monthly!$F1571,((IF(ISNUMBER(FIND("May",$C$1)),Monthly!$G1571,((IF(ISNUMBER(FIND("Jun",$C$1)),Monthly!$H1571,(IF(ISNUMBER(FIND("Jul",$C$1)),Monthly!$I1571,(IF(ISNUMBER(FIND("Aug",$C$1)),Monthly!$J1571,(IF(ISNUMBER(FIND("Sep",$C$1)),Monthly!$K1571,(IF(ISNUMBER(FIND("Oct",$C$1)),Monthly!$L1571,(IF(ISNUMBER(FIND("Nov",$C$1)),Monthly!$M1571,(IF(ISNUMBER(FIND("Dec",$C$1)),Monthly!$N1571,))))))))))))))))))))))))))</f>
        <v>0</v>
      </c>
      <c r="G17" s="1139">
        <f>IF(ISNUMBER(FIND("Jan",$C$1)),Monthly!$C1493,(IF(ISNUMBER(FIND("Feb",$C$1)),Monthly!$D1493,((IF(ISNUMBER(FIND("Mar",$C$1)),Monthly!$E1493,(IF(ISNUMBER(FIND("Apr",$C$1)),Monthly!$F1493,((IF(ISNUMBER(FIND("May",$C$1)),Monthly!$G1493,((IF(ISNUMBER(FIND("Jun",$C$1)),Monthly!$H1493,(IF(ISNUMBER(FIND("Jul",$C$1)),Monthly!$I1493,(IF(ISNUMBER(FIND("Aug",$C$1)),Monthly!$J1493,(IF(ISNUMBER(FIND("Sep",$C$1)),Monthly!$K1493,(IF(ISNUMBER(FIND("Oct",$C$1)),Monthly!$L1493,(IF(ISNUMBER(FIND("Nov",$C$1)),Monthly!$M1493,(IF(ISNUMBER(FIND("Dec",$C$1)),Monthly!$N1493,))))))))))))))))))))))))))</f>
        <v>0</v>
      </c>
      <c r="H17" s="1139">
        <f>IF(ISNUMBER(FIND("Jan",$C$1)),Monthly!$C1416,(IF(ISNUMBER(FIND("Feb",$C$1)),Monthly!$D1416,((IF(ISNUMBER(FIND("Mar",$C$1)),Monthly!$E1416,(IF(ISNUMBER(FIND("Apr",$C$1)),Monthly!$F1416,((IF(ISNUMBER(FIND("May",$C$1)),Monthly!$G1416,((IF(ISNUMBER(FIND("Jun",$C$1)),Monthly!$H1416,(IF(ISNUMBER(FIND("Jul",$C$1)),Monthly!$I1416,(IF(ISNUMBER(FIND("Aug",$C$1)),Monthly!$J1416,(IF(ISNUMBER(FIND("Sep",$C$1)),Monthly!$K1416,(IF(ISNUMBER(FIND("Oct",$C$1)),Monthly!$L1416,(IF(ISNUMBER(FIND("Nov",$C$1)),Monthly!$M1416,(IF(ISNUMBER(FIND("Dec",$C$1)),Monthly!$N1416,))))))))))))))))))))))))))</f>
        <v>0</v>
      </c>
      <c r="I17" s="1139">
        <f>IF(ISNUMBER(FIND("Jan",$C$1)),Monthly!$C1339,(IF(ISNUMBER(FIND("Feb",$C$1)),Monthly!$D1339,((IF(ISNUMBER(FIND("Mar",$C$1)),Monthly!$E1339,(IF(ISNUMBER(FIND("Apr",$C$1)),Monthly!$F1339,((IF(ISNUMBER(FIND("May",$C$1)),Monthly!$G1339,((IF(ISNUMBER(FIND("Jun",$C$1)),Monthly!$H1339,(IF(ISNUMBER(FIND("Jul",$C$1)),Monthly!$I1339,(IF(ISNUMBER(FIND("Aug",$C$1)),Monthly!$J1339,(IF(ISNUMBER(FIND("Sep",$C$1)),Monthly!$K1339,(IF(ISNUMBER(FIND("Oct",$C$1)),Monthly!$L1339,(IF(ISNUMBER(FIND("Nov",$C$1)),Monthly!$M1339,(IF(ISNUMBER(FIND("Dec",$C$1)),Monthly!$N1339,))))))))))))))))))))))))))</f>
        <v>0</v>
      </c>
      <c r="J17" s="1138">
        <f>IF(ISNUMBER(FIND("Jan",$C$1)),Monthly!$C1262,(IF(ISNUMBER(FIND("Feb",$C$1)),Monthly!$D1262,((IF(ISNUMBER(FIND("Mar",$C$1)),Monthly!$E1262,(IF(ISNUMBER(FIND("Apr",$C$1)),Monthly!$F1262,((IF(ISNUMBER(FIND("May",$C$1)),Monthly!$G1262,((IF(ISNUMBER(FIND("Jun",$C$1)),Monthly!$H1262,(IF(ISNUMBER(FIND("Jul",$C$1)),Monthly!$I1262,(IF(ISNUMBER(FIND("Aug",$C$1)),Monthly!$J1262,(IF(ISNUMBER(FIND("Sep",$C$1)),Monthly!$K1262,(IF(ISNUMBER(FIND("Oct",$C$1)),Monthly!$L1262,(IF(ISNUMBER(FIND("Nov",$C$1)),Monthly!$M1262,(IF(ISNUMBER(FIND("Dec",$C$1)),Monthly!$N1262,))))))))))))))))))))))))))</f>
        <v>0</v>
      </c>
      <c r="K17" s="1148">
        <f>IF(ISNUMBER(FIND("Jan",$C$1)),Monthly!$C1184,(IF(ISNUMBER(FIND("Feb",$C$1)),Monthly!$D1184,((IF(ISNUMBER(FIND("Mar",$C$1)),Monthly!$E1184,(IF(ISNUMBER(FIND("Apr",$C$1)),Monthly!$F1184,((IF(ISNUMBER(FIND("May",$C$1)),Monthly!$G1184,((IF(ISNUMBER(FIND("Jun",$C$1)),Monthly!$H1184,(IF(ISNUMBER(FIND("Jul",$C$1)),Monthly!$I1184,(IF(ISNUMBER(FIND("Aug",$C$1)),Monthly!$J1184,(IF(ISNUMBER(FIND("Sep",$C$1)),Monthly!$K1184,(IF(ISNUMBER(FIND("Oct",$C$1)),Monthly!$L1184,(IF(ISNUMBER(FIND("Nov",$C$1)),Monthly!$M1184,(IF(ISNUMBER(FIND("Dec",$C$1)),Monthly!$N1184,))))))))))))))))))))))))))</f>
        <v>0</v>
      </c>
      <c r="L17" s="1139">
        <f>IF(ISNUMBER(FIND("Jan",$C$1)),Monthly!$C1107,(IF(ISNUMBER(FIND("Feb",$C$1)),Monthly!$D1107,((IF(ISNUMBER(FIND("Mar",$C$1)),Monthly!$E1107,(IF(ISNUMBER(FIND("Apr",$C$1)),Monthly!$F1107,((IF(ISNUMBER(FIND("May",$C$1)),Monthly!$G1107,((IF(ISNUMBER(FIND("Jun",$C$1)),Monthly!$H1107,(IF(ISNUMBER(FIND("Jul",$C$1)),Monthly!$I1107,(IF(ISNUMBER(FIND("Aug",$C$1)),Monthly!$J1107,(IF(ISNUMBER(FIND("Sep",$C$1)),Monthly!$K1107,(IF(ISNUMBER(FIND("Oct",$C$1)),Monthly!$L1107,(IF(ISNUMBER(FIND("Nov",$C$1)),Monthly!$M1107,(IF(ISNUMBER(FIND("Dec",$C$1)),Monthly!$N1107,))))))))))))))))))))))))))</f>
        <v>200</v>
      </c>
      <c r="M17" s="1139">
        <f>IF(ISNUMBER(FIND("Jan",$C$1)),Monthly!$C1030,(IF(ISNUMBER(FIND("Feb",$C$1)),Monthly!$D1030,((IF(ISNUMBER(FIND("Mar",$C$1)),Monthly!$E1030,(IF(ISNUMBER(FIND("Apr",$C$1)),Monthly!$F1030,((IF(ISNUMBER(FIND("May",$C$1)),Monthly!$G1030,((IF(ISNUMBER(FIND("Jun",$C$1)),Monthly!$H1030,(IF(ISNUMBER(FIND("Jul",$C$1)),Monthly!$I1030,(IF(ISNUMBER(FIND("Aug",$C$1)),Monthly!$J1030,(IF(ISNUMBER(FIND("Sep",$C$1)),Monthly!$K1030,(IF(ISNUMBER(FIND("Oct",$C$1)),Monthly!$L1030,(IF(ISNUMBER(FIND("Nov",$C$1)),Monthly!$M1030,(IF(ISNUMBER(FIND("Dec",$C$1)),Monthly!$N1030,))))))))))))))))))))))))))</f>
        <v>0</v>
      </c>
      <c r="N17" s="1148">
        <f>IF(ISNUMBER(FIND("Jan",$C$1)),Monthly!$C953,(IF(ISNUMBER(FIND("Feb",$C$1)),Monthly!$D953,((IF(ISNUMBER(FIND("Mar",$C$1)),Monthly!$E953,(IF(ISNUMBER(FIND("Apr",$C$1)),Monthly!$F953,((IF(ISNUMBER(FIND("May",$C$1)),Monthly!$G953,((IF(ISNUMBER(FIND("Jun",$C$1)),Monthly!$H953,(IF(ISNUMBER(FIND("Jul",$C$1)),Monthly!$I953,(IF(ISNUMBER(FIND("Aug",$C$1)),Monthly!$J953,(IF(ISNUMBER(FIND("Sep",$C$1)),Monthly!$K953,(IF(ISNUMBER(FIND("Oct",$C$1)),Monthly!$L953,(IF(ISNUMBER(FIND("Nov",$C$1)),Monthly!$M953,(IF(ISNUMBER(FIND("Dec",$C$1)),Monthly!$N953,))))))))))))))))))))))))))</f>
        <v>0</v>
      </c>
      <c r="O17" s="1148">
        <f>IF(ISNUMBER(FIND("Jan",$C$1)),Monthly!$C877,(IF(ISNUMBER(FIND("Feb",$C$1)),Monthly!$D877,((IF(ISNUMBER(FIND("Mar",$C$1)),Monthly!$E877,(IF(ISNUMBER(FIND("Apr",$C$1)),Monthly!$F877,((IF(ISNUMBER(FIND("May",$C$1)),Monthly!$G877,((IF(ISNUMBER(FIND("Jun",$C$1)),Monthly!$H877,(IF(ISNUMBER(FIND("Jul",$C$1)),Monthly!$I877,(IF(ISNUMBER(FIND("Aug",$C$1)),Monthly!$J877,(IF(ISNUMBER(FIND("Sep",$C$1)),Monthly!$K877,(IF(ISNUMBER(FIND("Oct",$C$1)),Monthly!$L877,(IF(ISNUMBER(FIND("Nov",$C$1)),Monthly!$M877,(IF(ISNUMBER(FIND("Dec",$C$1)),Monthly!$N877,))))))))))))))))))))))))))</f>
        <v>0</v>
      </c>
      <c r="P17" s="1148">
        <f>IF(ISNUMBER(FIND("Jan",$C$1)),Monthly!$C800,(IF(ISNUMBER(FIND("Feb",$C$1)),Monthly!$D800,((IF(ISNUMBER(FIND("Mar",$C$1)),Monthly!$E800,(IF(ISNUMBER(FIND("Apr",$C$1)),Monthly!$F800,((IF(ISNUMBER(FIND("May",$C$1)),Monthly!$G800,((IF(ISNUMBER(FIND("Jun",$C$1)),Monthly!$H800,(IF(ISNUMBER(FIND("Jul",$C$1)),Monthly!$I800,(IF(ISNUMBER(FIND("Aug",$C$1)),Monthly!$J800,(IF(ISNUMBER(FIND("Sep",$C$1)),Monthly!$K800,(IF(ISNUMBER(FIND("Oct",$C$1)),Monthly!$L800,(IF(ISNUMBER(FIND("Nov",$C$1)),Monthly!$M800,(IF(ISNUMBER(FIND("Dec",$C$1)),Monthly!$N800,))))))))))))))))))))))))))</f>
        <v>3</v>
      </c>
      <c r="Q17" s="1142">
        <f>IF(ISNUMBER(FIND("Jan",$C$1)),Monthly!$C723,(IF(ISNUMBER(FIND("Feb",$C$1)),Monthly!$D723,((IF(ISNUMBER(FIND("Mar",$C$1)),Monthly!$E723,(IF(ISNUMBER(FIND("Apr",$C$1)),Monthly!$F723,((IF(ISNUMBER(FIND("May",$C$1)),Monthly!$G723,((IF(ISNUMBER(FIND("Jun",$C$1)),Monthly!$H723,(IF(ISNUMBER(FIND("Jul",$C$1)),Monthly!$I723,(IF(ISNUMBER(FIND("Aug",$C$1)),Monthly!$J723,(IF(ISNUMBER(FIND("Sep",$C$1)),Monthly!$K723,(IF(ISNUMBER(FIND("Oct",$C$1)),Monthly!$L723,(IF(ISNUMBER(FIND("Nov",$C$1)),Monthly!$M723,(IF(ISNUMBER(FIND("Dec",$C$1)),Monthly!$N723,))))))))))))))))))))))))))</f>
        <v>3</v>
      </c>
      <c r="R17" s="1142"/>
      <c r="S17" s="1142"/>
      <c r="T17" s="1142"/>
      <c r="U17" s="1143">
        <f>Monthly!O416</f>
        <v>7.75</v>
      </c>
      <c r="V17" s="1142">
        <f>Monthly!O331</f>
        <v>1605.4166666666667</v>
      </c>
      <c r="W17" s="1142"/>
      <c r="X17" s="1144">
        <f t="shared" si="4"/>
        <v>13.733333333333333</v>
      </c>
      <c r="Y17" s="1145">
        <f t="shared" si="5"/>
        <v>1.9619047619047619E-3</v>
      </c>
      <c r="Z17" s="1146"/>
      <c r="AA17" s="1147">
        <f t="shared" si="6"/>
        <v>200</v>
      </c>
      <c r="AB17" s="1147">
        <f t="shared" si="7"/>
        <v>0</v>
      </c>
      <c r="AC17" s="140"/>
      <c r="AD17" s="141"/>
    </row>
    <row r="18" spans="1:30" s="148" customFormat="1" ht="13.5">
      <c r="A18" s="2293" t="s">
        <v>404</v>
      </c>
      <c r="B18" s="2294"/>
      <c r="C18" s="2287">
        <f>SUM(C20:C25)</f>
        <v>1752</v>
      </c>
      <c r="D18" s="2287">
        <f t="shared" ref="D18:X18" si="8">SUM(D20:D25)</f>
        <v>412</v>
      </c>
      <c r="E18" s="2287">
        <f t="shared" si="8"/>
        <v>99</v>
      </c>
      <c r="F18" s="2287">
        <f t="shared" si="8"/>
        <v>499</v>
      </c>
      <c r="G18" s="2287">
        <f t="shared" si="8"/>
        <v>406</v>
      </c>
      <c r="H18" s="2287">
        <f t="shared" si="8"/>
        <v>163</v>
      </c>
      <c r="I18" s="2287">
        <f t="shared" si="8"/>
        <v>118</v>
      </c>
      <c r="J18" s="2287">
        <f t="shared" si="8"/>
        <v>558</v>
      </c>
      <c r="K18" s="2287">
        <f t="shared" si="8"/>
        <v>568</v>
      </c>
      <c r="L18" s="2287">
        <f t="shared" si="8"/>
        <v>573</v>
      </c>
      <c r="M18" s="2287">
        <f t="shared" si="8"/>
        <v>576</v>
      </c>
      <c r="N18" s="2287">
        <f t="shared" si="8"/>
        <v>561</v>
      </c>
      <c r="O18" s="2287">
        <f>SUM(O20:O25)</f>
        <v>92</v>
      </c>
      <c r="P18" s="2287">
        <f>SUM(P20:P25)</f>
        <v>1054.3333333333335</v>
      </c>
      <c r="Q18" s="2287">
        <f>SUM(Q20:Q25)</f>
        <v>1075.3333333333335</v>
      </c>
      <c r="R18" s="2287">
        <f t="shared" ref="R18:W18" si="9">SUM(R20:R25)</f>
        <v>0</v>
      </c>
      <c r="S18" s="2287">
        <f t="shared" si="9"/>
        <v>0</v>
      </c>
      <c r="T18" s="2287">
        <f t="shared" si="9"/>
        <v>0</v>
      </c>
      <c r="U18" s="2287">
        <f t="shared" si="9"/>
        <v>760.88888888888891</v>
      </c>
      <c r="V18" s="2287">
        <f t="shared" si="9"/>
        <v>251.66666666666666</v>
      </c>
      <c r="W18" s="2287">
        <f t="shared" si="9"/>
        <v>0</v>
      </c>
      <c r="X18" s="2287">
        <f t="shared" si="8"/>
        <v>567.11111111111109</v>
      </c>
      <c r="Y18" s="1135"/>
      <c r="Z18" s="1134"/>
      <c r="AA18" s="1149">
        <f>MAX(C18:M18)</f>
        <v>1752</v>
      </c>
      <c r="AB18" s="1149">
        <f>MIN(C18:M18)</f>
        <v>99</v>
      </c>
      <c r="AC18" s="140"/>
      <c r="AD18" s="141"/>
    </row>
    <row r="19" spans="1:30" s="148" customFormat="1" ht="13.5">
      <c r="A19" s="2293"/>
      <c r="B19" s="2294"/>
      <c r="C19" s="2288"/>
      <c r="D19" s="2288"/>
      <c r="E19" s="2288"/>
      <c r="F19" s="2288"/>
      <c r="G19" s="2288"/>
      <c r="H19" s="2288"/>
      <c r="I19" s="2288"/>
      <c r="J19" s="2288"/>
      <c r="K19" s="2288"/>
      <c r="L19" s="2288"/>
      <c r="M19" s="2288"/>
      <c r="N19" s="2288"/>
      <c r="O19" s="2288"/>
      <c r="P19" s="2288"/>
      <c r="Q19" s="2288"/>
      <c r="R19" s="2288"/>
      <c r="S19" s="2288"/>
      <c r="T19" s="2288"/>
      <c r="U19" s="2288"/>
      <c r="V19" s="2288"/>
      <c r="W19" s="2288"/>
      <c r="X19" s="2288"/>
      <c r="Y19" s="1135"/>
      <c r="Z19" s="1135"/>
      <c r="AA19" s="1135"/>
      <c r="AB19" s="1135"/>
      <c r="AC19" s="140"/>
      <c r="AD19" s="141"/>
    </row>
    <row r="20" spans="1:30" s="147" customFormat="1" ht="13.5">
      <c r="A20" s="1136"/>
      <c r="B20" s="1137" t="s">
        <v>405</v>
      </c>
      <c r="C20" s="1138">
        <f>IF(ISNUMBER(FIND("Jan",$C$1)),Monthly!$C1807,(IF(ISNUMBER(FIND("Feb",$C$1)),Monthly!$D1807,((IF(ISNUMBER(FIND("Mar",$C$1)),Monthly!$E1807,(IF(ISNUMBER(FIND("Apr",$C$1)),Monthly!$F1807,((IF(ISNUMBER(FIND("May",$C$1)),Monthly!$G1807,((IF(ISNUMBER(FIND("Jun",$C$1)),Monthly!$H1807,(IF(ISNUMBER(FIND("Jul",$C$1)),Monthly!$I1807,(IF(ISNUMBER(FIND("Aug",$C$1)),Monthly!$J1807,(IF(ISNUMBER(FIND("Sep",$C$1)),Monthly!$K1807,(IF(ISNUMBER(FIND("Oct",$C$1)),Monthly!$L1807,(IF(ISNUMBER(FIND("Nov",$C$1)),Monthly!$M1807,(IF(ISNUMBER(FIND("Dec",$C$1)),Monthly!$N1807,))))))))))))))))))))))))))</f>
        <v>1721</v>
      </c>
      <c r="D20" s="1139">
        <f>IF(ISNUMBER(FIND("Jan",$C$1)),Monthly!$C1730,(IF(ISNUMBER(FIND("Feb",$C$1)),Monthly!$D1730,((IF(ISNUMBER(FIND("Mar",$C$1)),Monthly!$E1730,(IF(ISNUMBER(FIND("Apr",$C$1)),Monthly!$F1730,((IF(ISNUMBER(FIND("May",$C$1)),Monthly!$G1730,((IF(ISNUMBER(FIND("Jun",$C$1)),Monthly!$H1730,(IF(ISNUMBER(FIND("Jul",$C$1)),Monthly!$I1730,(IF(ISNUMBER(FIND("Aug",$C$1)),Monthly!$J1730,(IF(ISNUMBER(FIND("Sep",$C$1)),Monthly!$K1730,(IF(ISNUMBER(FIND("Oct",$C$1)),Monthly!$L1730,(IF(ISNUMBER(FIND("Nov",$C$1)),Monthly!$M1730,(IF(ISNUMBER(FIND("Dec",$C$1)),Monthly!$N1730,))))))))))))))))))))))))))</f>
        <v>0</v>
      </c>
      <c r="E20" s="1139">
        <f xml:space="preserve">
IF(ISNUMBER(FIND("Jan",$C$1)),Monthly!$C1652,(IF(ISNUMBER(FIND("Feb",$C$1)),Monthly!$D1652,((IF(ISNUMBER(FIND("Mar",$C$1)),Monthly!$E1652,(IF(ISNUMBER(FIND("Apr",$C$1)),Monthly!$F1652,((IF(ISNUMBER(FIND("May",$C$1)),Monthly!$G1652,((IF(ISNUMBER(FIND("Jun",$C$1)),Monthly!$H1652,(IF(ISNUMBER(FIND("Jul",$C$1)),Monthly!$I1652,(IF(ISNUMBER(FIND("Aug",$C$1)),Monthly!$J1652,(IF(ISNUMBER(FIND("Sep",$C$1)),Monthly!$K1652,(IF(ISNUMBER(FIND("Oct",$C$1)),Monthly!$L1652,(IF(ISNUMBER(FIND("Nov",$C$1)),Monthly!$M1652,(IF(ISNUMBER(FIND("Dec",$C$1)),Monthly!$N1652,))))))))))))))))))))))))))</f>
        <v>0</v>
      </c>
      <c r="F20" s="1138">
        <f>IF(ISNUMBER(FIND("Jan",$C$1)),Monthly!$C1574,(IF(ISNUMBER(FIND("Feb",$C$1)),Monthly!$D1574,((IF(ISNUMBER(FIND("Mar",$C$1)),Monthly!$E1574,(IF(ISNUMBER(FIND("Apr",$C$1)),Monthly!$F1574,((IF(ISNUMBER(FIND("May",$C$1)),Monthly!$G1574,((IF(ISNUMBER(FIND("Jun",$C$1)),Monthly!$H1574,(IF(ISNUMBER(FIND("Jul",$C$1)),Monthly!$I1574,(IF(ISNUMBER(FIND("Aug",$C$1)),Monthly!$J1574,(IF(ISNUMBER(FIND("Sep",$C$1)),Monthly!$K1574,(IF(ISNUMBER(FIND("Oct",$C$1)),Monthly!$L1574,(IF(ISNUMBER(FIND("Nov",$C$1)),Monthly!$M1574,(IF(ISNUMBER(FIND("Dec",$C$1)),Monthly!$N1574,))))))))))))))))))))))))))</f>
        <v>0</v>
      </c>
      <c r="G20" s="1139">
        <f>IF(ISNUMBER(FIND("Jan",$C$1)),Monthly!$C1496,(IF(ISNUMBER(FIND("Feb",$C$1)),Monthly!$D1496,((IF(ISNUMBER(FIND("Mar",$C$1)),Monthly!$E1496,(IF(ISNUMBER(FIND("Apr",$C$1)),Monthly!$F1496,((IF(ISNUMBER(FIND("May",$C$1)),Monthly!$G1496,((IF(ISNUMBER(FIND("Jun",$C$1)),Monthly!$H1496,(IF(ISNUMBER(FIND("Jul",$C$1)),Monthly!$I1496,(IF(ISNUMBER(FIND("Aug",$C$1)),Monthly!$J1496,(IF(ISNUMBER(FIND("Sep",$C$1)),Monthly!$K1496,(IF(ISNUMBER(FIND("Oct",$C$1)),Monthly!$L1496,(IF(ISNUMBER(FIND("Nov",$C$1)),Monthly!$M1496,(IF(ISNUMBER(FIND("Dec",$C$1)),Monthly!$N1496,))))))))))))))))))))))))))</f>
        <v>0</v>
      </c>
      <c r="H20" s="1139">
        <f>IF(ISNUMBER(FIND("Jan",$C$1)),Monthly!$C1419,(IF(ISNUMBER(FIND("Feb",$C$1)),Monthly!$D1419,((IF(ISNUMBER(FIND("Mar",$C$1)),Monthly!$E1419,(IF(ISNUMBER(FIND("Apr",$C$1)),Monthly!$F1419,((IF(ISNUMBER(FIND("May",$C$1)),Monthly!$G1419,((IF(ISNUMBER(FIND("Jun",$C$1)),Monthly!$H1419,(IF(ISNUMBER(FIND("Jul",$C$1)),Monthly!$I1419,(IF(ISNUMBER(FIND("Aug",$C$1)),Monthly!$J1419,(IF(ISNUMBER(FIND("Sep",$C$1)),Monthly!$K1419,(IF(ISNUMBER(FIND("Oct",$C$1)),Monthly!$L1419,(IF(ISNUMBER(FIND("Nov",$C$1)),Monthly!$M1419,(IF(ISNUMBER(FIND("Dec",$C$1)),Monthly!$N1419,))))))))))))))))))))))))))</f>
        <v>0</v>
      </c>
      <c r="I20" s="1139">
        <f>IF(ISNUMBER(FIND("Jan",$C$1)),Monthly!$C1342,(IF(ISNUMBER(FIND("Feb",$C$1)),Monthly!$D1342,((IF(ISNUMBER(FIND("Mar",$C$1)),Monthly!$E1342,(IF(ISNUMBER(FIND("Apr",$C$1)),Monthly!$F1342,((IF(ISNUMBER(FIND("May",$C$1)),Monthly!$G1342,((IF(ISNUMBER(FIND("Jun",$C$1)),Monthly!$H1342,(IF(ISNUMBER(FIND("Jul",$C$1)),Monthly!$I1342,(IF(ISNUMBER(FIND("Aug",$C$1)),Monthly!$J1342,(IF(ISNUMBER(FIND("Sep",$C$1)),Monthly!$K1342,(IF(ISNUMBER(FIND("Oct",$C$1)),Monthly!$L1342,(IF(ISNUMBER(FIND("Nov",$C$1)),Monthly!$M1342,(IF(ISNUMBER(FIND("Dec",$C$1)),Monthly!$N1342,))))))))))))))))))))))))))</f>
        <v>0</v>
      </c>
      <c r="J20" s="1138">
        <f>IF(ISNUMBER(FIND("Jan",$C$1)),Monthly!$C1265,(IF(ISNUMBER(FIND("Feb",$C$1)),Monthly!$D1265,((IF(ISNUMBER(FIND("Mar",$C$1)),Monthly!$E1265,(IF(ISNUMBER(FIND("Apr",$C$1)),Monthly!$F1265,((IF(ISNUMBER(FIND("May",$C$1)),Monthly!$G1265,((IF(ISNUMBER(FIND("Jun",$C$1)),Monthly!$H1265,(IF(ISNUMBER(FIND("Jul",$C$1)),Monthly!$I1265,(IF(ISNUMBER(FIND("Aug",$C$1)),Monthly!$J1265,(IF(ISNUMBER(FIND("Sep",$C$1)),Monthly!$K1265,(IF(ISNUMBER(FIND("Oct",$C$1)),Monthly!$L1265,(IF(ISNUMBER(FIND("Nov",$C$1)),Monthly!$M1265,(IF(ISNUMBER(FIND("Dec",$C$1)),Monthly!$N1265,))))))))))))))))))))))))))</f>
        <v>470</v>
      </c>
      <c r="K20" s="1148">
        <f>IF(ISNUMBER(FIND("Jan",$C$1)),Monthly!$C1187,(IF(ISNUMBER(FIND("Feb",$C$1)),Monthly!$D1187,((IF(ISNUMBER(FIND("Mar",$C$1)),Monthly!$E1187,(IF(ISNUMBER(FIND("Apr",$C$1)),Monthly!$F1187,((IF(ISNUMBER(FIND("May",$C$1)),Monthly!$G1187,((IF(ISNUMBER(FIND("Jun",$C$1)),Monthly!$H1187,(IF(ISNUMBER(FIND("Jul",$C$1)),Monthly!$I1187,(IF(ISNUMBER(FIND("Aug",$C$1)),Monthly!$J1187,(IF(ISNUMBER(FIND("Sep",$C$1)),Monthly!$K1187,(IF(ISNUMBER(FIND("Oct",$C$1)),Monthly!$L1187,(IF(ISNUMBER(FIND("Nov",$C$1)),Monthly!$M1187,(IF(ISNUMBER(FIND("Dec",$C$1)),Monthly!$N1187,))))))))))))))))))))))))))</f>
        <v>470</v>
      </c>
      <c r="L20" s="1139">
        <f>IF(ISNUMBER(FIND("Jan",$C$1)),Monthly!$C1110,(IF(ISNUMBER(FIND("Feb",$C$1)),Monthly!$D1110,((IF(ISNUMBER(FIND("Mar",$C$1)),Monthly!$E1110,(IF(ISNUMBER(FIND("Apr",$C$1)),Monthly!$F1110,((IF(ISNUMBER(FIND("May",$C$1)),Monthly!$G1110,((IF(ISNUMBER(FIND("Jun",$C$1)),Monthly!$H1110,(IF(ISNUMBER(FIND("Jul",$C$1)),Monthly!$I1110,(IF(ISNUMBER(FIND("Aug",$C$1)),Monthly!$J1110,(IF(ISNUMBER(FIND("Sep",$C$1)),Monthly!$K1110,(IF(ISNUMBER(FIND("Oct",$C$1)),Monthly!$L1110,(IF(ISNUMBER(FIND("Nov",$C$1)),Monthly!$M1110,(IF(ISNUMBER(FIND("Dec",$C$1)),Monthly!$N1110,))))))))))))))))))))))))))</f>
        <v>470</v>
      </c>
      <c r="M20" s="1139">
        <f>IF(ISNUMBER(FIND("Jan",$C$1)),Monthly!$C1033,(IF(ISNUMBER(FIND("Feb",$C$1)),Monthly!$D1033,((IF(ISNUMBER(FIND("Mar",$C$1)),Monthly!$E1033,(IF(ISNUMBER(FIND("Apr",$C$1)),Monthly!$F1033,((IF(ISNUMBER(FIND("May",$C$1)),Monthly!$G1033,((IF(ISNUMBER(FIND("Jun",$C$1)),Monthly!$H1033,(IF(ISNUMBER(FIND("Jul",$C$1)),Monthly!$I1033,(IF(ISNUMBER(FIND("Aug",$C$1)),Monthly!$J1033,(IF(ISNUMBER(FIND("Sep",$C$1)),Monthly!$K1033,(IF(ISNUMBER(FIND("Oct",$C$1)),Monthly!$L1033,(IF(ISNUMBER(FIND("Nov",$C$1)),Monthly!$M1033,(IF(ISNUMBER(FIND("Dec",$C$1)),Monthly!$N1033,))))))))))))))))))))))))))</f>
        <v>470</v>
      </c>
      <c r="N20" s="1148">
        <f>IF(ISNUMBER(FIND("Jan",$C$1)),Monthly!$C956,(IF(ISNUMBER(FIND("Feb",$C$1)),Monthly!$D956,((IF(ISNUMBER(FIND("Mar",$C$1)),Monthly!$E956,(IF(ISNUMBER(FIND("Apr",$C$1)),Monthly!$F956,((IF(ISNUMBER(FIND("May",$C$1)),Monthly!$G956,((IF(ISNUMBER(FIND("Jun",$C$1)),Monthly!$H956,(IF(ISNUMBER(FIND("Jul",$C$1)),Monthly!$I956,(IF(ISNUMBER(FIND("Aug",$C$1)),Monthly!$J956,(IF(ISNUMBER(FIND("Sep",$C$1)),Monthly!$K956,(IF(ISNUMBER(FIND("Oct",$C$1)),Monthly!$L956,(IF(ISNUMBER(FIND("Nov",$C$1)),Monthly!$M956,(IF(ISNUMBER(FIND("Dec",$C$1)),Monthly!$N956,))))))))))))))))))))))))))</f>
        <v>470</v>
      </c>
      <c r="O20" s="1148">
        <f>IF(ISNUMBER(FIND("Jan",$C$1)),Monthly!$C880,(IF(ISNUMBER(FIND("Feb",$C$1)),Monthly!$D880,((IF(ISNUMBER(FIND("Mar",$C$1)),Monthly!$E880,(IF(ISNUMBER(FIND("Apr",$C$1)),Monthly!$F880,((IF(ISNUMBER(FIND("May",$C$1)),Monthly!$G880,((IF(ISNUMBER(FIND("Jun",$C$1)),Monthly!$H880,(IF(ISNUMBER(FIND("Jul",$C$1)),Monthly!$I880,(IF(ISNUMBER(FIND("Aug",$C$1)),Monthly!$J880,(IF(ISNUMBER(FIND("Sep",$C$1)),Monthly!$K880,(IF(ISNUMBER(FIND("Oct",$C$1)),Monthly!$L880,(IF(ISNUMBER(FIND("Nov",$C$1)),Monthly!$M880,(IF(ISNUMBER(FIND("Dec",$C$1)),Monthly!$N880,))))))))))))))))))))))))))</f>
        <v>0</v>
      </c>
      <c r="P20" s="1148">
        <f>IF(ISNUMBER(FIND("Jan",$C$1)),Monthly!$C803,(IF(ISNUMBER(FIND("Feb",$C$1)),Monthly!$D803,((IF(ISNUMBER(FIND("Mar",$C$1)),Monthly!$E803,(IF(ISNUMBER(FIND("Apr",$C$1)),Monthly!$F803,((IF(ISNUMBER(FIND("May",$C$1)),Monthly!$G803,((IF(ISNUMBER(FIND("Jun",$C$1)),Monthly!$H803,(IF(ISNUMBER(FIND("Jul",$C$1)),Monthly!$I803,(IF(ISNUMBER(FIND("Aug",$C$1)),Monthly!$J803,(IF(ISNUMBER(FIND("Sep",$C$1)),Monthly!$K803,(IF(ISNUMBER(FIND("Oct",$C$1)),Monthly!$L803,(IF(ISNUMBER(FIND("Nov",$C$1)),Monthly!$M803,(IF(ISNUMBER(FIND("Dec",$C$1)),Monthly!$N803,))))))))))))))))))))))))))</f>
        <v>778.33333333333337</v>
      </c>
      <c r="Q20" s="1142">
        <f>IF(ISNUMBER(FIND("Jan",$C$1)),Monthly!$C726,(IF(ISNUMBER(FIND("Feb",$C$1)),Monthly!$D726,((IF(ISNUMBER(FIND("Mar",$C$1)),Monthly!$E726,(IF(ISNUMBER(FIND("Apr",$C$1)),Monthly!$F726,((IF(ISNUMBER(FIND("May",$C$1)),Monthly!$G726,((IF(ISNUMBER(FIND("Jun",$C$1)),Monthly!$H726,(IF(ISNUMBER(FIND("Jul",$C$1)),Monthly!$I726,(IF(ISNUMBER(FIND("Aug",$C$1)),Monthly!$J726,(IF(ISNUMBER(FIND("Sep",$C$1)),Monthly!$K726,(IF(ISNUMBER(FIND("Oct",$C$1)),Monthly!$L726,(IF(ISNUMBER(FIND("Nov",$C$1)),Monthly!$M726,(IF(ISNUMBER(FIND("Dec",$C$1)),Monthly!$N726,))))))))))))))))))))))))))</f>
        <v>778.33333333333337</v>
      </c>
      <c r="R20" s="1142"/>
      <c r="S20" s="1142"/>
      <c r="T20" s="1142"/>
      <c r="U20" s="1143">
        <f>Monthly!O419</f>
        <v>454.02777777777777</v>
      </c>
      <c r="V20" s="1142">
        <f>Monthly!O334</f>
        <v>0</v>
      </c>
      <c r="W20" s="1142"/>
      <c r="X20" s="1144">
        <f t="shared" ref="X20:X25" si="10">SUM(C20:Q20)/$E$77</f>
        <v>375.17777777777775</v>
      </c>
      <c r="Y20" s="1145">
        <f t="shared" ref="Y20:Y25" si="11">X20/7000</f>
        <v>5.3596825396825393E-2</v>
      </c>
      <c r="Z20" s="1146"/>
      <c r="AA20" s="1147">
        <f t="shared" ref="AA20:AA25" si="12">MAX(C20:Q20)</f>
        <v>1721</v>
      </c>
      <c r="AB20" s="1147">
        <f t="shared" ref="AB20:AB25" si="13">MIN(C20:Q20)</f>
        <v>0</v>
      </c>
      <c r="AC20" s="140"/>
      <c r="AD20" s="141"/>
    </row>
    <row r="21" spans="1:30" s="147" customFormat="1" ht="13.5">
      <c r="A21" s="1136"/>
      <c r="B21" s="1137" t="s">
        <v>400</v>
      </c>
      <c r="C21" s="1138">
        <f>IF(ISNUMBER(FIND("Jan",$C$1)),Monthly!$C1808,(IF(ISNUMBER(FIND("Feb",$C$1)),Monthly!$D1808,((IF(ISNUMBER(FIND("Mar",$C$1)),Monthly!$E1808,(IF(ISNUMBER(FIND("Apr",$C$1)),Monthly!$F1808,((IF(ISNUMBER(FIND("May",$C$1)),Monthly!$G1808,((IF(ISNUMBER(FIND("Jun",$C$1)),Monthly!$H1808,(IF(ISNUMBER(FIND("Jul",$C$1)),Monthly!$I1808,(IF(ISNUMBER(FIND("Aug",$C$1)),Monthly!$J1808,(IF(ISNUMBER(FIND("Sep",$C$1)),Monthly!$K1808,(IF(ISNUMBER(FIND("Oct",$C$1)),Monthly!$L1808,(IF(ISNUMBER(FIND("Nov",$C$1)),Monthly!$M1808,(IF(ISNUMBER(FIND("Dec",$C$1)),Monthly!$N1808,))))))))))))))))))))))))))</f>
        <v>0</v>
      </c>
      <c r="D21" s="1139">
        <f>IF(ISNUMBER(FIND("Jan",$C$1)),Monthly!$C1731,(IF(ISNUMBER(FIND("Feb",$C$1)),Monthly!$D1731,((IF(ISNUMBER(FIND("Mar",$C$1)),Monthly!$E1731,(IF(ISNUMBER(FIND("Apr",$C$1)),Monthly!$F1731,((IF(ISNUMBER(FIND("May",$C$1)),Monthly!$G1731,((IF(ISNUMBER(FIND("Jun",$C$1)),Monthly!$H1731,(IF(ISNUMBER(FIND("Jul",$C$1)),Monthly!$I1731,(IF(ISNUMBER(FIND("Aug",$C$1)),Monthly!$J1731,(IF(ISNUMBER(FIND("Sep",$C$1)),Monthly!$K1731,(IF(ISNUMBER(FIND("Oct",$C$1)),Monthly!$L1731,(IF(ISNUMBER(FIND("Nov",$C$1)),Monthly!$M1731,(IF(ISNUMBER(FIND("Dec",$C$1)),Monthly!$N1731,))))))))))))))))))))))))))</f>
        <v>0</v>
      </c>
      <c r="E21" s="1139">
        <f xml:space="preserve">
IF(ISNUMBER(FIND("Jan",$C$1)),Monthly!$C1653,(IF(ISNUMBER(FIND("Feb",$C$1)),Monthly!$D1653,((IF(ISNUMBER(FIND("Mar",$C$1)),Monthly!$E1653,(IF(ISNUMBER(FIND("Apr",$C$1)),Monthly!$F1653,((IF(ISNUMBER(FIND("May",$C$1)),Monthly!$G1653,((IF(ISNUMBER(FIND("Jun",$C$1)),Monthly!$H1653,(IF(ISNUMBER(FIND("Jul",$C$1)),Monthly!$I1653,(IF(ISNUMBER(FIND("Aug",$C$1)),Monthly!$J1653,(IF(ISNUMBER(FIND("Sep",$C$1)),Monthly!$K1653,(IF(ISNUMBER(FIND("Oct",$C$1)),Monthly!$L1653,(IF(ISNUMBER(FIND("Nov",$C$1)),Monthly!$M1653,(IF(ISNUMBER(FIND("Dec",$C$1)),Monthly!$N1653,))))))))))))))))))))))))))</f>
        <v>59</v>
      </c>
      <c r="F21" s="1138">
        <f>IF(ISNUMBER(FIND("Jan",$C$1)),Monthly!$C1575,(IF(ISNUMBER(FIND("Feb",$C$1)),Monthly!$D1575,((IF(ISNUMBER(FIND("Mar",$C$1)),Monthly!$E1575,(IF(ISNUMBER(FIND("Apr",$C$1)),Monthly!$F1575,((IF(ISNUMBER(FIND("May",$C$1)),Monthly!$G1575,((IF(ISNUMBER(FIND("Jun",$C$1)),Monthly!$H1575,(IF(ISNUMBER(FIND("Jul",$C$1)),Monthly!$I1575,(IF(ISNUMBER(FIND("Aug",$C$1)),Monthly!$J1575,(IF(ISNUMBER(FIND("Sep",$C$1)),Monthly!$K1575,(IF(ISNUMBER(FIND("Oct",$C$1)),Monthly!$L1575,(IF(ISNUMBER(FIND("Nov",$C$1)),Monthly!$M1575,(IF(ISNUMBER(FIND("Dec",$C$1)),Monthly!$N1575,))))))))))))))))))))))))))</f>
        <v>152</v>
      </c>
      <c r="G21" s="1139">
        <f>IF(ISNUMBER(FIND("Jan",$C$1)),Monthly!$C1497,(IF(ISNUMBER(FIND("Feb",$C$1)),Monthly!$D1497,((IF(ISNUMBER(FIND("Mar",$C$1)),Monthly!$E1497,(IF(ISNUMBER(FIND("Apr",$C$1)),Monthly!$F1497,((IF(ISNUMBER(FIND("May",$C$1)),Monthly!$G1497,((IF(ISNUMBER(FIND("Jun",$C$1)),Monthly!$H1497,(IF(ISNUMBER(FIND("Jul",$C$1)),Monthly!$I1497,(IF(ISNUMBER(FIND("Aug",$C$1)),Monthly!$J1497,(IF(ISNUMBER(FIND("Sep",$C$1)),Monthly!$K1497,(IF(ISNUMBER(FIND("Oct",$C$1)),Monthly!$L1497,(IF(ISNUMBER(FIND("Nov",$C$1)),Monthly!$M1497,(IF(ISNUMBER(FIND("Dec",$C$1)),Monthly!$N1497,))))))))))))))))))))))))))</f>
        <v>145</v>
      </c>
      <c r="H21" s="1139">
        <f>IF(ISNUMBER(FIND("Jan",$C$1)),Monthly!$C1420,(IF(ISNUMBER(FIND("Feb",$C$1)),Monthly!$D1420,((IF(ISNUMBER(FIND("Mar",$C$1)),Monthly!$E1420,(IF(ISNUMBER(FIND("Apr",$C$1)),Monthly!$F1420,((IF(ISNUMBER(FIND("May",$C$1)),Monthly!$G1420,((IF(ISNUMBER(FIND("Jun",$C$1)),Monthly!$H1420,(IF(ISNUMBER(FIND("Jul",$C$1)),Monthly!$I1420,(IF(ISNUMBER(FIND("Aug",$C$1)),Monthly!$J1420,(IF(ISNUMBER(FIND("Sep",$C$1)),Monthly!$K1420,(IF(ISNUMBER(FIND("Oct",$C$1)),Monthly!$L1420,(IF(ISNUMBER(FIND("Nov",$C$1)),Monthly!$M1420,(IF(ISNUMBER(FIND("Dec",$C$1)),Monthly!$N1420,))))))))))))))))))))))))))</f>
        <v>141</v>
      </c>
      <c r="I21" s="1139">
        <f>IF(ISNUMBER(FIND("Jan",$C$1)),Monthly!$C1343,(IF(ISNUMBER(FIND("Feb",$C$1)),Monthly!$D1343,((IF(ISNUMBER(FIND("Mar",$C$1)),Monthly!$E1343,(IF(ISNUMBER(FIND("Apr",$C$1)),Monthly!$F1343,((IF(ISNUMBER(FIND("May",$C$1)),Monthly!$G1343,((IF(ISNUMBER(FIND("Jun",$C$1)),Monthly!$H1343,(IF(ISNUMBER(FIND("Jul",$C$1)),Monthly!$I1343,(IF(ISNUMBER(FIND("Aug",$C$1)),Monthly!$J1343,(IF(ISNUMBER(FIND("Sep",$C$1)),Monthly!$K1343,(IF(ISNUMBER(FIND("Oct",$C$1)),Monthly!$L1343,(IF(ISNUMBER(FIND("Nov",$C$1)),Monthly!$M1343,(IF(ISNUMBER(FIND("Dec",$C$1)),Monthly!$N1343,))))))))))))))))))))))))))</f>
        <v>118</v>
      </c>
      <c r="J21" s="1138">
        <f>IF(ISNUMBER(FIND("Jan",$C$1)),Monthly!$C1266,(IF(ISNUMBER(FIND("Feb",$C$1)),Monthly!$D1266,((IF(ISNUMBER(FIND("Mar",$C$1)),Monthly!$E1266,(IF(ISNUMBER(FIND("Apr",$C$1)),Monthly!$F1266,((IF(ISNUMBER(FIND("May",$C$1)),Monthly!$G1266,((IF(ISNUMBER(FIND("Jun",$C$1)),Monthly!$H1266,(IF(ISNUMBER(FIND("Jul",$C$1)),Monthly!$I1266,(IF(ISNUMBER(FIND("Aug",$C$1)),Monthly!$J1266,(IF(ISNUMBER(FIND("Sep",$C$1)),Monthly!$K1266,(IF(ISNUMBER(FIND("Oct",$C$1)),Monthly!$L1266,(IF(ISNUMBER(FIND("Nov",$C$1)),Monthly!$M1266,(IF(ISNUMBER(FIND("Dec",$C$1)),Monthly!$N1266,))))))))))))))))))))))))))</f>
        <v>88</v>
      </c>
      <c r="K21" s="1148">
        <f>IF(ISNUMBER(FIND("Jan",$C$1)),Monthly!$C1188,(IF(ISNUMBER(FIND("Feb",$C$1)),Monthly!$D1188,((IF(ISNUMBER(FIND("Mar",$C$1)),Monthly!$E1188,(IF(ISNUMBER(FIND("Apr",$C$1)),Monthly!$F1188,((IF(ISNUMBER(FIND("May",$C$1)),Monthly!$G1188,((IF(ISNUMBER(FIND("Jun",$C$1)),Monthly!$H1188,(IF(ISNUMBER(FIND("Jul",$C$1)),Monthly!$I1188,(IF(ISNUMBER(FIND("Aug",$C$1)),Monthly!$J1188,(IF(ISNUMBER(FIND("Sep",$C$1)),Monthly!$K1188,(IF(ISNUMBER(FIND("Oct",$C$1)),Monthly!$L1188,(IF(ISNUMBER(FIND("Nov",$C$1)),Monthly!$M1188,(IF(ISNUMBER(FIND("Dec",$C$1)),Monthly!$N1188,))))))))))))))))))))))))))</f>
        <v>98</v>
      </c>
      <c r="L21" s="1139">
        <f>IF(ISNUMBER(FIND("Jan",$C$1)),Monthly!$C1111,(IF(ISNUMBER(FIND("Feb",$C$1)),Monthly!$D1111,((IF(ISNUMBER(FIND("Mar",$C$1)),Monthly!$E1111,(IF(ISNUMBER(FIND("Apr",$C$1)),Monthly!$F1111,((IF(ISNUMBER(FIND("May",$C$1)),Monthly!$G1111,((IF(ISNUMBER(FIND("Jun",$C$1)),Monthly!$H1111,(IF(ISNUMBER(FIND("Jul",$C$1)),Monthly!$I1111,(IF(ISNUMBER(FIND("Aug",$C$1)),Monthly!$J1111,(IF(ISNUMBER(FIND("Sep",$C$1)),Monthly!$K1111,(IF(ISNUMBER(FIND("Oct",$C$1)),Monthly!$L1111,(IF(ISNUMBER(FIND("Nov",$C$1)),Monthly!$M1111,(IF(ISNUMBER(FIND("Dec",$C$1)),Monthly!$N1111,))))))))))))))))))))))))))</f>
        <v>102</v>
      </c>
      <c r="M21" s="1139">
        <f>IF(ISNUMBER(FIND("Jan",$C$1)),Monthly!$C1034,(IF(ISNUMBER(FIND("Feb",$C$1)),Monthly!$D1034,((IF(ISNUMBER(FIND("Mar",$C$1)),Monthly!$E1034,(IF(ISNUMBER(FIND("Apr",$C$1)),Monthly!$F1034,((IF(ISNUMBER(FIND("May",$C$1)),Monthly!$G1034,((IF(ISNUMBER(FIND("Jun",$C$1)),Monthly!$H1034,(IF(ISNUMBER(FIND("Jul",$C$1)),Monthly!$I1034,(IF(ISNUMBER(FIND("Aug",$C$1)),Monthly!$J1034,(IF(ISNUMBER(FIND("Sep",$C$1)),Monthly!$K1034,(IF(ISNUMBER(FIND("Oct",$C$1)),Monthly!$L1034,(IF(ISNUMBER(FIND("Nov",$C$1)),Monthly!$M1034,(IF(ISNUMBER(FIND("Dec",$C$1)),Monthly!$N1034,))))))))))))))))))))))))))</f>
        <v>106</v>
      </c>
      <c r="N21" s="1148">
        <f>IF(ISNUMBER(FIND("Jan",$C$1)),Monthly!$C957,(IF(ISNUMBER(FIND("Feb",$C$1)),Monthly!$D957,((IF(ISNUMBER(FIND("Mar",$C$1)),Monthly!$E957,(IF(ISNUMBER(FIND("Apr",$C$1)),Monthly!$F957,((IF(ISNUMBER(FIND("May",$C$1)),Monthly!$G957,((IF(ISNUMBER(FIND("Jun",$C$1)),Monthly!$H957,(IF(ISNUMBER(FIND("Jul",$C$1)),Monthly!$I957,(IF(ISNUMBER(FIND("Aug",$C$1)),Monthly!$J957,(IF(ISNUMBER(FIND("Sep",$C$1)),Monthly!$K957,(IF(ISNUMBER(FIND("Oct",$C$1)),Monthly!$L957,(IF(ISNUMBER(FIND("Nov",$C$1)),Monthly!$M957,(IF(ISNUMBER(FIND("Dec",$C$1)),Monthly!$N957,))))))))))))))))))))))))))</f>
        <v>91</v>
      </c>
      <c r="O21" s="1148">
        <f>IF(ISNUMBER(FIND("Jan",$C$1)),Monthly!$C881,(IF(ISNUMBER(FIND("Feb",$C$1)),Monthly!$D881,((IF(ISNUMBER(FIND("Mar",$C$1)),Monthly!$E881,(IF(ISNUMBER(FIND("Apr",$C$1)),Monthly!$F881,((IF(ISNUMBER(FIND("May",$C$1)),Monthly!$G881,((IF(ISNUMBER(FIND("Jun",$C$1)),Monthly!$H881,(IF(ISNUMBER(FIND("Jul",$C$1)),Monthly!$I881,(IF(ISNUMBER(FIND("Aug",$C$1)),Monthly!$J881,(IF(ISNUMBER(FIND("Sep",$C$1)),Monthly!$K881,(IF(ISNUMBER(FIND("Oct",$C$1)),Monthly!$L881,(IF(ISNUMBER(FIND("Nov",$C$1)),Monthly!$M881,(IF(ISNUMBER(FIND("Dec",$C$1)),Monthly!$N881,))))))))))))))))))))))))))</f>
        <v>92</v>
      </c>
      <c r="P21" s="1148">
        <f>IF(ISNUMBER(FIND("Jan",$C$1)),Monthly!$C804,(IF(ISNUMBER(FIND("Feb",$C$1)),Monthly!$D804,((IF(ISNUMBER(FIND("Mar",$C$1)),Monthly!$E804,(IF(ISNUMBER(FIND("Apr",$C$1)),Monthly!$F804,((IF(ISNUMBER(FIND("May",$C$1)),Monthly!$G804,((IF(ISNUMBER(FIND("Jun",$C$1)),Monthly!$H804,(IF(ISNUMBER(FIND("Jul",$C$1)),Monthly!$I804,(IF(ISNUMBER(FIND("Aug",$C$1)),Monthly!$J804,(IF(ISNUMBER(FIND("Sep",$C$1)),Monthly!$K804,(IF(ISNUMBER(FIND("Oct",$C$1)),Monthly!$L804,(IF(ISNUMBER(FIND("Nov",$C$1)),Monthly!$M804,(IF(ISNUMBER(FIND("Dec",$C$1)),Monthly!$N804,))))))))))))))))))))))))))</f>
        <v>179</v>
      </c>
      <c r="Q21" s="1142">
        <f>IF(ISNUMBER(FIND("Jan",$C$1)),Monthly!$C727,(IF(ISNUMBER(FIND("Feb",$C$1)),Monthly!$D727,((IF(ISNUMBER(FIND("Mar",$C$1)),Monthly!$E727,(IF(ISNUMBER(FIND("Apr",$C$1)),Monthly!$F727,((IF(ISNUMBER(FIND("May",$C$1)),Monthly!$G727,((IF(ISNUMBER(FIND("Jun",$C$1)),Monthly!$H727,(IF(ISNUMBER(FIND("Jul",$C$1)),Monthly!$I727,(IF(ISNUMBER(FIND("Aug",$C$1)),Monthly!$J727,(IF(ISNUMBER(FIND("Sep",$C$1)),Monthly!$K727,(IF(ISNUMBER(FIND("Oct",$C$1)),Monthly!$L727,(IF(ISNUMBER(FIND("Nov",$C$1)),Monthly!$M727,(IF(ISNUMBER(FIND("Dec",$C$1)),Monthly!$N727,))))))))))))))))))))))))))</f>
        <v>161</v>
      </c>
      <c r="R21" s="1142"/>
      <c r="S21" s="1142"/>
      <c r="T21" s="1142"/>
      <c r="U21" s="1143">
        <f>Monthly!O420</f>
        <v>160.77777777777774</v>
      </c>
      <c r="V21" s="1142">
        <f>Monthly!O335</f>
        <v>90</v>
      </c>
      <c r="W21" s="1142"/>
      <c r="X21" s="1144">
        <f t="shared" si="10"/>
        <v>102.13333333333334</v>
      </c>
      <c r="Y21" s="1145">
        <f t="shared" si="11"/>
        <v>1.4590476190476192E-2</v>
      </c>
      <c r="Z21" s="1146"/>
      <c r="AA21" s="1147">
        <f t="shared" si="12"/>
        <v>179</v>
      </c>
      <c r="AB21" s="1147">
        <f t="shared" si="13"/>
        <v>0</v>
      </c>
      <c r="AC21" s="140"/>
      <c r="AD21" s="141"/>
    </row>
    <row r="22" spans="1:30" s="147" customFormat="1" ht="13.5">
      <c r="A22" s="1136"/>
      <c r="B22" s="1137" t="s">
        <v>454</v>
      </c>
      <c r="C22" s="1138">
        <f>IF(ISNUMBER(FIND("Jan",$C$1)),Monthly!$C1809,(IF(ISNUMBER(FIND("Feb",$C$1)),Monthly!$D1809,((IF(ISNUMBER(FIND("Mar",$C$1)),Monthly!$E1809,(IF(ISNUMBER(FIND("Apr",$C$1)),Monthly!$F1809,((IF(ISNUMBER(FIND("May",$C$1)),Monthly!$G1809,((IF(ISNUMBER(FIND("Jun",$C$1)),Monthly!$H1809,(IF(ISNUMBER(FIND("Jul",$C$1)),Monthly!$I1809,(IF(ISNUMBER(FIND("Aug",$C$1)),Monthly!$J1809,(IF(ISNUMBER(FIND("Sep",$C$1)),Monthly!$K1809,(IF(ISNUMBER(FIND("Oct",$C$1)),Monthly!$L1809,(IF(ISNUMBER(FIND("Nov",$C$1)),Monthly!$M1809,(IF(ISNUMBER(FIND("Dec",$C$1)),Monthly!$N1809,))))))))))))))))))))))))))</f>
        <v>0</v>
      </c>
      <c r="D22" s="1139">
        <f>IF(ISNUMBER(FIND("Jan",$C$1)),Monthly!$C1732,(IF(ISNUMBER(FIND("Feb",$C$1)),Monthly!$D1732,((IF(ISNUMBER(FIND("Mar",$C$1)),Monthly!$E1732,(IF(ISNUMBER(FIND("Apr",$C$1)),Monthly!$F1732,((IF(ISNUMBER(FIND("May",$C$1)),Monthly!$G1732,((IF(ISNUMBER(FIND("Jun",$C$1)),Monthly!$H1732,(IF(ISNUMBER(FIND("Jul",$C$1)),Monthly!$I1732,(IF(ISNUMBER(FIND("Aug",$C$1)),Monthly!$J1732,(IF(ISNUMBER(FIND("Sep",$C$1)),Monthly!$K1732,(IF(ISNUMBER(FIND("Oct",$C$1)),Monthly!$L1732,(IF(ISNUMBER(FIND("Nov",$C$1)),Monthly!$M1732,(IF(ISNUMBER(FIND("Dec",$C$1)),Monthly!$N1732,))))))))))))))))))))))))))</f>
        <v>0</v>
      </c>
      <c r="E22" s="1139">
        <f xml:space="preserve">
IF(ISNUMBER(FIND("Jan",$C$1)),Monthly!$C1654,(IF(ISNUMBER(FIND("Feb",$C$1)),Monthly!$D1654,((IF(ISNUMBER(FIND("Mar",$C$1)),Monthly!$E1654,(IF(ISNUMBER(FIND("Apr",$C$1)),Monthly!$F1654,((IF(ISNUMBER(FIND("May",$C$1)),Monthly!$G1654,((IF(ISNUMBER(FIND("Jun",$C$1)),Monthly!$H1654,(IF(ISNUMBER(FIND("Jul",$C$1)),Monthly!$I1654,(IF(ISNUMBER(FIND("Aug",$C$1)),Monthly!$J1654,(IF(ISNUMBER(FIND("Sep",$C$1)),Monthly!$K1654,(IF(ISNUMBER(FIND("Oct",$C$1)),Monthly!$L1654,(IF(ISNUMBER(FIND("Nov",$C$1)),Monthly!$M1654,(IF(ISNUMBER(FIND("Dec",$C$1)),Monthly!$N1654,))))))))))))))))))))))))))</f>
        <v>40</v>
      </c>
      <c r="F22" s="1138">
        <f>IF(ISNUMBER(FIND("Jan",$C$1)),Monthly!$C1576,(IF(ISNUMBER(FIND("Feb",$C$1)),Monthly!$D1576,((IF(ISNUMBER(FIND("Mar",$C$1)),Monthly!$E1576,(IF(ISNUMBER(FIND("Apr",$C$1)),Monthly!$F1576,((IF(ISNUMBER(FIND("May",$C$1)),Monthly!$G1576,((IF(ISNUMBER(FIND("Jun",$C$1)),Monthly!$H1576,(IF(ISNUMBER(FIND("Jul",$C$1)),Monthly!$I1576,(IF(ISNUMBER(FIND("Aug",$C$1)),Monthly!$J1576,(IF(ISNUMBER(FIND("Sep",$C$1)),Monthly!$K1576,(IF(ISNUMBER(FIND("Oct",$C$1)),Monthly!$L1576,(IF(ISNUMBER(FIND("Nov",$C$1)),Monthly!$M1576,(IF(ISNUMBER(FIND("Dec",$C$1)),Monthly!$N1576,))))))))))))))))))))))))))</f>
        <v>0</v>
      </c>
      <c r="G22" s="1139">
        <f>IF(ISNUMBER(FIND("Jan",$C$1)),Monthly!$C1498,(IF(ISNUMBER(FIND("Feb",$C$1)),Monthly!$D1498,((IF(ISNUMBER(FIND("Mar",$C$1)),Monthly!$E1498,(IF(ISNUMBER(FIND("Apr",$C$1)),Monthly!$F1498,((IF(ISNUMBER(FIND("May",$C$1)),Monthly!$G1498,((IF(ISNUMBER(FIND("Jun",$C$1)),Monthly!$H1498,(IF(ISNUMBER(FIND("Jul",$C$1)),Monthly!$I1498,(IF(ISNUMBER(FIND("Aug",$C$1)),Monthly!$J1498,(IF(ISNUMBER(FIND("Sep",$C$1)),Monthly!$K1498,(IF(ISNUMBER(FIND("Oct",$C$1)),Monthly!$L1498,(IF(ISNUMBER(FIND("Nov",$C$1)),Monthly!$M1498,(IF(ISNUMBER(FIND("Dec",$C$1)),Monthly!$N1498,))))))))))))))))))))))))))</f>
        <v>40</v>
      </c>
      <c r="H22" s="1139">
        <f>IF(ISNUMBER(FIND("Jan",$C$1)),Monthly!$C1421,(IF(ISNUMBER(FIND("Feb",$C$1)),Monthly!$D1421,((IF(ISNUMBER(FIND("Mar",$C$1)),Monthly!$E1421,(IF(ISNUMBER(FIND("Apr",$C$1)),Monthly!$F1421,((IF(ISNUMBER(FIND("May",$C$1)),Monthly!$G1421,((IF(ISNUMBER(FIND("Jun",$C$1)),Monthly!$H1421,(IF(ISNUMBER(FIND("Jul",$C$1)),Monthly!$I1421,(IF(ISNUMBER(FIND("Aug",$C$1)),Monthly!$J1421,(IF(ISNUMBER(FIND("Sep",$C$1)),Monthly!$K1421,(IF(ISNUMBER(FIND("Oct",$C$1)),Monthly!$L1421,(IF(ISNUMBER(FIND("Nov",$C$1)),Monthly!$M1421,(IF(ISNUMBER(FIND("Dec",$C$1)),Monthly!$N1421,))))))))))))))))))))))))))</f>
        <v>0</v>
      </c>
      <c r="I22" s="1139">
        <f>IF(ISNUMBER(FIND("Jan",$C$1)),Monthly!$C1344,(IF(ISNUMBER(FIND("Feb",$C$1)),Monthly!$D1344,((IF(ISNUMBER(FIND("Mar",$C$1)),Monthly!$E1344,(IF(ISNUMBER(FIND("Apr",$C$1)),Monthly!$F1344,((IF(ISNUMBER(FIND("May",$C$1)),Monthly!$G1344,((IF(ISNUMBER(FIND("Jun",$C$1)),Monthly!$H1344,(IF(ISNUMBER(FIND("Jul",$C$1)),Monthly!$I1344,(IF(ISNUMBER(FIND("Aug",$C$1)),Monthly!$J1344,(IF(ISNUMBER(FIND("Sep",$C$1)),Monthly!$K1344,(IF(ISNUMBER(FIND("Oct",$C$1)),Monthly!$L1344,(IF(ISNUMBER(FIND("Nov",$C$1)),Monthly!$M1344,(IF(ISNUMBER(FIND("Dec",$C$1)),Monthly!$N1344,))))))))))))))))))))))))))</f>
        <v>0</v>
      </c>
      <c r="J22" s="1138">
        <f>IF(ISNUMBER(FIND("Jan",$C$1)),Monthly!$C1267,(IF(ISNUMBER(FIND("Feb",$C$1)),Monthly!$D1267,((IF(ISNUMBER(FIND("Mar",$C$1)),Monthly!$E1267,(IF(ISNUMBER(FIND("Apr",$C$1)),Monthly!$F1267,((IF(ISNUMBER(FIND("May",$C$1)),Monthly!$G1267,((IF(ISNUMBER(FIND("Jun",$C$1)),Monthly!$H1267,(IF(ISNUMBER(FIND("Jul",$C$1)),Monthly!$I1267,(IF(ISNUMBER(FIND("Aug",$C$1)),Monthly!$J1267,(IF(ISNUMBER(FIND("Sep",$C$1)),Monthly!$K1267,(IF(ISNUMBER(FIND("Oct",$C$1)),Monthly!$L1267,(IF(ISNUMBER(FIND("Nov",$C$1)),Monthly!$M1267,(IF(ISNUMBER(FIND("Dec",$C$1)),Monthly!$N1267,))))))))))))))))))))))))))</f>
        <v>0</v>
      </c>
      <c r="K22" s="1148">
        <f>IF(ISNUMBER(FIND("Jan",$C$1)),Monthly!$C1189,(IF(ISNUMBER(FIND("Feb",$C$1)),Monthly!$D1189,((IF(ISNUMBER(FIND("Mar",$C$1)),Monthly!$E1189,(IF(ISNUMBER(FIND("Apr",$C$1)),Monthly!$F1189,((IF(ISNUMBER(FIND("May",$C$1)),Monthly!$G1189,((IF(ISNUMBER(FIND("Jun",$C$1)),Monthly!$H1189,(IF(ISNUMBER(FIND("Jul",$C$1)),Monthly!$I1189,(IF(ISNUMBER(FIND("Aug",$C$1)),Monthly!$J1189,(IF(ISNUMBER(FIND("Sep",$C$1)),Monthly!$K1189,(IF(ISNUMBER(FIND("Oct",$C$1)),Monthly!$L1189,(IF(ISNUMBER(FIND("Nov",$C$1)),Monthly!$M1189,(IF(ISNUMBER(FIND("Dec",$C$1)),Monthly!$N1189,))))))))))))))))))))))))))</f>
        <v>0</v>
      </c>
      <c r="L22" s="1139">
        <f>IF(ISNUMBER(FIND("Jan",$C$1)),Monthly!$C1112,(IF(ISNUMBER(FIND("Feb",$C$1)),Monthly!$D1112,((IF(ISNUMBER(FIND("Mar",$C$1)),Monthly!$E1112,(IF(ISNUMBER(FIND("Apr",$C$1)),Monthly!$F1112,((IF(ISNUMBER(FIND("May",$C$1)),Monthly!$G1112,((IF(ISNUMBER(FIND("Jun",$C$1)),Monthly!$H1112,(IF(ISNUMBER(FIND("Jul",$C$1)),Monthly!$I1112,(IF(ISNUMBER(FIND("Aug",$C$1)),Monthly!$J1112,(IF(ISNUMBER(FIND("Sep",$C$1)),Monthly!$K1112,(IF(ISNUMBER(FIND("Oct",$C$1)),Monthly!$L1112,(IF(ISNUMBER(FIND("Nov",$C$1)),Monthly!$M1112,(IF(ISNUMBER(FIND("Dec",$C$1)),Monthly!$N1112,))))))))))))))))))))))))))</f>
        <v>0</v>
      </c>
      <c r="M22" s="1139">
        <f>IF(ISNUMBER(FIND("Jan",$C$1)),Monthly!$C1035,(IF(ISNUMBER(FIND("Feb",$C$1)),Monthly!$D1035,((IF(ISNUMBER(FIND("Mar",$C$1)),Monthly!$E1035,(IF(ISNUMBER(FIND("Apr",$C$1)),Monthly!$F1035,((IF(ISNUMBER(FIND("May",$C$1)),Monthly!$G1035,((IF(ISNUMBER(FIND("Jun",$C$1)),Monthly!$H1035,(IF(ISNUMBER(FIND("Jul",$C$1)),Monthly!$I1035,(IF(ISNUMBER(FIND("Aug",$C$1)),Monthly!$J1035,(IF(ISNUMBER(FIND("Sep",$C$1)),Monthly!$K1035,(IF(ISNUMBER(FIND("Oct",$C$1)),Monthly!$L1035,(IF(ISNUMBER(FIND("Nov",$C$1)),Monthly!$M1035,(IF(ISNUMBER(FIND("Dec",$C$1)),Monthly!$N1035,))))))))))))))))))))))))))</f>
        <v>0</v>
      </c>
      <c r="N22" s="1148">
        <f>IF(ISNUMBER(FIND("Jan",$C$1)),Monthly!$C958,(IF(ISNUMBER(FIND("Feb",$C$1)),Monthly!$D958,((IF(ISNUMBER(FIND("Mar",$C$1)),Monthly!$E958,(IF(ISNUMBER(FIND("Apr",$C$1)),Monthly!$F958,((IF(ISNUMBER(FIND("May",$C$1)),Monthly!$G958,((IF(ISNUMBER(FIND("Jun",$C$1)),Monthly!$H958,(IF(ISNUMBER(FIND("Jul",$C$1)),Monthly!$I958,(IF(ISNUMBER(FIND("Aug",$C$1)),Monthly!$J958,(IF(ISNUMBER(FIND("Sep",$C$1)),Monthly!$K958,(IF(ISNUMBER(FIND("Oct",$C$1)),Monthly!$L958,(IF(ISNUMBER(FIND("Nov",$C$1)),Monthly!$M958,(IF(ISNUMBER(FIND("Dec",$C$1)),Monthly!$N958,))))))))))))))))))))))))))</f>
        <v>0</v>
      </c>
      <c r="O22" s="1148">
        <f>IF(ISNUMBER(FIND("Jan",$C$1)),Monthly!$C882,(IF(ISNUMBER(FIND("Feb",$C$1)),Monthly!$D882,((IF(ISNUMBER(FIND("Mar",$C$1)),Monthly!$E882,(IF(ISNUMBER(FIND("Apr",$C$1)),Monthly!$F882,((IF(ISNUMBER(FIND("May",$C$1)),Monthly!$G882,((IF(ISNUMBER(FIND("Jun",$C$1)),Monthly!$H882,(IF(ISNUMBER(FIND("Jul",$C$1)),Monthly!$I882,(IF(ISNUMBER(FIND("Aug",$C$1)),Monthly!$J882,(IF(ISNUMBER(FIND("Sep",$C$1)),Monthly!$K882,(IF(ISNUMBER(FIND("Oct",$C$1)),Monthly!$L882,(IF(ISNUMBER(FIND("Nov",$C$1)),Monthly!$M882,(IF(ISNUMBER(FIND("Dec",$C$1)),Monthly!$N882,))))))))))))))))))))))))))</f>
        <v>0</v>
      </c>
      <c r="P22" s="1148">
        <f>IF(ISNUMBER(FIND("Jan",$C$1)),Monthly!$C805,(IF(ISNUMBER(FIND("Feb",$C$1)),Monthly!$D805,((IF(ISNUMBER(FIND("Mar",$C$1)),Monthly!$E805,(IF(ISNUMBER(FIND("Apr",$C$1)),Monthly!$F805,((IF(ISNUMBER(FIND("May",$C$1)),Monthly!$G805,((IF(ISNUMBER(FIND("Jun",$C$1)),Monthly!$H805,(IF(ISNUMBER(FIND("Jul",$C$1)),Monthly!$I805,(IF(ISNUMBER(FIND("Aug",$C$1)),Monthly!$J805,(IF(ISNUMBER(FIND("Sep",$C$1)),Monthly!$K805,(IF(ISNUMBER(FIND("Oct",$C$1)),Monthly!$L805,(IF(ISNUMBER(FIND("Nov",$C$1)),Monthly!$M805,(IF(ISNUMBER(FIND("Dec",$C$1)),Monthly!$N805,))))))))))))))))))))))))))</f>
        <v>0</v>
      </c>
      <c r="Q22" s="1142">
        <f>IF(ISNUMBER(FIND("Jan",$C$1)),Monthly!$C728,(IF(ISNUMBER(FIND("Feb",$C$1)),Monthly!$D728,((IF(ISNUMBER(FIND("Mar",$C$1)),Monthly!$E728,(IF(ISNUMBER(FIND("Apr",$C$1)),Monthly!$F728,((IF(ISNUMBER(FIND("May",$C$1)),Monthly!$G728,((IF(ISNUMBER(FIND("Jun",$C$1)),Monthly!$H728,(IF(ISNUMBER(FIND("Jul",$C$1)),Monthly!$I728,(IF(ISNUMBER(FIND("Aug",$C$1)),Monthly!$J728,(IF(ISNUMBER(FIND("Sep",$C$1)),Monthly!$K728,(IF(ISNUMBER(FIND("Oct",$C$1)),Monthly!$L728,(IF(ISNUMBER(FIND("Nov",$C$1)),Monthly!$M728,(IF(ISNUMBER(FIND("Dec",$C$1)),Monthly!$N728,))))))))))))))))))))))))))</f>
        <v>0</v>
      </c>
      <c r="R22" s="1142"/>
      <c r="S22" s="1142"/>
      <c r="T22" s="1142"/>
      <c r="U22" s="1143">
        <f>Monthly!O421</f>
        <v>28.833333333333332</v>
      </c>
      <c r="V22" s="1142">
        <f>Monthly!O336</f>
        <v>50.25</v>
      </c>
      <c r="W22" s="1142"/>
      <c r="X22" s="1144">
        <f t="shared" si="10"/>
        <v>5.333333333333333</v>
      </c>
      <c r="Y22" s="1145">
        <f t="shared" si="11"/>
        <v>7.6190476190476182E-4</v>
      </c>
      <c r="Z22" s="1146"/>
      <c r="AA22" s="1147">
        <f t="shared" si="12"/>
        <v>40</v>
      </c>
      <c r="AB22" s="1147">
        <f t="shared" si="13"/>
        <v>0</v>
      </c>
      <c r="AC22" s="140"/>
      <c r="AD22" s="141" t="s">
        <v>448</v>
      </c>
    </row>
    <row r="23" spans="1:30" s="147" customFormat="1" ht="13.5">
      <c r="A23" s="1136"/>
      <c r="B23" s="1137" t="s">
        <v>407</v>
      </c>
      <c r="C23" s="1138">
        <f>IF(ISNUMBER(FIND("Jan",$C$1)),Monthly!$C1810,(IF(ISNUMBER(FIND("Feb",$C$1)),Monthly!$D1810,((IF(ISNUMBER(FIND("Mar",$C$1)),Monthly!$E1810,(IF(ISNUMBER(FIND("Apr",$C$1)),Monthly!$F1810,((IF(ISNUMBER(FIND("May",$C$1)),Monthly!$G1810,((IF(ISNUMBER(FIND("Jun",$C$1)),Monthly!$H1810,(IF(ISNUMBER(FIND("Jul",$C$1)),Monthly!$I1810,(IF(ISNUMBER(FIND("Aug",$C$1)),Monthly!$J1810,(IF(ISNUMBER(FIND("Sep",$C$1)),Monthly!$K1810,(IF(ISNUMBER(FIND("Oct",$C$1)),Monthly!$L1810,(IF(ISNUMBER(FIND("Nov",$C$1)),Monthly!$M1810,(IF(ISNUMBER(FIND("Dec",$C$1)),Monthly!$N1810,))))))))))))))))))))))))))</f>
        <v>0</v>
      </c>
      <c r="D23" s="1139">
        <f>IF(ISNUMBER(FIND("Jan",$C$1)),Monthly!$C1733,(IF(ISNUMBER(FIND("Feb",$C$1)),Monthly!$D1733,((IF(ISNUMBER(FIND("Mar",$C$1)),Monthly!$E1733,(IF(ISNUMBER(FIND("Apr",$C$1)),Monthly!$F1733,((IF(ISNUMBER(FIND("May",$C$1)),Monthly!$G1733,((IF(ISNUMBER(FIND("Jun",$C$1)),Monthly!$H1733,(IF(ISNUMBER(FIND("Jul",$C$1)),Monthly!$I1733,(IF(ISNUMBER(FIND("Aug",$C$1)),Monthly!$J1733,(IF(ISNUMBER(FIND("Sep",$C$1)),Monthly!$K1733,(IF(ISNUMBER(FIND("Oct",$C$1)),Monthly!$L1733,(IF(ISNUMBER(FIND("Nov",$C$1)),Monthly!$M1733,(IF(ISNUMBER(FIND("Dec",$C$1)),Monthly!$N1733,))))))))))))))))))))))))))</f>
        <v>0</v>
      </c>
      <c r="E23" s="1139">
        <f xml:space="preserve">
IF(ISNUMBER(FIND("Jan",$C$1)),Monthly!$C1655,(IF(ISNUMBER(FIND("Feb",$C$1)),Monthly!$D1655,((IF(ISNUMBER(FIND("Mar",$C$1)),Monthly!$E1655,(IF(ISNUMBER(FIND("Apr",$C$1)),Monthly!$F1655,((IF(ISNUMBER(FIND("May",$C$1)),Monthly!$G1655,((IF(ISNUMBER(FIND("Jun",$C$1)),Monthly!$H1655,(IF(ISNUMBER(FIND("Jul",$C$1)),Monthly!$I1655,(IF(ISNUMBER(FIND("Aug",$C$1)),Monthly!$J1655,(IF(ISNUMBER(FIND("Sep",$C$1)),Monthly!$K1655,(IF(ISNUMBER(FIND("Oct",$C$1)),Monthly!$L1655,(IF(ISNUMBER(FIND("Nov",$C$1)),Monthly!$M1655,(IF(ISNUMBER(FIND("Dec",$C$1)),Monthly!$N1655,))))))))))))))))))))))))))</f>
        <v>0</v>
      </c>
      <c r="F23" s="1138">
        <f>IF(ISNUMBER(FIND("Jan",$C$1)),Monthly!$C1577,(IF(ISNUMBER(FIND("Feb",$C$1)),Monthly!$D1577,((IF(ISNUMBER(FIND("Mar",$C$1)),Monthly!$E1577,(IF(ISNUMBER(FIND("Apr",$C$1)),Monthly!$F1577,((IF(ISNUMBER(FIND("May",$C$1)),Monthly!$G1577,((IF(ISNUMBER(FIND("Jun",$C$1)),Monthly!$H1577,(IF(ISNUMBER(FIND("Jul",$C$1)),Monthly!$I1577,(IF(ISNUMBER(FIND("Aug",$C$1)),Monthly!$J1577,(IF(ISNUMBER(FIND("Sep",$C$1)),Monthly!$K1577,(IF(ISNUMBER(FIND("Oct",$C$1)),Monthly!$L1577,(IF(ISNUMBER(FIND("Nov",$C$1)),Monthly!$M1577,(IF(ISNUMBER(FIND("Dec",$C$1)),Monthly!$N1577,))))))))))))))))))))))))))</f>
        <v>0</v>
      </c>
      <c r="G23" s="1139">
        <f>IF(ISNUMBER(FIND("Jan",$C$1)),Monthly!$C1499,(IF(ISNUMBER(FIND("Feb",$C$1)),Monthly!$D1499,((IF(ISNUMBER(FIND("Mar",$C$1)),Monthly!$E1499,(IF(ISNUMBER(FIND("Apr",$C$1)),Monthly!$F1499,((IF(ISNUMBER(FIND("May",$C$1)),Monthly!$G1499,((IF(ISNUMBER(FIND("Jun",$C$1)),Monthly!$H1499,(IF(ISNUMBER(FIND("Jul",$C$1)),Monthly!$I1499,(IF(ISNUMBER(FIND("Aug",$C$1)),Monthly!$J1499,(IF(ISNUMBER(FIND("Sep",$C$1)),Monthly!$K1499,(IF(ISNUMBER(FIND("Oct",$C$1)),Monthly!$L1499,(IF(ISNUMBER(FIND("Nov",$C$1)),Monthly!$M1499,(IF(ISNUMBER(FIND("Dec",$C$1)),Monthly!$N1499,))))))))))))))))))))))))))</f>
        <v>0</v>
      </c>
      <c r="H23" s="1139">
        <f>IF(ISNUMBER(FIND("Jan",$C$1)),Monthly!$C1422,(IF(ISNUMBER(FIND("Feb",$C$1)),Monthly!$D1422,((IF(ISNUMBER(FIND("Mar",$C$1)),Monthly!$E1422,(IF(ISNUMBER(FIND("Apr",$C$1)),Monthly!$F1422,((IF(ISNUMBER(FIND("May",$C$1)),Monthly!$G1422,((IF(ISNUMBER(FIND("Jun",$C$1)),Monthly!$H1422,(IF(ISNUMBER(FIND("Jul",$C$1)),Monthly!$I1422,(IF(ISNUMBER(FIND("Aug",$C$1)),Monthly!$J1422,(IF(ISNUMBER(FIND("Sep",$C$1)),Monthly!$K1422,(IF(ISNUMBER(FIND("Oct",$C$1)),Monthly!$L1422,(IF(ISNUMBER(FIND("Nov",$C$1)),Monthly!$M1422,(IF(ISNUMBER(FIND("Dec",$C$1)),Monthly!$N1422,))))))))))))))))))))))))))</f>
        <v>0</v>
      </c>
      <c r="I23" s="1139">
        <f>IF(ISNUMBER(FIND("Jan",$C$1)),Monthly!$C1345,(IF(ISNUMBER(FIND("Feb",$C$1)),Monthly!$D1345,((IF(ISNUMBER(FIND("Mar",$C$1)),Monthly!$E1345,(IF(ISNUMBER(FIND("Apr",$C$1)),Monthly!$F1345,((IF(ISNUMBER(FIND("May",$C$1)),Monthly!$G1345,((IF(ISNUMBER(FIND("Jun",$C$1)),Monthly!$H1345,(IF(ISNUMBER(FIND("Jul",$C$1)),Monthly!$I1345,(IF(ISNUMBER(FIND("Aug",$C$1)),Monthly!$J1345,(IF(ISNUMBER(FIND("Sep",$C$1)),Monthly!$K1345,(IF(ISNUMBER(FIND("Oct",$C$1)),Monthly!$L1345,(IF(ISNUMBER(FIND("Nov",$C$1)),Monthly!$M1345,(IF(ISNUMBER(FIND("Dec",$C$1)),Monthly!$N1345,))))))))))))))))))))))))))</f>
        <v>0</v>
      </c>
      <c r="J23" s="1138">
        <f>IF(ISNUMBER(FIND("Jan",$C$1)),Monthly!$C1268,(IF(ISNUMBER(FIND("Feb",$C$1)),Monthly!$D1268,((IF(ISNUMBER(FIND("Mar",$C$1)),Monthly!$E1268,(IF(ISNUMBER(FIND("Apr",$C$1)),Monthly!$F1268,((IF(ISNUMBER(FIND("May",$C$1)),Monthly!$G1268,((IF(ISNUMBER(FIND("Jun",$C$1)),Monthly!$H1268,(IF(ISNUMBER(FIND("Jul",$C$1)),Monthly!$I1268,(IF(ISNUMBER(FIND("Aug",$C$1)),Monthly!$J1268,(IF(ISNUMBER(FIND("Sep",$C$1)),Monthly!$K1268,(IF(ISNUMBER(FIND("Oct",$C$1)),Monthly!$L1268,(IF(ISNUMBER(FIND("Nov",$C$1)),Monthly!$M1268,(IF(ISNUMBER(FIND("Dec",$C$1)),Monthly!$N1268,))))))))))))))))))))))))))</f>
        <v>0</v>
      </c>
      <c r="K23" s="1148">
        <f>IF(ISNUMBER(FIND("Jan",$C$1)),Monthly!$C1190,(IF(ISNUMBER(FIND("Feb",$C$1)),Monthly!$D1190,((IF(ISNUMBER(FIND("Mar",$C$1)),Monthly!$E1190,(IF(ISNUMBER(FIND("Apr",$C$1)),Monthly!$F1190,((IF(ISNUMBER(FIND("May",$C$1)),Monthly!$G1190,((IF(ISNUMBER(FIND("Jun",$C$1)),Monthly!$H1190,(IF(ISNUMBER(FIND("Jul",$C$1)),Monthly!$I1190,(IF(ISNUMBER(FIND("Aug",$C$1)),Monthly!$J1190,(IF(ISNUMBER(FIND("Sep",$C$1)),Monthly!$K1190,(IF(ISNUMBER(FIND("Oct",$C$1)),Monthly!$L1190,(IF(ISNUMBER(FIND("Nov",$C$1)),Monthly!$M1190,(IF(ISNUMBER(FIND("Dec",$C$1)),Monthly!$N1190,))))))))))))))))))))))))))</f>
        <v>0</v>
      </c>
      <c r="L23" s="1139">
        <f>IF(ISNUMBER(FIND("Jan",$C$1)),Monthly!$C1113,(IF(ISNUMBER(FIND("Feb",$C$1)),Monthly!$D1113,((IF(ISNUMBER(FIND("Mar",$C$1)),Monthly!$E1113,(IF(ISNUMBER(FIND("Apr",$C$1)),Monthly!$F1113,((IF(ISNUMBER(FIND("May",$C$1)),Monthly!$G1113,((IF(ISNUMBER(FIND("Jun",$C$1)),Monthly!$H1113,(IF(ISNUMBER(FIND("Jul",$C$1)),Monthly!$I1113,(IF(ISNUMBER(FIND("Aug",$C$1)),Monthly!$J1113,(IF(ISNUMBER(FIND("Sep",$C$1)),Monthly!$K1113,(IF(ISNUMBER(FIND("Oct",$C$1)),Monthly!$L1113,(IF(ISNUMBER(FIND("Nov",$C$1)),Monthly!$M1113,(IF(ISNUMBER(FIND("Dec",$C$1)),Monthly!$N1113,))))))))))))))))))))))))))</f>
        <v>0</v>
      </c>
      <c r="M23" s="1139">
        <f>IF(ISNUMBER(FIND("Jan",$C$1)),Monthly!$C1036,(IF(ISNUMBER(FIND("Feb",$C$1)),Monthly!$D1036,((IF(ISNUMBER(FIND("Mar",$C$1)),Monthly!$E1036,(IF(ISNUMBER(FIND("Apr",$C$1)),Monthly!$F1036,((IF(ISNUMBER(FIND("May",$C$1)),Monthly!$G1036,((IF(ISNUMBER(FIND("Jun",$C$1)),Monthly!$H1036,(IF(ISNUMBER(FIND("Jul",$C$1)),Monthly!$I1036,(IF(ISNUMBER(FIND("Aug",$C$1)),Monthly!$J1036,(IF(ISNUMBER(FIND("Sep",$C$1)),Monthly!$K1036,(IF(ISNUMBER(FIND("Oct",$C$1)),Monthly!$L1036,(IF(ISNUMBER(FIND("Nov",$C$1)),Monthly!$M1036,(IF(ISNUMBER(FIND("Dec",$C$1)),Monthly!$N1036,))))))))))))))))))))))))))</f>
        <v>0</v>
      </c>
      <c r="N23" s="1148">
        <f>IF(ISNUMBER(FIND("Jan",$C$1)),Monthly!$C959,(IF(ISNUMBER(FIND("Feb",$C$1)),Monthly!$D959,((IF(ISNUMBER(FIND("Mar",$C$1)),Monthly!$E959,(IF(ISNUMBER(FIND("Apr",$C$1)),Monthly!$F959,((IF(ISNUMBER(FIND("May",$C$1)),Monthly!$G959,((IF(ISNUMBER(FIND("Jun",$C$1)),Monthly!$H959,(IF(ISNUMBER(FIND("Jul",$C$1)),Monthly!$I959,(IF(ISNUMBER(FIND("Aug",$C$1)),Monthly!$J959,(IF(ISNUMBER(FIND("Sep",$C$1)),Monthly!$K959,(IF(ISNUMBER(FIND("Oct",$C$1)),Monthly!$L959,(IF(ISNUMBER(FIND("Nov",$C$1)),Monthly!$M959,(IF(ISNUMBER(FIND("Dec",$C$1)),Monthly!$N959,))))))))))))))))))))))))))</f>
        <v>0</v>
      </c>
      <c r="O23" s="1148">
        <f>IF(ISNUMBER(FIND("Jan",$C$1)),Monthly!$C883,(IF(ISNUMBER(FIND("Feb",$C$1)),Monthly!$D883,((IF(ISNUMBER(FIND("Mar",$C$1)),Monthly!$E883,(IF(ISNUMBER(FIND("Apr",$C$1)),Monthly!$F883,((IF(ISNUMBER(FIND("May",$C$1)),Monthly!$G883,((IF(ISNUMBER(FIND("Jun",$C$1)),Monthly!$H883,(IF(ISNUMBER(FIND("Jul",$C$1)),Monthly!$I883,(IF(ISNUMBER(FIND("Aug",$C$1)),Monthly!$J883,(IF(ISNUMBER(FIND("Sep",$C$1)),Monthly!$K883,(IF(ISNUMBER(FIND("Oct",$C$1)),Monthly!$L883,(IF(ISNUMBER(FIND("Nov",$C$1)),Monthly!$M883,(IF(ISNUMBER(FIND("Dec",$C$1)),Monthly!$N883,))))))))))))))))))))))))))</f>
        <v>0</v>
      </c>
      <c r="P23" s="1148">
        <f>IF(ISNUMBER(FIND("Jan",$C$1)),Monthly!$C806,(IF(ISNUMBER(FIND("Feb",$C$1)),Monthly!$D806,((IF(ISNUMBER(FIND("Mar",$C$1)),Monthly!$E806,(IF(ISNUMBER(FIND("Apr",$C$1)),Monthly!$F806,((IF(ISNUMBER(FIND("May",$C$1)),Monthly!$G806,((IF(ISNUMBER(FIND("Jun",$C$1)),Monthly!$H806,(IF(ISNUMBER(FIND("Jul",$C$1)),Monthly!$I806,(IF(ISNUMBER(FIND("Aug",$C$1)),Monthly!$J806,(IF(ISNUMBER(FIND("Sep",$C$1)),Monthly!$K806,(IF(ISNUMBER(FIND("Oct",$C$1)),Monthly!$L806,(IF(ISNUMBER(FIND("Nov",$C$1)),Monthly!$M806,(IF(ISNUMBER(FIND("Dec",$C$1)),Monthly!$N806,))))))))))))))))))))))))))</f>
        <v>0</v>
      </c>
      <c r="Q23" s="1142">
        <f>IF(ISNUMBER(FIND("Jan",$C$1)),Monthly!$C729,(IF(ISNUMBER(FIND("Feb",$C$1)),Monthly!$D729,((IF(ISNUMBER(FIND("Mar",$C$1)),Monthly!$E729,(IF(ISNUMBER(FIND("Apr",$C$1)),Monthly!$F729,((IF(ISNUMBER(FIND("May",$C$1)),Monthly!$G729,((IF(ISNUMBER(FIND("Jun",$C$1)),Monthly!$H729,(IF(ISNUMBER(FIND("Jul",$C$1)),Monthly!$I729,(IF(ISNUMBER(FIND("Aug",$C$1)),Monthly!$J729,(IF(ISNUMBER(FIND("Sep",$C$1)),Monthly!$K729,(IF(ISNUMBER(FIND("Oct",$C$1)),Monthly!$L729,(IF(ISNUMBER(FIND("Nov",$C$1)),Monthly!$M729,(IF(ISNUMBER(FIND("Dec",$C$1)),Monthly!$N729,))))))))))))))))))))))))))</f>
        <v>0</v>
      </c>
      <c r="R23" s="1142"/>
      <c r="S23" s="1142"/>
      <c r="T23" s="1142"/>
      <c r="U23" s="1143">
        <f>Monthly!O422</f>
        <v>0</v>
      </c>
      <c r="V23" s="1142">
        <f>Monthly!O337</f>
        <v>0</v>
      </c>
      <c r="W23" s="1142"/>
      <c r="X23" s="1144">
        <f t="shared" si="10"/>
        <v>0</v>
      </c>
      <c r="Y23" s="1145">
        <f t="shared" si="11"/>
        <v>0</v>
      </c>
      <c r="Z23" s="1146"/>
      <c r="AA23" s="1147">
        <f t="shared" si="12"/>
        <v>0</v>
      </c>
      <c r="AB23" s="1147">
        <f t="shared" si="13"/>
        <v>0</v>
      </c>
      <c r="AC23" s="140"/>
      <c r="AD23" s="141"/>
    </row>
    <row r="24" spans="1:30" s="147" customFormat="1" ht="13.5">
      <c r="A24" s="1136"/>
      <c r="B24" s="1137" t="s">
        <v>455</v>
      </c>
      <c r="C24" s="1138">
        <f>IF(ISNUMBER(FIND("Jan",$C$1)),Monthly!$C1811,(IF(ISNUMBER(FIND("Feb",$C$1)),Monthly!$D1811,((IF(ISNUMBER(FIND("Mar",$C$1)),Monthly!$E1811,(IF(ISNUMBER(FIND("Apr",$C$1)),Monthly!$F1811,((IF(ISNUMBER(FIND("May",$C$1)),Monthly!$G1811,((IF(ISNUMBER(FIND("Jun",$C$1)),Monthly!$H1811,(IF(ISNUMBER(FIND("Jul",$C$1)),Monthly!$I1811,(IF(ISNUMBER(FIND("Aug",$C$1)),Monthly!$J1811,(IF(ISNUMBER(FIND("Sep",$C$1)),Monthly!$K1811,(IF(ISNUMBER(FIND("Oct",$C$1)),Monthly!$L1811,(IF(ISNUMBER(FIND("Nov",$C$1)),Monthly!$M1811,(IF(ISNUMBER(FIND("Dec",$C$1)),Monthly!$N1811,))))))))))))))))))))))))))</f>
        <v>0</v>
      </c>
      <c r="D24" s="1139">
        <f>IF(ISNUMBER(FIND("Jan",$C$1)),Monthly!$C1734,(IF(ISNUMBER(FIND("Feb",$C$1)),Monthly!$D1734,((IF(ISNUMBER(FIND("Mar",$C$1)),Monthly!$E1734,(IF(ISNUMBER(FIND("Apr",$C$1)),Monthly!$F1734,((IF(ISNUMBER(FIND("May",$C$1)),Monthly!$G1734,((IF(ISNUMBER(FIND("Jun",$C$1)),Monthly!$H1734,(IF(ISNUMBER(FIND("Jul",$C$1)),Monthly!$I1734,(IF(ISNUMBER(FIND("Aug",$C$1)),Monthly!$J1734,(IF(ISNUMBER(FIND("Sep",$C$1)),Monthly!$K1734,(IF(ISNUMBER(FIND("Oct",$C$1)),Monthly!$L1734,(IF(ISNUMBER(FIND("Nov",$C$1)),Monthly!$M1734,(IF(ISNUMBER(FIND("Dec",$C$1)),Monthly!$N1734,))))))))))))))))))))))))))</f>
        <v>412</v>
      </c>
      <c r="E24" s="1139">
        <f xml:space="preserve">
IF(ISNUMBER(FIND("Jan",$C$1)),Monthly!$C1656,(IF(ISNUMBER(FIND("Feb",$C$1)),Monthly!$D1656,((IF(ISNUMBER(FIND("Mar",$C$1)),Monthly!$E1656,(IF(ISNUMBER(FIND("Apr",$C$1)),Monthly!$F1656,((IF(ISNUMBER(FIND("May",$C$1)),Monthly!$G1656,((IF(ISNUMBER(FIND("Jun",$C$1)),Monthly!$H1656,(IF(ISNUMBER(FIND("Jul",$C$1)),Monthly!$I1656,(IF(ISNUMBER(FIND("Aug",$C$1)),Monthly!$J1656,(IF(ISNUMBER(FIND("Sep",$C$1)),Monthly!$K1656,(IF(ISNUMBER(FIND("Oct",$C$1)),Monthly!$L1656,(IF(ISNUMBER(FIND("Nov",$C$1)),Monthly!$M1656,(IF(ISNUMBER(FIND("Dec",$C$1)),Monthly!$N1656,))))))))))))))))))))))))))</f>
        <v>0</v>
      </c>
      <c r="F24" s="1138">
        <f>IF(ISNUMBER(FIND("Jan",$C$1)),Monthly!$C1578,(IF(ISNUMBER(FIND("Feb",$C$1)),Monthly!$D1578,((IF(ISNUMBER(FIND("Mar",$C$1)),Monthly!$E1578,(IF(ISNUMBER(FIND("Apr",$C$1)),Monthly!$F1578,((IF(ISNUMBER(FIND("May",$C$1)),Monthly!$G1578,((IF(ISNUMBER(FIND("Jun",$C$1)),Monthly!$H1578,(IF(ISNUMBER(FIND("Jul",$C$1)),Monthly!$I1578,(IF(ISNUMBER(FIND("Aug",$C$1)),Monthly!$J1578,(IF(ISNUMBER(FIND("Sep",$C$1)),Monthly!$K1578,(IF(ISNUMBER(FIND("Oct",$C$1)),Monthly!$L1578,(IF(ISNUMBER(FIND("Nov",$C$1)),Monthly!$M1578,(IF(ISNUMBER(FIND("Dec",$C$1)),Monthly!$N1578,))))))))))))))))))))))))))</f>
        <v>0</v>
      </c>
      <c r="G24" s="1139">
        <f>IF(ISNUMBER(FIND("Jan",$C$1)),Monthly!$C1500,(IF(ISNUMBER(FIND("Feb",$C$1)),Monthly!$D1500,((IF(ISNUMBER(FIND("Mar",$C$1)),Monthly!$E1500,(IF(ISNUMBER(FIND("Apr",$C$1)),Monthly!$F1500,((IF(ISNUMBER(FIND("May",$C$1)),Monthly!$G1500,((IF(ISNUMBER(FIND("Jun",$C$1)),Monthly!$H1500,(IF(ISNUMBER(FIND("Jul",$C$1)),Monthly!$I1500,(IF(ISNUMBER(FIND("Aug",$C$1)),Monthly!$J1500,(IF(ISNUMBER(FIND("Sep",$C$1)),Monthly!$K1500,(IF(ISNUMBER(FIND("Oct",$C$1)),Monthly!$L1500,(IF(ISNUMBER(FIND("Nov",$C$1)),Monthly!$M1500,(IF(ISNUMBER(FIND("Dec",$C$1)),Monthly!$N1500,))))))))))))))))))))))))))</f>
        <v>0</v>
      </c>
      <c r="H24" s="1139">
        <f>IF(ISNUMBER(FIND("Jan",$C$1)),Monthly!$C1423,(IF(ISNUMBER(FIND("Feb",$C$1)),Monthly!$D1423,((IF(ISNUMBER(FIND("Mar",$C$1)),Monthly!$E1423,(IF(ISNUMBER(FIND("Apr",$C$1)),Monthly!$F1423,((IF(ISNUMBER(FIND("May",$C$1)),Monthly!$G1423,((IF(ISNUMBER(FIND("Jun",$C$1)),Monthly!$H1423,(IF(ISNUMBER(FIND("Jul",$C$1)),Monthly!$I1423,(IF(ISNUMBER(FIND("Aug",$C$1)),Monthly!$J1423,(IF(ISNUMBER(FIND("Sep",$C$1)),Monthly!$K1423,(IF(ISNUMBER(FIND("Oct",$C$1)),Monthly!$L1423,(IF(ISNUMBER(FIND("Nov",$C$1)),Monthly!$M1423,(IF(ISNUMBER(FIND("Dec",$C$1)),Monthly!$N1423,))))))))))))))))))))))))))</f>
        <v>0</v>
      </c>
      <c r="I24" s="1139">
        <f>IF(ISNUMBER(FIND("Jan",$C$1)),Monthly!$C1346,(IF(ISNUMBER(FIND("Feb",$C$1)),Monthly!$D1346,((IF(ISNUMBER(FIND("Mar",$C$1)),Monthly!$E1346,(IF(ISNUMBER(FIND("Apr",$C$1)),Monthly!$F1346,((IF(ISNUMBER(FIND("May",$C$1)),Monthly!$G1346,((IF(ISNUMBER(FIND("Jun",$C$1)),Monthly!$H1346,(IF(ISNUMBER(FIND("Jul",$C$1)),Monthly!$I1346,(IF(ISNUMBER(FIND("Aug",$C$1)),Monthly!$J1346,(IF(ISNUMBER(FIND("Sep",$C$1)),Monthly!$K1346,(IF(ISNUMBER(FIND("Oct",$C$1)),Monthly!$L1346,(IF(ISNUMBER(FIND("Nov",$C$1)),Monthly!$M1346,(IF(ISNUMBER(FIND("Dec",$C$1)),Monthly!$N1346,))))))))))))))))))))))))))</f>
        <v>0</v>
      </c>
      <c r="J24" s="1138">
        <f>IF(ISNUMBER(FIND("Jan",$C$1)),Monthly!$C1269,(IF(ISNUMBER(FIND("Feb",$C$1)),Monthly!$D1269,((IF(ISNUMBER(FIND("Mar",$C$1)),Monthly!$E1269,(IF(ISNUMBER(FIND("Apr",$C$1)),Monthly!$F1269,((IF(ISNUMBER(FIND("May",$C$1)),Monthly!$G1269,((IF(ISNUMBER(FIND("Jun",$C$1)),Monthly!$H1269,(IF(ISNUMBER(FIND("Jul",$C$1)),Monthly!$I1269,(IF(ISNUMBER(FIND("Aug",$C$1)),Monthly!$J1269,(IF(ISNUMBER(FIND("Sep",$C$1)),Monthly!$K1269,(IF(ISNUMBER(FIND("Oct",$C$1)),Monthly!$L1269,(IF(ISNUMBER(FIND("Nov",$C$1)),Monthly!$M1269,(IF(ISNUMBER(FIND("Dec",$C$1)),Monthly!$N1269,))))))))))))))))))))))))))</f>
        <v>0</v>
      </c>
      <c r="K24" s="1148">
        <f>IF(ISNUMBER(FIND("Jan",$C$1)),Monthly!$C1191,(IF(ISNUMBER(FIND("Feb",$C$1)),Monthly!$D1191,((IF(ISNUMBER(FIND("Mar",$C$1)),Monthly!$E1191,(IF(ISNUMBER(FIND("Apr",$C$1)),Monthly!$F1191,((IF(ISNUMBER(FIND("May",$C$1)),Monthly!$G1191,((IF(ISNUMBER(FIND("Jun",$C$1)),Monthly!$H1191,(IF(ISNUMBER(FIND("Jul",$C$1)),Monthly!$I1191,(IF(ISNUMBER(FIND("Aug",$C$1)),Monthly!$J1191,(IF(ISNUMBER(FIND("Sep",$C$1)),Monthly!$K1191,(IF(ISNUMBER(FIND("Oct",$C$1)),Monthly!$L1191,(IF(ISNUMBER(FIND("Nov",$C$1)),Monthly!$M1191,(IF(ISNUMBER(FIND("Dec",$C$1)),Monthly!$N1191,))))))))))))))))))))))))))</f>
        <v>0</v>
      </c>
      <c r="L24" s="1139">
        <f>IF(ISNUMBER(FIND("Jan",$C$1)),Monthly!$C1114,(IF(ISNUMBER(FIND("Feb",$C$1)),Monthly!$D1114,((IF(ISNUMBER(FIND("Mar",$C$1)),Monthly!$E1114,(IF(ISNUMBER(FIND("Apr",$C$1)),Monthly!$F1114,((IF(ISNUMBER(FIND("May",$C$1)),Monthly!$G1114,((IF(ISNUMBER(FIND("Jun",$C$1)),Monthly!$H1114,(IF(ISNUMBER(FIND("Jul",$C$1)),Monthly!$I1114,(IF(ISNUMBER(FIND("Aug",$C$1)),Monthly!$J1114,(IF(ISNUMBER(FIND("Sep",$C$1)),Monthly!$K1114,(IF(ISNUMBER(FIND("Oct",$C$1)),Monthly!$L1114,(IF(ISNUMBER(FIND("Nov",$C$1)),Monthly!$M1114,(IF(ISNUMBER(FIND("Dec",$C$1)),Monthly!$N1114,))))))))))))))))))))))))))</f>
        <v>1</v>
      </c>
      <c r="M24" s="1139">
        <f>IF(ISNUMBER(FIND("Jan",$C$1)),Monthly!$C1037,(IF(ISNUMBER(FIND("Feb",$C$1)),Monthly!$D1037,((IF(ISNUMBER(FIND("Mar",$C$1)),Monthly!$E1037,(IF(ISNUMBER(FIND("Apr",$C$1)),Monthly!$F1037,((IF(ISNUMBER(FIND("May",$C$1)),Monthly!$G1037,((IF(ISNUMBER(FIND("Jun",$C$1)),Monthly!$H1037,(IF(ISNUMBER(FIND("Jul",$C$1)),Monthly!$I1037,(IF(ISNUMBER(FIND("Aug",$C$1)),Monthly!$J1037,(IF(ISNUMBER(FIND("Sep",$C$1)),Monthly!$K1037,(IF(ISNUMBER(FIND("Oct",$C$1)),Monthly!$L1037,(IF(ISNUMBER(FIND("Nov",$C$1)),Monthly!$M1037,(IF(ISNUMBER(FIND("Dec",$C$1)),Monthly!$N1037,))))))))))))))))))))))))))</f>
        <v>0</v>
      </c>
      <c r="N24" s="1148">
        <f>IF(ISNUMBER(FIND("Jan",$C$1)),Monthly!$C960,(IF(ISNUMBER(FIND("Feb",$C$1)),Monthly!$D960,((IF(ISNUMBER(FIND("Mar",$C$1)),Monthly!$E960,(IF(ISNUMBER(FIND("Apr",$C$1)),Monthly!$F960,((IF(ISNUMBER(FIND("May",$C$1)),Monthly!$G960,((IF(ISNUMBER(FIND("Jun",$C$1)),Monthly!$H960,(IF(ISNUMBER(FIND("Jul",$C$1)),Monthly!$I960,(IF(ISNUMBER(FIND("Aug",$C$1)),Monthly!$J960,(IF(ISNUMBER(FIND("Sep",$C$1)),Monthly!$K960,(IF(ISNUMBER(FIND("Oct",$C$1)),Monthly!$L960,(IF(ISNUMBER(FIND("Nov",$C$1)),Monthly!$M960,(IF(ISNUMBER(FIND("Dec",$C$1)),Monthly!$N960,))))))))))))))))))))))))))</f>
        <v>0</v>
      </c>
      <c r="O24" s="1148">
        <f>IF(ISNUMBER(FIND("Jan",$C$1)),Monthly!$C884,(IF(ISNUMBER(FIND("Feb",$C$1)),Monthly!$D884,((IF(ISNUMBER(FIND("Mar",$C$1)),Monthly!$E884,(IF(ISNUMBER(FIND("Apr",$C$1)),Monthly!$F884,((IF(ISNUMBER(FIND("May",$C$1)),Monthly!$G884,((IF(ISNUMBER(FIND("Jun",$C$1)),Monthly!$H884,(IF(ISNUMBER(FIND("Jul",$C$1)),Monthly!$I884,(IF(ISNUMBER(FIND("Aug",$C$1)),Monthly!$J884,(IF(ISNUMBER(FIND("Sep",$C$1)),Monthly!$K884,(IF(ISNUMBER(FIND("Oct",$C$1)),Monthly!$L884,(IF(ISNUMBER(FIND("Nov",$C$1)),Monthly!$M884,(IF(ISNUMBER(FIND("Dec",$C$1)),Monthly!$N884,))))))))))))))))))))))))))</f>
        <v>0</v>
      </c>
      <c r="P24" s="1148">
        <f>IF(ISNUMBER(FIND("Jan",$C$1)),Monthly!$C807,(IF(ISNUMBER(FIND("Feb",$C$1)),Monthly!$D807,((IF(ISNUMBER(FIND("Mar",$C$1)),Monthly!$E807,(IF(ISNUMBER(FIND("Apr",$C$1)),Monthly!$F807,((IF(ISNUMBER(FIND("May",$C$1)),Monthly!$G807,((IF(ISNUMBER(FIND("Jun",$C$1)),Monthly!$H807,(IF(ISNUMBER(FIND("Jul",$C$1)),Monthly!$I807,(IF(ISNUMBER(FIND("Aug",$C$1)),Monthly!$J807,(IF(ISNUMBER(FIND("Sep",$C$1)),Monthly!$K807,(IF(ISNUMBER(FIND("Oct",$C$1)),Monthly!$L807,(IF(ISNUMBER(FIND("Nov",$C$1)),Monthly!$M807,(IF(ISNUMBER(FIND("Dec",$C$1)),Monthly!$N807,))))))))))))))))))))))))))</f>
        <v>97</v>
      </c>
      <c r="Q24" s="1142">
        <f>IF(ISNUMBER(FIND("Jan",$C$1)),Monthly!$C730,(IF(ISNUMBER(FIND("Feb",$C$1)),Monthly!$D730,((IF(ISNUMBER(FIND("Mar",$C$1)),Monthly!$E730,(IF(ISNUMBER(FIND("Apr",$C$1)),Monthly!$F730,((IF(ISNUMBER(FIND("May",$C$1)),Monthly!$G730,((IF(ISNUMBER(FIND("Jun",$C$1)),Monthly!$H730,(IF(ISNUMBER(FIND("Jul",$C$1)),Monthly!$I730,(IF(ISNUMBER(FIND("Aug",$C$1)),Monthly!$J730,(IF(ISNUMBER(FIND("Sep",$C$1)),Monthly!$K730,(IF(ISNUMBER(FIND("Oct",$C$1)),Monthly!$L730,(IF(ISNUMBER(FIND("Nov",$C$1)),Monthly!$M730,(IF(ISNUMBER(FIND("Dec",$C$1)),Monthly!$N730,))))))))))))))))))))))))))</f>
        <v>97</v>
      </c>
      <c r="R24" s="1142"/>
      <c r="S24" s="1142"/>
      <c r="T24" s="1142"/>
      <c r="U24" s="1143">
        <f>Monthly!O423</f>
        <v>104.16666666666667</v>
      </c>
      <c r="V24" s="1142">
        <f>Monthly!O338</f>
        <v>107.75</v>
      </c>
      <c r="W24" s="1142"/>
      <c r="X24" s="1144">
        <f t="shared" si="10"/>
        <v>40.466666666666669</v>
      </c>
      <c r="Y24" s="1145">
        <f t="shared" si="11"/>
        <v>5.7809523809523814E-3</v>
      </c>
      <c r="Z24" s="1146"/>
      <c r="AA24" s="1147">
        <f t="shared" si="12"/>
        <v>412</v>
      </c>
      <c r="AB24" s="1147">
        <f t="shared" si="13"/>
        <v>0</v>
      </c>
      <c r="AC24" s="140"/>
      <c r="AD24" s="141"/>
    </row>
    <row r="25" spans="1:30" s="147" customFormat="1" ht="13.5">
      <c r="A25" s="1136"/>
      <c r="B25" s="1137" t="s">
        <v>456</v>
      </c>
      <c r="C25" s="1138">
        <f>IF(ISNUMBER(FIND("Jan",$C$1)),Monthly!$C1812,(IF(ISNUMBER(FIND("Feb",$C$1)),Monthly!$D1812,((IF(ISNUMBER(FIND("Mar",$C$1)),Monthly!$E1812,(IF(ISNUMBER(FIND("Apr",$C$1)),Monthly!$F1812,((IF(ISNUMBER(FIND("May",$C$1)),Monthly!$G1812,((IF(ISNUMBER(FIND("Jun",$C$1)),Monthly!$H1812,(IF(ISNUMBER(FIND("Jul",$C$1)),Monthly!$I1812,(IF(ISNUMBER(FIND("Aug",$C$1)),Monthly!$J1812,(IF(ISNUMBER(FIND("Sep",$C$1)),Monthly!$K1812,(IF(ISNUMBER(FIND("Oct",$C$1)),Monthly!$L1812,(IF(ISNUMBER(FIND("Nov",$C$1)),Monthly!$M1812,(IF(ISNUMBER(FIND("Dec",$C$1)),Monthly!$N1812,))))))))))))))))))))))))))</f>
        <v>31</v>
      </c>
      <c r="D25" s="1139">
        <f>IF(ISNUMBER(FIND("Jan",$C$1)),Monthly!$C1735,(IF(ISNUMBER(FIND("Feb",$C$1)),Monthly!$D1735,((IF(ISNUMBER(FIND("Mar",$C$1)),Monthly!$E1735,(IF(ISNUMBER(FIND("Apr",$C$1)),Monthly!$F1735,((IF(ISNUMBER(FIND("May",$C$1)),Monthly!$G1735,((IF(ISNUMBER(FIND("Jun",$C$1)),Monthly!$H1735,(IF(ISNUMBER(FIND("Jul",$C$1)),Monthly!$I1735,(IF(ISNUMBER(FIND("Aug",$C$1)),Monthly!$J1735,(IF(ISNUMBER(FIND("Sep",$C$1)),Monthly!$K1735,(IF(ISNUMBER(FIND("Oct",$C$1)),Monthly!$L1735,(IF(ISNUMBER(FIND("Nov",$C$1)),Monthly!$M1735,(IF(ISNUMBER(FIND("Dec",$C$1)),Monthly!$N1735,))))))))))))))))))))))))))</f>
        <v>0</v>
      </c>
      <c r="E25" s="1139">
        <f xml:space="preserve">
IF(ISNUMBER(FIND("Jan",$C$1)),Monthly!$C1657,(IF(ISNUMBER(FIND("Feb",$C$1)),Monthly!$D1657,((IF(ISNUMBER(FIND("Mar",$C$1)),Monthly!$E1657,(IF(ISNUMBER(FIND("Apr",$C$1)),Monthly!$F1657,((IF(ISNUMBER(FIND("May",$C$1)),Monthly!$G1657,((IF(ISNUMBER(FIND("Jun",$C$1)),Monthly!$H1657,(IF(ISNUMBER(FIND("Jul",$C$1)),Monthly!$I1657,(IF(ISNUMBER(FIND("Aug",$C$1)),Monthly!$J1657,(IF(ISNUMBER(FIND("Sep",$C$1)),Monthly!$K1657,(IF(ISNUMBER(FIND("Oct",$C$1)),Monthly!$L1657,(IF(ISNUMBER(FIND("Nov",$C$1)),Monthly!$M1657,(IF(ISNUMBER(FIND("Dec",$C$1)),Monthly!$N1657,))))))))))))))))))))))))))</f>
        <v>0</v>
      </c>
      <c r="F25" s="1138">
        <f>IF(ISNUMBER(FIND("Jan",$C$1)),Monthly!$C1579,(IF(ISNUMBER(FIND("Feb",$C$1)),Monthly!$D1579,((IF(ISNUMBER(FIND("Mar",$C$1)),Monthly!$E1579,(IF(ISNUMBER(FIND("Apr",$C$1)),Monthly!$F1579,((IF(ISNUMBER(FIND("May",$C$1)),Monthly!$G1579,((IF(ISNUMBER(FIND("Jun",$C$1)),Monthly!$H1579,(IF(ISNUMBER(FIND("Jul",$C$1)),Monthly!$I1579,(IF(ISNUMBER(FIND("Aug",$C$1)),Monthly!$J1579,(IF(ISNUMBER(FIND("Sep",$C$1)),Monthly!$K1579,(IF(ISNUMBER(FIND("Oct",$C$1)),Monthly!$L1579,(IF(ISNUMBER(FIND("Nov",$C$1)),Monthly!$M1579,(IF(ISNUMBER(FIND("Dec",$C$1)),Monthly!$N1579,))))))))))))))))))))))))))</f>
        <v>347</v>
      </c>
      <c r="G25" s="1139">
        <f>IF(ISNUMBER(FIND("Jan",$C$1)),Monthly!$C1501,(IF(ISNUMBER(FIND("Feb",$C$1)),Monthly!$D1501,((IF(ISNUMBER(FIND("Mar",$C$1)),Monthly!$E1501,(IF(ISNUMBER(FIND("Apr",$C$1)),Monthly!$F1501,((IF(ISNUMBER(FIND("May",$C$1)),Monthly!$G1501,((IF(ISNUMBER(FIND("Jun",$C$1)),Monthly!$H1501,(IF(ISNUMBER(FIND("Jul",$C$1)),Monthly!$I1501,(IF(ISNUMBER(FIND("Aug",$C$1)),Monthly!$J1501,(IF(ISNUMBER(FIND("Sep",$C$1)),Monthly!$K1501,(IF(ISNUMBER(FIND("Oct",$C$1)),Monthly!$L1501,(IF(ISNUMBER(FIND("Nov",$C$1)),Monthly!$M1501,(IF(ISNUMBER(FIND("Dec",$C$1)),Monthly!$N1501,))))))))))))))))))))))))))</f>
        <v>221</v>
      </c>
      <c r="H25" s="1139">
        <f>IF(ISNUMBER(FIND("Jan",$C$1)),Monthly!$C1424,(IF(ISNUMBER(FIND("Feb",$C$1)),Monthly!$D1424,((IF(ISNUMBER(FIND("Mar",$C$1)),Monthly!$E1424,(IF(ISNUMBER(FIND("Apr",$C$1)),Monthly!$F1424,((IF(ISNUMBER(FIND("May",$C$1)),Monthly!$G1424,((IF(ISNUMBER(FIND("Jun",$C$1)),Monthly!$H1424,(IF(ISNUMBER(FIND("Jul",$C$1)),Monthly!$I1424,(IF(ISNUMBER(FIND("Aug",$C$1)),Monthly!$J1424,(IF(ISNUMBER(FIND("Sep",$C$1)),Monthly!$K1424,(IF(ISNUMBER(FIND("Oct",$C$1)),Monthly!$L1424,(IF(ISNUMBER(FIND("Nov",$C$1)),Monthly!$M1424,(IF(ISNUMBER(FIND("Dec",$C$1)),Monthly!$N1424,))))))))))))))))))))))))))</f>
        <v>22</v>
      </c>
      <c r="I25" s="1139">
        <f>IF(ISNUMBER(FIND("Jan",$C$1)),Monthly!$C1347,(IF(ISNUMBER(FIND("Feb",$C$1)),Monthly!$D1347,((IF(ISNUMBER(FIND("Mar",$C$1)),Monthly!$E1347,(IF(ISNUMBER(FIND("Apr",$C$1)),Monthly!$F1347,((IF(ISNUMBER(FIND("May",$C$1)),Monthly!$G1347,((IF(ISNUMBER(FIND("Jun",$C$1)),Monthly!$H1347,(IF(ISNUMBER(FIND("Jul",$C$1)),Monthly!$I1347,(IF(ISNUMBER(FIND("Aug",$C$1)),Monthly!$J1347,(IF(ISNUMBER(FIND("Sep",$C$1)),Monthly!$K1347,(IF(ISNUMBER(FIND("Oct",$C$1)),Monthly!$L1347,(IF(ISNUMBER(FIND("Nov",$C$1)),Monthly!$M1347,(IF(ISNUMBER(FIND("Dec",$C$1)),Monthly!$N1347,))))))))))))))))))))))))))</f>
        <v>0</v>
      </c>
      <c r="J25" s="1138">
        <f>IF(ISNUMBER(FIND("Jan",$C$1)),Monthly!$C1270,(IF(ISNUMBER(FIND("Feb",$C$1)),Monthly!$D1270,((IF(ISNUMBER(FIND("Mar",$C$1)),Monthly!$E1270,(IF(ISNUMBER(FIND("Apr",$C$1)),Monthly!$F1270,((IF(ISNUMBER(FIND("May",$C$1)),Monthly!$G1270,((IF(ISNUMBER(FIND("Jun",$C$1)),Monthly!$H1270,(IF(ISNUMBER(FIND("Jul",$C$1)),Monthly!$I1270,(IF(ISNUMBER(FIND("Aug",$C$1)),Monthly!$J1270,(IF(ISNUMBER(FIND("Sep",$C$1)),Monthly!$K1270,(IF(ISNUMBER(FIND("Oct",$C$1)),Monthly!$L1270,(IF(ISNUMBER(FIND("Nov",$C$1)),Monthly!$M1270,(IF(ISNUMBER(FIND("Dec",$C$1)),Monthly!$N1270,))))))))))))))))))))))))))</f>
        <v>0</v>
      </c>
      <c r="K25" s="1148">
        <f>IF(ISNUMBER(FIND("Jan",$C$1)),Monthly!$C1192,(IF(ISNUMBER(FIND("Feb",$C$1)),Monthly!$D1192,((IF(ISNUMBER(FIND("Mar",$C$1)),Monthly!$E1192,(IF(ISNUMBER(FIND("Apr",$C$1)),Monthly!$F1192,((IF(ISNUMBER(FIND("May",$C$1)),Monthly!$G1192,((IF(ISNUMBER(FIND("Jun",$C$1)),Monthly!$H1192,(IF(ISNUMBER(FIND("Jul",$C$1)),Monthly!$I1192,(IF(ISNUMBER(FIND("Aug",$C$1)),Monthly!$J1192,(IF(ISNUMBER(FIND("Sep",$C$1)),Monthly!$K1192,(IF(ISNUMBER(FIND("Oct",$C$1)),Monthly!$L1192,(IF(ISNUMBER(FIND("Nov",$C$1)),Monthly!$M1192,(IF(ISNUMBER(FIND("Dec",$C$1)),Monthly!$N1192,))))))))))))))))))))))))))</f>
        <v>0</v>
      </c>
      <c r="L25" s="1139">
        <f>IF(ISNUMBER(FIND("Jan",$C$1)),Monthly!$C1115,(IF(ISNUMBER(FIND("Feb",$C$1)),Monthly!$D1115,((IF(ISNUMBER(FIND("Mar",$C$1)),Monthly!$E1115,(IF(ISNUMBER(FIND("Apr",$C$1)),Monthly!$F1115,((IF(ISNUMBER(FIND("May",$C$1)),Monthly!$G1115,((IF(ISNUMBER(FIND("Jun",$C$1)),Monthly!$H1115,(IF(ISNUMBER(FIND("Jul",$C$1)),Monthly!$I1115,(IF(ISNUMBER(FIND("Aug",$C$1)),Monthly!$J1115,(IF(ISNUMBER(FIND("Sep",$C$1)),Monthly!$K1115,(IF(ISNUMBER(FIND("Oct",$C$1)),Monthly!$L1115,(IF(ISNUMBER(FIND("Nov",$C$1)),Monthly!$M1115,(IF(ISNUMBER(FIND("Dec",$C$1)),Monthly!$N1115,))))))))))))))))))))))))))</f>
        <v>0</v>
      </c>
      <c r="M25" s="1139">
        <f>IF(ISNUMBER(FIND("Jan",$C$1)),Monthly!$C1038,(IF(ISNUMBER(FIND("Feb",$C$1)),Monthly!$D1038,((IF(ISNUMBER(FIND("Mar",$C$1)),Monthly!$E1038,(IF(ISNUMBER(FIND("Apr",$C$1)),Monthly!$F1038,((IF(ISNUMBER(FIND("May",$C$1)),Monthly!$G1038,((IF(ISNUMBER(FIND("Jun",$C$1)),Monthly!$H1038,(IF(ISNUMBER(FIND("Jul",$C$1)),Monthly!$I1038,(IF(ISNUMBER(FIND("Aug",$C$1)),Monthly!$J1038,(IF(ISNUMBER(FIND("Sep",$C$1)),Monthly!$K1038,(IF(ISNUMBER(FIND("Oct",$C$1)),Monthly!$L1038,(IF(ISNUMBER(FIND("Nov",$C$1)),Monthly!$M1038,(IF(ISNUMBER(FIND("Dec",$C$1)),Monthly!$N1038,))))))))))))))))))))))))))</f>
        <v>0</v>
      </c>
      <c r="N25" s="1148">
        <f>IF(ISNUMBER(FIND("Jan",$C$1)),Monthly!$C961,(IF(ISNUMBER(FIND("Feb",$C$1)),Monthly!$D961,((IF(ISNUMBER(FIND("Mar",$C$1)),Monthly!$E961,(IF(ISNUMBER(FIND("Apr",$C$1)),Monthly!$F961,((IF(ISNUMBER(FIND("May",$C$1)),Monthly!$G961,((IF(ISNUMBER(FIND("Jun",$C$1)),Monthly!$H961,(IF(ISNUMBER(FIND("Jul",$C$1)),Monthly!$I961,(IF(ISNUMBER(FIND("Aug",$C$1)),Monthly!$J961,(IF(ISNUMBER(FIND("Sep",$C$1)),Monthly!$K961,(IF(ISNUMBER(FIND("Oct",$C$1)),Monthly!$L961,(IF(ISNUMBER(FIND("Nov",$C$1)),Monthly!$M961,(IF(ISNUMBER(FIND("Dec",$C$1)),Monthly!$N961,))))))))))))))))))))))))))</f>
        <v>0</v>
      </c>
      <c r="O25" s="1148">
        <f>IF(ISNUMBER(FIND("Jan",$C$1)),Monthly!$C885,(IF(ISNUMBER(FIND("Feb",$C$1)),Monthly!$D885,((IF(ISNUMBER(FIND("Mar",$C$1)),Monthly!$E885,(IF(ISNUMBER(FIND("Apr",$C$1)),Monthly!$F885,((IF(ISNUMBER(FIND("May",$C$1)),Monthly!$G885,((IF(ISNUMBER(FIND("Jun",$C$1)),Monthly!$H885,(IF(ISNUMBER(FIND("Jul",$C$1)),Monthly!$I885,(IF(ISNUMBER(FIND("Aug",$C$1)),Monthly!$J885,(IF(ISNUMBER(FIND("Sep",$C$1)),Monthly!$K885,(IF(ISNUMBER(FIND("Oct",$C$1)),Monthly!$L885,(IF(ISNUMBER(FIND("Nov",$C$1)),Monthly!$M885,(IF(ISNUMBER(FIND("Dec",$C$1)),Monthly!$N885,))))))))))))))))))))))))))</f>
        <v>0</v>
      </c>
      <c r="P25" s="1148">
        <f>IF(ISNUMBER(FIND("Jan",$C$1)),Monthly!$C808,(IF(ISNUMBER(FIND("Feb",$C$1)),Monthly!$D808,((IF(ISNUMBER(FIND("Mar",$C$1)),Monthly!$E808,(IF(ISNUMBER(FIND("Apr",$C$1)),Monthly!$F808,((IF(ISNUMBER(FIND("May",$C$1)),Monthly!$G808,((IF(ISNUMBER(FIND("Jun",$C$1)),Monthly!$H808,(IF(ISNUMBER(FIND("Jul",$C$1)),Monthly!$I808,(IF(ISNUMBER(FIND("Aug",$C$1)),Monthly!$J808,(IF(ISNUMBER(FIND("Sep",$C$1)),Monthly!$K808,(IF(ISNUMBER(FIND("Oct",$C$1)),Monthly!$L808,(IF(ISNUMBER(FIND("Nov",$C$1)),Monthly!$M808,(IF(ISNUMBER(FIND("Dec",$C$1)),Monthly!$N808,))))))))))))))))))))))))))</f>
        <v>0</v>
      </c>
      <c r="Q25" s="1142">
        <f>IF(ISNUMBER(FIND("Jan",$C$1)),Monthly!$C731,(IF(ISNUMBER(FIND("Feb",$C$1)),Monthly!$D731,((IF(ISNUMBER(FIND("Mar",$C$1)),Monthly!$E731,(IF(ISNUMBER(FIND("Apr",$C$1)),Monthly!$F731,((IF(ISNUMBER(FIND("May",$C$1)),Monthly!$G731,((IF(ISNUMBER(FIND("Jun",$C$1)),Monthly!$H731,(IF(ISNUMBER(FIND("Jul",$C$1)),Monthly!$I731,(IF(ISNUMBER(FIND("Aug",$C$1)),Monthly!$J731,(IF(ISNUMBER(FIND("Sep",$C$1)),Monthly!$K731,(IF(ISNUMBER(FIND("Oct",$C$1)),Monthly!$L731,(IF(ISNUMBER(FIND("Nov",$C$1)),Monthly!$M731,(IF(ISNUMBER(FIND("Dec",$C$1)),Monthly!$N731,))))))))))))))))))))))))))</f>
        <v>39</v>
      </c>
      <c r="R25" s="1142"/>
      <c r="S25" s="1142"/>
      <c r="T25" s="1142"/>
      <c r="U25" s="1143">
        <f>Monthly!O424</f>
        <v>13.083333333333334</v>
      </c>
      <c r="V25" s="1142">
        <f>Monthly!O339</f>
        <v>3.6666666666666665</v>
      </c>
      <c r="W25" s="1142"/>
      <c r="X25" s="1144">
        <f t="shared" si="10"/>
        <v>44</v>
      </c>
      <c r="Y25" s="1145">
        <f t="shared" si="11"/>
        <v>6.285714285714286E-3</v>
      </c>
      <c r="Z25" s="1146"/>
      <c r="AA25" s="1147">
        <f t="shared" si="12"/>
        <v>347</v>
      </c>
      <c r="AB25" s="1147">
        <f t="shared" si="13"/>
        <v>0</v>
      </c>
      <c r="AC25" s="140"/>
      <c r="AD25" s="141"/>
    </row>
    <row r="26" spans="1:30" s="148" customFormat="1" ht="13.5">
      <c r="A26" s="2293" t="s">
        <v>277</v>
      </c>
      <c r="B26" s="2294"/>
      <c r="C26" s="2285">
        <f>SUM(C28:C31)</f>
        <v>188</v>
      </c>
      <c r="D26" s="2285">
        <f t="shared" ref="D26:X26" si="14">SUM(D28:D31)</f>
        <v>210</v>
      </c>
      <c r="E26" s="2285">
        <f t="shared" si="14"/>
        <v>219</v>
      </c>
      <c r="F26" s="2285">
        <f t="shared" si="14"/>
        <v>209</v>
      </c>
      <c r="G26" s="2285">
        <f t="shared" si="14"/>
        <v>258</v>
      </c>
      <c r="H26" s="2285">
        <f t="shared" si="14"/>
        <v>215</v>
      </c>
      <c r="I26" s="2285">
        <f t="shared" si="14"/>
        <v>217</v>
      </c>
      <c r="J26" s="2285">
        <f t="shared" si="14"/>
        <v>588</v>
      </c>
      <c r="K26" s="2285">
        <f t="shared" si="14"/>
        <v>200</v>
      </c>
      <c r="L26" s="2285">
        <f t="shared" si="14"/>
        <v>273</v>
      </c>
      <c r="M26" s="2285">
        <f t="shared" si="14"/>
        <v>399</v>
      </c>
      <c r="N26" s="2285">
        <f t="shared" si="14"/>
        <v>897</v>
      </c>
      <c r="O26" s="2285">
        <f>SUM(O28:O31)</f>
        <v>95</v>
      </c>
      <c r="P26" s="2285">
        <f>SUM(P28:P31)</f>
        <v>155</v>
      </c>
      <c r="Q26" s="2285">
        <f>SUM(Q28:Q31)</f>
        <v>634</v>
      </c>
      <c r="R26" s="2285">
        <f t="shared" ref="R26:W26" si="15">SUM(R28:R31)</f>
        <v>0</v>
      </c>
      <c r="S26" s="2285">
        <f t="shared" si="15"/>
        <v>0</v>
      </c>
      <c r="T26" s="2285">
        <f t="shared" si="15"/>
        <v>0</v>
      </c>
      <c r="U26" s="2285">
        <f t="shared" si="15"/>
        <v>178.58333333333334</v>
      </c>
      <c r="V26" s="2285">
        <f t="shared" si="15"/>
        <v>308.83333333333331</v>
      </c>
      <c r="W26" s="2285">
        <f t="shared" si="15"/>
        <v>0</v>
      </c>
      <c r="X26" s="2285">
        <f t="shared" si="14"/>
        <v>317.13333333333333</v>
      </c>
      <c r="Y26" s="1150">
        <f>X26/7000</f>
        <v>4.5304761904761903E-2</v>
      </c>
      <c r="Z26" s="1134"/>
      <c r="AA26" s="2285">
        <f>MAX(C26:M26)</f>
        <v>588</v>
      </c>
      <c r="AB26" s="2285">
        <f>MIN(C26:M26)</f>
        <v>188</v>
      </c>
      <c r="AC26" s="140"/>
      <c r="AD26" s="141"/>
    </row>
    <row r="27" spans="1:30" s="148" customFormat="1" ht="13.5">
      <c r="A27" s="2293"/>
      <c r="B27" s="2294"/>
      <c r="C27" s="2286"/>
      <c r="D27" s="2286"/>
      <c r="E27" s="2286"/>
      <c r="F27" s="2286"/>
      <c r="G27" s="2286"/>
      <c r="H27" s="2286"/>
      <c r="I27" s="2286"/>
      <c r="J27" s="2286"/>
      <c r="K27" s="2286"/>
      <c r="L27" s="2286"/>
      <c r="M27" s="2286"/>
      <c r="N27" s="2286"/>
      <c r="O27" s="2286"/>
      <c r="P27" s="2286"/>
      <c r="Q27" s="2286"/>
      <c r="R27" s="2286"/>
      <c r="S27" s="2286"/>
      <c r="T27" s="2286"/>
      <c r="U27" s="2286"/>
      <c r="V27" s="2286"/>
      <c r="W27" s="2286"/>
      <c r="X27" s="2286"/>
      <c r="Y27" s="1150"/>
      <c r="Z27" s="1135"/>
      <c r="AA27" s="2286"/>
      <c r="AB27" s="2286"/>
      <c r="AC27" s="140"/>
      <c r="AD27" s="141"/>
    </row>
    <row r="28" spans="1:30" s="147" customFormat="1" ht="13.5">
      <c r="A28" s="1136"/>
      <c r="B28" s="1137" t="s">
        <v>410</v>
      </c>
      <c r="C28" s="1138">
        <f>IF(ISNUMBER(FIND("Jan",$C$1)),Monthly!$C1815,(IF(ISNUMBER(FIND("Feb",$C$1)),Monthly!$D1815,((IF(ISNUMBER(FIND("Mar",$C$1)),Monthly!$E1815,(IF(ISNUMBER(FIND("Apr",$C$1)),Monthly!$F1815,((IF(ISNUMBER(FIND("May",$C$1)),Monthly!$G1815,((IF(ISNUMBER(FIND("Jun",$C$1)),Monthly!$H1815,(IF(ISNUMBER(FIND("Jul",$C$1)),Monthly!$I1815,(IF(ISNUMBER(FIND("Aug",$C$1)),Monthly!$J1815,(IF(ISNUMBER(FIND("Sep",$C$1)),Monthly!$K1815,(IF(ISNUMBER(FIND("Oct",$C$1)),Monthly!$L1815,(IF(ISNUMBER(FIND("Nov",$C$1)),Monthly!$M1815,(IF(ISNUMBER(FIND("Dec",$C$1)),Monthly!$N1815,))))))))))))))))))))))))))</f>
        <v>158</v>
      </c>
      <c r="D28" s="1139">
        <f>IF(ISNUMBER(FIND("Jan",$C$1)),Monthly!$C1738,(IF(ISNUMBER(FIND("Feb",$C$1)),Monthly!$D1738,((IF(ISNUMBER(FIND("Mar",$C$1)),Monthly!$E1738,(IF(ISNUMBER(FIND("Apr",$C$1)),Monthly!$F1738,((IF(ISNUMBER(FIND("May",$C$1)),Monthly!$G1738,((IF(ISNUMBER(FIND("Jun",$C$1)),Monthly!$H1738,(IF(ISNUMBER(FIND("Jul",$C$1)),Monthly!$I1738,(IF(ISNUMBER(FIND("Aug",$C$1)),Monthly!$J1738,(IF(ISNUMBER(FIND("Sep",$C$1)),Monthly!$K1738,(IF(ISNUMBER(FIND("Oct",$C$1)),Monthly!$L1738,(IF(ISNUMBER(FIND("Nov",$C$1)),Monthly!$M1738,(IF(ISNUMBER(FIND("Dec",$C$1)),Monthly!$N1738,))))))))))))))))))))))))))</f>
        <v>210</v>
      </c>
      <c r="E28" s="1139">
        <f xml:space="preserve">
IF(ISNUMBER(FIND("Jan",$C$1)),Monthly!$C1660,(IF(ISNUMBER(FIND("Feb",$C$1)),Monthly!$D1660,((IF(ISNUMBER(FIND("Mar",$C$1)),Monthly!$E1660,(IF(ISNUMBER(FIND("Apr",$C$1)),Monthly!$F1660,((IF(ISNUMBER(FIND("May",$C$1)),Monthly!$G1660,((IF(ISNUMBER(FIND("Jun",$C$1)),Monthly!$H1660,(IF(ISNUMBER(FIND("Jul",$C$1)),Monthly!$I1660,(IF(ISNUMBER(FIND("Aug",$C$1)),Monthly!$J1660,(IF(ISNUMBER(FIND("Sep",$C$1)),Monthly!$K1660,(IF(ISNUMBER(FIND("Oct",$C$1)),Monthly!$L1660,(IF(ISNUMBER(FIND("Nov",$C$1)),Monthly!$M1660,(IF(ISNUMBER(FIND("Dec",$C$1)),Monthly!$N1660,))))))))))))))))))))))))))</f>
        <v>202</v>
      </c>
      <c r="F28" s="1138">
        <f>IF(ISNUMBER(FIND("Jan",$C$1)),Monthly!$C1582,(IF(ISNUMBER(FIND("Feb",$C$1)),Monthly!$D1582,((IF(ISNUMBER(FIND("Mar",$C$1)),Monthly!$E1582,(IF(ISNUMBER(FIND("Apr",$C$1)),Monthly!$F1582,((IF(ISNUMBER(FIND("May",$C$1)),Monthly!$G1582,((IF(ISNUMBER(FIND("Jun",$C$1)),Monthly!$H1582,(IF(ISNUMBER(FIND("Jul",$C$1)),Monthly!$I1582,(IF(ISNUMBER(FIND("Aug",$C$1)),Monthly!$J1582,(IF(ISNUMBER(FIND("Sep",$C$1)),Monthly!$K1582,(IF(ISNUMBER(FIND("Oct",$C$1)),Monthly!$L1582,(IF(ISNUMBER(FIND("Nov",$C$1)),Monthly!$M1582,(IF(ISNUMBER(FIND("Dec",$C$1)),Monthly!$N1582,))))))))))))))))))))))))))</f>
        <v>199</v>
      </c>
      <c r="G28" s="1139">
        <f>IF(ISNUMBER(FIND("Jan",$C$1)),Monthly!$C1504,(IF(ISNUMBER(FIND("Feb",$C$1)),Monthly!$D1504,((IF(ISNUMBER(FIND("Mar",$C$1)),Monthly!$E1504,(IF(ISNUMBER(FIND("Apr",$C$1)),Monthly!$F1504,((IF(ISNUMBER(FIND("May",$C$1)),Monthly!$G1504,((IF(ISNUMBER(FIND("Jun",$C$1)),Monthly!$H1504,(IF(ISNUMBER(FIND("Jul",$C$1)),Monthly!$I1504,(IF(ISNUMBER(FIND("Aug",$C$1)),Monthly!$J1504,(IF(ISNUMBER(FIND("Sep",$C$1)),Monthly!$K1504,(IF(ISNUMBER(FIND("Oct",$C$1)),Monthly!$L1504,(IF(ISNUMBER(FIND("Nov",$C$1)),Monthly!$M1504,(IF(ISNUMBER(FIND("Dec",$C$1)),Monthly!$N1504,))))))))))))))))))))))))))</f>
        <v>248</v>
      </c>
      <c r="H28" s="1139">
        <f>IF(ISNUMBER(FIND("Jan",$C$1)),Monthly!$C1427,(IF(ISNUMBER(FIND("Feb",$C$1)),Monthly!$D1427,((IF(ISNUMBER(FIND("Mar",$C$1)),Monthly!$E1427,(IF(ISNUMBER(FIND("Apr",$C$1)),Monthly!$F1427,((IF(ISNUMBER(FIND("May",$C$1)),Monthly!$G1427,((IF(ISNUMBER(FIND("Jun",$C$1)),Monthly!$H1427,(IF(ISNUMBER(FIND("Jul",$C$1)),Monthly!$I1427,(IF(ISNUMBER(FIND("Aug",$C$1)),Monthly!$J1427,(IF(ISNUMBER(FIND("Sep",$C$1)),Monthly!$K1427,(IF(ISNUMBER(FIND("Oct",$C$1)),Monthly!$L1427,(IF(ISNUMBER(FIND("Nov",$C$1)),Monthly!$M1427,(IF(ISNUMBER(FIND("Dec",$C$1)),Monthly!$N1427,))))))))))))))))))))))))))</f>
        <v>158</v>
      </c>
      <c r="I28" s="1139">
        <f>IF(ISNUMBER(FIND("Jan",$C$1)),Monthly!$C1350,(IF(ISNUMBER(FIND("Feb",$C$1)),Monthly!$D1350,((IF(ISNUMBER(FIND("Mar",$C$1)),Monthly!$E1350,(IF(ISNUMBER(FIND("Apr",$C$1)),Monthly!$F1350,((IF(ISNUMBER(FIND("May",$C$1)),Monthly!$G1350,((IF(ISNUMBER(FIND("Jun",$C$1)),Monthly!$H1350,(IF(ISNUMBER(FIND("Jul",$C$1)),Monthly!$I1350,(IF(ISNUMBER(FIND("Aug",$C$1)),Monthly!$J1350,(IF(ISNUMBER(FIND("Sep",$C$1)),Monthly!$K1350,(IF(ISNUMBER(FIND("Oct",$C$1)),Monthly!$L1350,(IF(ISNUMBER(FIND("Nov",$C$1)),Monthly!$M1350,(IF(ISNUMBER(FIND("Dec",$C$1)),Monthly!$N1350,))))))))))))))))))))))))))</f>
        <v>180</v>
      </c>
      <c r="J28" s="1138">
        <f>IF(ISNUMBER(FIND("Jan",$C$1)),Monthly!$C1273,(IF(ISNUMBER(FIND("Feb",$C$1)),Monthly!$D1273,((IF(ISNUMBER(FIND("Mar",$C$1)),Monthly!$E1273,(IF(ISNUMBER(FIND("Apr",$C$1)),Monthly!$F1273,((IF(ISNUMBER(FIND("May",$C$1)),Monthly!$G1273,((IF(ISNUMBER(FIND("Jun",$C$1)),Monthly!$H1273,(IF(ISNUMBER(FIND("Jul",$C$1)),Monthly!$I1273,(IF(ISNUMBER(FIND("Aug",$C$1)),Monthly!$J1273,(IF(ISNUMBER(FIND("Sep",$C$1)),Monthly!$K1273,(IF(ISNUMBER(FIND("Oct",$C$1)),Monthly!$L1273,(IF(ISNUMBER(FIND("Nov",$C$1)),Monthly!$M1273,(IF(ISNUMBER(FIND("Dec",$C$1)),Monthly!$N1273,))))))))))))))))))))))))))</f>
        <v>373</v>
      </c>
      <c r="K28" s="1148">
        <f>IF(ISNUMBER(FIND("Jan",$C$1)),Monthly!$C1195,(IF(ISNUMBER(FIND("Feb",$C$1)),Monthly!$D1195,((IF(ISNUMBER(FIND("Mar",$C$1)),Monthly!$E1195,(IF(ISNUMBER(FIND("Apr",$C$1)),Monthly!$F1195,((IF(ISNUMBER(FIND("May",$C$1)),Monthly!$G1195,((IF(ISNUMBER(FIND("Jun",$C$1)),Monthly!$H1195,(IF(ISNUMBER(FIND("Jul",$C$1)),Monthly!$I1195,(IF(ISNUMBER(FIND("Aug",$C$1)),Monthly!$J1195,(IF(ISNUMBER(FIND("Sep",$C$1)),Monthly!$K1195,(IF(ISNUMBER(FIND("Oct",$C$1)),Monthly!$L1195,(IF(ISNUMBER(FIND("Nov",$C$1)),Monthly!$M1195,(IF(ISNUMBER(FIND("Dec",$C$1)),Monthly!$N1195,))))))))))))))))))))))))))</f>
        <v>150</v>
      </c>
      <c r="L28" s="1139">
        <f>IF(ISNUMBER(FIND("Jan",$C$1)),Monthly!$C1118,(IF(ISNUMBER(FIND("Feb",$C$1)),Monthly!$D1118,((IF(ISNUMBER(FIND("Mar",$C$1)),Monthly!$E1118,(IF(ISNUMBER(FIND("Apr",$C$1)),Monthly!$F1118,((IF(ISNUMBER(FIND("May",$C$1)),Monthly!$G1118,((IF(ISNUMBER(FIND("Jun",$C$1)),Monthly!$H1118,(IF(ISNUMBER(FIND("Jul",$C$1)),Monthly!$I1118,(IF(ISNUMBER(FIND("Aug",$C$1)),Monthly!$J1118,(IF(ISNUMBER(FIND("Sep",$C$1)),Monthly!$K1118,(IF(ISNUMBER(FIND("Oct",$C$1)),Monthly!$L1118,(IF(ISNUMBER(FIND("Nov",$C$1)),Monthly!$M1118,(IF(ISNUMBER(FIND("Dec",$C$1)),Monthly!$N1118,))))))))))))))))))))))))))</f>
        <v>241</v>
      </c>
      <c r="M28" s="1139">
        <f>IF(ISNUMBER(FIND("Jan",$C$1)),Monthly!$C1041,(IF(ISNUMBER(FIND("Feb",$C$1)),Monthly!$D1041,((IF(ISNUMBER(FIND("Mar",$C$1)),Monthly!$E1041,(IF(ISNUMBER(FIND("Apr",$C$1)),Monthly!$F1041,((IF(ISNUMBER(FIND("May",$C$1)),Monthly!$G1041,((IF(ISNUMBER(FIND("Jun",$C$1)),Monthly!$H1041,(IF(ISNUMBER(FIND("Jul",$C$1)),Monthly!$I1041,(IF(ISNUMBER(FIND("Aug",$C$1)),Monthly!$J1041,(IF(ISNUMBER(FIND("Sep",$C$1)),Monthly!$K1041,(IF(ISNUMBER(FIND("Oct",$C$1)),Monthly!$L1041,(IF(ISNUMBER(FIND("Nov",$C$1)),Monthly!$M1041,(IF(ISNUMBER(FIND("Dec",$C$1)),Monthly!$N1041,))))))))))))))))))))))))))</f>
        <v>399</v>
      </c>
      <c r="N28" s="1148">
        <f>IF(ISNUMBER(FIND("Jan",$C$1)),Monthly!$C964,(IF(ISNUMBER(FIND("Feb",$C$1)),Monthly!$D964,((IF(ISNUMBER(FIND("Mar",$C$1)),Monthly!$E964,(IF(ISNUMBER(FIND("Apr",$C$1)),Monthly!$F964,((IF(ISNUMBER(FIND("May",$C$1)),Monthly!$G964,((IF(ISNUMBER(FIND("Jun",$C$1)),Monthly!$H964,(IF(ISNUMBER(FIND("Jul",$C$1)),Monthly!$I964,(IF(ISNUMBER(FIND("Aug",$C$1)),Monthly!$J964,(IF(ISNUMBER(FIND("Sep",$C$1)),Monthly!$K964,(IF(ISNUMBER(FIND("Oct",$C$1)),Monthly!$L964,(IF(ISNUMBER(FIND("Nov",$C$1)),Monthly!$M964,(IF(ISNUMBER(FIND("Dec",$C$1)),Monthly!$N964,))))))))))))))))))))))))))</f>
        <v>737</v>
      </c>
      <c r="O28" s="1148">
        <f>IF(ISNUMBER(FIND("Jan",$C$1)),Monthly!$C888,(IF(ISNUMBER(FIND("Feb",$C$1)),Monthly!$D888,((IF(ISNUMBER(FIND("Mar",$C$1)),Monthly!$E888,(IF(ISNUMBER(FIND("Apr",$C$1)),Monthly!$F888,((IF(ISNUMBER(FIND("May",$C$1)),Monthly!$G888,((IF(ISNUMBER(FIND("Jun",$C$1)),Monthly!$H888,(IF(ISNUMBER(FIND("Jul",$C$1)),Monthly!$I888,(IF(ISNUMBER(FIND("Aug",$C$1)),Monthly!$J888,(IF(ISNUMBER(FIND("Sep",$C$1)),Monthly!$K888,(IF(ISNUMBER(FIND("Oct",$C$1)),Monthly!$L888,(IF(ISNUMBER(FIND("Nov",$C$1)),Monthly!$M888,(IF(ISNUMBER(FIND("Dec",$C$1)),Monthly!$N888,))))))))))))))))))))))))))</f>
        <v>90</v>
      </c>
      <c r="P28" s="1148">
        <f>IF(ISNUMBER(FIND("Jan",$C$1)),Monthly!$C811,(IF(ISNUMBER(FIND("Feb",$C$1)),Monthly!$D811,((IF(ISNUMBER(FIND("Mar",$C$1)),Monthly!$E811,(IF(ISNUMBER(FIND("Apr",$C$1)),Monthly!$F811,((IF(ISNUMBER(FIND("May",$C$1)),Monthly!$G811,((IF(ISNUMBER(FIND("Jun",$C$1)),Monthly!$H811,(IF(ISNUMBER(FIND("Jul",$C$1)),Monthly!$I811,(IF(ISNUMBER(FIND("Aug",$C$1)),Monthly!$J811,(IF(ISNUMBER(FIND("Sep",$C$1)),Monthly!$K811,(IF(ISNUMBER(FIND("Oct",$C$1)),Monthly!$L811,(IF(ISNUMBER(FIND("Nov",$C$1)),Monthly!$M811,(IF(ISNUMBER(FIND("Dec",$C$1)),Monthly!$N811,))))))))))))))))))))))))))</f>
        <v>155</v>
      </c>
      <c r="Q28" s="1142">
        <f>IF(ISNUMBER(FIND("Jan",$C$1)),Monthly!$C734,(IF(ISNUMBER(FIND("Feb",$C$1)),Monthly!$D734,((IF(ISNUMBER(FIND("Mar",$C$1)),Monthly!$E734,(IF(ISNUMBER(FIND("Apr",$C$1)),Monthly!$F734,((IF(ISNUMBER(FIND("May",$C$1)),Monthly!$G734,((IF(ISNUMBER(FIND("Jun",$C$1)),Monthly!$H734,(IF(ISNUMBER(FIND("Jul",$C$1)),Monthly!$I734,(IF(ISNUMBER(FIND("Aug",$C$1)),Monthly!$J734,(IF(ISNUMBER(FIND("Sep",$C$1)),Monthly!$K734,(IF(ISNUMBER(FIND("Oct",$C$1)),Monthly!$L734,(IF(ISNUMBER(FIND("Nov",$C$1)),Monthly!$M734,(IF(ISNUMBER(FIND("Dec",$C$1)),Monthly!$N734,))))))))))))))))))))))))))</f>
        <v>124</v>
      </c>
      <c r="R28" s="1142"/>
      <c r="S28" s="1142"/>
      <c r="T28" s="1142"/>
      <c r="U28" s="1143">
        <f>Monthly!O427</f>
        <v>171.75</v>
      </c>
      <c r="V28" s="1142">
        <f>Monthly!O342</f>
        <v>305</v>
      </c>
      <c r="W28" s="1142"/>
      <c r="X28" s="1144">
        <f>SUM(C28:Q28)/$E$77</f>
        <v>241.6</v>
      </c>
      <c r="Y28" s="1145">
        <f>X28/7000</f>
        <v>3.4514285714285713E-2</v>
      </c>
      <c r="Z28" s="1146"/>
      <c r="AA28" s="1147">
        <f>MAX(C28:Q28)</f>
        <v>737</v>
      </c>
      <c r="AB28" s="1147">
        <f>MIN(C28:Q28)</f>
        <v>90</v>
      </c>
      <c r="AC28" s="140"/>
      <c r="AD28" s="141"/>
    </row>
    <row r="29" spans="1:30" s="147" customFormat="1" ht="13.5">
      <c r="A29" s="1136"/>
      <c r="B29" s="1137" t="s">
        <v>457</v>
      </c>
      <c r="C29" s="1138">
        <f>IF(ISNUMBER(FIND("Jan",$C$1)),Monthly!$C1816,(IF(ISNUMBER(FIND("Feb",$C$1)),Monthly!$D1816,((IF(ISNUMBER(FIND("Mar",$C$1)),Monthly!$E1816,(IF(ISNUMBER(FIND("Apr",$C$1)),Monthly!$F1816,((IF(ISNUMBER(FIND("May",$C$1)),Monthly!$G1816,((IF(ISNUMBER(FIND("Jun",$C$1)),Monthly!$H1816,(IF(ISNUMBER(FIND("Jul",$C$1)),Monthly!$I1816,(IF(ISNUMBER(FIND("Aug",$C$1)),Monthly!$J1816,(IF(ISNUMBER(FIND("Sep",$C$1)),Monthly!$K1816,(IF(ISNUMBER(FIND("Oct",$C$1)),Monthly!$L1816,(IF(ISNUMBER(FIND("Nov",$C$1)),Monthly!$M1816,(IF(ISNUMBER(FIND("Dec",$C$1)),Monthly!$N1816,))))))))))))))))))))))))))</f>
        <v>0</v>
      </c>
      <c r="D29" s="1139">
        <f>IF(ISNUMBER(FIND("Jan",$C$1)),Monthly!$C1739,(IF(ISNUMBER(FIND("Feb",$C$1)),Monthly!$D1739,((IF(ISNUMBER(FIND("Mar",$C$1)),Monthly!$E1739,(IF(ISNUMBER(FIND("Apr",$C$1)),Monthly!$F1739,((IF(ISNUMBER(FIND("May",$C$1)),Monthly!$G1739,((IF(ISNUMBER(FIND("Jun",$C$1)),Monthly!$H1739,(IF(ISNUMBER(FIND("Jul",$C$1)),Monthly!$I1739,(IF(ISNUMBER(FIND("Aug",$C$1)),Monthly!$J1739,(IF(ISNUMBER(FIND("Sep",$C$1)),Monthly!$K1739,(IF(ISNUMBER(FIND("Oct",$C$1)),Monthly!$L1739,(IF(ISNUMBER(FIND("Nov",$C$1)),Monthly!$M1739,(IF(ISNUMBER(FIND("Dec",$C$1)),Monthly!$N1739,))))))))))))))))))))))))))</f>
        <v>0</v>
      </c>
      <c r="E29" s="1139">
        <f xml:space="preserve">
IF(ISNUMBER(FIND("Jan",$C$1)),Monthly!$C1661,(IF(ISNUMBER(FIND("Feb",$C$1)),Monthly!$D1661,((IF(ISNUMBER(FIND("Mar",$C$1)),Monthly!$E1661,(IF(ISNUMBER(FIND("Apr",$C$1)),Monthly!$F1661,((IF(ISNUMBER(FIND("May",$C$1)),Monthly!$G1661,((IF(ISNUMBER(FIND("Jun",$C$1)),Monthly!$H1661,(IF(ISNUMBER(FIND("Jul",$C$1)),Monthly!$I1661,(IF(ISNUMBER(FIND("Aug",$C$1)),Monthly!$J1661,(IF(ISNUMBER(FIND("Sep",$C$1)),Monthly!$K1661,(IF(ISNUMBER(FIND("Oct",$C$1)),Monthly!$L1661,(IF(ISNUMBER(FIND("Nov",$C$1)),Monthly!$M1661,(IF(ISNUMBER(FIND("Dec",$C$1)),Monthly!$N1661,))))))))))))))))))))))))))</f>
        <v>0</v>
      </c>
      <c r="F29" s="1138">
        <f>IF(ISNUMBER(FIND("Jan",$C$1)),Monthly!$C1583,(IF(ISNUMBER(FIND("Feb",$C$1)),Monthly!$D1583,((IF(ISNUMBER(FIND("Mar",$C$1)),Monthly!$E1583,(IF(ISNUMBER(FIND("Apr",$C$1)),Monthly!$F1583,((IF(ISNUMBER(FIND("May",$C$1)),Monthly!$G1583,((IF(ISNUMBER(FIND("Jun",$C$1)),Monthly!$H1583,(IF(ISNUMBER(FIND("Jul",$C$1)),Monthly!$I1583,(IF(ISNUMBER(FIND("Aug",$C$1)),Monthly!$J1583,(IF(ISNUMBER(FIND("Sep",$C$1)),Monthly!$K1583,(IF(ISNUMBER(FIND("Oct",$C$1)),Monthly!$L1583,(IF(ISNUMBER(FIND("Nov",$C$1)),Monthly!$M1583,(IF(ISNUMBER(FIND("Dec",$C$1)),Monthly!$N1583,))))))))))))))))))))))))))</f>
        <v>0</v>
      </c>
      <c r="G29" s="1139">
        <f>IF(ISNUMBER(FIND("Jan",$C$1)),Monthly!$C1505,(IF(ISNUMBER(FIND("Feb",$C$1)),Monthly!$D1505,((IF(ISNUMBER(FIND("Mar",$C$1)),Monthly!$E1505,(IF(ISNUMBER(FIND("Apr",$C$1)),Monthly!$F1505,((IF(ISNUMBER(FIND("May",$C$1)),Monthly!$G1505,((IF(ISNUMBER(FIND("Jun",$C$1)),Monthly!$H1505,(IF(ISNUMBER(FIND("Jul",$C$1)),Monthly!$I1505,(IF(ISNUMBER(FIND("Aug",$C$1)),Monthly!$J1505,(IF(ISNUMBER(FIND("Sep",$C$1)),Monthly!$K1505,(IF(ISNUMBER(FIND("Oct",$C$1)),Monthly!$L1505,(IF(ISNUMBER(FIND("Nov",$C$1)),Monthly!$M1505,(IF(ISNUMBER(FIND("Dec",$C$1)),Monthly!$N1505,))))))))))))))))))))))))))</f>
        <v>0</v>
      </c>
      <c r="H29" s="1139">
        <f>IF(ISNUMBER(FIND("Jan",$C$1)),Monthly!$C1428,(IF(ISNUMBER(FIND("Feb",$C$1)),Monthly!$D1428,((IF(ISNUMBER(FIND("Mar",$C$1)),Monthly!$E1428,(IF(ISNUMBER(FIND("Apr",$C$1)),Monthly!$F1428,((IF(ISNUMBER(FIND("May",$C$1)),Monthly!$G1428,((IF(ISNUMBER(FIND("Jun",$C$1)),Monthly!$H1428,(IF(ISNUMBER(FIND("Jul",$C$1)),Monthly!$I1428,(IF(ISNUMBER(FIND("Aug",$C$1)),Monthly!$J1428,(IF(ISNUMBER(FIND("Sep",$C$1)),Monthly!$K1428,(IF(ISNUMBER(FIND("Oct",$C$1)),Monthly!$L1428,(IF(ISNUMBER(FIND("Nov",$C$1)),Monthly!$M1428,(IF(ISNUMBER(FIND("Dec",$C$1)),Monthly!$N1428,))))))))))))))))))))))))))</f>
        <v>0</v>
      </c>
      <c r="I29" s="1139">
        <f>IF(ISNUMBER(FIND("Jan",$C$1)),Monthly!$C1351,(IF(ISNUMBER(FIND("Feb",$C$1)),Monthly!$D1351,((IF(ISNUMBER(FIND("Mar",$C$1)),Monthly!$E1351,(IF(ISNUMBER(FIND("Apr",$C$1)),Monthly!$F1351,((IF(ISNUMBER(FIND("May",$C$1)),Monthly!$G1351,((IF(ISNUMBER(FIND("Jun",$C$1)),Monthly!$H1351,(IF(ISNUMBER(FIND("Jul",$C$1)),Monthly!$I1351,(IF(ISNUMBER(FIND("Aug",$C$1)),Monthly!$J1351,(IF(ISNUMBER(FIND("Sep",$C$1)),Monthly!$K1351,(IF(ISNUMBER(FIND("Oct",$C$1)),Monthly!$L1351,(IF(ISNUMBER(FIND("Nov",$C$1)),Monthly!$M1351,(IF(ISNUMBER(FIND("Dec",$C$1)),Monthly!$N1351,))))))))))))))))))))))))))</f>
        <v>0</v>
      </c>
      <c r="J29" s="1138">
        <f>IF(ISNUMBER(FIND("Jan",$C$1)),Monthly!$C1274,(IF(ISNUMBER(FIND("Feb",$C$1)),Monthly!$D1274,((IF(ISNUMBER(FIND("Mar",$C$1)),Monthly!$E1274,(IF(ISNUMBER(FIND("Apr",$C$1)),Monthly!$F1274,((IF(ISNUMBER(FIND("May",$C$1)),Monthly!$G1274,((IF(ISNUMBER(FIND("Jun",$C$1)),Monthly!$H1274,(IF(ISNUMBER(FIND("Jul",$C$1)),Monthly!$I1274,(IF(ISNUMBER(FIND("Aug",$C$1)),Monthly!$J1274,(IF(ISNUMBER(FIND("Sep",$C$1)),Monthly!$K1274,(IF(ISNUMBER(FIND("Oct",$C$1)),Monthly!$L1274,(IF(ISNUMBER(FIND("Nov",$C$1)),Monthly!$M1274,(IF(ISNUMBER(FIND("Dec",$C$1)),Monthly!$N1274,))))))))))))))))))))))))))</f>
        <v>116</v>
      </c>
      <c r="K29" s="1148">
        <f>IF(ISNUMBER(FIND("Jan",$C$1)),Monthly!$C1196,(IF(ISNUMBER(FIND("Feb",$C$1)),Monthly!$D1196,((IF(ISNUMBER(FIND("Mar",$C$1)),Monthly!$E1196,(IF(ISNUMBER(FIND("Apr",$C$1)),Monthly!$F1196,((IF(ISNUMBER(FIND("May",$C$1)),Monthly!$G1196,((IF(ISNUMBER(FIND("Jun",$C$1)),Monthly!$H1196,(IF(ISNUMBER(FIND("Jul",$C$1)),Monthly!$I1196,(IF(ISNUMBER(FIND("Aug",$C$1)),Monthly!$J1196,(IF(ISNUMBER(FIND("Sep",$C$1)),Monthly!$K1196,(IF(ISNUMBER(FIND("Oct",$C$1)),Monthly!$L1196,(IF(ISNUMBER(FIND("Nov",$C$1)),Monthly!$M1196,(IF(ISNUMBER(FIND("Dec",$C$1)),Monthly!$N1196,))))))))))))))))))))))))))</f>
        <v>0</v>
      </c>
      <c r="L29" s="1139">
        <f>IF(ISNUMBER(FIND("Jan",$C$1)),Monthly!$C1119,(IF(ISNUMBER(FIND("Feb",$C$1)),Monthly!$D1119,((IF(ISNUMBER(FIND("Mar",$C$1)),Monthly!$E1119,(IF(ISNUMBER(FIND("Apr",$C$1)),Monthly!$F1119,((IF(ISNUMBER(FIND("May",$C$1)),Monthly!$G1119,((IF(ISNUMBER(FIND("Jun",$C$1)),Monthly!$H1119,(IF(ISNUMBER(FIND("Jul",$C$1)),Monthly!$I1119,(IF(ISNUMBER(FIND("Aug",$C$1)),Monthly!$J1119,(IF(ISNUMBER(FIND("Sep",$C$1)),Monthly!$K1119,(IF(ISNUMBER(FIND("Oct",$C$1)),Monthly!$L1119,(IF(ISNUMBER(FIND("Nov",$C$1)),Monthly!$M1119,(IF(ISNUMBER(FIND("Dec",$C$1)),Monthly!$N1119,))))))))))))))))))))))))))</f>
        <v>0</v>
      </c>
      <c r="M29" s="1139">
        <f>IF(ISNUMBER(FIND("Jan",$C$1)),Monthly!$C1042,(IF(ISNUMBER(FIND("Feb",$C$1)),Monthly!$D1042,((IF(ISNUMBER(FIND("Mar",$C$1)),Monthly!$E1042,(IF(ISNUMBER(FIND("Apr",$C$1)),Monthly!$F1042,((IF(ISNUMBER(FIND("May",$C$1)),Monthly!$G1042,((IF(ISNUMBER(FIND("Jun",$C$1)),Monthly!$H1042,(IF(ISNUMBER(FIND("Jul",$C$1)),Monthly!$I1042,(IF(ISNUMBER(FIND("Aug",$C$1)),Monthly!$J1042,(IF(ISNUMBER(FIND("Sep",$C$1)),Monthly!$K1042,(IF(ISNUMBER(FIND("Oct",$C$1)),Monthly!$L1042,(IF(ISNUMBER(FIND("Nov",$C$1)),Monthly!$M1042,(IF(ISNUMBER(FIND("Dec",$C$1)),Monthly!$N1042,))))))))))))))))))))))))))</f>
        <v>0</v>
      </c>
      <c r="N29" s="1148">
        <f>IF(ISNUMBER(FIND("Jan",$C$1)),Monthly!$C965,(IF(ISNUMBER(FIND("Feb",$C$1)),Monthly!$D965,((IF(ISNUMBER(FIND("Mar",$C$1)),Monthly!$E965,(IF(ISNUMBER(FIND("Apr",$C$1)),Monthly!$F965,((IF(ISNUMBER(FIND("May",$C$1)),Monthly!$G965,((IF(ISNUMBER(FIND("Jun",$C$1)),Monthly!$H965,(IF(ISNUMBER(FIND("Jul",$C$1)),Monthly!$I965,(IF(ISNUMBER(FIND("Aug",$C$1)),Monthly!$J965,(IF(ISNUMBER(FIND("Sep",$C$1)),Monthly!$K965,(IF(ISNUMBER(FIND("Oct",$C$1)),Monthly!$L965,(IF(ISNUMBER(FIND("Nov",$C$1)),Monthly!$M965,(IF(ISNUMBER(FIND("Dec",$C$1)),Monthly!$N965,))))))))))))))))))))))))))</f>
        <v>105</v>
      </c>
      <c r="O29" s="1148">
        <f>IF(ISNUMBER(FIND("Jan",$C$1)),Monthly!$C889,(IF(ISNUMBER(FIND("Feb",$C$1)),Monthly!$D889,((IF(ISNUMBER(FIND("Mar",$C$1)),Monthly!$E889,(IF(ISNUMBER(FIND("Apr",$C$1)),Monthly!$F889,((IF(ISNUMBER(FIND("May",$C$1)),Monthly!$G889,((IF(ISNUMBER(FIND("Jun",$C$1)),Monthly!$H889,(IF(ISNUMBER(FIND("Jul",$C$1)),Monthly!$I889,(IF(ISNUMBER(FIND("Aug",$C$1)),Monthly!$J889,(IF(ISNUMBER(FIND("Sep",$C$1)),Monthly!$K889,(IF(ISNUMBER(FIND("Oct",$C$1)),Monthly!$L889,(IF(ISNUMBER(FIND("Nov",$C$1)),Monthly!$M889,(IF(ISNUMBER(FIND("Dec",$C$1)),Monthly!$N889,))))))))))))))))))))))))))</f>
        <v>5</v>
      </c>
      <c r="P29" s="1148">
        <f>IF(ISNUMBER(FIND("Jan",$C$1)),Monthly!$C812,(IF(ISNUMBER(FIND("Feb",$C$1)),Monthly!$D812,((IF(ISNUMBER(FIND("Mar",$C$1)),Monthly!$E812,(IF(ISNUMBER(FIND("Apr",$C$1)),Monthly!$F812,((IF(ISNUMBER(FIND("May",$C$1)),Monthly!$G812,((IF(ISNUMBER(FIND("Jun",$C$1)),Monthly!$H812,(IF(ISNUMBER(FIND("Jul",$C$1)),Monthly!$I812,(IF(ISNUMBER(FIND("Aug",$C$1)),Monthly!$J812,(IF(ISNUMBER(FIND("Sep",$C$1)),Monthly!$K812,(IF(ISNUMBER(FIND("Oct",$C$1)),Monthly!$L812,(IF(ISNUMBER(FIND("Nov",$C$1)),Monthly!$M812,(IF(ISNUMBER(FIND("Dec",$C$1)),Monthly!$N812,))))))))))))))))))))))))))</f>
        <v>0</v>
      </c>
      <c r="Q29" s="1142">
        <f>IF(ISNUMBER(FIND("Jan",$C$1)),Monthly!$C735,(IF(ISNUMBER(FIND("Feb",$C$1)),Monthly!$D735,((IF(ISNUMBER(FIND("Mar",$C$1)),Monthly!$E735,(IF(ISNUMBER(FIND("Apr",$C$1)),Monthly!$F735,((IF(ISNUMBER(FIND("May",$C$1)),Monthly!$G735,((IF(ISNUMBER(FIND("Jun",$C$1)),Monthly!$H735,(IF(ISNUMBER(FIND("Jul",$C$1)),Monthly!$I735,(IF(ISNUMBER(FIND("Aug",$C$1)),Monthly!$J735,(IF(ISNUMBER(FIND("Sep",$C$1)),Monthly!$K735,(IF(ISNUMBER(FIND("Oct",$C$1)),Monthly!$L735,(IF(ISNUMBER(FIND("Nov",$C$1)),Monthly!$M735,(IF(ISNUMBER(FIND("Dec",$C$1)),Monthly!$N735,))))))))))))))))))))))))))</f>
        <v>410</v>
      </c>
      <c r="R29" s="1142"/>
      <c r="S29" s="1142"/>
      <c r="T29" s="1142"/>
      <c r="U29" s="1143">
        <f>Monthly!O428</f>
        <v>0</v>
      </c>
      <c r="V29" s="1142">
        <f>Monthly!O343</f>
        <v>0</v>
      </c>
      <c r="W29" s="1142"/>
      <c r="X29" s="1144">
        <f>SUM(C29:Q29)/$E$77</f>
        <v>42.4</v>
      </c>
      <c r="Y29" s="1145">
        <f>X29/7000</f>
        <v>6.0571428571428573E-3</v>
      </c>
      <c r="Z29" s="1146"/>
      <c r="AA29" s="1147">
        <f>MAX(C29:Q29)</f>
        <v>410</v>
      </c>
      <c r="AB29" s="1147">
        <f>MIN(C29:Q29)</f>
        <v>0</v>
      </c>
      <c r="AC29" s="140"/>
      <c r="AD29" s="141"/>
    </row>
    <row r="30" spans="1:30" s="147" customFormat="1" ht="13.5">
      <c r="A30" s="1136"/>
      <c r="B30" s="1137" t="s">
        <v>458</v>
      </c>
      <c r="C30" s="1138">
        <f>IF(ISNUMBER(FIND("Jan",$C$1)),Monthly!$C1817,(IF(ISNUMBER(FIND("Feb",$C$1)),Monthly!$D1817,((IF(ISNUMBER(FIND("Mar",$C$1)),Monthly!$E1817,(IF(ISNUMBER(FIND("Apr",$C$1)),Monthly!$F1817,((IF(ISNUMBER(FIND("May",$C$1)),Monthly!$G1817,((IF(ISNUMBER(FIND("Jun",$C$1)),Monthly!$H1817,(IF(ISNUMBER(FIND("Jul",$C$1)),Monthly!$I1817,(IF(ISNUMBER(FIND("Aug",$C$1)),Monthly!$J1817,(IF(ISNUMBER(FIND("Sep",$C$1)),Monthly!$K1817,(IF(ISNUMBER(FIND("Oct",$C$1)),Monthly!$L1817,(IF(ISNUMBER(FIND("Nov",$C$1)),Monthly!$M1817,(IF(ISNUMBER(FIND("Dec",$C$1)),Monthly!$N1817,))))))))))))))))))))))))))</f>
        <v>0</v>
      </c>
      <c r="D30" s="1139">
        <f>IF(ISNUMBER(FIND("Jan",$C$1)),Monthly!$C1740,(IF(ISNUMBER(FIND("Feb",$C$1)),Monthly!$D1740,((IF(ISNUMBER(FIND("Mar",$C$1)),Monthly!$E1740,(IF(ISNUMBER(FIND("Apr",$C$1)),Monthly!$F1740,((IF(ISNUMBER(FIND("May",$C$1)),Monthly!$G1740,((IF(ISNUMBER(FIND("Jun",$C$1)),Monthly!$H1740,(IF(ISNUMBER(FIND("Jul",$C$1)),Monthly!$I1740,(IF(ISNUMBER(FIND("Aug",$C$1)),Monthly!$J1740,(IF(ISNUMBER(FIND("Sep",$C$1)),Monthly!$K1740,(IF(ISNUMBER(FIND("Oct",$C$1)),Monthly!$L1740,(IF(ISNUMBER(FIND("Nov",$C$1)),Monthly!$M1740,(IF(ISNUMBER(FIND("Dec",$C$1)),Monthly!$N1740,))))))))))))))))))))))))))</f>
        <v>0</v>
      </c>
      <c r="E30" s="1139">
        <f xml:space="preserve">
IF(ISNUMBER(FIND("Jan",$C$1)),Monthly!$C1662,(IF(ISNUMBER(FIND("Feb",$C$1)),Monthly!$D1662,((IF(ISNUMBER(FIND("Mar",$C$1)),Monthly!$E1662,(IF(ISNUMBER(FIND("Apr",$C$1)),Monthly!$F1662,((IF(ISNUMBER(FIND("May",$C$1)),Monthly!$G1662,((IF(ISNUMBER(FIND("Jun",$C$1)),Monthly!$H1662,(IF(ISNUMBER(FIND("Jul",$C$1)),Monthly!$I1662,(IF(ISNUMBER(FIND("Aug",$C$1)),Monthly!$J1662,(IF(ISNUMBER(FIND("Sep",$C$1)),Monthly!$K1662,(IF(ISNUMBER(FIND("Oct",$C$1)),Monthly!$L1662,(IF(ISNUMBER(FIND("Nov",$C$1)),Monthly!$M1662,(IF(ISNUMBER(FIND("Dec",$C$1)),Monthly!$N1662,))))))))))))))))))))))))))</f>
        <v>17</v>
      </c>
      <c r="F30" s="1138">
        <f>IF(ISNUMBER(FIND("Jan",$C$1)),Monthly!$C1584,(IF(ISNUMBER(FIND("Feb",$C$1)),Monthly!$D1584,((IF(ISNUMBER(FIND("Mar",$C$1)),Monthly!$E1584,(IF(ISNUMBER(FIND("Apr",$C$1)),Monthly!$F1584,((IF(ISNUMBER(FIND("May",$C$1)),Monthly!$G1584,((IF(ISNUMBER(FIND("Jun",$C$1)),Monthly!$H1584,(IF(ISNUMBER(FIND("Jul",$C$1)),Monthly!$I1584,(IF(ISNUMBER(FIND("Aug",$C$1)),Monthly!$J1584,(IF(ISNUMBER(FIND("Sep",$C$1)),Monthly!$K1584,(IF(ISNUMBER(FIND("Oct",$C$1)),Monthly!$L1584,(IF(ISNUMBER(FIND("Nov",$C$1)),Monthly!$M1584,(IF(ISNUMBER(FIND("Dec",$C$1)),Monthly!$N1584,))))))))))))))))))))))))))</f>
        <v>10</v>
      </c>
      <c r="G30" s="1139">
        <f>IF(ISNUMBER(FIND("Jan",$C$1)),Monthly!$C1506,(IF(ISNUMBER(FIND("Feb",$C$1)),Monthly!$D1506,((IF(ISNUMBER(FIND("Mar",$C$1)),Monthly!$E1506,(IF(ISNUMBER(FIND("Apr",$C$1)),Monthly!$F1506,((IF(ISNUMBER(FIND("May",$C$1)),Monthly!$G1506,((IF(ISNUMBER(FIND("Jun",$C$1)),Monthly!$H1506,(IF(ISNUMBER(FIND("Jul",$C$1)),Monthly!$I1506,(IF(ISNUMBER(FIND("Aug",$C$1)),Monthly!$J1506,(IF(ISNUMBER(FIND("Sep",$C$1)),Monthly!$K1506,(IF(ISNUMBER(FIND("Oct",$C$1)),Monthly!$L1506,(IF(ISNUMBER(FIND("Nov",$C$1)),Monthly!$M1506,(IF(ISNUMBER(FIND("Dec",$C$1)),Monthly!$N1506,))))))))))))))))))))))))))</f>
        <v>0</v>
      </c>
      <c r="H30" s="1139">
        <f>IF(ISNUMBER(FIND("Jan",$C$1)),Monthly!$C1429,(IF(ISNUMBER(FIND("Feb",$C$1)),Monthly!$D1429,((IF(ISNUMBER(FIND("Mar",$C$1)),Monthly!$E1429,(IF(ISNUMBER(FIND("Apr",$C$1)),Monthly!$F1429,((IF(ISNUMBER(FIND("May",$C$1)),Monthly!$G1429,((IF(ISNUMBER(FIND("Jun",$C$1)),Monthly!$H1429,(IF(ISNUMBER(FIND("Jul",$C$1)),Monthly!$I1429,(IF(ISNUMBER(FIND("Aug",$C$1)),Monthly!$J1429,(IF(ISNUMBER(FIND("Sep",$C$1)),Monthly!$K1429,(IF(ISNUMBER(FIND("Oct",$C$1)),Monthly!$L1429,(IF(ISNUMBER(FIND("Nov",$C$1)),Monthly!$M1429,(IF(ISNUMBER(FIND("Dec",$C$1)),Monthly!$N1429,))))))))))))))))))))))))))</f>
        <v>12</v>
      </c>
      <c r="I30" s="1139">
        <f>IF(ISNUMBER(FIND("Jan",$C$1)),Monthly!$C1352,(IF(ISNUMBER(FIND("Feb",$C$1)),Monthly!$D1352,((IF(ISNUMBER(FIND("Mar",$C$1)),Monthly!$E1352,(IF(ISNUMBER(FIND("Apr",$C$1)),Monthly!$F1352,((IF(ISNUMBER(FIND("May",$C$1)),Monthly!$G1352,((IF(ISNUMBER(FIND("Jun",$C$1)),Monthly!$H1352,(IF(ISNUMBER(FIND("Jul",$C$1)),Monthly!$I1352,(IF(ISNUMBER(FIND("Aug",$C$1)),Monthly!$J1352,(IF(ISNUMBER(FIND("Sep",$C$1)),Monthly!$K1352,(IF(ISNUMBER(FIND("Oct",$C$1)),Monthly!$L1352,(IF(ISNUMBER(FIND("Nov",$C$1)),Monthly!$M1352,(IF(ISNUMBER(FIND("Dec",$C$1)),Monthly!$N1352,))))))))))))))))))))))))))</f>
        <v>12</v>
      </c>
      <c r="J30" s="1138">
        <f>IF(ISNUMBER(FIND("Jan",$C$1)),Monthly!$C1275,(IF(ISNUMBER(FIND("Feb",$C$1)),Monthly!$D1275,((IF(ISNUMBER(FIND("Mar",$C$1)),Monthly!$E1275,(IF(ISNUMBER(FIND("Apr",$C$1)),Monthly!$F1275,((IF(ISNUMBER(FIND("May",$C$1)),Monthly!$G1275,((IF(ISNUMBER(FIND("Jun",$C$1)),Monthly!$H1275,(IF(ISNUMBER(FIND("Jul",$C$1)),Monthly!$I1275,(IF(ISNUMBER(FIND("Aug",$C$1)),Monthly!$J1275,(IF(ISNUMBER(FIND("Sep",$C$1)),Monthly!$K1275,(IF(ISNUMBER(FIND("Oct",$C$1)),Monthly!$L1275,(IF(ISNUMBER(FIND("Nov",$C$1)),Monthly!$M1275,(IF(ISNUMBER(FIND("Dec",$C$1)),Monthly!$N1275,))))))))))))))))))))))))))</f>
        <v>54</v>
      </c>
      <c r="K30" s="1148">
        <f>IF(ISNUMBER(FIND("Jan",$C$1)),Monthly!$C1197,(IF(ISNUMBER(FIND("Feb",$C$1)),Monthly!$D1197,((IF(ISNUMBER(FIND("Mar",$C$1)),Monthly!$E1197,(IF(ISNUMBER(FIND("Apr",$C$1)),Monthly!$F1197,((IF(ISNUMBER(FIND("May",$C$1)),Monthly!$G1197,((IF(ISNUMBER(FIND("Jun",$C$1)),Monthly!$H1197,(IF(ISNUMBER(FIND("Jul",$C$1)),Monthly!$I1197,(IF(ISNUMBER(FIND("Aug",$C$1)),Monthly!$J1197,(IF(ISNUMBER(FIND("Sep",$C$1)),Monthly!$K1197,(IF(ISNUMBER(FIND("Oct",$C$1)),Monthly!$L1197,(IF(ISNUMBER(FIND("Nov",$C$1)),Monthly!$M1197,(IF(ISNUMBER(FIND("Dec",$C$1)),Monthly!$N1197,))))))))))))))))))))))))))</f>
        <v>50</v>
      </c>
      <c r="L30" s="1139">
        <f>IF(ISNUMBER(FIND("Jan",$C$1)),Monthly!$C1120,(IF(ISNUMBER(FIND("Feb",$C$1)),Monthly!$D1120,((IF(ISNUMBER(FIND("Mar",$C$1)),Monthly!$E1120,(IF(ISNUMBER(FIND("Apr",$C$1)),Monthly!$F1120,((IF(ISNUMBER(FIND("May",$C$1)),Monthly!$G1120,((IF(ISNUMBER(FIND("Jun",$C$1)),Monthly!$H1120,(IF(ISNUMBER(FIND("Jul",$C$1)),Monthly!$I1120,(IF(ISNUMBER(FIND("Aug",$C$1)),Monthly!$J1120,(IF(ISNUMBER(FIND("Sep",$C$1)),Monthly!$K1120,(IF(ISNUMBER(FIND("Oct",$C$1)),Monthly!$L1120,(IF(ISNUMBER(FIND("Nov",$C$1)),Monthly!$M1120,(IF(ISNUMBER(FIND("Dec",$C$1)),Monthly!$N1120,))))))))))))))))))))))))))</f>
        <v>7</v>
      </c>
      <c r="M30" s="1139">
        <f>IF(ISNUMBER(FIND("Jan",$C$1)),Monthly!$C1043,(IF(ISNUMBER(FIND("Feb",$C$1)),Monthly!$D1043,((IF(ISNUMBER(FIND("Mar",$C$1)),Monthly!$E1043,(IF(ISNUMBER(FIND("Apr",$C$1)),Monthly!$F1043,((IF(ISNUMBER(FIND("May",$C$1)),Monthly!$G1043,((IF(ISNUMBER(FIND("Jun",$C$1)),Monthly!$H1043,(IF(ISNUMBER(FIND("Jul",$C$1)),Monthly!$I1043,(IF(ISNUMBER(FIND("Aug",$C$1)),Monthly!$J1043,(IF(ISNUMBER(FIND("Sep",$C$1)),Monthly!$K1043,(IF(ISNUMBER(FIND("Oct",$C$1)),Monthly!$L1043,(IF(ISNUMBER(FIND("Nov",$C$1)),Monthly!$M1043,(IF(ISNUMBER(FIND("Dec",$C$1)),Monthly!$N1043,))))))))))))))))))))))))))</f>
        <v>0</v>
      </c>
      <c r="N30" s="1148">
        <f>IF(ISNUMBER(FIND("Jan",$C$1)),Monthly!$C966,(IF(ISNUMBER(FIND("Feb",$C$1)),Monthly!$D966,((IF(ISNUMBER(FIND("Mar",$C$1)),Monthly!$E966,(IF(ISNUMBER(FIND("Apr",$C$1)),Monthly!$F966,((IF(ISNUMBER(FIND("May",$C$1)),Monthly!$G966,((IF(ISNUMBER(FIND("Jun",$C$1)),Monthly!$H966,(IF(ISNUMBER(FIND("Jul",$C$1)),Monthly!$I966,(IF(ISNUMBER(FIND("Aug",$C$1)),Monthly!$J966,(IF(ISNUMBER(FIND("Sep",$C$1)),Monthly!$K966,(IF(ISNUMBER(FIND("Oct",$C$1)),Monthly!$L966,(IF(ISNUMBER(FIND("Nov",$C$1)),Monthly!$M966,(IF(ISNUMBER(FIND("Dec",$C$1)),Monthly!$N966,))))))))))))))))))))))))))</f>
        <v>0</v>
      </c>
      <c r="O30" s="1148">
        <f>IF(ISNUMBER(FIND("Jan",$C$1)),Monthly!$C890,(IF(ISNUMBER(FIND("Feb",$C$1)),Monthly!$D890,((IF(ISNUMBER(FIND("Mar",$C$1)),Monthly!$E890,(IF(ISNUMBER(FIND("Apr",$C$1)),Monthly!$F890,((IF(ISNUMBER(FIND("May",$C$1)),Monthly!$G890,((IF(ISNUMBER(FIND("Jun",$C$1)),Monthly!$H890,(IF(ISNUMBER(FIND("Jul",$C$1)),Monthly!$I890,(IF(ISNUMBER(FIND("Aug",$C$1)),Monthly!$J890,(IF(ISNUMBER(FIND("Sep",$C$1)),Monthly!$K890,(IF(ISNUMBER(FIND("Oct",$C$1)),Monthly!$L890,(IF(ISNUMBER(FIND("Nov",$C$1)),Monthly!$M890,(IF(ISNUMBER(FIND("Dec",$C$1)),Monthly!$N890,))))))))))))))))))))))))))</f>
        <v>0</v>
      </c>
      <c r="P30" s="1148">
        <f>IF(ISNUMBER(FIND("Jan",$C$1)),Monthly!$C813,(IF(ISNUMBER(FIND("Feb",$C$1)),Monthly!$D813,((IF(ISNUMBER(FIND("Mar",$C$1)),Monthly!$E813,(IF(ISNUMBER(FIND("Apr",$C$1)),Monthly!$F813,((IF(ISNUMBER(FIND("May",$C$1)),Monthly!$G813,((IF(ISNUMBER(FIND("Jun",$C$1)),Monthly!$H813,(IF(ISNUMBER(FIND("Jul",$C$1)),Monthly!$I813,(IF(ISNUMBER(FIND("Aug",$C$1)),Monthly!$J813,(IF(ISNUMBER(FIND("Sep",$C$1)),Monthly!$K813,(IF(ISNUMBER(FIND("Oct",$C$1)),Monthly!$L813,(IF(ISNUMBER(FIND("Nov",$C$1)),Monthly!$M813,(IF(ISNUMBER(FIND("Dec",$C$1)),Monthly!$N813,))))))))))))))))))))))))))</f>
        <v>0</v>
      </c>
      <c r="Q30" s="1142">
        <f>IF(ISNUMBER(FIND("Jan",$C$1)),Monthly!$C736,(IF(ISNUMBER(FIND("Feb",$C$1)),Monthly!$D736,((IF(ISNUMBER(FIND("Mar",$C$1)),Monthly!$E736,(IF(ISNUMBER(FIND("Apr",$C$1)),Monthly!$F736,((IF(ISNUMBER(FIND("May",$C$1)),Monthly!$G736,((IF(ISNUMBER(FIND("Jun",$C$1)),Monthly!$H736,(IF(ISNUMBER(FIND("Jul",$C$1)),Monthly!$I736,(IF(ISNUMBER(FIND("Aug",$C$1)),Monthly!$J736,(IF(ISNUMBER(FIND("Sep",$C$1)),Monthly!$K736,(IF(ISNUMBER(FIND("Oct",$C$1)),Monthly!$L736,(IF(ISNUMBER(FIND("Nov",$C$1)),Monthly!$M736,(IF(ISNUMBER(FIND("Dec",$C$1)),Monthly!$N736,))))))))))))))))))))))))))</f>
        <v>100</v>
      </c>
      <c r="R30" s="1142"/>
      <c r="S30" s="1142"/>
      <c r="T30" s="1142"/>
      <c r="U30" s="1143">
        <f>Monthly!O429</f>
        <v>6.833333333333333</v>
      </c>
      <c r="V30" s="1142">
        <f>Monthly!O344</f>
        <v>3.8333333333333335</v>
      </c>
      <c r="W30" s="1142"/>
      <c r="X30" s="1144">
        <f>SUM(C30:Q30)/$E$77</f>
        <v>17.466666666666665</v>
      </c>
      <c r="Y30" s="1145">
        <f>X30/7000</f>
        <v>2.4952380952380951E-3</v>
      </c>
      <c r="Z30" s="1146"/>
      <c r="AA30" s="1147">
        <f>MAX(C30:Q30)</f>
        <v>100</v>
      </c>
      <c r="AB30" s="1147">
        <f>MIN(C30:Q30)</f>
        <v>0</v>
      </c>
      <c r="AC30" s="140"/>
      <c r="AD30" s="141"/>
    </row>
    <row r="31" spans="1:30" s="147" customFormat="1" ht="13.5">
      <c r="A31" s="1136"/>
      <c r="B31" s="1137" t="s">
        <v>459</v>
      </c>
      <c r="C31" s="1138">
        <f>IF(ISNUMBER(FIND("Jan",$C$1)),Monthly!$C1818,(IF(ISNUMBER(FIND("Feb",$C$1)),Monthly!$D1818,((IF(ISNUMBER(FIND("Mar",$C$1)),Monthly!$E1818,(IF(ISNUMBER(FIND("Apr",$C$1)),Monthly!$F1818,((IF(ISNUMBER(FIND("May",$C$1)),Monthly!$G1818,((IF(ISNUMBER(FIND("Jun",$C$1)),Monthly!$H1818,(IF(ISNUMBER(FIND("Jul",$C$1)),Monthly!$I1818,(IF(ISNUMBER(FIND("Aug",$C$1)),Monthly!$J1818,(IF(ISNUMBER(FIND("Sep",$C$1)),Monthly!$K1818,(IF(ISNUMBER(FIND("Oct",$C$1)),Monthly!$L1818,(IF(ISNUMBER(FIND("Nov",$C$1)),Monthly!$M1818,(IF(ISNUMBER(FIND("Dec",$C$1)),Monthly!$N1818,))))))))))))))))))))))))))</f>
        <v>30</v>
      </c>
      <c r="D31" s="1139">
        <f>IF(ISNUMBER(FIND("Jan",$C$1)),Monthly!$C1741,(IF(ISNUMBER(FIND("Feb",$C$1)),Monthly!$D1741,((IF(ISNUMBER(FIND("Mar",$C$1)),Monthly!$E1741,(IF(ISNUMBER(FIND("Apr",$C$1)),Monthly!$F1741,((IF(ISNUMBER(FIND("May",$C$1)),Monthly!$G1741,((IF(ISNUMBER(FIND("Jun",$C$1)),Monthly!$H1741,(IF(ISNUMBER(FIND("Jul",$C$1)),Monthly!$I1741,(IF(ISNUMBER(FIND("Aug",$C$1)),Monthly!$J1741,(IF(ISNUMBER(FIND("Sep",$C$1)),Monthly!$K1741,(IF(ISNUMBER(FIND("Oct",$C$1)),Monthly!$L1741,(IF(ISNUMBER(FIND("Nov",$C$1)),Monthly!$M1741,(IF(ISNUMBER(FIND("Dec",$C$1)),Monthly!$N1741,))))))))))))))))))))))))))</f>
        <v>0</v>
      </c>
      <c r="E31" s="1139">
        <f xml:space="preserve">
IF(ISNUMBER(FIND("Jan",$C$1)),Monthly!$C1663,(IF(ISNUMBER(FIND("Feb",$C$1)),Monthly!$D1663,((IF(ISNUMBER(FIND("Mar",$C$1)),Monthly!$E1663,(IF(ISNUMBER(FIND("Apr",$C$1)),Monthly!$F1663,((IF(ISNUMBER(FIND("May",$C$1)),Monthly!$G1663,((IF(ISNUMBER(FIND("Jun",$C$1)),Monthly!$H1663,(IF(ISNUMBER(FIND("Jul",$C$1)),Monthly!$I1663,(IF(ISNUMBER(FIND("Aug",$C$1)),Monthly!$J1663,(IF(ISNUMBER(FIND("Sep",$C$1)),Monthly!$K1663,(IF(ISNUMBER(FIND("Oct",$C$1)),Monthly!$L1663,(IF(ISNUMBER(FIND("Nov",$C$1)),Monthly!$M1663,(IF(ISNUMBER(FIND("Dec",$C$1)),Monthly!$N1663,))))))))))))))))))))))))))</f>
        <v>0</v>
      </c>
      <c r="F31" s="1138">
        <f>IF(ISNUMBER(FIND("Jan",$C$1)),Monthly!$C1585,(IF(ISNUMBER(FIND("Feb",$C$1)),Monthly!$D1585,((IF(ISNUMBER(FIND("Mar",$C$1)),Monthly!$E1585,(IF(ISNUMBER(FIND("Apr",$C$1)),Monthly!$F1585,((IF(ISNUMBER(FIND("May",$C$1)),Monthly!$G1585,((IF(ISNUMBER(FIND("Jun",$C$1)),Monthly!$H1585,(IF(ISNUMBER(FIND("Jul",$C$1)),Monthly!$I1585,(IF(ISNUMBER(FIND("Aug",$C$1)),Monthly!$J1585,(IF(ISNUMBER(FIND("Sep",$C$1)),Monthly!$K1585,(IF(ISNUMBER(FIND("Oct",$C$1)),Monthly!$L1585,(IF(ISNUMBER(FIND("Nov",$C$1)),Monthly!$M1585,(IF(ISNUMBER(FIND("Dec",$C$1)),Monthly!$N1585,))))))))))))))))))))))))))</f>
        <v>0</v>
      </c>
      <c r="G31" s="1139">
        <f>IF(ISNUMBER(FIND("Jan",$C$1)),Monthly!$C1507,(IF(ISNUMBER(FIND("Feb",$C$1)),Monthly!$D1507,((IF(ISNUMBER(FIND("Mar",$C$1)),Monthly!$E1507,(IF(ISNUMBER(FIND("Apr",$C$1)),Monthly!$F1507,((IF(ISNUMBER(FIND("May",$C$1)),Monthly!$G1507,((IF(ISNUMBER(FIND("Jun",$C$1)),Monthly!$H1507,(IF(ISNUMBER(FIND("Jul",$C$1)),Monthly!$I1507,(IF(ISNUMBER(FIND("Aug",$C$1)),Monthly!$J1507,(IF(ISNUMBER(FIND("Sep",$C$1)),Monthly!$K1507,(IF(ISNUMBER(FIND("Oct",$C$1)),Monthly!$L1507,(IF(ISNUMBER(FIND("Nov",$C$1)),Monthly!$M1507,(IF(ISNUMBER(FIND("Dec",$C$1)),Monthly!$N1507,))))))))))))))))))))))))))</f>
        <v>10</v>
      </c>
      <c r="H31" s="1139">
        <f>IF(ISNUMBER(FIND("Jan",$C$1)),Monthly!$C1430,(IF(ISNUMBER(FIND("Feb",$C$1)),Monthly!$D1430,((IF(ISNUMBER(FIND("Mar",$C$1)),Monthly!$E1430,(IF(ISNUMBER(FIND("Apr",$C$1)),Monthly!$F1430,((IF(ISNUMBER(FIND("May",$C$1)),Monthly!$G1430,((IF(ISNUMBER(FIND("Jun",$C$1)),Monthly!$H1430,(IF(ISNUMBER(FIND("Jul",$C$1)),Monthly!$I1430,(IF(ISNUMBER(FIND("Aug",$C$1)),Monthly!$J1430,(IF(ISNUMBER(FIND("Sep",$C$1)),Monthly!$K1430,(IF(ISNUMBER(FIND("Oct",$C$1)),Monthly!$L1430,(IF(ISNUMBER(FIND("Nov",$C$1)),Monthly!$M1430,(IF(ISNUMBER(FIND("Dec",$C$1)),Monthly!$N1430,))))))))))))))))))))))))))</f>
        <v>45</v>
      </c>
      <c r="I31" s="1139">
        <f>IF(ISNUMBER(FIND("Jan",$C$1)),Monthly!$C1353,(IF(ISNUMBER(FIND("Feb",$C$1)),Monthly!$D1353,((IF(ISNUMBER(FIND("Mar",$C$1)),Monthly!$E1353,(IF(ISNUMBER(FIND("Apr",$C$1)),Monthly!$F1353,((IF(ISNUMBER(FIND("May",$C$1)),Monthly!$G1353,((IF(ISNUMBER(FIND("Jun",$C$1)),Monthly!$H1353,(IF(ISNUMBER(FIND("Jul",$C$1)),Monthly!$I1353,(IF(ISNUMBER(FIND("Aug",$C$1)),Monthly!$J1353,(IF(ISNUMBER(FIND("Sep",$C$1)),Monthly!$K1353,(IF(ISNUMBER(FIND("Oct",$C$1)),Monthly!$L1353,(IF(ISNUMBER(FIND("Nov",$C$1)),Monthly!$M1353,(IF(ISNUMBER(FIND("Dec",$C$1)),Monthly!$N1353,))))))))))))))))))))))))))</f>
        <v>25</v>
      </c>
      <c r="J31" s="1138">
        <f>IF(ISNUMBER(FIND("Jan",$C$1)),Monthly!$C1276,(IF(ISNUMBER(FIND("Feb",$C$1)),Monthly!$D1276,((IF(ISNUMBER(FIND("Mar",$C$1)),Monthly!$E1276,(IF(ISNUMBER(FIND("Apr",$C$1)),Monthly!$F1276,((IF(ISNUMBER(FIND("May",$C$1)),Monthly!$G1276,((IF(ISNUMBER(FIND("Jun",$C$1)),Monthly!$H1276,(IF(ISNUMBER(FIND("Jul",$C$1)),Monthly!$I1276,(IF(ISNUMBER(FIND("Aug",$C$1)),Monthly!$J1276,(IF(ISNUMBER(FIND("Sep",$C$1)),Monthly!$K1276,(IF(ISNUMBER(FIND("Oct",$C$1)),Monthly!$L1276,(IF(ISNUMBER(FIND("Nov",$C$1)),Monthly!$M1276,(IF(ISNUMBER(FIND("Dec",$C$1)),Monthly!$N1276,))))))))))))))))))))))))))</f>
        <v>45</v>
      </c>
      <c r="K31" s="1148">
        <f>IF(ISNUMBER(FIND("Jan",$C$1)),Monthly!$C1198,(IF(ISNUMBER(FIND("Feb",$C$1)),Monthly!$D1198,((IF(ISNUMBER(FIND("Mar",$C$1)),Monthly!$E1198,(IF(ISNUMBER(FIND("Apr",$C$1)),Monthly!$F1198,((IF(ISNUMBER(FIND("May",$C$1)),Monthly!$G1198,((IF(ISNUMBER(FIND("Jun",$C$1)),Monthly!$H1198,(IF(ISNUMBER(FIND("Jul",$C$1)),Monthly!$I1198,(IF(ISNUMBER(FIND("Aug",$C$1)),Monthly!$J1198,(IF(ISNUMBER(FIND("Sep",$C$1)),Monthly!$K1198,(IF(ISNUMBER(FIND("Oct",$C$1)),Monthly!$L1198,(IF(ISNUMBER(FIND("Nov",$C$1)),Monthly!$M1198,(IF(ISNUMBER(FIND("Dec",$C$1)),Monthly!$N1198,))))))))))))))))))))))))))</f>
        <v>0</v>
      </c>
      <c r="L31" s="1139">
        <f>IF(ISNUMBER(FIND("Jan",$C$1)),Monthly!$C1121,(IF(ISNUMBER(FIND("Feb",$C$1)),Monthly!$D1121,((IF(ISNUMBER(FIND("Mar",$C$1)),Monthly!$E1121,(IF(ISNUMBER(FIND("Apr",$C$1)),Monthly!$F1121,((IF(ISNUMBER(FIND("May",$C$1)),Monthly!$G1121,((IF(ISNUMBER(FIND("Jun",$C$1)),Monthly!$H1121,(IF(ISNUMBER(FIND("Jul",$C$1)),Monthly!$I1121,(IF(ISNUMBER(FIND("Aug",$C$1)),Monthly!$J1121,(IF(ISNUMBER(FIND("Sep",$C$1)),Monthly!$K1121,(IF(ISNUMBER(FIND("Oct",$C$1)),Monthly!$L1121,(IF(ISNUMBER(FIND("Nov",$C$1)),Monthly!$M1121,(IF(ISNUMBER(FIND("Dec",$C$1)),Monthly!$N1121,))))))))))))))))))))))))))</f>
        <v>25</v>
      </c>
      <c r="M31" s="1139">
        <f>IF(ISNUMBER(FIND("Jan",$C$1)),Monthly!$C1044,(IF(ISNUMBER(FIND("Feb",$C$1)),Monthly!$D1044,((IF(ISNUMBER(FIND("Mar",$C$1)),Monthly!$E1044,(IF(ISNUMBER(FIND("Apr",$C$1)),Monthly!$F1044,((IF(ISNUMBER(FIND("May",$C$1)),Monthly!$G1044,((IF(ISNUMBER(FIND("Jun",$C$1)),Monthly!$H1044,(IF(ISNUMBER(FIND("Jul",$C$1)),Monthly!$I1044,(IF(ISNUMBER(FIND("Aug",$C$1)),Monthly!$J1044,(IF(ISNUMBER(FIND("Sep",$C$1)),Monthly!$K1044,(IF(ISNUMBER(FIND("Oct",$C$1)),Monthly!$L1044,(IF(ISNUMBER(FIND("Nov",$C$1)),Monthly!$M1044,(IF(ISNUMBER(FIND("Dec",$C$1)),Monthly!$N1044,))))))))))))))))))))))))))</f>
        <v>0</v>
      </c>
      <c r="N31" s="1148">
        <f>IF(ISNUMBER(FIND("Jan",$C$1)),Monthly!$C967,(IF(ISNUMBER(FIND("Feb",$C$1)),Monthly!$D967,((IF(ISNUMBER(FIND("Mar",$C$1)),Monthly!$E967,(IF(ISNUMBER(FIND("Apr",$C$1)),Monthly!$F967,((IF(ISNUMBER(FIND("May",$C$1)),Monthly!$G967,((IF(ISNUMBER(FIND("Jun",$C$1)),Monthly!$H967,(IF(ISNUMBER(FIND("Jul",$C$1)),Monthly!$I967,(IF(ISNUMBER(FIND("Aug",$C$1)),Monthly!$J967,(IF(ISNUMBER(FIND("Sep",$C$1)),Monthly!$K967,(IF(ISNUMBER(FIND("Oct",$C$1)),Monthly!$L967,(IF(ISNUMBER(FIND("Nov",$C$1)),Monthly!$M967,(IF(ISNUMBER(FIND("Dec",$C$1)),Monthly!$N967,))))))))))))))))))))))))))</f>
        <v>55</v>
      </c>
      <c r="O31" s="1148">
        <f>IF(ISNUMBER(FIND("Jan",$C$1)),Monthly!$C891,(IF(ISNUMBER(FIND("Feb",$C$1)),Monthly!$D891,((IF(ISNUMBER(FIND("Mar",$C$1)),Monthly!$E891,(IF(ISNUMBER(FIND("Apr",$C$1)),Monthly!$F891,((IF(ISNUMBER(FIND("May",$C$1)),Monthly!$G891,((IF(ISNUMBER(FIND("Jun",$C$1)),Monthly!$H891,(IF(ISNUMBER(FIND("Jul",$C$1)),Monthly!$I891,(IF(ISNUMBER(FIND("Aug",$C$1)),Monthly!$J891,(IF(ISNUMBER(FIND("Sep",$C$1)),Monthly!$K891,(IF(ISNUMBER(FIND("Oct",$C$1)),Monthly!$L891,(IF(ISNUMBER(FIND("Nov",$C$1)),Monthly!$M891,(IF(ISNUMBER(FIND("Dec",$C$1)),Monthly!$N891,))))))))))))))))))))))))))</f>
        <v>0</v>
      </c>
      <c r="P31" s="1148">
        <f>IF(ISNUMBER(FIND("Jan",$C$1)),Monthly!$C814,(IF(ISNUMBER(FIND("Feb",$C$1)),Monthly!$D814,((IF(ISNUMBER(FIND("Mar",$C$1)),Monthly!$E814,(IF(ISNUMBER(FIND("Apr",$C$1)),Monthly!$F814,((IF(ISNUMBER(FIND("May",$C$1)),Monthly!$G814,((IF(ISNUMBER(FIND("Jun",$C$1)),Monthly!$H814,(IF(ISNUMBER(FIND("Jul",$C$1)),Monthly!$I814,(IF(ISNUMBER(FIND("Aug",$C$1)),Monthly!$J814,(IF(ISNUMBER(FIND("Sep",$C$1)),Monthly!$K814,(IF(ISNUMBER(FIND("Oct",$C$1)),Monthly!$L814,(IF(ISNUMBER(FIND("Nov",$C$1)),Monthly!$M814,(IF(ISNUMBER(FIND("Dec",$C$1)),Monthly!$N814,))))))))))))))))))))))))))</f>
        <v>0</v>
      </c>
      <c r="Q31" s="1142">
        <f>IF(ISNUMBER(FIND("Jan",$C$1)),Monthly!$C737,(IF(ISNUMBER(FIND("Feb",$C$1)),Monthly!$D737,((IF(ISNUMBER(FIND("Mar",$C$1)),Monthly!$E737,(IF(ISNUMBER(FIND("Apr",$C$1)),Monthly!$F737,((IF(ISNUMBER(FIND("May",$C$1)),Monthly!$G737,((IF(ISNUMBER(FIND("Jun",$C$1)),Monthly!$H737,(IF(ISNUMBER(FIND("Jul",$C$1)),Monthly!$I737,(IF(ISNUMBER(FIND("Aug",$C$1)),Monthly!$J737,(IF(ISNUMBER(FIND("Sep",$C$1)),Monthly!$K737,(IF(ISNUMBER(FIND("Oct",$C$1)),Monthly!$L737,(IF(ISNUMBER(FIND("Nov",$C$1)),Monthly!$M737,(IF(ISNUMBER(FIND("Dec",$C$1)),Monthly!$N737,))))))))))))))))))))))))))</f>
        <v>0</v>
      </c>
      <c r="R31" s="1142"/>
      <c r="S31" s="1142"/>
      <c r="T31" s="1142"/>
      <c r="U31" s="1143">
        <f>Monthly!O430</f>
        <v>0</v>
      </c>
      <c r="V31" s="1142">
        <f>Monthly!O345</f>
        <v>0</v>
      </c>
      <c r="W31" s="1142"/>
      <c r="X31" s="1144">
        <f>SUM(C31:Q31)/$E$77</f>
        <v>15.666666666666666</v>
      </c>
      <c r="Y31" s="1145">
        <f>X31/7000</f>
        <v>2.2380952380952378E-3</v>
      </c>
      <c r="Z31" s="1146"/>
      <c r="AA31" s="1147">
        <f>MAX(C31:Q31)</f>
        <v>55</v>
      </c>
      <c r="AB31" s="1147">
        <f>MIN(C31:Q31)</f>
        <v>0</v>
      </c>
      <c r="AC31" s="140"/>
      <c r="AD31" s="141"/>
    </row>
    <row r="32" spans="1:30" s="148" customFormat="1" ht="13.5">
      <c r="A32" s="2293" t="s">
        <v>278</v>
      </c>
      <c r="B32" s="2294"/>
      <c r="C32" s="2285">
        <f>SUM(C34:C35)</f>
        <v>383</v>
      </c>
      <c r="D32" s="2285">
        <f t="shared" ref="D32:X32" si="16">SUM(D34:D35)</f>
        <v>290</v>
      </c>
      <c r="E32" s="2285">
        <f t="shared" si="16"/>
        <v>319</v>
      </c>
      <c r="F32" s="2285">
        <f t="shared" si="16"/>
        <v>207</v>
      </c>
      <c r="G32" s="2285">
        <f t="shared" si="16"/>
        <v>375</v>
      </c>
      <c r="H32" s="2285">
        <f t="shared" si="16"/>
        <v>436</v>
      </c>
      <c r="I32" s="2285">
        <f t="shared" si="16"/>
        <v>734</v>
      </c>
      <c r="J32" s="2285">
        <f t="shared" si="16"/>
        <v>490</v>
      </c>
      <c r="K32" s="2285">
        <f t="shared" si="16"/>
        <v>605</v>
      </c>
      <c r="L32" s="2285">
        <f t="shared" si="16"/>
        <v>840</v>
      </c>
      <c r="M32" s="2285">
        <f t="shared" si="16"/>
        <v>691</v>
      </c>
      <c r="N32" s="2285">
        <f t="shared" si="16"/>
        <v>874</v>
      </c>
      <c r="O32" s="2285">
        <f>SUM(O34:O35)</f>
        <v>543</v>
      </c>
      <c r="P32" s="2285">
        <f>SUM(P34:P35)</f>
        <v>461</v>
      </c>
      <c r="Q32" s="2285">
        <f>SUM(Q34:Q35)</f>
        <v>965</v>
      </c>
      <c r="R32" s="2285">
        <f t="shared" ref="R32:W32" si="17">SUM(R34:R35)</f>
        <v>0</v>
      </c>
      <c r="S32" s="2285">
        <f t="shared" si="17"/>
        <v>0</v>
      </c>
      <c r="T32" s="2285">
        <f t="shared" si="17"/>
        <v>0</v>
      </c>
      <c r="U32" s="2285">
        <f t="shared" si="17"/>
        <v>1061.8333333333333</v>
      </c>
      <c r="V32" s="2285">
        <f t="shared" si="17"/>
        <v>1221.5</v>
      </c>
      <c r="W32" s="2285">
        <f t="shared" si="17"/>
        <v>0</v>
      </c>
      <c r="X32" s="2285">
        <f t="shared" si="16"/>
        <v>547.5333333333333</v>
      </c>
      <c r="Y32" s="1150">
        <f>X32/7000</f>
        <v>7.8219047619047619E-2</v>
      </c>
      <c r="Z32" s="1134"/>
      <c r="AA32" s="1149">
        <f>MAX(C32:M32)</f>
        <v>840</v>
      </c>
      <c r="AB32" s="1149">
        <f>MIN(C32:M32)</f>
        <v>207</v>
      </c>
      <c r="AC32" s="140"/>
      <c r="AD32" s="141"/>
    </row>
    <row r="33" spans="1:28" s="148" customFormat="1" ht="13.5">
      <c r="A33" s="2293"/>
      <c r="B33" s="2294"/>
      <c r="C33" s="2286"/>
      <c r="D33" s="2286"/>
      <c r="E33" s="2286"/>
      <c r="F33" s="2286"/>
      <c r="G33" s="2286"/>
      <c r="H33" s="2286"/>
      <c r="I33" s="2286"/>
      <c r="J33" s="2286"/>
      <c r="K33" s="2286"/>
      <c r="L33" s="2286"/>
      <c r="M33" s="2286"/>
      <c r="N33" s="2286"/>
      <c r="O33" s="2286"/>
      <c r="P33" s="2286"/>
      <c r="Q33" s="2286"/>
      <c r="R33" s="2286"/>
      <c r="S33" s="2286"/>
      <c r="T33" s="2286"/>
      <c r="U33" s="2286"/>
      <c r="V33" s="2286"/>
      <c r="W33" s="2286"/>
      <c r="X33" s="2286"/>
      <c r="Y33" s="1150"/>
      <c r="Z33" s="1135"/>
      <c r="AA33" s="1150"/>
      <c r="AB33" s="1150"/>
    </row>
    <row r="34" spans="1:28" s="147" customFormat="1" ht="13.5">
      <c r="A34" s="1136"/>
      <c r="B34" s="1137" t="s">
        <v>414</v>
      </c>
      <c r="C34" s="1138">
        <f>IF(ISNUMBER(FIND("Jan",$C$1)),Monthly!$C1821,(IF(ISNUMBER(FIND("Feb",$C$1)),Monthly!$D1821,((IF(ISNUMBER(FIND("Mar",$C$1)),Monthly!$E1821,(IF(ISNUMBER(FIND("Apr",$C$1)),Monthly!$F1821,((IF(ISNUMBER(FIND("May",$C$1)),Monthly!$G1821,((IF(ISNUMBER(FIND("Jun",$C$1)),Monthly!$H1821,(IF(ISNUMBER(FIND("Jul",$C$1)),Monthly!$I1821,(IF(ISNUMBER(FIND("Aug",$C$1)),Monthly!$J1821,(IF(ISNUMBER(FIND("Sep",$C$1)),Monthly!$K1821,(IF(ISNUMBER(FIND("Oct",$C$1)),Monthly!$L1821,(IF(ISNUMBER(FIND("Nov",$C$1)),Monthly!$M1821,(IF(ISNUMBER(FIND("Dec",$C$1)),Monthly!$N1821,))))))))))))))))))))))))))</f>
        <v>315</v>
      </c>
      <c r="D34" s="1139">
        <f>IF(ISNUMBER(FIND("Jan",$C$1)),Monthly!$C1744,(IF(ISNUMBER(FIND("Feb",$C$1)),Monthly!$D1744,((IF(ISNUMBER(FIND("Mar",$C$1)),Monthly!$E1744,(IF(ISNUMBER(FIND("Apr",$C$1)),Monthly!$F1744,((IF(ISNUMBER(FIND("May",$C$1)),Monthly!$G1744,((IF(ISNUMBER(FIND("Jun",$C$1)),Monthly!$H1744,(IF(ISNUMBER(FIND("Jul",$C$1)),Monthly!$I1744,(IF(ISNUMBER(FIND("Aug",$C$1)),Monthly!$J1744,(IF(ISNUMBER(FIND("Sep",$C$1)),Monthly!$K1744,(IF(ISNUMBER(FIND("Oct",$C$1)),Monthly!$L1744,(IF(ISNUMBER(FIND("Nov",$C$1)),Monthly!$M1744,(IF(ISNUMBER(FIND("Dec",$C$1)),Monthly!$N1744,))))))))))))))))))))))))))</f>
        <v>268</v>
      </c>
      <c r="E34" s="1139">
        <f xml:space="preserve">
IF(ISNUMBER(FIND("Jan",$C$1)),Monthly!$C1666,(IF(ISNUMBER(FIND("Feb",$C$1)),Monthly!$D1666,((IF(ISNUMBER(FIND("Mar",$C$1)),Monthly!$E1666,(IF(ISNUMBER(FIND("Apr",$C$1)),Monthly!$F1666,((IF(ISNUMBER(FIND("May",$C$1)),Monthly!$G1666,((IF(ISNUMBER(FIND("Jun",$C$1)),Monthly!$H1666,(IF(ISNUMBER(FIND("Jul",$C$1)),Monthly!$I1666,(IF(ISNUMBER(FIND("Aug",$C$1)),Monthly!$J1666,(IF(ISNUMBER(FIND("Sep",$C$1)),Monthly!$K1666,(IF(ISNUMBER(FIND("Oct",$C$1)),Monthly!$L1666,(IF(ISNUMBER(FIND("Nov",$C$1)),Monthly!$M1666,(IF(ISNUMBER(FIND("Dec",$C$1)),Monthly!$N1666,))))))))))))))))))))))))))</f>
        <v>208</v>
      </c>
      <c r="F34" s="1138">
        <f>IF(ISNUMBER(FIND("Jan",$C$1)),Monthly!$C1588,(IF(ISNUMBER(FIND("Feb",$C$1)),Monthly!$D1588,((IF(ISNUMBER(FIND("Mar",$C$1)),Monthly!$E1588,(IF(ISNUMBER(FIND("Apr",$C$1)),Monthly!$F1588,((IF(ISNUMBER(FIND("May",$C$1)),Monthly!$G1588,((IF(ISNUMBER(FIND("Jun",$C$1)),Monthly!$H1588,(IF(ISNUMBER(FIND("Jul",$C$1)),Monthly!$I1588,(IF(ISNUMBER(FIND("Aug",$C$1)),Monthly!$J1588,(IF(ISNUMBER(FIND("Sep",$C$1)),Monthly!$K1588,(IF(ISNUMBER(FIND("Oct",$C$1)),Monthly!$L1588,(IF(ISNUMBER(FIND("Nov",$C$1)),Monthly!$M1588,(IF(ISNUMBER(FIND("Dec",$C$1)),Monthly!$N1588,))))))))))))))))))))))))))</f>
        <v>184</v>
      </c>
      <c r="G34" s="1139">
        <f>IF(ISNUMBER(FIND("Jan",$C$1)),Monthly!$C1510,(IF(ISNUMBER(FIND("Feb",$C$1)),Monthly!$D1510,((IF(ISNUMBER(FIND("Mar",$C$1)),Monthly!$E1510,(IF(ISNUMBER(FIND("Apr",$C$1)),Monthly!$F1510,((IF(ISNUMBER(FIND("May",$C$1)),Monthly!$G1510,((IF(ISNUMBER(FIND("Jun",$C$1)),Monthly!$H1510,(IF(ISNUMBER(FIND("Jul",$C$1)),Monthly!$I1510,(IF(ISNUMBER(FIND("Aug",$C$1)),Monthly!$J1510,(IF(ISNUMBER(FIND("Sep",$C$1)),Monthly!$K1510,(IF(ISNUMBER(FIND("Oct",$C$1)),Monthly!$L1510,(IF(ISNUMBER(FIND("Nov",$C$1)),Monthly!$M1510,(IF(ISNUMBER(FIND("Dec",$C$1)),Monthly!$N1510,))))))))))))))))))))))))))</f>
        <v>322</v>
      </c>
      <c r="H34" s="1139">
        <f>IF(ISNUMBER(FIND("Jan",$C$1)),Monthly!$C1433,(IF(ISNUMBER(FIND("Feb",$C$1)),Monthly!$D1433,((IF(ISNUMBER(FIND("Mar",$C$1)),Monthly!$E1433,(IF(ISNUMBER(FIND("Apr",$C$1)),Monthly!$F1433,((IF(ISNUMBER(FIND("May",$C$1)),Monthly!$G1433,((IF(ISNUMBER(FIND("Jun",$C$1)),Monthly!$H1433,(IF(ISNUMBER(FIND("Jul",$C$1)),Monthly!$I1433,(IF(ISNUMBER(FIND("Aug",$C$1)),Monthly!$J1433,(IF(ISNUMBER(FIND("Sep",$C$1)),Monthly!$K1433,(IF(ISNUMBER(FIND("Oct",$C$1)),Monthly!$L1433,(IF(ISNUMBER(FIND("Nov",$C$1)),Monthly!$M1433,(IF(ISNUMBER(FIND("Dec",$C$1)),Monthly!$N1433,))))))))))))))))))))))))))</f>
        <v>399</v>
      </c>
      <c r="I34" s="1139">
        <f>IF(ISNUMBER(FIND("Jan",$C$1)),Monthly!$C1356,(IF(ISNUMBER(FIND("Feb",$C$1)),Monthly!$D1356,((IF(ISNUMBER(FIND("Mar",$C$1)),Monthly!$E1356,(IF(ISNUMBER(FIND("Apr",$C$1)),Monthly!$F1356,((IF(ISNUMBER(FIND("May",$C$1)),Monthly!$G1356,((IF(ISNUMBER(FIND("Jun",$C$1)),Monthly!$H1356,(IF(ISNUMBER(FIND("Jul",$C$1)),Monthly!$I1356,(IF(ISNUMBER(FIND("Aug",$C$1)),Monthly!$J1356,(IF(ISNUMBER(FIND("Sep",$C$1)),Monthly!$K1356,(IF(ISNUMBER(FIND("Oct",$C$1)),Monthly!$L1356,(IF(ISNUMBER(FIND("Nov",$C$1)),Monthly!$M1356,(IF(ISNUMBER(FIND("Dec",$C$1)),Monthly!$N1356,))))))))))))))))))))))))))</f>
        <v>734</v>
      </c>
      <c r="J34" s="1138">
        <f>IF(ISNUMBER(FIND("Jan",$C$1)),Monthly!$C1279,(IF(ISNUMBER(FIND("Feb",$C$1)),Monthly!$D1279,((IF(ISNUMBER(FIND("Mar",$C$1)),Monthly!$E1279,(IF(ISNUMBER(FIND("Apr",$C$1)),Monthly!$F1279,((IF(ISNUMBER(FIND("May",$C$1)),Monthly!$G1279,((IF(ISNUMBER(FIND("Jun",$C$1)),Monthly!$H1279,(IF(ISNUMBER(FIND("Jul",$C$1)),Monthly!$I1279,(IF(ISNUMBER(FIND("Aug",$C$1)),Monthly!$J1279,(IF(ISNUMBER(FIND("Sep",$C$1)),Monthly!$K1279,(IF(ISNUMBER(FIND("Oct",$C$1)),Monthly!$L1279,(IF(ISNUMBER(FIND("Nov",$C$1)),Monthly!$M1279,(IF(ISNUMBER(FIND("Dec",$C$1)),Monthly!$N1279,))))))))))))))))))))))))))</f>
        <v>366</v>
      </c>
      <c r="K34" s="1148">
        <f>IF(ISNUMBER(FIND("Jan",$C$1)),Monthly!$C1201,(IF(ISNUMBER(FIND("Feb",$C$1)),Monthly!$D1201,((IF(ISNUMBER(FIND("Mar",$C$1)),Monthly!$E1201,(IF(ISNUMBER(FIND("Apr",$C$1)),Monthly!$F1201,((IF(ISNUMBER(FIND("May",$C$1)),Monthly!$G1201,((IF(ISNUMBER(FIND("Jun",$C$1)),Monthly!$H1201,(IF(ISNUMBER(FIND("Jul",$C$1)),Monthly!$I1201,(IF(ISNUMBER(FIND("Aug",$C$1)),Monthly!$J1201,(IF(ISNUMBER(FIND("Sep",$C$1)),Monthly!$K1201,(IF(ISNUMBER(FIND("Oct",$C$1)),Monthly!$L1201,(IF(ISNUMBER(FIND("Nov",$C$1)),Monthly!$M1201,(IF(ISNUMBER(FIND("Dec",$C$1)),Monthly!$N1201,))))))))))))))))))))))))))</f>
        <v>563</v>
      </c>
      <c r="L34" s="1139">
        <f>IF(ISNUMBER(FIND("Jan",$C$1)),Monthly!$C1124,(IF(ISNUMBER(FIND("Feb",$C$1)),Monthly!$D1124,((IF(ISNUMBER(FIND("Mar",$C$1)),Monthly!$E1124,(IF(ISNUMBER(FIND("Apr",$C$1)),Monthly!$F1124,((IF(ISNUMBER(FIND("May",$C$1)),Monthly!$G1124,((IF(ISNUMBER(FIND("Jun",$C$1)),Monthly!$H1124,(IF(ISNUMBER(FIND("Jul",$C$1)),Monthly!$I1124,(IF(ISNUMBER(FIND("Aug",$C$1)),Monthly!$J1124,(IF(ISNUMBER(FIND("Sep",$C$1)),Monthly!$K1124,(IF(ISNUMBER(FIND("Oct",$C$1)),Monthly!$L1124,(IF(ISNUMBER(FIND("Nov",$C$1)),Monthly!$M1124,(IF(ISNUMBER(FIND("Dec",$C$1)),Monthly!$N1124,))))))))))))))))))))))))))</f>
        <v>710</v>
      </c>
      <c r="M34" s="1139">
        <f>IF(ISNUMBER(FIND("Jan",$C$1)),Monthly!$C1047,(IF(ISNUMBER(FIND("Feb",$C$1)),Monthly!$D1047,((IF(ISNUMBER(FIND("Mar",$C$1)),Monthly!$E1047,(IF(ISNUMBER(FIND("Apr",$C$1)),Monthly!$F1047,((IF(ISNUMBER(FIND("May",$C$1)),Monthly!$G1047,((IF(ISNUMBER(FIND("Jun",$C$1)),Monthly!$H1047,(IF(ISNUMBER(FIND("Jul",$C$1)),Monthly!$I1047,(IF(ISNUMBER(FIND("Aug",$C$1)),Monthly!$J1047,(IF(ISNUMBER(FIND("Sep",$C$1)),Monthly!$K1047,(IF(ISNUMBER(FIND("Oct",$C$1)),Monthly!$L1047,(IF(ISNUMBER(FIND("Nov",$C$1)),Monthly!$M1047,(IF(ISNUMBER(FIND("Dec",$C$1)),Monthly!$N1047,))))))))))))))))))))))))))</f>
        <v>611</v>
      </c>
      <c r="N34" s="1148">
        <f>IF(ISNUMBER(FIND("Jan",$C$1)),Monthly!$C970,(IF(ISNUMBER(FIND("Feb",$C$1)),Monthly!$D970,((IF(ISNUMBER(FIND("Mar",$C$1)),Monthly!$E970,(IF(ISNUMBER(FIND("Apr",$C$1)),Monthly!$F970,((IF(ISNUMBER(FIND("May",$C$1)),Monthly!$G970,((IF(ISNUMBER(FIND("Jun",$C$1)),Monthly!$H970,(IF(ISNUMBER(FIND("Jul",$C$1)),Monthly!$I970,(IF(ISNUMBER(FIND("Aug",$C$1)),Monthly!$J970,(IF(ISNUMBER(FIND("Sep",$C$1)),Monthly!$K970,(IF(ISNUMBER(FIND("Oct",$C$1)),Monthly!$L970,(IF(ISNUMBER(FIND("Nov",$C$1)),Monthly!$M970,(IF(ISNUMBER(FIND("Dec",$C$1)),Monthly!$N970,))))))))))))))))))))))))))</f>
        <v>622</v>
      </c>
      <c r="O34" s="1148">
        <f>IF(ISNUMBER(FIND("Jan",$C$1)),Monthly!$C894,(IF(ISNUMBER(FIND("Feb",$C$1)),Monthly!$D894,((IF(ISNUMBER(FIND("Mar",$C$1)),Monthly!$E894,(IF(ISNUMBER(FIND("Apr",$C$1)),Monthly!$F894,((IF(ISNUMBER(FIND("May",$C$1)),Monthly!$G894,((IF(ISNUMBER(FIND("Jun",$C$1)),Monthly!$H894,(IF(ISNUMBER(FIND("Jul",$C$1)),Monthly!$I894,(IF(ISNUMBER(FIND("Aug",$C$1)),Monthly!$J894,(IF(ISNUMBER(FIND("Sep",$C$1)),Monthly!$K894,(IF(ISNUMBER(FIND("Oct",$C$1)),Monthly!$L894,(IF(ISNUMBER(FIND("Nov",$C$1)),Monthly!$M894,(IF(ISNUMBER(FIND("Dec",$C$1)),Monthly!$N894,))))))))))))))))))))))))))</f>
        <v>246</v>
      </c>
      <c r="P34" s="1148">
        <f>IF(ISNUMBER(FIND("Jan",$C$1)),Monthly!$C817,(IF(ISNUMBER(FIND("Feb",$C$1)),Monthly!$D817,((IF(ISNUMBER(FIND("Mar",$C$1)),Monthly!$E817,(IF(ISNUMBER(FIND("Apr",$C$1)),Monthly!$F817,((IF(ISNUMBER(FIND("May",$C$1)),Monthly!$G817,((IF(ISNUMBER(FIND("Jun",$C$1)),Monthly!$H817,(IF(ISNUMBER(FIND("Jul",$C$1)),Monthly!$I817,(IF(ISNUMBER(FIND("Aug",$C$1)),Monthly!$J817,(IF(ISNUMBER(FIND("Sep",$C$1)),Monthly!$K817,(IF(ISNUMBER(FIND("Oct",$C$1)),Monthly!$L817,(IF(ISNUMBER(FIND("Nov",$C$1)),Monthly!$M817,(IF(ISNUMBER(FIND("Dec",$C$1)),Monthly!$N817,))))))))))))))))))))))))))</f>
        <v>354</v>
      </c>
      <c r="Q34" s="1142">
        <f>IF(ISNUMBER(FIND("Jan",$C$1)),Monthly!$C740,(IF(ISNUMBER(FIND("Feb",$C$1)),Monthly!$D740,((IF(ISNUMBER(FIND("Mar",$C$1)),Monthly!$E740,(IF(ISNUMBER(FIND("Apr",$C$1)),Monthly!$F740,((IF(ISNUMBER(FIND("May",$C$1)),Monthly!$G740,((IF(ISNUMBER(FIND("Jun",$C$1)),Monthly!$H740,(IF(ISNUMBER(FIND("Jul",$C$1)),Monthly!$I740,(IF(ISNUMBER(FIND("Aug",$C$1)),Monthly!$J740,(IF(ISNUMBER(FIND("Sep",$C$1)),Monthly!$K740,(IF(ISNUMBER(FIND("Oct",$C$1)),Monthly!$L740,(IF(ISNUMBER(FIND("Nov",$C$1)),Monthly!$M740,(IF(ISNUMBER(FIND("Dec",$C$1)),Monthly!$N740,))))))))))))))))))))))))))</f>
        <v>741</v>
      </c>
      <c r="R34" s="1142"/>
      <c r="S34" s="1142"/>
      <c r="T34" s="1142"/>
      <c r="U34" s="1143">
        <f>Monthly!O433</f>
        <v>986</v>
      </c>
      <c r="V34" s="1142">
        <f>Monthly!O348</f>
        <v>1018.9166666666666</v>
      </c>
      <c r="W34" s="1142"/>
      <c r="X34" s="1144">
        <f>SUM(C34:Q34)/$E$77</f>
        <v>442.86666666666667</v>
      </c>
      <c r="Y34" s="1145">
        <f>X34/7000</f>
        <v>6.3266666666666665E-2</v>
      </c>
      <c r="Z34" s="1146"/>
      <c r="AA34" s="1147">
        <f>MAX(C34:Q34)</f>
        <v>741</v>
      </c>
      <c r="AB34" s="1147">
        <f>MIN(C34:Q34)</f>
        <v>184</v>
      </c>
    </row>
    <row r="35" spans="1:28" s="147" customFormat="1" ht="13.5">
      <c r="A35" s="1136"/>
      <c r="B35" s="1137" t="s">
        <v>278</v>
      </c>
      <c r="C35" s="1138">
        <f>IF(ISNUMBER(FIND("Jan",$C$1)),Monthly!$C1822,(IF(ISNUMBER(FIND("Feb",$C$1)),Monthly!$D1822,((IF(ISNUMBER(FIND("Mar",$C$1)),Monthly!$E1822,(IF(ISNUMBER(FIND("Apr",$C$1)),Monthly!$F1822,((IF(ISNUMBER(FIND("May",$C$1)),Monthly!$G1822,((IF(ISNUMBER(FIND("Jun",$C$1)),Monthly!$H1822,(IF(ISNUMBER(FIND("Jul",$C$1)),Monthly!$I1822,(IF(ISNUMBER(FIND("Aug",$C$1)),Monthly!$J1822,(IF(ISNUMBER(FIND("Sep",$C$1)),Monthly!$K1822,(IF(ISNUMBER(FIND("Oct",$C$1)),Monthly!$L1822,(IF(ISNUMBER(FIND("Nov",$C$1)),Monthly!$M1822,(IF(ISNUMBER(FIND("Dec",$C$1)),Monthly!$N1822,))))))))))))))))))))))))))</f>
        <v>68</v>
      </c>
      <c r="D35" s="1139">
        <f>IF(ISNUMBER(FIND("Jan",$C$1)),Monthly!$C1745,(IF(ISNUMBER(FIND("Feb",$C$1)),Monthly!$D1745,((IF(ISNUMBER(FIND("Mar",$C$1)),Monthly!$E1745,(IF(ISNUMBER(FIND("Apr",$C$1)),Monthly!$F1745,((IF(ISNUMBER(FIND("May",$C$1)),Monthly!$G1745,((IF(ISNUMBER(FIND("Jun",$C$1)),Monthly!$H1745,(IF(ISNUMBER(FIND("Jul",$C$1)),Monthly!$I1745,(IF(ISNUMBER(FIND("Aug",$C$1)),Monthly!$J1745,(IF(ISNUMBER(FIND("Sep",$C$1)),Monthly!$K1745,(IF(ISNUMBER(FIND("Oct",$C$1)),Monthly!$L1745,(IF(ISNUMBER(FIND("Nov",$C$1)),Monthly!$M1745,(IF(ISNUMBER(FIND("Dec",$C$1)),Monthly!$N1745,))))))))))))))))))))))))))</f>
        <v>22</v>
      </c>
      <c r="E35" s="1139">
        <f xml:space="preserve">
IF(ISNUMBER(FIND("Jan",$C$1)),Monthly!$C1667,(IF(ISNUMBER(FIND("Feb",$C$1)),Monthly!$D1667,((IF(ISNUMBER(FIND("Mar",$C$1)),Monthly!$E1667,(IF(ISNUMBER(FIND("Apr",$C$1)),Monthly!$F1667,((IF(ISNUMBER(FIND("May",$C$1)),Monthly!$G1667,((IF(ISNUMBER(FIND("Jun",$C$1)),Monthly!$H1667,(IF(ISNUMBER(FIND("Jul",$C$1)),Monthly!$I1667,(IF(ISNUMBER(FIND("Aug",$C$1)),Monthly!$J1667,(IF(ISNUMBER(FIND("Sep",$C$1)),Monthly!$K1667,(IF(ISNUMBER(FIND("Oct",$C$1)),Monthly!$L1667,(IF(ISNUMBER(FIND("Nov",$C$1)),Monthly!$M1667,(IF(ISNUMBER(FIND("Dec",$C$1)),Monthly!$N1667,))))))))))))))))))))))))))</f>
        <v>111</v>
      </c>
      <c r="F35" s="1138">
        <f>IF(ISNUMBER(FIND("Jan",$C$1)),Monthly!$C1589,(IF(ISNUMBER(FIND("Feb",$C$1)),Monthly!$D1589,((IF(ISNUMBER(FIND("Mar",$C$1)),Monthly!$E1589,(IF(ISNUMBER(FIND("Apr",$C$1)),Monthly!$F1589,((IF(ISNUMBER(FIND("May",$C$1)),Monthly!$G1589,((IF(ISNUMBER(FIND("Jun",$C$1)),Monthly!$H1589,(IF(ISNUMBER(FIND("Jul",$C$1)),Monthly!$I1589,(IF(ISNUMBER(FIND("Aug",$C$1)),Monthly!$J1589,(IF(ISNUMBER(FIND("Sep",$C$1)),Monthly!$K1589,(IF(ISNUMBER(FIND("Oct",$C$1)),Monthly!$L1589,(IF(ISNUMBER(FIND("Nov",$C$1)),Monthly!$M1589,(IF(ISNUMBER(FIND("Dec",$C$1)),Monthly!$N1589,))))))))))))))))))))))))))</f>
        <v>23</v>
      </c>
      <c r="G35" s="1139">
        <f>IF(ISNUMBER(FIND("Jan",$C$1)),Monthly!$C1511,(IF(ISNUMBER(FIND("Feb",$C$1)),Monthly!$D1511,((IF(ISNUMBER(FIND("Mar",$C$1)),Monthly!$E1511,(IF(ISNUMBER(FIND("Apr",$C$1)),Monthly!$F1511,((IF(ISNUMBER(FIND("May",$C$1)),Monthly!$G1511,((IF(ISNUMBER(FIND("Jun",$C$1)),Monthly!$H1511,(IF(ISNUMBER(FIND("Jul",$C$1)),Monthly!$I1511,(IF(ISNUMBER(FIND("Aug",$C$1)),Monthly!$J1511,(IF(ISNUMBER(FIND("Sep",$C$1)),Monthly!$K1511,(IF(ISNUMBER(FIND("Oct",$C$1)),Monthly!$L1511,(IF(ISNUMBER(FIND("Nov",$C$1)),Monthly!$M1511,(IF(ISNUMBER(FIND("Dec",$C$1)),Monthly!$N1511,))))))))))))))))))))))))))</f>
        <v>53</v>
      </c>
      <c r="H35" s="1139">
        <f>IF(ISNUMBER(FIND("Jan",$C$1)),Monthly!$C1434,(IF(ISNUMBER(FIND("Feb",$C$1)),Monthly!$D1434,((IF(ISNUMBER(FIND("Mar",$C$1)),Monthly!$E1434,(IF(ISNUMBER(FIND("Apr",$C$1)),Monthly!$F1434,((IF(ISNUMBER(FIND("May",$C$1)),Monthly!$G1434,((IF(ISNUMBER(FIND("Jun",$C$1)),Monthly!$H1434,(IF(ISNUMBER(FIND("Jul",$C$1)),Monthly!$I1434,(IF(ISNUMBER(FIND("Aug",$C$1)),Monthly!$J1434,(IF(ISNUMBER(FIND("Sep",$C$1)),Monthly!$K1434,(IF(ISNUMBER(FIND("Oct",$C$1)),Monthly!$L1434,(IF(ISNUMBER(FIND("Nov",$C$1)),Monthly!$M1434,(IF(ISNUMBER(FIND("Dec",$C$1)),Monthly!$N1434,))))))))))))))))))))))))))</f>
        <v>37</v>
      </c>
      <c r="I35" s="1139">
        <f>IF(ISNUMBER(FIND("Jan",$C$1)),Monthly!$C1357,(IF(ISNUMBER(FIND("Feb",$C$1)),Monthly!$D1357,((IF(ISNUMBER(FIND("Mar",$C$1)),Monthly!$E1357,(IF(ISNUMBER(FIND("Apr",$C$1)),Monthly!$F1357,((IF(ISNUMBER(FIND("May",$C$1)),Monthly!$G1357,((IF(ISNUMBER(FIND("Jun",$C$1)),Monthly!$H1357,(IF(ISNUMBER(FIND("Jul",$C$1)),Monthly!$I1357,(IF(ISNUMBER(FIND("Aug",$C$1)),Monthly!$J1357,(IF(ISNUMBER(FIND("Sep",$C$1)),Monthly!$K1357,(IF(ISNUMBER(FIND("Oct",$C$1)),Monthly!$L1357,(IF(ISNUMBER(FIND("Nov",$C$1)),Monthly!$M1357,(IF(ISNUMBER(FIND("Dec",$C$1)),Monthly!$N1357,))))))))))))))))))))))))))</f>
        <v>0</v>
      </c>
      <c r="J35" s="1138">
        <f>IF(ISNUMBER(FIND("Jan",$C$1)),Monthly!$C1280,(IF(ISNUMBER(FIND("Feb",$C$1)),Monthly!$D1280,((IF(ISNUMBER(FIND("Mar",$C$1)),Monthly!$E1280,(IF(ISNUMBER(FIND("Apr",$C$1)),Monthly!$F1280,((IF(ISNUMBER(FIND("May",$C$1)),Monthly!$G1280,((IF(ISNUMBER(FIND("Jun",$C$1)),Monthly!$H1280,(IF(ISNUMBER(FIND("Jul",$C$1)),Monthly!$I1280,(IF(ISNUMBER(FIND("Aug",$C$1)),Monthly!$J1280,(IF(ISNUMBER(FIND("Sep",$C$1)),Monthly!$K1280,(IF(ISNUMBER(FIND("Oct",$C$1)),Monthly!$L1280,(IF(ISNUMBER(FIND("Nov",$C$1)),Monthly!$M1280,(IF(ISNUMBER(FIND("Dec",$C$1)),Monthly!$N1280,))))))))))))))))))))))))))</f>
        <v>124</v>
      </c>
      <c r="K35" s="1148">
        <f>IF(ISNUMBER(FIND("Jan",$C$1)),Monthly!$C1202,(IF(ISNUMBER(FIND("Feb",$C$1)),Monthly!$D1202,((IF(ISNUMBER(FIND("Mar",$C$1)),Monthly!$E1202,(IF(ISNUMBER(FIND("Apr",$C$1)),Monthly!$F1202,((IF(ISNUMBER(FIND("May",$C$1)),Monthly!$G1202,((IF(ISNUMBER(FIND("Jun",$C$1)),Monthly!$H1202,(IF(ISNUMBER(FIND("Jul",$C$1)),Monthly!$I1202,(IF(ISNUMBER(FIND("Aug",$C$1)),Monthly!$J1202,(IF(ISNUMBER(FIND("Sep",$C$1)),Monthly!$K1202,(IF(ISNUMBER(FIND("Oct",$C$1)),Monthly!$L1202,(IF(ISNUMBER(FIND("Nov",$C$1)),Monthly!$M1202,(IF(ISNUMBER(FIND("Dec",$C$1)),Monthly!$N1202,))))))))))))))))))))))))))</f>
        <v>42</v>
      </c>
      <c r="L35" s="1139">
        <f>IF(ISNUMBER(FIND("Jan",$C$1)),Monthly!$C1125,(IF(ISNUMBER(FIND("Feb",$C$1)),Monthly!$D1125,((IF(ISNUMBER(FIND("Mar",$C$1)),Monthly!$E1125,(IF(ISNUMBER(FIND("Apr",$C$1)),Monthly!$F1125,((IF(ISNUMBER(FIND("May",$C$1)),Monthly!$G1125,((IF(ISNUMBER(FIND("Jun",$C$1)),Monthly!$H1125,(IF(ISNUMBER(FIND("Jul",$C$1)),Monthly!$I1125,(IF(ISNUMBER(FIND("Aug",$C$1)),Monthly!$J1125,(IF(ISNUMBER(FIND("Sep",$C$1)),Monthly!$K1125,(IF(ISNUMBER(FIND("Oct",$C$1)),Monthly!$L1125,(IF(ISNUMBER(FIND("Nov",$C$1)),Monthly!$M1125,(IF(ISNUMBER(FIND("Dec",$C$1)),Monthly!$N1125,))))))))))))))))))))))))))</f>
        <v>130</v>
      </c>
      <c r="M35" s="1139">
        <f>IF(ISNUMBER(FIND("Jan",$C$1)),Monthly!$C1048,(IF(ISNUMBER(FIND("Feb",$C$1)),Monthly!$D1048,((IF(ISNUMBER(FIND("Mar",$C$1)),Monthly!$E1048,(IF(ISNUMBER(FIND("Apr",$C$1)),Monthly!$F1048,((IF(ISNUMBER(FIND("May",$C$1)),Monthly!$G1048,((IF(ISNUMBER(FIND("Jun",$C$1)),Monthly!$H1048,(IF(ISNUMBER(FIND("Jul",$C$1)),Monthly!$I1048,(IF(ISNUMBER(FIND("Aug",$C$1)),Monthly!$J1048,(IF(ISNUMBER(FIND("Sep",$C$1)),Monthly!$K1048,(IF(ISNUMBER(FIND("Oct",$C$1)),Monthly!$L1048,(IF(ISNUMBER(FIND("Nov",$C$1)),Monthly!$M1048,(IF(ISNUMBER(FIND("Dec",$C$1)),Monthly!$N1048,))))))))))))))))))))))))))</f>
        <v>80</v>
      </c>
      <c r="N35" s="1148">
        <f>IF(ISNUMBER(FIND("Jan",$C$1)),Monthly!$C971,(IF(ISNUMBER(FIND("Feb",$C$1)),Monthly!$D971,((IF(ISNUMBER(FIND("Mar",$C$1)),Monthly!$E971,(IF(ISNUMBER(FIND("Apr",$C$1)),Monthly!$F971,((IF(ISNUMBER(FIND("May",$C$1)),Monthly!$G971,((IF(ISNUMBER(FIND("Jun",$C$1)),Monthly!$H971,(IF(ISNUMBER(FIND("Jul",$C$1)),Monthly!$I971,(IF(ISNUMBER(FIND("Aug",$C$1)),Monthly!$J971,(IF(ISNUMBER(FIND("Sep",$C$1)),Monthly!$K971,(IF(ISNUMBER(FIND("Oct",$C$1)),Monthly!$L971,(IF(ISNUMBER(FIND("Nov",$C$1)),Monthly!$M971,(IF(ISNUMBER(FIND("Dec",$C$1)),Monthly!$N971,))))))))))))))))))))))))))</f>
        <v>252</v>
      </c>
      <c r="O35" s="1148">
        <f>IF(ISNUMBER(FIND("Jan",$C$1)),Monthly!$C895,(IF(ISNUMBER(FIND("Feb",$C$1)),Monthly!$D895,((IF(ISNUMBER(FIND("Mar",$C$1)),Monthly!$E895,(IF(ISNUMBER(FIND("Apr",$C$1)),Monthly!$F895,((IF(ISNUMBER(FIND("May",$C$1)),Monthly!$G895,((IF(ISNUMBER(FIND("Jun",$C$1)),Monthly!$H895,(IF(ISNUMBER(FIND("Jul",$C$1)),Monthly!$I895,(IF(ISNUMBER(FIND("Aug",$C$1)),Monthly!$J895,(IF(ISNUMBER(FIND("Sep",$C$1)),Monthly!$K895,(IF(ISNUMBER(FIND("Oct",$C$1)),Monthly!$L895,(IF(ISNUMBER(FIND("Nov",$C$1)),Monthly!$M895,(IF(ISNUMBER(FIND("Dec",$C$1)),Monthly!$N895,))))))))))))))))))))))))))</f>
        <v>297</v>
      </c>
      <c r="P35" s="1148">
        <f>IF(ISNUMBER(FIND("Jan",$C$1)),Monthly!$C818,(IF(ISNUMBER(FIND("Feb",$C$1)),Monthly!$D818,((IF(ISNUMBER(FIND("Mar",$C$1)),Monthly!$E818,(IF(ISNUMBER(FIND("Apr",$C$1)),Monthly!$F818,((IF(ISNUMBER(FIND("May",$C$1)),Monthly!$G818,((IF(ISNUMBER(FIND("Jun",$C$1)),Monthly!$H818,(IF(ISNUMBER(FIND("Jul",$C$1)),Monthly!$I818,(IF(ISNUMBER(FIND("Aug",$C$1)),Monthly!$J818,(IF(ISNUMBER(FIND("Sep",$C$1)),Monthly!$K818,(IF(ISNUMBER(FIND("Oct",$C$1)),Monthly!$L818,(IF(ISNUMBER(FIND("Nov",$C$1)),Monthly!$M818,(IF(ISNUMBER(FIND("Dec",$C$1)),Monthly!$N818,))))))))))))))))))))))))))</f>
        <v>107</v>
      </c>
      <c r="Q35" s="1142">
        <f>IF(ISNUMBER(FIND("Jan",$C$1)),Monthly!$C741,(IF(ISNUMBER(FIND("Feb",$C$1)),Monthly!$D741,((IF(ISNUMBER(FIND("Mar",$C$1)),Monthly!$E741,(IF(ISNUMBER(FIND("Apr",$C$1)),Monthly!$F741,((IF(ISNUMBER(FIND("May",$C$1)),Monthly!$G741,((IF(ISNUMBER(FIND("Jun",$C$1)),Monthly!$H741,(IF(ISNUMBER(FIND("Jul",$C$1)),Monthly!$I741,(IF(ISNUMBER(FIND("Aug",$C$1)),Monthly!$J741,(IF(ISNUMBER(FIND("Sep",$C$1)),Monthly!$K741,(IF(ISNUMBER(FIND("Oct",$C$1)),Monthly!$L741,(IF(ISNUMBER(FIND("Nov",$C$1)),Monthly!$M741,(IF(ISNUMBER(FIND("Dec",$C$1)),Monthly!$N741,))))))))))))))))))))))))))</f>
        <v>224</v>
      </c>
      <c r="R35" s="1142"/>
      <c r="S35" s="1142"/>
      <c r="T35" s="1142"/>
      <c r="U35" s="1143">
        <f>Monthly!O434</f>
        <v>75.833333333333329</v>
      </c>
      <c r="V35" s="1142">
        <f>Monthly!O349</f>
        <v>202.58333333333334</v>
      </c>
      <c r="W35" s="1142"/>
      <c r="X35" s="1144">
        <f>SUM(C35:Q35)/$E$77</f>
        <v>104.66666666666667</v>
      </c>
      <c r="Y35" s="1145">
        <f>X35/7000</f>
        <v>1.4952380952380953E-2</v>
      </c>
      <c r="Z35" s="1146"/>
      <c r="AA35" s="1147">
        <f>MAX(C35:Q35)</f>
        <v>297</v>
      </c>
      <c r="AB35" s="1147">
        <f>MIN(C35:Q35)</f>
        <v>0</v>
      </c>
    </row>
    <row r="36" spans="1:28" s="148" customFormat="1" ht="13.5">
      <c r="A36" s="2293" t="s">
        <v>279</v>
      </c>
      <c r="B36" s="2294"/>
      <c r="C36" s="2285">
        <f>SUM(C38:C45)</f>
        <v>395</v>
      </c>
      <c r="D36" s="2285">
        <f t="shared" ref="D36:X36" si="18">SUM(D38:D45)</f>
        <v>402</v>
      </c>
      <c r="E36" s="2285">
        <f t="shared" si="18"/>
        <v>430</v>
      </c>
      <c r="F36" s="2285">
        <f t="shared" si="18"/>
        <v>414</v>
      </c>
      <c r="G36" s="2285">
        <f t="shared" si="18"/>
        <v>415</v>
      </c>
      <c r="H36" s="2285">
        <f t="shared" si="18"/>
        <v>446</v>
      </c>
      <c r="I36" s="2285">
        <f t="shared" si="18"/>
        <v>415</v>
      </c>
      <c r="J36" s="2285">
        <f t="shared" si="18"/>
        <v>398</v>
      </c>
      <c r="K36" s="2285">
        <f t="shared" si="18"/>
        <v>384</v>
      </c>
      <c r="L36" s="2285">
        <f t="shared" si="18"/>
        <v>410</v>
      </c>
      <c r="M36" s="2285">
        <f t="shared" si="18"/>
        <v>354</v>
      </c>
      <c r="N36" s="2285">
        <f t="shared" si="18"/>
        <v>909</v>
      </c>
      <c r="O36" s="2285">
        <f>SUM(O38:O45)</f>
        <v>206</v>
      </c>
      <c r="P36" s="2285">
        <f>SUM(P38:P45)</f>
        <v>233</v>
      </c>
      <c r="Q36" s="2285">
        <f>SUM(Q38:Q45)</f>
        <v>345</v>
      </c>
      <c r="R36" s="2285">
        <f t="shared" ref="R36:W36" si="19">SUM(R38:R45)</f>
        <v>0</v>
      </c>
      <c r="S36" s="2285">
        <f t="shared" si="19"/>
        <v>0</v>
      </c>
      <c r="T36" s="2285">
        <f t="shared" si="19"/>
        <v>0</v>
      </c>
      <c r="U36" s="2285">
        <f t="shared" si="19"/>
        <v>1006.5</v>
      </c>
      <c r="V36" s="2285">
        <f t="shared" si="19"/>
        <v>1038.5</v>
      </c>
      <c r="W36" s="2285">
        <f t="shared" si="19"/>
        <v>0</v>
      </c>
      <c r="X36" s="2285">
        <f t="shared" si="18"/>
        <v>410.4</v>
      </c>
      <c r="Y36" s="1150">
        <f>X36/7000</f>
        <v>5.8628571428571426E-2</v>
      </c>
      <c r="Z36" s="1134"/>
      <c r="AA36" s="1149">
        <f>MAX(C36:M36)</f>
        <v>446</v>
      </c>
      <c r="AB36" s="1149">
        <f>MIN(C36:M36)</f>
        <v>354</v>
      </c>
    </row>
    <row r="37" spans="1:28" s="148" customFormat="1" ht="13.5">
      <c r="A37" s="2293"/>
      <c r="B37" s="2294"/>
      <c r="C37" s="2286"/>
      <c r="D37" s="2286"/>
      <c r="E37" s="2286"/>
      <c r="F37" s="2286"/>
      <c r="G37" s="2286"/>
      <c r="H37" s="2286"/>
      <c r="I37" s="2286"/>
      <c r="J37" s="2286"/>
      <c r="K37" s="2286"/>
      <c r="L37" s="2286"/>
      <c r="M37" s="2286"/>
      <c r="N37" s="2286"/>
      <c r="O37" s="2286"/>
      <c r="P37" s="2286"/>
      <c r="Q37" s="2286"/>
      <c r="R37" s="2286"/>
      <c r="S37" s="2286"/>
      <c r="T37" s="2286"/>
      <c r="U37" s="2286"/>
      <c r="V37" s="2286"/>
      <c r="W37" s="2286"/>
      <c r="X37" s="2286"/>
      <c r="Y37" s="1150"/>
      <c r="Z37" s="1135"/>
      <c r="AA37" s="1150"/>
      <c r="AB37" s="1150"/>
    </row>
    <row r="38" spans="1:28" s="147" customFormat="1" ht="13.5">
      <c r="A38" s="1136"/>
      <c r="B38" s="1137" t="s">
        <v>415</v>
      </c>
      <c r="C38" s="1138">
        <f>IF(ISNUMBER(FIND("Jan",$C$1)),Monthly!$C1825,(IF(ISNUMBER(FIND("Feb",$C$1)),Monthly!$D1825,((IF(ISNUMBER(FIND("Mar",$C$1)),Monthly!$E1825,(IF(ISNUMBER(FIND("Apr",$C$1)),Monthly!$F1825,((IF(ISNUMBER(FIND("May",$C$1)),Monthly!$G1825,((IF(ISNUMBER(FIND("Jun",$C$1)),Monthly!$H1825,(IF(ISNUMBER(FIND("Jul",$C$1)),Monthly!$I1825,(IF(ISNUMBER(FIND("Aug",$C$1)),Monthly!$J1825,(IF(ISNUMBER(FIND("Sep",$C$1)),Monthly!$K1825,(IF(ISNUMBER(FIND("Oct",$C$1)),Monthly!$L1825,(IF(ISNUMBER(FIND("Nov",$C$1)),Monthly!$M1825,(IF(ISNUMBER(FIND("Dec",$C$1)),Monthly!$N1825,))))))))))))))))))))))))))</f>
        <v>50</v>
      </c>
      <c r="D38" s="1139">
        <f>IF(ISNUMBER(FIND("Jan",$C$1)),Monthly!$C1748,(IF(ISNUMBER(FIND("Feb",$C$1)),Monthly!$D1748,((IF(ISNUMBER(FIND("Mar",$C$1)),Monthly!$E1748,(IF(ISNUMBER(FIND("Apr",$C$1)),Monthly!$F1748,((IF(ISNUMBER(FIND("May",$C$1)),Monthly!$G1748,((IF(ISNUMBER(FIND("Jun",$C$1)),Monthly!$H1748,(IF(ISNUMBER(FIND("Jul",$C$1)),Monthly!$I1748,(IF(ISNUMBER(FIND("Aug",$C$1)),Monthly!$J1748,(IF(ISNUMBER(FIND("Sep",$C$1)),Monthly!$K1748,(IF(ISNUMBER(FIND("Oct",$C$1)),Monthly!$L1748,(IF(ISNUMBER(FIND("Nov",$C$1)),Monthly!$M1748,(IF(ISNUMBER(FIND("Dec",$C$1)),Monthly!$N1748,))))))))))))))))))))))))))</f>
        <v>76</v>
      </c>
      <c r="E38" s="1139">
        <f xml:space="preserve">
IF(ISNUMBER(FIND("Jan",$C$1)),Monthly!$C1670,(IF(ISNUMBER(FIND("Feb",$C$1)),Monthly!$D1670,((IF(ISNUMBER(FIND("Mar",$C$1)),Monthly!$E1670,(IF(ISNUMBER(FIND("Apr",$C$1)),Monthly!$F1670,((IF(ISNUMBER(FIND("May",$C$1)),Monthly!$G1670,((IF(ISNUMBER(FIND("Jun",$C$1)),Monthly!$H1670,(IF(ISNUMBER(FIND("Jul",$C$1)),Monthly!$I1670,(IF(ISNUMBER(FIND("Aug",$C$1)),Monthly!$J1670,(IF(ISNUMBER(FIND("Sep",$C$1)),Monthly!$K1670,(IF(ISNUMBER(FIND("Oct",$C$1)),Monthly!$L1670,(IF(ISNUMBER(FIND("Nov",$C$1)),Monthly!$M1670,(IF(ISNUMBER(FIND("Dec",$C$1)),Monthly!$N1670,))))))))))))))))))))))))))</f>
        <v>72</v>
      </c>
      <c r="F38" s="1138">
        <f>IF(ISNUMBER(FIND("Jan",$C$1)),Monthly!$C1592,(IF(ISNUMBER(FIND("Feb",$C$1)),Monthly!$D1592,((IF(ISNUMBER(FIND("Mar",$C$1)),Monthly!$E1592,(IF(ISNUMBER(FIND("Apr",$C$1)),Monthly!$F1592,((IF(ISNUMBER(FIND("May",$C$1)),Monthly!$G1592,((IF(ISNUMBER(FIND("Jun",$C$1)),Monthly!$H1592,(IF(ISNUMBER(FIND("Jul",$C$1)),Monthly!$I1592,(IF(ISNUMBER(FIND("Aug",$C$1)),Monthly!$J1592,(IF(ISNUMBER(FIND("Sep",$C$1)),Monthly!$K1592,(IF(ISNUMBER(FIND("Oct",$C$1)),Monthly!$L1592,(IF(ISNUMBER(FIND("Nov",$C$1)),Monthly!$M1592,(IF(ISNUMBER(FIND("Dec",$C$1)),Monthly!$N1592,))))))))))))))))))))))))))</f>
        <v>75</v>
      </c>
      <c r="G38" s="1139">
        <f>IF(ISNUMBER(FIND("Jan",$C$1)),Monthly!$C1514,(IF(ISNUMBER(FIND("Feb",$C$1)),Monthly!$D1514,((IF(ISNUMBER(FIND("Mar",$C$1)),Monthly!$E1514,(IF(ISNUMBER(FIND("Apr",$C$1)),Monthly!$F1514,((IF(ISNUMBER(FIND("May",$C$1)),Monthly!$G1514,((IF(ISNUMBER(FIND("Jun",$C$1)),Monthly!$H1514,(IF(ISNUMBER(FIND("Jul",$C$1)),Monthly!$I1514,(IF(ISNUMBER(FIND("Aug",$C$1)),Monthly!$J1514,(IF(ISNUMBER(FIND("Sep",$C$1)),Monthly!$K1514,(IF(ISNUMBER(FIND("Oct",$C$1)),Monthly!$L1514,(IF(ISNUMBER(FIND("Nov",$C$1)),Monthly!$M1514,(IF(ISNUMBER(FIND("Dec",$C$1)),Monthly!$N1514,))))))))))))))))))))))))))</f>
        <v>93</v>
      </c>
      <c r="H38" s="1139">
        <f>IF(ISNUMBER(FIND("Jan",$C$1)),Monthly!$C1437,(IF(ISNUMBER(FIND("Feb",$C$1)),Monthly!$D1437,((IF(ISNUMBER(FIND("Mar",$C$1)),Monthly!$E1437,(IF(ISNUMBER(FIND("Apr",$C$1)),Monthly!$F1437,((IF(ISNUMBER(FIND("May",$C$1)),Monthly!$G1437,((IF(ISNUMBER(FIND("Jun",$C$1)),Monthly!$H1437,(IF(ISNUMBER(FIND("Jul",$C$1)),Monthly!$I1437,(IF(ISNUMBER(FIND("Aug",$C$1)),Monthly!$J1437,(IF(ISNUMBER(FIND("Sep",$C$1)),Monthly!$K1437,(IF(ISNUMBER(FIND("Oct",$C$1)),Monthly!$L1437,(IF(ISNUMBER(FIND("Nov",$C$1)),Monthly!$M1437,(IF(ISNUMBER(FIND("Dec",$C$1)),Monthly!$N1437,))))))))))))))))))))))))))</f>
        <v>122</v>
      </c>
      <c r="I38" s="1139">
        <f>IF(ISNUMBER(FIND("Jan",$C$1)),Monthly!$C1360,(IF(ISNUMBER(FIND("Feb",$C$1)),Monthly!$D1360,((IF(ISNUMBER(FIND("Mar",$C$1)),Monthly!$E1360,(IF(ISNUMBER(FIND("Apr",$C$1)),Monthly!$F1360,((IF(ISNUMBER(FIND("May",$C$1)),Monthly!$G1360,((IF(ISNUMBER(FIND("Jun",$C$1)),Monthly!$H1360,(IF(ISNUMBER(FIND("Jul",$C$1)),Monthly!$I1360,(IF(ISNUMBER(FIND("Aug",$C$1)),Monthly!$J1360,(IF(ISNUMBER(FIND("Sep",$C$1)),Monthly!$K1360,(IF(ISNUMBER(FIND("Oct",$C$1)),Monthly!$L1360,(IF(ISNUMBER(FIND("Nov",$C$1)),Monthly!$M1360,(IF(ISNUMBER(FIND("Dec",$C$1)),Monthly!$N1360,))))))))))))))))))))))))))</f>
        <v>140</v>
      </c>
      <c r="J38" s="1138">
        <f>IF(ISNUMBER(FIND("Jan",$C$1)),Monthly!$C1283,(IF(ISNUMBER(FIND("Feb",$C$1)),Monthly!$D1283,((IF(ISNUMBER(FIND("Mar",$C$1)),Monthly!$E1283,(IF(ISNUMBER(FIND("Apr",$C$1)),Monthly!$F1283,((IF(ISNUMBER(FIND("May",$C$1)),Monthly!$G1283,((IF(ISNUMBER(FIND("Jun",$C$1)),Monthly!$H1283,(IF(ISNUMBER(FIND("Jul",$C$1)),Monthly!$I1283,(IF(ISNUMBER(FIND("Aug",$C$1)),Monthly!$J1283,(IF(ISNUMBER(FIND("Sep",$C$1)),Monthly!$K1283,(IF(ISNUMBER(FIND("Oct",$C$1)),Monthly!$L1283,(IF(ISNUMBER(FIND("Nov",$C$1)),Monthly!$M1283,(IF(ISNUMBER(FIND("Dec",$C$1)),Monthly!$N1283,))))))))))))))))))))))))))</f>
        <v>99</v>
      </c>
      <c r="K38" s="1148">
        <f>IF(ISNUMBER(FIND("Jan",$C$1)),Monthly!$C1205,(IF(ISNUMBER(FIND("Feb",$C$1)),Monthly!$D1205,((IF(ISNUMBER(FIND("Mar",$C$1)),Monthly!$E1205,(IF(ISNUMBER(FIND("Apr",$C$1)),Monthly!$F1205,((IF(ISNUMBER(FIND("May",$C$1)),Monthly!$G1205,((IF(ISNUMBER(FIND("Jun",$C$1)),Monthly!$H1205,(IF(ISNUMBER(FIND("Jul",$C$1)),Monthly!$I1205,(IF(ISNUMBER(FIND("Aug",$C$1)),Monthly!$J1205,(IF(ISNUMBER(FIND("Sep",$C$1)),Monthly!$K1205,(IF(ISNUMBER(FIND("Oct",$C$1)),Monthly!$L1205,(IF(ISNUMBER(FIND("Nov",$C$1)),Monthly!$M1205,(IF(ISNUMBER(FIND("Dec",$C$1)),Monthly!$N1205,))))))))))))))))))))))))))</f>
        <v>120</v>
      </c>
      <c r="L38" s="1139">
        <f>IF(ISNUMBER(FIND("Jan",$C$1)),Monthly!$C1128,(IF(ISNUMBER(FIND("Feb",$C$1)),Monthly!$D1128,((IF(ISNUMBER(FIND("Mar",$C$1)),Monthly!$E1128,(IF(ISNUMBER(FIND("Apr",$C$1)),Monthly!$F1128,((IF(ISNUMBER(FIND("May",$C$1)),Monthly!$G1128,((IF(ISNUMBER(FIND("Jun",$C$1)),Monthly!$H1128,(IF(ISNUMBER(FIND("Jul",$C$1)),Monthly!$I1128,(IF(ISNUMBER(FIND("Aug",$C$1)),Monthly!$J1128,(IF(ISNUMBER(FIND("Sep",$C$1)),Monthly!$K1128,(IF(ISNUMBER(FIND("Oct",$C$1)),Monthly!$L1128,(IF(ISNUMBER(FIND("Nov",$C$1)),Monthly!$M1128,(IF(ISNUMBER(FIND("Dec",$C$1)),Monthly!$N1128,))))))))))))))))))))))))))</f>
        <v>103</v>
      </c>
      <c r="M38" s="1139">
        <f>IF(ISNUMBER(FIND("Jan",$C$1)),Monthly!$C1051,(IF(ISNUMBER(FIND("Feb",$C$1)),Monthly!$D1051,((IF(ISNUMBER(FIND("Mar",$C$1)),Monthly!$E1051,(IF(ISNUMBER(FIND("Apr",$C$1)),Monthly!$F1051,((IF(ISNUMBER(FIND("May",$C$1)),Monthly!$G1051,((IF(ISNUMBER(FIND("Jun",$C$1)),Monthly!$H1051,(IF(ISNUMBER(FIND("Jul",$C$1)),Monthly!$I1051,(IF(ISNUMBER(FIND("Aug",$C$1)),Monthly!$J1051,(IF(ISNUMBER(FIND("Sep",$C$1)),Monthly!$K1051,(IF(ISNUMBER(FIND("Oct",$C$1)),Monthly!$L1051,(IF(ISNUMBER(FIND("Nov",$C$1)),Monthly!$M1051,(IF(ISNUMBER(FIND("Dec",$C$1)),Monthly!$N1051,))))))))))))))))))))))))))</f>
        <v>100</v>
      </c>
      <c r="N38" s="1148">
        <f>IF(ISNUMBER(FIND("Jan",$C$1)),Monthly!$C974,(IF(ISNUMBER(FIND("Feb",$C$1)),Monthly!$D974,((IF(ISNUMBER(FIND("Mar",$C$1)),Monthly!$E974,(IF(ISNUMBER(FIND("Apr",$C$1)),Monthly!$F974,((IF(ISNUMBER(FIND("May",$C$1)),Monthly!$G974,((IF(ISNUMBER(FIND("Jun",$C$1)),Monthly!$H974,(IF(ISNUMBER(FIND("Jul",$C$1)),Monthly!$I974,(IF(ISNUMBER(FIND("Aug",$C$1)),Monthly!$J974,(IF(ISNUMBER(FIND("Sep",$C$1)),Monthly!$K974,(IF(ISNUMBER(FIND("Oct",$C$1)),Monthly!$L974,(IF(ISNUMBER(FIND("Nov",$C$1)),Monthly!$M974,(IF(ISNUMBER(FIND("Dec",$C$1)),Monthly!$N974,))))))))))))))))))))))))))</f>
        <v>737</v>
      </c>
      <c r="O38" s="1148">
        <f>IF(ISNUMBER(FIND("Jan",$C$1)),Monthly!$C898,(IF(ISNUMBER(FIND("Feb",$C$1)),Monthly!$D898,((IF(ISNUMBER(FIND("Mar",$C$1)),Monthly!$E898,(IF(ISNUMBER(FIND("Apr",$C$1)),Monthly!$F898,((IF(ISNUMBER(FIND("May",$C$1)),Monthly!$G898,((IF(ISNUMBER(FIND("Jun",$C$1)),Monthly!$H898,(IF(ISNUMBER(FIND("Jul",$C$1)),Monthly!$I898,(IF(ISNUMBER(FIND("Aug",$C$1)),Monthly!$J898,(IF(ISNUMBER(FIND("Sep",$C$1)),Monthly!$K898,(IF(ISNUMBER(FIND("Oct",$C$1)),Monthly!$L898,(IF(ISNUMBER(FIND("Nov",$C$1)),Monthly!$M898,(IF(ISNUMBER(FIND("Dec",$C$1)),Monthly!$N898,))))))))))))))))))))))))))</f>
        <v>102</v>
      </c>
      <c r="P38" s="1148">
        <f>IF(ISNUMBER(FIND("Jan",$C$1)),Monthly!$C821,(IF(ISNUMBER(FIND("Feb",$C$1)),Monthly!$D821,((IF(ISNUMBER(FIND("Mar",$C$1)),Monthly!$E821,(IF(ISNUMBER(FIND("Apr",$C$1)),Monthly!$F821,((IF(ISNUMBER(FIND("May",$C$1)),Monthly!$G821,((IF(ISNUMBER(FIND("Jun",$C$1)),Monthly!$H821,(IF(ISNUMBER(FIND("Jul",$C$1)),Monthly!$I821,(IF(ISNUMBER(FIND("Aug",$C$1)),Monthly!$J821,(IF(ISNUMBER(FIND("Sep",$C$1)),Monthly!$K821,(IF(ISNUMBER(FIND("Oct",$C$1)),Monthly!$L821,(IF(ISNUMBER(FIND("Nov",$C$1)),Monthly!$M821,(IF(ISNUMBER(FIND("Dec",$C$1)),Monthly!$N821,))))))))))))))))))))))))))</f>
        <v>50</v>
      </c>
      <c r="Q38" s="1142">
        <f>IF(ISNUMBER(FIND("Jan",$C$1)),Monthly!$C744,(IF(ISNUMBER(FIND("Feb",$C$1)),Monthly!$D744,((IF(ISNUMBER(FIND("Mar",$C$1)),Monthly!$E744,(IF(ISNUMBER(FIND("Apr",$C$1)),Monthly!$F744,((IF(ISNUMBER(FIND("May",$C$1)),Monthly!$G744,((IF(ISNUMBER(FIND("Jun",$C$1)),Monthly!$H744,(IF(ISNUMBER(FIND("Jul",$C$1)),Monthly!$I744,(IF(ISNUMBER(FIND("Aug",$C$1)),Monthly!$J744,(IF(ISNUMBER(FIND("Sep",$C$1)),Monthly!$K744,(IF(ISNUMBER(FIND("Oct",$C$1)),Monthly!$L744,(IF(ISNUMBER(FIND("Nov",$C$1)),Monthly!$M744,(IF(ISNUMBER(FIND("Dec",$C$1)),Monthly!$N744,))))))))))))))))))))))))))</f>
        <v>53</v>
      </c>
      <c r="R38" s="1142"/>
      <c r="S38" s="1142"/>
      <c r="T38" s="1142"/>
      <c r="U38" s="1143">
        <f>Monthly!O437</f>
        <v>231</v>
      </c>
      <c r="V38" s="1142">
        <f>Monthly!O352</f>
        <v>425.66666666666669</v>
      </c>
      <c r="W38" s="1142"/>
      <c r="X38" s="1144">
        <f t="shared" ref="X38:X45" si="20">SUM(C38:Q38)/$E$77</f>
        <v>132.80000000000001</v>
      </c>
      <c r="Y38" s="1145">
        <f t="shared" ref="Y38:Y45" si="21">X38/7000</f>
        <v>1.8971428571428573E-2</v>
      </c>
      <c r="Z38" s="1146"/>
      <c r="AA38" s="1147">
        <f t="shared" ref="AA38:AA45" si="22">MAX(C38:Q38)</f>
        <v>737</v>
      </c>
      <c r="AB38" s="1147">
        <f t="shared" ref="AB38:AB45" si="23">MIN(C38:Q38)</f>
        <v>50</v>
      </c>
    </row>
    <row r="39" spans="1:28" s="147" customFormat="1" ht="13.5">
      <c r="A39" s="1136"/>
      <c r="B39" s="1137" t="s">
        <v>416</v>
      </c>
      <c r="C39" s="1138">
        <f>IF(ISNUMBER(FIND("Jan",$C$1)),Monthly!$C1826,(IF(ISNUMBER(FIND("Feb",$C$1)),Monthly!$D1826,((IF(ISNUMBER(FIND("Mar",$C$1)),Monthly!$E1826,(IF(ISNUMBER(FIND("Apr",$C$1)),Monthly!$F1826,((IF(ISNUMBER(FIND("May",$C$1)),Monthly!$G1826,((IF(ISNUMBER(FIND("Jun",$C$1)),Monthly!$H1826,(IF(ISNUMBER(FIND("Jul",$C$1)),Monthly!$I1826,(IF(ISNUMBER(FIND("Aug",$C$1)),Monthly!$J1826,(IF(ISNUMBER(FIND("Sep",$C$1)),Monthly!$K1826,(IF(ISNUMBER(FIND("Oct",$C$1)),Monthly!$L1826,(IF(ISNUMBER(FIND("Nov",$C$1)),Monthly!$M1826,(IF(ISNUMBER(FIND("Dec",$C$1)),Monthly!$N1826,))))))))))))))))))))))))))</f>
        <v>0</v>
      </c>
      <c r="D39" s="1139">
        <f>IF(ISNUMBER(FIND("Jan",$C$1)),Monthly!$C1749,(IF(ISNUMBER(FIND("Feb",$C$1)),Monthly!$D1749,((IF(ISNUMBER(FIND("Mar",$C$1)),Monthly!$E1749,(IF(ISNUMBER(FIND("Apr",$C$1)),Monthly!$F1749,((IF(ISNUMBER(FIND("May",$C$1)),Monthly!$G1749,((IF(ISNUMBER(FIND("Jun",$C$1)),Monthly!$H1749,(IF(ISNUMBER(FIND("Jul",$C$1)),Monthly!$I1749,(IF(ISNUMBER(FIND("Aug",$C$1)),Monthly!$J1749,(IF(ISNUMBER(FIND("Sep",$C$1)),Monthly!$K1749,(IF(ISNUMBER(FIND("Oct",$C$1)),Monthly!$L1749,(IF(ISNUMBER(FIND("Nov",$C$1)),Monthly!$M1749,(IF(ISNUMBER(FIND("Dec",$C$1)),Monthly!$N1749,))))))))))))))))))))))))))</f>
        <v>0</v>
      </c>
      <c r="E39" s="1139">
        <f xml:space="preserve">
IF(ISNUMBER(FIND("Jan",$C$1)),Monthly!$C1671,(IF(ISNUMBER(FIND("Feb",$C$1)),Monthly!$D1671,((IF(ISNUMBER(FIND("Mar",$C$1)),Monthly!$E1671,(IF(ISNUMBER(FIND("Apr",$C$1)),Monthly!$F1671,((IF(ISNUMBER(FIND("May",$C$1)),Monthly!$G1671,((IF(ISNUMBER(FIND("Jun",$C$1)),Monthly!$H1671,(IF(ISNUMBER(FIND("Jul",$C$1)),Monthly!$I1671,(IF(ISNUMBER(FIND("Aug",$C$1)),Monthly!$J1671,(IF(ISNUMBER(FIND("Sep",$C$1)),Monthly!$K1671,(IF(ISNUMBER(FIND("Oct",$C$1)),Monthly!$L1671,(IF(ISNUMBER(FIND("Nov",$C$1)),Monthly!$M1671,(IF(ISNUMBER(FIND("Dec",$C$1)),Monthly!$N1671,))))))))))))))))))))))))))</f>
        <v>0</v>
      </c>
      <c r="F39" s="1138">
        <f>IF(ISNUMBER(FIND("Jan",$C$1)),Monthly!$C1593,(IF(ISNUMBER(FIND("Feb",$C$1)),Monthly!$D1593,((IF(ISNUMBER(FIND("Mar",$C$1)),Monthly!$E1593,(IF(ISNUMBER(FIND("Apr",$C$1)),Monthly!$F1593,((IF(ISNUMBER(FIND("May",$C$1)),Monthly!$G1593,((IF(ISNUMBER(FIND("Jun",$C$1)),Monthly!$H1593,(IF(ISNUMBER(FIND("Jul",$C$1)),Monthly!$I1593,(IF(ISNUMBER(FIND("Aug",$C$1)),Monthly!$J1593,(IF(ISNUMBER(FIND("Sep",$C$1)),Monthly!$K1593,(IF(ISNUMBER(FIND("Oct",$C$1)),Monthly!$L1593,(IF(ISNUMBER(FIND("Nov",$C$1)),Monthly!$M1593,(IF(ISNUMBER(FIND("Dec",$C$1)),Monthly!$N1593,))))))))))))))))))))))))))</f>
        <v>0</v>
      </c>
      <c r="G39" s="1139">
        <f>IF(ISNUMBER(FIND("Jan",$C$1)),Monthly!$C1515,(IF(ISNUMBER(FIND("Feb",$C$1)),Monthly!$D1515,((IF(ISNUMBER(FIND("Mar",$C$1)),Monthly!$E1515,(IF(ISNUMBER(FIND("Apr",$C$1)),Monthly!$F1515,((IF(ISNUMBER(FIND("May",$C$1)),Monthly!$G1515,((IF(ISNUMBER(FIND("Jun",$C$1)),Monthly!$H1515,(IF(ISNUMBER(FIND("Jul",$C$1)),Monthly!$I1515,(IF(ISNUMBER(FIND("Aug",$C$1)),Monthly!$J1515,(IF(ISNUMBER(FIND("Sep",$C$1)),Monthly!$K1515,(IF(ISNUMBER(FIND("Oct",$C$1)),Monthly!$L1515,(IF(ISNUMBER(FIND("Nov",$C$1)),Monthly!$M1515,(IF(ISNUMBER(FIND("Dec",$C$1)),Monthly!$N1515,))))))))))))))))))))))))))</f>
        <v>0</v>
      </c>
      <c r="H39" s="1139">
        <f>IF(ISNUMBER(FIND("Jan",$C$1)),Monthly!$C1438,(IF(ISNUMBER(FIND("Feb",$C$1)),Monthly!$D1438,((IF(ISNUMBER(FIND("Mar",$C$1)),Monthly!$E1438,(IF(ISNUMBER(FIND("Apr",$C$1)),Monthly!$F1438,((IF(ISNUMBER(FIND("May",$C$1)),Monthly!$G1438,((IF(ISNUMBER(FIND("Jun",$C$1)),Monthly!$H1438,(IF(ISNUMBER(FIND("Jul",$C$1)),Monthly!$I1438,(IF(ISNUMBER(FIND("Aug",$C$1)),Monthly!$J1438,(IF(ISNUMBER(FIND("Sep",$C$1)),Monthly!$K1438,(IF(ISNUMBER(FIND("Oct",$C$1)),Monthly!$L1438,(IF(ISNUMBER(FIND("Nov",$C$1)),Monthly!$M1438,(IF(ISNUMBER(FIND("Dec",$C$1)),Monthly!$N1438,))))))))))))))))))))))))))</f>
        <v>0</v>
      </c>
      <c r="I39" s="1139">
        <f>IF(ISNUMBER(FIND("Jan",$C$1)),Monthly!$C1361,(IF(ISNUMBER(FIND("Feb",$C$1)),Monthly!$D1361,((IF(ISNUMBER(FIND("Mar",$C$1)),Monthly!$E1361,(IF(ISNUMBER(FIND("Apr",$C$1)),Monthly!$F1361,((IF(ISNUMBER(FIND("May",$C$1)),Monthly!$G1361,((IF(ISNUMBER(FIND("Jun",$C$1)),Monthly!$H1361,(IF(ISNUMBER(FIND("Jul",$C$1)),Monthly!$I1361,(IF(ISNUMBER(FIND("Aug",$C$1)),Monthly!$J1361,(IF(ISNUMBER(FIND("Sep",$C$1)),Monthly!$K1361,(IF(ISNUMBER(FIND("Oct",$C$1)),Monthly!$L1361,(IF(ISNUMBER(FIND("Nov",$C$1)),Monthly!$M1361,(IF(ISNUMBER(FIND("Dec",$C$1)),Monthly!$N1361,))))))))))))))))))))))))))</f>
        <v>0</v>
      </c>
      <c r="J39" s="1138">
        <f>IF(ISNUMBER(FIND("Jan",$C$1)),Monthly!$C1284,(IF(ISNUMBER(FIND("Feb",$C$1)),Monthly!$D1284,((IF(ISNUMBER(FIND("Mar",$C$1)),Monthly!$E1284,(IF(ISNUMBER(FIND("Apr",$C$1)),Monthly!$F1284,((IF(ISNUMBER(FIND("May",$C$1)),Monthly!$G1284,((IF(ISNUMBER(FIND("Jun",$C$1)),Monthly!$H1284,(IF(ISNUMBER(FIND("Jul",$C$1)),Monthly!$I1284,(IF(ISNUMBER(FIND("Aug",$C$1)),Monthly!$J1284,(IF(ISNUMBER(FIND("Sep",$C$1)),Monthly!$K1284,(IF(ISNUMBER(FIND("Oct",$C$1)),Monthly!$L1284,(IF(ISNUMBER(FIND("Nov",$C$1)),Monthly!$M1284,(IF(ISNUMBER(FIND("Dec",$C$1)),Monthly!$N1284,))))))))))))))))))))))))))</f>
        <v>0</v>
      </c>
      <c r="K39" s="1148">
        <f>IF(ISNUMBER(FIND("Jan",$C$1)),Monthly!$C1206,(IF(ISNUMBER(FIND("Feb",$C$1)),Monthly!$D1206,((IF(ISNUMBER(FIND("Mar",$C$1)),Monthly!$E1206,(IF(ISNUMBER(FIND("Apr",$C$1)),Monthly!$F1206,((IF(ISNUMBER(FIND("May",$C$1)),Monthly!$G1206,((IF(ISNUMBER(FIND("Jun",$C$1)),Monthly!$H1206,(IF(ISNUMBER(FIND("Jul",$C$1)),Monthly!$I1206,(IF(ISNUMBER(FIND("Aug",$C$1)),Monthly!$J1206,(IF(ISNUMBER(FIND("Sep",$C$1)),Monthly!$K1206,(IF(ISNUMBER(FIND("Oct",$C$1)),Monthly!$L1206,(IF(ISNUMBER(FIND("Nov",$C$1)),Monthly!$M1206,(IF(ISNUMBER(FIND("Dec",$C$1)),Monthly!$N1206,))))))))))))))))))))))))))</f>
        <v>0</v>
      </c>
      <c r="L39" s="1139">
        <f>IF(ISNUMBER(FIND("Jan",$C$1)),Monthly!$C1129,(IF(ISNUMBER(FIND("Feb",$C$1)),Monthly!$D1129,((IF(ISNUMBER(FIND("Mar",$C$1)),Monthly!$E1129,(IF(ISNUMBER(FIND("Apr",$C$1)),Monthly!$F1129,((IF(ISNUMBER(FIND("May",$C$1)),Monthly!$G1129,((IF(ISNUMBER(FIND("Jun",$C$1)),Monthly!$H1129,(IF(ISNUMBER(FIND("Jul",$C$1)),Monthly!$I1129,(IF(ISNUMBER(FIND("Aug",$C$1)),Monthly!$J1129,(IF(ISNUMBER(FIND("Sep",$C$1)),Monthly!$K1129,(IF(ISNUMBER(FIND("Oct",$C$1)),Monthly!$L1129,(IF(ISNUMBER(FIND("Nov",$C$1)),Monthly!$M1129,(IF(ISNUMBER(FIND("Dec",$C$1)),Monthly!$N1129,))))))))))))))))))))))))))</f>
        <v>0</v>
      </c>
      <c r="M39" s="1139">
        <f>IF(ISNUMBER(FIND("Jan",$C$1)),Monthly!$C1052,(IF(ISNUMBER(FIND("Feb",$C$1)),Monthly!$D1052,((IF(ISNUMBER(FIND("Mar",$C$1)),Monthly!$E1052,(IF(ISNUMBER(FIND("Apr",$C$1)),Monthly!$F1052,((IF(ISNUMBER(FIND("May",$C$1)),Monthly!$G1052,((IF(ISNUMBER(FIND("Jun",$C$1)),Monthly!$H1052,(IF(ISNUMBER(FIND("Jul",$C$1)),Monthly!$I1052,(IF(ISNUMBER(FIND("Aug",$C$1)),Monthly!$J1052,(IF(ISNUMBER(FIND("Sep",$C$1)),Monthly!$K1052,(IF(ISNUMBER(FIND("Oct",$C$1)),Monthly!$L1052,(IF(ISNUMBER(FIND("Nov",$C$1)),Monthly!$M1052,(IF(ISNUMBER(FIND("Dec",$C$1)),Monthly!$N1052,))))))))))))))))))))))))))</f>
        <v>0</v>
      </c>
      <c r="N39" s="1148">
        <f>IF(ISNUMBER(FIND("Jan",$C$1)),Monthly!$C975,(IF(ISNUMBER(FIND("Feb",$C$1)),Monthly!$D975,((IF(ISNUMBER(FIND("Mar",$C$1)),Monthly!$E975,(IF(ISNUMBER(FIND("Apr",$C$1)),Monthly!$F975,((IF(ISNUMBER(FIND("May",$C$1)),Monthly!$G975,((IF(ISNUMBER(FIND("Jun",$C$1)),Monthly!$H975,(IF(ISNUMBER(FIND("Jul",$C$1)),Monthly!$I975,(IF(ISNUMBER(FIND("Aug",$C$1)),Monthly!$J975,(IF(ISNUMBER(FIND("Sep",$C$1)),Monthly!$K975,(IF(ISNUMBER(FIND("Oct",$C$1)),Monthly!$L975,(IF(ISNUMBER(FIND("Nov",$C$1)),Monthly!$M975,(IF(ISNUMBER(FIND("Dec",$C$1)),Monthly!$N975,))))))))))))))))))))))))))</f>
        <v>0</v>
      </c>
      <c r="O39" s="1148">
        <f>IF(ISNUMBER(FIND("Jan",$C$1)),Monthly!$C899,(IF(ISNUMBER(FIND("Feb",$C$1)),Monthly!$D899,((IF(ISNUMBER(FIND("Mar",$C$1)),Monthly!$E899,(IF(ISNUMBER(FIND("Apr",$C$1)),Monthly!$F899,((IF(ISNUMBER(FIND("May",$C$1)),Monthly!$G899,((IF(ISNUMBER(FIND("Jun",$C$1)),Monthly!$H899,(IF(ISNUMBER(FIND("Jul",$C$1)),Monthly!$I899,(IF(ISNUMBER(FIND("Aug",$C$1)),Monthly!$J899,(IF(ISNUMBER(FIND("Sep",$C$1)),Monthly!$K899,(IF(ISNUMBER(FIND("Oct",$C$1)),Monthly!$L899,(IF(ISNUMBER(FIND("Nov",$C$1)),Monthly!$M899,(IF(ISNUMBER(FIND("Dec",$C$1)),Monthly!$N899,))))))))))))))))))))))))))</f>
        <v>0</v>
      </c>
      <c r="P39" s="1148">
        <f>IF(ISNUMBER(FIND("Jan",$C$1)),Monthly!$C822,(IF(ISNUMBER(FIND("Feb",$C$1)),Monthly!$D822,((IF(ISNUMBER(FIND("Mar",$C$1)),Monthly!$E822,(IF(ISNUMBER(FIND("Apr",$C$1)),Monthly!$F822,((IF(ISNUMBER(FIND("May",$C$1)),Monthly!$G822,((IF(ISNUMBER(FIND("Jun",$C$1)),Monthly!$H822,(IF(ISNUMBER(FIND("Jul",$C$1)),Monthly!$I822,(IF(ISNUMBER(FIND("Aug",$C$1)),Monthly!$J822,(IF(ISNUMBER(FIND("Sep",$C$1)),Monthly!$K822,(IF(ISNUMBER(FIND("Oct",$C$1)),Monthly!$L822,(IF(ISNUMBER(FIND("Nov",$C$1)),Monthly!$M822,(IF(ISNUMBER(FIND("Dec",$C$1)),Monthly!$N822,))))))))))))))))))))))))))</f>
        <v>47</v>
      </c>
      <c r="Q39" s="1142">
        <f>IF(ISNUMBER(FIND("Jan",$C$1)),Monthly!$C745,(IF(ISNUMBER(FIND("Feb",$C$1)),Monthly!$D745,((IF(ISNUMBER(FIND("Mar",$C$1)),Monthly!$E745,(IF(ISNUMBER(FIND("Apr",$C$1)),Monthly!$F745,((IF(ISNUMBER(FIND("May",$C$1)),Monthly!$G745,((IF(ISNUMBER(FIND("Jun",$C$1)),Monthly!$H745,(IF(ISNUMBER(FIND("Jul",$C$1)),Monthly!$I745,(IF(ISNUMBER(FIND("Aug",$C$1)),Monthly!$J745,(IF(ISNUMBER(FIND("Sep",$C$1)),Monthly!$K745,(IF(ISNUMBER(FIND("Oct",$C$1)),Monthly!$L745,(IF(ISNUMBER(FIND("Nov",$C$1)),Monthly!$M745,(IF(ISNUMBER(FIND("Dec",$C$1)),Monthly!$N745,))))))))))))))))))))))))))</f>
        <v>63</v>
      </c>
      <c r="R39" s="1142"/>
      <c r="S39" s="1142"/>
      <c r="T39" s="1142"/>
      <c r="U39" s="1143">
        <f>Monthly!O438</f>
        <v>145.25</v>
      </c>
      <c r="V39" s="1142">
        <f>Monthly!O353</f>
        <v>115.66666666666667</v>
      </c>
      <c r="W39" s="1142"/>
      <c r="X39" s="1144">
        <f t="shared" si="20"/>
        <v>7.333333333333333</v>
      </c>
      <c r="Y39" s="1145"/>
      <c r="Z39" s="1146"/>
      <c r="AA39" s="1147">
        <f t="shared" si="22"/>
        <v>63</v>
      </c>
      <c r="AB39" s="1147">
        <f t="shared" si="23"/>
        <v>0</v>
      </c>
    </row>
    <row r="40" spans="1:28" s="147" customFormat="1" ht="13.5">
      <c r="A40" s="1136"/>
      <c r="B40" s="1137" t="s">
        <v>417</v>
      </c>
      <c r="C40" s="1138">
        <f>IF(ISNUMBER(FIND("Jan",$C$1)),Monthly!$C1827,(IF(ISNUMBER(FIND("Feb",$C$1)),Monthly!$D1827,((IF(ISNUMBER(FIND("Mar",$C$1)),Monthly!$E1827,(IF(ISNUMBER(FIND("Apr",$C$1)),Monthly!$F1827,((IF(ISNUMBER(FIND("May",$C$1)),Monthly!$G1827,((IF(ISNUMBER(FIND("Jun",$C$1)),Monthly!$H1827,(IF(ISNUMBER(FIND("Jul",$C$1)),Monthly!$I1827,(IF(ISNUMBER(FIND("Aug",$C$1)),Monthly!$J1827,(IF(ISNUMBER(FIND("Sep",$C$1)),Monthly!$K1827,(IF(ISNUMBER(FIND("Oct",$C$1)),Monthly!$L1827,(IF(ISNUMBER(FIND("Nov",$C$1)),Monthly!$M1827,(IF(ISNUMBER(FIND("Dec",$C$1)),Monthly!$N1827,))))))))))))))))))))))))))</f>
        <v>0</v>
      </c>
      <c r="D40" s="1139">
        <f>IF(ISNUMBER(FIND("Jan",$C$1)),Monthly!$C1750,(IF(ISNUMBER(FIND("Feb",$C$1)),Monthly!$D1750,((IF(ISNUMBER(FIND("Mar",$C$1)),Monthly!$E1750,(IF(ISNUMBER(FIND("Apr",$C$1)),Monthly!$F1750,((IF(ISNUMBER(FIND("May",$C$1)),Monthly!$G1750,((IF(ISNUMBER(FIND("Jun",$C$1)),Monthly!$H1750,(IF(ISNUMBER(FIND("Jul",$C$1)),Monthly!$I1750,(IF(ISNUMBER(FIND("Aug",$C$1)),Monthly!$J1750,(IF(ISNUMBER(FIND("Sep",$C$1)),Monthly!$K1750,(IF(ISNUMBER(FIND("Oct",$C$1)),Monthly!$L1750,(IF(ISNUMBER(FIND("Nov",$C$1)),Monthly!$M1750,(IF(ISNUMBER(FIND("Dec",$C$1)),Monthly!$N1750,))))))))))))))))))))))))))</f>
        <v>0</v>
      </c>
      <c r="E40" s="1139">
        <f xml:space="preserve">
IF(ISNUMBER(FIND("Jan",$C$1)),Monthly!$C1672,(IF(ISNUMBER(FIND("Feb",$C$1)),Monthly!$D1672,((IF(ISNUMBER(FIND("Mar",$C$1)),Monthly!$E1672,(IF(ISNUMBER(FIND("Apr",$C$1)),Monthly!$F1672,((IF(ISNUMBER(FIND("May",$C$1)),Monthly!$G1672,((IF(ISNUMBER(FIND("Jun",$C$1)),Monthly!$H1672,(IF(ISNUMBER(FIND("Jul",$C$1)),Monthly!$I1672,(IF(ISNUMBER(FIND("Aug",$C$1)),Monthly!$J1672,(IF(ISNUMBER(FIND("Sep",$C$1)),Monthly!$K1672,(IF(ISNUMBER(FIND("Oct",$C$1)),Monthly!$L1672,(IF(ISNUMBER(FIND("Nov",$C$1)),Monthly!$M1672,(IF(ISNUMBER(FIND("Dec",$C$1)),Monthly!$N1672,))))))))))))))))))))))))))</f>
        <v>0</v>
      </c>
      <c r="F40" s="1138">
        <f>IF(ISNUMBER(FIND("Jan",$C$1)),Monthly!$C1594,(IF(ISNUMBER(FIND("Feb",$C$1)),Monthly!$D1594,((IF(ISNUMBER(FIND("Mar",$C$1)),Monthly!$E1594,(IF(ISNUMBER(FIND("Apr",$C$1)),Monthly!$F1594,((IF(ISNUMBER(FIND("May",$C$1)),Monthly!$G1594,((IF(ISNUMBER(FIND("Jun",$C$1)),Monthly!$H1594,(IF(ISNUMBER(FIND("Jul",$C$1)),Monthly!$I1594,(IF(ISNUMBER(FIND("Aug",$C$1)),Monthly!$J1594,(IF(ISNUMBER(FIND("Sep",$C$1)),Monthly!$K1594,(IF(ISNUMBER(FIND("Oct",$C$1)),Monthly!$L1594,(IF(ISNUMBER(FIND("Nov",$C$1)),Monthly!$M1594,(IF(ISNUMBER(FIND("Dec",$C$1)),Monthly!$N1594,))))))))))))))))))))))))))</f>
        <v>0</v>
      </c>
      <c r="G40" s="1139">
        <f>IF(ISNUMBER(FIND("Jan",$C$1)),Monthly!$C1516,(IF(ISNUMBER(FIND("Feb",$C$1)),Monthly!$D1516,((IF(ISNUMBER(FIND("Mar",$C$1)),Monthly!$E1516,(IF(ISNUMBER(FIND("Apr",$C$1)),Monthly!$F1516,((IF(ISNUMBER(FIND("May",$C$1)),Monthly!$G1516,((IF(ISNUMBER(FIND("Jun",$C$1)),Monthly!$H1516,(IF(ISNUMBER(FIND("Jul",$C$1)),Monthly!$I1516,(IF(ISNUMBER(FIND("Aug",$C$1)),Monthly!$J1516,(IF(ISNUMBER(FIND("Sep",$C$1)),Monthly!$K1516,(IF(ISNUMBER(FIND("Oct",$C$1)),Monthly!$L1516,(IF(ISNUMBER(FIND("Nov",$C$1)),Monthly!$M1516,(IF(ISNUMBER(FIND("Dec",$C$1)),Monthly!$N1516,))))))))))))))))))))))))))</f>
        <v>0</v>
      </c>
      <c r="H40" s="1139">
        <f>IF(ISNUMBER(FIND("Jan",$C$1)),Monthly!$C1439,(IF(ISNUMBER(FIND("Feb",$C$1)),Monthly!$D1439,((IF(ISNUMBER(FIND("Mar",$C$1)),Monthly!$E1439,(IF(ISNUMBER(FIND("Apr",$C$1)),Monthly!$F1439,((IF(ISNUMBER(FIND("May",$C$1)),Monthly!$G1439,((IF(ISNUMBER(FIND("Jun",$C$1)),Monthly!$H1439,(IF(ISNUMBER(FIND("Jul",$C$1)),Monthly!$I1439,(IF(ISNUMBER(FIND("Aug",$C$1)),Monthly!$J1439,(IF(ISNUMBER(FIND("Sep",$C$1)),Monthly!$K1439,(IF(ISNUMBER(FIND("Oct",$C$1)),Monthly!$L1439,(IF(ISNUMBER(FIND("Nov",$C$1)),Monthly!$M1439,(IF(ISNUMBER(FIND("Dec",$C$1)),Monthly!$N1439,))))))))))))))))))))))))))</f>
        <v>0</v>
      </c>
      <c r="I40" s="1139">
        <f>IF(ISNUMBER(FIND("Jan",$C$1)),Monthly!$C1362,(IF(ISNUMBER(FIND("Feb",$C$1)),Monthly!$D1362,((IF(ISNUMBER(FIND("Mar",$C$1)),Monthly!$E1362,(IF(ISNUMBER(FIND("Apr",$C$1)),Monthly!$F1362,((IF(ISNUMBER(FIND("May",$C$1)),Monthly!$G1362,((IF(ISNUMBER(FIND("Jun",$C$1)),Monthly!$H1362,(IF(ISNUMBER(FIND("Jul",$C$1)),Monthly!$I1362,(IF(ISNUMBER(FIND("Aug",$C$1)),Monthly!$J1362,(IF(ISNUMBER(FIND("Sep",$C$1)),Monthly!$K1362,(IF(ISNUMBER(FIND("Oct",$C$1)),Monthly!$L1362,(IF(ISNUMBER(FIND("Nov",$C$1)),Monthly!$M1362,(IF(ISNUMBER(FIND("Dec",$C$1)),Monthly!$N1362,))))))))))))))))))))))))))</f>
        <v>0</v>
      </c>
      <c r="J40" s="1138">
        <f>IF(ISNUMBER(FIND("Jan",$C$1)),Monthly!$C1285,(IF(ISNUMBER(FIND("Feb",$C$1)),Monthly!$D1285,((IF(ISNUMBER(FIND("Mar",$C$1)),Monthly!$E1285,(IF(ISNUMBER(FIND("Apr",$C$1)),Monthly!$F1285,((IF(ISNUMBER(FIND("May",$C$1)),Monthly!$G1285,((IF(ISNUMBER(FIND("Jun",$C$1)),Monthly!$H1285,(IF(ISNUMBER(FIND("Jul",$C$1)),Monthly!$I1285,(IF(ISNUMBER(FIND("Aug",$C$1)),Monthly!$J1285,(IF(ISNUMBER(FIND("Sep",$C$1)),Monthly!$K1285,(IF(ISNUMBER(FIND("Oct",$C$1)),Monthly!$L1285,(IF(ISNUMBER(FIND("Nov",$C$1)),Monthly!$M1285,(IF(ISNUMBER(FIND("Dec",$C$1)),Monthly!$N1285,))))))))))))))))))))))))))</f>
        <v>0</v>
      </c>
      <c r="K40" s="1148">
        <f>IF(ISNUMBER(FIND("Jan",$C$1)),Monthly!$C1207,(IF(ISNUMBER(FIND("Feb",$C$1)),Monthly!$D1207,((IF(ISNUMBER(FIND("Mar",$C$1)),Monthly!$E1207,(IF(ISNUMBER(FIND("Apr",$C$1)),Monthly!$F1207,((IF(ISNUMBER(FIND("May",$C$1)),Monthly!$G1207,((IF(ISNUMBER(FIND("Jun",$C$1)),Monthly!$H1207,(IF(ISNUMBER(FIND("Jul",$C$1)),Monthly!$I1207,(IF(ISNUMBER(FIND("Aug",$C$1)),Monthly!$J1207,(IF(ISNUMBER(FIND("Sep",$C$1)),Monthly!$K1207,(IF(ISNUMBER(FIND("Oct",$C$1)),Monthly!$L1207,(IF(ISNUMBER(FIND("Nov",$C$1)),Monthly!$M1207,(IF(ISNUMBER(FIND("Dec",$C$1)),Monthly!$N1207,))))))))))))))))))))))))))</f>
        <v>0</v>
      </c>
      <c r="L40" s="1139">
        <f>IF(ISNUMBER(FIND("Jan",$C$1)),Monthly!$C1130,(IF(ISNUMBER(FIND("Feb",$C$1)),Monthly!$D1130,((IF(ISNUMBER(FIND("Mar",$C$1)),Monthly!$E1130,(IF(ISNUMBER(FIND("Apr",$C$1)),Monthly!$F1130,((IF(ISNUMBER(FIND("May",$C$1)),Monthly!$G1130,((IF(ISNUMBER(FIND("Jun",$C$1)),Monthly!$H1130,(IF(ISNUMBER(FIND("Jul",$C$1)),Monthly!$I1130,(IF(ISNUMBER(FIND("Aug",$C$1)),Monthly!$J1130,(IF(ISNUMBER(FIND("Sep",$C$1)),Monthly!$K1130,(IF(ISNUMBER(FIND("Oct",$C$1)),Monthly!$L1130,(IF(ISNUMBER(FIND("Nov",$C$1)),Monthly!$M1130,(IF(ISNUMBER(FIND("Dec",$C$1)),Monthly!$N1130,))))))))))))))))))))))))))</f>
        <v>0</v>
      </c>
      <c r="M40" s="1139">
        <f>IF(ISNUMBER(FIND("Jan",$C$1)),Monthly!$C1053,(IF(ISNUMBER(FIND("Feb",$C$1)),Monthly!$D1053,((IF(ISNUMBER(FIND("Mar",$C$1)),Monthly!$E1053,(IF(ISNUMBER(FIND("Apr",$C$1)),Monthly!$F1053,((IF(ISNUMBER(FIND("May",$C$1)),Monthly!$G1053,((IF(ISNUMBER(FIND("Jun",$C$1)),Monthly!$H1053,(IF(ISNUMBER(FIND("Jul",$C$1)),Monthly!$I1053,(IF(ISNUMBER(FIND("Aug",$C$1)),Monthly!$J1053,(IF(ISNUMBER(FIND("Sep",$C$1)),Monthly!$K1053,(IF(ISNUMBER(FIND("Oct",$C$1)),Monthly!$L1053,(IF(ISNUMBER(FIND("Nov",$C$1)),Monthly!$M1053,(IF(ISNUMBER(FIND("Dec",$C$1)),Monthly!$N1053,))))))))))))))))))))))))))</f>
        <v>0</v>
      </c>
      <c r="N40" s="1148">
        <f>IF(ISNUMBER(FIND("Jan",$C$1)),Monthly!$C976,(IF(ISNUMBER(FIND("Feb",$C$1)),Monthly!$D976,((IF(ISNUMBER(FIND("Mar",$C$1)),Monthly!$E976,(IF(ISNUMBER(FIND("Apr",$C$1)),Monthly!$F976,((IF(ISNUMBER(FIND("May",$C$1)),Monthly!$G976,((IF(ISNUMBER(FIND("Jun",$C$1)),Monthly!$H976,(IF(ISNUMBER(FIND("Jul",$C$1)),Monthly!$I976,(IF(ISNUMBER(FIND("Aug",$C$1)),Monthly!$J976,(IF(ISNUMBER(FIND("Sep",$C$1)),Monthly!$K976,(IF(ISNUMBER(FIND("Oct",$C$1)),Monthly!$L976,(IF(ISNUMBER(FIND("Nov",$C$1)),Monthly!$M976,(IF(ISNUMBER(FIND("Dec",$C$1)),Monthly!$N976,))))))))))))))))))))))))))</f>
        <v>0</v>
      </c>
      <c r="O40" s="1148">
        <f>IF(ISNUMBER(FIND("Jan",$C$1)),Monthly!$C900,(IF(ISNUMBER(FIND("Feb",$C$1)),Monthly!$D900,((IF(ISNUMBER(FIND("Mar",$C$1)),Monthly!$E900,(IF(ISNUMBER(FIND("Apr",$C$1)),Monthly!$F900,((IF(ISNUMBER(FIND("May",$C$1)),Monthly!$G900,((IF(ISNUMBER(FIND("Jun",$C$1)),Monthly!$H900,(IF(ISNUMBER(FIND("Jul",$C$1)),Monthly!$I900,(IF(ISNUMBER(FIND("Aug",$C$1)),Monthly!$J900,(IF(ISNUMBER(FIND("Sep",$C$1)),Monthly!$K900,(IF(ISNUMBER(FIND("Oct",$C$1)),Monthly!$L900,(IF(ISNUMBER(FIND("Nov",$C$1)),Monthly!$M900,(IF(ISNUMBER(FIND("Dec",$C$1)),Monthly!$N900,))))))))))))))))))))))))))</f>
        <v>0</v>
      </c>
      <c r="P40" s="1148">
        <f>IF(ISNUMBER(FIND("Jan",$C$1)),Monthly!$C823,(IF(ISNUMBER(FIND("Feb",$C$1)),Monthly!$D823,((IF(ISNUMBER(FIND("Mar",$C$1)),Monthly!$E823,(IF(ISNUMBER(FIND("Apr",$C$1)),Monthly!$F823,((IF(ISNUMBER(FIND("May",$C$1)),Monthly!$G823,((IF(ISNUMBER(FIND("Jun",$C$1)),Monthly!$H823,(IF(ISNUMBER(FIND("Jul",$C$1)),Monthly!$I823,(IF(ISNUMBER(FIND("Aug",$C$1)),Monthly!$J823,(IF(ISNUMBER(FIND("Sep",$C$1)),Monthly!$K823,(IF(ISNUMBER(FIND("Oct",$C$1)),Monthly!$L823,(IF(ISNUMBER(FIND("Nov",$C$1)),Monthly!$M823,(IF(ISNUMBER(FIND("Dec",$C$1)),Monthly!$N823,))))))))))))))))))))))))))</f>
        <v>54</v>
      </c>
      <c r="Q40" s="1142">
        <f>IF(ISNUMBER(FIND("Jan",$C$1)),Monthly!$C746,(IF(ISNUMBER(FIND("Feb",$C$1)),Monthly!$D746,((IF(ISNUMBER(FIND("Mar",$C$1)),Monthly!$E746,(IF(ISNUMBER(FIND("Apr",$C$1)),Monthly!$F746,((IF(ISNUMBER(FIND("May",$C$1)),Monthly!$G746,((IF(ISNUMBER(FIND("Jun",$C$1)),Monthly!$H746,(IF(ISNUMBER(FIND("Jul",$C$1)),Monthly!$I746,(IF(ISNUMBER(FIND("Aug",$C$1)),Monthly!$J746,(IF(ISNUMBER(FIND("Sep",$C$1)),Monthly!$K746,(IF(ISNUMBER(FIND("Oct",$C$1)),Monthly!$L746,(IF(ISNUMBER(FIND("Nov",$C$1)),Monthly!$M746,(IF(ISNUMBER(FIND("Dec",$C$1)),Monthly!$N746,))))))))))))))))))))))))))</f>
        <v>64</v>
      </c>
      <c r="R40" s="1142"/>
      <c r="S40" s="1142"/>
      <c r="T40" s="1142"/>
      <c r="U40" s="1143">
        <f>Monthly!O439</f>
        <v>78.333333333333343</v>
      </c>
      <c r="V40" s="1142">
        <f>Monthly!O354</f>
        <v>75</v>
      </c>
      <c r="W40" s="1142"/>
      <c r="X40" s="1144">
        <f t="shared" si="20"/>
        <v>7.8666666666666663</v>
      </c>
      <c r="Y40" s="1145"/>
      <c r="Z40" s="1146"/>
      <c r="AA40" s="1147">
        <f t="shared" si="22"/>
        <v>64</v>
      </c>
      <c r="AB40" s="1147">
        <f t="shared" si="23"/>
        <v>0</v>
      </c>
    </row>
    <row r="41" spans="1:28" s="147" customFormat="1" ht="13.5">
      <c r="A41" s="1136"/>
      <c r="B41" s="1137" t="s">
        <v>410</v>
      </c>
      <c r="C41" s="1138">
        <f>IF(ISNUMBER(FIND("Jan",$C$1)),Monthly!$C1828,(IF(ISNUMBER(FIND("Feb",$C$1)),Monthly!$D1828,((IF(ISNUMBER(FIND("Mar",$C$1)),Monthly!$E1828,(IF(ISNUMBER(FIND("Apr",$C$1)),Monthly!$F1828,((IF(ISNUMBER(FIND("May",$C$1)),Monthly!$G1828,((IF(ISNUMBER(FIND("Jun",$C$1)),Monthly!$H1828,(IF(ISNUMBER(FIND("Jul",$C$1)),Monthly!$I1828,(IF(ISNUMBER(FIND("Aug",$C$1)),Monthly!$J1828,(IF(ISNUMBER(FIND("Sep",$C$1)),Monthly!$K1828,(IF(ISNUMBER(FIND("Oct",$C$1)),Monthly!$L1828,(IF(ISNUMBER(FIND("Nov",$C$1)),Monthly!$M1828,(IF(ISNUMBER(FIND("Dec",$C$1)),Monthly!$N1828,))))))))))))))))))))))))))</f>
        <v>0</v>
      </c>
      <c r="D41" s="1139">
        <f>IF(ISNUMBER(FIND("Jan",$C$1)),Monthly!$C1751,(IF(ISNUMBER(FIND("Feb",$C$1)),Monthly!$D1751,((IF(ISNUMBER(FIND("Mar",$C$1)),Monthly!$E1751,(IF(ISNUMBER(FIND("Apr",$C$1)),Monthly!$F1751,((IF(ISNUMBER(FIND("May",$C$1)),Monthly!$G1751,((IF(ISNUMBER(FIND("Jun",$C$1)),Monthly!$H1751,(IF(ISNUMBER(FIND("Jul",$C$1)),Monthly!$I1751,(IF(ISNUMBER(FIND("Aug",$C$1)),Monthly!$J1751,(IF(ISNUMBER(FIND("Sep",$C$1)),Monthly!$K1751,(IF(ISNUMBER(FIND("Oct",$C$1)),Monthly!$L1751,(IF(ISNUMBER(FIND("Nov",$C$1)),Monthly!$M1751,(IF(ISNUMBER(FIND("Dec",$C$1)),Monthly!$N1751,))))))))))))))))))))))))))</f>
        <v>74</v>
      </c>
      <c r="E41" s="1139">
        <f xml:space="preserve">
IF(ISNUMBER(FIND("Jan",$C$1)),Monthly!$C1673,(IF(ISNUMBER(FIND("Feb",$C$1)),Monthly!$D1673,((IF(ISNUMBER(FIND("Mar",$C$1)),Monthly!$E1673,(IF(ISNUMBER(FIND("Apr",$C$1)),Monthly!$F1673,((IF(ISNUMBER(FIND("May",$C$1)),Monthly!$G1673,((IF(ISNUMBER(FIND("Jun",$C$1)),Monthly!$H1673,(IF(ISNUMBER(FIND("Jul",$C$1)),Monthly!$I1673,(IF(ISNUMBER(FIND("Aug",$C$1)),Monthly!$J1673,(IF(ISNUMBER(FIND("Sep",$C$1)),Monthly!$K1673,(IF(ISNUMBER(FIND("Oct",$C$1)),Monthly!$L1673,(IF(ISNUMBER(FIND("Nov",$C$1)),Monthly!$M1673,(IF(ISNUMBER(FIND("Dec",$C$1)),Monthly!$N1673,))))))))))))))))))))))))))</f>
        <v>94</v>
      </c>
      <c r="F41" s="1138">
        <f>IF(ISNUMBER(FIND("Jan",$C$1)),Monthly!$C1595,(IF(ISNUMBER(FIND("Feb",$C$1)),Monthly!$D1595,((IF(ISNUMBER(FIND("Mar",$C$1)),Monthly!$E1595,(IF(ISNUMBER(FIND("Apr",$C$1)),Monthly!$F1595,((IF(ISNUMBER(FIND("May",$C$1)),Monthly!$G1595,((IF(ISNUMBER(FIND("Jun",$C$1)),Monthly!$H1595,(IF(ISNUMBER(FIND("Jul",$C$1)),Monthly!$I1595,(IF(ISNUMBER(FIND("Aug",$C$1)),Monthly!$J1595,(IF(ISNUMBER(FIND("Sep",$C$1)),Monthly!$K1595,(IF(ISNUMBER(FIND("Oct",$C$1)),Monthly!$L1595,(IF(ISNUMBER(FIND("Nov",$C$1)),Monthly!$M1595,(IF(ISNUMBER(FIND("Dec",$C$1)),Monthly!$N1595,))))))))))))))))))))))))))</f>
        <v>75</v>
      </c>
      <c r="G41" s="1139">
        <f>IF(ISNUMBER(FIND("Jan",$C$1)),Monthly!$C1517,(IF(ISNUMBER(FIND("Feb",$C$1)),Monthly!$D1517,((IF(ISNUMBER(FIND("Mar",$C$1)),Monthly!$E1517,(IF(ISNUMBER(FIND("Apr",$C$1)),Monthly!$F1517,((IF(ISNUMBER(FIND("May",$C$1)),Monthly!$G1517,((IF(ISNUMBER(FIND("Jun",$C$1)),Monthly!$H1517,(IF(ISNUMBER(FIND("Jul",$C$1)),Monthly!$I1517,(IF(ISNUMBER(FIND("Aug",$C$1)),Monthly!$J1517,(IF(ISNUMBER(FIND("Sep",$C$1)),Monthly!$K1517,(IF(ISNUMBER(FIND("Oct",$C$1)),Monthly!$L1517,(IF(ISNUMBER(FIND("Nov",$C$1)),Monthly!$M1517,(IF(ISNUMBER(FIND("Dec",$C$1)),Monthly!$N1517,))))))))))))))))))))))))))</f>
        <v>106</v>
      </c>
      <c r="H41" s="1139">
        <f>IF(ISNUMBER(FIND("Jan",$C$1)),Monthly!$C1440,(IF(ISNUMBER(FIND("Feb",$C$1)),Monthly!$D1440,((IF(ISNUMBER(FIND("Mar",$C$1)),Monthly!$E1440,(IF(ISNUMBER(FIND("Apr",$C$1)),Monthly!$F1440,((IF(ISNUMBER(FIND("May",$C$1)),Monthly!$G1440,((IF(ISNUMBER(FIND("Jun",$C$1)),Monthly!$H1440,(IF(ISNUMBER(FIND("Jul",$C$1)),Monthly!$I1440,(IF(ISNUMBER(FIND("Aug",$C$1)),Monthly!$J1440,(IF(ISNUMBER(FIND("Sep",$C$1)),Monthly!$K1440,(IF(ISNUMBER(FIND("Oct",$C$1)),Monthly!$L1440,(IF(ISNUMBER(FIND("Nov",$C$1)),Monthly!$M1440,(IF(ISNUMBER(FIND("Dec",$C$1)),Monthly!$N1440,))))))))))))))))))))))))))</f>
        <v>80</v>
      </c>
      <c r="I41" s="1139">
        <f>IF(ISNUMBER(FIND("Jan",$C$1)),Monthly!$C1363,(IF(ISNUMBER(FIND("Feb",$C$1)),Monthly!$D1363,((IF(ISNUMBER(FIND("Mar",$C$1)),Monthly!$E1363,(IF(ISNUMBER(FIND("Apr",$C$1)),Monthly!$F1363,((IF(ISNUMBER(FIND("May",$C$1)),Monthly!$G1363,((IF(ISNUMBER(FIND("Jun",$C$1)),Monthly!$H1363,(IF(ISNUMBER(FIND("Jul",$C$1)),Monthly!$I1363,(IF(ISNUMBER(FIND("Aug",$C$1)),Monthly!$J1363,(IF(ISNUMBER(FIND("Sep",$C$1)),Monthly!$K1363,(IF(ISNUMBER(FIND("Oct",$C$1)),Monthly!$L1363,(IF(ISNUMBER(FIND("Nov",$C$1)),Monthly!$M1363,(IF(ISNUMBER(FIND("Dec",$C$1)),Monthly!$N1363,))))))))))))))))))))))))))</f>
        <v>45</v>
      </c>
      <c r="J41" s="1138">
        <f>IF(ISNUMBER(FIND("Jan",$C$1)),Monthly!$C1286,(IF(ISNUMBER(FIND("Feb",$C$1)),Monthly!$D1286,((IF(ISNUMBER(FIND("Mar",$C$1)),Monthly!$E1286,(IF(ISNUMBER(FIND("Apr",$C$1)),Monthly!$F1286,((IF(ISNUMBER(FIND("May",$C$1)),Monthly!$G1286,((IF(ISNUMBER(FIND("Jun",$C$1)),Monthly!$H1286,(IF(ISNUMBER(FIND("Jul",$C$1)),Monthly!$I1286,(IF(ISNUMBER(FIND("Aug",$C$1)),Monthly!$J1286,(IF(ISNUMBER(FIND("Sep",$C$1)),Monthly!$K1286,(IF(ISNUMBER(FIND("Oct",$C$1)),Monthly!$L1286,(IF(ISNUMBER(FIND("Nov",$C$1)),Monthly!$M1286,(IF(ISNUMBER(FIND("Dec",$C$1)),Monthly!$N1286,))))))))))))))))))))))))))</f>
        <v>95</v>
      </c>
      <c r="K41" s="1148">
        <f>IF(ISNUMBER(FIND("Jan",$C$1)),Monthly!$C1208,(IF(ISNUMBER(FIND("Feb",$C$1)),Monthly!$D1208,((IF(ISNUMBER(FIND("Mar",$C$1)),Monthly!$E1208,(IF(ISNUMBER(FIND("Apr",$C$1)),Monthly!$F1208,((IF(ISNUMBER(FIND("May",$C$1)),Monthly!$G1208,((IF(ISNUMBER(FIND("Jun",$C$1)),Monthly!$H1208,(IF(ISNUMBER(FIND("Jul",$C$1)),Monthly!$I1208,(IF(ISNUMBER(FIND("Aug",$C$1)),Monthly!$J1208,(IF(ISNUMBER(FIND("Sep",$C$1)),Monthly!$K1208,(IF(ISNUMBER(FIND("Oct",$C$1)),Monthly!$L1208,(IF(ISNUMBER(FIND("Nov",$C$1)),Monthly!$M1208,(IF(ISNUMBER(FIND("Dec",$C$1)),Monthly!$N1208,))))))))))))))))))))))))))</f>
        <v>95</v>
      </c>
      <c r="L41" s="1139">
        <f>IF(ISNUMBER(FIND("Jan",$C$1)),Monthly!$C1131,(IF(ISNUMBER(FIND("Feb",$C$1)),Monthly!$D1131,((IF(ISNUMBER(FIND("Mar",$C$1)),Monthly!$E1131,(IF(ISNUMBER(FIND("Apr",$C$1)),Monthly!$F1131,((IF(ISNUMBER(FIND("May",$C$1)),Monthly!$G1131,((IF(ISNUMBER(FIND("Jun",$C$1)),Monthly!$H1131,(IF(ISNUMBER(FIND("Jul",$C$1)),Monthly!$I1131,(IF(ISNUMBER(FIND("Aug",$C$1)),Monthly!$J1131,(IF(ISNUMBER(FIND("Sep",$C$1)),Monthly!$K1131,(IF(ISNUMBER(FIND("Oct",$C$1)),Monthly!$L1131,(IF(ISNUMBER(FIND("Nov",$C$1)),Monthly!$M1131,(IF(ISNUMBER(FIND("Dec",$C$1)),Monthly!$N1131,))))))))))))))))))))))))))</f>
        <v>140</v>
      </c>
      <c r="M41" s="1139">
        <f>IF(ISNUMBER(FIND("Jan",$C$1)),Monthly!$C1054,(IF(ISNUMBER(FIND("Feb",$C$1)),Monthly!$D1054,((IF(ISNUMBER(FIND("Mar",$C$1)),Monthly!$E1054,(IF(ISNUMBER(FIND("Apr",$C$1)),Monthly!$F1054,((IF(ISNUMBER(FIND("May",$C$1)),Monthly!$G1054,((IF(ISNUMBER(FIND("Jun",$C$1)),Monthly!$H1054,(IF(ISNUMBER(FIND("Jul",$C$1)),Monthly!$I1054,(IF(ISNUMBER(FIND("Aug",$C$1)),Monthly!$J1054,(IF(ISNUMBER(FIND("Sep",$C$1)),Monthly!$K1054,(IF(ISNUMBER(FIND("Oct",$C$1)),Monthly!$L1054,(IF(ISNUMBER(FIND("Nov",$C$1)),Monthly!$M1054,(IF(ISNUMBER(FIND("Dec",$C$1)),Monthly!$N1054,))))))))))))))))))))))))))</f>
        <v>106</v>
      </c>
      <c r="N41" s="1148">
        <f>IF(ISNUMBER(FIND("Jan",$C$1)),Monthly!$C977,(IF(ISNUMBER(FIND("Feb",$C$1)),Monthly!$D977,((IF(ISNUMBER(FIND("Mar",$C$1)),Monthly!$E977,(IF(ISNUMBER(FIND("Apr",$C$1)),Monthly!$F977,((IF(ISNUMBER(FIND("May",$C$1)),Monthly!$G977,((IF(ISNUMBER(FIND("Jun",$C$1)),Monthly!$H977,(IF(ISNUMBER(FIND("Jul",$C$1)),Monthly!$I977,(IF(ISNUMBER(FIND("Aug",$C$1)),Monthly!$J977,(IF(ISNUMBER(FIND("Sep",$C$1)),Monthly!$K977,(IF(ISNUMBER(FIND("Oct",$C$1)),Monthly!$L977,(IF(ISNUMBER(FIND("Nov",$C$1)),Monthly!$M977,(IF(ISNUMBER(FIND("Dec",$C$1)),Monthly!$N977,))))))))))))))))))))))))))</f>
        <v>105</v>
      </c>
      <c r="O41" s="1148">
        <f>IF(ISNUMBER(FIND("Jan",$C$1)),Monthly!$C901,(IF(ISNUMBER(FIND("Feb",$C$1)),Monthly!$D901,((IF(ISNUMBER(FIND("Mar",$C$1)),Monthly!$E901,(IF(ISNUMBER(FIND("Apr",$C$1)),Monthly!$F901,((IF(ISNUMBER(FIND("May",$C$1)),Monthly!$G901,((IF(ISNUMBER(FIND("Jun",$C$1)),Monthly!$H901,(IF(ISNUMBER(FIND("Jul",$C$1)),Monthly!$I901,(IF(ISNUMBER(FIND("Aug",$C$1)),Monthly!$J901,(IF(ISNUMBER(FIND("Sep",$C$1)),Monthly!$K901,(IF(ISNUMBER(FIND("Oct",$C$1)),Monthly!$L901,(IF(ISNUMBER(FIND("Nov",$C$1)),Monthly!$M901,(IF(ISNUMBER(FIND("Dec",$C$1)),Monthly!$N901,))))))))))))))))))))))))))</f>
        <v>50</v>
      </c>
      <c r="P41" s="1148">
        <f>IF(ISNUMBER(FIND("Jan",$C$1)),Monthly!$C824,(IF(ISNUMBER(FIND("Feb",$C$1)),Monthly!$D824,((IF(ISNUMBER(FIND("Mar",$C$1)),Monthly!$E824,(IF(ISNUMBER(FIND("Apr",$C$1)),Monthly!$F824,((IF(ISNUMBER(FIND("May",$C$1)),Monthly!$G824,((IF(ISNUMBER(FIND("Jun",$C$1)),Monthly!$H824,(IF(ISNUMBER(FIND("Jul",$C$1)),Monthly!$I824,(IF(ISNUMBER(FIND("Aug",$C$1)),Monthly!$J824,(IF(ISNUMBER(FIND("Sep",$C$1)),Monthly!$K824,(IF(ISNUMBER(FIND("Oct",$C$1)),Monthly!$L824,(IF(ISNUMBER(FIND("Nov",$C$1)),Monthly!$M824,(IF(ISNUMBER(FIND("Dec",$C$1)),Monthly!$N824,))))))))))))))))))))))))))</f>
        <v>29</v>
      </c>
      <c r="Q41" s="1142">
        <f>IF(ISNUMBER(FIND("Jan",$C$1)),Monthly!$C747,(IF(ISNUMBER(FIND("Feb",$C$1)),Monthly!$D747,((IF(ISNUMBER(FIND("Mar",$C$1)),Monthly!$E747,(IF(ISNUMBER(FIND("Apr",$C$1)),Monthly!$F747,((IF(ISNUMBER(FIND("May",$C$1)),Monthly!$G747,((IF(ISNUMBER(FIND("Jun",$C$1)),Monthly!$H747,(IF(ISNUMBER(FIND("Jul",$C$1)),Monthly!$I747,(IF(ISNUMBER(FIND("Aug",$C$1)),Monthly!$J747,(IF(ISNUMBER(FIND("Sep",$C$1)),Monthly!$K747,(IF(ISNUMBER(FIND("Oct",$C$1)),Monthly!$L747,(IF(ISNUMBER(FIND("Nov",$C$1)),Monthly!$M747,(IF(ISNUMBER(FIND("Dec",$C$1)),Monthly!$N747,))))))))))))))))))))))))))</f>
        <v>25</v>
      </c>
      <c r="R41" s="1142"/>
      <c r="S41" s="1142"/>
      <c r="T41" s="1142"/>
      <c r="U41" s="1143">
        <f>Monthly!O440</f>
        <v>292.25</v>
      </c>
      <c r="V41" s="1142">
        <f>Monthly!O355</f>
        <v>136.33333333333334</v>
      </c>
      <c r="W41" s="1142"/>
      <c r="X41" s="1144">
        <f t="shared" si="20"/>
        <v>74.599999999999994</v>
      </c>
      <c r="Y41" s="1145">
        <f t="shared" si="21"/>
        <v>1.0657142857142856E-2</v>
      </c>
      <c r="Z41" s="1146"/>
      <c r="AA41" s="1147">
        <f t="shared" si="22"/>
        <v>140</v>
      </c>
      <c r="AB41" s="1147">
        <f t="shared" si="23"/>
        <v>0</v>
      </c>
    </row>
    <row r="42" spans="1:28" s="147" customFormat="1" ht="13.5">
      <c r="A42" s="1136"/>
      <c r="B42" s="1137" t="s">
        <v>418</v>
      </c>
      <c r="C42" s="1138">
        <f>IF(ISNUMBER(FIND("Jan",$C$1)),Monthly!$C1829,(IF(ISNUMBER(FIND("Feb",$C$1)),Monthly!$D1829,((IF(ISNUMBER(FIND("Mar",$C$1)),Monthly!$E1829,(IF(ISNUMBER(FIND("Apr",$C$1)),Monthly!$F1829,((IF(ISNUMBER(FIND("May",$C$1)),Monthly!$G1829,((IF(ISNUMBER(FIND("Jun",$C$1)),Monthly!$H1829,(IF(ISNUMBER(FIND("Jul",$C$1)),Monthly!$I1829,(IF(ISNUMBER(FIND("Aug",$C$1)),Monthly!$J1829,(IF(ISNUMBER(FIND("Sep",$C$1)),Monthly!$K1829,(IF(ISNUMBER(FIND("Oct",$C$1)),Monthly!$L1829,(IF(ISNUMBER(FIND("Nov",$C$1)),Monthly!$M1829,(IF(ISNUMBER(FIND("Dec",$C$1)),Monthly!$N1829,))))))))))))))))))))))))))</f>
        <v>70</v>
      </c>
      <c r="D42" s="1139">
        <f>IF(ISNUMBER(FIND("Jan",$C$1)),Monthly!$C1752,(IF(ISNUMBER(FIND("Feb",$C$1)),Monthly!$D1752,((IF(ISNUMBER(FIND("Mar",$C$1)),Monthly!$E1752,(IF(ISNUMBER(FIND("Apr",$C$1)),Monthly!$F1752,((IF(ISNUMBER(FIND("May",$C$1)),Monthly!$G1752,((IF(ISNUMBER(FIND("Jun",$C$1)),Monthly!$H1752,(IF(ISNUMBER(FIND("Jul",$C$1)),Monthly!$I1752,(IF(ISNUMBER(FIND("Aug",$C$1)),Monthly!$J1752,(IF(ISNUMBER(FIND("Sep",$C$1)),Monthly!$K1752,(IF(ISNUMBER(FIND("Oct",$C$1)),Monthly!$L1752,(IF(ISNUMBER(FIND("Nov",$C$1)),Monthly!$M1752,(IF(ISNUMBER(FIND("Dec",$C$1)),Monthly!$N1752,))))))))))))))))))))))))))</f>
        <v>105</v>
      </c>
      <c r="E42" s="1139">
        <f xml:space="preserve">
IF(ISNUMBER(FIND("Jan",$C$1)),Monthly!$C1674,(IF(ISNUMBER(FIND("Feb",$C$1)),Monthly!$D1674,((IF(ISNUMBER(FIND("Mar",$C$1)),Monthly!$E1674,(IF(ISNUMBER(FIND("Apr",$C$1)),Monthly!$F1674,((IF(ISNUMBER(FIND("May",$C$1)),Monthly!$G1674,((IF(ISNUMBER(FIND("Jun",$C$1)),Monthly!$H1674,(IF(ISNUMBER(FIND("Jul",$C$1)),Monthly!$I1674,(IF(ISNUMBER(FIND("Aug",$C$1)),Monthly!$J1674,(IF(ISNUMBER(FIND("Sep",$C$1)),Monthly!$K1674,(IF(ISNUMBER(FIND("Oct",$C$1)),Monthly!$L1674,(IF(ISNUMBER(FIND("Nov",$C$1)),Monthly!$M1674,(IF(ISNUMBER(FIND("Dec",$C$1)),Monthly!$N1674,))))))))))))))))))))))))))</f>
        <v>105</v>
      </c>
      <c r="F42" s="1138">
        <f>IF(ISNUMBER(FIND("Jan",$C$1)),Monthly!$C1596,(IF(ISNUMBER(FIND("Feb",$C$1)),Monthly!$D1596,((IF(ISNUMBER(FIND("Mar",$C$1)),Monthly!$E1596,(IF(ISNUMBER(FIND("Apr",$C$1)),Monthly!$F1596,((IF(ISNUMBER(FIND("May",$C$1)),Monthly!$G1596,((IF(ISNUMBER(FIND("Jun",$C$1)),Monthly!$H1596,(IF(ISNUMBER(FIND("Jul",$C$1)),Monthly!$I1596,(IF(ISNUMBER(FIND("Aug",$C$1)),Monthly!$J1596,(IF(ISNUMBER(FIND("Sep",$C$1)),Monthly!$K1596,(IF(ISNUMBER(FIND("Oct",$C$1)),Monthly!$L1596,(IF(ISNUMBER(FIND("Nov",$C$1)),Monthly!$M1596,(IF(ISNUMBER(FIND("Dec",$C$1)),Monthly!$N1596,))))))))))))))))))))))))))</f>
        <v>110</v>
      </c>
      <c r="G42" s="1139">
        <f>IF(ISNUMBER(FIND("Jan",$C$1)),Monthly!$C1518,(IF(ISNUMBER(FIND("Feb",$C$1)),Monthly!$D1518,((IF(ISNUMBER(FIND("Mar",$C$1)),Monthly!$E1518,(IF(ISNUMBER(FIND("Apr",$C$1)),Monthly!$F1518,((IF(ISNUMBER(FIND("May",$C$1)),Monthly!$G1518,((IF(ISNUMBER(FIND("Jun",$C$1)),Monthly!$H1518,(IF(ISNUMBER(FIND("Jul",$C$1)),Monthly!$I1518,(IF(ISNUMBER(FIND("Aug",$C$1)),Monthly!$J1518,(IF(ISNUMBER(FIND("Sep",$C$1)),Monthly!$K1518,(IF(ISNUMBER(FIND("Oct",$C$1)),Monthly!$L1518,(IF(ISNUMBER(FIND("Nov",$C$1)),Monthly!$M1518,(IF(ISNUMBER(FIND("Dec",$C$1)),Monthly!$N1518,))))))))))))))))))))))))))</f>
        <v>110</v>
      </c>
      <c r="H42" s="1139">
        <f>IF(ISNUMBER(FIND("Jan",$C$1)),Monthly!$C1441,(IF(ISNUMBER(FIND("Feb",$C$1)),Monthly!$D1441,((IF(ISNUMBER(FIND("Mar",$C$1)),Monthly!$E1441,(IF(ISNUMBER(FIND("Apr",$C$1)),Monthly!$F1441,((IF(ISNUMBER(FIND("May",$C$1)),Monthly!$G1441,((IF(ISNUMBER(FIND("Jun",$C$1)),Monthly!$H1441,(IF(ISNUMBER(FIND("Jul",$C$1)),Monthly!$I1441,(IF(ISNUMBER(FIND("Aug",$C$1)),Monthly!$J1441,(IF(ISNUMBER(FIND("Sep",$C$1)),Monthly!$K1441,(IF(ISNUMBER(FIND("Oct",$C$1)),Monthly!$L1441,(IF(ISNUMBER(FIND("Nov",$C$1)),Monthly!$M1441,(IF(ISNUMBER(FIND("Dec",$C$1)),Monthly!$N1441,))))))))))))))))))))))))))</f>
        <v>129</v>
      </c>
      <c r="I42" s="1139">
        <f>IF(ISNUMBER(FIND("Jan",$C$1)),Monthly!$C1364,(IF(ISNUMBER(FIND("Feb",$C$1)),Monthly!$D1364,((IF(ISNUMBER(FIND("Mar",$C$1)),Monthly!$E1364,(IF(ISNUMBER(FIND("Apr",$C$1)),Monthly!$F1364,((IF(ISNUMBER(FIND("May",$C$1)),Monthly!$G1364,((IF(ISNUMBER(FIND("Jun",$C$1)),Monthly!$H1364,(IF(ISNUMBER(FIND("Jul",$C$1)),Monthly!$I1364,(IF(ISNUMBER(FIND("Aug",$C$1)),Monthly!$J1364,(IF(ISNUMBER(FIND("Sep",$C$1)),Monthly!$K1364,(IF(ISNUMBER(FIND("Oct",$C$1)),Monthly!$L1364,(IF(ISNUMBER(FIND("Nov",$C$1)),Monthly!$M1364,(IF(ISNUMBER(FIND("Dec",$C$1)),Monthly!$N1364,))))))))))))))))))))))))))</f>
        <v>95</v>
      </c>
      <c r="J42" s="1138">
        <f>IF(ISNUMBER(FIND("Jan",$C$1)),Monthly!$C1287,(IF(ISNUMBER(FIND("Feb",$C$1)),Monthly!$D1287,((IF(ISNUMBER(FIND("Mar",$C$1)),Monthly!$E1287,(IF(ISNUMBER(FIND("Apr",$C$1)),Monthly!$F1287,((IF(ISNUMBER(FIND("May",$C$1)),Monthly!$G1287,((IF(ISNUMBER(FIND("Jun",$C$1)),Monthly!$H1287,(IF(ISNUMBER(FIND("Jul",$C$1)),Monthly!$I1287,(IF(ISNUMBER(FIND("Aug",$C$1)),Monthly!$J1287,(IF(ISNUMBER(FIND("Sep",$C$1)),Monthly!$K1287,(IF(ISNUMBER(FIND("Oct",$C$1)),Monthly!$L1287,(IF(ISNUMBER(FIND("Nov",$C$1)),Monthly!$M1287,(IF(ISNUMBER(FIND("Dec",$C$1)),Monthly!$N1287,))))))))))))))))))))))))))</f>
        <v>60</v>
      </c>
      <c r="K42" s="1148">
        <f>IF(ISNUMBER(FIND("Jan",$C$1)),Monthly!$C1209,(IF(ISNUMBER(FIND("Feb",$C$1)),Monthly!$D1209,((IF(ISNUMBER(FIND("Mar",$C$1)),Monthly!$E1209,(IF(ISNUMBER(FIND("Apr",$C$1)),Monthly!$F1209,((IF(ISNUMBER(FIND("May",$C$1)),Monthly!$G1209,((IF(ISNUMBER(FIND("Jun",$C$1)),Monthly!$H1209,(IF(ISNUMBER(FIND("Jul",$C$1)),Monthly!$I1209,(IF(ISNUMBER(FIND("Aug",$C$1)),Monthly!$J1209,(IF(ISNUMBER(FIND("Sep",$C$1)),Monthly!$K1209,(IF(ISNUMBER(FIND("Oct",$C$1)),Monthly!$L1209,(IF(ISNUMBER(FIND("Nov",$C$1)),Monthly!$M1209,(IF(ISNUMBER(FIND("Dec",$C$1)),Monthly!$N1209,))))))))))))))))))))))))))</f>
        <v>60</v>
      </c>
      <c r="L42" s="1139">
        <f>IF(ISNUMBER(FIND("Jan",$C$1)),Monthly!$C1132,(IF(ISNUMBER(FIND("Feb",$C$1)),Monthly!$D1132,((IF(ISNUMBER(FIND("Mar",$C$1)),Monthly!$E1132,(IF(ISNUMBER(FIND("Apr",$C$1)),Monthly!$F1132,((IF(ISNUMBER(FIND("May",$C$1)),Monthly!$G1132,((IF(ISNUMBER(FIND("Jun",$C$1)),Monthly!$H1132,(IF(ISNUMBER(FIND("Jul",$C$1)),Monthly!$I1132,(IF(ISNUMBER(FIND("Aug",$C$1)),Monthly!$J1132,(IF(ISNUMBER(FIND("Sep",$C$1)),Monthly!$K1132,(IF(ISNUMBER(FIND("Oct",$C$1)),Monthly!$L1132,(IF(ISNUMBER(FIND("Nov",$C$1)),Monthly!$M1132,(IF(ISNUMBER(FIND("Dec",$C$1)),Monthly!$N1132,))))))))))))))))))))))))))</f>
        <v>61</v>
      </c>
      <c r="M42" s="1139">
        <f>IF(ISNUMBER(FIND("Jan",$C$1)),Monthly!$C1055,(IF(ISNUMBER(FIND("Feb",$C$1)),Monthly!$D1055,((IF(ISNUMBER(FIND("Mar",$C$1)),Monthly!$E1055,(IF(ISNUMBER(FIND("Apr",$C$1)),Monthly!$F1055,((IF(ISNUMBER(FIND("May",$C$1)),Monthly!$G1055,((IF(ISNUMBER(FIND("Jun",$C$1)),Monthly!$H1055,(IF(ISNUMBER(FIND("Jul",$C$1)),Monthly!$I1055,(IF(ISNUMBER(FIND("Aug",$C$1)),Monthly!$J1055,(IF(ISNUMBER(FIND("Sep",$C$1)),Monthly!$K1055,(IF(ISNUMBER(FIND("Oct",$C$1)),Monthly!$L1055,(IF(ISNUMBER(FIND("Nov",$C$1)),Monthly!$M1055,(IF(ISNUMBER(FIND("Dec",$C$1)),Monthly!$N1055,))))))))))))))))))))))))))</f>
        <v>61</v>
      </c>
      <c r="N42" s="1148">
        <f>IF(ISNUMBER(FIND("Jan",$C$1)),Monthly!$C978,(IF(ISNUMBER(FIND("Feb",$C$1)),Monthly!$D978,((IF(ISNUMBER(FIND("Mar",$C$1)),Monthly!$E978,(IF(ISNUMBER(FIND("Apr",$C$1)),Monthly!$F978,((IF(ISNUMBER(FIND("May",$C$1)),Monthly!$G978,((IF(ISNUMBER(FIND("Jun",$C$1)),Monthly!$H978,(IF(ISNUMBER(FIND("Jul",$C$1)),Monthly!$I978,(IF(ISNUMBER(FIND("Aug",$C$1)),Monthly!$J978,(IF(ISNUMBER(FIND("Sep",$C$1)),Monthly!$K978,(IF(ISNUMBER(FIND("Oct",$C$1)),Monthly!$L978,(IF(ISNUMBER(FIND("Nov",$C$1)),Monthly!$M978,(IF(ISNUMBER(FIND("Dec",$C$1)),Monthly!$N978,))))))))))))))))))))))))))</f>
        <v>0</v>
      </c>
      <c r="O42" s="1148">
        <f>IF(ISNUMBER(FIND("Jan",$C$1)),Monthly!$C902,(IF(ISNUMBER(FIND("Feb",$C$1)),Monthly!$D902,((IF(ISNUMBER(FIND("Mar",$C$1)),Monthly!$E902,(IF(ISNUMBER(FIND("Apr",$C$1)),Monthly!$F902,((IF(ISNUMBER(FIND("May",$C$1)),Monthly!$G902,((IF(ISNUMBER(FIND("Jun",$C$1)),Monthly!$H902,(IF(ISNUMBER(FIND("Jul",$C$1)),Monthly!$I902,(IF(ISNUMBER(FIND("Aug",$C$1)),Monthly!$J902,(IF(ISNUMBER(FIND("Sep",$C$1)),Monthly!$K902,(IF(ISNUMBER(FIND("Oct",$C$1)),Monthly!$L902,(IF(ISNUMBER(FIND("Nov",$C$1)),Monthly!$M902,(IF(ISNUMBER(FIND("Dec",$C$1)),Monthly!$N902,))))))))))))))))))))))))))</f>
        <v>50</v>
      </c>
      <c r="P42" s="1148">
        <f>IF(ISNUMBER(FIND("Jan",$C$1)),Monthly!$C825,(IF(ISNUMBER(FIND("Feb",$C$1)),Monthly!$D825,((IF(ISNUMBER(FIND("Mar",$C$1)),Monthly!$E825,(IF(ISNUMBER(FIND("Apr",$C$1)),Monthly!$F825,((IF(ISNUMBER(FIND("May",$C$1)),Monthly!$G825,((IF(ISNUMBER(FIND("Jun",$C$1)),Monthly!$H825,(IF(ISNUMBER(FIND("Jul",$C$1)),Monthly!$I825,(IF(ISNUMBER(FIND("Aug",$C$1)),Monthly!$J825,(IF(ISNUMBER(FIND("Sep",$C$1)),Monthly!$K825,(IF(ISNUMBER(FIND("Oct",$C$1)),Monthly!$L825,(IF(ISNUMBER(FIND("Nov",$C$1)),Monthly!$M825,(IF(ISNUMBER(FIND("Dec",$C$1)),Monthly!$N825,))))))))))))))))))))))))))</f>
        <v>48</v>
      </c>
      <c r="Q42" s="1142">
        <f>IF(ISNUMBER(FIND("Jan",$C$1)),Monthly!$C748,(IF(ISNUMBER(FIND("Feb",$C$1)),Monthly!$D748,((IF(ISNUMBER(FIND("Mar",$C$1)),Monthly!$E748,(IF(ISNUMBER(FIND("Apr",$C$1)),Monthly!$F748,((IF(ISNUMBER(FIND("May",$C$1)),Monthly!$G748,((IF(ISNUMBER(FIND("Jun",$C$1)),Monthly!$H748,(IF(ISNUMBER(FIND("Jul",$C$1)),Monthly!$I748,(IF(ISNUMBER(FIND("Aug",$C$1)),Monthly!$J748,(IF(ISNUMBER(FIND("Sep",$C$1)),Monthly!$K748,(IF(ISNUMBER(FIND("Oct",$C$1)),Monthly!$L748,(IF(ISNUMBER(FIND("Nov",$C$1)),Monthly!$M748,(IF(ISNUMBER(FIND("Dec",$C$1)),Monthly!$N748,))))))))))))))))))))))))))</f>
        <v>80</v>
      </c>
      <c r="R42" s="1142"/>
      <c r="S42" s="1142"/>
      <c r="T42" s="1142"/>
      <c r="U42" s="1143">
        <f>Monthly!O441</f>
        <v>113</v>
      </c>
      <c r="V42" s="1142">
        <f>Monthly!O356</f>
        <v>85</v>
      </c>
      <c r="W42" s="1142"/>
      <c r="X42" s="1144">
        <f t="shared" si="20"/>
        <v>76.266666666666666</v>
      </c>
      <c r="Y42" s="1145">
        <f t="shared" si="21"/>
        <v>1.0895238095238095E-2</v>
      </c>
      <c r="Z42" s="1146"/>
      <c r="AA42" s="1147">
        <f t="shared" si="22"/>
        <v>129</v>
      </c>
      <c r="AB42" s="1147">
        <f t="shared" si="23"/>
        <v>0</v>
      </c>
    </row>
    <row r="43" spans="1:28" s="147" customFormat="1" ht="13.5">
      <c r="A43" s="1136"/>
      <c r="B43" s="1137" t="s">
        <v>419</v>
      </c>
      <c r="C43" s="1138">
        <f>IF(ISNUMBER(FIND("Jan",$C$1)),Monthly!$C1830,(IF(ISNUMBER(FIND("Feb",$C$1)),Monthly!$D1830,((IF(ISNUMBER(FIND("Mar",$C$1)),Monthly!$E1830,(IF(ISNUMBER(FIND("Apr",$C$1)),Monthly!$F1830,((IF(ISNUMBER(FIND("May",$C$1)),Monthly!$G1830,((IF(ISNUMBER(FIND("Jun",$C$1)),Monthly!$H1830,(IF(ISNUMBER(FIND("Jul",$C$1)),Monthly!$I1830,(IF(ISNUMBER(FIND("Aug",$C$1)),Monthly!$J1830,(IF(ISNUMBER(FIND("Sep",$C$1)),Monthly!$K1830,(IF(ISNUMBER(FIND("Oct",$C$1)),Monthly!$L1830,(IF(ISNUMBER(FIND("Nov",$C$1)),Monthly!$M1830,(IF(ISNUMBER(FIND("Dec",$C$1)),Monthly!$N1830,))))))))))))))))))))))))))</f>
        <v>30</v>
      </c>
      <c r="D43" s="1139">
        <f>IF(ISNUMBER(FIND("Jan",$C$1)),Monthly!$C1753,(IF(ISNUMBER(FIND("Feb",$C$1)),Monthly!$D1753,((IF(ISNUMBER(FIND("Mar",$C$1)),Monthly!$E1753,(IF(ISNUMBER(FIND("Apr",$C$1)),Monthly!$F1753,((IF(ISNUMBER(FIND("May",$C$1)),Monthly!$G1753,((IF(ISNUMBER(FIND("Jun",$C$1)),Monthly!$H1753,(IF(ISNUMBER(FIND("Jul",$C$1)),Monthly!$I1753,(IF(ISNUMBER(FIND("Aug",$C$1)),Monthly!$J1753,(IF(ISNUMBER(FIND("Sep",$C$1)),Monthly!$K1753,(IF(ISNUMBER(FIND("Oct",$C$1)),Monthly!$L1753,(IF(ISNUMBER(FIND("Nov",$C$1)),Monthly!$M1753,(IF(ISNUMBER(FIND("Dec",$C$1)),Monthly!$N1753,))))))))))))))))))))))))))</f>
        <v>30</v>
      </c>
      <c r="E43" s="1139">
        <f xml:space="preserve">
IF(ISNUMBER(FIND("Jan",$C$1)),Monthly!$C1675,(IF(ISNUMBER(FIND("Feb",$C$1)),Monthly!$D1675,((IF(ISNUMBER(FIND("Mar",$C$1)),Monthly!$E1675,(IF(ISNUMBER(FIND("Apr",$C$1)),Monthly!$F1675,((IF(ISNUMBER(FIND("May",$C$1)),Monthly!$G1675,((IF(ISNUMBER(FIND("Jun",$C$1)),Monthly!$H1675,(IF(ISNUMBER(FIND("Jul",$C$1)),Monthly!$I1675,(IF(ISNUMBER(FIND("Aug",$C$1)),Monthly!$J1675,(IF(ISNUMBER(FIND("Sep",$C$1)),Monthly!$K1675,(IF(ISNUMBER(FIND("Oct",$C$1)),Monthly!$L1675,(IF(ISNUMBER(FIND("Nov",$C$1)),Monthly!$M1675,(IF(ISNUMBER(FIND("Dec",$C$1)),Monthly!$N1675,))))))))))))))))))))))))))</f>
        <v>33</v>
      </c>
      <c r="F43" s="1138">
        <f>IF(ISNUMBER(FIND("Jan",$C$1)),Monthly!$C1597,(IF(ISNUMBER(FIND("Feb",$C$1)),Monthly!$D1597,((IF(ISNUMBER(FIND("Mar",$C$1)),Monthly!$E1597,(IF(ISNUMBER(FIND("Apr",$C$1)),Monthly!$F1597,((IF(ISNUMBER(FIND("May",$C$1)),Monthly!$G1597,((IF(ISNUMBER(FIND("Jun",$C$1)),Monthly!$H1597,(IF(ISNUMBER(FIND("Jul",$C$1)),Monthly!$I1597,(IF(ISNUMBER(FIND("Aug",$C$1)),Monthly!$J1597,(IF(ISNUMBER(FIND("Sep",$C$1)),Monthly!$K1597,(IF(ISNUMBER(FIND("Oct",$C$1)),Monthly!$L1597,(IF(ISNUMBER(FIND("Nov",$C$1)),Monthly!$M1597,(IF(ISNUMBER(FIND("Dec",$C$1)),Monthly!$N1597,))))))))))))))))))))))))))</f>
        <v>35</v>
      </c>
      <c r="G43" s="1139">
        <f>IF(ISNUMBER(FIND("Jan",$C$1)),Monthly!$C1519,(IF(ISNUMBER(FIND("Feb",$C$1)),Monthly!$D1519,((IF(ISNUMBER(FIND("Mar",$C$1)),Monthly!$E1519,(IF(ISNUMBER(FIND("Apr",$C$1)),Monthly!$F1519,((IF(ISNUMBER(FIND("May",$C$1)),Monthly!$G1519,((IF(ISNUMBER(FIND("Jun",$C$1)),Monthly!$H1519,(IF(ISNUMBER(FIND("Jul",$C$1)),Monthly!$I1519,(IF(ISNUMBER(FIND("Aug",$C$1)),Monthly!$J1519,(IF(ISNUMBER(FIND("Sep",$C$1)),Monthly!$K1519,(IF(ISNUMBER(FIND("Oct",$C$1)),Monthly!$L1519,(IF(ISNUMBER(FIND("Nov",$C$1)),Monthly!$M1519,(IF(ISNUMBER(FIND("Dec",$C$1)),Monthly!$N1519,))))))))))))))))))))))))))</f>
        <v>37</v>
      </c>
      <c r="H43" s="1139">
        <f>IF(ISNUMBER(FIND("Jan",$C$1)),Monthly!$C1442,(IF(ISNUMBER(FIND("Feb",$C$1)),Monthly!$D1442,((IF(ISNUMBER(FIND("Mar",$C$1)),Monthly!$E1442,(IF(ISNUMBER(FIND("Apr",$C$1)),Monthly!$F1442,((IF(ISNUMBER(FIND("May",$C$1)),Monthly!$G1442,((IF(ISNUMBER(FIND("Jun",$C$1)),Monthly!$H1442,(IF(ISNUMBER(FIND("Jul",$C$1)),Monthly!$I1442,(IF(ISNUMBER(FIND("Aug",$C$1)),Monthly!$J1442,(IF(ISNUMBER(FIND("Sep",$C$1)),Monthly!$K1442,(IF(ISNUMBER(FIND("Oct",$C$1)),Monthly!$L1442,(IF(ISNUMBER(FIND("Nov",$C$1)),Monthly!$M1442,(IF(ISNUMBER(FIND("Dec",$C$1)),Monthly!$N1442,))))))))))))))))))))))))))</f>
        <v>23</v>
      </c>
      <c r="I43" s="1139">
        <f>IF(ISNUMBER(FIND("Jan",$C$1)),Monthly!$C1365,(IF(ISNUMBER(FIND("Feb",$C$1)),Monthly!$D1365,((IF(ISNUMBER(FIND("Mar",$C$1)),Monthly!$E1365,(IF(ISNUMBER(FIND("Apr",$C$1)),Monthly!$F1365,((IF(ISNUMBER(FIND("May",$C$1)),Monthly!$G1365,((IF(ISNUMBER(FIND("Jun",$C$1)),Monthly!$H1365,(IF(ISNUMBER(FIND("Jul",$C$1)),Monthly!$I1365,(IF(ISNUMBER(FIND("Aug",$C$1)),Monthly!$J1365,(IF(ISNUMBER(FIND("Sep",$C$1)),Monthly!$K1365,(IF(ISNUMBER(FIND("Oct",$C$1)),Monthly!$L1365,(IF(ISNUMBER(FIND("Nov",$C$1)),Monthly!$M1365,(IF(ISNUMBER(FIND("Dec",$C$1)),Monthly!$N1365,))))))))))))))))))))))))))</f>
        <v>32</v>
      </c>
      <c r="J43" s="1138">
        <f>IF(ISNUMBER(FIND("Jan",$C$1)),Monthly!$C1288,(IF(ISNUMBER(FIND("Feb",$C$1)),Monthly!$D1288,((IF(ISNUMBER(FIND("Mar",$C$1)),Monthly!$E1288,(IF(ISNUMBER(FIND("Apr",$C$1)),Monthly!$F1288,((IF(ISNUMBER(FIND("May",$C$1)),Monthly!$G1288,((IF(ISNUMBER(FIND("Jun",$C$1)),Monthly!$H1288,(IF(ISNUMBER(FIND("Jul",$C$1)),Monthly!$I1288,(IF(ISNUMBER(FIND("Aug",$C$1)),Monthly!$J1288,(IF(ISNUMBER(FIND("Sep",$C$1)),Monthly!$K1288,(IF(ISNUMBER(FIND("Oct",$C$1)),Monthly!$L1288,(IF(ISNUMBER(FIND("Nov",$C$1)),Monthly!$M1288,(IF(ISNUMBER(FIND("Dec",$C$1)),Monthly!$N1288,))))))))))))))))))))))))))</f>
        <v>35</v>
      </c>
      <c r="K43" s="1148">
        <f>IF(ISNUMBER(FIND("Jan",$C$1)),Monthly!$C1210,(IF(ISNUMBER(FIND("Feb",$C$1)),Monthly!$D1210,((IF(ISNUMBER(FIND("Mar",$C$1)),Monthly!$E1210,(IF(ISNUMBER(FIND("Apr",$C$1)),Monthly!$F1210,((IF(ISNUMBER(FIND("May",$C$1)),Monthly!$G1210,((IF(ISNUMBER(FIND("Jun",$C$1)),Monthly!$H1210,(IF(ISNUMBER(FIND("Jul",$C$1)),Monthly!$I1210,(IF(ISNUMBER(FIND("Aug",$C$1)),Monthly!$J1210,(IF(ISNUMBER(FIND("Sep",$C$1)),Monthly!$K1210,(IF(ISNUMBER(FIND("Oct",$C$1)),Monthly!$L1210,(IF(ISNUMBER(FIND("Nov",$C$1)),Monthly!$M1210,(IF(ISNUMBER(FIND("Dec",$C$1)),Monthly!$N1210,))))))))))))))))))))))))))</f>
        <v>35</v>
      </c>
      <c r="L43" s="1139">
        <f>IF(ISNUMBER(FIND("Jan",$C$1)),Monthly!$C1133,(IF(ISNUMBER(FIND("Feb",$C$1)),Monthly!$D1133,((IF(ISNUMBER(FIND("Mar",$C$1)),Monthly!$E1133,(IF(ISNUMBER(FIND("Apr",$C$1)),Monthly!$F1133,((IF(ISNUMBER(FIND("May",$C$1)),Monthly!$G1133,((IF(ISNUMBER(FIND("Jun",$C$1)),Monthly!$H1133,(IF(ISNUMBER(FIND("Jul",$C$1)),Monthly!$I1133,(IF(ISNUMBER(FIND("Aug",$C$1)),Monthly!$J1133,(IF(ISNUMBER(FIND("Sep",$C$1)),Monthly!$K1133,(IF(ISNUMBER(FIND("Oct",$C$1)),Monthly!$L1133,(IF(ISNUMBER(FIND("Nov",$C$1)),Monthly!$M1133,(IF(ISNUMBER(FIND("Dec",$C$1)),Monthly!$N1133,))))))))))))))))))))))))))</f>
        <v>35</v>
      </c>
      <c r="M43" s="1139">
        <f>IF(ISNUMBER(FIND("Jan",$C$1)),Monthly!$C1056,(IF(ISNUMBER(FIND("Feb",$C$1)),Monthly!$D1056,((IF(ISNUMBER(FIND("Mar",$C$1)),Monthly!$E1056,(IF(ISNUMBER(FIND("Apr",$C$1)),Monthly!$F1056,((IF(ISNUMBER(FIND("May",$C$1)),Monthly!$G1056,((IF(ISNUMBER(FIND("Jun",$C$1)),Monthly!$H1056,(IF(ISNUMBER(FIND("Jul",$C$1)),Monthly!$I1056,(IF(ISNUMBER(FIND("Aug",$C$1)),Monthly!$J1056,(IF(ISNUMBER(FIND("Sep",$C$1)),Monthly!$K1056,(IF(ISNUMBER(FIND("Oct",$C$1)),Monthly!$L1056,(IF(ISNUMBER(FIND("Nov",$C$1)),Monthly!$M1056,(IF(ISNUMBER(FIND("Dec",$C$1)),Monthly!$N1056,))))))))))))))))))))))))))</f>
        <v>4</v>
      </c>
      <c r="N43" s="1148">
        <f>IF(ISNUMBER(FIND("Jan",$C$1)),Monthly!$C979,(IF(ISNUMBER(FIND("Feb",$C$1)),Monthly!$D979,((IF(ISNUMBER(FIND("Mar",$C$1)),Monthly!$E979,(IF(ISNUMBER(FIND("Apr",$C$1)),Monthly!$F979,((IF(ISNUMBER(FIND("May",$C$1)),Monthly!$G979,((IF(ISNUMBER(FIND("Jun",$C$1)),Monthly!$H979,(IF(ISNUMBER(FIND("Jul",$C$1)),Monthly!$I979,(IF(ISNUMBER(FIND("Aug",$C$1)),Monthly!$J979,(IF(ISNUMBER(FIND("Sep",$C$1)),Monthly!$K979,(IF(ISNUMBER(FIND("Oct",$C$1)),Monthly!$L979,(IF(ISNUMBER(FIND("Nov",$C$1)),Monthly!$M979,(IF(ISNUMBER(FIND("Dec",$C$1)),Monthly!$N979,))))))))))))))))))))))))))</f>
        <v>55</v>
      </c>
      <c r="O43" s="1148">
        <f>IF(ISNUMBER(FIND("Jan",$C$1)),Monthly!$C903,(IF(ISNUMBER(FIND("Feb",$C$1)),Monthly!$D903,((IF(ISNUMBER(FIND("Mar",$C$1)),Monthly!$E903,(IF(ISNUMBER(FIND("Apr",$C$1)),Monthly!$F903,((IF(ISNUMBER(FIND("May",$C$1)),Monthly!$G903,((IF(ISNUMBER(FIND("Jun",$C$1)),Monthly!$H903,(IF(ISNUMBER(FIND("Jul",$C$1)),Monthly!$I903,(IF(ISNUMBER(FIND("Aug",$C$1)),Monthly!$J903,(IF(ISNUMBER(FIND("Sep",$C$1)),Monthly!$K903,(IF(ISNUMBER(FIND("Oct",$C$1)),Monthly!$L903,(IF(ISNUMBER(FIND("Nov",$C$1)),Monthly!$M903,(IF(ISNUMBER(FIND("Dec",$C$1)),Monthly!$N903,))))))))))))))))))))))))))</f>
        <v>4</v>
      </c>
      <c r="P43" s="1148">
        <f>IF(ISNUMBER(FIND("Jan",$C$1)),Monthly!$C826,(IF(ISNUMBER(FIND("Feb",$C$1)),Monthly!$D826,((IF(ISNUMBER(FIND("Mar",$C$1)),Monthly!$E826,(IF(ISNUMBER(FIND("Apr",$C$1)),Monthly!$F826,((IF(ISNUMBER(FIND("May",$C$1)),Monthly!$G826,((IF(ISNUMBER(FIND("Jun",$C$1)),Monthly!$H826,(IF(ISNUMBER(FIND("Jul",$C$1)),Monthly!$I826,(IF(ISNUMBER(FIND("Aug",$C$1)),Monthly!$J826,(IF(ISNUMBER(FIND("Sep",$C$1)),Monthly!$K826,(IF(ISNUMBER(FIND("Oct",$C$1)),Monthly!$L826,(IF(ISNUMBER(FIND("Nov",$C$1)),Monthly!$M826,(IF(ISNUMBER(FIND("Dec",$C$1)),Monthly!$N826,))))))))))))))))))))))))))</f>
        <v>5</v>
      </c>
      <c r="Q43" s="1142">
        <f>IF(ISNUMBER(FIND("Jan",$C$1)),Monthly!$C749,(IF(ISNUMBER(FIND("Feb",$C$1)),Monthly!$D749,((IF(ISNUMBER(FIND("Mar",$C$1)),Monthly!$E749,(IF(ISNUMBER(FIND("Apr",$C$1)),Monthly!$F749,((IF(ISNUMBER(FIND("May",$C$1)),Monthly!$G749,((IF(ISNUMBER(FIND("Jun",$C$1)),Monthly!$H749,(IF(ISNUMBER(FIND("Jul",$C$1)),Monthly!$I749,(IF(ISNUMBER(FIND("Aug",$C$1)),Monthly!$J749,(IF(ISNUMBER(FIND("Sep",$C$1)),Monthly!$K749,(IF(ISNUMBER(FIND("Oct",$C$1)),Monthly!$L749,(IF(ISNUMBER(FIND("Nov",$C$1)),Monthly!$M749,(IF(ISNUMBER(FIND("Dec",$C$1)),Monthly!$N749,))))))))))))))))))))))))))</f>
        <v>0</v>
      </c>
      <c r="R43" s="1142"/>
      <c r="S43" s="1142"/>
      <c r="T43" s="1142"/>
      <c r="U43" s="1143">
        <f>Monthly!O442</f>
        <v>0</v>
      </c>
      <c r="V43" s="1142">
        <f>Monthly!O357</f>
        <v>0</v>
      </c>
      <c r="W43" s="1142"/>
      <c r="X43" s="1144">
        <f t="shared" si="20"/>
        <v>26.2</v>
      </c>
      <c r="Y43" s="1145">
        <f t="shared" si="21"/>
        <v>3.7428571428571428E-3</v>
      </c>
      <c r="Z43" s="1146"/>
      <c r="AA43" s="1147">
        <f t="shared" si="22"/>
        <v>55</v>
      </c>
      <c r="AB43" s="1147">
        <f t="shared" si="23"/>
        <v>0</v>
      </c>
    </row>
    <row r="44" spans="1:28" s="147" customFormat="1" ht="13.5">
      <c r="A44" s="1136"/>
      <c r="B44" s="1137" t="s">
        <v>460</v>
      </c>
      <c r="C44" s="1138">
        <f>IF(ISNUMBER(FIND("Jan",$C$1)),Monthly!$C1831,(IF(ISNUMBER(FIND("Feb",$C$1)),Monthly!$D1831,((IF(ISNUMBER(FIND("Mar",$C$1)),Monthly!$E1831,(IF(ISNUMBER(FIND("Apr",$C$1)),Monthly!$F1831,((IF(ISNUMBER(FIND("May",$C$1)),Monthly!$G1831,((IF(ISNUMBER(FIND("Jun",$C$1)),Monthly!$H1831,(IF(ISNUMBER(FIND("Jul",$C$1)),Monthly!$I1831,(IF(ISNUMBER(FIND("Aug",$C$1)),Monthly!$J1831,(IF(ISNUMBER(FIND("Sep",$C$1)),Monthly!$K1831,(IF(ISNUMBER(FIND("Oct",$C$1)),Monthly!$L1831,(IF(ISNUMBER(FIND("Nov",$C$1)),Monthly!$M1831,(IF(ISNUMBER(FIND("Dec",$C$1)),Monthly!$N1831,))))))))))))))))))))))))))</f>
        <v>165</v>
      </c>
      <c r="D44" s="1139">
        <f>IF(ISNUMBER(FIND("Jan",$C$1)),Monthly!$C1754,(IF(ISNUMBER(FIND("Feb",$C$1)),Monthly!$D1754,((IF(ISNUMBER(FIND("Mar",$C$1)),Monthly!$E1754,(IF(ISNUMBER(FIND("Apr",$C$1)),Monthly!$F1754,((IF(ISNUMBER(FIND("May",$C$1)),Monthly!$G1754,((IF(ISNUMBER(FIND("Jun",$C$1)),Monthly!$H1754,(IF(ISNUMBER(FIND("Jul",$C$1)),Monthly!$I1754,(IF(ISNUMBER(FIND("Aug",$C$1)),Monthly!$J1754,(IF(ISNUMBER(FIND("Sep",$C$1)),Monthly!$K1754,(IF(ISNUMBER(FIND("Oct",$C$1)),Monthly!$L1754,(IF(ISNUMBER(FIND("Nov",$C$1)),Monthly!$M1754,(IF(ISNUMBER(FIND("Dec",$C$1)),Monthly!$N1754,))))))))))))))))))))))))))</f>
        <v>49</v>
      </c>
      <c r="E44" s="1139">
        <f xml:space="preserve">
IF(ISNUMBER(FIND("Jan",$C$1)),Monthly!$C1676,(IF(ISNUMBER(FIND("Feb",$C$1)),Monthly!$D1676,((IF(ISNUMBER(FIND("Mar",$C$1)),Monthly!$E1676,(IF(ISNUMBER(FIND("Apr",$C$1)),Monthly!$F1676,((IF(ISNUMBER(FIND("May",$C$1)),Monthly!$G1676,((IF(ISNUMBER(FIND("Jun",$C$1)),Monthly!$H1676,(IF(ISNUMBER(FIND("Jul",$C$1)),Monthly!$I1676,(IF(ISNUMBER(FIND("Aug",$C$1)),Monthly!$J1676,(IF(ISNUMBER(FIND("Sep",$C$1)),Monthly!$K1676,(IF(ISNUMBER(FIND("Oct",$C$1)),Monthly!$L1676,(IF(ISNUMBER(FIND("Nov",$C$1)),Monthly!$M1676,(IF(ISNUMBER(FIND("Dec",$C$1)),Monthly!$N1676,))))))))))))))))))))))))))</f>
        <v>61</v>
      </c>
      <c r="F44" s="1138">
        <f>IF(ISNUMBER(FIND("Jan",$C$1)),Monthly!$C1598,(IF(ISNUMBER(FIND("Feb",$C$1)),Monthly!$D1598,((IF(ISNUMBER(FIND("Mar",$C$1)),Monthly!$E1598,(IF(ISNUMBER(FIND("Apr",$C$1)),Monthly!$F1598,((IF(ISNUMBER(FIND("May",$C$1)),Monthly!$G1598,((IF(ISNUMBER(FIND("Jun",$C$1)),Monthly!$H1598,(IF(ISNUMBER(FIND("Jul",$C$1)),Monthly!$I1598,(IF(ISNUMBER(FIND("Aug",$C$1)),Monthly!$J1598,(IF(ISNUMBER(FIND("Sep",$C$1)),Monthly!$K1598,(IF(ISNUMBER(FIND("Oct",$C$1)),Monthly!$L1598,(IF(ISNUMBER(FIND("Nov",$C$1)),Monthly!$M1598,(IF(ISNUMBER(FIND("Dec",$C$1)),Monthly!$N1598,))))))))))))))))))))))))))</f>
        <v>53</v>
      </c>
      <c r="G44" s="1139">
        <f>IF(ISNUMBER(FIND("Jan",$C$1)),Monthly!$C1520,(IF(ISNUMBER(FIND("Feb",$C$1)),Monthly!$D1520,((IF(ISNUMBER(FIND("Mar",$C$1)),Monthly!$E1520,(IF(ISNUMBER(FIND("Apr",$C$1)),Monthly!$F1520,((IF(ISNUMBER(FIND("May",$C$1)),Monthly!$G1520,((IF(ISNUMBER(FIND("Jun",$C$1)),Monthly!$H1520,(IF(ISNUMBER(FIND("Jul",$C$1)),Monthly!$I1520,(IF(ISNUMBER(FIND("Aug",$C$1)),Monthly!$J1520,(IF(ISNUMBER(FIND("Sep",$C$1)),Monthly!$K1520,(IF(ISNUMBER(FIND("Oct",$C$1)),Monthly!$L1520,(IF(ISNUMBER(FIND("Nov",$C$1)),Monthly!$M1520,(IF(ISNUMBER(FIND("Dec",$C$1)),Monthly!$N1520,))))))))))))))))))))))))))</f>
        <v>0</v>
      </c>
      <c r="H44" s="1139">
        <f>IF(ISNUMBER(FIND("Jan",$C$1)),Monthly!$C1443,(IF(ISNUMBER(FIND("Feb",$C$1)),Monthly!$D1443,((IF(ISNUMBER(FIND("Mar",$C$1)),Monthly!$E1443,(IF(ISNUMBER(FIND("Apr",$C$1)),Monthly!$F1443,((IF(ISNUMBER(FIND("May",$C$1)),Monthly!$G1443,((IF(ISNUMBER(FIND("Jun",$C$1)),Monthly!$H1443,(IF(ISNUMBER(FIND("Jul",$C$1)),Monthly!$I1443,(IF(ISNUMBER(FIND("Aug",$C$1)),Monthly!$J1443,(IF(ISNUMBER(FIND("Sep",$C$1)),Monthly!$K1443,(IF(ISNUMBER(FIND("Oct",$C$1)),Monthly!$L1443,(IF(ISNUMBER(FIND("Nov",$C$1)),Monthly!$M1443,(IF(ISNUMBER(FIND("Dec",$C$1)),Monthly!$N1443,))))))))))))))))))))))))))</f>
        <v>27</v>
      </c>
      <c r="I44" s="1139">
        <f>IF(ISNUMBER(FIND("Jan",$C$1)),Monthly!$C1366,(IF(ISNUMBER(FIND("Feb",$C$1)),Monthly!$D1366,((IF(ISNUMBER(FIND("Mar",$C$1)),Monthly!$E1366,(IF(ISNUMBER(FIND("Apr",$C$1)),Monthly!$F1366,((IF(ISNUMBER(FIND("May",$C$1)),Monthly!$G1366,((IF(ISNUMBER(FIND("Jun",$C$1)),Monthly!$H1366,(IF(ISNUMBER(FIND("Jul",$C$1)),Monthly!$I1366,(IF(ISNUMBER(FIND("Aug",$C$1)),Monthly!$J1366,(IF(ISNUMBER(FIND("Sep",$C$1)),Monthly!$K1366,(IF(ISNUMBER(FIND("Oct",$C$1)),Monthly!$L1366,(IF(ISNUMBER(FIND("Nov",$C$1)),Monthly!$M1366,(IF(ISNUMBER(FIND("Dec",$C$1)),Monthly!$N1366,))))))))))))))))))))))))))</f>
        <v>0</v>
      </c>
      <c r="J44" s="1138">
        <f>IF(ISNUMBER(FIND("Jan",$C$1)),Monthly!$C1289,(IF(ISNUMBER(FIND("Feb",$C$1)),Monthly!$D1289,((IF(ISNUMBER(FIND("Mar",$C$1)),Monthly!$E1289,(IF(ISNUMBER(FIND("Apr",$C$1)),Monthly!$F1289,((IF(ISNUMBER(FIND("May",$C$1)),Monthly!$G1289,((IF(ISNUMBER(FIND("Jun",$C$1)),Monthly!$H1289,(IF(ISNUMBER(FIND("Jul",$C$1)),Monthly!$I1289,(IF(ISNUMBER(FIND("Aug",$C$1)),Monthly!$J1289,(IF(ISNUMBER(FIND("Sep",$C$1)),Monthly!$K1289,(IF(ISNUMBER(FIND("Oct",$C$1)),Monthly!$L1289,(IF(ISNUMBER(FIND("Nov",$C$1)),Monthly!$M1289,(IF(ISNUMBER(FIND("Dec",$C$1)),Monthly!$N1289,))))))))))))))))))))))))))</f>
        <v>0</v>
      </c>
      <c r="K44" s="1148">
        <f>IF(ISNUMBER(FIND("Jan",$C$1)),Monthly!$C1211,(IF(ISNUMBER(FIND("Feb",$C$1)),Monthly!$D1211,((IF(ISNUMBER(FIND("Mar",$C$1)),Monthly!$E1211,(IF(ISNUMBER(FIND("Apr",$C$1)),Monthly!$F1211,((IF(ISNUMBER(FIND("May",$C$1)),Monthly!$G1211,((IF(ISNUMBER(FIND("Jun",$C$1)),Monthly!$H1211,(IF(ISNUMBER(FIND("Jul",$C$1)),Monthly!$I1211,(IF(ISNUMBER(FIND("Aug",$C$1)),Monthly!$J1211,(IF(ISNUMBER(FIND("Sep",$C$1)),Monthly!$K1211,(IF(ISNUMBER(FIND("Oct",$C$1)),Monthly!$L1211,(IF(ISNUMBER(FIND("Nov",$C$1)),Monthly!$M1211,(IF(ISNUMBER(FIND("Dec",$C$1)),Monthly!$N1211,))))))))))))))))))))))))))</f>
        <v>0</v>
      </c>
      <c r="L44" s="1139">
        <f>IF(ISNUMBER(FIND("Jan",$C$1)),Monthly!$C1134,(IF(ISNUMBER(FIND("Feb",$C$1)),Monthly!$D1134,((IF(ISNUMBER(FIND("Mar",$C$1)),Monthly!$E1134,(IF(ISNUMBER(FIND("Apr",$C$1)),Monthly!$F1134,((IF(ISNUMBER(FIND("May",$C$1)),Monthly!$G1134,((IF(ISNUMBER(FIND("Jun",$C$1)),Monthly!$H1134,(IF(ISNUMBER(FIND("Jul",$C$1)),Monthly!$I1134,(IF(ISNUMBER(FIND("Aug",$C$1)),Monthly!$J1134,(IF(ISNUMBER(FIND("Sep",$C$1)),Monthly!$K1134,(IF(ISNUMBER(FIND("Oct",$C$1)),Monthly!$L1134,(IF(ISNUMBER(FIND("Nov",$C$1)),Monthly!$M1134,(IF(ISNUMBER(FIND("Dec",$C$1)),Monthly!$N1134,))))))))))))))))))))))))))</f>
        <v>0</v>
      </c>
      <c r="M44" s="1139">
        <f>IF(ISNUMBER(FIND("Jan",$C$1)),Monthly!$C1057,(IF(ISNUMBER(FIND("Feb",$C$1)),Monthly!$D1057,((IF(ISNUMBER(FIND("Mar",$C$1)),Monthly!$E1057,(IF(ISNUMBER(FIND("Apr",$C$1)),Monthly!$F1057,((IF(ISNUMBER(FIND("May",$C$1)),Monthly!$G1057,((IF(ISNUMBER(FIND("Jun",$C$1)),Monthly!$H1057,(IF(ISNUMBER(FIND("Jul",$C$1)),Monthly!$I1057,(IF(ISNUMBER(FIND("Aug",$C$1)),Monthly!$J1057,(IF(ISNUMBER(FIND("Sep",$C$1)),Monthly!$K1057,(IF(ISNUMBER(FIND("Oct",$C$1)),Monthly!$L1057,(IF(ISNUMBER(FIND("Nov",$C$1)),Monthly!$M1057,(IF(ISNUMBER(FIND("Dec",$C$1)),Monthly!$N1057,))))))))))))))))))))))))))</f>
        <v>12</v>
      </c>
      <c r="N44" s="1148">
        <f>IF(ISNUMBER(FIND("Jan",$C$1)),Monthly!$C980,(IF(ISNUMBER(FIND("Feb",$C$1)),Monthly!$D980,((IF(ISNUMBER(FIND("Mar",$C$1)),Monthly!$E980,(IF(ISNUMBER(FIND("Apr",$C$1)),Monthly!$F980,((IF(ISNUMBER(FIND("May",$C$1)),Monthly!$G980,((IF(ISNUMBER(FIND("Jun",$C$1)),Monthly!$H980,(IF(ISNUMBER(FIND("Jul",$C$1)),Monthly!$I980,(IF(ISNUMBER(FIND("Aug",$C$1)),Monthly!$J980,(IF(ISNUMBER(FIND("Sep",$C$1)),Monthly!$K980,(IF(ISNUMBER(FIND("Oct",$C$1)),Monthly!$L980,(IF(ISNUMBER(FIND("Nov",$C$1)),Monthly!$M980,(IF(ISNUMBER(FIND("Dec",$C$1)),Monthly!$N980,))))))))))))))))))))))))))</f>
        <v>12</v>
      </c>
      <c r="O44" s="1148">
        <f>IF(ISNUMBER(FIND("Jan",$C$1)),Monthly!$C904,(IF(ISNUMBER(FIND("Feb",$C$1)),Monthly!$D904,((IF(ISNUMBER(FIND("Mar",$C$1)),Monthly!$E904,(IF(ISNUMBER(FIND("Apr",$C$1)),Monthly!$F904,((IF(ISNUMBER(FIND("May",$C$1)),Monthly!$G904,((IF(ISNUMBER(FIND("Jun",$C$1)),Monthly!$H904,(IF(ISNUMBER(FIND("Jul",$C$1)),Monthly!$I904,(IF(ISNUMBER(FIND("Aug",$C$1)),Monthly!$J904,(IF(ISNUMBER(FIND("Sep",$C$1)),Monthly!$K904,(IF(ISNUMBER(FIND("Oct",$C$1)),Monthly!$L904,(IF(ISNUMBER(FIND("Nov",$C$1)),Monthly!$M904,(IF(ISNUMBER(FIND("Dec",$C$1)),Monthly!$N904,))))))))))))))))))))))))))</f>
        <v>0</v>
      </c>
      <c r="P44" s="1148">
        <f>IF(ISNUMBER(FIND("Jan",$C$1)),Monthly!$C827,(IF(ISNUMBER(FIND("Feb",$C$1)),Monthly!$D827,((IF(ISNUMBER(FIND("Mar",$C$1)),Monthly!$E827,(IF(ISNUMBER(FIND("Apr",$C$1)),Monthly!$F827,((IF(ISNUMBER(FIND("May",$C$1)),Monthly!$G827,((IF(ISNUMBER(FIND("Jun",$C$1)),Monthly!$H827,(IF(ISNUMBER(FIND("Jul",$C$1)),Monthly!$I827,(IF(ISNUMBER(FIND("Aug",$C$1)),Monthly!$J827,(IF(ISNUMBER(FIND("Sep",$C$1)),Monthly!$K827,(IF(ISNUMBER(FIND("Oct",$C$1)),Monthly!$L827,(IF(ISNUMBER(FIND("Nov",$C$1)),Monthly!$M827,(IF(ISNUMBER(FIND("Dec",$C$1)),Monthly!$N827,))))))))))))))))))))))))))</f>
        <v>0</v>
      </c>
      <c r="Q44" s="1142">
        <f>IF(ISNUMBER(FIND("Jan",$C$1)),Monthly!$C750,(IF(ISNUMBER(FIND("Feb",$C$1)),Monthly!$D750,((IF(ISNUMBER(FIND("Mar",$C$1)),Monthly!$E750,(IF(ISNUMBER(FIND("Apr",$C$1)),Monthly!$F750,((IF(ISNUMBER(FIND("May",$C$1)),Monthly!$G750,((IF(ISNUMBER(FIND("Jun",$C$1)),Monthly!$H750,(IF(ISNUMBER(FIND("Jul",$C$1)),Monthly!$I750,(IF(ISNUMBER(FIND("Aug",$C$1)),Monthly!$J750,(IF(ISNUMBER(FIND("Sep",$C$1)),Monthly!$K750,(IF(ISNUMBER(FIND("Oct",$C$1)),Monthly!$L750,(IF(ISNUMBER(FIND("Nov",$C$1)),Monthly!$M750,(IF(ISNUMBER(FIND("Dec",$C$1)),Monthly!$N750,))))))))))))))))))))))))))</f>
        <v>0</v>
      </c>
      <c r="R44" s="1142"/>
      <c r="S44" s="1142"/>
      <c r="T44" s="1142"/>
      <c r="U44" s="1143">
        <f>Monthly!O443</f>
        <v>0</v>
      </c>
      <c r="V44" s="1142">
        <f>Monthly!O358</f>
        <v>0.83333333333333337</v>
      </c>
      <c r="W44" s="1142"/>
      <c r="X44" s="1144">
        <f t="shared" si="20"/>
        <v>25.266666666666666</v>
      </c>
      <c r="Y44" s="1145">
        <f t="shared" si="21"/>
        <v>3.6095238095238094E-3</v>
      </c>
      <c r="Z44" s="1146"/>
      <c r="AA44" s="1147">
        <f t="shared" si="22"/>
        <v>165</v>
      </c>
      <c r="AB44" s="1147">
        <f t="shared" si="23"/>
        <v>0</v>
      </c>
    </row>
    <row r="45" spans="1:28" s="147" customFormat="1" ht="13.5">
      <c r="A45" s="1136"/>
      <c r="B45" s="1137" t="s">
        <v>421</v>
      </c>
      <c r="C45" s="1138">
        <f>IF(ISNUMBER(FIND("Jan",$C$1)),Monthly!$C1832,(IF(ISNUMBER(FIND("Feb",$C$1)),Monthly!$D1832,((IF(ISNUMBER(FIND("Mar",$C$1)),Monthly!$E1832,(IF(ISNUMBER(FIND("Apr",$C$1)),Monthly!$F1832,((IF(ISNUMBER(FIND("May",$C$1)),Monthly!$G1832,((IF(ISNUMBER(FIND("Jun",$C$1)),Monthly!$H1832,(IF(ISNUMBER(FIND("Jul",$C$1)),Monthly!$I1832,(IF(ISNUMBER(FIND("Aug",$C$1)),Monthly!$J1832,(IF(ISNUMBER(FIND("Sep",$C$1)),Monthly!$K1832,(IF(ISNUMBER(FIND("Oct",$C$1)),Monthly!$L1832,(IF(ISNUMBER(FIND("Nov",$C$1)),Monthly!$M1832,(IF(ISNUMBER(FIND("Dec",$C$1)),Monthly!$N1832,))))))))))))))))))))))))))</f>
        <v>80</v>
      </c>
      <c r="D45" s="1139">
        <f>IF(ISNUMBER(FIND("Jan",$C$1)),Monthly!$C1755,(IF(ISNUMBER(FIND("Feb",$C$1)),Monthly!$D1755,((IF(ISNUMBER(FIND("Mar",$C$1)),Monthly!$E1755,(IF(ISNUMBER(FIND("Apr",$C$1)),Monthly!$F1755,((IF(ISNUMBER(FIND("May",$C$1)),Monthly!$G1755,((IF(ISNUMBER(FIND("Jun",$C$1)),Monthly!$H1755,(IF(ISNUMBER(FIND("Jul",$C$1)),Monthly!$I1755,(IF(ISNUMBER(FIND("Aug",$C$1)),Monthly!$J1755,(IF(ISNUMBER(FIND("Sep",$C$1)),Monthly!$K1755,(IF(ISNUMBER(FIND("Oct",$C$1)),Monthly!$L1755,(IF(ISNUMBER(FIND("Nov",$C$1)),Monthly!$M1755,(IF(ISNUMBER(FIND("Dec",$C$1)),Monthly!$N1755,))))))))))))))))))))))))))</f>
        <v>68</v>
      </c>
      <c r="E45" s="1139">
        <f xml:space="preserve">
IF(ISNUMBER(FIND("Jan",$C$1)),Monthly!$C1677,(IF(ISNUMBER(FIND("Feb",$C$1)),Monthly!$D1677,((IF(ISNUMBER(FIND("Mar",$C$1)),Monthly!$E1677,(IF(ISNUMBER(FIND("Apr",$C$1)),Monthly!$F1677,((IF(ISNUMBER(FIND("May",$C$1)),Monthly!$G1677,((IF(ISNUMBER(FIND("Jun",$C$1)),Monthly!$H1677,(IF(ISNUMBER(FIND("Jul",$C$1)),Monthly!$I1677,(IF(ISNUMBER(FIND("Aug",$C$1)),Monthly!$J1677,(IF(ISNUMBER(FIND("Sep",$C$1)),Monthly!$K1677,(IF(ISNUMBER(FIND("Oct",$C$1)),Monthly!$L1677,(IF(ISNUMBER(FIND("Nov",$C$1)),Monthly!$M1677,(IF(ISNUMBER(FIND("Dec",$C$1)),Monthly!$N1677,))))))))))))))))))))))))))</f>
        <v>65</v>
      </c>
      <c r="F45" s="1138">
        <f>IF(ISNUMBER(FIND("Jan",$C$1)),Monthly!$C1599,(IF(ISNUMBER(FIND("Feb",$C$1)),Monthly!$D1599,((IF(ISNUMBER(FIND("Mar",$C$1)),Monthly!$E1599,(IF(ISNUMBER(FIND("Apr",$C$1)),Monthly!$F1599,((IF(ISNUMBER(FIND("May",$C$1)),Monthly!$G1599,((IF(ISNUMBER(FIND("Jun",$C$1)),Monthly!$H1599,(IF(ISNUMBER(FIND("Jul",$C$1)),Monthly!$I1599,(IF(ISNUMBER(FIND("Aug",$C$1)),Monthly!$J1599,(IF(ISNUMBER(FIND("Sep",$C$1)),Monthly!$K1599,(IF(ISNUMBER(FIND("Oct",$C$1)),Monthly!$L1599,(IF(ISNUMBER(FIND("Nov",$C$1)),Monthly!$M1599,(IF(ISNUMBER(FIND("Dec",$C$1)),Monthly!$N1599,))))))))))))))))))))))))))</f>
        <v>66</v>
      </c>
      <c r="G45" s="1139">
        <f>IF(ISNUMBER(FIND("Jan",$C$1)),Monthly!$C1521,(IF(ISNUMBER(FIND("Feb",$C$1)),Monthly!$D1521,((IF(ISNUMBER(FIND("Mar",$C$1)),Monthly!$E1521,(IF(ISNUMBER(FIND("Apr",$C$1)),Monthly!$F1521,((IF(ISNUMBER(FIND("May",$C$1)),Monthly!$G1521,((IF(ISNUMBER(FIND("Jun",$C$1)),Monthly!$H1521,(IF(ISNUMBER(FIND("Jul",$C$1)),Monthly!$I1521,(IF(ISNUMBER(FIND("Aug",$C$1)),Monthly!$J1521,(IF(ISNUMBER(FIND("Sep",$C$1)),Monthly!$K1521,(IF(ISNUMBER(FIND("Oct",$C$1)),Monthly!$L1521,(IF(ISNUMBER(FIND("Nov",$C$1)),Monthly!$M1521,(IF(ISNUMBER(FIND("Dec",$C$1)),Monthly!$N1521,))))))))))))))))))))))))))</f>
        <v>69</v>
      </c>
      <c r="H45" s="1139">
        <f>IF(ISNUMBER(FIND("Jan",$C$1)),Monthly!$C1444,(IF(ISNUMBER(FIND("Feb",$C$1)),Monthly!$D1444,((IF(ISNUMBER(FIND("Mar",$C$1)),Monthly!$E1444,(IF(ISNUMBER(FIND("Apr",$C$1)),Monthly!$F1444,((IF(ISNUMBER(FIND("May",$C$1)),Monthly!$G1444,((IF(ISNUMBER(FIND("Jun",$C$1)),Monthly!$H1444,(IF(ISNUMBER(FIND("Jul",$C$1)),Monthly!$I1444,(IF(ISNUMBER(FIND("Aug",$C$1)),Monthly!$J1444,(IF(ISNUMBER(FIND("Sep",$C$1)),Monthly!$K1444,(IF(ISNUMBER(FIND("Oct",$C$1)),Monthly!$L1444,(IF(ISNUMBER(FIND("Nov",$C$1)),Monthly!$M1444,(IF(ISNUMBER(FIND("Dec",$C$1)),Monthly!$N1444,))))))))))))))))))))))))))</f>
        <v>65</v>
      </c>
      <c r="I45" s="1139">
        <f>IF(ISNUMBER(FIND("Jan",$C$1)),Monthly!$C1367,(IF(ISNUMBER(FIND("Feb",$C$1)),Monthly!$D1367,((IF(ISNUMBER(FIND("Mar",$C$1)),Monthly!$E1367,(IF(ISNUMBER(FIND("Apr",$C$1)),Monthly!$F1367,((IF(ISNUMBER(FIND("May",$C$1)),Monthly!$G1367,((IF(ISNUMBER(FIND("Jun",$C$1)),Monthly!$H1367,(IF(ISNUMBER(FIND("Jul",$C$1)),Monthly!$I1367,(IF(ISNUMBER(FIND("Aug",$C$1)),Monthly!$J1367,(IF(ISNUMBER(FIND("Sep",$C$1)),Monthly!$K1367,(IF(ISNUMBER(FIND("Oct",$C$1)),Monthly!$L1367,(IF(ISNUMBER(FIND("Nov",$C$1)),Monthly!$M1367,(IF(ISNUMBER(FIND("Dec",$C$1)),Monthly!$N1367,))))))))))))))))))))))))))</f>
        <v>103</v>
      </c>
      <c r="J45" s="1138">
        <f>IF(ISNUMBER(FIND("Jan",$C$1)),Monthly!$C1290,(IF(ISNUMBER(FIND("Feb",$C$1)),Monthly!$D1290,((IF(ISNUMBER(FIND("Mar",$C$1)),Monthly!$E1290,(IF(ISNUMBER(FIND("Apr",$C$1)),Monthly!$F1290,((IF(ISNUMBER(FIND("May",$C$1)),Monthly!$G1290,((IF(ISNUMBER(FIND("Jun",$C$1)),Monthly!$H1290,(IF(ISNUMBER(FIND("Jul",$C$1)),Monthly!$I1290,(IF(ISNUMBER(FIND("Aug",$C$1)),Monthly!$J1290,(IF(ISNUMBER(FIND("Sep",$C$1)),Monthly!$K1290,(IF(ISNUMBER(FIND("Oct",$C$1)),Monthly!$L1290,(IF(ISNUMBER(FIND("Nov",$C$1)),Monthly!$M1290,(IF(ISNUMBER(FIND("Dec",$C$1)),Monthly!$N1290,))))))))))))))))))))))))))</f>
        <v>109</v>
      </c>
      <c r="K45" s="1148">
        <f>IF(ISNUMBER(FIND("Jan",$C$1)),Monthly!$C1212,(IF(ISNUMBER(FIND("Feb",$C$1)),Monthly!$D1212,((IF(ISNUMBER(FIND("Mar",$C$1)),Monthly!$E1212,(IF(ISNUMBER(FIND("Apr",$C$1)),Monthly!$F1212,((IF(ISNUMBER(FIND("May",$C$1)),Monthly!$G1212,((IF(ISNUMBER(FIND("Jun",$C$1)),Monthly!$H1212,(IF(ISNUMBER(FIND("Jul",$C$1)),Monthly!$I1212,(IF(ISNUMBER(FIND("Aug",$C$1)),Monthly!$J1212,(IF(ISNUMBER(FIND("Sep",$C$1)),Monthly!$K1212,(IF(ISNUMBER(FIND("Oct",$C$1)),Monthly!$L1212,(IF(ISNUMBER(FIND("Nov",$C$1)),Monthly!$M1212,(IF(ISNUMBER(FIND("Dec",$C$1)),Monthly!$N1212,))))))))))))))))))))))))))</f>
        <v>74</v>
      </c>
      <c r="L45" s="1139">
        <f>IF(ISNUMBER(FIND("Jan",$C$1)),Monthly!$C1135,(IF(ISNUMBER(FIND("Feb",$C$1)),Monthly!$D1135,((IF(ISNUMBER(FIND("Mar",$C$1)),Monthly!$E1135,(IF(ISNUMBER(FIND("Apr",$C$1)),Monthly!$F1135,((IF(ISNUMBER(FIND("May",$C$1)),Monthly!$G1135,((IF(ISNUMBER(FIND("Jun",$C$1)),Monthly!$H1135,(IF(ISNUMBER(FIND("Jul",$C$1)),Monthly!$I1135,(IF(ISNUMBER(FIND("Aug",$C$1)),Monthly!$J1135,(IF(ISNUMBER(FIND("Sep",$C$1)),Monthly!$K1135,(IF(ISNUMBER(FIND("Oct",$C$1)),Monthly!$L1135,(IF(ISNUMBER(FIND("Nov",$C$1)),Monthly!$M1135,(IF(ISNUMBER(FIND("Dec",$C$1)),Monthly!$N1135,))))))))))))))))))))))))))</f>
        <v>71</v>
      </c>
      <c r="M45" s="1139">
        <f>IF(ISNUMBER(FIND("Jan",$C$1)),Monthly!$C1058,(IF(ISNUMBER(FIND("Feb",$C$1)),Monthly!$D1058,((IF(ISNUMBER(FIND("Mar",$C$1)),Monthly!$E1058,(IF(ISNUMBER(FIND("Apr",$C$1)),Monthly!$F1058,((IF(ISNUMBER(FIND("May",$C$1)),Monthly!$G1058,((IF(ISNUMBER(FIND("Jun",$C$1)),Monthly!$H1058,(IF(ISNUMBER(FIND("Jul",$C$1)),Monthly!$I1058,(IF(ISNUMBER(FIND("Aug",$C$1)),Monthly!$J1058,(IF(ISNUMBER(FIND("Sep",$C$1)),Monthly!$K1058,(IF(ISNUMBER(FIND("Oct",$C$1)),Monthly!$L1058,(IF(ISNUMBER(FIND("Nov",$C$1)),Monthly!$M1058,(IF(ISNUMBER(FIND("Dec",$C$1)),Monthly!$N1058,))))))))))))))))))))))))))</f>
        <v>71</v>
      </c>
      <c r="N45" s="1148">
        <f>IF(ISNUMBER(FIND("Jan",$C$1)),Monthly!$C981,(IF(ISNUMBER(FIND("Feb",$C$1)),Monthly!$D981,((IF(ISNUMBER(FIND("Mar",$C$1)),Monthly!$E981,(IF(ISNUMBER(FIND("Apr",$C$1)),Monthly!$F981,((IF(ISNUMBER(FIND("May",$C$1)),Monthly!$G981,((IF(ISNUMBER(FIND("Jun",$C$1)),Monthly!$H981,(IF(ISNUMBER(FIND("Jul",$C$1)),Monthly!$I981,(IF(ISNUMBER(FIND("Aug",$C$1)),Monthly!$J981,(IF(ISNUMBER(FIND("Sep",$C$1)),Monthly!$K981,(IF(ISNUMBER(FIND("Oct",$C$1)),Monthly!$L981,(IF(ISNUMBER(FIND("Nov",$C$1)),Monthly!$M981,(IF(ISNUMBER(FIND("Dec",$C$1)),Monthly!$N981,))))))))))))))))))))))))))</f>
        <v>0</v>
      </c>
      <c r="O45" s="1148">
        <f>IF(ISNUMBER(FIND("Jan",$C$1)),Monthly!$C905,(IF(ISNUMBER(FIND("Feb",$C$1)),Monthly!$D905,((IF(ISNUMBER(FIND("Mar",$C$1)),Monthly!$E905,(IF(ISNUMBER(FIND("Apr",$C$1)),Monthly!$F905,((IF(ISNUMBER(FIND("May",$C$1)),Monthly!$G905,((IF(ISNUMBER(FIND("Jun",$C$1)),Monthly!$H905,(IF(ISNUMBER(FIND("Jul",$C$1)),Monthly!$I905,(IF(ISNUMBER(FIND("Aug",$C$1)),Monthly!$J905,(IF(ISNUMBER(FIND("Sep",$C$1)),Monthly!$K905,(IF(ISNUMBER(FIND("Oct",$C$1)),Monthly!$L905,(IF(ISNUMBER(FIND("Nov",$C$1)),Monthly!$M905,(IF(ISNUMBER(FIND("Dec",$C$1)),Monthly!$N905,))))))))))))))))))))))))))</f>
        <v>0</v>
      </c>
      <c r="P45" s="1148">
        <f>IF(ISNUMBER(FIND("Jan",$C$1)),Monthly!$C828,(IF(ISNUMBER(FIND("Feb",$C$1)),Monthly!$D828,((IF(ISNUMBER(FIND("Mar",$C$1)),Monthly!$E828,(IF(ISNUMBER(FIND("Apr",$C$1)),Monthly!$F828,((IF(ISNUMBER(FIND("May",$C$1)),Monthly!$G828,((IF(ISNUMBER(FIND("Jun",$C$1)),Monthly!$H828,(IF(ISNUMBER(FIND("Jul",$C$1)),Monthly!$I828,(IF(ISNUMBER(FIND("Aug",$C$1)),Monthly!$J828,(IF(ISNUMBER(FIND("Sep",$C$1)),Monthly!$K828,(IF(ISNUMBER(FIND("Oct",$C$1)),Monthly!$L828,(IF(ISNUMBER(FIND("Nov",$C$1)),Monthly!$M828,(IF(ISNUMBER(FIND("Dec",$C$1)),Monthly!$N828,))))))))))))))))))))))))))</f>
        <v>0</v>
      </c>
      <c r="Q45" s="1142">
        <f>IF(ISNUMBER(FIND("Jan",$C$1)),Monthly!$C751,(IF(ISNUMBER(FIND("Feb",$C$1)),Monthly!$D751,((IF(ISNUMBER(FIND("Mar",$C$1)),Monthly!$E751,(IF(ISNUMBER(FIND("Apr",$C$1)),Monthly!$F751,((IF(ISNUMBER(FIND("May",$C$1)),Monthly!$G751,((IF(ISNUMBER(FIND("Jun",$C$1)),Monthly!$H751,(IF(ISNUMBER(FIND("Jul",$C$1)),Monthly!$I751,(IF(ISNUMBER(FIND("Aug",$C$1)),Monthly!$J751,(IF(ISNUMBER(FIND("Sep",$C$1)),Monthly!$K751,(IF(ISNUMBER(FIND("Oct",$C$1)),Monthly!$L751,(IF(ISNUMBER(FIND("Nov",$C$1)),Monthly!$M751,(IF(ISNUMBER(FIND("Dec",$C$1)),Monthly!$N751,))))))))))))))))))))))))))</f>
        <v>60</v>
      </c>
      <c r="R45" s="1142"/>
      <c r="S45" s="1142"/>
      <c r="T45" s="1142"/>
      <c r="U45" s="1143">
        <f>Monthly!O444</f>
        <v>146.66666666666666</v>
      </c>
      <c r="V45" s="1142">
        <f>Monthly!O359</f>
        <v>200</v>
      </c>
      <c r="W45" s="1142"/>
      <c r="X45" s="1144">
        <f t="shared" si="20"/>
        <v>60.06666666666667</v>
      </c>
      <c r="Y45" s="1145">
        <f t="shared" si="21"/>
        <v>8.5809523809523818E-3</v>
      </c>
      <c r="Z45" s="1146"/>
      <c r="AA45" s="1147">
        <f t="shared" si="22"/>
        <v>109</v>
      </c>
      <c r="AB45" s="1147">
        <f t="shared" si="23"/>
        <v>0</v>
      </c>
    </row>
    <row r="46" spans="1:28" s="147" customFormat="1" ht="13.5">
      <c r="A46" s="2295" t="s">
        <v>422</v>
      </c>
      <c r="B46" s="2296"/>
      <c r="C46" s="2283">
        <f t="shared" ref="C46:X46" si="24">SUM(C48:C54)</f>
        <v>857</v>
      </c>
      <c r="D46" s="2283">
        <f t="shared" si="24"/>
        <v>414</v>
      </c>
      <c r="E46" s="2283">
        <f t="shared" si="24"/>
        <v>283</v>
      </c>
      <c r="F46" s="2283">
        <f t="shared" si="24"/>
        <v>704</v>
      </c>
      <c r="G46" s="2283">
        <f t="shared" si="24"/>
        <v>477</v>
      </c>
      <c r="H46" s="2283">
        <f t="shared" si="24"/>
        <v>479</v>
      </c>
      <c r="I46" s="2283">
        <f t="shared" si="24"/>
        <v>809</v>
      </c>
      <c r="J46" s="2283">
        <f t="shared" si="24"/>
        <v>937</v>
      </c>
      <c r="K46" s="2283">
        <f t="shared" si="24"/>
        <v>860</v>
      </c>
      <c r="L46" s="2283">
        <f t="shared" si="24"/>
        <v>1141</v>
      </c>
      <c r="M46" s="2283">
        <f t="shared" si="24"/>
        <v>1031</v>
      </c>
      <c r="N46" s="2283">
        <f t="shared" si="24"/>
        <v>1918</v>
      </c>
      <c r="O46" s="2283">
        <f t="shared" si="24"/>
        <v>4009</v>
      </c>
      <c r="P46" s="2283">
        <f t="shared" si="24"/>
        <v>1294</v>
      </c>
      <c r="Q46" s="2283">
        <f t="shared" si="24"/>
        <v>789</v>
      </c>
      <c r="R46" s="2283">
        <f t="shared" ref="R46:W46" si="25">SUM(R48:R54)</f>
        <v>0</v>
      </c>
      <c r="S46" s="2283">
        <f t="shared" si="25"/>
        <v>0</v>
      </c>
      <c r="T46" s="2283">
        <f t="shared" si="25"/>
        <v>0</v>
      </c>
      <c r="U46" s="2283">
        <f t="shared" si="25"/>
        <v>1736.2500000000002</v>
      </c>
      <c r="V46" s="2283">
        <f t="shared" si="25"/>
        <v>4463.9166666666661</v>
      </c>
      <c r="W46" s="2283">
        <f t="shared" si="25"/>
        <v>0</v>
      </c>
      <c r="X46" s="2283">
        <f t="shared" si="24"/>
        <v>1066.8000000000002</v>
      </c>
      <c r="Y46" s="1150">
        <f>X46/7000</f>
        <v>0.15240000000000004</v>
      </c>
      <c r="Z46" s="1134"/>
      <c r="AA46" s="2283">
        <f>SUM(AA48:AA54)</f>
        <v>4908</v>
      </c>
      <c r="AB46" s="2283">
        <f>SUM(AB48:AB54)</f>
        <v>31</v>
      </c>
    </row>
    <row r="47" spans="1:28" s="148" customFormat="1" ht="13.5">
      <c r="A47" s="2297"/>
      <c r="B47" s="2298"/>
      <c r="C47" s="2284"/>
      <c r="D47" s="2284"/>
      <c r="E47" s="2284"/>
      <c r="F47" s="2284"/>
      <c r="G47" s="2284"/>
      <c r="H47" s="2284"/>
      <c r="I47" s="2284"/>
      <c r="J47" s="2284"/>
      <c r="K47" s="2284"/>
      <c r="L47" s="2284"/>
      <c r="M47" s="2284"/>
      <c r="N47" s="2284"/>
      <c r="O47" s="2284"/>
      <c r="P47" s="2284"/>
      <c r="Q47" s="2284"/>
      <c r="R47" s="2284"/>
      <c r="S47" s="2284"/>
      <c r="T47" s="2284"/>
      <c r="U47" s="2284"/>
      <c r="V47" s="2284"/>
      <c r="W47" s="2284"/>
      <c r="X47" s="2284"/>
      <c r="Y47" s="1150"/>
      <c r="Z47" s="1135"/>
      <c r="AA47" s="2284"/>
      <c r="AB47" s="2284"/>
    </row>
    <row r="48" spans="1:28" s="147" customFormat="1" ht="13.5">
      <c r="A48" s="2305"/>
      <c r="B48" s="1151" t="s">
        <v>280</v>
      </c>
      <c r="C48" s="1138">
        <f>IF(ISNUMBER(FIND("Jan",$C$1)),Monthly!$C1835,(IF(ISNUMBER(FIND("Feb",$C$1)),Monthly!$D1835,((IF(ISNUMBER(FIND("Mar",$C$1)),Monthly!$E1835,(IF(ISNUMBER(FIND("Apr",$C$1)),Monthly!$F1835,((IF(ISNUMBER(FIND("May",$C$1)),Monthly!$G1835,((IF(ISNUMBER(FIND("Jun",$C$1)),Monthly!$H1835,(IF(ISNUMBER(FIND("Jul",$C$1)),Monthly!$I1835,(IF(ISNUMBER(FIND("Aug",$C$1)),Monthly!$J1835,(IF(ISNUMBER(FIND("Sep",$C$1)),Monthly!$K1835,(IF(ISNUMBER(FIND("Oct",$C$1)),Monthly!$L1835,(IF(ISNUMBER(FIND("Nov",$C$1)),Monthly!$M1835,(IF(ISNUMBER(FIND("Dec",$C$1)),Monthly!$N1835,))))))))))))))))))))))))))</f>
        <v>189</v>
      </c>
      <c r="D48" s="1139">
        <f>IF(ISNUMBER(FIND("Jan",$C$1)),Monthly!$C1758,(IF(ISNUMBER(FIND("Feb",$C$1)),Monthly!$D1758,((IF(ISNUMBER(FIND("Mar",$C$1)),Monthly!$E1758,(IF(ISNUMBER(FIND("Apr",$C$1)),Monthly!$F1758,((IF(ISNUMBER(FIND("May",$C$1)),Monthly!$G1758,((IF(ISNUMBER(FIND("Jun",$C$1)),Monthly!$H1758,(IF(ISNUMBER(FIND("Jul",$C$1)),Monthly!$I1758,(IF(ISNUMBER(FIND("Aug",$C$1)),Monthly!$J1758,(IF(ISNUMBER(FIND("Sep",$C$1)),Monthly!$K1758,(IF(ISNUMBER(FIND("Oct",$C$1)),Monthly!$L1758,(IF(ISNUMBER(FIND("Nov",$C$1)),Monthly!$M1758,(IF(ISNUMBER(FIND("Dec",$C$1)),Monthly!$N1758,))))))))))))))))))))))))))</f>
        <v>156</v>
      </c>
      <c r="E48" s="1139">
        <f xml:space="preserve">
IF(ISNUMBER(FIND("Jan",$C$1)),Monthly!$C1680,(IF(ISNUMBER(FIND("Feb",$C$1)),Monthly!$D1680,((IF(ISNUMBER(FIND("Mar",$C$1)),Monthly!$E1680,(IF(ISNUMBER(FIND("Apr",$C$1)),Monthly!$F1680,((IF(ISNUMBER(FIND("May",$C$1)),Monthly!$G1680,((IF(ISNUMBER(FIND("Jun",$C$1)),Monthly!$H1680,(IF(ISNUMBER(FIND("Jul",$C$1)),Monthly!$I1680,(IF(ISNUMBER(FIND("Aug",$C$1)),Monthly!$J1680,(IF(ISNUMBER(FIND("Sep",$C$1)),Monthly!$K1680,(IF(ISNUMBER(FIND("Oct",$C$1)),Monthly!$L1680,(IF(ISNUMBER(FIND("Nov",$C$1)),Monthly!$M1680,(IF(ISNUMBER(FIND("Dec",$C$1)),Monthly!$N1680,))))))))))))))))))))))))))</f>
        <v>16</v>
      </c>
      <c r="F48" s="1138">
        <f>IF(ISNUMBER(FIND("Jan",$C$1)),Monthly!$C1602,(IF(ISNUMBER(FIND("Feb",$C$1)),Monthly!$D1602,((IF(ISNUMBER(FIND("Mar",$C$1)),Monthly!$E1602,(IF(ISNUMBER(FIND("Apr",$C$1)),Monthly!$F1602,((IF(ISNUMBER(FIND("May",$C$1)),Monthly!$G1602,((IF(ISNUMBER(FIND("Jun",$C$1)),Monthly!$H1602,(IF(ISNUMBER(FIND("Jul",$C$1)),Monthly!$I1602,(IF(ISNUMBER(FIND("Aug",$C$1)),Monthly!$J1602,(IF(ISNUMBER(FIND("Sep",$C$1)),Monthly!$K1602,(IF(ISNUMBER(FIND("Oct",$C$1)),Monthly!$L1602,(IF(ISNUMBER(FIND("Nov",$C$1)),Monthly!$M1602,(IF(ISNUMBER(FIND("Dec",$C$1)),Monthly!$N1602,))))))))))))))))))))))))))</f>
        <v>163</v>
      </c>
      <c r="G48" s="1139">
        <f>IF(ISNUMBER(FIND("Jan",$C$1)),Monthly!$C1524,(IF(ISNUMBER(FIND("Feb",$C$1)),Monthly!$D1524,((IF(ISNUMBER(FIND("Mar",$C$1)),Monthly!$E1524,(IF(ISNUMBER(FIND("Apr",$C$1)),Monthly!$F1524,((IF(ISNUMBER(FIND("May",$C$1)),Monthly!$G1524,((IF(ISNUMBER(FIND("Jun",$C$1)),Monthly!$H1524,(IF(ISNUMBER(FIND("Jul",$C$1)),Monthly!$I1524,(IF(ISNUMBER(FIND("Aug",$C$1)),Monthly!$J1524,(IF(ISNUMBER(FIND("Sep",$C$1)),Monthly!$K1524,(IF(ISNUMBER(FIND("Oct",$C$1)),Monthly!$L1524,(IF(ISNUMBER(FIND("Nov",$C$1)),Monthly!$M1524,(IF(ISNUMBER(FIND("Dec",$C$1)),Monthly!$N1524,))))))))))))))))))))))))))</f>
        <v>60</v>
      </c>
      <c r="H48" s="1139">
        <f>IF(ISNUMBER(FIND("Jan",$C$1)),Monthly!$C1447,(IF(ISNUMBER(FIND("Feb",$C$1)),Monthly!$D1447,((IF(ISNUMBER(FIND("Mar",$C$1)),Monthly!$E1447,(IF(ISNUMBER(FIND("Apr",$C$1)),Monthly!$F1447,((IF(ISNUMBER(FIND("May",$C$1)),Monthly!$G1447,((IF(ISNUMBER(FIND("Jun",$C$1)),Monthly!$H1447,(IF(ISNUMBER(FIND("Jul",$C$1)),Monthly!$I1447,(IF(ISNUMBER(FIND("Aug",$C$1)),Monthly!$J1447,(IF(ISNUMBER(FIND("Sep",$C$1)),Monthly!$K1447,(IF(ISNUMBER(FIND("Oct",$C$1)),Monthly!$L1447,(IF(ISNUMBER(FIND("Nov",$C$1)),Monthly!$M1447,(IF(ISNUMBER(FIND("Dec",$C$1)),Monthly!$N1447,))))))))))))))))))))))))))</f>
        <v>71</v>
      </c>
      <c r="I48" s="1139">
        <f>IF(ISNUMBER(FIND("Jan",$C$1)),Monthly!$C1370,(IF(ISNUMBER(FIND("Feb",$C$1)),Monthly!$D1370,((IF(ISNUMBER(FIND("Mar",$C$1)),Monthly!$E1370,(IF(ISNUMBER(FIND("Apr",$C$1)),Monthly!$F1370,((IF(ISNUMBER(FIND("May",$C$1)),Monthly!$G1370,((IF(ISNUMBER(FIND("Jun",$C$1)),Monthly!$H1370,(IF(ISNUMBER(FIND("Jul",$C$1)),Monthly!$I1370,(IF(ISNUMBER(FIND("Aug",$C$1)),Monthly!$J1370,(IF(ISNUMBER(FIND("Sep",$C$1)),Monthly!$K1370,(IF(ISNUMBER(FIND("Oct",$C$1)),Monthly!$L1370,(IF(ISNUMBER(FIND("Nov",$C$1)),Monthly!$M1370,(IF(ISNUMBER(FIND("Dec",$C$1)),Monthly!$N1370,))))))))))))))))))))))))))</f>
        <v>323</v>
      </c>
      <c r="J48" s="1138">
        <f>IF(ISNUMBER(FIND("Jan",$C$1)),Monthly!$C1293,(IF(ISNUMBER(FIND("Feb",$C$1)),Monthly!$D1293,((IF(ISNUMBER(FIND("Mar",$C$1)),Monthly!$E1293,(IF(ISNUMBER(FIND("Apr",$C$1)),Monthly!$F1293,((IF(ISNUMBER(FIND("May",$C$1)),Monthly!$G1293,((IF(ISNUMBER(FIND("Jun",$C$1)),Monthly!$H1293,(IF(ISNUMBER(FIND("Jul",$C$1)),Monthly!$I1293,(IF(ISNUMBER(FIND("Aug",$C$1)),Monthly!$J1293,(IF(ISNUMBER(FIND("Sep",$C$1)),Monthly!$K1293,(IF(ISNUMBER(FIND("Oct",$C$1)),Monthly!$L1293,(IF(ISNUMBER(FIND("Nov",$C$1)),Monthly!$M1293,(IF(ISNUMBER(FIND("Dec",$C$1)),Monthly!$N1293,))))))))))))))))))))))))))</f>
        <v>155</v>
      </c>
      <c r="K48" s="1148">
        <f>IF(ISNUMBER(FIND("Jan",$C$1)),Monthly!$C1215,(IF(ISNUMBER(FIND("Feb",$C$1)),Monthly!$D1215,((IF(ISNUMBER(FIND("Mar",$C$1)),Monthly!$E1215,(IF(ISNUMBER(FIND("Apr",$C$1)),Monthly!$F1215,((IF(ISNUMBER(FIND("May",$C$1)),Monthly!$G1215,((IF(ISNUMBER(FIND("Jun",$C$1)),Monthly!$H1215,(IF(ISNUMBER(FIND("Jul",$C$1)),Monthly!$I1215,(IF(ISNUMBER(FIND("Aug",$C$1)),Monthly!$J1215,(IF(ISNUMBER(FIND("Sep",$C$1)),Monthly!$K1215,(IF(ISNUMBER(FIND("Oct",$C$1)),Monthly!$L1215,(IF(ISNUMBER(FIND("Nov",$C$1)),Monthly!$M1215,(IF(ISNUMBER(FIND("Dec",$C$1)),Monthly!$N1215,))))))))))))))))))))))))))</f>
        <v>315</v>
      </c>
      <c r="L48" s="1139">
        <f>IF(ISNUMBER(FIND("Jan",$C$1)),Monthly!$C1138,(IF(ISNUMBER(FIND("Feb",$C$1)),Monthly!$D1138,((IF(ISNUMBER(FIND("Mar",$C$1)),Monthly!$E1138,(IF(ISNUMBER(FIND("Apr",$C$1)),Monthly!$F1138,((IF(ISNUMBER(FIND("May",$C$1)),Monthly!$G1138,((IF(ISNUMBER(FIND("Jun",$C$1)),Monthly!$H1138,(IF(ISNUMBER(FIND("Jul",$C$1)),Monthly!$I1138,(IF(ISNUMBER(FIND("Aug",$C$1)),Monthly!$J1138,(IF(ISNUMBER(FIND("Sep",$C$1)),Monthly!$K1138,(IF(ISNUMBER(FIND("Oct",$C$1)),Monthly!$L1138,(IF(ISNUMBER(FIND("Nov",$C$1)),Monthly!$M1138,(IF(ISNUMBER(FIND("Dec",$C$1)),Monthly!$N1138,))))))))))))))))))))))))))</f>
        <v>260</v>
      </c>
      <c r="M48" s="1139">
        <f>IF(ISNUMBER(FIND("Jan",$C$1)),Monthly!$C1061,(IF(ISNUMBER(FIND("Feb",$C$1)),Monthly!$D1061,((IF(ISNUMBER(FIND("Mar",$C$1)),Monthly!$E1061,(IF(ISNUMBER(FIND("Apr",$C$1)),Monthly!$F1061,((IF(ISNUMBER(FIND("May",$C$1)),Monthly!$G1061,((IF(ISNUMBER(FIND("Jun",$C$1)),Monthly!$H1061,(IF(ISNUMBER(FIND("Jul",$C$1)),Monthly!$I1061,(IF(ISNUMBER(FIND("Aug",$C$1)),Monthly!$J1061,(IF(ISNUMBER(FIND("Sep",$C$1)),Monthly!$K1061,(IF(ISNUMBER(FIND("Oct",$C$1)),Monthly!$L1061,(IF(ISNUMBER(FIND("Nov",$C$1)),Monthly!$M1061,(IF(ISNUMBER(FIND("Dec",$C$1)),Monthly!$N1061,))))))))))))))))))))))))))</f>
        <v>276</v>
      </c>
      <c r="N48" s="1148">
        <f>IF(ISNUMBER(FIND("Jan",$C$1)),Monthly!$C984,(IF(ISNUMBER(FIND("Feb",$C$1)),Monthly!$D984,((IF(ISNUMBER(FIND("Mar",$C$1)),Monthly!$E984,(IF(ISNUMBER(FIND("Apr",$C$1)),Monthly!$F984,((IF(ISNUMBER(FIND("May",$C$1)),Monthly!$G984,((IF(ISNUMBER(FIND("Jun",$C$1)),Monthly!$H984,(IF(ISNUMBER(FIND("Jul",$C$1)),Monthly!$I984,(IF(ISNUMBER(FIND("Aug",$C$1)),Monthly!$J984,(IF(ISNUMBER(FIND("Sep",$C$1)),Monthly!$K984,(IF(ISNUMBER(FIND("Oct",$C$1)),Monthly!$L984,(IF(ISNUMBER(FIND("Nov",$C$1)),Monthly!$M984,(IF(ISNUMBER(FIND("Dec",$C$1)),Monthly!$N984,))))))))))))))))))))))))))</f>
        <v>678</v>
      </c>
      <c r="O48" s="1148">
        <f>IF(ISNUMBER(FIND("Jan",$C$1)),Monthly!$C908,(IF(ISNUMBER(FIND("Feb",$C$1)),Monthly!$D908,((IF(ISNUMBER(FIND("Mar",$C$1)),Monthly!$E908,(IF(ISNUMBER(FIND("Apr",$C$1)),Monthly!$F908,((IF(ISNUMBER(FIND("May",$C$1)),Monthly!$G908,((IF(ISNUMBER(FIND("Jun",$C$1)),Monthly!$H908,(IF(ISNUMBER(FIND("Jul",$C$1)),Monthly!$I908,(IF(ISNUMBER(FIND("Aug",$C$1)),Monthly!$J908,(IF(ISNUMBER(FIND("Sep",$C$1)),Monthly!$K908,(IF(ISNUMBER(FIND("Oct",$C$1)),Monthly!$L908,(IF(ISNUMBER(FIND("Nov",$C$1)),Monthly!$M908,(IF(ISNUMBER(FIND("Dec",$C$1)),Monthly!$N908,))))))))))))))))))))))))))</f>
        <v>151</v>
      </c>
      <c r="P48" s="1148">
        <f>IF(ISNUMBER(FIND("Jan",$C$1)),Monthly!$C831,(IF(ISNUMBER(FIND("Feb",$C$1)),Monthly!$D831,((IF(ISNUMBER(FIND("Mar",$C$1)),Monthly!$E831,(IF(ISNUMBER(FIND("Apr",$C$1)),Monthly!$F831,((IF(ISNUMBER(FIND("May",$C$1)),Monthly!$G831,((IF(ISNUMBER(FIND("Jun",$C$1)),Monthly!$H831,(IF(ISNUMBER(FIND("Jul",$C$1)),Monthly!$I831,(IF(ISNUMBER(FIND("Aug",$C$1)),Monthly!$J831,(IF(ISNUMBER(FIND("Sep",$C$1)),Monthly!$K831,(IF(ISNUMBER(FIND("Oct",$C$1)),Monthly!$L831,(IF(ISNUMBER(FIND("Nov",$C$1)),Monthly!$M831,(IF(ISNUMBER(FIND("Dec",$C$1)),Monthly!$N831,))))))))))))))))))))))))))</f>
        <v>378</v>
      </c>
      <c r="Q48" s="1142">
        <f>IF(ISNUMBER(FIND("Jan",$C$1)),Monthly!$C754,(IF(ISNUMBER(FIND("Feb",$C$1)),Monthly!$D754,((IF(ISNUMBER(FIND("Mar",$C$1)),Monthly!$E754,(IF(ISNUMBER(FIND("Apr",$C$1)),Monthly!$F754,((IF(ISNUMBER(FIND("May",$C$1)),Monthly!$G754,((IF(ISNUMBER(FIND("Jun",$C$1)),Monthly!$H754,(IF(ISNUMBER(FIND("Jul",$C$1)),Monthly!$I754,(IF(ISNUMBER(FIND("Aug",$C$1)),Monthly!$J754,(IF(ISNUMBER(FIND("Sep",$C$1)),Monthly!$K754,(IF(ISNUMBER(FIND("Oct",$C$1)),Monthly!$L754,(IF(ISNUMBER(FIND("Nov",$C$1)),Monthly!$M754,(IF(ISNUMBER(FIND("Dec",$C$1)),Monthly!$N754,))))))))))))))))))))))))))</f>
        <v>177</v>
      </c>
      <c r="R48" s="1142"/>
      <c r="S48" s="1142"/>
      <c r="T48" s="1142"/>
      <c r="U48" s="1143">
        <f>Monthly!O447</f>
        <v>578.25</v>
      </c>
      <c r="V48" s="1142">
        <f>Monthly!O362</f>
        <v>718.66666666666663</v>
      </c>
      <c r="W48" s="1142"/>
      <c r="X48" s="1144">
        <f t="shared" ref="X48:X54" si="26">SUM(C48:Q48)/$E$77</f>
        <v>224.53333333333333</v>
      </c>
      <c r="Y48" s="1145">
        <f t="shared" ref="Y48:Y53" si="27">X48/7000</f>
        <v>3.2076190476190473E-2</v>
      </c>
      <c r="Z48" s="1146"/>
      <c r="AA48" s="1147">
        <f t="shared" ref="AA48:AA54" si="28">MAX(C48:Q48)</f>
        <v>678</v>
      </c>
      <c r="AB48" s="1147">
        <f t="shared" ref="AB48:AB54" si="29">MIN(C48:Q48)</f>
        <v>16</v>
      </c>
    </row>
    <row r="49" spans="1:28" s="147" customFormat="1" ht="13.5">
      <c r="A49" s="2306"/>
      <c r="B49" s="1151" t="s">
        <v>423</v>
      </c>
      <c r="C49" s="1138">
        <f>IF(ISNUMBER(FIND("Jan",$C$1)),Monthly!$C1836,(IF(ISNUMBER(FIND("Feb",$C$1)),Monthly!$D1836,((IF(ISNUMBER(FIND("Mar",$C$1)),Monthly!$E1836,(IF(ISNUMBER(FIND("Apr",$C$1)),Monthly!$F1836,((IF(ISNUMBER(FIND("May",$C$1)),Monthly!$G1836,((IF(ISNUMBER(FIND("Jun",$C$1)),Monthly!$H1836,(IF(ISNUMBER(FIND("Jul",$C$1)),Monthly!$I1836,(IF(ISNUMBER(FIND("Aug",$C$1)),Monthly!$J1836,(IF(ISNUMBER(FIND("Sep",$C$1)),Monthly!$K1836,(IF(ISNUMBER(FIND("Oct",$C$1)),Monthly!$L1836,(IF(ISNUMBER(FIND("Nov",$C$1)),Monthly!$M1836,(IF(ISNUMBER(FIND("Dec",$C$1)),Monthly!$N1836,))))))))))))))))))))))))))</f>
        <v>233</v>
      </c>
      <c r="D49" s="1139">
        <f>IF(ISNUMBER(FIND("Jan",$C$1)),Monthly!$C1759,(IF(ISNUMBER(FIND("Feb",$C$1)),Monthly!$D1759,((IF(ISNUMBER(FIND("Mar",$C$1)),Monthly!$E1759,(IF(ISNUMBER(FIND("Apr",$C$1)),Monthly!$F1759,((IF(ISNUMBER(FIND("May",$C$1)),Monthly!$G1759,((IF(ISNUMBER(FIND("Jun",$C$1)),Monthly!$H1759,(IF(ISNUMBER(FIND("Jul",$C$1)),Monthly!$I1759,(IF(ISNUMBER(FIND("Aug",$C$1)),Monthly!$J1759,(IF(ISNUMBER(FIND("Sep",$C$1)),Monthly!$K1759,(IF(ISNUMBER(FIND("Oct",$C$1)),Monthly!$L1759,(IF(ISNUMBER(FIND("Nov",$C$1)),Monthly!$M1759,(IF(ISNUMBER(FIND("Dec",$C$1)),Monthly!$N1759,))))))))))))))))))))))))))</f>
        <v>5</v>
      </c>
      <c r="E49" s="1139">
        <f xml:space="preserve">
IF(ISNUMBER(FIND("Jan",$C$1)),Monthly!$C1681,(IF(ISNUMBER(FIND("Feb",$C$1)),Monthly!$D1681,((IF(ISNUMBER(FIND("Mar",$C$1)),Monthly!$E1681,(IF(ISNUMBER(FIND("Apr",$C$1)),Monthly!$F1681,((IF(ISNUMBER(FIND("May",$C$1)),Monthly!$G1681,((IF(ISNUMBER(FIND("Jun",$C$1)),Monthly!$H1681,(IF(ISNUMBER(FIND("Jul",$C$1)),Monthly!$I1681,(IF(ISNUMBER(FIND("Aug",$C$1)),Monthly!$J1681,(IF(ISNUMBER(FIND("Sep",$C$1)),Monthly!$K1681,(IF(ISNUMBER(FIND("Oct",$C$1)),Monthly!$L1681,(IF(ISNUMBER(FIND("Nov",$C$1)),Monthly!$M1681,(IF(ISNUMBER(FIND("Dec",$C$1)),Monthly!$N1681,))))))))))))))))))))))))))</f>
        <v>185</v>
      </c>
      <c r="F49" s="1138">
        <f>IF(ISNUMBER(FIND("Jan",$C$1)),Monthly!$C1603,(IF(ISNUMBER(FIND("Feb",$C$1)),Monthly!$D1603,((IF(ISNUMBER(FIND("Mar",$C$1)),Monthly!$E1603,(IF(ISNUMBER(FIND("Apr",$C$1)),Monthly!$F1603,((IF(ISNUMBER(FIND("May",$C$1)),Monthly!$G1603,((IF(ISNUMBER(FIND("Jun",$C$1)),Monthly!$H1603,(IF(ISNUMBER(FIND("Jul",$C$1)),Monthly!$I1603,(IF(ISNUMBER(FIND("Aug",$C$1)),Monthly!$J1603,(IF(ISNUMBER(FIND("Sep",$C$1)),Monthly!$K1603,(IF(ISNUMBER(FIND("Oct",$C$1)),Monthly!$L1603,(IF(ISNUMBER(FIND("Nov",$C$1)),Monthly!$M1603,(IF(ISNUMBER(FIND("Dec",$C$1)),Monthly!$N1603,))))))))))))))))))))))))))</f>
        <v>273</v>
      </c>
      <c r="G49" s="1139">
        <f>IF(ISNUMBER(FIND("Jan",$C$1)),Monthly!$C1525,(IF(ISNUMBER(FIND("Feb",$C$1)),Monthly!$D1525,((IF(ISNUMBER(FIND("Mar",$C$1)),Monthly!$E1525,(IF(ISNUMBER(FIND("Apr",$C$1)),Monthly!$F1525,((IF(ISNUMBER(FIND("May",$C$1)),Monthly!$G1525,((IF(ISNUMBER(FIND("Jun",$C$1)),Monthly!$H1525,(IF(ISNUMBER(FIND("Jul",$C$1)),Monthly!$I1525,(IF(ISNUMBER(FIND("Aug",$C$1)),Monthly!$J1525,(IF(ISNUMBER(FIND("Sep",$C$1)),Monthly!$K1525,(IF(ISNUMBER(FIND("Oct",$C$1)),Monthly!$L1525,(IF(ISNUMBER(FIND("Nov",$C$1)),Monthly!$M1525,(IF(ISNUMBER(FIND("Dec",$C$1)),Monthly!$N1525,))))))))))))))))))))))))))</f>
        <v>206</v>
      </c>
      <c r="H49" s="1139">
        <f>IF(ISNUMBER(FIND("Jan",$C$1)),Monthly!$C1448,(IF(ISNUMBER(FIND("Feb",$C$1)),Monthly!$D1448,((IF(ISNUMBER(FIND("Mar",$C$1)),Monthly!$E1448,(IF(ISNUMBER(FIND("Apr",$C$1)),Monthly!$F1448,((IF(ISNUMBER(FIND("May",$C$1)),Monthly!$G1448,((IF(ISNUMBER(FIND("Jun",$C$1)),Monthly!$H1448,(IF(ISNUMBER(FIND("Jul",$C$1)),Monthly!$I1448,(IF(ISNUMBER(FIND("Aug",$C$1)),Monthly!$J1448,(IF(ISNUMBER(FIND("Sep",$C$1)),Monthly!$K1448,(IF(ISNUMBER(FIND("Oct",$C$1)),Monthly!$L1448,(IF(ISNUMBER(FIND("Nov",$C$1)),Monthly!$M1448,(IF(ISNUMBER(FIND("Dec",$C$1)),Monthly!$N1448,))))))))))))))))))))))))))</f>
        <v>0</v>
      </c>
      <c r="I49" s="1139">
        <f>IF(ISNUMBER(FIND("Jan",$C$1)),Monthly!$C1371,(IF(ISNUMBER(FIND("Feb",$C$1)),Monthly!$D1371,((IF(ISNUMBER(FIND("Mar",$C$1)),Monthly!$E1371,(IF(ISNUMBER(FIND("Apr",$C$1)),Monthly!$F1371,((IF(ISNUMBER(FIND("May",$C$1)),Monthly!$G1371,((IF(ISNUMBER(FIND("Jun",$C$1)),Monthly!$H1371,(IF(ISNUMBER(FIND("Jul",$C$1)),Monthly!$I1371,(IF(ISNUMBER(FIND("Aug",$C$1)),Monthly!$J1371,(IF(ISNUMBER(FIND("Sep",$C$1)),Monthly!$K1371,(IF(ISNUMBER(FIND("Oct",$C$1)),Monthly!$L1371,(IF(ISNUMBER(FIND("Nov",$C$1)),Monthly!$M1371,(IF(ISNUMBER(FIND("Dec",$C$1)),Monthly!$N1371,))))))))))))))))))))))))))</f>
        <v>308</v>
      </c>
      <c r="J49" s="1138">
        <f>IF(ISNUMBER(FIND("Jan",$C$1)),Monthly!$C1294,(IF(ISNUMBER(FIND("Feb",$C$1)),Monthly!$D1294,((IF(ISNUMBER(FIND("Mar",$C$1)),Monthly!$E1294,(IF(ISNUMBER(FIND("Apr",$C$1)),Monthly!$F1294,((IF(ISNUMBER(FIND("May",$C$1)),Monthly!$G1294,((IF(ISNUMBER(FIND("Jun",$C$1)),Monthly!$H1294,(IF(ISNUMBER(FIND("Jul",$C$1)),Monthly!$I1294,(IF(ISNUMBER(FIND("Aug",$C$1)),Monthly!$J1294,(IF(ISNUMBER(FIND("Sep",$C$1)),Monthly!$K1294,(IF(ISNUMBER(FIND("Oct",$C$1)),Monthly!$L1294,(IF(ISNUMBER(FIND("Nov",$C$1)),Monthly!$M1294,(IF(ISNUMBER(FIND("Dec",$C$1)),Monthly!$N1294,))))))))))))))))))))))))))</f>
        <v>123</v>
      </c>
      <c r="K49" s="1148">
        <f>IF(ISNUMBER(FIND("Jan",$C$1)),Monthly!$C1216,(IF(ISNUMBER(FIND("Feb",$C$1)),Monthly!$D1216,((IF(ISNUMBER(FIND("Mar",$C$1)),Monthly!$E1216,(IF(ISNUMBER(FIND("Apr",$C$1)),Monthly!$F1216,((IF(ISNUMBER(FIND("May",$C$1)),Monthly!$G1216,((IF(ISNUMBER(FIND("Jun",$C$1)),Monthly!$H1216,(IF(ISNUMBER(FIND("Jul",$C$1)),Monthly!$I1216,(IF(ISNUMBER(FIND("Aug",$C$1)),Monthly!$J1216,(IF(ISNUMBER(FIND("Sep",$C$1)),Monthly!$K1216,(IF(ISNUMBER(FIND("Oct",$C$1)),Monthly!$L1216,(IF(ISNUMBER(FIND("Nov",$C$1)),Monthly!$M1216,(IF(ISNUMBER(FIND("Dec",$C$1)),Monthly!$N1216,))))))))))))))))))))))))))</f>
        <v>355</v>
      </c>
      <c r="L49" s="1139">
        <f>IF(ISNUMBER(FIND("Jan",$C$1)),Monthly!$C1139,(IF(ISNUMBER(FIND("Feb",$C$1)),Monthly!$D1139,((IF(ISNUMBER(FIND("Mar",$C$1)),Monthly!$E1139,(IF(ISNUMBER(FIND("Apr",$C$1)),Monthly!$F1139,((IF(ISNUMBER(FIND("May",$C$1)),Monthly!$G1139,((IF(ISNUMBER(FIND("Jun",$C$1)),Monthly!$H1139,(IF(ISNUMBER(FIND("Jul",$C$1)),Monthly!$I1139,(IF(ISNUMBER(FIND("Aug",$C$1)),Monthly!$J1139,(IF(ISNUMBER(FIND("Sep",$C$1)),Monthly!$K1139,(IF(ISNUMBER(FIND("Oct",$C$1)),Monthly!$L1139,(IF(ISNUMBER(FIND("Nov",$C$1)),Monthly!$M1139,(IF(ISNUMBER(FIND("Dec",$C$1)),Monthly!$N1139,))))))))))))))))))))))))))</f>
        <v>402</v>
      </c>
      <c r="M49" s="1139">
        <f>IF(ISNUMBER(FIND("Jan",$C$1)),Monthly!$C1062,(IF(ISNUMBER(FIND("Feb",$C$1)),Monthly!$D1062,((IF(ISNUMBER(FIND("Mar",$C$1)),Monthly!$E1062,(IF(ISNUMBER(FIND("Apr",$C$1)),Monthly!$F1062,((IF(ISNUMBER(FIND("May",$C$1)),Monthly!$G1062,((IF(ISNUMBER(FIND("Jun",$C$1)),Monthly!$H1062,(IF(ISNUMBER(FIND("Jul",$C$1)),Monthly!$I1062,(IF(ISNUMBER(FIND("Aug",$C$1)),Monthly!$J1062,(IF(ISNUMBER(FIND("Sep",$C$1)),Monthly!$K1062,(IF(ISNUMBER(FIND("Oct",$C$1)),Monthly!$L1062,(IF(ISNUMBER(FIND("Nov",$C$1)),Monthly!$M1062,(IF(ISNUMBER(FIND("Dec",$C$1)),Monthly!$N1062,))))))))))))))))))))))))))</f>
        <v>245</v>
      </c>
      <c r="N49" s="1148">
        <f>IF(ISNUMBER(FIND("Jan",$C$1)),Monthly!$C985,(IF(ISNUMBER(FIND("Feb",$C$1)),Monthly!$D985,((IF(ISNUMBER(FIND("Mar",$C$1)),Monthly!$E985,(IF(ISNUMBER(FIND("Apr",$C$1)),Monthly!$F985,((IF(ISNUMBER(FIND("May",$C$1)),Monthly!$G985,((IF(ISNUMBER(FIND("Jun",$C$1)),Monthly!$H985,(IF(ISNUMBER(FIND("Jul",$C$1)),Monthly!$I985,(IF(ISNUMBER(FIND("Aug",$C$1)),Monthly!$J985,(IF(ISNUMBER(FIND("Sep",$C$1)),Monthly!$K985,(IF(ISNUMBER(FIND("Oct",$C$1)),Monthly!$L985,(IF(ISNUMBER(FIND("Nov",$C$1)),Monthly!$M985,(IF(ISNUMBER(FIND("Dec",$C$1)),Monthly!$N985,))))))))))))))))))))))))))</f>
        <v>447</v>
      </c>
      <c r="O49" s="1148">
        <f>IF(ISNUMBER(FIND("Jan",$C$1)),Monthly!$C909,(IF(ISNUMBER(FIND("Feb",$C$1)),Monthly!$D909,((IF(ISNUMBER(FIND("Mar",$C$1)),Monthly!$E909,(IF(ISNUMBER(FIND("Apr",$C$1)),Monthly!$F909,((IF(ISNUMBER(FIND("May",$C$1)),Monthly!$G909,((IF(ISNUMBER(FIND("Jun",$C$1)),Monthly!$H909,(IF(ISNUMBER(FIND("Jul",$C$1)),Monthly!$I909,(IF(ISNUMBER(FIND("Aug",$C$1)),Monthly!$J909,(IF(ISNUMBER(FIND("Sep",$C$1)),Monthly!$K909,(IF(ISNUMBER(FIND("Oct",$C$1)),Monthly!$L909,(IF(ISNUMBER(FIND("Nov",$C$1)),Monthly!$M909,(IF(ISNUMBER(FIND("Dec",$C$1)),Monthly!$N909,))))))))))))))))))))))))))</f>
        <v>340</v>
      </c>
      <c r="P49" s="1148">
        <f>IF(ISNUMBER(FIND("Jan",$C$1)),Monthly!$C832,(IF(ISNUMBER(FIND("Feb",$C$1)),Monthly!$D832,((IF(ISNUMBER(FIND("Mar",$C$1)),Monthly!$E832,(IF(ISNUMBER(FIND("Apr",$C$1)),Monthly!$F832,((IF(ISNUMBER(FIND("May",$C$1)),Monthly!$G832,((IF(ISNUMBER(FIND("Jun",$C$1)),Monthly!$H832,(IF(ISNUMBER(FIND("Jul",$C$1)),Monthly!$I832,(IF(ISNUMBER(FIND("Aug",$C$1)),Monthly!$J832,(IF(ISNUMBER(FIND("Sep",$C$1)),Monthly!$K832,(IF(ISNUMBER(FIND("Oct",$C$1)),Monthly!$L832,(IF(ISNUMBER(FIND("Nov",$C$1)),Monthly!$M832,(IF(ISNUMBER(FIND("Dec",$C$1)),Monthly!$N832,))))))))))))))))))))))))))</f>
        <v>301</v>
      </c>
      <c r="Q49" s="1142">
        <f>IF(ISNUMBER(FIND("Jan",$C$1)),Monthly!$C755,(IF(ISNUMBER(FIND("Feb",$C$1)),Monthly!$D755,((IF(ISNUMBER(FIND("Mar",$C$1)),Monthly!$E755,(IF(ISNUMBER(FIND("Apr",$C$1)),Monthly!$F755,((IF(ISNUMBER(FIND("May",$C$1)),Monthly!$G755,((IF(ISNUMBER(FIND("Jun",$C$1)),Monthly!$H755,(IF(ISNUMBER(FIND("Jul",$C$1)),Monthly!$I755,(IF(ISNUMBER(FIND("Aug",$C$1)),Monthly!$J755,(IF(ISNUMBER(FIND("Sep",$C$1)),Monthly!$K755,(IF(ISNUMBER(FIND("Oct",$C$1)),Monthly!$L755,(IF(ISNUMBER(FIND("Nov",$C$1)),Monthly!$M755,(IF(ISNUMBER(FIND("Dec",$C$1)),Monthly!$N755,))))))))))))))))))))))))))</f>
        <v>371</v>
      </c>
      <c r="R49" s="1142"/>
      <c r="S49" s="1142"/>
      <c r="T49" s="1142"/>
      <c r="U49" s="1143">
        <f>Monthly!O448</f>
        <v>235.5</v>
      </c>
      <c r="V49" s="1142">
        <f>Monthly!O363</f>
        <v>353.75</v>
      </c>
      <c r="W49" s="1142"/>
      <c r="X49" s="1144">
        <f t="shared" si="26"/>
        <v>252.93333333333334</v>
      </c>
      <c r="Y49" s="1145">
        <f t="shared" si="27"/>
        <v>3.6133333333333337E-2</v>
      </c>
      <c r="Z49" s="1146"/>
      <c r="AA49" s="1147">
        <f t="shared" si="28"/>
        <v>447</v>
      </c>
      <c r="AB49" s="1147">
        <f t="shared" si="29"/>
        <v>0</v>
      </c>
    </row>
    <row r="50" spans="1:28" s="147" customFormat="1" ht="13.5">
      <c r="A50" s="2306"/>
      <c r="B50" s="1151" t="s">
        <v>424</v>
      </c>
      <c r="C50" s="1138">
        <f>IF(ISNUMBER(FIND("Jan",$C$1)),Monthly!$C1837,(IF(ISNUMBER(FIND("Feb",$C$1)),Monthly!$D1837,((IF(ISNUMBER(FIND("Mar",$C$1)),Monthly!$E1837,(IF(ISNUMBER(FIND("Apr",$C$1)),Monthly!$F1837,((IF(ISNUMBER(FIND("May",$C$1)),Monthly!$G1837,((IF(ISNUMBER(FIND("Jun",$C$1)),Monthly!$H1837,(IF(ISNUMBER(FIND("Jul",$C$1)),Monthly!$I1837,(IF(ISNUMBER(FIND("Aug",$C$1)),Monthly!$J1837,(IF(ISNUMBER(FIND("Sep",$C$1)),Monthly!$K1837,(IF(ISNUMBER(FIND("Oct",$C$1)),Monthly!$L1837,(IF(ISNUMBER(FIND("Nov",$C$1)),Monthly!$M1837,(IF(ISNUMBER(FIND("Dec",$C$1)),Monthly!$N1837,))))))))))))))))))))))))))</f>
        <v>0</v>
      </c>
      <c r="D50" s="1139">
        <f>IF(ISNUMBER(FIND("Jan",$C$1)),Monthly!$C1760,(IF(ISNUMBER(FIND("Feb",$C$1)),Monthly!$D1760,((IF(ISNUMBER(FIND("Mar",$C$1)),Monthly!$E1760,(IF(ISNUMBER(FIND("Apr",$C$1)),Monthly!$F1760,((IF(ISNUMBER(FIND("May",$C$1)),Monthly!$G1760,((IF(ISNUMBER(FIND("Jun",$C$1)),Monthly!$H1760,(IF(ISNUMBER(FIND("Jul",$C$1)),Monthly!$I1760,(IF(ISNUMBER(FIND("Aug",$C$1)),Monthly!$J1760,(IF(ISNUMBER(FIND("Sep",$C$1)),Monthly!$K1760,(IF(ISNUMBER(FIND("Oct",$C$1)),Monthly!$L1760,(IF(ISNUMBER(FIND("Nov",$C$1)),Monthly!$M1760,(IF(ISNUMBER(FIND("Dec",$C$1)),Monthly!$N1760,))))))))))))))))))))))))))</f>
        <v>75</v>
      </c>
      <c r="E50" s="1139">
        <f xml:space="preserve">
IF(ISNUMBER(FIND("Jan",$C$1)),Monthly!$C1682,(IF(ISNUMBER(FIND("Feb",$C$1)),Monthly!$D1682,((IF(ISNUMBER(FIND("Mar",$C$1)),Monthly!$E1682,(IF(ISNUMBER(FIND("Apr",$C$1)),Monthly!$F1682,((IF(ISNUMBER(FIND("May",$C$1)),Monthly!$G1682,((IF(ISNUMBER(FIND("Jun",$C$1)),Monthly!$H1682,(IF(ISNUMBER(FIND("Jul",$C$1)),Monthly!$I1682,(IF(ISNUMBER(FIND("Aug",$C$1)),Monthly!$J1682,(IF(ISNUMBER(FIND("Sep",$C$1)),Monthly!$K1682,(IF(ISNUMBER(FIND("Oct",$C$1)),Monthly!$L1682,(IF(ISNUMBER(FIND("Nov",$C$1)),Monthly!$M1682,(IF(ISNUMBER(FIND("Dec",$C$1)),Monthly!$N1682,))))))))))))))))))))))))))</f>
        <v>25</v>
      </c>
      <c r="F50" s="1138">
        <f>IF(ISNUMBER(FIND("Jan",$C$1)),Monthly!$C1604,(IF(ISNUMBER(FIND("Feb",$C$1)),Monthly!$D1604,((IF(ISNUMBER(FIND("Mar",$C$1)),Monthly!$E1604,(IF(ISNUMBER(FIND("Apr",$C$1)),Monthly!$F1604,((IF(ISNUMBER(FIND("May",$C$1)),Monthly!$G1604,((IF(ISNUMBER(FIND("Jun",$C$1)),Monthly!$H1604,(IF(ISNUMBER(FIND("Jul",$C$1)),Monthly!$I1604,(IF(ISNUMBER(FIND("Aug",$C$1)),Monthly!$J1604,(IF(ISNUMBER(FIND("Sep",$C$1)),Monthly!$K1604,(IF(ISNUMBER(FIND("Oct",$C$1)),Monthly!$L1604,(IF(ISNUMBER(FIND("Nov",$C$1)),Monthly!$M1604,(IF(ISNUMBER(FIND("Dec",$C$1)),Monthly!$N1604,))))))))))))))))))))))))))</f>
        <v>0</v>
      </c>
      <c r="G50" s="1139">
        <f>IF(ISNUMBER(FIND("Jan",$C$1)),Monthly!$C1526,(IF(ISNUMBER(FIND("Feb",$C$1)),Monthly!$D1526,((IF(ISNUMBER(FIND("Mar",$C$1)),Monthly!$E1526,(IF(ISNUMBER(FIND("Apr",$C$1)),Monthly!$F1526,((IF(ISNUMBER(FIND("May",$C$1)),Monthly!$G1526,((IF(ISNUMBER(FIND("Jun",$C$1)),Monthly!$H1526,(IF(ISNUMBER(FIND("Jul",$C$1)),Monthly!$I1526,(IF(ISNUMBER(FIND("Aug",$C$1)),Monthly!$J1526,(IF(ISNUMBER(FIND("Sep",$C$1)),Monthly!$K1526,(IF(ISNUMBER(FIND("Oct",$C$1)),Monthly!$L1526,(IF(ISNUMBER(FIND("Nov",$C$1)),Monthly!$M1526,(IF(ISNUMBER(FIND("Dec",$C$1)),Monthly!$N1526,))))))))))))))))))))))))))</f>
        <v>0</v>
      </c>
      <c r="H50" s="1139">
        <f>IF(ISNUMBER(FIND("Jan",$C$1)),Monthly!$C1449,(IF(ISNUMBER(FIND("Feb",$C$1)),Monthly!$D1449,((IF(ISNUMBER(FIND("Mar",$C$1)),Monthly!$E1449,(IF(ISNUMBER(FIND("Apr",$C$1)),Monthly!$F1449,((IF(ISNUMBER(FIND("May",$C$1)),Monthly!$G1449,((IF(ISNUMBER(FIND("Jun",$C$1)),Monthly!$H1449,(IF(ISNUMBER(FIND("Jul",$C$1)),Monthly!$I1449,(IF(ISNUMBER(FIND("Aug",$C$1)),Monthly!$J1449,(IF(ISNUMBER(FIND("Sep",$C$1)),Monthly!$K1449,(IF(ISNUMBER(FIND("Oct",$C$1)),Monthly!$L1449,(IF(ISNUMBER(FIND("Nov",$C$1)),Monthly!$M1449,(IF(ISNUMBER(FIND("Dec",$C$1)),Monthly!$N1449,))))))))))))))))))))))))))</f>
        <v>50</v>
      </c>
      <c r="I50" s="1139">
        <f>IF(ISNUMBER(FIND("Jan",$C$1)),Monthly!$C1372,(IF(ISNUMBER(FIND("Feb",$C$1)),Monthly!$D1372,((IF(ISNUMBER(FIND("Mar",$C$1)),Monthly!$E1372,(IF(ISNUMBER(FIND("Apr",$C$1)),Monthly!$F1372,((IF(ISNUMBER(FIND("May",$C$1)),Monthly!$G1372,((IF(ISNUMBER(FIND("Jun",$C$1)),Monthly!$H1372,(IF(ISNUMBER(FIND("Jul",$C$1)),Monthly!$I1372,(IF(ISNUMBER(FIND("Aug",$C$1)),Monthly!$J1372,(IF(ISNUMBER(FIND("Sep",$C$1)),Monthly!$K1372,(IF(ISNUMBER(FIND("Oct",$C$1)),Monthly!$L1372,(IF(ISNUMBER(FIND("Nov",$C$1)),Monthly!$M1372,(IF(ISNUMBER(FIND("Dec",$C$1)),Monthly!$N1372,))))))))))))))))))))))))))</f>
        <v>50</v>
      </c>
      <c r="J50" s="1138">
        <f>IF(ISNUMBER(FIND("Jan",$C$1)),Monthly!$C1295,(IF(ISNUMBER(FIND("Feb",$C$1)),Monthly!$D1295,((IF(ISNUMBER(FIND("Mar",$C$1)),Monthly!$E1295,(IF(ISNUMBER(FIND("Apr",$C$1)),Monthly!$F1295,((IF(ISNUMBER(FIND("May",$C$1)),Monthly!$G1295,((IF(ISNUMBER(FIND("Jun",$C$1)),Monthly!$H1295,(IF(ISNUMBER(FIND("Jul",$C$1)),Monthly!$I1295,(IF(ISNUMBER(FIND("Aug",$C$1)),Monthly!$J1295,(IF(ISNUMBER(FIND("Sep",$C$1)),Monthly!$K1295,(IF(ISNUMBER(FIND("Oct",$C$1)),Monthly!$L1295,(IF(ISNUMBER(FIND("Nov",$C$1)),Monthly!$M1295,(IF(ISNUMBER(FIND("Dec",$C$1)),Monthly!$N1295,))))))))))))))))))))))))))</f>
        <v>0</v>
      </c>
      <c r="K50" s="1148">
        <f>IF(ISNUMBER(FIND("Jan",$C$1)),Monthly!$C1217,(IF(ISNUMBER(FIND("Feb",$C$1)),Monthly!$D1217,((IF(ISNUMBER(FIND("Mar",$C$1)),Monthly!$E1217,(IF(ISNUMBER(FIND("Apr",$C$1)),Monthly!$F1217,((IF(ISNUMBER(FIND("May",$C$1)),Monthly!$G1217,((IF(ISNUMBER(FIND("Jun",$C$1)),Monthly!$H1217,(IF(ISNUMBER(FIND("Jul",$C$1)),Monthly!$I1217,(IF(ISNUMBER(FIND("Aug",$C$1)),Monthly!$J1217,(IF(ISNUMBER(FIND("Sep",$C$1)),Monthly!$K1217,(IF(ISNUMBER(FIND("Oct",$C$1)),Monthly!$L1217,(IF(ISNUMBER(FIND("Nov",$C$1)),Monthly!$M1217,(IF(ISNUMBER(FIND("Dec",$C$1)),Monthly!$N1217,))))))))))))))))))))))))))</f>
        <v>0</v>
      </c>
      <c r="L50" s="1139">
        <f>IF(ISNUMBER(FIND("Jan",$C$1)),Monthly!$C1140,(IF(ISNUMBER(FIND("Feb",$C$1)),Monthly!$D1140,((IF(ISNUMBER(FIND("Mar",$C$1)),Monthly!$E1140,(IF(ISNUMBER(FIND("Apr",$C$1)),Monthly!$F1140,((IF(ISNUMBER(FIND("May",$C$1)),Monthly!$G1140,((IF(ISNUMBER(FIND("Jun",$C$1)),Monthly!$H1140,(IF(ISNUMBER(FIND("Jul",$C$1)),Monthly!$I1140,(IF(ISNUMBER(FIND("Aug",$C$1)),Monthly!$J1140,(IF(ISNUMBER(FIND("Sep",$C$1)),Monthly!$K1140,(IF(ISNUMBER(FIND("Oct",$C$1)),Monthly!$L1140,(IF(ISNUMBER(FIND("Nov",$C$1)),Monthly!$M1140,(IF(ISNUMBER(FIND("Dec",$C$1)),Monthly!$N1140,))))))))))))))))))))))))))</f>
        <v>0</v>
      </c>
      <c r="M50" s="1139">
        <f>IF(ISNUMBER(FIND("Jan",$C$1)),Monthly!$C1063,(IF(ISNUMBER(FIND("Feb",$C$1)),Monthly!$D1063,((IF(ISNUMBER(FIND("Mar",$C$1)),Monthly!$E1063,(IF(ISNUMBER(FIND("Apr",$C$1)),Monthly!$F1063,((IF(ISNUMBER(FIND("May",$C$1)),Monthly!$G1063,((IF(ISNUMBER(FIND("Jun",$C$1)),Monthly!$H1063,(IF(ISNUMBER(FIND("Jul",$C$1)),Monthly!$I1063,(IF(ISNUMBER(FIND("Aug",$C$1)),Monthly!$J1063,(IF(ISNUMBER(FIND("Sep",$C$1)),Monthly!$K1063,(IF(ISNUMBER(FIND("Oct",$C$1)),Monthly!$L1063,(IF(ISNUMBER(FIND("Nov",$C$1)),Monthly!$M1063,(IF(ISNUMBER(FIND("Dec",$C$1)),Monthly!$N1063,))))))))))))))))))))))))))</f>
        <v>0</v>
      </c>
      <c r="N50" s="1148">
        <f>IF(ISNUMBER(FIND("Jan",$C$1)),Monthly!$C986,(IF(ISNUMBER(FIND("Feb",$C$1)),Monthly!$D986,((IF(ISNUMBER(FIND("Mar",$C$1)),Monthly!$E986,(IF(ISNUMBER(FIND("Apr",$C$1)),Monthly!$F986,((IF(ISNUMBER(FIND("May",$C$1)),Monthly!$G986,((IF(ISNUMBER(FIND("Jun",$C$1)),Monthly!$H986,(IF(ISNUMBER(FIND("Jul",$C$1)),Monthly!$I986,(IF(ISNUMBER(FIND("Aug",$C$1)),Monthly!$J986,(IF(ISNUMBER(FIND("Sep",$C$1)),Monthly!$K986,(IF(ISNUMBER(FIND("Oct",$C$1)),Monthly!$L986,(IF(ISNUMBER(FIND("Nov",$C$1)),Monthly!$M986,(IF(ISNUMBER(FIND("Dec",$C$1)),Monthly!$N986,))))))))))))))))))))))))))</f>
        <v>0</v>
      </c>
      <c r="O50" s="1148">
        <f>IF(ISNUMBER(FIND("Jan",$C$1)),Monthly!$C910,(IF(ISNUMBER(FIND("Feb",$C$1)),Monthly!$D910,((IF(ISNUMBER(FIND("Mar",$C$1)),Monthly!$E910,(IF(ISNUMBER(FIND("Apr",$C$1)),Monthly!$F910,((IF(ISNUMBER(FIND("May",$C$1)),Monthly!$G910,((IF(ISNUMBER(FIND("Jun",$C$1)),Monthly!$H910,(IF(ISNUMBER(FIND("Jul",$C$1)),Monthly!$I910,(IF(ISNUMBER(FIND("Aug",$C$1)),Monthly!$J910,(IF(ISNUMBER(FIND("Sep",$C$1)),Monthly!$K910,(IF(ISNUMBER(FIND("Oct",$C$1)),Monthly!$L910,(IF(ISNUMBER(FIND("Nov",$C$1)),Monthly!$M910,(IF(ISNUMBER(FIND("Dec",$C$1)),Monthly!$N910,))))))))))))))))))))))))))</f>
        <v>0</v>
      </c>
      <c r="P50" s="1148">
        <f>IF(ISNUMBER(FIND("Jan",$C$1)),Monthly!$C833,(IF(ISNUMBER(FIND("Feb",$C$1)),Monthly!$D833,((IF(ISNUMBER(FIND("Mar",$C$1)),Monthly!$E833,(IF(ISNUMBER(FIND("Apr",$C$1)),Monthly!$F833,((IF(ISNUMBER(FIND("May",$C$1)),Monthly!$G833,((IF(ISNUMBER(FIND("Jun",$C$1)),Monthly!$H833,(IF(ISNUMBER(FIND("Jul",$C$1)),Monthly!$I833,(IF(ISNUMBER(FIND("Aug",$C$1)),Monthly!$J833,(IF(ISNUMBER(FIND("Sep",$C$1)),Monthly!$K833,(IF(ISNUMBER(FIND("Oct",$C$1)),Monthly!$L833,(IF(ISNUMBER(FIND("Nov",$C$1)),Monthly!$M833,(IF(ISNUMBER(FIND("Dec",$C$1)),Monthly!$N833,))))))))))))))))))))))))))</f>
        <v>0</v>
      </c>
      <c r="Q50" s="1142">
        <f>IF(ISNUMBER(FIND("Jan",$C$1)),Monthly!$C756,(IF(ISNUMBER(FIND("Feb",$C$1)),Monthly!$D756,((IF(ISNUMBER(FIND("Mar",$C$1)),Monthly!$E756,(IF(ISNUMBER(FIND("Apr",$C$1)),Monthly!$F756,((IF(ISNUMBER(FIND("May",$C$1)),Monthly!$G756,((IF(ISNUMBER(FIND("Jun",$C$1)),Monthly!$H756,(IF(ISNUMBER(FIND("Jul",$C$1)),Monthly!$I756,(IF(ISNUMBER(FIND("Aug",$C$1)),Monthly!$J756,(IF(ISNUMBER(FIND("Sep",$C$1)),Monthly!$K756,(IF(ISNUMBER(FIND("Oct",$C$1)),Monthly!$L756,(IF(ISNUMBER(FIND("Nov",$C$1)),Monthly!$M756,(IF(ISNUMBER(FIND("Dec",$C$1)),Monthly!$N756,))))))))))))))))))))))))))</f>
        <v>0</v>
      </c>
      <c r="R50" s="1142"/>
      <c r="S50" s="1142"/>
      <c r="T50" s="1142"/>
      <c r="U50" s="1143">
        <f>Monthly!O449</f>
        <v>493.41666666666669</v>
      </c>
      <c r="V50" s="1142">
        <f>Monthly!O364</f>
        <v>1079.4166666666667</v>
      </c>
      <c r="W50" s="1142"/>
      <c r="X50" s="1144">
        <f t="shared" si="26"/>
        <v>13.333333333333334</v>
      </c>
      <c r="Y50" s="1145">
        <f t="shared" si="27"/>
        <v>1.9047619047619048E-3</v>
      </c>
      <c r="Z50" s="1146"/>
      <c r="AA50" s="1147">
        <f t="shared" si="28"/>
        <v>75</v>
      </c>
      <c r="AB50" s="1147">
        <f t="shared" si="29"/>
        <v>0</v>
      </c>
    </row>
    <row r="51" spans="1:28" s="147" customFormat="1" ht="13.5">
      <c r="A51" s="2306"/>
      <c r="B51" s="1151" t="s">
        <v>425</v>
      </c>
      <c r="C51" s="1138">
        <f>IF(ISNUMBER(FIND("Jan",$C$1)),Monthly!$C1838,(IF(ISNUMBER(FIND("Feb",$C$1)),Monthly!$D1838,((IF(ISNUMBER(FIND("Mar",$C$1)),Monthly!$E1838,(IF(ISNUMBER(FIND("Apr",$C$1)),Monthly!$F1838,((IF(ISNUMBER(FIND("May",$C$1)),Monthly!$G1838,((IF(ISNUMBER(FIND("Jun",$C$1)),Monthly!$H1838,(IF(ISNUMBER(FIND("Jul",$C$1)),Monthly!$I1838,(IF(ISNUMBER(FIND("Aug",$C$1)),Monthly!$J1838,(IF(ISNUMBER(FIND("Sep",$C$1)),Monthly!$K1838,(IF(ISNUMBER(FIND("Oct",$C$1)),Monthly!$L1838,(IF(ISNUMBER(FIND("Nov",$C$1)),Monthly!$M1838,(IF(ISNUMBER(FIND("Dec",$C$1)),Monthly!$N1838,))))))))))))))))))))))))))</f>
        <v>0</v>
      </c>
      <c r="D51" s="1139">
        <f>IF(ISNUMBER(FIND("Jan",$C$1)),Monthly!$C1761,(IF(ISNUMBER(FIND("Feb",$C$1)),Monthly!$D1761,((IF(ISNUMBER(FIND("Mar",$C$1)),Monthly!$E1761,(IF(ISNUMBER(FIND("Apr",$C$1)),Monthly!$F1761,((IF(ISNUMBER(FIND("May",$C$1)),Monthly!$G1761,((IF(ISNUMBER(FIND("Jun",$C$1)),Monthly!$H1761,(IF(ISNUMBER(FIND("Jul",$C$1)),Monthly!$I1761,(IF(ISNUMBER(FIND("Aug",$C$1)),Monthly!$J1761,(IF(ISNUMBER(FIND("Sep",$C$1)),Monthly!$K1761,(IF(ISNUMBER(FIND("Oct",$C$1)),Monthly!$L1761,(IF(ISNUMBER(FIND("Nov",$C$1)),Monthly!$M1761,(IF(ISNUMBER(FIND("Dec",$C$1)),Monthly!$N1761,))))))))))))))))))))))))))</f>
        <v>0</v>
      </c>
      <c r="E51" s="1139">
        <f xml:space="preserve">
IF(ISNUMBER(FIND("Jan",$C$1)),Monthly!$C1683,(IF(ISNUMBER(FIND("Feb",$C$1)),Monthly!$D1683,((IF(ISNUMBER(FIND("Mar",$C$1)),Monthly!$E1683,(IF(ISNUMBER(FIND("Apr",$C$1)),Monthly!$F1683,((IF(ISNUMBER(FIND("May",$C$1)),Monthly!$G1683,((IF(ISNUMBER(FIND("Jun",$C$1)),Monthly!$H1683,(IF(ISNUMBER(FIND("Jul",$C$1)),Monthly!$I1683,(IF(ISNUMBER(FIND("Aug",$C$1)),Monthly!$J1683,(IF(ISNUMBER(FIND("Sep",$C$1)),Monthly!$K1683,(IF(ISNUMBER(FIND("Oct",$C$1)),Monthly!$L1683,(IF(ISNUMBER(FIND("Nov",$C$1)),Monthly!$M1683,(IF(ISNUMBER(FIND("Dec",$C$1)),Monthly!$N1683,))))))))))))))))))))))))))</f>
        <v>0</v>
      </c>
      <c r="F51" s="1138">
        <f>IF(ISNUMBER(FIND("Jan",$C$1)),Monthly!$C1605,(IF(ISNUMBER(FIND("Feb",$C$1)),Monthly!$D1605,((IF(ISNUMBER(FIND("Mar",$C$1)),Monthly!$E1605,(IF(ISNUMBER(FIND("Apr",$C$1)),Monthly!$F1605,((IF(ISNUMBER(FIND("May",$C$1)),Monthly!$G1605,((IF(ISNUMBER(FIND("Jun",$C$1)),Monthly!$H1605,(IF(ISNUMBER(FIND("Jul",$C$1)),Monthly!$I1605,(IF(ISNUMBER(FIND("Aug",$C$1)),Monthly!$J1605,(IF(ISNUMBER(FIND("Sep",$C$1)),Monthly!$K1605,(IF(ISNUMBER(FIND("Oct",$C$1)),Monthly!$L1605,(IF(ISNUMBER(FIND("Nov",$C$1)),Monthly!$M1605,(IF(ISNUMBER(FIND("Dec",$C$1)),Monthly!$N1605,))))))))))))))))))))))))))</f>
        <v>30</v>
      </c>
      <c r="G51" s="1139">
        <f>IF(ISNUMBER(FIND("Jan",$C$1)),Monthly!$C1527,(IF(ISNUMBER(FIND("Feb",$C$1)),Monthly!$D1527,((IF(ISNUMBER(FIND("Mar",$C$1)),Monthly!$E1527,(IF(ISNUMBER(FIND("Apr",$C$1)),Monthly!$F1527,((IF(ISNUMBER(FIND("May",$C$1)),Monthly!$G1527,((IF(ISNUMBER(FIND("Jun",$C$1)),Monthly!$H1527,(IF(ISNUMBER(FIND("Jul",$C$1)),Monthly!$I1527,(IF(ISNUMBER(FIND("Aug",$C$1)),Monthly!$J1527,(IF(ISNUMBER(FIND("Sep",$C$1)),Monthly!$K1527,(IF(ISNUMBER(FIND("Oct",$C$1)),Monthly!$L1527,(IF(ISNUMBER(FIND("Nov",$C$1)),Monthly!$M1527,(IF(ISNUMBER(FIND("Dec",$C$1)),Monthly!$N1527,))))))))))))))))))))))))))</f>
        <v>0</v>
      </c>
      <c r="H51" s="1139">
        <f>IF(ISNUMBER(FIND("Jan",$C$1)),Monthly!$C1450,(IF(ISNUMBER(FIND("Feb",$C$1)),Monthly!$D1450,((IF(ISNUMBER(FIND("Mar",$C$1)),Monthly!$E1450,(IF(ISNUMBER(FIND("Apr",$C$1)),Monthly!$F1450,((IF(ISNUMBER(FIND("May",$C$1)),Monthly!$G1450,((IF(ISNUMBER(FIND("Jun",$C$1)),Monthly!$H1450,(IF(ISNUMBER(FIND("Jul",$C$1)),Monthly!$I1450,(IF(ISNUMBER(FIND("Aug",$C$1)),Monthly!$J1450,(IF(ISNUMBER(FIND("Sep",$C$1)),Monthly!$K1450,(IF(ISNUMBER(FIND("Oct",$C$1)),Monthly!$L1450,(IF(ISNUMBER(FIND("Nov",$C$1)),Monthly!$M1450,(IF(ISNUMBER(FIND("Dec",$C$1)),Monthly!$N1450,))))))))))))))))))))))))))</f>
        <v>0</v>
      </c>
      <c r="I51" s="1139">
        <f>IF(ISNUMBER(FIND("Jan",$C$1)),Monthly!$C1373,(IF(ISNUMBER(FIND("Feb",$C$1)),Monthly!$D1373,((IF(ISNUMBER(FIND("Mar",$C$1)),Monthly!$E1373,(IF(ISNUMBER(FIND("Apr",$C$1)),Monthly!$F1373,((IF(ISNUMBER(FIND("May",$C$1)),Monthly!$G1373,((IF(ISNUMBER(FIND("Jun",$C$1)),Monthly!$H1373,(IF(ISNUMBER(FIND("Jul",$C$1)),Monthly!$I1373,(IF(ISNUMBER(FIND("Aug",$C$1)),Monthly!$J1373,(IF(ISNUMBER(FIND("Sep",$C$1)),Monthly!$K1373,(IF(ISNUMBER(FIND("Oct",$C$1)),Monthly!$L1373,(IF(ISNUMBER(FIND("Nov",$C$1)),Monthly!$M1373,(IF(ISNUMBER(FIND("Dec",$C$1)),Monthly!$N1373,))))))))))))))))))))))))))</f>
        <v>0</v>
      </c>
      <c r="J51" s="1138">
        <f>IF(ISNUMBER(FIND("Jan",$C$1)),Monthly!$C1296,(IF(ISNUMBER(FIND("Feb",$C$1)),Monthly!$D1296,((IF(ISNUMBER(FIND("Mar",$C$1)),Monthly!$E1296,(IF(ISNUMBER(FIND("Apr",$C$1)),Monthly!$F1296,((IF(ISNUMBER(FIND("May",$C$1)),Monthly!$G1296,((IF(ISNUMBER(FIND("Jun",$C$1)),Monthly!$H1296,(IF(ISNUMBER(FIND("Jul",$C$1)),Monthly!$I1296,(IF(ISNUMBER(FIND("Aug",$C$1)),Monthly!$J1296,(IF(ISNUMBER(FIND("Sep",$C$1)),Monthly!$K1296,(IF(ISNUMBER(FIND("Oct",$C$1)),Monthly!$L1296,(IF(ISNUMBER(FIND("Nov",$C$1)),Monthly!$M1296,(IF(ISNUMBER(FIND("Dec",$C$1)),Monthly!$N1296,))))))))))))))))))))))))))</f>
        <v>16</v>
      </c>
      <c r="K51" s="1148">
        <f>IF(ISNUMBER(FIND("Jan",$C$1)),Monthly!$C1218,(IF(ISNUMBER(FIND("Feb",$C$1)),Monthly!$D1218,((IF(ISNUMBER(FIND("Mar",$C$1)),Monthly!$E1218,(IF(ISNUMBER(FIND("Apr",$C$1)),Monthly!$F1218,((IF(ISNUMBER(FIND("May",$C$1)),Monthly!$G1218,((IF(ISNUMBER(FIND("Jun",$C$1)),Monthly!$H1218,(IF(ISNUMBER(FIND("Jul",$C$1)),Monthly!$I1218,(IF(ISNUMBER(FIND("Aug",$C$1)),Monthly!$J1218,(IF(ISNUMBER(FIND("Sep",$C$1)),Monthly!$K1218,(IF(ISNUMBER(FIND("Oct",$C$1)),Monthly!$L1218,(IF(ISNUMBER(FIND("Nov",$C$1)),Monthly!$M1218,(IF(ISNUMBER(FIND("Dec",$C$1)),Monthly!$N1218,))))))))))))))))))))))))))</f>
        <v>175</v>
      </c>
      <c r="L51" s="1139">
        <f>IF(ISNUMBER(FIND("Jan",$C$1)),Monthly!$C1141,(IF(ISNUMBER(FIND("Feb",$C$1)),Monthly!$D1141,((IF(ISNUMBER(FIND("Mar",$C$1)),Monthly!$E1141,(IF(ISNUMBER(FIND("Apr",$C$1)),Monthly!$F1141,((IF(ISNUMBER(FIND("May",$C$1)),Monthly!$G1141,((IF(ISNUMBER(FIND("Jun",$C$1)),Monthly!$H1141,(IF(ISNUMBER(FIND("Jul",$C$1)),Monthly!$I1141,(IF(ISNUMBER(FIND("Aug",$C$1)),Monthly!$J1141,(IF(ISNUMBER(FIND("Sep",$C$1)),Monthly!$K1141,(IF(ISNUMBER(FIND("Oct",$C$1)),Monthly!$L1141,(IF(ISNUMBER(FIND("Nov",$C$1)),Monthly!$M1141,(IF(ISNUMBER(FIND("Dec",$C$1)),Monthly!$N1141,))))))))))))))))))))))))))</f>
        <v>10</v>
      </c>
      <c r="M51" s="1139">
        <f>IF(ISNUMBER(FIND("Jan",$C$1)),Monthly!$C1064,(IF(ISNUMBER(FIND("Feb",$C$1)),Monthly!$D1064,((IF(ISNUMBER(FIND("Mar",$C$1)),Monthly!$E1064,(IF(ISNUMBER(FIND("Apr",$C$1)),Monthly!$F1064,((IF(ISNUMBER(FIND("May",$C$1)),Monthly!$G1064,((IF(ISNUMBER(FIND("Jun",$C$1)),Monthly!$H1064,(IF(ISNUMBER(FIND("Jul",$C$1)),Monthly!$I1064,(IF(ISNUMBER(FIND("Aug",$C$1)),Monthly!$J1064,(IF(ISNUMBER(FIND("Sep",$C$1)),Monthly!$K1064,(IF(ISNUMBER(FIND("Oct",$C$1)),Monthly!$L1064,(IF(ISNUMBER(FIND("Nov",$C$1)),Monthly!$M1064,(IF(ISNUMBER(FIND("Dec",$C$1)),Monthly!$N1064,))))))))))))))))))))))))))</f>
        <v>0</v>
      </c>
      <c r="N51" s="1148">
        <f>IF(ISNUMBER(FIND("Jan",$C$1)),Monthly!$C987,(IF(ISNUMBER(FIND("Feb",$C$1)),Monthly!$D987,((IF(ISNUMBER(FIND("Mar",$C$1)),Monthly!$E987,(IF(ISNUMBER(FIND("Apr",$C$1)),Monthly!$F987,((IF(ISNUMBER(FIND("May",$C$1)),Monthly!$G987,((IF(ISNUMBER(FIND("Jun",$C$1)),Monthly!$H987,(IF(ISNUMBER(FIND("Jul",$C$1)),Monthly!$I987,(IF(ISNUMBER(FIND("Aug",$C$1)),Monthly!$J987,(IF(ISNUMBER(FIND("Sep",$C$1)),Monthly!$K987,(IF(ISNUMBER(FIND("Oct",$C$1)),Monthly!$L987,(IF(ISNUMBER(FIND("Nov",$C$1)),Monthly!$M987,(IF(ISNUMBER(FIND("Dec",$C$1)),Monthly!$N987,))))))))))))))))))))))))))</f>
        <v>0</v>
      </c>
      <c r="O51" s="1148">
        <f>IF(ISNUMBER(FIND("Jan",$C$1)),Monthly!$C911,(IF(ISNUMBER(FIND("Feb",$C$1)),Monthly!$D911,((IF(ISNUMBER(FIND("Mar",$C$1)),Monthly!$E911,(IF(ISNUMBER(FIND("Apr",$C$1)),Monthly!$F911,((IF(ISNUMBER(FIND("May",$C$1)),Monthly!$G911,((IF(ISNUMBER(FIND("Jun",$C$1)),Monthly!$H911,(IF(ISNUMBER(FIND("Jul",$C$1)),Monthly!$I911,(IF(ISNUMBER(FIND("Aug",$C$1)),Monthly!$J911,(IF(ISNUMBER(FIND("Sep",$C$1)),Monthly!$K911,(IF(ISNUMBER(FIND("Oct",$C$1)),Monthly!$L911,(IF(ISNUMBER(FIND("Nov",$C$1)),Monthly!$M911,(IF(ISNUMBER(FIND("Dec",$C$1)),Monthly!$N911,))))))))))))))))))))))))))</f>
        <v>79</v>
      </c>
      <c r="P51" s="1148">
        <f>IF(ISNUMBER(FIND("Jan",$C$1)),Monthly!$C834,(IF(ISNUMBER(FIND("Feb",$C$1)),Monthly!$D834,((IF(ISNUMBER(FIND("Mar",$C$1)),Monthly!$E834,(IF(ISNUMBER(FIND("Apr",$C$1)),Monthly!$F834,((IF(ISNUMBER(FIND("May",$C$1)),Monthly!$G834,((IF(ISNUMBER(FIND("Jun",$C$1)),Monthly!$H834,(IF(ISNUMBER(FIND("Jul",$C$1)),Monthly!$I834,(IF(ISNUMBER(FIND("Aug",$C$1)),Monthly!$J834,(IF(ISNUMBER(FIND("Sep",$C$1)),Monthly!$K834,(IF(ISNUMBER(FIND("Oct",$C$1)),Monthly!$L834,(IF(ISNUMBER(FIND("Nov",$C$1)),Monthly!$M834,(IF(ISNUMBER(FIND("Dec",$C$1)),Monthly!$N834,))))))))))))))))))))))))))</f>
        <v>0</v>
      </c>
      <c r="Q51" s="1142">
        <f>IF(ISNUMBER(FIND("Jan",$C$1)),Monthly!$C757,(IF(ISNUMBER(FIND("Feb",$C$1)),Monthly!$D757,((IF(ISNUMBER(FIND("Mar",$C$1)),Monthly!$E757,(IF(ISNUMBER(FIND("Apr",$C$1)),Monthly!$F757,((IF(ISNUMBER(FIND("May",$C$1)),Monthly!$G757,((IF(ISNUMBER(FIND("Jun",$C$1)),Monthly!$H757,(IF(ISNUMBER(FIND("Jul",$C$1)),Monthly!$I757,(IF(ISNUMBER(FIND("Aug",$C$1)),Monthly!$J757,(IF(ISNUMBER(FIND("Sep",$C$1)),Monthly!$K757,(IF(ISNUMBER(FIND("Oct",$C$1)),Monthly!$L757,(IF(ISNUMBER(FIND("Nov",$C$1)),Monthly!$M757,(IF(ISNUMBER(FIND("Dec",$C$1)),Monthly!$N757,))))))))))))))))))))))))))</f>
        <v>24</v>
      </c>
      <c r="R51" s="1142"/>
      <c r="S51" s="1142"/>
      <c r="T51" s="1142"/>
      <c r="U51" s="1143">
        <f>Monthly!O450</f>
        <v>95.75</v>
      </c>
      <c r="V51" s="1142">
        <f>Monthly!O365</f>
        <v>1343</v>
      </c>
      <c r="W51" s="1142"/>
      <c r="X51" s="1144">
        <f t="shared" si="26"/>
        <v>22.266666666666666</v>
      </c>
      <c r="Y51" s="1145">
        <f t="shared" si="27"/>
        <v>3.1809523809523807E-3</v>
      </c>
      <c r="Z51" s="1146"/>
      <c r="AA51" s="1147">
        <f t="shared" si="28"/>
        <v>175</v>
      </c>
      <c r="AB51" s="1147">
        <f t="shared" si="29"/>
        <v>0</v>
      </c>
    </row>
    <row r="52" spans="1:28" s="147" customFormat="1" ht="13.5">
      <c r="A52" s="2306"/>
      <c r="B52" s="1151" t="s">
        <v>426</v>
      </c>
      <c r="C52" s="1138">
        <f>IF(ISNUMBER(FIND("Jan",$C$1)),Monthly!$C1839,(IF(ISNUMBER(FIND("Feb",$C$1)),Monthly!$D1839,((IF(ISNUMBER(FIND("Mar",$C$1)),Monthly!$E1839,(IF(ISNUMBER(FIND("Apr",$C$1)),Monthly!$F1839,((IF(ISNUMBER(FIND("May",$C$1)),Monthly!$G1839,((IF(ISNUMBER(FIND("Jun",$C$1)),Monthly!$H1839,(IF(ISNUMBER(FIND("Jul",$C$1)),Monthly!$I1839,(IF(ISNUMBER(FIND("Aug",$C$1)),Monthly!$J1839,(IF(ISNUMBER(FIND("Sep",$C$1)),Monthly!$K1839,(IF(ISNUMBER(FIND("Oct",$C$1)),Monthly!$L1839,(IF(ISNUMBER(FIND("Nov",$C$1)),Monthly!$M1839,(IF(ISNUMBER(FIND("Dec",$C$1)),Monthly!$N1839,))))))))))))))))))))))))))</f>
        <v>308</v>
      </c>
      <c r="D52" s="1139">
        <f>IF(ISNUMBER(FIND("Jan",$C$1)),Monthly!$C1762,(IF(ISNUMBER(FIND("Feb",$C$1)),Monthly!$D1762,((IF(ISNUMBER(FIND("Mar",$C$1)),Monthly!$E1762,(IF(ISNUMBER(FIND("Apr",$C$1)),Monthly!$F1762,((IF(ISNUMBER(FIND("May",$C$1)),Monthly!$G1762,((IF(ISNUMBER(FIND("Jun",$C$1)),Monthly!$H1762,(IF(ISNUMBER(FIND("Jul",$C$1)),Monthly!$I1762,(IF(ISNUMBER(FIND("Aug",$C$1)),Monthly!$J1762,(IF(ISNUMBER(FIND("Sep",$C$1)),Monthly!$K1762,(IF(ISNUMBER(FIND("Oct",$C$1)),Monthly!$L1762,(IF(ISNUMBER(FIND("Nov",$C$1)),Monthly!$M1762,(IF(ISNUMBER(FIND("Dec",$C$1)),Monthly!$N1762,))))))))))))))))))))))))))</f>
        <v>104</v>
      </c>
      <c r="E52" s="1139">
        <f xml:space="preserve">
IF(ISNUMBER(FIND("Jan",$C$1)),Monthly!$C1684,(IF(ISNUMBER(FIND("Feb",$C$1)),Monthly!$D1684,((IF(ISNUMBER(FIND("Mar",$C$1)),Monthly!$E1684,(IF(ISNUMBER(FIND("Apr",$C$1)),Monthly!$F1684,((IF(ISNUMBER(FIND("May",$C$1)),Monthly!$G1684,((IF(ISNUMBER(FIND("Jun",$C$1)),Monthly!$H1684,(IF(ISNUMBER(FIND("Jul",$C$1)),Monthly!$I1684,(IF(ISNUMBER(FIND("Aug",$C$1)),Monthly!$J1684,(IF(ISNUMBER(FIND("Sep",$C$1)),Monthly!$K1684,(IF(ISNUMBER(FIND("Oct",$C$1)),Monthly!$L1684,(IF(ISNUMBER(FIND("Nov",$C$1)),Monthly!$M1684,(IF(ISNUMBER(FIND("Dec",$C$1)),Monthly!$N1684,))))))))))))))))))))))))))</f>
        <v>19</v>
      </c>
      <c r="F52" s="1138">
        <f>IF(ISNUMBER(FIND("Jan",$C$1)),Monthly!$C1606,(IF(ISNUMBER(FIND("Feb",$C$1)),Monthly!$D1606,((IF(ISNUMBER(FIND("Mar",$C$1)),Monthly!$E1606,(IF(ISNUMBER(FIND("Apr",$C$1)),Monthly!$F1606,((IF(ISNUMBER(FIND("May",$C$1)),Monthly!$G1606,((IF(ISNUMBER(FIND("Jun",$C$1)),Monthly!$H1606,(IF(ISNUMBER(FIND("Jul",$C$1)),Monthly!$I1606,(IF(ISNUMBER(FIND("Aug",$C$1)),Monthly!$J1606,(IF(ISNUMBER(FIND("Sep",$C$1)),Monthly!$K1606,(IF(ISNUMBER(FIND("Oct",$C$1)),Monthly!$L1606,(IF(ISNUMBER(FIND("Nov",$C$1)),Monthly!$M1606,(IF(ISNUMBER(FIND("Dec",$C$1)),Monthly!$N1606,))))))))))))))))))))))))))</f>
        <v>163</v>
      </c>
      <c r="G52" s="1139">
        <f>IF(ISNUMBER(FIND("Jan",$C$1)),Monthly!$C1528,(IF(ISNUMBER(FIND("Feb",$C$1)),Monthly!$D1528,((IF(ISNUMBER(FIND("Mar",$C$1)),Monthly!$E1528,(IF(ISNUMBER(FIND("Apr",$C$1)),Monthly!$F1528,((IF(ISNUMBER(FIND("May",$C$1)),Monthly!$G1528,((IF(ISNUMBER(FIND("Jun",$C$1)),Monthly!$H1528,(IF(ISNUMBER(FIND("Jul",$C$1)),Monthly!$I1528,(IF(ISNUMBER(FIND("Aug",$C$1)),Monthly!$J1528,(IF(ISNUMBER(FIND("Sep",$C$1)),Monthly!$K1528,(IF(ISNUMBER(FIND("Oct",$C$1)),Monthly!$L1528,(IF(ISNUMBER(FIND("Nov",$C$1)),Monthly!$M1528,(IF(ISNUMBER(FIND("Dec",$C$1)),Monthly!$N1528,))))))))))))))))))))))))))</f>
        <v>130</v>
      </c>
      <c r="H52" s="1139">
        <f>IF(ISNUMBER(FIND("Jan",$C$1)),Monthly!$C1451,(IF(ISNUMBER(FIND("Feb",$C$1)),Monthly!$D1451,((IF(ISNUMBER(FIND("Mar",$C$1)),Monthly!$E1451,(IF(ISNUMBER(FIND("Apr",$C$1)),Monthly!$F1451,((IF(ISNUMBER(FIND("May",$C$1)),Monthly!$G1451,((IF(ISNUMBER(FIND("Jun",$C$1)),Monthly!$H1451,(IF(ISNUMBER(FIND("Jul",$C$1)),Monthly!$I1451,(IF(ISNUMBER(FIND("Aug",$C$1)),Monthly!$J1451,(IF(ISNUMBER(FIND("Sep",$C$1)),Monthly!$K1451,(IF(ISNUMBER(FIND("Oct",$C$1)),Monthly!$L1451,(IF(ISNUMBER(FIND("Nov",$C$1)),Monthly!$M1451,(IF(ISNUMBER(FIND("Dec",$C$1)),Monthly!$N1451,))))))))))))))))))))))))))</f>
        <v>316</v>
      </c>
      <c r="I52" s="1139">
        <f>IF(ISNUMBER(FIND("Jan",$C$1)),Monthly!$C1374,(IF(ISNUMBER(FIND("Feb",$C$1)),Monthly!$D1374,((IF(ISNUMBER(FIND("Mar",$C$1)),Monthly!$E1374,(IF(ISNUMBER(FIND("Apr",$C$1)),Monthly!$F1374,((IF(ISNUMBER(FIND("May",$C$1)),Monthly!$G1374,((IF(ISNUMBER(FIND("Jun",$C$1)),Monthly!$H1374,(IF(ISNUMBER(FIND("Jul",$C$1)),Monthly!$I1374,(IF(ISNUMBER(FIND("Aug",$C$1)),Monthly!$J1374,(IF(ISNUMBER(FIND("Sep",$C$1)),Monthly!$K1374,(IF(ISNUMBER(FIND("Oct",$C$1)),Monthly!$L1374,(IF(ISNUMBER(FIND("Nov",$C$1)),Monthly!$M1374,(IF(ISNUMBER(FIND("Dec",$C$1)),Monthly!$N1374,))))))))))))))))))))))))))</f>
        <v>122</v>
      </c>
      <c r="J52" s="1138">
        <f>IF(ISNUMBER(FIND("Jan",$C$1)),Monthly!$C1297,(IF(ISNUMBER(FIND("Feb",$C$1)),Monthly!$D1297,((IF(ISNUMBER(FIND("Mar",$C$1)),Monthly!$E1297,(IF(ISNUMBER(FIND("Apr",$C$1)),Monthly!$F1297,((IF(ISNUMBER(FIND("May",$C$1)),Monthly!$G1297,((IF(ISNUMBER(FIND("Jun",$C$1)),Monthly!$H1297,(IF(ISNUMBER(FIND("Jul",$C$1)),Monthly!$I1297,(IF(ISNUMBER(FIND("Aug",$C$1)),Monthly!$J1297,(IF(ISNUMBER(FIND("Sep",$C$1)),Monthly!$K1297,(IF(ISNUMBER(FIND("Oct",$C$1)),Monthly!$L1297,(IF(ISNUMBER(FIND("Nov",$C$1)),Monthly!$M1297,(IF(ISNUMBER(FIND("Dec",$C$1)),Monthly!$N1297,))))))))))))))))))))))))))</f>
        <v>643</v>
      </c>
      <c r="K52" s="1148">
        <f>IF(ISNUMBER(FIND("Jan",$C$1)),Monthly!$C1219,(IF(ISNUMBER(FIND("Feb",$C$1)),Monthly!$D1219,((IF(ISNUMBER(FIND("Mar",$C$1)),Monthly!$E1219,(IF(ISNUMBER(FIND("Apr",$C$1)),Monthly!$F1219,((IF(ISNUMBER(FIND("May",$C$1)),Monthly!$G1219,((IF(ISNUMBER(FIND("Jun",$C$1)),Monthly!$H1219,(IF(ISNUMBER(FIND("Jul",$C$1)),Monthly!$I1219,(IF(ISNUMBER(FIND("Aug",$C$1)),Monthly!$J1219,(IF(ISNUMBER(FIND("Sep",$C$1)),Monthly!$K1219,(IF(ISNUMBER(FIND("Oct",$C$1)),Monthly!$L1219,(IF(ISNUMBER(FIND("Nov",$C$1)),Monthly!$M1219,(IF(ISNUMBER(FIND("Dec",$C$1)),Monthly!$N1219,))))))))))))))))))))))))))</f>
        <v>15</v>
      </c>
      <c r="L52" s="1139">
        <f>IF(ISNUMBER(FIND("Jan",$C$1)),Monthly!$C1142,(IF(ISNUMBER(FIND("Feb",$C$1)),Monthly!$D1142,((IF(ISNUMBER(FIND("Mar",$C$1)),Monthly!$E1142,(IF(ISNUMBER(FIND("Apr",$C$1)),Monthly!$F1142,((IF(ISNUMBER(FIND("May",$C$1)),Monthly!$G1142,((IF(ISNUMBER(FIND("Jun",$C$1)),Monthly!$H1142,(IF(ISNUMBER(FIND("Jul",$C$1)),Monthly!$I1142,(IF(ISNUMBER(FIND("Aug",$C$1)),Monthly!$J1142,(IF(ISNUMBER(FIND("Sep",$C$1)),Monthly!$K1142,(IF(ISNUMBER(FIND("Oct",$C$1)),Monthly!$L1142,(IF(ISNUMBER(FIND("Nov",$C$1)),Monthly!$M1142,(IF(ISNUMBER(FIND("Dec",$C$1)),Monthly!$N1142,))))))))))))))))))))))))))</f>
        <v>159</v>
      </c>
      <c r="M52" s="1139">
        <f>IF(ISNUMBER(FIND("Jan",$C$1)),Monthly!$C1065,(IF(ISNUMBER(FIND("Feb",$C$1)),Monthly!$D1065,((IF(ISNUMBER(FIND("Mar",$C$1)),Monthly!$E1065,(IF(ISNUMBER(FIND("Apr",$C$1)),Monthly!$F1065,((IF(ISNUMBER(FIND("May",$C$1)),Monthly!$G1065,((IF(ISNUMBER(FIND("Jun",$C$1)),Monthly!$H1065,(IF(ISNUMBER(FIND("Jul",$C$1)),Monthly!$I1065,(IF(ISNUMBER(FIND("Aug",$C$1)),Monthly!$J1065,(IF(ISNUMBER(FIND("Sep",$C$1)),Monthly!$K1065,(IF(ISNUMBER(FIND("Oct",$C$1)),Monthly!$L1065,(IF(ISNUMBER(FIND("Nov",$C$1)),Monthly!$M1065,(IF(ISNUMBER(FIND("Dec",$C$1)),Monthly!$N1065,))))))))))))))))))))))))))</f>
        <v>445</v>
      </c>
      <c r="N52" s="1148">
        <f>IF(ISNUMBER(FIND("Jan",$C$1)),Monthly!$C988,(IF(ISNUMBER(FIND("Feb",$C$1)),Monthly!$D988,((IF(ISNUMBER(FIND("Mar",$C$1)),Monthly!$E988,(IF(ISNUMBER(FIND("Apr",$C$1)),Monthly!$F988,((IF(ISNUMBER(FIND("May",$C$1)),Monthly!$G988,((IF(ISNUMBER(FIND("Jun",$C$1)),Monthly!$H988,(IF(ISNUMBER(FIND("Jul",$C$1)),Monthly!$I988,(IF(ISNUMBER(FIND("Aug",$C$1)),Monthly!$J988,(IF(ISNUMBER(FIND("Sep",$C$1)),Monthly!$K988,(IF(ISNUMBER(FIND("Oct",$C$1)),Monthly!$L988,(IF(ISNUMBER(FIND("Nov",$C$1)),Monthly!$M988,(IF(ISNUMBER(FIND("Dec",$C$1)),Monthly!$N988,))))))))))))))))))))))))))</f>
        <v>203</v>
      </c>
      <c r="O52" s="1148">
        <f>IF(ISNUMBER(FIND("Jan",$C$1)),Monthly!$C912,(IF(ISNUMBER(FIND("Feb",$C$1)),Monthly!$D912,((IF(ISNUMBER(FIND("Mar",$C$1)),Monthly!$E912,(IF(ISNUMBER(FIND("Apr",$C$1)),Monthly!$F912,((IF(ISNUMBER(FIND("May",$C$1)),Monthly!$G912,((IF(ISNUMBER(FIND("Jun",$C$1)),Monthly!$H912,(IF(ISNUMBER(FIND("Jul",$C$1)),Monthly!$I912,(IF(ISNUMBER(FIND("Aug",$C$1)),Monthly!$J912,(IF(ISNUMBER(FIND("Sep",$C$1)),Monthly!$K912,(IF(ISNUMBER(FIND("Oct",$C$1)),Monthly!$L912,(IF(ISNUMBER(FIND("Nov",$C$1)),Monthly!$M912,(IF(ISNUMBER(FIND("Dec",$C$1)),Monthly!$N912,))))))))))))))))))))))))))</f>
        <v>738</v>
      </c>
      <c r="P52" s="1148">
        <f>IF(ISNUMBER(FIND("Jan",$C$1)),Monthly!$C835,(IF(ISNUMBER(FIND("Feb",$C$1)),Monthly!$D835,((IF(ISNUMBER(FIND("Mar",$C$1)),Monthly!$E835,(IF(ISNUMBER(FIND("Apr",$C$1)),Monthly!$F835,((IF(ISNUMBER(FIND("May",$C$1)),Monthly!$G835,((IF(ISNUMBER(FIND("Jun",$C$1)),Monthly!$H835,(IF(ISNUMBER(FIND("Jul",$C$1)),Monthly!$I835,(IF(ISNUMBER(FIND("Aug",$C$1)),Monthly!$J835,(IF(ISNUMBER(FIND("Sep",$C$1)),Monthly!$K835,(IF(ISNUMBER(FIND("Oct",$C$1)),Monthly!$L835,(IF(ISNUMBER(FIND("Nov",$C$1)),Monthly!$M835,(IF(ISNUMBER(FIND("Dec",$C$1)),Monthly!$N835,))))))))))))))))))))))))))</f>
        <v>65</v>
      </c>
      <c r="Q52" s="1142">
        <v>117</v>
      </c>
      <c r="R52" s="1142"/>
      <c r="S52" s="1142"/>
      <c r="T52" s="1142"/>
      <c r="U52" s="1143">
        <f>Monthly!O451</f>
        <v>6.666666666666667</v>
      </c>
      <c r="V52" s="1142">
        <f>Monthly!O366</f>
        <v>10.25</v>
      </c>
      <c r="W52" s="1142"/>
      <c r="X52" s="1144">
        <f t="shared" si="26"/>
        <v>236.46666666666667</v>
      </c>
      <c r="Y52" s="1145">
        <f t="shared" si="27"/>
        <v>3.3780952380952384E-2</v>
      </c>
      <c r="Z52" s="1146"/>
      <c r="AA52" s="1147">
        <f t="shared" si="28"/>
        <v>738</v>
      </c>
      <c r="AB52" s="1147">
        <f t="shared" si="29"/>
        <v>15</v>
      </c>
    </row>
    <row r="53" spans="1:28" s="147" customFormat="1" ht="13.5">
      <c r="A53" s="2306"/>
      <c r="B53" s="1151" t="s">
        <v>427</v>
      </c>
      <c r="C53" s="1138">
        <f>IF(ISNUMBER(FIND("Jan",$C$1)),Monthly!$C1840,(IF(ISNUMBER(FIND("Feb",$C$1)),Monthly!$D1840,((IF(ISNUMBER(FIND("Mar",$C$1)),Monthly!$E1840,(IF(ISNUMBER(FIND("Apr",$C$1)),Monthly!$F1840,((IF(ISNUMBER(FIND("May",$C$1)),Monthly!$G1840,((IF(ISNUMBER(FIND("Jun",$C$1)),Monthly!$H1840,(IF(ISNUMBER(FIND("Jul",$C$1)),Monthly!$I1840,(IF(ISNUMBER(FIND("Aug",$C$1)),Monthly!$J1840,(IF(ISNUMBER(FIND("Sep",$C$1)),Monthly!$K1840,(IF(ISNUMBER(FIND("Oct",$C$1)),Monthly!$L1840,(IF(ISNUMBER(FIND("Nov",$C$1)),Monthly!$M1840,(IF(ISNUMBER(FIND("Dec",$C$1)),Monthly!$N1840,))))))))))))))))))))))))))</f>
        <v>0</v>
      </c>
      <c r="D53" s="1139">
        <f>IF(ISNUMBER(FIND("Jan",$C$1)),Monthly!$C1763,(IF(ISNUMBER(FIND("Feb",$C$1)),Monthly!$D1763,((IF(ISNUMBER(FIND("Mar",$C$1)),Monthly!$E1763,(IF(ISNUMBER(FIND("Apr",$C$1)),Monthly!$F1763,((IF(ISNUMBER(FIND("May",$C$1)),Monthly!$G1763,((IF(ISNUMBER(FIND("Jun",$C$1)),Monthly!$H1763,(IF(ISNUMBER(FIND("Jul",$C$1)),Monthly!$I1763,(IF(ISNUMBER(FIND("Aug",$C$1)),Monthly!$J1763,(IF(ISNUMBER(FIND("Sep",$C$1)),Monthly!$K1763,(IF(ISNUMBER(FIND("Oct",$C$1)),Monthly!$L1763,(IF(ISNUMBER(FIND("Nov",$C$1)),Monthly!$M1763,(IF(ISNUMBER(FIND("Dec",$C$1)),Monthly!$N1763,))))))))))))))))))))))))))</f>
        <v>0</v>
      </c>
      <c r="E53" s="1139">
        <f xml:space="preserve">
IF(ISNUMBER(FIND("Jan",$C$1)),Monthly!$C1685,(IF(ISNUMBER(FIND("Feb",$C$1)),Monthly!$D1685,((IF(ISNUMBER(FIND("Mar",$C$1)),Monthly!$E1685,(IF(ISNUMBER(FIND("Apr",$C$1)),Monthly!$F1685,((IF(ISNUMBER(FIND("May",$C$1)),Monthly!$G1685,((IF(ISNUMBER(FIND("Jun",$C$1)),Monthly!$H1685,(IF(ISNUMBER(FIND("Jul",$C$1)),Monthly!$I1685,(IF(ISNUMBER(FIND("Aug",$C$1)),Monthly!$J1685,(IF(ISNUMBER(FIND("Sep",$C$1)),Monthly!$K1685,(IF(ISNUMBER(FIND("Oct",$C$1)),Monthly!$L1685,(IF(ISNUMBER(FIND("Nov",$C$1)),Monthly!$M1685,(IF(ISNUMBER(FIND("Dec",$C$1)),Monthly!$N1685,))))))))))))))))))))))))))</f>
        <v>0</v>
      </c>
      <c r="F53" s="1138">
        <f>IF(ISNUMBER(FIND("Jan",$C$1)),Monthly!$C1607,(IF(ISNUMBER(FIND("Feb",$C$1)),Monthly!$D1607,((IF(ISNUMBER(FIND("Mar",$C$1)),Monthly!$E1607,(IF(ISNUMBER(FIND("Apr",$C$1)),Monthly!$F1607,((IF(ISNUMBER(FIND("May",$C$1)),Monthly!$G1607,((IF(ISNUMBER(FIND("Jun",$C$1)),Monthly!$H1607,(IF(ISNUMBER(FIND("Jul",$C$1)),Monthly!$I1607,(IF(ISNUMBER(FIND("Aug",$C$1)),Monthly!$J1607,(IF(ISNUMBER(FIND("Sep",$C$1)),Monthly!$K1607,(IF(ISNUMBER(FIND("Oct",$C$1)),Monthly!$L1607,(IF(ISNUMBER(FIND("Nov",$C$1)),Monthly!$M1607,(IF(ISNUMBER(FIND("Dec",$C$1)),Monthly!$N1607,))))))))))))))))))))))))))</f>
        <v>20</v>
      </c>
      <c r="G53" s="1139">
        <f>IF(ISNUMBER(FIND("Jan",$C$1)),Monthly!$C1529,(IF(ISNUMBER(FIND("Feb",$C$1)),Monthly!$D1529,((IF(ISNUMBER(FIND("Mar",$C$1)),Monthly!$E1529,(IF(ISNUMBER(FIND("Apr",$C$1)),Monthly!$F1529,((IF(ISNUMBER(FIND("May",$C$1)),Monthly!$G1529,((IF(ISNUMBER(FIND("Jun",$C$1)),Monthly!$H1529,(IF(ISNUMBER(FIND("Jul",$C$1)),Monthly!$I1529,(IF(ISNUMBER(FIND("Aug",$C$1)),Monthly!$J1529,(IF(ISNUMBER(FIND("Sep",$C$1)),Monthly!$K1529,(IF(ISNUMBER(FIND("Oct",$C$1)),Monthly!$L1529,(IF(ISNUMBER(FIND("Nov",$C$1)),Monthly!$M1529,(IF(ISNUMBER(FIND("Dec",$C$1)),Monthly!$N1529,))))))))))))))))))))))))))</f>
        <v>20</v>
      </c>
      <c r="H53" s="1139">
        <f>IF(ISNUMBER(FIND("Jan",$C$1)),Monthly!$C1452,(IF(ISNUMBER(FIND("Feb",$C$1)),Monthly!$D1452,((IF(ISNUMBER(FIND("Mar",$C$1)),Monthly!$E1452,(IF(ISNUMBER(FIND("Apr",$C$1)),Monthly!$F1452,((IF(ISNUMBER(FIND("May",$C$1)),Monthly!$G1452,((IF(ISNUMBER(FIND("Jun",$C$1)),Monthly!$H1452,(IF(ISNUMBER(FIND("Jul",$C$1)),Monthly!$I1452,(IF(ISNUMBER(FIND("Aug",$C$1)),Monthly!$J1452,(IF(ISNUMBER(FIND("Sep",$C$1)),Monthly!$K1452,(IF(ISNUMBER(FIND("Oct",$C$1)),Monthly!$L1452,(IF(ISNUMBER(FIND("Nov",$C$1)),Monthly!$M1452,(IF(ISNUMBER(FIND("Dec",$C$1)),Monthly!$N1452,))))))))))))))))))))))))))</f>
        <v>20</v>
      </c>
      <c r="I53" s="1139">
        <f>IF(ISNUMBER(FIND("Jan",$C$1)),Monthly!$C1375,(IF(ISNUMBER(FIND("Feb",$C$1)),Monthly!$D1375,((IF(ISNUMBER(FIND("Mar",$C$1)),Monthly!$E1375,(IF(ISNUMBER(FIND("Apr",$C$1)),Monthly!$F1375,((IF(ISNUMBER(FIND("May",$C$1)),Monthly!$G1375,((IF(ISNUMBER(FIND("Jun",$C$1)),Monthly!$H1375,(IF(ISNUMBER(FIND("Jul",$C$1)),Monthly!$I1375,(IF(ISNUMBER(FIND("Aug",$C$1)),Monthly!$J1375,(IF(ISNUMBER(FIND("Sep",$C$1)),Monthly!$K1375,(IF(ISNUMBER(FIND("Oct",$C$1)),Monthly!$L1375,(IF(ISNUMBER(FIND("Nov",$C$1)),Monthly!$M1375,(IF(ISNUMBER(FIND("Dec",$C$1)),Monthly!$N1375,))))))))))))))))))))))))))</f>
        <v>0</v>
      </c>
      <c r="J53" s="1138">
        <f>IF(ISNUMBER(FIND("Jan",$C$1)),Monthly!$C1298,(IF(ISNUMBER(FIND("Feb",$C$1)),Monthly!$D1298,((IF(ISNUMBER(FIND("Mar",$C$1)),Monthly!$E1298,(IF(ISNUMBER(FIND("Apr",$C$1)),Monthly!$F1298,((IF(ISNUMBER(FIND("May",$C$1)),Monthly!$G1298,((IF(ISNUMBER(FIND("Jun",$C$1)),Monthly!$H1298,(IF(ISNUMBER(FIND("Jul",$C$1)),Monthly!$I1298,(IF(ISNUMBER(FIND("Aug",$C$1)),Monthly!$J1298,(IF(ISNUMBER(FIND("Sep",$C$1)),Monthly!$K1298,(IF(ISNUMBER(FIND("Oct",$C$1)),Monthly!$L1298,(IF(ISNUMBER(FIND("Nov",$C$1)),Monthly!$M1298,(IF(ISNUMBER(FIND("Dec",$C$1)),Monthly!$N1298,))))))))))))))))))))))))))</f>
        <v>0</v>
      </c>
      <c r="K53" s="1148">
        <f>IF(ISNUMBER(FIND("Jan",$C$1)),Monthly!$C1220,(IF(ISNUMBER(FIND("Feb",$C$1)),Monthly!$D1220,((IF(ISNUMBER(FIND("Mar",$C$1)),Monthly!$E1220,(IF(ISNUMBER(FIND("Apr",$C$1)),Monthly!$F1220,((IF(ISNUMBER(FIND("May",$C$1)),Monthly!$G1220,((IF(ISNUMBER(FIND("Jun",$C$1)),Monthly!$H1220,(IF(ISNUMBER(FIND("Jul",$C$1)),Monthly!$I1220,(IF(ISNUMBER(FIND("Aug",$C$1)),Monthly!$J1220,(IF(ISNUMBER(FIND("Sep",$C$1)),Monthly!$K1220,(IF(ISNUMBER(FIND("Oct",$C$1)),Monthly!$L1220,(IF(ISNUMBER(FIND("Nov",$C$1)),Monthly!$M1220,(IF(ISNUMBER(FIND("Dec",$C$1)),Monthly!$N1220,))))))))))))))))))))))))))</f>
        <v>0</v>
      </c>
      <c r="L53" s="1139">
        <f>IF(ISNUMBER(FIND("Jan",$C$1)),Monthly!$C1143,(IF(ISNUMBER(FIND("Feb",$C$1)),Monthly!$D1143,((IF(ISNUMBER(FIND("Mar",$C$1)),Monthly!$E1143,(IF(ISNUMBER(FIND("Apr",$C$1)),Monthly!$F1143,((IF(ISNUMBER(FIND("May",$C$1)),Monthly!$G1143,((IF(ISNUMBER(FIND("Jun",$C$1)),Monthly!$H1143,(IF(ISNUMBER(FIND("Jul",$C$1)),Monthly!$I1143,(IF(ISNUMBER(FIND("Aug",$C$1)),Monthly!$J1143,(IF(ISNUMBER(FIND("Sep",$C$1)),Monthly!$K1143,(IF(ISNUMBER(FIND("Oct",$C$1)),Monthly!$L1143,(IF(ISNUMBER(FIND("Nov",$C$1)),Monthly!$M1143,(IF(ISNUMBER(FIND("Dec",$C$1)),Monthly!$N1143,))))))))))))))))))))))))))</f>
        <v>0</v>
      </c>
      <c r="M53" s="1139">
        <f>IF(ISNUMBER(FIND("Jan",$C$1)),Monthly!$C1066,(IF(ISNUMBER(FIND("Feb",$C$1)),Monthly!$D1066,((IF(ISNUMBER(FIND("Mar",$C$1)),Monthly!$E1066,(IF(ISNUMBER(FIND("Apr",$C$1)),Monthly!$F1066,((IF(ISNUMBER(FIND("May",$C$1)),Monthly!$G1066,((IF(ISNUMBER(FIND("Jun",$C$1)),Monthly!$H1066,(IF(ISNUMBER(FIND("Jul",$C$1)),Monthly!$I1066,(IF(ISNUMBER(FIND("Aug",$C$1)),Monthly!$J1066,(IF(ISNUMBER(FIND("Sep",$C$1)),Monthly!$K1066,(IF(ISNUMBER(FIND("Oct",$C$1)),Monthly!$L1066,(IF(ISNUMBER(FIND("Nov",$C$1)),Monthly!$M1066,(IF(ISNUMBER(FIND("Dec",$C$1)),Monthly!$N1066,))))))))))))))))))))))))))</f>
        <v>0</v>
      </c>
      <c r="N53" s="1148">
        <f>IF(ISNUMBER(FIND("Jan",$C$1)),Monthly!$C989,(IF(ISNUMBER(FIND("Feb",$C$1)),Monthly!$D989,((IF(ISNUMBER(FIND("Mar",$C$1)),Monthly!$E989,(IF(ISNUMBER(FIND("Apr",$C$1)),Monthly!$F989,((IF(ISNUMBER(FIND("May",$C$1)),Monthly!$G989,((IF(ISNUMBER(FIND("Jun",$C$1)),Monthly!$H989,(IF(ISNUMBER(FIND("Jul",$C$1)),Monthly!$I989,(IF(ISNUMBER(FIND("Aug",$C$1)),Monthly!$J989,(IF(ISNUMBER(FIND("Sep",$C$1)),Monthly!$K989,(IF(ISNUMBER(FIND("Oct",$C$1)),Monthly!$L989,(IF(ISNUMBER(FIND("Nov",$C$1)),Monthly!$M989,(IF(ISNUMBER(FIND("Dec",$C$1)),Monthly!$N989,))))))))))))))))))))))))))</f>
        <v>0</v>
      </c>
      <c r="O53" s="1148">
        <f>IF(ISNUMBER(FIND("Jan",$C$1)),Monthly!$C913,(IF(ISNUMBER(FIND("Feb",$C$1)),Monthly!$D913,((IF(ISNUMBER(FIND("Mar",$C$1)),Monthly!$E913,(IF(ISNUMBER(FIND("Apr",$C$1)),Monthly!$F913,((IF(ISNUMBER(FIND("May",$C$1)),Monthly!$G913,((IF(ISNUMBER(FIND("Jun",$C$1)),Monthly!$H913,(IF(ISNUMBER(FIND("Jul",$C$1)),Monthly!$I913,(IF(ISNUMBER(FIND("Aug",$C$1)),Monthly!$J913,(IF(ISNUMBER(FIND("Sep",$C$1)),Monthly!$K913,(IF(ISNUMBER(FIND("Oct",$C$1)),Monthly!$L913,(IF(ISNUMBER(FIND("Nov",$C$1)),Monthly!$M913,(IF(ISNUMBER(FIND("Dec",$C$1)),Monthly!$N913,))))))))))))))))))))))))))</f>
        <v>0</v>
      </c>
      <c r="P53" s="1148">
        <f>IF(ISNUMBER(FIND("Jan",$C$1)),Monthly!$C836,(IF(ISNUMBER(FIND("Feb",$C$1)),Monthly!$D836,((IF(ISNUMBER(FIND("Mar",$C$1)),Monthly!$E836,(IF(ISNUMBER(FIND("Apr",$C$1)),Monthly!$F836,((IF(ISNUMBER(FIND("May",$C$1)),Monthly!$G836,((IF(ISNUMBER(FIND("Jun",$C$1)),Monthly!$H836,(IF(ISNUMBER(FIND("Jul",$C$1)),Monthly!$I836,(IF(ISNUMBER(FIND("Aug",$C$1)),Monthly!$J836,(IF(ISNUMBER(FIND("Sep",$C$1)),Monthly!$K836,(IF(ISNUMBER(FIND("Oct",$C$1)),Monthly!$L836,(IF(ISNUMBER(FIND("Nov",$C$1)),Monthly!$M836,(IF(ISNUMBER(FIND("Dec",$C$1)),Monthly!$N836,))))))))))))))))))))))))))</f>
        <v>82</v>
      </c>
      <c r="Q53" s="1142">
        <f>IF(ISNUMBER(FIND("Jan",$C$1)),Monthly!$C759,(IF(ISNUMBER(FIND("Feb",$C$1)),Monthly!$D759,((IF(ISNUMBER(FIND("Mar",$C$1)),Monthly!$E759,(IF(ISNUMBER(FIND("Apr",$C$1)),Monthly!$F759,((IF(ISNUMBER(FIND("May",$C$1)),Monthly!$G759,((IF(ISNUMBER(FIND("Jun",$C$1)),Monthly!$H759,(IF(ISNUMBER(FIND("Jul",$C$1)),Monthly!$I759,(IF(ISNUMBER(FIND("Aug",$C$1)),Monthly!$J759,(IF(ISNUMBER(FIND("Sep",$C$1)),Monthly!$K759,(IF(ISNUMBER(FIND("Oct",$C$1)),Monthly!$L759,(IF(ISNUMBER(FIND("Nov",$C$1)),Monthly!$M759,(IF(ISNUMBER(FIND("Dec",$C$1)),Monthly!$N759,))))))))))))))))))))))))))</f>
        <v>94</v>
      </c>
      <c r="R53" s="1142"/>
      <c r="S53" s="1142"/>
      <c r="T53" s="1142"/>
      <c r="U53" s="1143">
        <f>Monthly!O452</f>
        <v>82.5</v>
      </c>
      <c r="V53" s="1142">
        <f>Monthly!O367</f>
        <v>110</v>
      </c>
      <c r="W53" s="1142"/>
      <c r="X53" s="1144">
        <f t="shared" si="26"/>
        <v>15.733333333333333</v>
      </c>
      <c r="Y53" s="1145">
        <f t="shared" si="27"/>
        <v>2.2476190476190473E-3</v>
      </c>
      <c r="Z53" s="1146"/>
      <c r="AA53" s="1147">
        <f t="shared" si="28"/>
        <v>94</v>
      </c>
      <c r="AB53" s="1147">
        <f t="shared" si="29"/>
        <v>0</v>
      </c>
    </row>
    <row r="54" spans="1:28" s="147" customFormat="1" ht="13.5">
      <c r="A54" s="2307"/>
      <c r="B54" s="1151" t="s">
        <v>381</v>
      </c>
      <c r="C54" s="1138">
        <f>IF(ISNUMBER(FIND("Jan",$C$1)),Monthly!$C1841,(IF(ISNUMBER(FIND("Feb",$C$1)),Monthly!$D1841,((IF(ISNUMBER(FIND("Mar",$C$1)),Monthly!$E1841,(IF(ISNUMBER(FIND("Apr",$C$1)),Monthly!$F1841,((IF(ISNUMBER(FIND("May",$C$1)),Monthly!$G1841,((IF(ISNUMBER(FIND("Jun",$C$1)),Monthly!$H1841,(IF(ISNUMBER(FIND("Jul",$C$1)),Monthly!$I1841,(IF(ISNUMBER(FIND("Aug",$C$1)),Monthly!$J1841,(IF(ISNUMBER(FIND("Sep",$C$1)),Monthly!$K1841,(IF(ISNUMBER(FIND("Oct",$C$1)),Monthly!$L1841,(IF(ISNUMBER(FIND("Nov",$C$1)),Monthly!$M1841,(IF(ISNUMBER(FIND("Dec",$C$1)),Monthly!$N1841,))))))))))))))))))))))))))</f>
        <v>127</v>
      </c>
      <c r="D54" s="1139">
        <f>IF(ISNUMBER(FIND("Jan",$C$1)),Monthly!$C1764,(IF(ISNUMBER(FIND("Feb",$C$1)),Monthly!$D1764,((IF(ISNUMBER(FIND("Mar",$C$1)),Monthly!$E1764,(IF(ISNUMBER(FIND("Apr",$C$1)),Monthly!$F1764,((IF(ISNUMBER(FIND("May",$C$1)),Monthly!$G1764,((IF(ISNUMBER(FIND("Jun",$C$1)),Monthly!$H1764,(IF(ISNUMBER(FIND("Jul",$C$1)),Monthly!$I1764,(IF(ISNUMBER(FIND("Aug",$C$1)),Monthly!$J1764,(IF(ISNUMBER(FIND("Sep",$C$1)),Monthly!$K1764,(IF(ISNUMBER(FIND("Oct",$C$1)),Monthly!$L1764,(IF(ISNUMBER(FIND("Nov",$C$1)),Monthly!$M1764,(IF(ISNUMBER(FIND("Dec",$C$1)),Monthly!$N1764,))))))))))))))))))))))))))</f>
        <v>74</v>
      </c>
      <c r="E54" s="1139">
        <f xml:space="preserve">
IF(ISNUMBER(FIND("Jan",$C$1)),Monthly!$C1686,(IF(ISNUMBER(FIND("Feb",$C$1)),Monthly!$D1686,((IF(ISNUMBER(FIND("Mar",$C$1)),Monthly!$E1686,(IF(ISNUMBER(FIND("Apr",$C$1)),Monthly!$F1686,((IF(ISNUMBER(FIND("May",$C$1)),Monthly!$G1686,((IF(ISNUMBER(FIND("Jun",$C$1)),Monthly!$H1686,(IF(ISNUMBER(FIND("Jul",$C$1)),Monthly!$I1686,(IF(ISNUMBER(FIND("Aug",$C$1)),Monthly!$J1686,(IF(ISNUMBER(FIND("Sep",$C$1)),Monthly!$K1686,(IF(ISNUMBER(FIND("Oct",$C$1)),Monthly!$L1686,(IF(ISNUMBER(FIND("Nov",$C$1)),Monthly!$M1686,(IF(ISNUMBER(FIND("Dec",$C$1)),Monthly!$N1686,))))))))))))))))))))))))))</f>
        <v>38</v>
      </c>
      <c r="F54" s="1138">
        <f>IF(ISNUMBER(FIND("Jan",$C$1)),Monthly!$C1608,(IF(ISNUMBER(FIND("Feb",$C$1)),Monthly!$D1608,((IF(ISNUMBER(FIND("Mar",$C$1)),Monthly!$E1608,(IF(ISNUMBER(FIND("Apr",$C$1)),Monthly!$F1608,((IF(ISNUMBER(FIND("May",$C$1)),Monthly!$G1608,((IF(ISNUMBER(FIND("Jun",$C$1)),Monthly!$H1608,(IF(ISNUMBER(FIND("Jul",$C$1)),Monthly!$I1608,(IF(ISNUMBER(FIND("Aug",$C$1)),Monthly!$J1608,(IF(ISNUMBER(FIND("Sep",$C$1)),Monthly!$K1608,(IF(ISNUMBER(FIND("Oct",$C$1)),Monthly!$L1608,(IF(ISNUMBER(FIND("Nov",$C$1)),Monthly!$M1608,(IF(ISNUMBER(FIND("Dec",$C$1)),Monthly!$N1608,))))))))))))))))))))))))))</f>
        <v>55</v>
      </c>
      <c r="G54" s="1139">
        <f>IF(ISNUMBER(FIND("Jan",$C$1)),Monthly!$C1530,(IF(ISNUMBER(FIND("Feb",$C$1)),Monthly!$D1530,((IF(ISNUMBER(FIND("Mar",$C$1)),Monthly!$E1530,(IF(ISNUMBER(FIND("Apr",$C$1)),Monthly!$F1530,((IF(ISNUMBER(FIND("May",$C$1)),Monthly!$G1530,((IF(ISNUMBER(FIND("Jun",$C$1)),Monthly!$H1530,(IF(ISNUMBER(FIND("Jul",$C$1)),Monthly!$I1530,(IF(ISNUMBER(FIND("Aug",$C$1)),Monthly!$J1530,(IF(ISNUMBER(FIND("Sep",$C$1)),Monthly!$K1530,(IF(ISNUMBER(FIND("Oct",$C$1)),Monthly!$L1530,(IF(ISNUMBER(FIND("Nov",$C$1)),Monthly!$M1530,(IF(ISNUMBER(FIND("Dec",$C$1)),Monthly!$N1530,))))))))))))))))))))))))))</f>
        <v>61</v>
      </c>
      <c r="H54" s="1139">
        <f>IF(ISNUMBER(FIND("Jan",$C$1)),Monthly!$C1453,(IF(ISNUMBER(FIND("Feb",$C$1)),Monthly!$D1453,((IF(ISNUMBER(FIND("Mar",$C$1)),Monthly!$E1453,(IF(ISNUMBER(FIND("Apr",$C$1)),Monthly!$F1453,((IF(ISNUMBER(FIND("May",$C$1)),Monthly!$G1453,((IF(ISNUMBER(FIND("Jun",$C$1)),Monthly!$H1453,(IF(ISNUMBER(FIND("Jul",$C$1)),Monthly!$I1453,(IF(ISNUMBER(FIND("Aug",$C$1)),Monthly!$J1453,(IF(ISNUMBER(FIND("Sep",$C$1)),Monthly!$K1453,(IF(ISNUMBER(FIND("Oct",$C$1)),Monthly!$L1453,(IF(ISNUMBER(FIND("Nov",$C$1)),Monthly!$M1453,(IF(ISNUMBER(FIND("Dec",$C$1)),Monthly!$N1453,))))))))))))))))))))))))))</f>
        <v>22</v>
      </c>
      <c r="I54" s="1139">
        <f>IF(ISNUMBER(FIND("Jan",$C$1)),Monthly!$C1376,(IF(ISNUMBER(FIND("Feb",$C$1)),Monthly!$D1376,((IF(ISNUMBER(FIND("Mar",$C$1)),Monthly!$E1376,(IF(ISNUMBER(FIND("Apr",$C$1)),Monthly!$F1376,((IF(ISNUMBER(FIND("May",$C$1)),Monthly!$G1376,((IF(ISNUMBER(FIND("Jun",$C$1)),Monthly!$H1376,(IF(ISNUMBER(FIND("Jul",$C$1)),Monthly!$I1376,(IF(ISNUMBER(FIND("Aug",$C$1)),Monthly!$J1376,(IF(ISNUMBER(FIND("Sep",$C$1)),Monthly!$K1376,(IF(ISNUMBER(FIND("Oct",$C$1)),Monthly!$L1376,(IF(ISNUMBER(FIND("Nov",$C$1)),Monthly!$M1376,(IF(ISNUMBER(FIND("Dec",$C$1)),Monthly!$N1376,))))))))))))))))))))))))))</f>
        <v>6</v>
      </c>
      <c r="J54" s="1138">
        <f>IF(ISNUMBER(FIND("Jan",$C$1)),Monthly!$C1299,(IF(ISNUMBER(FIND("Feb",$C$1)),Monthly!$D1299,((IF(ISNUMBER(FIND("Mar",$C$1)),Monthly!$E1299,(IF(ISNUMBER(FIND("Apr",$C$1)),Monthly!$F1299,((IF(ISNUMBER(FIND("May",$C$1)),Monthly!$G1299,((IF(ISNUMBER(FIND("Jun",$C$1)),Monthly!$H1299,(IF(ISNUMBER(FIND("Jul",$C$1)),Monthly!$I1299,(IF(ISNUMBER(FIND("Aug",$C$1)),Monthly!$J1299,(IF(ISNUMBER(FIND("Sep",$C$1)),Monthly!$K1299,(IF(ISNUMBER(FIND("Oct",$C$1)),Monthly!$L1299,(IF(ISNUMBER(FIND("Nov",$C$1)),Monthly!$M1299,(IF(ISNUMBER(FIND("Dec",$C$1)),Monthly!$N1299,))))))))))))))))))))))))))</f>
        <v>0</v>
      </c>
      <c r="K54" s="1148">
        <f>IF(ISNUMBER(FIND("Jan",$C$1)),Monthly!$C1221,(IF(ISNUMBER(FIND("Feb",$C$1)),Monthly!$D1221,((IF(ISNUMBER(FIND("Mar",$C$1)),Monthly!$E1221,(IF(ISNUMBER(FIND("Apr",$C$1)),Monthly!$F1221,((IF(ISNUMBER(FIND("May",$C$1)),Monthly!$G1221,((IF(ISNUMBER(FIND("Jun",$C$1)),Monthly!$H1221,(IF(ISNUMBER(FIND("Jul",$C$1)),Monthly!$I1221,(IF(ISNUMBER(FIND("Aug",$C$1)),Monthly!$J1221,(IF(ISNUMBER(FIND("Sep",$C$1)),Monthly!$K1221,(IF(ISNUMBER(FIND("Oct",$C$1)),Monthly!$L1221,(IF(ISNUMBER(FIND("Nov",$C$1)),Monthly!$M1221,(IF(ISNUMBER(FIND("Dec",$C$1)),Monthly!$N1221,))))))))))))))))))))))))))</f>
        <v>0</v>
      </c>
      <c r="L54" s="1139">
        <f>IF(ISNUMBER(FIND("Jan",$C$1)),Monthly!$C1144,(IF(ISNUMBER(FIND("Feb",$C$1)),Monthly!$D1144,((IF(ISNUMBER(FIND("Mar",$C$1)),Monthly!$E1144,(IF(ISNUMBER(FIND("Apr",$C$1)),Monthly!$F1144,((IF(ISNUMBER(FIND("May",$C$1)),Monthly!$G1144,((IF(ISNUMBER(FIND("Jun",$C$1)),Monthly!$H1144,(IF(ISNUMBER(FIND("Jul",$C$1)),Monthly!$I1144,(IF(ISNUMBER(FIND("Aug",$C$1)),Monthly!$J1144,(IF(ISNUMBER(FIND("Sep",$C$1)),Monthly!$K1144,(IF(ISNUMBER(FIND("Oct",$C$1)),Monthly!$L1144,(IF(ISNUMBER(FIND("Nov",$C$1)),Monthly!$M1144,(IF(ISNUMBER(FIND("Dec",$C$1)),Monthly!$N1144,))))))))))))))))))))))))))</f>
        <v>310</v>
      </c>
      <c r="M54" s="1139">
        <f>IF(ISNUMBER(FIND("Jan",$C$1)),Monthly!$C1067,(IF(ISNUMBER(FIND("Feb",$C$1)),Monthly!$D1067,((IF(ISNUMBER(FIND("Mar",$C$1)),Monthly!$E1067,(IF(ISNUMBER(FIND("Apr",$C$1)),Monthly!$F1067,((IF(ISNUMBER(FIND("May",$C$1)),Monthly!$G1067,((IF(ISNUMBER(FIND("Jun",$C$1)),Monthly!$H1067,(IF(ISNUMBER(FIND("Jul",$C$1)),Monthly!$I1067,(IF(ISNUMBER(FIND("Aug",$C$1)),Monthly!$J1067,(IF(ISNUMBER(FIND("Sep",$C$1)),Monthly!$K1067,(IF(ISNUMBER(FIND("Oct",$C$1)),Monthly!$L1067,(IF(ISNUMBER(FIND("Nov",$C$1)),Monthly!$M1067,(IF(ISNUMBER(FIND("Dec",$C$1)),Monthly!$N1067,))))))))))))))))))))))))))</f>
        <v>65</v>
      </c>
      <c r="N54" s="1148">
        <f>IF(ISNUMBER(FIND("Jan",$C$1)),Monthly!$C990,(IF(ISNUMBER(FIND("Feb",$C$1)),Monthly!$D990,((IF(ISNUMBER(FIND("Mar",$C$1)),Monthly!$E990,(IF(ISNUMBER(FIND("Apr",$C$1)),Monthly!$F990,((IF(ISNUMBER(FIND("May",$C$1)),Monthly!$G990,((IF(ISNUMBER(FIND("Jun",$C$1)),Monthly!$H990,(IF(ISNUMBER(FIND("Jul",$C$1)),Monthly!$I990,(IF(ISNUMBER(FIND("Aug",$C$1)),Monthly!$J990,(IF(ISNUMBER(FIND("Sep",$C$1)),Monthly!$K990,(IF(ISNUMBER(FIND("Oct",$C$1)),Monthly!$L990,(IF(ISNUMBER(FIND("Nov",$C$1)),Monthly!$M990,(IF(ISNUMBER(FIND("Dec",$C$1)),Monthly!$N990,))))))))))))))))))))))))))</f>
        <v>590</v>
      </c>
      <c r="O54" s="1148">
        <f>IF(ISNUMBER(FIND("Jan",$C$1)),Monthly!$C914,(IF(ISNUMBER(FIND("Feb",$C$1)),Monthly!$D914,((IF(ISNUMBER(FIND("Mar",$C$1)),Monthly!$E914,(IF(ISNUMBER(FIND("Apr",$C$1)),Monthly!$F914,((IF(ISNUMBER(FIND("May",$C$1)),Monthly!$G914,((IF(ISNUMBER(FIND("Jun",$C$1)),Monthly!$H914,(IF(ISNUMBER(FIND("Jul",$C$1)),Monthly!$I914,(IF(ISNUMBER(FIND("Aug",$C$1)),Monthly!$J914,(IF(ISNUMBER(FIND("Sep",$C$1)),Monthly!$K914,(IF(ISNUMBER(FIND("Oct",$C$1)),Monthly!$L914,(IF(ISNUMBER(FIND("Nov",$C$1)),Monthly!$M914,(IF(ISNUMBER(FIND("Dec",$C$1)),Monthly!$N914,))))))))))))))))))))))))))</f>
        <v>2701</v>
      </c>
      <c r="P54" s="1148">
        <f>IF(ISNUMBER(FIND("Jan",$C$1)),Monthly!$C837,(IF(ISNUMBER(FIND("Feb",$C$1)),Monthly!$D837,((IF(ISNUMBER(FIND("Mar",$C$1)),Monthly!$E837,(IF(ISNUMBER(FIND("Apr",$C$1)),Monthly!$F837,((IF(ISNUMBER(FIND("May",$C$1)),Monthly!$G837,((IF(ISNUMBER(FIND("Jun",$C$1)),Monthly!$H837,(IF(ISNUMBER(FIND("Jul",$C$1)),Monthly!$I837,(IF(ISNUMBER(FIND("Aug",$C$1)),Monthly!$J837,(IF(ISNUMBER(FIND("Sep",$C$1)),Monthly!$K837,(IF(ISNUMBER(FIND("Oct",$C$1)),Monthly!$L837,(IF(ISNUMBER(FIND("Nov",$C$1)),Monthly!$M837,(IF(ISNUMBER(FIND("Dec",$C$1)),Monthly!$N837,))))))))))))))))))))))))))</f>
        <v>468</v>
      </c>
      <c r="Q54" s="1142">
        <f>IF(ISNUMBER(FIND("Jan",$C$1)),Monthly!$C760,(IF(ISNUMBER(FIND("Feb",$C$1)),Monthly!$D760,((IF(ISNUMBER(FIND("Mar",$C$1)),Monthly!$E760,(IF(ISNUMBER(FIND("Apr",$C$1)),Monthly!$F760,((IF(ISNUMBER(FIND("May",$C$1)),Monthly!$G760,((IF(ISNUMBER(FIND("Jun",$C$1)),Monthly!$H760,(IF(ISNUMBER(FIND("Jul",$C$1)),Monthly!$I760,(IF(ISNUMBER(FIND("Aug",$C$1)),Monthly!$J760,(IF(ISNUMBER(FIND("Sep",$C$1)),Monthly!$K760,(IF(ISNUMBER(FIND("Oct",$C$1)),Monthly!$L760,(IF(ISNUMBER(FIND("Nov",$C$1)),Monthly!$M760,(IF(ISNUMBER(FIND("Dec",$C$1)),Monthly!$N760,))))))))))))))))))))))))))</f>
        <v>6</v>
      </c>
      <c r="R54" s="1142"/>
      <c r="S54" s="1142"/>
      <c r="T54" s="1142"/>
      <c r="U54" s="1143">
        <f>Monthly!O453</f>
        <v>244.16666666666666</v>
      </c>
      <c r="V54" s="1142">
        <f>Monthly!O368</f>
        <v>848.83333333333337</v>
      </c>
      <c r="W54" s="1142"/>
      <c r="X54" s="1144">
        <f t="shared" si="26"/>
        <v>301.53333333333336</v>
      </c>
      <c r="Y54" s="1145">
        <f>X54/7000</f>
        <v>4.3076190476190483E-2</v>
      </c>
      <c r="Z54" s="1146"/>
      <c r="AA54" s="1147">
        <f t="shared" si="28"/>
        <v>2701</v>
      </c>
      <c r="AB54" s="1147">
        <f t="shared" si="29"/>
        <v>0</v>
      </c>
    </row>
    <row r="55" spans="1:28" s="147" customFormat="1" ht="13.5">
      <c r="A55" s="2295" t="s">
        <v>428</v>
      </c>
      <c r="B55" s="2296"/>
      <c r="C55" s="2283">
        <f>SUM(C57:C58)</f>
        <v>0</v>
      </c>
      <c r="D55" s="2283">
        <f t="shared" ref="D55:X55" si="30">SUM(D57:D58)</f>
        <v>0</v>
      </c>
      <c r="E55" s="2283">
        <f t="shared" si="30"/>
        <v>0</v>
      </c>
      <c r="F55" s="2283">
        <f t="shared" si="30"/>
        <v>0</v>
      </c>
      <c r="G55" s="2283">
        <f t="shared" si="30"/>
        <v>0</v>
      </c>
      <c r="H55" s="2283">
        <f t="shared" si="30"/>
        <v>103</v>
      </c>
      <c r="I55" s="2283">
        <f t="shared" si="30"/>
        <v>2284</v>
      </c>
      <c r="J55" s="2283">
        <f t="shared" si="30"/>
        <v>1310</v>
      </c>
      <c r="K55" s="2283">
        <f t="shared" si="30"/>
        <v>2493</v>
      </c>
      <c r="L55" s="2283">
        <f t="shared" si="30"/>
        <v>2930</v>
      </c>
      <c r="M55" s="2283">
        <f t="shared" si="30"/>
        <v>2662</v>
      </c>
      <c r="N55" s="2283">
        <f t="shared" si="30"/>
        <v>2197</v>
      </c>
      <c r="O55" s="2283">
        <f t="shared" si="30"/>
        <v>900</v>
      </c>
      <c r="P55" s="2283">
        <f t="shared" si="30"/>
        <v>1001</v>
      </c>
      <c r="Q55" s="2283">
        <f t="shared" si="30"/>
        <v>1718</v>
      </c>
      <c r="R55" s="2283">
        <f t="shared" ref="R55:W55" si="31">SUM(R57:R58)</f>
        <v>0</v>
      </c>
      <c r="S55" s="2283">
        <f t="shared" si="31"/>
        <v>0</v>
      </c>
      <c r="T55" s="2283">
        <f t="shared" si="31"/>
        <v>0</v>
      </c>
      <c r="U55" s="2283">
        <f t="shared" si="31"/>
        <v>1252.4166666666667</v>
      </c>
      <c r="V55" s="2283">
        <f t="shared" si="31"/>
        <v>191.08333333333331</v>
      </c>
      <c r="W55" s="2283">
        <f t="shared" si="31"/>
        <v>0</v>
      </c>
      <c r="X55" s="2283">
        <f t="shared" si="30"/>
        <v>1173.2</v>
      </c>
      <c r="Y55" s="1145">
        <f>X55/7000</f>
        <v>0.1676</v>
      </c>
      <c r="Z55" s="1134"/>
      <c r="AA55" s="2283">
        <f>SUM(AA57:AA58)</f>
        <v>5214</v>
      </c>
      <c r="AB55" s="2283">
        <f>SUM(AB57:AB58)</f>
        <v>0</v>
      </c>
    </row>
    <row r="56" spans="1:28" s="147" customFormat="1" ht="13.5">
      <c r="A56" s="2297"/>
      <c r="B56" s="2298"/>
      <c r="C56" s="2284"/>
      <c r="D56" s="2284"/>
      <c r="E56" s="2284"/>
      <c r="F56" s="2284"/>
      <c r="G56" s="2284"/>
      <c r="H56" s="2284"/>
      <c r="I56" s="2284"/>
      <c r="J56" s="2284"/>
      <c r="K56" s="2284"/>
      <c r="L56" s="2284"/>
      <c r="M56" s="2284"/>
      <c r="N56" s="2284"/>
      <c r="O56" s="2284"/>
      <c r="P56" s="2284"/>
      <c r="Q56" s="2284"/>
      <c r="R56" s="2284"/>
      <c r="S56" s="2284"/>
      <c r="T56" s="2284"/>
      <c r="U56" s="2284"/>
      <c r="V56" s="2284"/>
      <c r="W56" s="2284"/>
      <c r="X56" s="2284"/>
      <c r="Y56" s="1150">
        <f>X56/7000</f>
        <v>0</v>
      </c>
      <c r="Z56" s="1135"/>
      <c r="AA56" s="2284"/>
      <c r="AB56" s="2284"/>
    </row>
    <row r="57" spans="1:28" s="148" customFormat="1" ht="13.5">
      <c r="A57" s="2305"/>
      <c r="B57" s="1151" t="s">
        <v>429</v>
      </c>
      <c r="C57" s="1138">
        <f>IF(ISNUMBER(FIND("Jan",$C$1)),Monthly!$C1844,(IF(ISNUMBER(FIND("Feb",$C$1)),Monthly!$D1844,((IF(ISNUMBER(FIND("Mar",$C$1)),Monthly!$E1844,(IF(ISNUMBER(FIND("Apr",$C$1)),Monthly!$F1844,((IF(ISNUMBER(FIND("May",$C$1)),Monthly!$G1844,((IF(ISNUMBER(FIND("Jun",$C$1)),Monthly!$H1844,(IF(ISNUMBER(FIND("Jul",$C$1)),Monthly!$I1844,(IF(ISNUMBER(FIND("Aug",$C$1)),Monthly!$J1844,(IF(ISNUMBER(FIND("Sep",$C$1)),Monthly!$K1844,(IF(ISNUMBER(FIND("Oct",$C$1)),Monthly!$L1844,(IF(ISNUMBER(FIND("Nov",$C$1)),Monthly!$M1844,(IF(ISNUMBER(FIND("Dec",$C$1)),Monthly!$N1844,))))))))))))))))))))))))))</f>
        <v>0</v>
      </c>
      <c r="D57" s="1139">
        <f>IF(ISNUMBER(FIND("Jan",$C$1)),Monthly!$C1767,(IF(ISNUMBER(FIND("Feb",$C$1)),Monthly!$D1767,((IF(ISNUMBER(FIND("Mar",$C$1)),Monthly!$E1767,(IF(ISNUMBER(FIND("Apr",$C$1)),Monthly!$F1767,((IF(ISNUMBER(FIND("May",$C$1)),Monthly!$G1767,((IF(ISNUMBER(FIND("Jun",$C$1)),Monthly!$H1767,(IF(ISNUMBER(FIND("Jul",$C$1)),Monthly!$I1767,(IF(ISNUMBER(FIND("Aug",$C$1)),Monthly!$J1767,(IF(ISNUMBER(FIND("Sep",$C$1)),Monthly!$K1767,(IF(ISNUMBER(FIND("Oct",$C$1)),Monthly!$L1767,(IF(ISNUMBER(FIND("Nov",$C$1)),Monthly!$M1767,(IF(ISNUMBER(FIND("Dec",$C$1)),Monthly!$N1767,))))))))))))))))))))))))))</f>
        <v>0</v>
      </c>
      <c r="E57" s="1139">
        <f xml:space="preserve">
IF(ISNUMBER(FIND("Jan",$C$1)),Monthly!$C1689,(IF(ISNUMBER(FIND("Feb",$C$1)),Monthly!$D1689,((IF(ISNUMBER(FIND("Mar",$C$1)),Monthly!$E1689,(IF(ISNUMBER(FIND("Apr",$C$1)),Monthly!$F1689,((IF(ISNUMBER(FIND("May",$C$1)),Monthly!$G1689,((IF(ISNUMBER(FIND("Jun",$C$1)),Monthly!$H1689,(IF(ISNUMBER(FIND("Jul",$C$1)),Monthly!$I1689,(IF(ISNUMBER(FIND("Aug",$C$1)),Monthly!$J1689,(IF(ISNUMBER(FIND("Sep",$C$1)),Monthly!$K1689,(IF(ISNUMBER(FIND("Oct",$C$1)),Monthly!$L1689,(IF(ISNUMBER(FIND("Nov",$C$1)),Monthly!$M1689,(IF(ISNUMBER(FIND("Dec",$C$1)),Monthly!$N1689,))))))))))))))))))))))))))</f>
        <v>0</v>
      </c>
      <c r="F57" s="1138">
        <f>IF(ISNUMBER(FIND("Jan",$C$1)),Monthly!$C1611,(IF(ISNUMBER(FIND("Feb",$C$1)),Monthly!$D1611,((IF(ISNUMBER(FIND("Mar",$C$1)),Monthly!$E1611,(IF(ISNUMBER(FIND("Apr",$C$1)),Monthly!$F1611,((IF(ISNUMBER(FIND("May",$C$1)),Monthly!$G1611,((IF(ISNUMBER(FIND("Jun",$C$1)),Monthly!$H1611,(IF(ISNUMBER(FIND("Jul",$C$1)),Monthly!$I1611,(IF(ISNUMBER(FIND("Aug",$C$1)),Monthly!$J1611,(IF(ISNUMBER(FIND("Sep",$C$1)),Monthly!$K1611,(IF(ISNUMBER(FIND("Oct",$C$1)),Monthly!$L1611,(IF(ISNUMBER(FIND("Nov",$C$1)),Monthly!$M1611,(IF(ISNUMBER(FIND("Dec",$C$1)),Monthly!$N1611,))))))))))))))))))))))))))</f>
        <v>0</v>
      </c>
      <c r="G57" s="1139">
        <f>IF(ISNUMBER(FIND("Jan",$C$1)),Monthly!$C1533,(IF(ISNUMBER(FIND("Feb",$C$1)),Monthly!$D1533,((IF(ISNUMBER(FIND("Mar",$C$1)),Monthly!$E1533,(IF(ISNUMBER(FIND("Apr",$C$1)),Monthly!$F1533,((IF(ISNUMBER(FIND("May",$C$1)),Monthly!$G1533,((IF(ISNUMBER(FIND("Jun",$C$1)),Monthly!$H1533,(IF(ISNUMBER(FIND("Jul",$C$1)),Monthly!$I1533,(IF(ISNUMBER(FIND("Aug",$C$1)),Monthly!$J1533,(IF(ISNUMBER(FIND("Sep",$C$1)),Monthly!$K1533,(IF(ISNUMBER(FIND("Oct",$C$1)),Monthly!$L1533,(IF(ISNUMBER(FIND("Nov",$C$1)),Monthly!$M1533,(IF(ISNUMBER(FIND("Dec",$C$1)),Monthly!$N1533,))))))))))))))))))))))))))</f>
        <v>0</v>
      </c>
      <c r="H57" s="1139">
        <f>IF(ISNUMBER(FIND("Jan",$C$1)),Monthly!$C1456,(IF(ISNUMBER(FIND("Feb",$C$1)),Monthly!$D1456,((IF(ISNUMBER(FIND("Mar",$C$1)),Monthly!$E1456,(IF(ISNUMBER(FIND("Apr",$C$1)),Monthly!$F1456,((IF(ISNUMBER(FIND("May",$C$1)),Monthly!$G1456,((IF(ISNUMBER(FIND("Jun",$C$1)),Monthly!$H1456,(IF(ISNUMBER(FIND("Jul",$C$1)),Monthly!$I1456,(IF(ISNUMBER(FIND("Aug",$C$1)),Monthly!$J1456,(IF(ISNUMBER(FIND("Sep",$C$1)),Monthly!$K1456,(IF(ISNUMBER(FIND("Oct",$C$1)),Monthly!$L1456,(IF(ISNUMBER(FIND("Nov",$C$1)),Monthly!$M1456,(IF(ISNUMBER(FIND("Dec",$C$1)),Monthly!$N1456,))))))))))))))))))))))))))</f>
        <v>103</v>
      </c>
      <c r="I57" s="1139">
        <f>IF(ISNUMBER(FIND("Jan",$C$1)),Monthly!$C1379,(IF(ISNUMBER(FIND("Feb",$C$1)),Monthly!$D1379,((IF(ISNUMBER(FIND("Mar",$C$1)),Monthly!$E1379,(IF(ISNUMBER(FIND("Apr",$C$1)),Monthly!$F1379,((IF(ISNUMBER(FIND("May",$C$1)),Monthly!$G1379,((IF(ISNUMBER(FIND("Jun",$C$1)),Monthly!$H1379,(IF(ISNUMBER(FIND("Jul",$C$1)),Monthly!$I1379,(IF(ISNUMBER(FIND("Aug",$C$1)),Monthly!$J1379,(IF(ISNUMBER(FIND("Sep",$C$1)),Monthly!$K1379,(IF(ISNUMBER(FIND("Oct",$C$1)),Monthly!$L1379,(IF(ISNUMBER(FIND("Nov",$C$1)),Monthly!$M1379,(IF(ISNUMBER(FIND("Dec",$C$1)),Monthly!$N1379,))))))))))))))))))))))))))</f>
        <v>2284</v>
      </c>
      <c r="J57" s="1138">
        <f>IF(ISNUMBER(FIND("Jan",$C$1)),Monthly!$C1302,(IF(ISNUMBER(FIND("Feb",$C$1)),Monthly!$D1302,((IF(ISNUMBER(FIND("Mar",$C$1)),Monthly!$E1302,(IF(ISNUMBER(FIND("Apr",$C$1)),Monthly!$F1302,((IF(ISNUMBER(FIND("May",$C$1)),Monthly!$G1302,((IF(ISNUMBER(FIND("Jun",$C$1)),Monthly!$H1302,(IF(ISNUMBER(FIND("Jul",$C$1)),Monthly!$I1302,(IF(ISNUMBER(FIND("Aug",$C$1)),Monthly!$J1302,(IF(ISNUMBER(FIND("Sep",$C$1)),Monthly!$K1302,(IF(ISNUMBER(FIND("Oct",$C$1)),Monthly!$L1302,(IF(ISNUMBER(FIND("Nov",$C$1)),Monthly!$M1302,(IF(ISNUMBER(FIND("Dec",$C$1)),Monthly!$N1302,))))))))))))))))))))))))))</f>
        <v>10</v>
      </c>
      <c r="K57" s="1148">
        <f>IF(ISNUMBER(FIND("Jan",$C$1)),Monthly!$C1224,(IF(ISNUMBER(FIND("Feb",$C$1)),Monthly!$D1224,((IF(ISNUMBER(FIND("Mar",$C$1)),Monthly!$E1224,(IF(ISNUMBER(FIND("Apr",$C$1)),Monthly!$F1224,((IF(ISNUMBER(FIND("May",$C$1)),Monthly!$G1224,((IF(ISNUMBER(FIND("Jun",$C$1)),Monthly!$H1224,(IF(ISNUMBER(FIND("Jul",$C$1)),Monthly!$I1224,(IF(ISNUMBER(FIND("Aug",$C$1)),Monthly!$J1224,(IF(ISNUMBER(FIND("Sep",$C$1)),Monthly!$K1224,(IF(ISNUMBER(FIND("Oct",$C$1)),Monthly!$L1224,(IF(ISNUMBER(FIND("Nov",$C$1)),Monthly!$M1224,(IF(ISNUMBER(FIND("Dec",$C$1)),Monthly!$N1224,))))))))))))))))))))))))))</f>
        <v>0</v>
      </c>
      <c r="L57" s="1139">
        <f>IF(ISNUMBER(FIND("Jan",$C$1)),Monthly!$C1147,(IF(ISNUMBER(FIND("Feb",$C$1)),Monthly!$D1147,((IF(ISNUMBER(FIND("Mar",$C$1)),Monthly!$E1147,(IF(ISNUMBER(FIND("Apr",$C$1)),Monthly!$F1147,((IF(ISNUMBER(FIND("May",$C$1)),Monthly!$G1147,((IF(ISNUMBER(FIND("Jun",$C$1)),Monthly!$H1147,(IF(ISNUMBER(FIND("Jul",$C$1)),Monthly!$I1147,(IF(ISNUMBER(FIND("Aug",$C$1)),Monthly!$J1147,(IF(ISNUMBER(FIND("Sep",$C$1)),Monthly!$K1147,(IF(ISNUMBER(FIND("Oct",$C$1)),Monthly!$L1147,(IF(ISNUMBER(FIND("Nov",$C$1)),Monthly!$M1147,(IF(ISNUMBER(FIND("Dec",$C$1)),Monthly!$N1147,))))))))))))))))))))))))))</f>
        <v>0</v>
      </c>
      <c r="M57" s="1139">
        <f>IF(ISNUMBER(FIND("Jan",$C$1)),Monthly!$C1070,(IF(ISNUMBER(FIND("Feb",$C$1)),Monthly!$D1070,((IF(ISNUMBER(FIND("Mar",$C$1)),Monthly!$E1070,(IF(ISNUMBER(FIND("Apr",$C$1)),Monthly!$F1070,((IF(ISNUMBER(FIND("May",$C$1)),Monthly!$G1070,((IF(ISNUMBER(FIND("Jun",$C$1)),Monthly!$H1070,(IF(ISNUMBER(FIND("Jul",$C$1)),Monthly!$I1070,(IF(ISNUMBER(FIND("Aug",$C$1)),Monthly!$J1070,(IF(ISNUMBER(FIND("Sep",$C$1)),Monthly!$K1070,(IF(ISNUMBER(FIND("Oct",$C$1)),Monthly!$L1070,(IF(ISNUMBER(FIND("Nov",$C$1)),Monthly!$M1070,(IF(ISNUMBER(FIND("Dec",$C$1)),Monthly!$N1070,))))))))))))))))))))))))))</f>
        <v>0</v>
      </c>
      <c r="N57" s="1148">
        <f>IF(ISNUMBER(FIND("Jan",$C$1)),Monthly!$C993,(IF(ISNUMBER(FIND("Feb",$C$1)),Monthly!$D993,((IF(ISNUMBER(FIND("Mar",$C$1)),Monthly!$E993,(IF(ISNUMBER(FIND("Apr",$C$1)),Monthly!$F993,((IF(ISNUMBER(FIND("May",$C$1)),Monthly!$G993,((IF(ISNUMBER(FIND("Jun",$C$1)),Monthly!$H993,(IF(ISNUMBER(FIND("Jul",$C$1)),Monthly!$I993,(IF(ISNUMBER(FIND("Aug",$C$1)),Monthly!$J993,(IF(ISNUMBER(FIND("Sep",$C$1)),Monthly!$K993,(IF(ISNUMBER(FIND("Oct",$C$1)),Monthly!$L993,(IF(ISNUMBER(FIND("Nov",$C$1)),Monthly!$M993,(IF(ISNUMBER(FIND("Dec",$C$1)),Monthly!$N993,))))))))))))))))))))))))))</f>
        <v>120</v>
      </c>
      <c r="O57" s="1148">
        <f>IF(ISNUMBER(FIND("Jan",$C$1)),Monthly!$C917,(IF(ISNUMBER(FIND("Feb",$C$1)),Monthly!$D917,((IF(ISNUMBER(FIND("Mar",$C$1)),Monthly!$E917,(IF(ISNUMBER(FIND("Apr",$C$1)),Monthly!$F917,((IF(ISNUMBER(FIND("May",$C$1)),Monthly!$G917,((IF(ISNUMBER(FIND("Jun",$C$1)),Monthly!$H917,(IF(ISNUMBER(FIND("Jul",$C$1)),Monthly!$I917,(IF(ISNUMBER(FIND("Aug",$C$1)),Monthly!$J917,(IF(ISNUMBER(FIND("Sep",$C$1)),Monthly!$K917,(IF(ISNUMBER(FIND("Oct",$C$1)),Monthly!$L917,(IF(ISNUMBER(FIND("Nov",$C$1)),Monthly!$M917,(IF(ISNUMBER(FIND("Dec",$C$1)),Monthly!$N917,))))))))))))))))))))))))))</f>
        <v>120</v>
      </c>
      <c r="P57" s="1148">
        <f>IF(ISNUMBER(FIND("Jan",$C$1)),Monthly!$C840,(IF(ISNUMBER(FIND("Feb",$C$1)),Monthly!$D840,((IF(ISNUMBER(FIND("Mar",$C$1)),Monthly!$E840,(IF(ISNUMBER(FIND("Apr",$C$1)),Monthly!$F840,((IF(ISNUMBER(FIND("May",$C$1)),Monthly!$G840,((IF(ISNUMBER(FIND("Jun",$C$1)),Monthly!$H840,(IF(ISNUMBER(FIND("Jul",$C$1)),Monthly!$I840,(IF(ISNUMBER(FIND("Aug",$C$1)),Monthly!$J840,(IF(ISNUMBER(FIND("Sep",$C$1)),Monthly!$K840,(IF(ISNUMBER(FIND("Oct",$C$1)),Monthly!$L840,(IF(ISNUMBER(FIND("Nov",$C$1)),Monthly!$M840,(IF(ISNUMBER(FIND("Dec",$C$1)),Monthly!$N840,))))))))))))))))))))))))))</f>
        <v>367</v>
      </c>
      <c r="Q57" s="1142">
        <f>IF(ISNUMBER(FIND("Jan",$C$1)),Monthly!$C763,(IF(ISNUMBER(FIND("Feb",$C$1)),Monthly!$D763,((IF(ISNUMBER(FIND("Mar",$C$1)),Monthly!$E763,(IF(ISNUMBER(FIND("Apr",$C$1)),Monthly!$F763,((IF(ISNUMBER(FIND("May",$C$1)),Monthly!$G763,((IF(ISNUMBER(FIND("Jun",$C$1)),Monthly!$H763,(IF(ISNUMBER(FIND("Jul",$C$1)),Monthly!$I763,(IF(ISNUMBER(FIND("Aug",$C$1)),Monthly!$J763,(IF(ISNUMBER(FIND("Sep",$C$1)),Monthly!$K763,(IF(ISNUMBER(FIND("Oct",$C$1)),Monthly!$L763,(IF(ISNUMBER(FIND("Nov",$C$1)),Monthly!$M763,(IF(ISNUMBER(FIND("Dec",$C$1)),Monthly!$N763,))))))))))))))))))))))))))</f>
        <v>295</v>
      </c>
      <c r="R57" s="1142"/>
      <c r="S57" s="1142"/>
      <c r="T57" s="1142"/>
      <c r="U57" s="1143">
        <f>Monthly!O456</f>
        <v>1252.4166666666667</v>
      </c>
      <c r="V57" s="1142">
        <f>Monthly!O371</f>
        <v>54.416666666666664</v>
      </c>
      <c r="W57" s="1142"/>
      <c r="X57" s="1144">
        <f>SUM(C57:Q57)/$E$77</f>
        <v>219.93333333333334</v>
      </c>
      <c r="Y57" s="1150"/>
      <c r="Z57" s="1146"/>
      <c r="AA57" s="1147">
        <f>MAX(C57:Q57)</f>
        <v>2284</v>
      </c>
      <c r="AB57" s="1147">
        <f>MIN(C57:Q57)</f>
        <v>0</v>
      </c>
    </row>
    <row r="58" spans="1:28" s="147" customFormat="1" ht="13.5">
      <c r="A58" s="2306"/>
      <c r="B58" s="1151" t="s">
        <v>430</v>
      </c>
      <c r="C58" s="1138">
        <f>IF(ISNUMBER(FIND("Jan",$C$1)),Monthly!$C1845,(IF(ISNUMBER(FIND("Feb",$C$1)),Monthly!$D1845,((IF(ISNUMBER(FIND("Mar",$C$1)),Monthly!$E1845,(IF(ISNUMBER(FIND("Apr",$C$1)),Monthly!$F1845,((IF(ISNUMBER(FIND("May",$C$1)),Monthly!$G1845,((IF(ISNUMBER(FIND("Jun",$C$1)),Monthly!$H1845,(IF(ISNUMBER(FIND("Jul",$C$1)),Monthly!$I1845,(IF(ISNUMBER(FIND("Aug",$C$1)),Monthly!$J1845,(IF(ISNUMBER(FIND("Sep",$C$1)),Monthly!$K1845,(IF(ISNUMBER(FIND("Oct",$C$1)),Monthly!$L1845,(IF(ISNUMBER(FIND("Nov",$C$1)),Monthly!$M1845,(IF(ISNUMBER(FIND("Dec",$C$1)),Monthly!$N1845,))))))))))))))))))))))))))</f>
        <v>0</v>
      </c>
      <c r="D58" s="1139">
        <f>IF(ISNUMBER(FIND("Jan",$C$1)),Monthly!$C1768,(IF(ISNUMBER(FIND("Feb",$C$1)),Monthly!$D1768,((IF(ISNUMBER(FIND("Mar",$C$1)),Monthly!$E1768,(IF(ISNUMBER(FIND("Apr",$C$1)),Monthly!$F1768,((IF(ISNUMBER(FIND("May",$C$1)),Monthly!$G1768,((IF(ISNUMBER(FIND("Jun",$C$1)),Monthly!$H1768,(IF(ISNUMBER(FIND("Jul",$C$1)),Monthly!$I1768,(IF(ISNUMBER(FIND("Aug",$C$1)),Monthly!$J1768,(IF(ISNUMBER(FIND("Sep",$C$1)),Monthly!$K1768,(IF(ISNUMBER(FIND("Oct",$C$1)),Monthly!$L1768,(IF(ISNUMBER(FIND("Nov",$C$1)),Monthly!$M1768,(IF(ISNUMBER(FIND("Dec",$C$1)),Monthly!$N1768,))))))))))))))))))))))))))</f>
        <v>0</v>
      </c>
      <c r="E58" s="1139">
        <f xml:space="preserve">
IF(ISNUMBER(FIND("Jan",$C$1)),Monthly!$C1690,(IF(ISNUMBER(FIND("Feb",$C$1)),Monthly!$D1690,((IF(ISNUMBER(FIND("Mar",$C$1)),Monthly!$E1690,(IF(ISNUMBER(FIND("Apr",$C$1)),Monthly!$F1690,((IF(ISNUMBER(FIND("May",$C$1)),Monthly!$G1690,((IF(ISNUMBER(FIND("Jun",$C$1)),Monthly!$H1690,(IF(ISNUMBER(FIND("Jul",$C$1)),Monthly!$I1690,(IF(ISNUMBER(FIND("Aug",$C$1)),Monthly!$J1690,(IF(ISNUMBER(FIND("Sep",$C$1)),Monthly!$K1690,(IF(ISNUMBER(FIND("Oct",$C$1)),Monthly!$L1690,(IF(ISNUMBER(FIND("Nov",$C$1)),Monthly!$M1690,(IF(ISNUMBER(FIND("Dec",$C$1)),Monthly!$N1690,))))))))))))))))))))))))))</f>
        <v>0</v>
      </c>
      <c r="F58" s="1138">
        <f>IF(ISNUMBER(FIND("Jan",$C$1)),Monthly!$C1612,(IF(ISNUMBER(FIND("Feb",$C$1)),Monthly!$D1612,((IF(ISNUMBER(FIND("Mar",$C$1)),Monthly!$E1612,(IF(ISNUMBER(FIND("Apr",$C$1)),Monthly!$F1612,((IF(ISNUMBER(FIND("May",$C$1)),Monthly!$G1612,((IF(ISNUMBER(FIND("Jun",$C$1)),Monthly!$H1612,(IF(ISNUMBER(FIND("Jul",$C$1)),Monthly!$I1612,(IF(ISNUMBER(FIND("Aug",$C$1)),Monthly!$J1612,(IF(ISNUMBER(FIND("Sep",$C$1)),Monthly!$K1612,(IF(ISNUMBER(FIND("Oct",$C$1)),Monthly!$L1612,(IF(ISNUMBER(FIND("Nov",$C$1)),Monthly!$M1612,(IF(ISNUMBER(FIND("Dec",$C$1)),Monthly!$N1612,))))))))))))))))))))))))))</f>
        <v>0</v>
      </c>
      <c r="G58" s="1139">
        <f>IF(ISNUMBER(FIND("Jan",$C$1)),Monthly!$C1534,(IF(ISNUMBER(FIND("Feb",$C$1)),Monthly!$D1534,((IF(ISNUMBER(FIND("Mar",$C$1)),Monthly!$E1534,(IF(ISNUMBER(FIND("Apr",$C$1)),Monthly!$F1534,((IF(ISNUMBER(FIND("May",$C$1)),Monthly!$G1534,((IF(ISNUMBER(FIND("Jun",$C$1)),Monthly!$H1534,(IF(ISNUMBER(FIND("Jul",$C$1)),Monthly!$I1534,(IF(ISNUMBER(FIND("Aug",$C$1)),Monthly!$J1534,(IF(ISNUMBER(FIND("Sep",$C$1)),Monthly!$K1534,(IF(ISNUMBER(FIND("Oct",$C$1)),Monthly!$L1534,(IF(ISNUMBER(FIND("Nov",$C$1)),Monthly!$M1534,(IF(ISNUMBER(FIND("Dec",$C$1)),Monthly!$N1534,))))))))))))))))))))))))))</f>
        <v>0</v>
      </c>
      <c r="H58" s="1139">
        <f>IF(ISNUMBER(FIND("Jan",$C$1)),Monthly!$C1457,(IF(ISNUMBER(FIND("Feb",$C$1)),Monthly!$D1457,((IF(ISNUMBER(FIND("Mar",$C$1)),Monthly!$E1457,(IF(ISNUMBER(FIND("Apr",$C$1)),Monthly!$F1457,((IF(ISNUMBER(FIND("May",$C$1)),Monthly!$G1457,((IF(ISNUMBER(FIND("Jun",$C$1)),Monthly!$H1457,(IF(ISNUMBER(FIND("Jul",$C$1)),Monthly!$I1457,(IF(ISNUMBER(FIND("Aug",$C$1)),Monthly!$J1457,(IF(ISNUMBER(FIND("Sep",$C$1)),Monthly!$K1457,(IF(ISNUMBER(FIND("Oct",$C$1)),Monthly!$L1457,(IF(ISNUMBER(FIND("Nov",$C$1)),Monthly!$M1457,(IF(ISNUMBER(FIND("Dec",$C$1)),Monthly!$N1457,))))))))))))))))))))))))))</f>
        <v>0</v>
      </c>
      <c r="I58" s="1139">
        <f>IF(ISNUMBER(FIND("Jan",$C$1)),Monthly!$C1380,(IF(ISNUMBER(FIND("Feb",$C$1)),Monthly!$D1380,((IF(ISNUMBER(FIND("Mar",$C$1)),Monthly!$E1380,(IF(ISNUMBER(FIND("Apr",$C$1)),Monthly!$F1380,((IF(ISNUMBER(FIND("May",$C$1)),Monthly!$G1380,((IF(ISNUMBER(FIND("Jun",$C$1)),Monthly!$H1380,(IF(ISNUMBER(FIND("Jul",$C$1)),Monthly!$I1380,(IF(ISNUMBER(FIND("Aug",$C$1)),Monthly!$J1380,(IF(ISNUMBER(FIND("Sep",$C$1)),Monthly!$K1380,(IF(ISNUMBER(FIND("Oct",$C$1)),Monthly!$L1380,(IF(ISNUMBER(FIND("Nov",$C$1)),Monthly!$M1380,(IF(ISNUMBER(FIND("Dec",$C$1)),Monthly!$N1380,))))))))))))))))))))))))))</f>
        <v>0</v>
      </c>
      <c r="J58" s="1138">
        <f>IF(ISNUMBER(FIND("Jan",$C$1)),Monthly!$C1303,(IF(ISNUMBER(FIND("Feb",$C$1)),Monthly!$D1303,((IF(ISNUMBER(FIND("Mar",$C$1)),Monthly!$E1303,(IF(ISNUMBER(FIND("Apr",$C$1)),Monthly!$F1303,((IF(ISNUMBER(FIND("May",$C$1)),Monthly!$G1303,((IF(ISNUMBER(FIND("Jun",$C$1)),Monthly!$H1303,(IF(ISNUMBER(FIND("Jul",$C$1)),Monthly!$I1303,(IF(ISNUMBER(FIND("Aug",$C$1)),Monthly!$J1303,(IF(ISNUMBER(FIND("Sep",$C$1)),Monthly!$K1303,(IF(ISNUMBER(FIND("Oct",$C$1)),Monthly!$L1303,(IF(ISNUMBER(FIND("Nov",$C$1)),Monthly!$M1303,(IF(ISNUMBER(FIND("Dec",$C$1)),Monthly!$N1303,))))))))))))))))))))))))))</f>
        <v>1300</v>
      </c>
      <c r="K58" s="1148">
        <f>IF(ISNUMBER(FIND("Jan",$C$1)),Monthly!$C1225,(IF(ISNUMBER(FIND("Feb",$C$1)),Monthly!$D1225,((IF(ISNUMBER(FIND("Mar",$C$1)),Monthly!$E1225,(IF(ISNUMBER(FIND("Apr",$C$1)),Monthly!$F1225,((IF(ISNUMBER(FIND("May",$C$1)),Monthly!$G1225,((IF(ISNUMBER(FIND("Jun",$C$1)),Monthly!$H1225,(IF(ISNUMBER(FIND("Jul",$C$1)),Monthly!$I1225,(IF(ISNUMBER(FIND("Aug",$C$1)),Monthly!$J1225,(IF(ISNUMBER(FIND("Sep",$C$1)),Monthly!$K1225,(IF(ISNUMBER(FIND("Oct",$C$1)),Monthly!$L1225,(IF(ISNUMBER(FIND("Nov",$C$1)),Monthly!$M1225,(IF(ISNUMBER(FIND("Dec",$C$1)),Monthly!$N1225,))))))))))))))))))))))))))</f>
        <v>2493</v>
      </c>
      <c r="L58" s="1139">
        <f>IF(ISNUMBER(FIND("Jan",$C$1)),Monthly!$C1148,(IF(ISNUMBER(FIND("Feb",$C$1)),Monthly!$D1148,((IF(ISNUMBER(FIND("Mar",$C$1)),Monthly!$E1148,(IF(ISNUMBER(FIND("Apr",$C$1)),Monthly!$F1148,((IF(ISNUMBER(FIND("May",$C$1)),Monthly!$G1148,((IF(ISNUMBER(FIND("Jun",$C$1)),Monthly!$H1148,(IF(ISNUMBER(FIND("Jul",$C$1)),Monthly!$I1148,(IF(ISNUMBER(FIND("Aug",$C$1)),Monthly!$J1148,(IF(ISNUMBER(FIND("Sep",$C$1)),Monthly!$K1148,(IF(ISNUMBER(FIND("Oct",$C$1)),Monthly!$L1148,(IF(ISNUMBER(FIND("Nov",$C$1)),Monthly!$M1148,(IF(ISNUMBER(FIND("Dec",$C$1)),Monthly!$N1148,))))))))))))))))))))))))))</f>
        <v>2930</v>
      </c>
      <c r="M58" s="1139">
        <f>IF(ISNUMBER(FIND("Jan",$C$1)),Monthly!$C1071,(IF(ISNUMBER(FIND("Feb",$C$1)),Monthly!$D1071,((IF(ISNUMBER(FIND("Mar",$C$1)),Monthly!$E1071,(IF(ISNUMBER(FIND("Apr",$C$1)),Monthly!$F1071,((IF(ISNUMBER(FIND("May",$C$1)),Monthly!$G1071,((IF(ISNUMBER(FIND("Jun",$C$1)),Monthly!$H1071,(IF(ISNUMBER(FIND("Jul",$C$1)),Monthly!$I1071,(IF(ISNUMBER(FIND("Aug",$C$1)),Monthly!$J1071,(IF(ISNUMBER(FIND("Sep",$C$1)),Monthly!$K1071,(IF(ISNUMBER(FIND("Oct",$C$1)),Monthly!$L1071,(IF(ISNUMBER(FIND("Nov",$C$1)),Monthly!$M1071,(IF(ISNUMBER(FIND("Dec",$C$1)),Monthly!$N1071,))))))))))))))))))))))))))</f>
        <v>2662</v>
      </c>
      <c r="N58" s="1148">
        <f>IF(ISNUMBER(FIND("Jan",$C$1)),Monthly!$C994,(IF(ISNUMBER(FIND("Feb",$C$1)),Monthly!$D994,((IF(ISNUMBER(FIND("Mar",$C$1)),Monthly!$E994,(IF(ISNUMBER(FIND("Apr",$C$1)),Monthly!$F994,((IF(ISNUMBER(FIND("May",$C$1)),Monthly!$G994,((IF(ISNUMBER(FIND("Jun",$C$1)),Monthly!$H994,(IF(ISNUMBER(FIND("Jul",$C$1)),Monthly!$I994,(IF(ISNUMBER(FIND("Aug",$C$1)),Monthly!$J994,(IF(ISNUMBER(FIND("Sep",$C$1)),Monthly!$K994,(IF(ISNUMBER(FIND("Oct",$C$1)),Monthly!$L994,(IF(ISNUMBER(FIND("Nov",$C$1)),Monthly!$M994,(IF(ISNUMBER(FIND("Dec",$C$1)),Monthly!$N994,))))))))))))))))))))))))))</f>
        <v>2077</v>
      </c>
      <c r="O58" s="1148">
        <f>IF(ISNUMBER(FIND("Jan",$C$1)),Monthly!$C918,(IF(ISNUMBER(FIND("Feb",$C$1)),Monthly!$D918,((IF(ISNUMBER(FIND("Mar",$C$1)),Monthly!$E918,(IF(ISNUMBER(FIND("Apr",$C$1)),Monthly!$F918,((IF(ISNUMBER(FIND("May",$C$1)),Monthly!$G918,((IF(ISNUMBER(FIND("Jun",$C$1)),Monthly!$H918,(IF(ISNUMBER(FIND("Jul",$C$1)),Monthly!$I918,(IF(ISNUMBER(FIND("Aug",$C$1)),Monthly!$J918,(IF(ISNUMBER(FIND("Sep",$C$1)),Monthly!$K918,(IF(ISNUMBER(FIND("Oct",$C$1)),Monthly!$L918,(IF(ISNUMBER(FIND("Nov",$C$1)),Monthly!$M918,(IF(ISNUMBER(FIND("Dec",$C$1)),Monthly!$N918,))))))))))))))))))))))))))</f>
        <v>780</v>
      </c>
      <c r="P58" s="1148">
        <f>IF(ISNUMBER(FIND("Jan",$C$1)),Monthly!$C841,(IF(ISNUMBER(FIND("Feb",$C$1)),Monthly!$D841,((IF(ISNUMBER(FIND("Mar",$C$1)),Monthly!$E841,(IF(ISNUMBER(FIND("Apr",$C$1)),Monthly!$F841,((IF(ISNUMBER(FIND("May",$C$1)),Monthly!$G841,((IF(ISNUMBER(FIND("Jun",$C$1)),Monthly!$H841,(IF(ISNUMBER(FIND("Jul",$C$1)),Monthly!$I841,(IF(ISNUMBER(FIND("Aug",$C$1)),Monthly!$J841,(IF(ISNUMBER(FIND("Sep",$C$1)),Monthly!$K841,(IF(ISNUMBER(FIND("Oct",$C$1)),Monthly!$L841,(IF(ISNUMBER(FIND("Nov",$C$1)),Monthly!$M841,(IF(ISNUMBER(FIND("Dec",$C$1)),Monthly!$N841,))))))))))))))))))))))))))</f>
        <v>634</v>
      </c>
      <c r="Q58" s="1142">
        <f>IF(ISNUMBER(FIND("Jan",$C$1)),Monthly!$C764,(IF(ISNUMBER(FIND("Feb",$C$1)),Monthly!$D764,((IF(ISNUMBER(FIND("Mar",$C$1)),Monthly!$E764,(IF(ISNUMBER(FIND("Apr",$C$1)),Monthly!$F764,((IF(ISNUMBER(FIND("May",$C$1)),Monthly!$G764,((IF(ISNUMBER(FIND("Jun",$C$1)),Monthly!$H764,(IF(ISNUMBER(FIND("Jul",$C$1)),Monthly!$I764,(IF(ISNUMBER(FIND("Aug",$C$1)),Monthly!$J764,(IF(ISNUMBER(FIND("Sep",$C$1)),Monthly!$K764,(IF(ISNUMBER(FIND("Oct",$C$1)),Monthly!$L764,(IF(ISNUMBER(FIND("Nov",$C$1)),Monthly!$M764,(IF(ISNUMBER(FIND("Dec",$C$1)),Monthly!$N764,))))))))))))))))))))))))))</f>
        <v>1423</v>
      </c>
      <c r="R58" s="1142"/>
      <c r="S58" s="1142"/>
      <c r="T58" s="1142"/>
      <c r="U58" s="1143">
        <f>Monthly!O457</f>
        <v>0</v>
      </c>
      <c r="V58" s="1142">
        <f>Monthly!O372</f>
        <v>136.66666666666666</v>
      </c>
      <c r="W58" s="1142"/>
      <c r="X58" s="1144">
        <f>SUM(C58:Q58)/$E$77</f>
        <v>953.26666666666665</v>
      </c>
      <c r="Y58" s="1145">
        <f t="shared" ref="Y58:Y63" si="32">X58/7000</f>
        <v>0.13618095238095237</v>
      </c>
      <c r="Z58" s="1146"/>
      <c r="AA58" s="1147">
        <f>MAX(C58:Q58)</f>
        <v>2930</v>
      </c>
      <c r="AB58" s="1147">
        <f>MIN(C58:Q58)</f>
        <v>0</v>
      </c>
    </row>
    <row r="59" spans="1:28" s="147" customFormat="1" ht="13.5">
      <c r="A59" s="2295" t="s">
        <v>431</v>
      </c>
      <c r="B59" s="2296"/>
      <c r="C59" s="2283">
        <f>SUM(C61:C64)</f>
        <v>127.25</v>
      </c>
      <c r="D59" s="2283">
        <f t="shared" ref="D59:X59" si="33">SUM(D61:D64)</f>
        <v>59.166666666666671</v>
      </c>
      <c r="E59" s="2283">
        <f t="shared" si="33"/>
        <v>152.08333333333334</v>
      </c>
      <c r="F59" s="2283">
        <f t="shared" si="33"/>
        <v>176.58333333333334</v>
      </c>
      <c r="G59" s="2283">
        <f t="shared" si="33"/>
        <v>208.66666666666666</v>
      </c>
      <c r="H59" s="2283">
        <f t="shared" si="33"/>
        <v>757.16666666666663</v>
      </c>
      <c r="I59" s="2283">
        <f t="shared" si="33"/>
        <v>208.83333333333331</v>
      </c>
      <c r="J59" s="2283">
        <f t="shared" si="33"/>
        <v>340.58333333333337</v>
      </c>
      <c r="K59" s="2283">
        <f t="shared" si="33"/>
        <v>199.25</v>
      </c>
      <c r="L59" s="2283">
        <f t="shared" si="33"/>
        <v>458.08333333333337</v>
      </c>
      <c r="M59" s="2283">
        <f t="shared" si="33"/>
        <v>512.25</v>
      </c>
      <c r="N59" s="2283">
        <f t="shared" si="33"/>
        <v>401.16666666666663</v>
      </c>
      <c r="O59" s="2283">
        <f t="shared" si="33"/>
        <v>611.41666666666674</v>
      </c>
      <c r="P59" s="2283">
        <f t="shared" si="33"/>
        <v>741.91666666666663</v>
      </c>
      <c r="Q59" s="2283">
        <f t="shared" si="33"/>
        <v>510.16666666666669</v>
      </c>
      <c r="R59" s="2283">
        <f>SUM(R61:R64)</f>
        <v>0</v>
      </c>
      <c r="S59" s="2180"/>
      <c r="T59" s="2180"/>
      <c r="U59" s="2180"/>
      <c r="V59" s="2180"/>
      <c r="W59" s="2180"/>
      <c r="X59" s="2283">
        <f t="shared" si="33"/>
        <v>364.30555555555554</v>
      </c>
      <c r="Y59" s="1145">
        <f t="shared" si="32"/>
        <v>5.2043650793650795E-2</v>
      </c>
      <c r="Z59" s="1134"/>
      <c r="AA59" s="2283">
        <f>SUM(AA61:AA64)</f>
        <v>1355.0833333333333</v>
      </c>
      <c r="AB59" s="2283">
        <f>SUM(AB61:AB64)</f>
        <v>40.166666666666664</v>
      </c>
    </row>
    <row r="60" spans="1:28" s="147" customFormat="1" ht="13.5">
      <c r="A60" s="2297"/>
      <c r="B60" s="2298"/>
      <c r="C60" s="2284"/>
      <c r="D60" s="2284"/>
      <c r="E60" s="2284"/>
      <c r="F60" s="2284"/>
      <c r="G60" s="2284"/>
      <c r="H60" s="2284"/>
      <c r="I60" s="2284"/>
      <c r="J60" s="2284"/>
      <c r="K60" s="2284"/>
      <c r="L60" s="2284"/>
      <c r="M60" s="2284"/>
      <c r="N60" s="2284"/>
      <c r="O60" s="2284"/>
      <c r="P60" s="2284"/>
      <c r="Q60" s="2284"/>
      <c r="R60" s="2284"/>
      <c r="S60" s="2181"/>
      <c r="T60" s="2181"/>
      <c r="U60" s="2181"/>
      <c r="V60" s="2181"/>
      <c r="W60" s="2181"/>
      <c r="X60" s="2284"/>
      <c r="Y60" s="1145">
        <f t="shared" si="32"/>
        <v>0</v>
      </c>
      <c r="Z60" s="1135"/>
      <c r="AA60" s="2284"/>
      <c r="AB60" s="2284"/>
    </row>
    <row r="61" spans="1:28" s="147" customFormat="1" ht="13.5">
      <c r="A61" s="1152"/>
      <c r="B61" s="1151" t="s">
        <v>432</v>
      </c>
      <c r="C61" s="1138">
        <f>IF(ISNUMBER(FIND("Jan",$C$1)),Monthly!$C1848,(IF(ISNUMBER(FIND("Feb",$C$1)),Monthly!$D1848,((IF(ISNUMBER(FIND("Mar",$C$1)),Monthly!$E1848,(IF(ISNUMBER(FIND("Apr",$C$1)),Monthly!$F1848,((IF(ISNUMBER(FIND("May",$C$1)),Monthly!$G1848,((IF(ISNUMBER(FIND("Jun",$C$1)),Monthly!$H1848,(IF(ISNUMBER(FIND("Jul",$C$1)),Monthly!$I1848,(IF(ISNUMBER(FIND("Aug",$C$1)),Monthly!$J1848,(IF(ISNUMBER(FIND("Sep",$C$1)),Monthly!$K1848,(IF(ISNUMBER(FIND("Oct",$C$1)),Monthly!$L1848,(IF(ISNUMBER(FIND("Nov",$C$1)),Monthly!$M1848,(IF(ISNUMBER(FIND("Dec",$C$1)),Monthly!$N1848,))))))))))))))))))))))))))</f>
        <v>72.25</v>
      </c>
      <c r="D61" s="1139">
        <f>IF(ISNUMBER(FIND("Jan",$C$1)),Monthly!$C1771,(IF(ISNUMBER(FIND("Feb",$C$1)),Monthly!$D1771,((IF(ISNUMBER(FIND("Mar",$C$1)),Monthly!$E1771,(IF(ISNUMBER(FIND("Apr",$C$1)),Monthly!$F1771,((IF(ISNUMBER(FIND("May",$C$1)),Monthly!$G1771,((IF(ISNUMBER(FIND("Jun",$C$1)),Monthly!$H1771,(IF(ISNUMBER(FIND("Jul",$C$1)),Monthly!$I1771,(IF(ISNUMBER(FIND("Aug",$C$1)),Monthly!$J1771,(IF(ISNUMBER(FIND("Sep",$C$1)),Monthly!$K1771,(IF(ISNUMBER(FIND("Oct",$C$1)),Monthly!$L1771,(IF(ISNUMBER(FIND("Nov",$C$1)),Monthly!$M1771,(IF(ISNUMBER(FIND("Dec",$C$1)),Monthly!$N1771,))))))))))))))))))))))))))</f>
        <v>26.833333333333332</v>
      </c>
      <c r="E61" s="1139">
        <f xml:space="preserve">
IF(ISNUMBER(FIND("Jan",$C$1)),Monthly!$C1693,(IF(ISNUMBER(FIND("Feb",$C$1)),Monthly!$D1693,((IF(ISNUMBER(FIND("Mar",$C$1)),Monthly!$E1693,(IF(ISNUMBER(FIND("Apr",$C$1)),Monthly!$F1693,((IF(ISNUMBER(FIND("May",$C$1)),Monthly!$G1693,((IF(ISNUMBER(FIND("Jun",$C$1)),Monthly!$H1693,(IF(ISNUMBER(FIND("Jul",$C$1)),Monthly!$I1693,(IF(ISNUMBER(FIND("Aug",$C$1)),Monthly!$J1693,(IF(ISNUMBER(FIND("Sep",$C$1)),Monthly!$K1693,(IF(ISNUMBER(FIND("Oct",$C$1)),Monthly!$L1693,(IF(ISNUMBER(FIND("Nov",$C$1)),Monthly!$M1693,(IF(ISNUMBER(FIND("Dec",$C$1)),Monthly!$N1693,))))))))))))))))))))))))))</f>
        <v>120.75</v>
      </c>
      <c r="F61" s="1138">
        <f>IF(ISNUMBER(FIND("Jan",$C$1)),Monthly!$C1615,(IF(ISNUMBER(FIND("Feb",$C$1)),Monthly!$D1615,((IF(ISNUMBER(FIND("Mar",$C$1)),Monthly!$E1615,(IF(ISNUMBER(FIND("Apr",$C$1)),Monthly!$F1615,((IF(ISNUMBER(FIND("May",$C$1)),Monthly!$G1615,((IF(ISNUMBER(FIND("Jun",$C$1)),Monthly!$H1615,(IF(ISNUMBER(FIND("Jul",$C$1)),Monthly!$I1615,(IF(ISNUMBER(FIND("Aug",$C$1)),Monthly!$J1615,(IF(ISNUMBER(FIND("Sep",$C$1)),Monthly!$K1615,(IF(ISNUMBER(FIND("Oct",$C$1)),Monthly!$L1615,(IF(ISNUMBER(FIND("Nov",$C$1)),Monthly!$M1615,(IF(ISNUMBER(FIND("Dec",$C$1)),Monthly!$N1615,))))))))))))))))))))))))))</f>
        <v>132</v>
      </c>
      <c r="G61" s="1139">
        <f>IF(ISNUMBER(FIND("Jan",$C$1)),Monthly!$C1537,(IF(ISNUMBER(FIND("Feb",$C$1)),Monthly!$D1537,((IF(ISNUMBER(FIND("Mar",$C$1)),Monthly!$E1537,(IF(ISNUMBER(FIND("Apr",$C$1)),Monthly!$F1537,((IF(ISNUMBER(FIND("May",$C$1)),Monthly!$G1537,((IF(ISNUMBER(FIND("Jun",$C$1)),Monthly!$H1537,(IF(ISNUMBER(FIND("Jul",$C$1)),Monthly!$I1537,(IF(ISNUMBER(FIND("Aug",$C$1)),Monthly!$J1537,(IF(ISNUMBER(FIND("Sep",$C$1)),Monthly!$K1537,(IF(ISNUMBER(FIND("Oct",$C$1)),Monthly!$L1537,(IF(ISNUMBER(FIND("Nov",$C$1)),Monthly!$M1537,(IF(ISNUMBER(FIND("Dec",$C$1)),Monthly!$N1537,))))))))))))))))))))))))))</f>
        <v>141.16666666666666</v>
      </c>
      <c r="H61" s="1139">
        <f>IF(ISNUMBER(FIND("Jan",$C$1)),Monthly!$C1460,(IF(ISNUMBER(FIND("Feb",$C$1)),Monthly!$D1460,((IF(ISNUMBER(FIND("Mar",$C$1)),Monthly!$E1460,(IF(ISNUMBER(FIND("Apr",$C$1)),Monthly!$F1460,((IF(ISNUMBER(FIND("May",$C$1)),Monthly!$G1460,((IF(ISNUMBER(FIND("Jun",$C$1)),Monthly!$H1460,(IF(ISNUMBER(FIND("Jul",$C$1)),Monthly!$I1460,(IF(ISNUMBER(FIND("Aug",$C$1)),Monthly!$J1460,(IF(ISNUMBER(FIND("Sep",$C$1)),Monthly!$K1460,(IF(ISNUMBER(FIND("Oct",$C$1)),Monthly!$L1460,(IF(ISNUMBER(FIND("Nov",$C$1)),Monthly!$M1460,(IF(ISNUMBER(FIND("Dec",$C$1)),Monthly!$N1460,))))))))))))))))))))))))))</f>
        <v>148.16666666666666</v>
      </c>
      <c r="I61" s="1139">
        <f>IF(ISNUMBER(FIND("Jan",$C$1)),Monthly!$C1383,(IF(ISNUMBER(FIND("Feb",$C$1)),Monthly!$D1383,((IF(ISNUMBER(FIND("Mar",$C$1)),Monthly!$E1383,(IF(ISNUMBER(FIND("Apr",$C$1)),Monthly!$F1383,((IF(ISNUMBER(FIND("May",$C$1)),Monthly!$G1383,((IF(ISNUMBER(FIND("Jun",$C$1)),Monthly!$H1383,(IF(ISNUMBER(FIND("Jul",$C$1)),Monthly!$I1383,(IF(ISNUMBER(FIND("Aug",$C$1)),Monthly!$J1383,(IF(ISNUMBER(FIND("Sep",$C$1)),Monthly!$K1383,(IF(ISNUMBER(FIND("Oct",$C$1)),Monthly!$L1383,(IF(ISNUMBER(FIND("Nov",$C$1)),Monthly!$M1383,(IF(ISNUMBER(FIND("Dec",$C$1)),Monthly!$N1383,))))))))))))))))))))))))))</f>
        <v>165.91666666666666</v>
      </c>
      <c r="J61" s="1138">
        <f>IF(ISNUMBER(FIND("Jan",$C$1)),Monthly!$C1306,(IF(ISNUMBER(FIND("Feb",$C$1)),Monthly!$D1306,((IF(ISNUMBER(FIND("Mar",$C$1)),Monthly!$E1306,(IF(ISNUMBER(FIND("Apr",$C$1)),Monthly!$F1306,((IF(ISNUMBER(FIND("May",$C$1)),Monthly!$G1306,((IF(ISNUMBER(FIND("Jun",$C$1)),Monthly!$H1306,(IF(ISNUMBER(FIND("Jul",$C$1)),Monthly!$I1306,(IF(ISNUMBER(FIND("Aug",$C$1)),Monthly!$J1306,(IF(ISNUMBER(FIND("Sep",$C$1)),Monthly!$K1306,(IF(ISNUMBER(FIND("Oct",$C$1)),Monthly!$L1306,(IF(ISNUMBER(FIND("Nov",$C$1)),Monthly!$M1306,(IF(ISNUMBER(FIND("Dec",$C$1)),Monthly!$N1306,))))))))))))))))))))))))))</f>
        <v>239.58333333333334</v>
      </c>
      <c r="K61" s="1148">
        <f>IF(ISNUMBER(FIND("Jan",$C$1)),Monthly!$C1228,(IF(ISNUMBER(FIND("Feb",$C$1)),Monthly!$D1228,((IF(ISNUMBER(FIND("Mar",$C$1)),Monthly!$E1228,(IF(ISNUMBER(FIND("Apr",$C$1)),Monthly!$F1228,((IF(ISNUMBER(FIND("May",$C$1)),Monthly!$G1228,((IF(ISNUMBER(FIND("Jun",$C$1)),Monthly!$H1228,(IF(ISNUMBER(FIND("Jul",$C$1)),Monthly!$I1228,(IF(ISNUMBER(FIND("Aug",$C$1)),Monthly!$J1228,(IF(ISNUMBER(FIND("Sep",$C$1)),Monthly!$K1228,(IF(ISNUMBER(FIND("Oct",$C$1)),Monthly!$L1228,(IF(ISNUMBER(FIND("Nov",$C$1)),Monthly!$M1228,(IF(ISNUMBER(FIND("Dec",$C$1)),Monthly!$N1228,))))))))))))))))))))))))))</f>
        <v>72.25</v>
      </c>
      <c r="L61" s="1139">
        <f>IF(ISNUMBER(FIND("Jan",$C$1)),Monthly!$C1151,(IF(ISNUMBER(FIND("Feb",$C$1)),Monthly!$D1151,((IF(ISNUMBER(FIND("Mar",$C$1)),Monthly!$E1151,(IF(ISNUMBER(FIND("Apr",$C$1)),Monthly!$F1151,((IF(ISNUMBER(FIND("May",$C$1)),Monthly!$G1151,((IF(ISNUMBER(FIND("Jun",$C$1)),Monthly!$H1151,(IF(ISNUMBER(FIND("Jul",$C$1)),Monthly!$I1151,(IF(ISNUMBER(FIND("Aug",$C$1)),Monthly!$J1151,(IF(ISNUMBER(FIND("Sep",$C$1)),Monthly!$K1151,(IF(ISNUMBER(FIND("Oct",$C$1)),Monthly!$L1151,(IF(ISNUMBER(FIND("Nov",$C$1)),Monthly!$M1151,(IF(ISNUMBER(FIND("Dec",$C$1)),Monthly!$N1151,))))))))))))))))))))))))))</f>
        <v>290.66666666666669</v>
      </c>
      <c r="M61" s="1139">
        <f>IF(ISNUMBER(FIND("Jan",$C$1)),Monthly!$C1074,(IF(ISNUMBER(FIND("Feb",$C$1)),Monthly!$D1074,((IF(ISNUMBER(FIND("Mar",$C$1)),Monthly!$E1074,(IF(ISNUMBER(FIND("Apr",$C$1)),Monthly!$F1074,((IF(ISNUMBER(FIND("May",$C$1)),Monthly!$G1074,((IF(ISNUMBER(FIND("Jun",$C$1)),Monthly!$H1074,(IF(ISNUMBER(FIND("Jul",$C$1)),Monthly!$I1074,(IF(ISNUMBER(FIND("Aug",$C$1)),Monthly!$J1074,(IF(ISNUMBER(FIND("Sep",$C$1)),Monthly!$K1074,(IF(ISNUMBER(FIND("Oct",$C$1)),Monthly!$L1074,(IF(ISNUMBER(FIND("Nov",$C$1)),Monthly!$M1074,(IF(ISNUMBER(FIND("Dec",$C$1)),Monthly!$N1074,))))))))))))))))))))))))))</f>
        <v>305.08333333333331</v>
      </c>
      <c r="N61" s="1148">
        <f>IF(ISNUMBER(FIND("Jan",$C$1)),Monthly!$C997,(IF(ISNUMBER(FIND("Feb",$C$1)),Monthly!$D997,((IF(ISNUMBER(FIND("Mar",$C$1)),Monthly!$E997,(IF(ISNUMBER(FIND("Apr",$C$1)),Monthly!$F997,((IF(ISNUMBER(FIND("May",$C$1)),Monthly!$G997,((IF(ISNUMBER(FIND("Jun",$C$1)),Monthly!$H997,(IF(ISNUMBER(FIND("Jul",$C$1)),Monthly!$I997,(IF(ISNUMBER(FIND("Aug",$C$1)),Monthly!$J997,(IF(ISNUMBER(FIND("Sep",$C$1)),Monthly!$K997,(IF(ISNUMBER(FIND("Oct",$C$1)),Monthly!$L997,(IF(ISNUMBER(FIND("Nov",$C$1)),Monthly!$M997,(IF(ISNUMBER(FIND("Dec",$C$1)),Monthly!$N997,))))))))))))))))))))))))))</f>
        <v>290.08333333333331</v>
      </c>
      <c r="O61" s="1148">
        <f>IF(ISNUMBER(FIND("Jan",$C$1)),Monthly!$C921,(IF(ISNUMBER(FIND("Feb",$C$1)),Monthly!$D921,((IF(ISNUMBER(FIND("Mar",$C$1)),Monthly!$E921,(IF(ISNUMBER(FIND("Apr",$C$1)),Monthly!$F921,((IF(ISNUMBER(FIND("May",$C$1)),Monthly!$G921,((IF(ISNUMBER(FIND("Jun",$C$1)),Monthly!$H921,(IF(ISNUMBER(FIND("Jul",$C$1)),Monthly!$I921,(IF(ISNUMBER(FIND("Aug",$C$1)),Monthly!$J921,(IF(ISNUMBER(FIND("Sep",$C$1)),Monthly!$K921,(IF(ISNUMBER(FIND("Oct",$C$1)),Monthly!$L921,(IF(ISNUMBER(FIND("Nov",$C$1)),Monthly!$M921,(IF(ISNUMBER(FIND("Dec",$C$1)),Monthly!$N921,))))))))))))))))))))))))))</f>
        <v>295.91666666666669</v>
      </c>
      <c r="P61" s="1148">
        <f>IF(ISNUMBER(FIND("Jan",$C$1)),Monthly!$C844,(IF(ISNUMBER(FIND("Feb",$C$1)),Monthly!$D844,((IF(ISNUMBER(FIND("Mar",$C$1)),Monthly!$E844,(IF(ISNUMBER(FIND("Apr",$C$1)),Monthly!$F844,((IF(ISNUMBER(FIND("May",$C$1)),Monthly!$G844,((IF(ISNUMBER(FIND("Jun",$C$1)),Monthly!$H844,(IF(ISNUMBER(FIND("Jul",$C$1)),Monthly!$I844,(IF(ISNUMBER(FIND("Aug",$C$1)),Monthly!$J844,(IF(ISNUMBER(FIND("Sep",$C$1)),Monthly!$K844,(IF(ISNUMBER(FIND("Oct",$C$1)),Monthly!$L844,(IF(ISNUMBER(FIND("Nov",$C$1)),Monthly!$M844,(IF(ISNUMBER(FIND("Dec",$C$1)),Monthly!$N844,))))))))))))))))))))))))))</f>
        <v>331.08333333333331</v>
      </c>
      <c r="Q61" s="1142">
        <f>IF(ISNUMBER(FIND("Jan",$C$1)),Monthly!$C767,(IF(ISNUMBER(FIND("Feb",$C$1)),Monthly!$D767,((IF(ISNUMBER(FIND("Mar",$C$1)),Monthly!$E767,(IF(ISNUMBER(FIND("Apr",$C$1)),Monthly!$F767,((IF(ISNUMBER(FIND("May",$C$1)),Monthly!$G767,((IF(ISNUMBER(FIND("Jun",$C$1)),Monthly!$H767,(IF(ISNUMBER(FIND("Jul",$C$1)),Monthly!$I767,(IF(ISNUMBER(FIND("Aug",$C$1)),Monthly!$J767,(IF(ISNUMBER(FIND("Sep",$C$1)),Monthly!$K767,(IF(ISNUMBER(FIND("Oct",$C$1)),Monthly!$L767,(IF(ISNUMBER(FIND("Nov",$C$1)),Monthly!$M767,(IF(ISNUMBER(FIND("Dec",$C$1)),Monthly!$N767,))))))))))))))))))))))))))</f>
        <v>78.166666666666671</v>
      </c>
      <c r="R61" s="1142"/>
      <c r="S61" s="1142"/>
      <c r="T61" s="1142"/>
      <c r="U61" s="1143">
        <f>Monthly!O460</f>
        <v>0</v>
      </c>
      <c r="V61" s="1142">
        <f>Monthly!O375</f>
        <v>37.5</v>
      </c>
      <c r="W61" s="1142"/>
      <c r="X61" s="1144">
        <f>SUM(C61:Q61)/$E$77</f>
        <v>180.6611111111111</v>
      </c>
      <c r="Y61" s="1145">
        <f t="shared" si="32"/>
        <v>2.5808730158730156E-2</v>
      </c>
      <c r="Z61" s="1146"/>
      <c r="AA61" s="1147">
        <f>MAX(C61:Q61)</f>
        <v>331.08333333333331</v>
      </c>
      <c r="AB61" s="1147">
        <f>MIN(C61:Q61)</f>
        <v>26.833333333333332</v>
      </c>
    </row>
    <row r="62" spans="1:28" s="147" customFormat="1" ht="13.5">
      <c r="A62" s="1152"/>
      <c r="B62" s="1151" t="s">
        <v>284</v>
      </c>
      <c r="C62" s="1138">
        <f>IF(ISNUMBER(FIND("Jan",$C$1)),Monthly!$C1849,(IF(ISNUMBER(FIND("Feb",$C$1)),Monthly!$D1849,((IF(ISNUMBER(FIND("Mar",$C$1)),Monthly!$E1849,(IF(ISNUMBER(FIND("Apr",$C$1)),Monthly!$F1849,((IF(ISNUMBER(FIND("May",$C$1)),Monthly!$G1849,((IF(ISNUMBER(FIND("Jun",$C$1)),Monthly!$H1849,(IF(ISNUMBER(FIND("Jul",$C$1)),Monthly!$I1849,(IF(ISNUMBER(FIND("Aug",$C$1)),Monthly!$J1849,(IF(ISNUMBER(FIND("Sep",$C$1)),Monthly!$K1849,(IF(ISNUMBER(FIND("Oct",$C$1)),Monthly!$L1849,(IF(ISNUMBER(FIND("Nov",$C$1)),Monthly!$M1849,(IF(ISNUMBER(FIND("Dec",$C$1)),Monthly!$N1849,))))))))))))))))))))))))))</f>
        <v>33</v>
      </c>
      <c r="D62" s="1139">
        <f>IF(ISNUMBER(FIND("Jan",$C$1)),Monthly!$C1772,(IF(ISNUMBER(FIND("Feb",$C$1)),Monthly!$D1772,((IF(ISNUMBER(FIND("Mar",$C$1)),Monthly!$E1772,(IF(ISNUMBER(FIND("Apr",$C$1)),Monthly!$F1772,((IF(ISNUMBER(FIND("May",$C$1)),Monthly!$G1772,((IF(ISNUMBER(FIND("Jun",$C$1)),Monthly!$H1772,(IF(ISNUMBER(FIND("Jul",$C$1)),Monthly!$I1772,(IF(ISNUMBER(FIND("Aug",$C$1)),Monthly!$J1772,(IF(ISNUMBER(FIND("Sep",$C$1)),Monthly!$K1772,(IF(ISNUMBER(FIND("Oct",$C$1)),Monthly!$L1772,(IF(ISNUMBER(FIND("Nov",$C$1)),Monthly!$M1772,(IF(ISNUMBER(FIND("Dec",$C$1)),Monthly!$N1772,))))))))))))))))))))))))))</f>
        <v>0</v>
      </c>
      <c r="E62" s="1139">
        <f xml:space="preserve">
IF(ISNUMBER(FIND("Jan",$C$1)),Monthly!$C1694,(IF(ISNUMBER(FIND("Feb",$C$1)),Monthly!$D1694,((IF(ISNUMBER(FIND("Mar",$C$1)),Monthly!$E1694,(IF(ISNUMBER(FIND("Apr",$C$1)),Monthly!$F1694,((IF(ISNUMBER(FIND("May",$C$1)),Monthly!$G1694,((IF(ISNUMBER(FIND("Jun",$C$1)),Monthly!$H1694,(IF(ISNUMBER(FIND("Jul",$C$1)),Monthly!$I1694,(IF(ISNUMBER(FIND("Aug",$C$1)),Monthly!$J1694,(IF(ISNUMBER(FIND("Sep",$C$1)),Monthly!$K1694,(IF(ISNUMBER(FIND("Oct",$C$1)),Monthly!$L1694,(IF(ISNUMBER(FIND("Nov",$C$1)),Monthly!$M1694,(IF(ISNUMBER(FIND("Dec",$C$1)),Monthly!$N1694,))))))))))))))))))))))))))</f>
        <v>18</v>
      </c>
      <c r="F62" s="1138">
        <f>IF(ISNUMBER(FIND("Jan",$C$1)),Monthly!$C1616,(IF(ISNUMBER(FIND("Feb",$C$1)),Monthly!$D1616,((IF(ISNUMBER(FIND("Mar",$C$1)),Monthly!$E1616,(IF(ISNUMBER(FIND("Apr",$C$1)),Monthly!$F1616,((IF(ISNUMBER(FIND("May",$C$1)),Monthly!$G1616,((IF(ISNUMBER(FIND("Jun",$C$1)),Monthly!$H1616,(IF(ISNUMBER(FIND("Jul",$C$1)),Monthly!$I1616,(IF(ISNUMBER(FIND("Aug",$C$1)),Monthly!$J1616,(IF(ISNUMBER(FIND("Sep",$C$1)),Monthly!$K1616,(IF(ISNUMBER(FIND("Oct",$C$1)),Monthly!$L1616,(IF(ISNUMBER(FIND("Nov",$C$1)),Monthly!$M1616,(IF(ISNUMBER(FIND("Dec",$C$1)),Monthly!$N1616,))))))))))))))))))))))))))</f>
        <v>18</v>
      </c>
      <c r="G62" s="1139">
        <f>IF(ISNUMBER(FIND("Jan",$C$1)),Monthly!$C1538,(IF(ISNUMBER(FIND("Feb",$C$1)),Monthly!$D1538,((IF(ISNUMBER(FIND("Mar",$C$1)),Monthly!$E1538,(IF(ISNUMBER(FIND("Apr",$C$1)),Monthly!$F1538,((IF(ISNUMBER(FIND("May",$C$1)),Monthly!$G1538,((IF(ISNUMBER(FIND("Jun",$C$1)),Monthly!$H1538,(IF(ISNUMBER(FIND("Jul",$C$1)),Monthly!$I1538,(IF(ISNUMBER(FIND("Aug",$C$1)),Monthly!$J1538,(IF(ISNUMBER(FIND("Sep",$C$1)),Monthly!$K1538,(IF(ISNUMBER(FIND("Oct",$C$1)),Monthly!$L1538,(IF(ISNUMBER(FIND("Nov",$C$1)),Monthly!$M1538,(IF(ISNUMBER(FIND("Dec",$C$1)),Monthly!$N1538,))))))))))))))))))))))))))</f>
        <v>20</v>
      </c>
      <c r="H62" s="1139">
        <f>IF(ISNUMBER(FIND("Jan",$C$1)),Monthly!$C1461,(IF(ISNUMBER(FIND("Feb",$C$1)),Monthly!$D1461,((IF(ISNUMBER(FIND("Mar",$C$1)),Monthly!$E1461,(IF(ISNUMBER(FIND("Apr",$C$1)),Monthly!$F1461,((IF(ISNUMBER(FIND("May",$C$1)),Monthly!$G1461,((IF(ISNUMBER(FIND("Jun",$C$1)),Monthly!$H1461,(IF(ISNUMBER(FIND("Jul",$C$1)),Monthly!$I1461,(IF(ISNUMBER(FIND("Aug",$C$1)),Monthly!$J1461,(IF(ISNUMBER(FIND("Sep",$C$1)),Monthly!$K1461,(IF(ISNUMBER(FIND("Oct",$C$1)),Monthly!$L1461,(IF(ISNUMBER(FIND("Nov",$C$1)),Monthly!$M1461,(IF(ISNUMBER(FIND("Dec",$C$1)),Monthly!$N1461,))))))))))))))))))))))))))</f>
        <v>560</v>
      </c>
      <c r="I62" s="1139">
        <f>IF(ISNUMBER(FIND("Jan",$C$1)),Monthly!$C1384,(IF(ISNUMBER(FIND("Feb",$C$1)),Monthly!$D1384,((IF(ISNUMBER(FIND("Mar",$C$1)),Monthly!$E1384,(IF(ISNUMBER(FIND("Apr",$C$1)),Monthly!$F1384,((IF(ISNUMBER(FIND("May",$C$1)),Monthly!$G1384,((IF(ISNUMBER(FIND("Jun",$C$1)),Monthly!$H1384,(IF(ISNUMBER(FIND("Jul",$C$1)),Monthly!$I1384,(IF(ISNUMBER(FIND("Aug",$C$1)),Monthly!$J1384,(IF(ISNUMBER(FIND("Sep",$C$1)),Monthly!$K1384,(IF(ISNUMBER(FIND("Oct",$C$1)),Monthly!$L1384,(IF(ISNUMBER(FIND("Nov",$C$1)),Monthly!$M1384,(IF(ISNUMBER(FIND("Dec",$C$1)),Monthly!$N1384,))))))))))))))))))))))))))</f>
        <v>0</v>
      </c>
      <c r="J62" s="1138">
        <f>IF(ISNUMBER(FIND("Jan",$C$1)),Monthly!$C1307,(IF(ISNUMBER(FIND("Feb",$C$1)),Monthly!$D1307,((IF(ISNUMBER(FIND("Mar",$C$1)),Monthly!$E1307,(IF(ISNUMBER(FIND("Apr",$C$1)),Monthly!$F1307,((IF(ISNUMBER(FIND("May",$C$1)),Monthly!$G1307,((IF(ISNUMBER(FIND("Jun",$C$1)),Monthly!$H1307,(IF(ISNUMBER(FIND("Jul",$C$1)),Monthly!$I1307,(IF(ISNUMBER(FIND("Aug",$C$1)),Monthly!$J1307,(IF(ISNUMBER(FIND("Sep",$C$1)),Monthly!$K1307,(IF(ISNUMBER(FIND("Oct",$C$1)),Monthly!$L1307,(IF(ISNUMBER(FIND("Nov",$C$1)),Monthly!$M1307,(IF(ISNUMBER(FIND("Dec",$C$1)),Monthly!$N1307,))))))))))))))))))))))))))</f>
        <v>25</v>
      </c>
      <c r="K62" s="1148">
        <f>IF(ISNUMBER(FIND("Jan",$C$1)),Monthly!$C1229,(IF(ISNUMBER(FIND("Feb",$C$1)),Monthly!$D1229,((IF(ISNUMBER(FIND("Mar",$C$1)),Monthly!$E1229,(IF(ISNUMBER(FIND("Apr",$C$1)),Monthly!$F1229,((IF(ISNUMBER(FIND("May",$C$1)),Monthly!$G1229,((IF(ISNUMBER(FIND("Jun",$C$1)),Monthly!$H1229,(IF(ISNUMBER(FIND("Jul",$C$1)),Monthly!$I1229,(IF(ISNUMBER(FIND("Aug",$C$1)),Monthly!$J1229,(IF(ISNUMBER(FIND("Sep",$C$1)),Monthly!$K1229,(IF(ISNUMBER(FIND("Oct",$C$1)),Monthly!$L1229,(IF(ISNUMBER(FIND("Nov",$C$1)),Monthly!$M1229,(IF(ISNUMBER(FIND("Dec",$C$1)),Monthly!$N1229,))))))))))))))))))))))))))</f>
        <v>105</v>
      </c>
      <c r="L62" s="1139">
        <f>IF(ISNUMBER(FIND("Jan",$C$1)),Monthly!$C1152,(IF(ISNUMBER(FIND("Feb",$C$1)),Monthly!$D1152,((IF(ISNUMBER(FIND("Mar",$C$1)),Monthly!$E1152,(IF(ISNUMBER(FIND("Apr",$C$1)),Monthly!$F1152,((IF(ISNUMBER(FIND("May",$C$1)),Monthly!$G1152,((IF(ISNUMBER(FIND("Jun",$C$1)),Monthly!$H1152,(IF(ISNUMBER(FIND("Jul",$C$1)),Monthly!$I1152,(IF(ISNUMBER(FIND("Aug",$C$1)),Monthly!$J1152,(IF(ISNUMBER(FIND("Sep",$C$1)),Monthly!$K1152,(IF(ISNUMBER(FIND("Oct",$C$1)),Monthly!$L1152,(IF(ISNUMBER(FIND("Nov",$C$1)),Monthly!$M1152,(IF(ISNUMBER(FIND("Dec",$C$1)),Monthly!$N1152,))))))))))))))))))))))))))</f>
        <v>75</v>
      </c>
      <c r="M62" s="1139">
        <f>IF(ISNUMBER(FIND("Jan",$C$1)),Monthly!$C1075,(IF(ISNUMBER(FIND("Feb",$C$1)),Monthly!$D1075,((IF(ISNUMBER(FIND("Mar",$C$1)),Monthly!$E1075,(IF(ISNUMBER(FIND("Apr",$C$1)),Monthly!$F1075,((IF(ISNUMBER(FIND("May",$C$1)),Monthly!$G1075,((IF(ISNUMBER(FIND("Jun",$C$1)),Monthly!$H1075,(IF(ISNUMBER(FIND("Jul",$C$1)),Monthly!$I1075,(IF(ISNUMBER(FIND("Aug",$C$1)),Monthly!$J1075,(IF(ISNUMBER(FIND("Sep",$C$1)),Monthly!$K1075,(IF(ISNUMBER(FIND("Oct",$C$1)),Monthly!$L1075,(IF(ISNUMBER(FIND("Nov",$C$1)),Monthly!$M1075,(IF(ISNUMBER(FIND("Dec",$C$1)),Monthly!$N1075,))))))))))))))))))))))))))</f>
        <v>105</v>
      </c>
      <c r="N62" s="1148">
        <f>IF(ISNUMBER(FIND("Jan",$C$1)),Monthly!$C998,(IF(ISNUMBER(FIND("Feb",$C$1)),Monthly!$D998,((IF(ISNUMBER(FIND("Mar",$C$1)),Monthly!$E998,(IF(ISNUMBER(FIND("Apr",$C$1)),Monthly!$F998,((IF(ISNUMBER(FIND("May",$C$1)),Monthly!$G998,((IF(ISNUMBER(FIND("Jun",$C$1)),Monthly!$H998,(IF(ISNUMBER(FIND("Jul",$C$1)),Monthly!$I998,(IF(ISNUMBER(FIND("Aug",$C$1)),Monthly!$J998,(IF(ISNUMBER(FIND("Sep",$C$1)),Monthly!$K998,(IF(ISNUMBER(FIND("Oct",$C$1)),Monthly!$L998,(IF(ISNUMBER(FIND("Nov",$C$1)),Monthly!$M998,(IF(ISNUMBER(FIND("Dec",$C$1)),Monthly!$N998,))))))))))))))))))))))))))</f>
        <v>5</v>
      </c>
      <c r="O62" s="1148">
        <f>IF(ISNUMBER(FIND("Jan",$C$1)),Monthly!$C922,(IF(ISNUMBER(FIND("Feb",$C$1)),Monthly!$D922,((IF(ISNUMBER(FIND("Mar",$C$1)),Monthly!$E922,(IF(ISNUMBER(FIND("Apr",$C$1)),Monthly!$F922,((IF(ISNUMBER(FIND("May",$C$1)),Monthly!$G922,((IF(ISNUMBER(FIND("Jun",$C$1)),Monthly!$H922,(IF(ISNUMBER(FIND("Jul",$C$1)),Monthly!$I922,(IF(ISNUMBER(FIND("Aug",$C$1)),Monthly!$J922,(IF(ISNUMBER(FIND("Sep",$C$1)),Monthly!$K922,(IF(ISNUMBER(FIND("Oct",$C$1)),Monthly!$L922,(IF(ISNUMBER(FIND("Nov",$C$1)),Monthly!$M922,(IF(ISNUMBER(FIND("Dec",$C$1)),Monthly!$N922,))))))))))))))))))))))))))</f>
        <v>2</v>
      </c>
      <c r="P62" s="1148">
        <f>IF(ISNUMBER(FIND("Jan",$C$1)),Monthly!$C845,(IF(ISNUMBER(FIND("Feb",$C$1)),Monthly!$D845,((IF(ISNUMBER(FIND("Mar",$C$1)),Monthly!$E845,(IF(ISNUMBER(FIND("Apr",$C$1)),Monthly!$F845,((IF(ISNUMBER(FIND("May",$C$1)),Monthly!$G845,((IF(ISNUMBER(FIND("Jun",$C$1)),Monthly!$H845,(IF(ISNUMBER(FIND("Jul",$C$1)),Monthly!$I845,(IF(ISNUMBER(FIND("Aug",$C$1)),Monthly!$J845,(IF(ISNUMBER(FIND("Sep",$C$1)),Monthly!$K845,(IF(ISNUMBER(FIND("Oct",$C$1)),Monthly!$L845,(IF(ISNUMBER(FIND("Nov",$C$1)),Monthly!$M845,(IF(ISNUMBER(FIND("Dec",$C$1)),Monthly!$N845,))))))))))))))))))))))))))</f>
        <v>30</v>
      </c>
      <c r="Q62" s="1142">
        <f>IF(ISNUMBER(FIND("Jan",$C$1)),Monthly!$C768,(IF(ISNUMBER(FIND("Feb",$C$1)),Monthly!$D768,((IF(ISNUMBER(FIND("Mar",$C$1)),Monthly!$E768,(IF(ISNUMBER(FIND("Apr",$C$1)),Monthly!$F768,((IF(ISNUMBER(FIND("May",$C$1)),Monthly!$G768,((IF(ISNUMBER(FIND("Jun",$C$1)),Monthly!$H768,(IF(ISNUMBER(FIND("Jul",$C$1)),Monthly!$I768,(IF(ISNUMBER(FIND("Aug",$C$1)),Monthly!$J768,(IF(ISNUMBER(FIND("Sep",$C$1)),Monthly!$K768,(IF(ISNUMBER(FIND("Oct",$C$1)),Monthly!$L768,(IF(ISNUMBER(FIND("Nov",$C$1)),Monthly!$M768,(IF(ISNUMBER(FIND("Dec",$C$1)),Monthly!$N768,))))))))))))))))))))))))))</f>
        <v>0</v>
      </c>
      <c r="R62" s="1142"/>
      <c r="S62" s="1142"/>
      <c r="T62" s="1142"/>
      <c r="U62" s="1143">
        <f>Monthly!O461</f>
        <v>254.08333333333334</v>
      </c>
      <c r="V62" s="1142">
        <f>Monthly!O376</f>
        <v>208.33333333333334</v>
      </c>
      <c r="W62" s="1142"/>
      <c r="X62" s="1144">
        <f>SUM(C62:Q62)/$E$77</f>
        <v>66.400000000000006</v>
      </c>
      <c r="Y62" s="1145">
        <f t="shared" si="32"/>
        <v>9.4857142857142866E-3</v>
      </c>
      <c r="Z62" s="1146"/>
      <c r="AA62" s="1147">
        <f>MAX(C62:Q62)</f>
        <v>560</v>
      </c>
      <c r="AB62" s="1147">
        <f>MIN(C62:Q62)</f>
        <v>0</v>
      </c>
    </row>
    <row r="63" spans="1:28" s="147" customFormat="1" ht="13.5">
      <c r="A63" s="1152"/>
      <c r="B63" s="1151" t="s">
        <v>433</v>
      </c>
      <c r="C63" s="1138">
        <f>IF(ISNUMBER(FIND("Jan",$C$1)),Monthly!$C1850,(IF(ISNUMBER(FIND("Feb",$C$1)),Monthly!$D1850,((IF(ISNUMBER(FIND("Mar",$C$1)),Monthly!$E1850,(IF(ISNUMBER(FIND("Apr",$C$1)),Monthly!$F1850,((IF(ISNUMBER(FIND("May",$C$1)),Monthly!$G1850,((IF(ISNUMBER(FIND("Jun",$C$1)),Monthly!$H1850,(IF(ISNUMBER(FIND("Jul",$C$1)),Monthly!$I1850,(IF(ISNUMBER(FIND("Aug",$C$1)),Monthly!$J1850,(IF(ISNUMBER(FIND("Sep",$C$1)),Monthly!$K1850,(IF(ISNUMBER(FIND("Oct",$C$1)),Monthly!$L1850,(IF(ISNUMBER(FIND("Nov",$C$1)),Monthly!$M1850,(IF(ISNUMBER(FIND("Dec",$C$1)),Monthly!$N1850,))))))))))))))))))))))))))</f>
        <v>22</v>
      </c>
      <c r="D63" s="1139">
        <f>IF(ISNUMBER(FIND("Jan",$C$1)),Monthly!$C1773,(IF(ISNUMBER(FIND("Feb",$C$1)),Monthly!$D1773,((IF(ISNUMBER(FIND("Mar",$C$1)),Monthly!$E1773,(IF(ISNUMBER(FIND("Apr",$C$1)),Monthly!$F1773,((IF(ISNUMBER(FIND("May",$C$1)),Monthly!$G1773,((IF(ISNUMBER(FIND("Jun",$C$1)),Monthly!$H1773,(IF(ISNUMBER(FIND("Jul",$C$1)),Monthly!$I1773,(IF(ISNUMBER(FIND("Aug",$C$1)),Monthly!$J1773,(IF(ISNUMBER(FIND("Sep",$C$1)),Monthly!$K1773,(IF(ISNUMBER(FIND("Oct",$C$1)),Monthly!$L1773,(IF(ISNUMBER(FIND("Nov",$C$1)),Monthly!$M1773,(IF(ISNUMBER(FIND("Dec",$C$1)),Monthly!$N1773,))))))))))))))))))))))))))</f>
        <v>32.333333333333336</v>
      </c>
      <c r="E63" s="1139">
        <f xml:space="preserve">
IF(ISNUMBER(FIND("Jan",$C$1)),Monthly!$C1695,(IF(ISNUMBER(FIND("Feb",$C$1)),Monthly!$D1695,((IF(ISNUMBER(FIND("Mar",$C$1)),Monthly!$E1695,(IF(ISNUMBER(FIND("Apr",$C$1)),Monthly!$F1695,((IF(ISNUMBER(FIND("May",$C$1)),Monthly!$G1695,((IF(ISNUMBER(FIND("Jun",$C$1)),Monthly!$H1695,(IF(ISNUMBER(FIND("Jul",$C$1)),Monthly!$I1695,(IF(ISNUMBER(FIND("Aug",$C$1)),Monthly!$J1695,(IF(ISNUMBER(FIND("Sep",$C$1)),Monthly!$K1695,(IF(ISNUMBER(FIND("Oct",$C$1)),Monthly!$L1695,(IF(ISNUMBER(FIND("Nov",$C$1)),Monthly!$M1695,(IF(ISNUMBER(FIND("Dec",$C$1)),Monthly!$N1695,))))))))))))))))))))))))))</f>
        <v>13.333333333333334</v>
      </c>
      <c r="F63" s="1138">
        <f>IF(ISNUMBER(FIND("Jan",$C$1)),Monthly!$C1617,(IF(ISNUMBER(FIND("Feb",$C$1)),Monthly!$D1617,((IF(ISNUMBER(FIND("Mar",$C$1)),Monthly!$E1617,(IF(ISNUMBER(FIND("Apr",$C$1)),Monthly!$F1617,((IF(ISNUMBER(FIND("May",$C$1)),Monthly!$G1617,((IF(ISNUMBER(FIND("Jun",$C$1)),Monthly!$H1617,(IF(ISNUMBER(FIND("Jul",$C$1)),Monthly!$I1617,(IF(ISNUMBER(FIND("Aug",$C$1)),Monthly!$J1617,(IF(ISNUMBER(FIND("Sep",$C$1)),Monthly!$K1617,(IF(ISNUMBER(FIND("Oct",$C$1)),Monthly!$L1617,(IF(ISNUMBER(FIND("Nov",$C$1)),Monthly!$M1617,(IF(ISNUMBER(FIND("Dec",$C$1)),Monthly!$N1617,))))))))))))))))))))))))))</f>
        <v>26.583333333333332</v>
      </c>
      <c r="G63" s="1139">
        <f>IF(ISNUMBER(FIND("Jan",$C$1)),Monthly!$C1539,(IF(ISNUMBER(FIND("Feb",$C$1)),Monthly!$D1539,((IF(ISNUMBER(FIND("Mar",$C$1)),Monthly!$E1539,(IF(ISNUMBER(FIND("Apr",$C$1)),Monthly!$F1539,((IF(ISNUMBER(FIND("May",$C$1)),Monthly!$G1539,((IF(ISNUMBER(FIND("Jun",$C$1)),Monthly!$H1539,(IF(ISNUMBER(FIND("Jul",$C$1)),Monthly!$I1539,(IF(ISNUMBER(FIND("Aug",$C$1)),Monthly!$J1539,(IF(ISNUMBER(FIND("Sep",$C$1)),Monthly!$K1539,(IF(ISNUMBER(FIND("Oct",$C$1)),Monthly!$L1539,(IF(ISNUMBER(FIND("Nov",$C$1)),Monthly!$M1539,(IF(ISNUMBER(FIND("Dec",$C$1)),Monthly!$N1539,))))))))))))))))))))))))))</f>
        <v>47.5</v>
      </c>
      <c r="H63" s="1139">
        <f>IF(ISNUMBER(FIND("Jan",$C$1)),Monthly!$C1462,(IF(ISNUMBER(FIND("Feb",$C$1)),Monthly!$D1462,((IF(ISNUMBER(FIND("Mar",$C$1)),Monthly!$E1462,(IF(ISNUMBER(FIND("Apr",$C$1)),Monthly!$F1462,((IF(ISNUMBER(FIND("May",$C$1)),Monthly!$G1462,((IF(ISNUMBER(FIND("Jun",$C$1)),Monthly!$H1462,(IF(ISNUMBER(FIND("Jul",$C$1)),Monthly!$I1462,(IF(ISNUMBER(FIND("Aug",$C$1)),Monthly!$J1462,(IF(ISNUMBER(FIND("Sep",$C$1)),Monthly!$K1462,(IF(ISNUMBER(FIND("Oct",$C$1)),Monthly!$L1462,(IF(ISNUMBER(FIND("Nov",$C$1)),Monthly!$M1462,(IF(ISNUMBER(FIND("Dec",$C$1)),Monthly!$N1462,))))))))))))))))))))))))))</f>
        <v>49</v>
      </c>
      <c r="I63" s="1139">
        <f>IF(ISNUMBER(FIND("Jan",$C$1)),Monthly!$C1385,(IF(ISNUMBER(FIND("Feb",$C$1)),Monthly!$D1385,((IF(ISNUMBER(FIND("Mar",$C$1)),Monthly!$E1385,(IF(ISNUMBER(FIND("Apr",$C$1)),Monthly!$F1385,((IF(ISNUMBER(FIND("May",$C$1)),Monthly!$G1385,((IF(ISNUMBER(FIND("Jun",$C$1)),Monthly!$H1385,(IF(ISNUMBER(FIND("Jul",$C$1)),Monthly!$I1385,(IF(ISNUMBER(FIND("Aug",$C$1)),Monthly!$J1385,(IF(ISNUMBER(FIND("Sep",$C$1)),Monthly!$K1385,(IF(ISNUMBER(FIND("Oct",$C$1)),Monthly!$L1385,(IF(ISNUMBER(FIND("Nov",$C$1)),Monthly!$M1385,(IF(ISNUMBER(FIND("Dec",$C$1)),Monthly!$N1385,))))))))))))))))))))))))))</f>
        <v>42.916666666666664</v>
      </c>
      <c r="J63" s="1138">
        <f>IF(ISNUMBER(FIND("Jan",$C$1)),Monthly!$C1308,(IF(ISNUMBER(FIND("Feb",$C$1)),Monthly!$D1308,((IF(ISNUMBER(FIND("Mar",$C$1)),Monthly!$E1308,(IF(ISNUMBER(FIND("Apr",$C$1)),Monthly!$F1308,((IF(ISNUMBER(FIND("May",$C$1)),Monthly!$G1308,((IF(ISNUMBER(FIND("Jun",$C$1)),Monthly!$H1308,(IF(ISNUMBER(FIND("Jul",$C$1)),Monthly!$I1308,(IF(ISNUMBER(FIND("Aug",$C$1)),Monthly!$J1308,(IF(ISNUMBER(FIND("Sep",$C$1)),Monthly!$K1308,(IF(ISNUMBER(FIND("Oct",$C$1)),Monthly!$L1308,(IF(ISNUMBER(FIND("Nov",$C$1)),Monthly!$M1308,(IF(ISNUMBER(FIND("Dec",$C$1)),Monthly!$N1308,))))))))))))))))))))))))))</f>
        <v>76</v>
      </c>
      <c r="K63" s="1148">
        <f>IF(ISNUMBER(FIND("Jan",$C$1)),Monthly!$C1230,(IF(ISNUMBER(FIND("Feb",$C$1)),Monthly!$D1230,((IF(ISNUMBER(FIND("Mar",$C$1)),Monthly!$E1230,(IF(ISNUMBER(FIND("Apr",$C$1)),Monthly!$F1230,((IF(ISNUMBER(FIND("May",$C$1)),Monthly!$G1230,((IF(ISNUMBER(FIND("Jun",$C$1)),Monthly!$H1230,(IF(ISNUMBER(FIND("Jul",$C$1)),Monthly!$I1230,(IF(ISNUMBER(FIND("Aug",$C$1)),Monthly!$J1230,(IF(ISNUMBER(FIND("Sep",$C$1)),Monthly!$K1230,(IF(ISNUMBER(FIND("Oct",$C$1)),Monthly!$L1230,(IF(ISNUMBER(FIND("Nov",$C$1)),Monthly!$M1230,(IF(ISNUMBER(FIND("Dec",$C$1)),Monthly!$N1230,))))))))))))))))))))))))))</f>
        <v>22</v>
      </c>
      <c r="L63" s="1139">
        <f>IF(ISNUMBER(FIND("Jan",$C$1)),Monthly!$C1153,(IF(ISNUMBER(FIND("Feb",$C$1)),Monthly!$D1153,((IF(ISNUMBER(FIND("Mar",$C$1)),Monthly!$E1153,(IF(ISNUMBER(FIND("Apr",$C$1)),Monthly!$F1153,((IF(ISNUMBER(FIND("May",$C$1)),Monthly!$G1153,((IF(ISNUMBER(FIND("Jun",$C$1)),Monthly!$H1153,(IF(ISNUMBER(FIND("Jul",$C$1)),Monthly!$I1153,(IF(ISNUMBER(FIND("Aug",$C$1)),Monthly!$J1153,(IF(ISNUMBER(FIND("Sep",$C$1)),Monthly!$K1153,(IF(ISNUMBER(FIND("Oct",$C$1)),Monthly!$L1153,(IF(ISNUMBER(FIND("Nov",$C$1)),Monthly!$M1153,(IF(ISNUMBER(FIND("Dec",$C$1)),Monthly!$N1153,))))))))))))))))))))))))))</f>
        <v>92.416666666666671</v>
      </c>
      <c r="M63" s="1139">
        <f>IF(ISNUMBER(FIND("Jan",$C$1)),Monthly!$C1076,(IF(ISNUMBER(FIND("Feb",$C$1)),Monthly!$D1076,((IF(ISNUMBER(FIND("Mar",$C$1)),Monthly!$E1076,(IF(ISNUMBER(FIND("Apr",$C$1)),Monthly!$F1076,((IF(ISNUMBER(FIND("May",$C$1)),Monthly!$G1076,((IF(ISNUMBER(FIND("Jun",$C$1)),Monthly!$H1076,(IF(ISNUMBER(FIND("Jul",$C$1)),Monthly!$I1076,(IF(ISNUMBER(FIND("Aug",$C$1)),Monthly!$J1076,(IF(ISNUMBER(FIND("Sep",$C$1)),Monthly!$K1076,(IF(ISNUMBER(FIND("Oct",$C$1)),Monthly!$L1076,(IF(ISNUMBER(FIND("Nov",$C$1)),Monthly!$M1076,(IF(ISNUMBER(FIND("Dec",$C$1)),Monthly!$N1076,))))))))))))))))))))))))))</f>
        <v>102.16666666666667</v>
      </c>
      <c r="N63" s="1148">
        <f>IF(ISNUMBER(FIND("Jan",$C$1)),Monthly!$C999,(IF(ISNUMBER(FIND("Feb",$C$1)),Monthly!$D999,((IF(ISNUMBER(FIND("Mar",$C$1)),Monthly!$E999,(IF(ISNUMBER(FIND("Apr",$C$1)),Monthly!$F999,((IF(ISNUMBER(FIND("May",$C$1)),Monthly!$G999,((IF(ISNUMBER(FIND("Jun",$C$1)),Monthly!$H999,(IF(ISNUMBER(FIND("Jul",$C$1)),Monthly!$I999,(IF(ISNUMBER(FIND("Aug",$C$1)),Monthly!$J999,(IF(ISNUMBER(FIND("Sep",$C$1)),Monthly!$K999,(IF(ISNUMBER(FIND("Oct",$C$1)),Monthly!$L999,(IF(ISNUMBER(FIND("Nov",$C$1)),Monthly!$M999,(IF(ISNUMBER(FIND("Dec",$C$1)),Monthly!$N999,))))))))))))))))))))))))))</f>
        <v>106.08333333333333</v>
      </c>
      <c r="O63" s="1148">
        <f>IF(ISNUMBER(FIND("Jan",$C$1)),Monthly!$C923,(IF(ISNUMBER(FIND("Feb",$C$1)),Monthly!$D923,((IF(ISNUMBER(FIND("Mar",$C$1)),Monthly!$E923,(IF(ISNUMBER(FIND("Apr",$C$1)),Monthly!$F923,((IF(ISNUMBER(FIND("May",$C$1)),Monthly!$G923,((IF(ISNUMBER(FIND("Jun",$C$1)),Monthly!$H923,(IF(ISNUMBER(FIND("Jul",$C$1)),Monthly!$I923,(IF(ISNUMBER(FIND("Aug",$C$1)),Monthly!$J923,(IF(ISNUMBER(FIND("Sep",$C$1)),Monthly!$K923,(IF(ISNUMBER(FIND("Oct",$C$1)),Monthly!$L923,(IF(ISNUMBER(FIND("Nov",$C$1)),Monthly!$M923,(IF(ISNUMBER(FIND("Dec",$C$1)),Monthly!$N923,))))))))))))))))))))))))))</f>
        <v>110.5</v>
      </c>
      <c r="P63" s="1148">
        <f>IF(ISNUMBER(FIND("Jan",$C$1)),Monthly!$C846,(IF(ISNUMBER(FIND("Feb",$C$1)),Monthly!$D846,((IF(ISNUMBER(FIND("Mar",$C$1)),Monthly!$E846,(IF(ISNUMBER(FIND("Apr",$C$1)),Monthly!$F846,((IF(ISNUMBER(FIND("May",$C$1)),Monthly!$G846,((IF(ISNUMBER(FIND("Jun",$C$1)),Monthly!$H846,(IF(ISNUMBER(FIND("Jul",$C$1)),Monthly!$I846,(IF(ISNUMBER(FIND("Aug",$C$1)),Monthly!$J846,(IF(ISNUMBER(FIND("Sep",$C$1)),Monthly!$K846,(IF(ISNUMBER(FIND("Oct",$C$1)),Monthly!$L846,(IF(ISNUMBER(FIND("Nov",$C$1)),Monthly!$M846,(IF(ISNUMBER(FIND("Dec",$C$1)),Monthly!$N846,))))))))))))))))))))))))))</f>
        <v>145.83333333333334</v>
      </c>
      <c r="Q63" s="1142">
        <f>IF(ISNUMBER(FIND("Jan",$C$1)),Monthly!$C769,(IF(ISNUMBER(FIND("Feb",$C$1)),Monthly!$D769,((IF(ISNUMBER(FIND("Mar",$C$1)),Monthly!$E769,(IF(ISNUMBER(FIND("Apr",$C$1)),Monthly!$F769,((IF(ISNUMBER(FIND("May",$C$1)),Monthly!$G769,((IF(ISNUMBER(FIND("Jun",$C$1)),Monthly!$H769,(IF(ISNUMBER(FIND("Jul",$C$1)),Monthly!$I769,(IF(ISNUMBER(FIND("Aug",$C$1)),Monthly!$J769,(IF(ISNUMBER(FIND("Sep",$C$1)),Monthly!$K769,(IF(ISNUMBER(FIND("Oct",$C$1)),Monthly!$L769,(IF(ISNUMBER(FIND("Nov",$C$1)),Monthly!$M769,(IF(ISNUMBER(FIND("Dec",$C$1)),Monthly!$N769,))))))))))))))))))))))))))</f>
        <v>229</v>
      </c>
      <c r="R63" s="1142"/>
      <c r="S63" s="1142"/>
      <c r="T63" s="1142"/>
      <c r="U63" s="1143">
        <f>Monthly!O462</f>
        <v>28.166666666666668</v>
      </c>
      <c r="V63" s="1142">
        <f>Monthly!O377</f>
        <v>1950.3333333333333</v>
      </c>
      <c r="W63" s="1142"/>
      <c r="X63" s="1144">
        <f>SUM(C63:Q63)/$E$77</f>
        <v>74.51111111111112</v>
      </c>
      <c r="Y63" s="1150">
        <f t="shared" si="32"/>
        <v>1.0644444444444446E-2</v>
      </c>
      <c r="Z63" s="1146"/>
      <c r="AA63" s="1147">
        <f>MAX(C63:Q63)</f>
        <v>229</v>
      </c>
      <c r="AB63" s="1147">
        <f>MIN(C63:Q63)</f>
        <v>13.333333333333334</v>
      </c>
    </row>
    <row r="64" spans="1:28" s="148" customFormat="1" ht="13.5">
      <c r="A64" s="1152"/>
      <c r="B64" s="1151" t="s">
        <v>434</v>
      </c>
      <c r="C64" s="1138">
        <f>IF(ISNUMBER(FIND("Jan",$C$1)),Monthly!$C1851,(IF(ISNUMBER(FIND("Feb",$C$1)),Monthly!$D1851,((IF(ISNUMBER(FIND("Mar",$C$1)),Monthly!$E1851,(IF(ISNUMBER(FIND("Apr",$C$1)),Monthly!$F1851,((IF(ISNUMBER(FIND("May",$C$1)),Monthly!$G1851,((IF(ISNUMBER(FIND("Jun",$C$1)),Monthly!$H1851,(IF(ISNUMBER(FIND("Jul",$C$1)),Monthly!$I1851,(IF(ISNUMBER(FIND("Aug",$C$1)),Monthly!$J1851,(IF(ISNUMBER(FIND("Sep",$C$1)),Monthly!$K1851,(IF(ISNUMBER(FIND("Oct",$C$1)),Monthly!$L1851,(IF(ISNUMBER(FIND("Nov",$C$1)),Monthly!$M1851,(IF(ISNUMBER(FIND("Dec",$C$1)),Monthly!$N1851,))))))))))))))))))))))))))</f>
        <v>0</v>
      </c>
      <c r="D64" s="1139">
        <f>IF(ISNUMBER(FIND("Jan",$C$1)),Monthly!$C1774,(IF(ISNUMBER(FIND("Feb",$C$1)),Monthly!$D1774,((IF(ISNUMBER(FIND("Mar",$C$1)),Monthly!$E1774,(IF(ISNUMBER(FIND("Apr",$C$1)),Monthly!$F1774,((IF(ISNUMBER(FIND("May",$C$1)),Monthly!$G1774,((IF(ISNUMBER(FIND("Jun",$C$1)),Monthly!$H1774,(IF(ISNUMBER(FIND("Jul",$C$1)),Monthly!$I1774,(IF(ISNUMBER(FIND("Aug",$C$1)),Monthly!$J1774,(IF(ISNUMBER(FIND("Sep",$C$1)),Monthly!$K1774,(IF(ISNUMBER(FIND("Oct",$C$1)),Monthly!$L1774,(IF(ISNUMBER(FIND("Nov",$C$1)),Monthly!$M1774,(IF(ISNUMBER(FIND("Dec",$C$1)),Monthly!$N1774,))))))))))))))))))))))))))</f>
        <v>0</v>
      </c>
      <c r="E64" s="1139">
        <f xml:space="preserve">
IF(ISNUMBER(FIND("Jan",$C$1)),Monthly!$C1696,(IF(ISNUMBER(FIND("Feb",$C$1)),Monthly!$D1696,((IF(ISNUMBER(FIND("Mar",$C$1)),Monthly!$E1696,(IF(ISNUMBER(FIND("Apr",$C$1)),Monthly!$F1696,((IF(ISNUMBER(FIND("May",$C$1)),Monthly!$G1696,((IF(ISNUMBER(FIND("Jun",$C$1)),Monthly!$H1696,(IF(ISNUMBER(FIND("Jul",$C$1)),Monthly!$I1696,(IF(ISNUMBER(FIND("Aug",$C$1)),Monthly!$J1696,(IF(ISNUMBER(FIND("Sep",$C$1)),Monthly!$K1696,(IF(ISNUMBER(FIND("Oct",$C$1)),Monthly!$L1696,(IF(ISNUMBER(FIND("Nov",$C$1)),Monthly!$M1696,(IF(ISNUMBER(FIND("Dec",$C$1)),Monthly!$N1696,))))))))))))))))))))))))))</f>
        <v>0</v>
      </c>
      <c r="F64" s="1138">
        <f>IF(ISNUMBER(FIND("Jan",$C$1)),Monthly!$C1618,(IF(ISNUMBER(FIND("Feb",$C$1)),Monthly!$D1618,((IF(ISNUMBER(FIND("Mar",$C$1)),Monthly!$E1618,(IF(ISNUMBER(FIND("Apr",$C$1)),Monthly!$F1618,((IF(ISNUMBER(FIND("May",$C$1)),Monthly!$G1618,((IF(ISNUMBER(FIND("Jun",$C$1)),Monthly!$H1618,(IF(ISNUMBER(FIND("Jul",$C$1)),Monthly!$I1618,(IF(ISNUMBER(FIND("Aug",$C$1)),Monthly!$J1618,(IF(ISNUMBER(FIND("Sep",$C$1)),Monthly!$K1618,(IF(ISNUMBER(FIND("Oct",$C$1)),Monthly!$L1618,(IF(ISNUMBER(FIND("Nov",$C$1)),Monthly!$M1618,(IF(ISNUMBER(FIND("Dec",$C$1)),Monthly!$N1618,))))))))))))))))))))))))))</f>
        <v>0</v>
      </c>
      <c r="G64" s="1139">
        <f>IF(ISNUMBER(FIND("Jan",$C$1)),Monthly!$C1540,(IF(ISNUMBER(FIND("Feb",$C$1)),Monthly!$D1540,((IF(ISNUMBER(FIND("Mar",$C$1)),Monthly!$E1540,(IF(ISNUMBER(FIND("Apr",$C$1)),Monthly!$F1540,((IF(ISNUMBER(FIND("May",$C$1)),Monthly!$G1540,((IF(ISNUMBER(FIND("Jun",$C$1)),Monthly!$H1540,(IF(ISNUMBER(FIND("Jul",$C$1)),Monthly!$I1540,(IF(ISNUMBER(FIND("Aug",$C$1)),Monthly!$J1540,(IF(ISNUMBER(FIND("Sep",$C$1)),Monthly!$K1540,(IF(ISNUMBER(FIND("Oct",$C$1)),Monthly!$L1540,(IF(ISNUMBER(FIND("Nov",$C$1)),Monthly!$M1540,(IF(ISNUMBER(FIND("Dec",$C$1)),Monthly!$N1540,))))))))))))))))))))))))))</f>
        <v>0</v>
      </c>
      <c r="H64" s="1139">
        <f>IF(ISNUMBER(FIND("Jan",$C$1)),Monthly!$C1463,(IF(ISNUMBER(FIND("Feb",$C$1)),Monthly!$D1463,((IF(ISNUMBER(FIND("Mar",$C$1)),Monthly!$E1463,(IF(ISNUMBER(FIND("Apr",$C$1)),Monthly!$F1463,((IF(ISNUMBER(FIND("May",$C$1)),Monthly!$G1463,((IF(ISNUMBER(FIND("Jun",$C$1)),Monthly!$H1463,(IF(ISNUMBER(FIND("Jul",$C$1)),Monthly!$I1463,(IF(ISNUMBER(FIND("Aug",$C$1)),Monthly!$J1463,(IF(ISNUMBER(FIND("Sep",$C$1)),Monthly!$K1463,(IF(ISNUMBER(FIND("Oct",$C$1)),Monthly!$L1463,(IF(ISNUMBER(FIND("Nov",$C$1)),Monthly!$M1463,(IF(ISNUMBER(FIND("Dec",$C$1)),Monthly!$N1463,))))))))))))))))))))))))))</f>
        <v>0</v>
      </c>
      <c r="I64" s="1139">
        <f>IF(ISNUMBER(FIND("Jan",$C$1)),Monthly!$C1386,(IF(ISNUMBER(FIND("Feb",$C$1)),Monthly!$D1386,((IF(ISNUMBER(FIND("Mar",$C$1)),Monthly!$E1386,(IF(ISNUMBER(FIND("Apr",$C$1)),Monthly!$F1386,((IF(ISNUMBER(FIND("May",$C$1)),Monthly!$G1386,((IF(ISNUMBER(FIND("Jun",$C$1)),Monthly!$H1386,(IF(ISNUMBER(FIND("Jul",$C$1)),Monthly!$I1386,(IF(ISNUMBER(FIND("Aug",$C$1)),Monthly!$J1386,(IF(ISNUMBER(FIND("Sep",$C$1)),Monthly!$K1386,(IF(ISNUMBER(FIND("Oct",$C$1)),Monthly!$L1386,(IF(ISNUMBER(FIND("Nov",$C$1)),Monthly!$M1386,(IF(ISNUMBER(FIND("Dec",$C$1)),Monthly!$N1386,))))))))))))))))))))))))))</f>
        <v>0</v>
      </c>
      <c r="J64" s="1138">
        <f>IF(ISNUMBER(FIND("Jan",$C$1)),Monthly!$C1309,(IF(ISNUMBER(FIND("Feb",$C$1)),Monthly!$D1309,((IF(ISNUMBER(FIND("Mar",$C$1)),Monthly!$E1309,(IF(ISNUMBER(FIND("Apr",$C$1)),Monthly!$F1309,((IF(ISNUMBER(FIND("May",$C$1)),Monthly!$G1309,((IF(ISNUMBER(FIND("Jun",$C$1)),Monthly!$H1309,(IF(ISNUMBER(FIND("Jul",$C$1)),Monthly!$I1309,(IF(ISNUMBER(FIND("Aug",$C$1)),Monthly!$J1309,(IF(ISNUMBER(FIND("Sep",$C$1)),Monthly!$K1309,(IF(ISNUMBER(FIND("Oct",$C$1)),Monthly!$L1309,(IF(ISNUMBER(FIND("Nov",$C$1)),Monthly!$M1309,(IF(ISNUMBER(FIND("Dec",$C$1)),Monthly!$N1309,))))))))))))))))))))))))))</f>
        <v>0</v>
      </c>
      <c r="K64" s="1148">
        <f>IF(ISNUMBER(FIND("Jan",$C$1)),Monthly!$C1231,(IF(ISNUMBER(FIND("Feb",$C$1)),Monthly!$D1231,((IF(ISNUMBER(FIND("Mar",$C$1)),Monthly!$E1231,(IF(ISNUMBER(FIND("Apr",$C$1)),Monthly!$F1231,((IF(ISNUMBER(FIND("May",$C$1)),Monthly!$G1231,((IF(ISNUMBER(FIND("Jun",$C$1)),Monthly!$H1231,(IF(ISNUMBER(FIND("Jul",$C$1)),Monthly!$I1231,(IF(ISNUMBER(FIND("Aug",$C$1)),Monthly!$J1231,(IF(ISNUMBER(FIND("Sep",$C$1)),Monthly!$K1231,(IF(ISNUMBER(FIND("Oct",$C$1)),Monthly!$L1231,(IF(ISNUMBER(FIND("Nov",$C$1)),Monthly!$M1231,(IF(ISNUMBER(FIND("Dec",$C$1)),Monthly!$N1231,))))))))))))))))))))))))))</f>
        <v>0</v>
      </c>
      <c r="L64" s="1139">
        <f>IF(ISNUMBER(FIND("Jan",$C$1)),Monthly!$C1154,(IF(ISNUMBER(FIND("Feb",$C$1)),Monthly!$D1154,((IF(ISNUMBER(FIND("Mar",$C$1)),Monthly!$E1154,(IF(ISNUMBER(FIND("Apr",$C$1)),Monthly!$F1154,((IF(ISNUMBER(FIND("May",$C$1)),Monthly!$G1154,((IF(ISNUMBER(FIND("Jun",$C$1)),Monthly!$H1154,(IF(ISNUMBER(FIND("Jul",$C$1)),Monthly!$I1154,(IF(ISNUMBER(FIND("Aug",$C$1)),Monthly!$J1154,(IF(ISNUMBER(FIND("Sep",$C$1)),Monthly!$K1154,(IF(ISNUMBER(FIND("Oct",$C$1)),Monthly!$L1154,(IF(ISNUMBER(FIND("Nov",$C$1)),Monthly!$M1154,(IF(ISNUMBER(FIND("Dec",$C$1)),Monthly!$N1154,))))))))))))))))))))))))))</f>
        <v>0</v>
      </c>
      <c r="M64" s="1139">
        <f>IF(ISNUMBER(FIND("Jan",$C$1)),Monthly!$C1077,(IF(ISNUMBER(FIND("Feb",$C$1)),Monthly!$D1077,((IF(ISNUMBER(FIND("Mar",$C$1)),Monthly!$E1077,(IF(ISNUMBER(FIND("Apr",$C$1)),Monthly!$F1077,((IF(ISNUMBER(FIND("May",$C$1)),Monthly!$G1077,((IF(ISNUMBER(FIND("Jun",$C$1)),Monthly!$H1077,(IF(ISNUMBER(FIND("Jul",$C$1)),Monthly!$I1077,(IF(ISNUMBER(FIND("Aug",$C$1)),Monthly!$J1077,(IF(ISNUMBER(FIND("Sep",$C$1)),Monthly!$K1077,(IF(ISNUMBER(FIND("Oct",$C$1)),Monthly!$L1077,(IF(ISNUMBER(FIND("Nov",$C$1)),Monthly!$M1077,(IF(ISNUMBER(FIND("Dec",$C$1)),Monthly!$N1077,))))))))))))))))))))))))))</f>
        <v>0</v>
      </c>
      <c r="N64" s="1148">
        <f>IF(ISNUMBER(FIND("Jan",$C$1)),Monthly!$C1000,(IF(ISNUMBER(FIND("Feb",$C$1)),Monthly!$D1000,((IF(ISNUMBER(FIND("Mar",$C$1)),Monthly!$E1000,(IF(ISNUMBER(FIND("Apr",$C$1)),Monthly!$F1000,((IF(ISNUMBER(FIND("May",$C$1)),Monthly!$G1000,((IF(ISNUMBER(FIND("Jun",$C$1)),Monthly!$H1000,(IF(ISNUMBER(FIND("Jul",$C$1)),Monthly!$I1000,(IF(ISNUMBER(FIND("Aug",$C$1)),Monthly!$J1000,(IF(ISNUMBER(FIND("Sep",$C$1)),Monthly!$K1000,(IF(ISNUMBER(FIND("Oct",$C$1)),Monthly!$L1000,(IF(ISNUMBER(FIND("Nov",$C$1)),Monthly!$M1000,(IF(ISNUMBER(FIND("Dec",$C$1)),Monthly!$N1000,))))))))))))))))))))))))))</f>
        <v>0</v>
      </c>
      <c r="O64" s="1148">
        <f>IF(ISNUMBER(FIND("Jan",$C$1)),Monthly!$C924,(IF(ISNUMBER(FIND("Feb",$C$1)),Monthly!$D924,((IF(ISNUMBER(FIND("Mar",$C$1)),Monthly!$E924,(IF(ISNUMBER(FIND("Apr",$C$1)),Monthly!$F924,((IF(ISNUMBER(FIND("May",$C$1)),Monthly!$G924,((IF(ISNUMBER(FIND("Jun",$C$1)),Monthly!$H924,(IF(ISNUMBER(FIND("Jul",$C$1)),Monthly!$I924,(IF(ISNUMBER(FIND("Aug",$C$1)),Monthly!$J924,(IF(ISNUMBER(FIND("Sep",$C$1)),Monthly!$K924,(IF(ISNUMBER(FIND("Oct",$C$1)),Monthly!$L924,(IF(ISNUMBER(FIND("Nov",$C$1)),Monthly!$M924,(IF(ISNUMBER(FIND("Dec",$C$1)),Monthly!$N924,))))))))))))))))))))))))))</f>
        <v>203</v>
      </c>
      <c r="P64" s="1148">
        <f>IF(ISNUMBER(FIND("Jan",$C$1)),Monthly!$C847,(IF(ISNUMBER(FIND("Feb",$C$1)),Monthly!$D847,((IF(ISNUMBER(FIND("Mar",$C$1)),Monthly!$E847,(IF(ISNUMBER(FIND("Apr",$C$1)),Monthly!$F847,((IF(ISNUMBER(FIND("May",$C$1)),Monthly!$G847,((IF(ISNUMBER(FIND("Jun",$C$1)),Monthly!$H847,(IF(ISNUMBER(FIND("Jul",$C$1)),Monthly!$I847,(IF(ISNUMBER(FIND("Aug",$C$1)),Monthly!$J847,(IF(ISNUMBER(FIND("Sep",$C$1)),Monthly!$K847,(IF(ISNUMBER(FIND("Oct",$C$1)),Monthly!$L847,(IF(ISNUMBER(FIND("Nov",$C$1)),Monthly!$M847,(IF(ISNUMBER(FIND("Dec",$C$1)),Monthly!$N847,))))))))))))))))))))))))))</f>
        <v>235</v>
      </c>
      <c r="Q64" s="1142">
        <f>IF(ISNUMBER(FIND("Jan",$C$1)),Monthly!$C770,(IF(ISNUMBER(FIND("Feb",$C$1)),Monthly!$D770,((IF(ISNUMBER(FIND("Mar",$C$1)),Monthly!$E770,(IF(ISNUMBER(FIND("Apr",$C$1)),Monthly!$F770,((IF(ISNUMBER(FIND("May",$C$1)),Monthly!$G770,((IF(ISNUMBER(FIND("Jun",$C$1)),Monthly!$H770,(IF(ISNUMBER(FIND("Jul",$C$1)),Monthly!$I770,(IF(ISNUMBER(FIND("Aug",$C$1)),Monthly!$J770,(IF(ISNUMBER(FIND("Sep",$C$1)),Monthly!$K770,(IF(ISNUMBER(FIND("Oct",$C$1)),Monthly!$L770,(IF(ISNUMBER(FIND("Nov",$C$1)),Monthly!$M770,(IF(ISNUMBER(FIND("Dec",$C$1)),Monthly!$N770,))))))))))))))))))))))))))</f>
        <v>203</v>
      </c>
      <c r="R64" s="1142"/>
      <c r="S64" s="1142"/>
      <c r="T64" s="1142"/>
      <c r="U64" s="1143">
        <f>Monthly!O463</f>
        <v>0</v>
      </c>
      <c r="V64" s="1142">
        <f>Monthly!O378</f>
        <v>0</v>
      </c>
      <c r="W64" s="1142"/>
      <c r="X64" s="1144">
        <f>SUM(C64:Q64)/$E$77</f>
        <v>42.733333333333334</v>
      </c>
      <c r="Y64" s="1150"/>
      <c r="Z64" s="1146"/>
      <c r="AA64" s="1147">
        <f>MAX(C64:Q64)</f>
        <v>235</v>
      </c>
      <c r="AB64" s="1147">
        <f>MIN(C64:Q64)</f>
        <v>0</v>
      </c>
    </row>
    <row r="65" spans="1:28" s="147" customFormat="1" ht="13.5">
      <c r="A65" s="2295" t="s">
        <v>435</v>
      </c>
      <c r="B65" s="2296"/>
      <c r="C65" s="2283">
        <f>SUM(C67:C69)</f>
        <v>12</v>
      </c>
      <c r="D65" s="2283">
        <f t="shared" ref="D65:X65" si="34">SUM(D67:D69)</f>
        <v>0</v>
      </c>
      <c r="E65" s="2283">
        <f t="shared" si="34"/>
        <v>0</v>
      </c>
      <c r="F65" s="2283">
        <f t="shared" si="34"/>
        <v>0</v>
      </c>
      <c r="G65" s="2283">
        <f t="shared" si="34"/>
        <v>25</v>
      </c>
      <c r="H65" s="2283">
        <f t="shared" si="34"/>
        <v>28</v>
      </c>
      <c r="I65" s="2283">
        <f t="shared" si="34"/>
        <v>12</v>
      </c>
      <c r="J65" s="2283">
        <f t="shared" si="34"/>
        <v>12</v>
      </c>
      <c r="K65" s="2283">
        <f t="shared" si="34"/>
        <v>30</v>
      </c>
      <c r="L65" s="2283">
        <f t="shared" si="34"/>
        <v>0</v>
      </c>
      <c r="M65" s="2283">
        <f t="shared" si="34"/>
        <v>0</v>
      </c>
      <c r="N65" s="2283">
        <f t="shared" si="34"/>
        <v>0</v>
      </c>
      <c r="O65" s="2283">
        <f t="shared" si="34"/>
        <v>0</v>
      </c>
      <c r="P65" s="2283">
        <f t="shared" si="34"/>
        <v>0</v>
      </c>
      <c r="Q65" s="2283">
        <f t="shared" si="34"/>
        <v>50</v>
      </c>
      <c r="R65" s="2283">
        <f>SUM(R67:R69)</f>
        <v>0</v>
      </c>
      <c r="S65" s="2180"/>
      <c r="T65" s="2180"/>
      <c r="U65" s="2180"/>
      <c r="V65" s="2180"/>
      <c r="W65" s="2180"/>
      <c r="X65" s="2283">
        <f t="shared" si="34"/>
        <v>11.266666666666667</v>
      </c>
      <c r="Y65" s="1145">
        <f>X65/7000</f>
        <v>1.6095238095238096E-3</v>
      </c>
      <c r="Z65" s="1134"/>
      <c r="AA65" s="2283">
        <f>SUM(AA67:AA69)</f>
        <v>50</v>
      </c>
      <c r="AB65" s="2283">
        <f>SUM(AB67:AB69)</f>
        <v>0</v>
      </c>
    </row>
    <row r="66" spans="1:28" s="147" customFormat="1" ht="13.5">
      <c r="A66" s="2297"/>
      <c r="B66" s="2298"/>
      <c r="C66" s="2284"/>
      <c r="D66" s="2284"/>
      <c r="E66" s="2284"/>
      <c r="F66" s="2284"/>
      <c r="G66" s="2284"/>
      <c r="H66" s="2284"/>
      <c r="I66" s="2284"/>
      <c r="J66" s="2284"/>
      <c r="K66" s="2284"/>
      <c r="L66" s="2284"/>
      <c r="M66" s="2284"/>
      <c r="N66" s="2284"/>
      <c r="O66" s="2284"/>
      <c r="P66" s="2284"/>
      <c r="Q66" s="2284"/>
      <c r="R66" s="2284"/>
      <c r="S66" s="2181"/>
      <c r="T66" s="2181"/>
      <c r="U66" s="2181"/>
      <c r="V66" s="2181"/>
      <c r="W66" s="2181"/>
      <c r="X66" s="2284"/>
      <c r="Y66" s="1145">
        <f>X66/7000</f>
        <v>0</v>
      </c>
      <c r="Z66" s="1135"/>
      <c r="AA66" s="2284"/>
      <c r="AB66" s="2284"/>
    </row>
    <row r="67" spans="1:28" s="147" customFormat="1" ht="13.5">
      <c r="A67" s="1152"/>
      <c r="B67" s="1151" t="s">
        <v>405</v>
      </c>
      <c r="C67" s="1138">
        <f>IF(ISNUMBER(FIND("Jan",$C$1)),Monthly!$C1854,(IF(ISNUMBER(FIND("Feb",$C$1)),Monthly!$D1854,((IF(ISNUMBER(FIND("Mar",$C$1)),Monthly!$E1854,(IF(ISNUMBER(FIND("Apr",$C$1)),Monthly!$F1854,((IF(ISNUMBER(FIND("May",$C$1)),Monthly!$G1854,((IF(ISNUMBER(FIND("Jun",$C$1)),Monthly!$H1854,(IF(ISNUMBER(FIND("Jul",$C$1)),Monthly!$I1854,(IF(ISNUMBER(FIND("Aug",$C$1)),Monthly!$J1854,(IF(ISNUMBER(FIND("Sep",$C$1)),Monthly!$K1854,(IF(ISNUMBER(FIND("Oct",$C$1)),Monthly!$L1854,(IF(ISNUMBER(FIND("Nov",$C$1)),Monthly!$M1854,(IF(ISNUMBER(FIND("Dec",$C$1)),Monthly!$N1854,))))))))))))))))))))))))))</f>
        <v>0</v>
      </c>
      <c r="D67" s="1139">
        <f>IF(ISNUMBER(FIND("Jan",$C$1)),Monthly!$C1777,(IF(ISNUMBER(FIND("Feb",$C$1)),Monthly!$D1777,((IF(ISNUMBER(FIND("Mar",$C$1)),Monthly!$E1777,(IF(ISNUMBER(FIND("Apr",$C$1)),Monthly!$F1777,((IF(ISNUMBER(FIND("May",$C$1)),Monthly!$G1777,((IF(ISNUMBER(FIND("Jun",$C$1)),Monthly!$H1777,(IF(ISNUMBER(FIND("Jul",$C$1)),Monthly!$I1777,(IF(ISNUMBER(FIND("Aug",$C$1)),Monthly!$J1777,(IF(ISNUMBER(FIND("Sep",$C$1)),Monthly!$K1777,(IF(ISNUMBER(FIND("Oct",$C$1)),Monthly!$L1777,(IF(ISNUMBER(FIND("Nov",$C$1)),Monthly!$M1777,(IF(ISNUMBER(FIND("Dec",$C$1)),Monthly!$N1777,))))))))))))))))))))))))))</f>
        <v>0</v>
      </c>
      <c r="E67" s="1139">
        <f xml:space="preserve">
IF(ISNUMBER(FIND("Jan",$C$1)),Monthly!$C1699,(IF(ISNUMBER(FIND("Feb",$C$1)),Monthly!$D1699,((IF(ISNUMBER(FIND("Mar",$C$1)),Monthly!$E1699,(IF(ISNUMBER(FIND("Apr",$C$1)),Monthly!$F1699,((IF(ISNUMBER(FIND("May",$C$1)),Monthly!$G1699,((IF(ISNUMBER(FIND("Jun",$C$1)),Monthly!$H1699,(IF(ISNUMBER(FIND("Jul",$C$1)),Monthly!$I1699,(IF(ISNUMBER(FIND("Aug",$C$1)),Monthly!$J1699,(IF(ISNUMBER(FIND("Sep",$C$1)),Monthly!$K1699,(IF(ISNUMBER(FIND("Oct",$C$1)),Monthly!$L1699,(IF(ISNUMBER(FIND("Nov",$C$1)),Monthly!$M1699,(IF(ISNUMBER(FIND("Dec",$C$1)),Monthly!$N1699,))))))))))))))))))))))))))</f>
        <v>0</v>
      </c>
      <c r="F67" s="1138">
        <f>IF(ISNUMBER(FIND("Jan",$C$1)),Monthly!$C1621,(IF(ISNUMBER(FIND("Feb",$C$1)),Monthly!$D1621,((IF(ISNUMBER(FIND("Mar",$C$1)),Monthly!$E1621,(IF(ISNUMBER(FIND("Apr",$C$1)),Monthly!$F1621,((IF(ISNUMBER(FIND("May",$C$1)),Monthly!$G1621,((IF(ISNUMBER(FIND("Jun",$C$1)),Monthly!$H1621,(IF(ISNUMBER(FIND("Jul",$C$1)),Monthly!$I1621,(IF(ISNUMBER(FIND("Aug",$C$1)),Monthly!$J1621,(IF(ISNUMBER(FIND("Sep",$C$1)),Monthly!$K1621,(IF(ISNUMBER(FIND("Oct",$C$1)),Monthly!$L1621,(IF(ISNUMBER(FIND("Nov",$C$1)),Monthly!$M1621,(IF(ISNUMBER(FIND("Dec",$C$1)),Monthly!$N1621,))))))))))))))))))))))))))</f>
        <v>0</v>
      </c>
      <c r="G67" s="1139">
        <f>IF(ISNUMBER(FIND("Jan",$C$1)),Monthly!$C1543,(IF(ISNUMBER(FIND("Feb",$C$1)),Monthly!$D1543,((IF(ISNUMBER(FIND("Mar",$C$1)),Monthly!$E1543,(IF(ISNUMBER(FIND("Apr",$C$1)),Monthly!$F1543,((IF(ISNUMBER(FIND("May",$C$1)),Monthly!$G1543,((IF(ISNUMBER(FIND("Jun",$C$1)),Monthly!$H1543,(IF(ISNUMBER(FIND("Jul",$C$1)),Monthly!$I1543,(IF(ISNUMBER(FIND("Aug",$C$1)),Monthly!$J1543,(IF(ISNUMBER(FIND("Sep",$C$1)),Monthly!$K1543,(IF(ISNUMBER(FIND("Oct",$C$1)),Monthly!$L1543,(IF(ISNUMBER(FIND("Nov",$C$1)),Monthly!$M1543,(IF(ISNUMBER(FIND("Dec",$C$1)),Monthly!$N1543,))))))))))))))))))))))))))</f>
        <v>0</v>
      </c>
      <c r="H67" s="1139">
        <f>IF(ISNUMBER(FIND("Jan",$C$1)),Monthly!$C1466,(IF(ISNUMBER(FIND("Feb",$C$1)),Monthly!$D1466,((IF(ISNUMBER(FIND("Mar",$C$1)),Monthly!$E1466,(IF(ISNUMBER(FIND("Apr",$C$1)),Monthly!$F1466,((IF(ISNUMBER(FIND("May",$C$1)),Monthly!$G1466,((IF(ISNUMBER(FIND("Jun",$C$1)),Monthly!$H1466,(IF(ISNUMBER(FIND("Jul",$C$1)),Monthly!$I1466,(IF(ISNUMBER(FIND("Aug",$C$1)),Monthly!$J1466,(IF(ISNUMBER(FIND("Sep",$C$1)),Monthly!$K1466,(IF(ISNUMBER(FIND("Oct",$C$1)),Monthly!$L1466,(IF(ISNUMBER(FIND("Nov",$C$1)),Monthly!$M1466,(IF(ISNUMBER(FIND("Dec",$C$1)),Monthly!$N1466,))))))))))))))))))))))))))</f>
        <v>0</v>
      </c>
      <c r="I67" s="1139">
        <f>IF(ISNUMBER(FIND("Jan",$C$1)),Monthly!$C1389,(IF(ISNUMBER(FIND("Feb",$C$1)),Monthly!$D1389,((IF(ISNUMBER(FIND("Mar",$C$1)),Monthly!$E1389,(IF(ISNUMBER(FIND("Apr",$C$1)),Monthly!$F1389,((IF(ISNUMBER(FIND("May",$C$1)),Monthly!$G1389,((IF(ISNUMBER(FIND("Jun",$C$1)),Monthly!$H1389,(IF(ISNUMBER(FIND("Jul",$C$1)),Monthly!$I1389,(IF(ISNUMBER(FIND("Aug",$C$1)),Monthly!$J1389,(IF(ISNUMBER(FIND("Sep",$C$1)),Monthly!$K1389,(IF(ISNUMBER(FIND("Oct",$C$1)),Monthly!$L1389,(IF(ISNUMBER(FIND("Nov",$C$1)),Monthly!$M1389,(IF(ISNUMBER(FIND("Dec",$C$1)),Monthly!$N1389,))))))))))))))))))))))))))</f>
        <v>0</v>
      </c>
      <c r="J67" s="1138">
        <f>IF(ISNUMBER(FIND("Jan",$C$1)),Monthly!$C1312,(IF(ISNUMBER(FIND("Feb",$C$1)),Monthly!$D1312,((IF(ISNUMBER(FIND("Mar",$C$1)),Monthly!$E1312,(IF(ISNUMBER(FIND("Apr",$C$1)),Monthly!$F1312,((IF(ISNUMBER(FIND("May",$C$1)),Monthly!$G1312,((IF(ISNUMBER(FIND("Jun",$C$1)),Monthly!$H1312,(IF(ISNUMBER(FIND("Jul",$C$1)),Monthly!$I1312,(IF(ISNUMBER(FIND("Aug",$C$1)),Monthly!$J1312,(IF(ISNUMBER(FIND("Sep",$C$1)),Monthly!$K1312,(IF(ISNUMBER(FIND("Oct",$C$1)),Monthly!$L1312,(IF(ISNUMBER(FIND("Nov",$C$1)),Monthly!$M1312,(IF(ISNUMBER(FIND("Dec",$C$1)),Monthly!$N1312,))))))))))))))))))))))))))</f>
        <v>0</v>
      </c>
      <c r="K67" s="1148">
        <f>IF(ISNUMBER(FIND("Jan",$C$1)),Monthly!$C1234,(IF(ISNUMBER(FIND("Feb",$C$1)),Monthly!$D1234,((IF(ISNUMBER(FIND("Mar",$C$1)),Monthly!$E1234,(IF(ISNUMBER(FIND("Apr",$C$1)),Monthly!$F1234,((IF(ISNUMBER(FIND("May",$C$1)),Monthly!$G1234,((IF(ISNUMBER(FIND("Jun",$C$1)),Monthly!$H1234,(IF(ISNUMBER(FIND("Jul",$C$1)),Monthly!$I1234,(IF(ISNUMBER(FIND("Aug",$C$1)),Monthly!$J1234,(IF(ISNUMBER(FIND("Sep",$C$1)),Monthly!$K1234,(IF(ISNUMBER(FIND("Oct",$C$1)),Monthly!$L1234,(IF(ISNUMBER(FIND("Nov",$C$1)),Monthly!$M1234,(IF(ISNUMBER(FIND("Dec",$C$1)),Monthly!$N1234,))))))))))))))))))))))))))</f>
        <v>0</v>
      </c>
      <c r="L67" s="1139">
        <f>IF(ISNUMBER(FIND("Jan",$C$1)),Monthly!$C1157,(IF(ISNUMBER(FIND("Feb",$C$1)),Monthly!$D1157,((IF(ISNUMBER(FIND("Mar",$C$1)),Monthly!$E1157,(IF(ISNUMBER(FIND("Apr",$C$1)),Monthly!$F1157,((IF(ISNUMBER(FIND("May",$C$1)),Monthly!$G1157,((IF(ISNUMBER(FIND("Jun",$C$1)),Monthly!$H1157,(IF(ISNUMBER(FIND("Jul",$C$1)),Monthly!$I1157,(IF(ISNUMBER(FIND("Aug",$C$1)),Monthly!$J1157,(IF(ISNUMBER(FIND("Sep",$C$1)),Monthly!$K1157,(IF(ISNUMBER(FIND("Oct",$C$1)),Monthly!$L1157,(IF(ISNUMBER(FIND("Nov",$C$1)),Monthly!$M1157,(IF(ISNUMBER(FIND("Dec",$C$1)),Monthly!$N1157,))))))))))))))))))))))))))</f>
        <v>0</v>
      </c>
      <c r="M67" s="1139">
        <f>IF(ISNUMBER(FIND("Jan",$C$1)),Monthly!$C1080,(IF(ISNUMBER(FIND("Feb",$C$1)),Monthly!$D1080,((IF(ISNUMBER(FIND("Mar",$C$1)),Monthly!$E1080,(IF(ISNUMBER(FIND("Apr",$C$1)),Monthly!$F1080,((IF(ISNUMBER(FIND("May",$C$1)),Monthly!$G1080,((IF(ISNUMBER(FIND("Jun",$C$1)),Monthly!$H1080,(IF(ISNUMBER(FIND("Jul",$C$1)),Monthly!$I1080,(IF(ISNUMBER(FIND("Aug",$C$1)),Monthly!$J1080,(IF(ISNUMBER(FIND("Sep",$C$1)),Monthly!$K1080,(IF(ISNUMBER(FIND("Oct",$C$1)),Monthly!$L1080,(IF(ISNUMBER(FIND("Nov",$C$1)),Monthly!$M1080,(IF(ISNUMBER(FIND("Dec",$C$1)),Monthly!$N1080,))))))))))))))))))))))))))</f>
        <v>0</v>
      </c>
      <c r="N67" s="1148">
        <f>IF(ISNUMBER(FIND("Jan",$C$1)),Monthly!$C1003,(IF(ISNUMBER(FIND("Feb",$C$1)),Monthly!$D1003,((IF(ISNUMBER(FIND("Mar",$C$1)),Monthly!$E1003,(IF(ISNUMBER(FIND("Apr",$C$1)),Monthly!$F1003,((IF(ISNUMBER(FIND("May",$C$1)),Monthly!$G1003,((IF(ISNUMBER(FIND("Jun",$C$1)),Monthly!$H1003,(IF(ISNUMBER(FIND("Jul",$C$1)),Monthly!$I1003,(IF(ISNUMBER(FIND("Aug",$C$1)),Monthly!$J1003,(IF(ISNUMBER(FIND("Sep",$C$1)),Monthly!$K1003,(IF(ISNUMBER(FIND("Oct",$C$1)),Monthly!$L1003,(IF(ISNUMBER(FIND("Nov",$C$1)),Monthly!$M1003,(IF(ISNUMBER(FIND("Dec",$C$1)),Monthly!$N1003,))))))))))))))))))))))))))</f>
        <v>0</v>
      </c>
      <c r="O67" s="1148">
        <f>IF(ISNUMBER(FIND("Jan",$C$1)),Monthly!$C927,(IF(ISNUMBER(FIND("Feb",$C$1)),Monthly!$D927,((IF(ISNUMBER(FIND("Mar",$C$1)),Monthly!$E927,(IF(ISNUMBER(FIND("Apr",$C$1)),Monthly!$F927,((IF(ISNUMBER(FIND("May",$C$1)),Monthly!$G927,((IF(ISNUMBER(FIND("Jun",$C$1)),Monthly!$H927,(IF(ISNUMBER(FIND("Jul",$C$1)),Monthly!$I927,(IF(ISNUMBER(FIND("Aug",$C$1)),Monthly!$J927,(IF(ISNUMBER(FIND("Sep",$C$1)),Monthly!$K927,(IF(ISNUMBER(FIND("Oct",$C$1)),Monthly!$L927,(IF(ISNUMBER(FIND("Nov",$C$1)),Monthly!$M927,(IF(ISNUMBER(FIND("Dec",$C$1)),Monthly!$N927,))))))))))))))))))))))))))</f>
        <v>0</v>
      </c>
      <c r="P67" s="1148">
        <f>IF(ISNUMBER(FIND("Jan",$C$1)),Monthly!$C850,(IF(ISNUMBER(FIND("Feb",$C$1)),Monthly!$D850,((IF(ISNUMBER(FIND("Mar",$C$1)),Monthly!$E850,(IF(ISNUMBER(FIND("Apr",$C$1)),Monthly!$F850,((IF(ISNUMBER(FIND("May",$C$1)),Monthly!$G850,((IF(ISNUMBER(FIND("Jun",$C$1)),Monthly!$H850,(IF(ISNUMBER(FIND("Jul",$C$1)),Monthly!$I850,(IF(ISNUMBER(FIND("Aug",$C$1)),Monthly!$J850,(IF(ISNUMBER(FIND("Sep",$C$1)),Monthly!$K850,(IF(ISNUMBER(FIND("Oct",$C$1)),Monthly!$L850,(IF(ISNUMBER(FIND("Nov",$C$1)),Monthly!$M850,(IF(ISNUMBER(FIND("Dec",$C$1)),Monthly!$N850,))))))))))))))))))))))))))</f>
        <v>0</v>
      </c>
      <c r="Q67" s="1142">
        <f>IF(ISNUMBER(FIND("Jan",$C$1)),Monthly!$C773,(IF(ISNUMBER(FIND("Feb",$C$1)),Monthly!$D773,((IF(ISNUMBER(FIND("Mar",$C$1)),Monthly!$E773,(IF(ISNUMBER(FIND("Apr",$C$1)),Monthly!$F773,((IF(ISNUMBER(FIND("May",$C$1)),Monthly!$G773,((IF(ISNUMBER(FIND("Jun",$C$1)),Monthly!$H773,(IF(ISNUMBER(FIND("Jul",$C$1)),Monthly!$I773,(IF(ISNUMBER(FIND("Aug",$C$1)),Monthly!$J773,(IF(ISNUMBER(FIND("Sep",$C$1)),Monthly!$K773,(IF(ISNUMBER(FIND("Oct",$C$1)),Monthly!$L773,(IF(ISNUMBER(FIND("Nov",$C$1)),Monthly!$M773,(IF(ISNUMBER(FIND("Dec",$C$1)),Monthly!$N773,))))))))))))))))))))))))))</f>
        <v>0</v>
      </c>
      <c r="R67" s="1142"/>
      <c r="S67" s="1142"/>
      <c r="T67" s="1142"/>
      <c r="U67" s="1143">
        <f>Monthly!O466</f>
        <v>0</v>
      </c>
      <c r="V67" s="1142">
        <f>Monthly!O381</f>
        <v>835.16666666666674</v>
      </c>
      <c r="W67" s="1142"/>
      <c r="X67" s="1144">
        <f>SUM(C67:Q67)/$E$77</f>
        <v>0</v>
      </c>
      <c r="Y67" s="1153">
        <f>AA4+Y18+AA26+AA32+AA46+AA36+ AA54 + AA56+ AA60+AA63</f>
        <v>15053</v>
      </c>
      <c r="Z67" s="1146"/>
      <c r="AA67" s="1147">
        <f>MAX(C67:Q67)</f>
        <v>0</v>
      </c>
      <c r="AB67" s="1147">
        <f>MIN(C67:Q67)</f>
        <v>0</v>
      </c>
    </row>
    <row r="68" spans="1:28" ht="13.5">
      <c r="A68" s="1152"/>
      <c r="B68" s="1151" t="s">
        <v>436</v>
      </c>
      <c r="C68" s="1138">
        <f>IF(ISNUMBER(FIND("Jan",$C$1)),Monthly!$C1855,(IF(ISNUMBER(FIND("Feb",$C$1)),Monthly!$D1855,((IF(ISNUMBER(FIND("Mar",$C$1)),Monthly!$E1855,(IF(ISNUMBER(FIND("Apr",$C$1)),Monthly!$F1855,((IF(ISNUMBER(FIND("May",$C$1)),Monthly!$G1855,((IF(ISNUMBER(FIND("Jun",$C$1)),Monthly!$H1855,(IF(ISNUMBER(FIND("Jul",$C$1)),Monthly!$I1855,(IF(ISNUMBER(FIND("Aug",$C$1)),Monthly!$J1855,(IF(ISNUMBER(FIND("Sep",$C$1)),Monthly!$K1855,(IF(ISNUMBER(FIND("Oct",$C$1)),Monthly!$L1855,(IF(ISNUMBER(FIND("Nov",$C$1)),Monthly!$M1855,(IF(ISNUMBER(FIND("Dec",$C$1)),Monthly!$N1855,))))))))))))))))))))))))))</f>
        <v>12</v>
      </c>
      <c r="D68" s="1139">
        <f>IF(ISNUMBER(FIND("Jan",$C$1)),Monthly!$C1778,(IF(ISNUMBER(FIND("Feb",$C$1)),Monthly!$D1778,((IF(ISNUMBER(FIND("Mar",$C$1)),Monthly!$E1778,(IF(ISNUMBER(FIND("Apr",$C$1)),Monthly!$F1778,((IF(ISNUMBER(FIND("May",$C$1)),Monthly!$G1778,((IF(ISNUMBER(FIND("Jun",$C$1)),Monthly!$H1778,(IF(ISNUMBER(FIND("Jul",$C$1)),Monthly!$I1778,(IF(ISNUMBER(FIND("Aug",$C$1)),Monthly!$J1778,(IF(ISNUMBER(FIND("Sep",$C$1)),Monthly!$K1778,(IF(ISNUMBER(FIND("Oct",$C$1)),Monthly!$L1778,(IF(ISNUMBER(FIND("Nov",$C$1)),Monthly!$M1778,(IF(ISNUMBER(FIND("Dec",$C$1)),Monthly!$N1778,))))))))))))))))))))))))))</f>
        <v>0</v>
      </c>
      <c r="E68" s="1139">
        <f xml:space="preserve">
IF(ISNUMBER(FIND("Jan",$C$1)),Monthly!$C1700,(IF(ISNUMBER(FIND("Feb",$C$1)),Monthly!$D1700,((IF(ISNUMBER(FIND("Mar",$C$1)),Monthly!$E1700,(IF(ISNUMBER(FIND("Apr",$C$1)),Monthly!$F1700,((IF(ISNUMBER(FIND("May",$C$1)),Monthly!$G1700,((IF(ISNUMBER(FIND("Jun",$C$1)),Monthly!$H1700,(IF(ISNUMBER(FIND("Jul",$C$1)),Monthly!$I1700,(IF(ISNUMBER(FIND("Aug",$C$1)),Monthly!$J1700,(IF(ISNUMBER(FIND("Sep",$C$1)),Monthly!$K1700,(IF(ISNUMBER(FIND("Oct",$C$1)),Monthly!$L1700,(IF(ISNUMBER(FIND("Nov",$C$1)),Monthly!$M1700,(IF(ISNUMBER(FIND("Dec",$C$1)),Monthly!$N1700,))))))))))))))))))))))))))</f>
        <v>0</v>
      </c>
      <c r="F68" s="1138">
        <f>IF(ISNUMBER(FIND("Jan",$C$1)),Monthly!$C1622,(IF(ISNUMBER(FIND("Feb",$C$1)),Monthly!$D1622,((IF(ISNUMBER(FIND("Mar",$C$1)),Monthly!$E1622,(IF(ISNUMBER(FIND("Apr",$C$1)),Monthly!$F1622,((IF(ISNUMBER(FIND("May",$C$1)),Monthly!$G1622,((IF(ISNUMBER(FIND("Jun",$C$1)),Monthly!$H1622,(IF(ISNUMBER(FIND("Jul",$C$1)),Monthly!$I1622,(IF(ISNUMBER(FIND("Aug",$C$1)),Monthly!$J1622,(IF(ISNUMBER(FIND("Sep",$C$1)),Monthly!$K1622,(IF(ISNUMBER(FIND("Oct",$C$1)),Monthly!$L1622,(IF(ISNUMBER(FIND("Nov",$C$1)),Monthly!$M1622,(IF(ISNUMBER(FIND("Dec",$C$1)),Monthly!$N1622,))))))))))))))))))))))))))</f>
        <v>0</v>
      </c>
      <c r="G68" s="1139">
        <f>IF(ISNUMBER(FIND("Jan",$C$1)),Monthly!$C1544,(IF(ISNUMBER(FIND("Feb",$C$1)),Monthly!$D1544,((IF(ISNUMBER(FIND("Mar",$C$1)),Monthly!$E1544,(IF(ISNUMBER(FIND("Apr",$C$1)),Monthly!$F1544,((IF(ISNUMBER(FIND("May",$C$1)),Monthly!$G1544,((IF(ISNUMBER(FIND("Jun",$C$1)),Monthly!$H1544,(IF(ISNUMBER(FIND("Jul",$C$1)),Monthly!$I1544,(IF(ISNUMBER(FIND("Aug",$C$1)),Monthly!$J1544,(IF(ISNUMBER(FIND("Sep",$C$1)),Monthly!$K1544,(IF(ISNUMBER(FIND("Oct",$C$1)),Monthly!$L1544,(IF(ISNUMBER(FIND("Nov",$C$1)),Monthly!$M1544,(IF(ISNUMBER(FIND("Dec",$C$1)),Monthly!$N1544,))))))))))))))))))))))))))</f>
        <v>25</v>
      </c>
      <c r="H68" s="1139">
        <f>IF(ISNUMBER(FIND("Jan",$C$1)),Monthly!$C1467,(IF(ISNUMBER(FIND("Feb",$C$1)),Monthly!$D1467,((IF(ISNUMBER(FIND("Mar",$C$1)),Monthly!$E1467,(IF(ISNUMBER(FIND("Apr",$C$1)),Monthly!$F1467,((IF(ISNUMBER(FIND("May",$C$1)),Monthly!$G1467,((IF(ISNUMBER(FIND("Jun",$C$1)),Monthly!$H1467,(IF(ISNUMBER(FIND("Jul",$C$1)),Monthly!$I1467,(IF(ISNUMBER(FIND("Aug",$C$1)),Monthly!$J1467,(IF(ISNUMBER(FIND("Sep",$C$1)),Monthly!$K1467,(IF(ISNUMBER(FIND("Oct",$C$1)),Monthly!$L1467,(IF(ISNUMBER(FIND("Nov",$C$1)),Monthly!$M1467,(IF(ISNUMBER(FIND("Dec",$C$1)),Monthly!$N1467,))))))))))))))))))))))))))</f>
        <v>28</v>
      </c>
      <c r="I68" s="1139">
        <f>IF(ISNUMBER(FIND("Jan",$C$1)),Monthly!$C1390,(IF(ISNUMBER(FIND("Feb",$C$1)),Monthly!$D1390,((IF(ISNUMBER(FIND("Mar",$C$1)),Monthly!$E1390,(IF(ISNUMBER(FIND("Apr",$C$1)),Monthly!$F1390,((IF(ISNUMBER(FIND("May",$C$1)),Monthly!$G1390,((IF(ISNUMBER(FIND("Jun",$C$1)),Monthly!$H1390,(IF(ISNUMBER(FIND("Jul",$C$1)),Monthly!$I1390,(IF(ISNUMBER(FIND("Aug",$C$1)),Monthly!$J1390,(IF(ISNUMBER(FIND("Sep",$C$1)),Monthly!$K1390,(IF(ISNUMBER(FIND("Oct",$C$1)),Monthly!$L1390,(IF(ISNUMBER(FIND("Nov",$C$1)),Monthly!$M1390,(IF(ISNUMBER(FIND("Dec",$C$1)),Monthly!$N1390,))))))))))))))))))))))))))</f>
        <v>12</v>
      </c>
      <c r="J68" s="1138">
        <f>IF(ISNUMBER(FIND("Jan",$C$1)),Monthly!$C1313,(IF(ISNUMBER(FIND("Feb",$C$1)),Monthly!$D1313,((IF(ISNUMBER(FIND("Mar",$C$1)),Monthly!$E1313,(IF(ISNUMBER(FIND("Apr",$C$1)),Monthly!$F1313,((IF(ISNUMBER(FIND("May",$C$1)),Monthly!$G1313,((IF(ISNUMBER(FIND("Jun",$C$1)),Monthly!$H1313,(IF(ISNUMBER(FIND("Jul",$C$1)),Monthly!$I1313,(IF(ISNUMBER(FIND("Aug",$C$1)),Monthly!$J1313,(IF(ISNUMBER(FIND("Sep",$C$1)),Monthly!$K1313,(IF(ISNUMBER(FIND("Oct",$C$1)),Monthly!$L1313,(IF(ISNUMBER(FIND("Nov",$C$1)),Monthly!$M1313,(IF(ISNUMBER(FIND("Dec",$C$1)),Monthly!$N1313,))))))))))))))))))))))))))</f>
        <v>12</v>
      </c>
      <c r="K68" s="1148">
        <f>IF(ISNUMBER(FIND("Jan",$C$1)),Monthly!$C1235,(IF(ISNUMBER(FIND("Feb",$C$1)),Monthly!$D1235,((IF(ISNUMBER(FIND("Mar",$C$1)),Monthly!$E1235,(IF(ISNUMBER(FIND("Apr",$C$1)),Monthly!$F1235,((IF(ISNUMBER(FIND("May",$C$1)),Monthly!$G1235,((IF(ISNUMBER(FIND("Jun",$C$1)),Monthly!$H1235,(IF(ISNUMBER(FIND("Jul",$C$1)),Monthly!$I1235,(IF(ISNUMBER(FIND("Aug",$C$1)),Monthly!$J1235,(IF(ISNUMBER(FIND("Sep",$C$1)),Monthly!$K1235,(IF(ISNUMBER(FIND("Oct",$C$1)),Monthly!$L1235,(IF(ISNUMBER(FIND("Nov",$C$1)),Monthly!$M1235,(IF(ISNUMBER(FIND("Dec",$C$1)),Monthly!$N1235,))))))))))))))))))))))))))</f>
        <v>30</v>
      </c>
      <c r="L68" s="1139">
        <f>IF(ISNUMBER(FIND("Jan",$C$1)),Monthly!$C1158,(IF(ISNUMBER(FIND("Feb",$C$1)),Monthly!$D1158,((IF(ISNUMBER(FIND("Mar",$C$1)),Monthly!$E1158,(IF(ISNUMBER(FIND("Apr",$C$1)),Monthly!$F1158,((IF(ISNUMBER(FIND("May",$C$1)),Monthly!$G1158,((IF(ISNUMBER(FIND("Jun",$C$1)),Monthly!$H1158,(IF(ISNUMBER(FIND("Jul",$C$1)),Monthly!$I1158,(IF(ISNUMBER(FIND("Aug",$C$1)),Monthly!$J1158,(IF(ISNUMBER(FIND("Sep",$C$1)),Monthly!$K1158,(IF(ISNUMBER(FIND("Oct",$C$1)),Monthly!$L1158,(IF(ISNUMBER(FIND("Nov",$C$1)),Monthly!$M1158,(IF(ISNUMBER(FIND("Dec",$C$1)),Monthly!$N1158,))))))))))))))))))))))))))</f>
        <v>0</v>
      </c>
      <c r="M68" s="1139">
        <f>IF(ISNUMBER(FIND("Jan",$C$1)),Monthly!$C1081,(IF(ISNUMBER(FIND("Feb",$C$1)),Monthly!$D1081,((IF(ISNUMBER(FIND("Mar",$C$1)),Monthly!$E1081,(IF(ISNUMBER(FIND("Apr",$C$1)),Monthly!$F1081,((IF(ISNUMBER(FIND("May",$C$1)),Monthly!$G1081,((IF(ISNUMBER(FIND("Jun",$C$1)),Monthly!$H1081,(IF(ISNUMBER(FIND("Jul",$C$1)),Monthly!$I1081,(IF(ISNUMBER(FIND("Aug",$C$1)),Monthly!$J1081,(IF(ISNUMBER(FIND("Sep",$C$1)),Monthly!$K1081,(IF(ISNUMBER(FIND("Oct",$C$1)),Monthly!$L1081,(IF(ISNUMBER(FIND("Nov",$C$1)),Monthly!$M1081,(IF(ISNUMBER(FIND("Dec",$C$1)),Monthly!$N1081,))))))))))))))))))))))))))</f>
        <v>0</v>
      </c>
      <c r="N68" s="1148">
        <f>IF(ISNUMBER(FIND("Jan",$C$1)),Monthly!$C1004,(IF(ISNUMBER(FIND("Feb",$C$1)),Monthly!$D1004,((IF(ISNUMBER(FIND("Mar",$C$1)),Monthly!$E1004,(IF(ISNUMBER(FIND("Apr",$C$1)),Monthly!$F1004,((IF(ISNUMBER(FIND("May",$C$1)),Monthly!$G1004,((IF(ISNUMBER(FIND("Jun",$C$1)),Monthly!$H1004,(IF(ISNUMBER(FIND("Jul",$C$1)),Monthly!$I1004,(IF(ISNUMBER(FIND("Aug",$C$1)),Monthly!$J1004,(IF(ISNUMBER(FIND("Sep",$C$1)),Monthly!$K1004,(IF(ISNUMBER(FIND("Oct",$C$1)),Monthly!$L1004,(IF(ISNUMBER(FIND("Nov",$C$1)),Monthly!$M1004,(IF(ISNUMBER(FIND("Dec",$C$1)),Monthly!$N1004,))))))))))))))))))))))))))</f>
        <v>0</v>
      </c>
      <c r="O68" s="1148">
        <f>IF(ISNUMBER(FIND("Jan",$C$1)),Monthly!$C928,(IF(ISNUMBER(FIND("Feb",$C$1)),Monthly!$D928,((IF(ISNUMBER(FIND("Mar",$C$1)),Monthly!$E928,(IF(ISNUMBER(FIND("Apr",$C$1)),Monthly!$F928,((IF(ISNUMBER(FIND("May",$C$1)),Monthly!$G928,((IF(ISNUMBER(FIND("Jun",$C$1)),Monthly!$H928,(IF(ISNUMBER(FIND("Jul",$C$1)),Monthly!$I928,(IF(ISNUMBER(FIND("Aug",$C$1)),Monthly!$J928,(IF(ISNUMBER(FIND("Sep",$C$1)),Monthly!$K928,(IF(ISNUMBER(FIND("Oct",$C$1)),Monthly!$L928,(IF(ISNUMBER(FIND("Nov",$C$1)),Monthly!$M928,(IF(ISNUMBER(FIND("Dec",$C$1)),Monthly!$N928,))))))))))))))))))))))))))</f>
        <v>0</v>
      </c>
      <c r="P68" s="1148">
        <f>IF(ISNUMBER(FIND("Jan",$C$1)),Monthly!$C851,(IF(ISNUMBER(FIND("Feb",$C$1)),Monthly!$D851,((IF(ISNUMBER(FIND("Mar",$C$1)),Monthly!$E851,(IF(ISNUMBER(FIND("Apr",$C$1)),Monthly!$F851,((IF(ISNUMBER(FIND("May",$C$1)),Monthly!$G851,((IF(ISNUMBER(FIND("Jun",$C$1)),Monthly!$H851,(IF(ISNUMBER(FIND("Jul",$C$1)),Monthly!$I851,(IF(ISNUMBER(FIND("Aug",$C$1)),Monthly!$J851,(IF(ISNUMBER(FIND("Sep",$C$1)),Monthly!$K851,(IF(ISNUMBER(FIND("Oct",$C$1)),Monthly!$L851,(IF(ISNUMBER(FIND("Nov",$C$1)),Monthly!$M851,(IF(ISNUMBER(FIND("Dec",$C$1)),Monthly!$N851,))))))))))))))))))))))))))</f>
        <v>0</v>
      </c>
      <c r="Q68" s="1142">
        <f>IF(ISNUMBER(FIND("Jan",$C$1)),Monthly!$C774,(IF(ISNUMBER(FIND("Feb",$C$1)),Monthly!$D774,((IF(ISNUMBER(FIND("Mar",$C$1)),Monthly!$E774,(IF(ISNUMBER(FIND("Apr",$C$1)),Monthly!$F774,((IF(ISNUMBER(FIND("May",$C$1)),Monthly!$G774,((IF(ISNUMBER(FIND("Jun",$C$1)),Monthly!$H774,(IF(ISNUMBER(FIND("Jul",$C$1)),Monthly!$I774,(IF(ISNUMBER(FIND("Aug",$C$1)),Monthly!$J774,(IF(ISNUMBER(FIND("Sep",$C$1)),Monthly!$K774,(IF(ISNUMBER(FIND("Oct",$C$1)),Monthly!$L774,(IF(ISNUMBER(FIND("Nov",$C$1)),Monthly!$M774,(IF(ISNUMBER(FIND("Dec",$C$1)),Monthly!$N774,))))))))))))))))))))))))))</f>
        <v>50</v>
      </c>
      <c r="R68" s="1142"/>
      <c r="S68" s="1142"/>
      <c r="T68" s="1142"/>
      <c r="U68" s="1143">
        <f>Monthly!O467</f>
        <v>20.333333333333332</v>
      </c>
      <c r="V68" s="1142">
        <f>Monthly!O382</f>
        <v>0</v>
      </c>
      <c r="W68" s="1142"/>
      <c r="X68" s="1144">
        <f>SUM(C68:Q68)/$E$77</f>
        <v>11.266666666666667</v>
      </c>
      <c r="Y68" s="1154"/>
      <c r="Z68" s="1146"/>
      <c r="AA68" s="1147">
        <f>MAX(C68:Q68)</f>
        <v>50</v>
      </c>
      <c r="AB68" s="1147">
        <f>MIN(C68:Q68)</f>
        <v>0</v>
      </c>
    </row>
    <row r="69" spans="1:28" ht="15" customHeight="1">
      <c r="A69" s="1152"/>
      <c r="B69" s="1151" t="s">
        <v>130</v>
      </c>
      <c r="C69" s="1138">
        <f>IF(ISNUMBER(FIND("Jan",$C$1)),Monthly!$C1856,(IF(ISNUMBER(FIND("Feb",$C$1)),Monthly!$D1856,((IF(ISNUMBER(FIND("Mar",$C$1)),Monthly!$E1856,(IF(ISNUMBER(FIND("Apr",$C$1)),Monthly!$F1856,((IF(ISNUMBER(FIND("May",$C$1)),Monthly!$G1856,((IF(ISNUMBER(FIND("Jun",$C$1)),Monthly!$H1856,(IF(ISNUMBER(FIND("Jul",$C$1)),Monthly!$I1856,(IF(ISNUMBER(FIND("Aug",$C$1)),Monthly!$J1856,(IF(ISNUMBER(FIND("Sep",$C$1)),Monthly!$K1856,(IF(ISNUMBER(FIND("Oct",$C$1)),Monthly!$L1856,(IF(ISNUMBER(FIND("Nov",$C$1)),Monthly!$M1856,(IF(ISNUMBER(FIND("Dec",$C$1)),Monthly!$N1856,))))))))))))))))))))))))))</f>
        <v>0</v>
      </c>
      <c r="D69" s="1139">
        <f>IF(ISNUMBER(FIND("Jan",$C$1)),Monthly!$C1779,(IF(ISNUMBER(FIND("Feb",$C$1)),Monthly!$D1779,((IF(ISNUMBER(FIND("Mar",$C$1)),Monthly!$E1779,(IF(ISNUMBER(FIND("Apr",$C$1)),Monthly!$F1779,((IF(ISNUMBER(FIND("May",$C$1)),Monthly!$G1779,((IF(ISNUMBER(FIND("Jun",$C$1)),Monthly!$H1779,(IF(ISNUMBER(FIND("Jul",$C$1)),Monthly!$I1779,(IF(ISNUMBER(FIND("Aug",$C$1)),Monthly!$J1779,(IF(ISNUMBER(FIND("Sep",$C$1)),Monthly!$K1779,(IF(ISNUMBER(FIND("Oct",$C$1)),Monthly!$L1779,(IF(ISNUMBER(FIND("Nov",$C$1)),Monthly!$M1779,(IF(ISNUMBER(FIND("Dec",$C$1)),Monthly!$N1779,))))))))))))))))))))))))))</f>
        <v>0</v>
      </c>
      <c r="E69" s="1139">
        <f xml:space="preserve">
IF(ISNUMBER(FIND("Jan",$C$1)),Monthly!$C1701,(IF(ISNUMBER(FIND("Feb",$C$1)),Monthly!$D1701,((IF(ISNUMBER(FIND("Mar",$C$1)),Monthly!$E1701,(IF(ISNUMBER(FIND("Apr",$C$1)),Monthly!$F1701,((IF(ISNUMBER(FIND("May",$C$1)),Monthly!$G1701,((IF(ISNUMBER(FIND("Jun",$C$1)),Monthly!$H1701,(IF(ISNUMBER(FIND("Jul",$C$1)),Monthly!$I1701,(IF(ISNUMBER(FIND("Aug",$C$1)),Monthly!$J1701,(IF(ISNUMBER(FIND("Sep",$C$1)),Monthly!$K1701,(IF(ISNUMBER(FIND("Oct",$C$1)),Monthly!$L1701,(IF(ISNUMBER(FIND("Nov",$C$1)),Monthly!$M1701,(IF(ISNUMBER(FIND("Dec",$C$1)),Monthly!$N1701,))))))))))))))))))))))))))</f>
        <v>0</v>
      </c>
      <c r="F69" s="1138">
        <f>IF(ISNUMBER(FIND("Jan",$C$1)),Monthly!$C1623,(IF(ISNUMBER(FIND("Feb",$C$1)),Monthly!$D1623,((IF(ISNUMBER(FIND("Mar",$C$1)),Monthly!$E1623,(IF(ISNUMBER(FIND("Apr",$C$1)),Monthly!$F1623,((IF(ISNUMBER(FIND("May",$C$1)),Monthly!$G1623,((IF(ISNUMBER(FIND("Jun",$C$1)),Monthly!$H1623,(IF(ISNUMBER(FIND("Jul",$C$1)),Monthly!$I1623,(IF(ISNUMBER(FIND("Aug",$C$1)),Monthly!$J1623,(IF(ISNUMBER(FIND("Sep",$C$1)),Monthly!$K1623,(IF(ISNUMBER(FIND("Oct",$C$1)),Monthly!$L1623,(IF(ISNUMBER(FIND("Nov",$C$1)),Monthly!$M1623,(IF(ISNUMBER(FIND("Dec",$C$1)),Monthly!$N1623,))))))))))))))))))))))))))</f>
        <v>0</v>
      </c>
      <c r="G69" s="1139">
        <f>IF(ISNUMBER(FIND("Jan",$C$1)),Monthly!$C1545,(IF(ISNUMBER(FIND("Feb",$C$1)),Monthly!$D1545,((IF(ISNUMBER(FIND("Mar",$C$1)),Monthly!$E1545,(IF(ISNUMBER(FIND("Apr",$C$1)),Monthly!$F1545,((IF(ISNUMBER(FIND("May",$C$1)),Monthly!$G1545,((IF(ISNUMBER(FIND("Jun",$C$1)),Monthly!$H1545,(IF(ISNUMBER(FIND("Jul",$C$1)),Monthly!$I1545,(IF(ISNUMBER(FIND("Aug",$C$1)),Monthly!$J1545,(IF(ISNUMBER(FIND("Sep",$C$1)),Monthly!$K1545,(IF(ISNUMBER(FIND("Oct",$C$1)),Monthly!$L1545,(IF(ISNUMBER(FIND("Nov",$C$1)),Monthly!$M1545,(IF(ISNUMBER(FIND("Dec",$C$1)),Monthly!$N1545,))))))))))))))))))))))))))</f>
        <v>0</v>
      </c>
      <c r="H69" s="1139">
        <f>IF(ISNUMBER(FIND("Jan",$C$1)),Monthly!$C1468,(IF(ISNUMBER(FIND("Feb",$C$1)),Monthly!$D1468,((IF(ISNUMBER(FIND("Mar",$C$1)),Monthly!$E1468,(IF(ISNUMBER(FIND("Apr",$C$1)),Monthly!$F1468,((IF(ISNUMBER(FIND("May",$C$1)),Monthly!$G1468,((IF(ISNUMBER(FIND("Jun",$C$1)),Monthly!$H1468,(IF(ISNUMBER(FIND("Jul",$C$1)),Monthly!$I1468,(IF(ISNUMBER(FIND("Aug",$C$1)),Monthly!$J1468,(IF(ISNUMBER(FIND("Sep",$C$1)),Monthly!$K1468,(IF(ISNUMBER(FIND("Oct",$C$1)),Monthly!$L1468,(IF(ISNUMBER(FIND("Nov",$C$1)),Monthly!$M1468,(IF(ISNUMBER(FIND("Dec",$C$1)),Monthly!$N1468,))))))))))))))))))))))))))</f>
        <v>0</v>
      </c>
      <c r="I69" s="1139">
        <f>IF(ISNUMBER(FIND("Jan",$C$1)),Monthly!$C1391,(IF(ISNUMBER(FIND("Feb",$C$1)),Monthly!$D1391,((IF(ISNUMBER(FIND("Mar",$C$1)),Monthly!$E1391,(IF(ISNUMBER(FIND("Apr",$C$1)),Monthly!$F1391,((IF(ISNUMBER(FIND("May",$C$1)),Monthly!$G1391,((IF(ISNUMBER(FIND("Jun",$C$1)),Monthly!$H1391,(IF(ISNUMBER(FIND("Jul",$C$1)),Monthly!$I1391,(IF(ISNUMBER(FIND("Aug",$C$1)),Monthly!$J1391,(IF(ISNUMBER(FIND("Sep",$C$1)),Monthly!$K1391,(IF(ISNUMBER(FIND("Oct",$C$1)),Monthly!$L1391,(IF(ISNUMBER(FIND("Nov",$C$1)),Monthly!$M1391,(IF(ISNUMBER(FIND("Dec",$C$1)),Monthly!$N1391,))))))))))))))))))))))))))</f>
        <v>0</v>
      </c>
      <c r="J69" s="1138">
        <f>IF(ISNUMBER(FIND("Jan",$C$1)),Monthly!$C1314,(IF(ISNUMBER(FIND("Feb",$C$1)),Monthly!$D1314,((IF(ISNUMBER(FIND("Mar",$C$1)),Monthly!$E1314,(IF(ISNUMBER(FIND("Apr",$C$1)),Monthly!$F1314,((IF(ISNUMBER(FIND("May",$C$1)),Monthly!$G1314,((IF(ISNUMBER(FIND("Jun",$C$1)),Monthly!$H1314,(IF(ISNUMBER(FIND("Jul",$C$1)),Monthly!$I1314,(IF(ISNUMBER(FIND("Aug",$C$1)),Monthly!$J1314,(IF(ISNUMBER(FIND("Sep",$C$1)),Monthly!$K1314,(IF(ISNUMBER(FIND("Oct",$C$1)),Monthly!$L1314,(IF(ISNUMBER(FIND("Nov",$C$1)),Monthly!$M1314,(IF(ISNUMBER(FIND("Dec",$C$1)),Monthly!$N1314,))))))))))))))))))))))))))</f>
        <v>0</v>
      </c>
      <c r="K69" s="1148">
        <f>IF(ISNUMBER(FIND("Jan",$C$1)),Monthly!$C1236,(IF(ISNUMBER(FIND("Feb",$C$1)),Monthly!$D1236,((IF(ISNUMBER(FIND("Mar",$C$1)),Monthly!$E1236,(IF(ISNUMBER(FIND("Apr",$C$1)),Monthly!$F1236,((IF(ISNUMBER(FIND("May",$C$1)),Monthly!$G1236,((IF(ISNUMBER(FIND("Jun",$C$1)),Monthly!$H1236,(IF(ISNUMBER(FIND("Jul",$C$1)),Monthly!$I1236,(IF(ISNUMBER(FIND("Aug",$C$1)),Monthly!$J1236,(IF(ISNUMBER(FIND("Sep",$C$1)),Monthly!$K1236,(IF(ISNUMBER(FIND("Oct",$C$1)),Monthly!$L1236,(IF(ISNUMBER(FIND("Nov",$C$1)),Monthly!$M1236,(IF(ISNUMBER(FIND("Dec",$C$1)),Monthly!$N1236,))))))))))))))))))))))))))</f>
        <v>0</v>
      </c>
      <c r="L69" s="1139">
        <f>IF(ISNUMBER(FIND("Jan",$C$1)),Monthly!$C1159,(IF(ISNUMBER(FIND("Feb",$C$1)),Monthly!$D1159,((IF(ISNUMBER(FIND("Mar",$C$1)),Monthly!$E1159,(IF(ISNUMBER(FIND("Apr",$C$1)),Monthly!$F1159,((IF(ISNUMBER(FIND("May",$C$1)),Monthly!$G1159,((IF(ISNUMBER(FIND("Jun",$C$1)),Monthly!$H1159,(IF(ISNUMBER(FIND("Jul",$C$1)),Monthly!$I1159,(IF(ISNUMBER(FIND("Aug",$C$1)),Monthly!$J1159,(IF(ISNUMBER(FIND("Sep",$C$1)),Monthly!$K1159,(IF(ISNUMBER(FIND("Oct",$C$1)),Monthly!$L1159,(IF(ISNUMBER(FIND("Nov",$C$1)),Monthly!$M1159,(IF(ISNUMBER(FIND("Dec",$C$1)),Monthly!$N1159,))))))))))))))))))))))))))</f>
        <v>0</v>
      </c>
      <c r="M69" s="1139">
        <f>IF(ISNUMBER(FIND("Jan",$C$1)),Monthly!$C1082,(IF(ISNUMBER(FIND("Feb",$C$1)),Monthly!$D1082,((IF(ISNUMBER(FIND("Mar",$C$1)),Monthly!$E1082,(IF(ISNUMBER(FIND("Apr",$C$1)),Monthly!$F1082,((IF(ISNUMBER(FIND("May",$C$1)),Monthly!$G1082,((IF(ISNUMBER(FIND("Jun",$C$1)),Monthly!$H1082,(IF(ISNUMBER(FIND("Jul",$C$1)),Monthly!$I1082,(IF(ISNUMBER(FIND("Aug",$C$1)),Monthly!$J1082,(IF(ISNUMBER(FIND("Sep",$C$1)),Monthly!$K1082,(IF(ISNUMBER(FIND("Oct",$C$1)),Monthly!$L1082,(IF(ISNUMBER(FIND("Nov",$C$1)),Monthly!$M1082,(IF(ISNUMBER(FIND("Dec",$C$1)),Monthly!$N1082,))))))))))))))))))))))))))</f>
        <v>0</v>
      </c>
      <c r="N69" s="1148">
        <f>IF(ISNUMBER(FIND("Jan",$C$1)),Monthly!$C1005,(IF(ISNUMBER(FIND("Feb",$C$1)),Monthly!$D1005,((IF(ISNUMBER(FIND("Mar",$C$1)),Monthly!$E1005,(IF(ISNUMBER(FIND("Apr",$C$1)),Monthly!$F1005,((IF(ISNUMBER(FIND("May",$C$1)),Monthly!$G1005,((IF(ISNUMBER(FIND("Jun",$C$1)),Monthly!$H1005,(IF(ISNUMBER(FIND("Jul",$C$1)),Monthly!$I1005,(IF(ISNUMBER(FIND("Aug",$C$1)),Monthly!$J1005,(IF(ISNUMBER(FIND("Sep",$C$1)),Monthly!$K1005,(IF(ISNUMBER(FIND("Oct",$C$1)),Monthly!$L1005,(IF(ISNUMBER(FIND("Nov",$C$1)),Monthly!$M1005,(IF(ISNUMBER(FIND("Dec",$C$1)),Monthly!$N1005,))))))))))))))))))))))))))</f>
        <v>0</v>
      </c>
      <c r="O69" s="1148">
        <f>IF(ISNUMBER(FIND("Jan",$C$1)),Monthly!$C929,(IF(ISNUMBER(FIND("Feb",$C$1)),Monthly!$D929,((IF(ISNUMBER(FIND("Mar",$C$1)),Monthly!$E929,(IF(ISNUMBER(FIND("Apr",$C$1)),Monthly!$F929,((IF(ISNUMBER(FIND("May",$C$1)),Monthly!$G929,((IF(ISNUMBER(FIND("Jun",$C$1)),Monthly!$H929,(IF(ISNUMBER(FIND("Jul",$C$1)),Monthly!$I929,(IF(ISNUMBER(FIND("Aug",$C$1)),Monthly!$J929,(IF(ISNUMBER(FIND("Sep",$C$1)),Monthly!$K929,(IF(ISNUMBER(FIND("Oct",$C$1)),Monthly!$L929,(IF(ISNUMBER(FIND("Nov",$C$1)),Monthly!$M929,(IF(ISNUMBER(FIND("Dec",$C$1)),Monthly!$N929,))))))))))))))))))))))))))</f>
        <v>0</v>
      </c>
      <c r="P69" s="1148">
        <f>IF(ISNUMBER(FIND("Jan",$C$1)),Monthly!$C852,(IF(ISNUMBER(FIND("Feb",$C$1)),Monthly!$D852,((IF(ISNUMBER(FIND("Mar",$C$1)),Monthly!$E852,(IF(ISNUMBER(FIND("Apr",$C$1)),Monthly!$F852,((IF(ISNUMBER(FIND("May",$C$1)),Monthly!$G852,((IF(ISNUMBER(FIND("Jun",$C$1)),Monthly!$H852,(IF(ISNUMBER(FIND("Jul",$C$1)),Monthly!$I852,(IF(ISNUMBER(FIND("Aug",$C$1)),Monthly!$J852,(IF(ISNUMBER(FIND("Sep",$C$1)),Monthly!$K852,(IF(ISNUMBER(FIND("Oct",$C$1)),Monthly!$L852,(IF(ISNUMBER(FIND("Nov",$C$1)),Monthly!$M852,(IF(ISNUMBER(FIND("Dec",$C$1)),Monthly!$N852,))))))))))))))))))))))))))</f>
        <v>0</v>
      </c>
      <c r="Q69" s="1142">
        <f>IF(ISNUMBER(FIND("Jan",$C$1)),Monthly!$C775,(IF(ISNUMBER(FIND("Feb",$C$1)),Monthly!$D775,((IF(ISNUMBER(FIND("Mar",$C$1)),Monthly!$E775,(IF(ISNUMBER(FIND("Apr",$C$1)),Monthly!$F775,((IF(ISNUMBER(FIND("May",$C$1)),Monthly!$G775,((IF(ISNUMBER(FIND("Jun",$C$1)),Monthly!$H775,(IF(ISNUMBER(FIND("Jul",$C$1)),Monthly!$I775,(IF(ISNUMBER(FIND("Aug",$C$1)),Monthly!$J775,(IF(ISNUMBER(FIND("Sep",$C$1)),Monthly!$K775,(IF(ISNUMBER(FIND("Oct",$C$1)),Monthly!$L775,(IF(ISNUMBER(FIND("Nov",$C$1)),Monthly!$M775,(IF(ISNUMBER(FIND("Dec",$C$1)),Monthly!$N775,))))))))))))))))))))))))))</f>
        <v>0</v>
      </c>
      <c r="R69" s="1142"/>
      <c r="S69" s="1142"/>
      <c r="T69" s="1142"/>
      <c r="U69" s="1143">
        <f>Monthly!O468</f>
        <v>0</v>
      </c>
      <c r="V69" s="1142">
        <f>Monthly!O383</f>
        <v>78.166666666666657</v>
      </c>
      <c r="W69" s="1142"/>
      <c r="X69" s="1144">
        <f>SUM(C69:Q69)/$E$77</f>
        <v>0</v>
      </c>
      <c r="Y69" s="1154"/>
      <c r="Z69" s="1146"/>
      <c r="AA69" s="1147">
        <f>MAX(C69:Q69)</f>
        <v>0</v>
      </c>
      <c r="AB69" s="1147">
        <f>MIN(C69:Q69)</f>
        <v>0</v>
      </c>
    </row>
    <row r="70" spans="1:28" ht="15" customHeight="1">
      <c r="A70" s="2295" t="s">
        <v>286</v>
      </c>
      <c r="B70" s="2296"/>
      <c r="C70" s="2283">
        <f>SUM(C72:C73)</f>
        <v>760</v>
      </c>
      <c r="D70" s="2283">
        <f t="shared" ref="D70:X70" si="35">SUM(D72:D73)</f>
        <v>700</v>
      </c>
      <c r="E70" s="2283">
        <f t="shared" si="35"/>
        <v>1000</v>
      </c>
      <c r="F70" s="2283">
        <f t="shared" si="35"/>
        <v>1500</v>
      </c>
      <c r="G70" s="2283">
        <f t="shared" si="35"/>
        <v>1500</v>
      </c>
      <c r="H70" s="2283">
        <f t="shared" si="35"/>
        <v>0</v>
      </c>
      <c r="I70" s="2283">
        <f t="shared" si="35"/>
        <v>1000</v>
      </c>
      <c r="J70" s="2283">
        <f t="shared" si="35"/>
        <v>760</v>
      </c>
      <c r="K70" s="2283">
        <f t="shared" si="35"/>
        <v>2500</v>
      </c>
      <c r="L70" s="2283">
        <f t="shared" si="35"/>
        <v>2000</v>
      </c>
      <c r="M70" s="2283">
        <f t="shared" si="35"/>
        <v>3000</v>
      </c>
      <c r="N70" s="2283">
        <f t="shared" si="35"/>
        <v>2500</v>
      </c>
      <c r="O70" s="2283">
        <f t="shared" si="35"/>
        <v>1000</v>
      </c>
      <c r="P70" s="2283">
        <f t="shared" si="35"/>
        <v>0</v>
      </c>
      <c r="Q70" s="2283">
        <f t="shared" si="35"/>
        <v>0</v>
      </c>
      <c r="R70" s="2283">
        <f t="shared" ref="R70:W70" si="36">SUM(R72:R73)</f>
        <v>0</v>
      </c>
      <c r="S70" s="2283">
        <f t="shared" si="36"/>
        <v>0</v>
      </c>
      <c r="T70" s="2283">
        <f t="shared" si="36"/>
        <v>0</v>
      </c>
      <c r="U70" s="2283">
        <f t="shared" si="36"/>
        <v>235</v>
      </c>
      <c r="V70" s="2283">
        <f t="shared" si="36"/>
        <v>651.66666666666674</v>
      </c>
      <c r="W70" s="2283">
        <f t="shared" si="36"/>
        <v>0</v>
      </c>
      <c r="X70" s="2283">
        <f t="shared" si="35"/>
        <v>1214.6666666666667</v>
      </c>
      <c r="Y70" s="1154"/>
      <c r="Z70" s="1134"/>
      <c r="AA70" s="2283">
        <f>SUM(AA72:AA73)</f>
        <v>4000</v>
      </c>
      <c r="AB70" s="2283">
        <f>SUM(AB72:AB73)</f>
        <v>0</v>
      </c>
    </row>
    <row r="71" spans="1:28" ht="15" customHeight="1">
      <c r="A71" s="2297"/>
      <c r="B71" s="2298"/>
      <c r="C71" s="2284"/>
      <c r="D71" s="2284"/>
      <c r="E71" s="2284"/>
      <c r="F71" s="2284"/>
      <c r="G71" s="2284"/>
      <c r="H71" s="2284"/>
      <c r="I71" s="2284"/>
      <c r="J71" s="2284"/>
      <c r="K71" s="2284"/>
      <c r="L71" s="2284"/>
      <c r="M71" s="2284"/>
      <c r="N71" s="2284"/>
      <c r="O71" s="2284"/>
      <c r="P71" s="2284"/>
      <c r="Q71" s="2284"/>
      <c r="R71" s="2284"/>
      <c r="S71" s="2284"/>
      <c r="T71" s="2284"/>
      <c r="U71" s="2284"/>
      <c r="V71" s="2284"/>
      <c r="W71" s="2284"/>
      <c r="X71" s="2284"/>
      <c r="Y71" s="1154"/>
      <c r="Z71" s="1135"/>
      <c r="AA71" s="2284"/>
      <c r="AB71" s="2284"/>
    </row>
    <row r="72" spans="1:28" ht="15" customHeight="1">
      <c r="A72" s="2305"/>
      <c r="B72" s="1151" t="s">
        <v>82</v>
      </c>
      <c r="C72" s="1138">
        <f>IF(ISNUMBER(FIND("Jan",$C$1)),Monthly!$C1859,(IF(ISNUMBER(FIND("Feb",$C$1)),Monthly!$D1859,((IF(ISNUMBER(FIND("Mar",$C$1)),Monthly!$E1859,(IF(ISNUMBER(FIND("Apr",$C$1)),Monthly!$F1859,((IF(ISNUMBER(FIND("May",$C$1)),Monthly!$G1859,((IF(ISNUMBER(FIND("Jun",$C$1)),Monthly!$H1859,(IF(ISNUMBER(FIND("Jul",$C$1)),Monthly!$I1859,(IF(ISNUMBER(FIND("Aug",$C$1)),Monthly!$J1859,(IF(ISNUMBER(FIND("Sep",$C$1)),Monthly!$K1859,(IF(ISNUMBER(FIND("Oct",$C$1)),Monthly!$L1859,(IF(ISNUMBER(FIND("Nov",$C$1)),Monthly!$M1859,(IF(ISNUMBER(FIND("Dec",$C$1)),Monthly!$N1859,))))))))))))))))))))))))))</f>
        <v>500</v>
      </c>
      <c r="D72" s="1139">
        <f>IF(ISNUMBER(FIND("Jan",$C$1)),Monthly!$C1782,(IF(ISNUMBER(FIND("Feb",$C$1)),Monthly!$D1782,((IF(ISNUMBER(FIND("Mar",$C$1)),Monthly!$E1782,(IF(ISNUMBER(FIND("Apr",$C$1)),Monthly!$F1782,((IF(ISNUMBER(FIND("May",$C$1)),Monthly!$G1782,((IF(ISNUMBER(FIND("Jun",$C$1)),Monthly!$H1782,(IF(ISNUMBER(FIND("Jul",$C$1)),Monthly!$I1782,(IF(ISNUMBER(FIND("Aug",$C$1)),Monthly!$J1782,(IF(ISNUMBER(FIND("Sep",$C$1)),Monthly!$K1782,(IF(ISNUMBER(FIND("Oct",$C$1)),Monthly!$L1782,(IF(ISNUMBER(FIND("Nov",$C$1)),Monthly!$M1782,(IF(ISNUMBER(FIND("Dec",$C$1)),Monthly!$N1782,))))))))))))))))))))))))))</f>
        <v>500</v>
      </c>
      <c r="E72" s="1139">
        <f xml:space="preserve">
IF(ISNUMBER(FIND("Jan",$C$1)),Monthly!$C1704,(IF(ISNUMBER(FIND("Feb",$C$1)),Monthly!$D1704,((IF(ISNUMBER(FIND("Mar",$C$1)),Monthly!$E1704,(IF(ISNUMBER(FIND("Apr",$C$1)),Monthly!$F1704,((IF(ISNUMBER(FIND("May",$C$1)),Monthly!$G1704,((IF(ISNUMBER(FIND("Jun",$C$1)),Monthly!$H1704,(IF(ISNUMBER(FIND("Jul",$C$1)),Monthly!$I1704,(IF(ISNUMBER(FIND("Aug",$C$1)),Monthly!$J1704,(IF(ISNUMBER(FIND("Sep",$C$1)),Monthly!$K1704,(IF(ISNUMBER(FIND("Oct",$C$1)),Monthly!$L1704,(IF(ISNUMBER(FIND("Nov",$C$1)),Monthly!$M1704,(IF(ISNUMBER(FIND("Dec",$C$1)),Monthly!$N1704,))))))))))))))))))))))))))</f>
        <v>1000</v>
      </c>
      <c r="F72" s="1138">
        <f>IF(ISNUMBER(FIND("Jan",$C$1)),Monthly!$C1626,(IF(ISNUMBER(FIND("Feb",$C$1)),Monthly!$D1626,((IF(ISNUMBER(FIND("Mar",$C$1)),Monthly!$E1626,(IF(ISNUMBER(FIND("Apr",$C$1)),Monthly!$F1626,((IF(ISNUMBER(FIND("May",$C$1)),Monthly!$G1626,((IF(ISNUMBER(FIND("Jun",$C$1)),Monthly!$H1626,(IF(ISNUMBER(FIND("Jul",$C$1)),Monthly!$I1626,(IF(ISNUMBER(FIND("Aug",$C$1)),Monthly!$J1626,(IF(ISNUMBER(FIND("Sep",$C$1)),Monthly!$K1626,(IF(ISNUMBER(FIND("Oct",$C$1)),Monthly!$L1626,(IF(ISNUMBER(FIND("Nov",$C$1)),Monthly!$M1626,(IF(ISNUMBER(FIND("Dec",$C$1)),Monthly!$N1626,))))))))))))))))))))))))))</f>
        <v>1500</v>
      </c>
      <c r="G72" s="1139">
        <f>IF(ISNUMBER(FIND("Jan",$C$1)),Monthly!$C1548,(IF(ISNUMBER(FIND("Feb",$C$1)),Monthly!$D1548,((IF(ISNUMBER(FIND("Mar",$C$1)),Monthly!$E1548,(IF(ISNUMBER(FIND("Apr",$C$1)),Monthly!$F1548,((IF(ISNUMBER(FIND("May",$C$1)),Monthly!$G1548,((IF(ISNUMBER(FIND("Jun",$C$1)),Monthly!$H1548,(IF(ISNUMBER(FIND("Jul",$C$1)),Monthly!$I1548,(IF(ISNUMBER(FIND("Aug",$C$1)),Monthly!$J1548,(IF(ISNUMBER(FIND("Sep",$C$1)),Monthly!$K1548,(IF(ISNUMBER(FIND("Oct",$C$1)),Monthly!$L1548,(IF(ISNUMBER(FIND("Nov",$C$1)),Monthly!$M1548,(IF(ISNUMBER(FIND("Dec",$C$1)),Monthly!$N1548,))))))))))))))))))))))))))</f>
        <v>1500</v>
      </c>
      <c r="H72" s="1139">
        <f>IF(ISNUMBER(FIND("Jan",$C$1)),Monthly!$C1471,(IF(ISNUMBER(FIND("Feb",$C$1)),Monthly!$D1471,((IF(ISNUMBER(FIND("Mar",$C$1)),Monthly!$E1471,(IF(ISNUMBER(FIND("Apr",$C$1)),Monthly!$F1471,((IF(ISNUMBER(FIND("May",$C$1)),Monthly!$G1471,((IF(ISNUMBER(FIND("Jun",$C$1)),Monthly!$H1471,(IF(ISNUMBER(FIND("Jul",$C$1)),Monthly!$I1471,(IF(ISNUMBER(FIND("Aug",$C$1)),Monthly!$J1471,(IF(ISNUMBER(FIND("Sep",$C$1)),Monthly!$K1471,(IF(ISNUMBER(FIND("Oct",$C$1)),Monthly!$L1471,(IF(ISNUMBER(FIND("Nov",$C$1)),Monthly!$M1471,(IF(ISNUMBER(FIND("Dec",$C$1)),Monthly!$N1471,))))))))))))))))))))))))))</f>
        <v>0</v>
      </c>
      <c r="I72" s="1139">
        <f>IF(ISNUMBER(FIND("Jan",$C$1)),Monthly!$C1394,(IF(ISNUMBER(FIND("Feb",$C$1)),Monthly!$D1394,((IF(ISNUMBER(FIND("Mar",$C$1)),Monthly!$E1394,(IF(ISNUMBER(FIND("Apr",$C$1)),Monthly!$F1394,((IF(ISNUMBER(FIND("May",$C$1)),Monthly!$G1394,((IF(ISNUMBER(FIND("Jun",$C$1)),Monthly!$H1394,(IF(ISNUMBER(FIND("Jul",$C$1)),Monthly!$I1394,(IF(ISNUMBER(FIND("Aug",$C$1)),Monthly!$J1394,(IF(ISNUMBER(FIND("Sep",$C$1)),Monthly!$K1394,(IF(ISNUMBER(FIND("Oct",$C$1)),Monthly!$L1394,(IF(ISNUMBER(FIND("Nov",$C$1)),Monthly!$M1394,(IF(ISNUMBER(FIND("Dec",$C$1)),Monthly!$N1394,))))))))))))))))))))))))))</f>
        <v>0</v>
      </c>
      <c r="J72" s="1138">
        <f>IF(ISNUMBER(FIND("Jan",$C$1)),Monthly!$C1317,(IF(ISNUMBER(FIND("Feb",$C$1)),Monthly!$D1317,((IF(ISNUMBER(FIND("Mar",$C$1)),Monthly!$E1317,(IF(ISNUMBER(FIND("Apr",$C$1)),Monthly!$F1317,((IF(ISNUMBER(FIND("May",$C$1)),Monthly!$G1317,((IF(ISNUMBER(FIND("Jun",$C$1)),Monthly!$H1317,(IF(ISNUMBER(FIND("Jul",$C$1)),Monthly!$I1317,(IF(ISNUMBER(FIND("Aug",$C$1)),Monthly!$J1317,(IF(ISNUMBER(FIND("Sep",$C$1)),Monthly!$K1317,(IF(ISNUMBER(FIND("Oct",$C$1)),Monthly!$L1317,(IF(ISNUMBER(FIND("Nov",$C$1)),Monthly!$M1317,(IF(ISNUMBER(FIND("Dec",$C$1)),Monthly!$N1317,))))))))))))))))))))))))))</f>
        <v>500</v>
      </c>
      <c r="K72" s="1148">
        <f>IF(ISNUMBER(FIND("Jan",$C$1)),Monthly!$C1239,(IF(ISNUMBER(FIND("Feb",$C$1)),Monthly!$D1239,((IF(ISNUMBER(FIND("Mar",$C$1)),Monthly!$E1239,(IF(ISNUMBER(FIND("Apr",$C$1)),Monthly!$F1239,((IF(ISNUMBER(FIND("May",$C$1)),Monthly!$G1239,((IF(ISNUMBER(FIND("Jun",$C$1)),Monthly!$H1239,(IF(ISNUMBER(FIND("Jul",$C$1)),Monthly!$I1239,(IF(ISNUMBER(FIND("Aug",$C$1)),Monthly!$J1239,(IF(ISNUMBER(FIND("Sep",$C$1)),Monthly!$K1239,(IF(ISNUMBER(FIND("Oct",$C$1)),Monthly!$L1239,(IF(ISNUMBER(FIND("Nov",$C$1)),Monthly!$M1239,(IF(ISNUMBER(FIND("Dec",$C$1)),Monthly!$N1239,))))))))))))))))))))))))))</f>
        <v>2500</v>
      </c>
      <c r="L72" s="1139">
        <f>IF(ISNUMBER(FIND("Jan",$C$1)),Monthly!$C1162,(IF(ISNUMBER(FIND("Feb",$C$1)),Monthly!$D1162,((IF(ISNUMBER(FIND("Mar",$C$1)),Monthly!$E1162,(IF(ISNUMBER(FIND("Apr",$C$1)),Monthly!$F1162,((IF(ISNUMBER(FIND("May",$C$1)),Monthly!$G1162,((IF(ISNUMBER(FIND("Jun",$C$1)),Monthly!$H1162,(IF(ISNUMBER(FIND("Jul",$C$1)),Monthly!$I1162,(IF(ISNUMBER(FIND("Aug",$C$1)),Monthly!$J1162,(IF(ISNUMBER(FIND("Sep",$C$1)),Monthly!$K1162,(IF(ISNUMBER(FIND("Oct",$C$1)),Monthly!$L1162,(IF(ISNUMBER(FIND("Nov",$C$1)),Monthly!$M1162,(IF(ISNUMBER(FIND("Dec",$C$1)),Monthly!$N1162,))))))))))))))))))))))))))</f>
        <v>2000</v>
      </c>
      <c r="M72" s="1139">
        <f>IF(ISNUMBER(FIND("Jan",$C$1)),Monthly!$C1085,(IF(ISNUMBER(FIND("Feb",$C$1)),Monthly!$D1085,((IF(ISNUMBER(FIND("Mar",$C$1)),Monthly!$E1085,(IF(ISNUMBER(FIND("Apr",$C$1)),Monthly!$F1085,((IF(ISNUMBER(FIND("May",$C$1)),Monthly!$G1085,((IF(ISNUMBER(FIND("Jun",$C$1)),Monthly!$H1085,(IF(ISNUMBER(FIND("Jul",$C$1)),Monthly!$I1085,(IF(ISNUMBER(FIND("Aug",$C$1)),Monthly!$J1085,(IF(ISNUMBER(FIND("Sep",$C$1)),Monthly!$K1085,(IF(ISNUMBER(FIND("Oct",$C$1)),Monthly!$L1085,(IF(ISNUMBER(FIND("Nov",$C$1)),Monthly!$M1085,(IF(ISNUMBER(FIND("Dec",$C$1)),Monthly!$N1085,))))))))))))))))))))))))))</f>
        <v>3000</v>
      </c>
      <c r="N72" s="1148">
        <f>IF(ISNUMBER(FIND("Jan",$C$1)),Monthly!$C1008,(IF(ISNUMBER(FIND("Feb",$C$1)),Monthly!$D1008,((IF(ISNUMBER(FIND("Mar",$C$1)),Monthly!$E1008,(IF(ISNUMBER(FIND("Apr",$C$1)),Monthly!$F1008,((IF(ISNUMBER(FIND("May",$C$1)),Monthly!$G1008,((IF(ISNUMBER(FIND("Jun",$C$1)),Monthly!$H1008,(IF(ISNUMBER(FIND("Jul",$C$1)),Monthly!$I1008,(IF(ISNUMBER(FIND("Aug",$C$1)),Monthly!$J1008,(IF(ISNUMBER(FIND("Sep",$C$1)),Monthly!$K1008,(IF(ISNUMBER(FIND("Oct",$C$1)),Monthly!$L1008,(IF(ISNUMBER(FIND("Nov",$C$1)),Monthly!$M1008,(IF(ISNUMBER(FIND("Dec",$C$1)),Monthly!$N1008,))))))))))))))))))))))))))</f>
        <v>2500</v>
      </c>
      <c r="O72" s="1148">
        <f>IF(ISNUMBER(FIND("Jan",$C$1)),Monthly!$C932,(IF(ISNUMBER(FIND("Feb",$C$1)),Monthly!$D932,((IF(ISNUMBER(FIND("Mar",$C$1)),Monthly!$E932,(IF(ISNUMBER(FIND("Apr",$C$1)),Monthly!$F932,((IF(ISNUMBER(FIND("May",$C$1)),Monthly!$G932,((IF(ISNUMBER(FIND("Jun",$C$1)),Monthly!$H932,(IF(ISNUMBER(FIND("Jul",$C$1)),Monthly!$I932,(IF(ISNUMBER(FIND("Aug",$C$1)),Monthly!$J932,(IF(ISNUMBER(FIND("Sep",$C$1)),Monthly!$K932,(IF(ISNUMBER(FIND("Oct",$C$1)),Monthly!$L932,(IF(ISNUMBER(FIND("Nov",$C$1)),Monthly!$M932,(IF(ISNUMBER(FIND("Dec",$C$1)),Monthly!$N932,))))))))))))))))))))))))))</f>
        <v>1000</v>
      </c>
      <c r="P72" s="1148">
        <f>IF(ISNUMBER(FIND("Jan",$C$1)),Monthly!$C855,(IF(ISNUMBER(FIND("Feb",$C$1)),Monthly!$D855,((IF(ISNUMBER(FIND("Mar",$C$1)),Monthly!$E855,(IF(ISNUMBER(FIND("Apr",$C$1)),Monthly!$F855,((IF(ISNUMBER(FIND("May",$C$1)),Monthly!$G855,((IF(ISNUMBER(FIND("Jun",$C$1)),Monthly!$H855,(IF(ISNUMBER(FIND("Jul",$C$1)),Monthly!$I855,(IF(ISNUMBER(FIND("Aug",$C$1)),Monthly!$J855,(IF(ISNUMBER(FIND("Sep",$C$1)),Monthly!$K855,(IF(ISNUMBER(FIND("Oct",$C$1)),Monthly!$L855,(IF(ISNUMBER(FIND("Nov",$C$1)),Monthly!$M855,(IF(ISNUMBER(FIND("Dec",$C$1)),Monthly!$N855,))))))))))))))))))))))))))</f>
        <v>0</v>
      </c>
      <c r="Q72" s="1142">
        <f>IF(ISNUMBER(FIND("Jan",$C$1)),Monthly!$C778,(IF(ISNUMBER(FIND("Feb",$C$1)),Monthly!$D778,((IF(ISNUMBER(FIND("Mar",$C$1)),Monthly!$E778,(IF(ISNUMBER(FIND("Apr",$C$1)),Monthly!$F778,((IF(ISNUMBER(FIND("May",$C$1)),Monthly!$G778,((IF(ISNUMBER(FIND("Jun",$C$1)),Monthly!$H778,(IF(ISNUMBER(FIND("Jul",$C$1)),Monthly!$I778,(IF(ISNUMBER(FIND("Aug",$C$1)),Monthly!$J778,(IF(ISNUMBER(FIND("Sep",$C$1)),Monthly!$K778,(IF(ISNUMBER(FIND("Oct",$C$1)),Monthly!$L778,(IF(ISNUMBER(FIND("Nov",$C$1)),Monthly!$M778,(IF(ISNUMBER(FIND("Dec",$C$1)),Monthly!$N778,))))))))))))))))))))))))))</f>
        <v>0</v>
      </c>
      <c r="R72" s="1142"/>
      <c r="S72" s="1142"/>
      <c r="T72" s="1142"/>
      <c r="U72" s="1142">
        <f>Monthly!N386</f>
        <v>235</v>
      </c>
      <c r="V72" s="1142">
        <f>Monthly!O386</f>
        <v>235</v>
      </c>
      <c r="W72" s="1142"/>
      <c r="X72" s="1144">
        <f>SUM(C72:Q72)/$E$77</f>
        <v>1100</v>
      </c>
      <c r="Y72" s="1154"/>
      <c r="Z72" s="1146"/>
      <c r="AA72" s="1147">
        <f>MAX(C72:Q72)</f>
        <v>3000</v>
      </c>
      <c r="AB72" s="1147">
        <f>MIN(C72:Q72)</f>
        <v>0</v>
      </c>
    </row>
    <row r="73" spans="1:28" ht="15" customHeight="1">
      <c r="A73" s="2307"/>
      <c r="B73" s="1151" t="s">
        <v>83</v>
      </c>
      <c r="C73" s="1138">
        <f>IF(ISNUMBER(FIND("Jan",$C$1)),Monthly!$C1860,(IF(ISNUMBER(FIND("Feb",$C$1)),Monthly!$D1860,((IF(ISNUMBER(FIND("Mar",$C$1)),Monthly!$E1860,(IF(ISNUMBER(FIND("Apr",$C$1)),Monthly!$F1860,((IF(ISNUMBER(FIND("May",$C$1)),Monthly!$G1860,((IF(ISNUMBER(FIND("Jun",$C$1)),Monthly!$H1860,(IF(ISNUMBER(FIND("Jul",$C$1)),Monthly!$I1860,(IF(ISNUMBER(FIND("Aug",$C$1)),Monthly!$J1860,(IF(ISNUMBER(FIND("Sep",$C$1)),Monthly!$K1860,(IF(ISNUMBER(FIND("Oct",$C$1)),Monthly!$L1860,(IF(ISNUMBER(FIND("Nov",$C$1)),Monthly!$M1860,(IF(ISNUMBER(FIND("Dec",$C$1)),Monthly!$N1860,))))))))))))))))))))))))))</f>
        <v>260</v>
      </c>
      <c r="D73" s="1139">
        <f>IF(ISNUMBER(FIND("Jan",$C$1)),Monthly!$C1783,(IF(ISNUMBER(FIND("Feb",$C$1)),Monthly!$D1783,((IF(ISNUMBER(FIND("Mar",$C$1)),Monthly!$E1783,(IF(ISNUMBER(FIND("Apr",$C$1)),Monthly!$F1783,((IF(ISNUMBER(FIND("May",$C$1)),Monthly!$G1783,((IF(ISNUMBER(FIND("Jun",$C$1)),Monthly!$H1783,(IF(ISNUMBER(FIND("Jul",$C$1)),Monthly!$I1783,(IF(ISNUMBER(FIND("Aug",$C$1)),Monthly!$J1783,(IF(ISNUMBER(FIND("Sep",$C$1)),Monthly!$K1783,(IF(ISNUMBER(FIND("Oct",$C$1)),Monthly!$L1783,(IF(ISNUMBER(FIND("Nov",$C$1)),Monthly!$M1783,(IF(ISNUMBER(FIND("Dec",$C$1)),Monthly!$N1783,))))))))))))))))))))))))))</f>
        <v>200</v>
      </c>
      <c r="E73" s="1139">
        <f xml:space="preserve">
IF(ISNUMBER(FIND("Jan",$C$1)),Monthly!$C1705,(IF(ISNUMBER(FIND("Feb",$C$1)),Monthly!$D1705,((IF(ISNUMBER(FIND("Mar",$C$1)),Monthly!$E1705,(IF(ISNUMBER(FIND("Apr",$C$1)),Monthly!$F1705,((IF(ISNUMBER(FIND("May",$C$1)),Monthly!$G1705,((IF(ISNUMBER(FIND("Jun",$C$1)),Monthly!$H1705,(IF(ISNUMBER(FIND("Jul",$C$1)),Monthly!$I1705,(IF(ISNUMBER(FIND("Aug",$C$1)),Monthly!$J1705,(IF(ISNUMBER(FIND("Sep",$C$1)),Monthly!$K1705,(IF(ISNUMBER(FIND("Oct",$C$1)),Monthly!$L1705,(IF(ISNUMBER(FIND("Nov",$C$1)),Monthly!$M1705,(IF(ISNUMBER(FIND("Dec",$C$1)),Monthly!$N1705,))))))))))))))))))))))))))</f>
        <v>0</v>
      </c>
      <c r="F73" s="1138">
        <f>IF(ISNUMBER(FIND("Jan",$C$1)),Monthly!$C1627,(IF(ISNUMBER(FIND("Feb",$C$1)),Monthly!$D1627,((IF(ISNUMBER(FIND("Mar",$C$1)),Monthly!$E1627,(IF(ISNUMBER(FIND("Apr",$C$1)),Monthly!$F1627,((IF(ISNUMBER(FIND("May",$C$1)),Monthly!$G1627,((IF(ISNUMBER(FIND("Jun",$C$1)),Monthly!$H1627,(IF(ISNUMBER(FIND("Jul",$C$1)),Monthly!$I1627,(IF(ISNUMBER(FIND("Aug",$C$1)),Monthly!$J1627,(IF(ISNUMBER(FIND("Sep",$C$1)),Monthly!$K1627,(IF(ISNUMBER(FIND("Oct",$C$1)),Monthly!$L1627,(IF(ISNUMBER(FIND("Nov",$C$1)),Monthly!$M1627,(IF(ISNUMBER(FIND("Dec",$C$1)),Monthly!$N1627,))))))))))))))))))))))))))</f>
        <v>0</v>
      </c>
      <c r="G73" s="1139">
        <f>IF(ISNUMBER(FIND("Jan",$C$1)),Monthly!$C1549,(IF(ISNUMBER(FIND("Feb",$C$1)),Monthly!$D1549,((IF(ISNUMBER(FIND("Mar",$C$1)),Monthly!$E1549,(IF(ISNUMBER(FIND("Apr",$C$1)),Monthly!$F1549,((IF(ISNUMBER(FIND("May",$C$1)),Monthly!$G1549,((IF(ISNUMBER(FIND("Jun",$C$1)),Monthly!$H1549,(IF(ISNUMBER(FIND("Jul",$C$1)),Monthly!$I1549,(IF(ISNUMBER(FIND("Aug",$C$1)),Monthly!$J1549,(IF(ISNUMBER(FIND("Sep",$C$1)),Monthly!$K1549,(IF(ISNUMBER(FIND("Oct",$C$1)),Monthly!$L1549,(IF(ISNUMBER(FIND("Nov",$C$1)),Monthly!$M1549,(IF(ISNUMBER(FIND("Dec",$C$1)),Monthly!$N1549,))))))))))))))))))))))))))</f>
        <v>0</v>
      </c>
      <c r="H73" s="1139">
        <f>IF(ISNUMBER(FIND("Jan",$C$1)),Monthly!$C1472,(IF(ISNUMBER(FIND("Feb",$C$1)),Monthly!$D1472,((IF(ISNUMBER(FIND("Mar",$C$1)),Monthly!$E1472,(IF(ISNUMBER(FIND("Apr",$C$1)),Monthly!$F1472,((IF(ISNUMBER(FIND("May",$C$1)),Monthly!$G1472,((IF(ISNUMBER(FIND("Jun",$C$1)),Monthly!$H1472,(IF(ISNUMBER(FIND("Jul",$C$1)),Monthly!$I1472,(IF(ISNUMBER(FIND("Aug",$C$1)),Monthly!$J1472,(IF(ISNUMBER(FIND("Sep",$C$1)),Monthly!$K1472,(IF(ISNUMBER(FIND("Oct",$C$1)),Monthly!$L1472,(IF(ISNUMBER(FIND("Nov",$C$1)),Monthly!$M1472,(IF(ISNUMBER(FIND("Dec",$C$1)),Monthly!$N1472,))))))))))))))))))))))))))</f>
        <v>0</v>
      </c>
      <c r="I73" s="1139">
        <f>IF(ISNUMBER(FIND("Jan",$C$1)),Monthly!$C1395,(IF(ISNUMBER(FIND("Feb",$C$1)),Monthly!$D1395,((IF(ISNUMBER(FIND("Mar",$C$1)),Monthly!$E1395,(IF(ISNUMBER(FIND("Apr",$C$1)),Monthly!$F1395,((IF(ISNUMBER(FIND("May",$C$1)),Monthly!$G1395,((IF(ISNUMBER(FIND("Jun",$C$1)),Monthly!$H1395,(IF(ISNUMBER(FIND("Jul",$C$1)),Monthly!$I1395,(IF(ISNUMBER(FIND("Aug",$C$1)),Monthly!$J1395,(IF(ISNUMBER(FIND("Sep",$C$1)),Monthly!$K1395,(IF(ISNUMBER(FIND("Oct",$C$1)),Monthly!$L1395,(IF(ISNUMBER(FIND("Nov",$C$1)),Monthly!$M1395,(IF(ISNUMBER(FIND("Dec",$C$1)),Monthly!$N1395,))))))))))))))))))))))))))</f>
        <v>1000</v>
      </c>
      <c r="J73" s="1138">
        <f>IF(ISNUMBER(FIND("Jan",$C$1)),Monthly!$C1318,(IF(ISNUMBER(FIND("Feb",$C$1)),Monthly!$D1318,((IF(ISNUMBER(FIND("Mar",$C$1)),Monthly!$E1318,(IF(ISNUMBER(FIND("Apr",$C$1)),Monthly!$F1318,((IF(ISNUMBER(FIND("May",$C$1)),Monthly!$G1318,((IF(ISNUMBER(FIND("Jun",$C$1)),Monthly!$H1318,(IF(ISNUMBER(FIND("Jul",$C$1)),Monthly!$I1318,(IF(ISNUMBER(FIND("Aug",$C$1)),Monthly!$J1318,(IF(ISNUMBER(FIND("Sep",$C$1)),Monthly!$K1318,(IF(ISNUMBER(FIND("Oct",$C$1)),Monthly!$L1318,(IF(ISNUMBER(FIND("Nov",$C$1)),Monthly!$M1318,(IF(ISNUMBER(FIND("Dec",$C$1)),Monthly!$N1318,))))))))))))))))))))))))))</f>
        <v>260</v>
      </c>
      <c r="K73" s="1148">
        <f>IF(ISNUMBER(FIND("Jan",$C$1)),Monthly!$C1240,(IF(ISNUMBER(FIND("Feb",$C$1)),Monthly!$D1240,((IF(ISNUMBER(FIND("Mar",$C$1)),Monthly!$E1240,(IF(ISNUMBER(FIND("Apr",$C$1)),Monthly!$F1240,((IF(ISNUMBER(FIND("May",$C$1)),Monthly!$G1240,((IF(ISNUMBER(FIND("Jun",$C$1)),Monthly!$H1240,(IF(ISNUMBER(FIND("Jul",$C$1)),Monthly!$I1240,(IF(ISNUMBER(FIND("Aug",$C$1)),Monthly!$J1240,(IF(ISNUMBER(FIND("Sep",$C$1)),Monthly!$K1240,(IF(ISNUMBER(FIND("Oct",$C$1)),Monthly!$L1240,(IF(ISNUMBER(FIND("Nov",$C$1)),Monthly!$M1240,(IF(ISNUMBER(FIND("Dec",$C$1)),Monthly!$N1240,))))))))))))))))))))))))))</f>
        <v>0</v>
      </c>
      <c r="L73" s="1139">
        <f>IF(ISNUMBER(FIND("Jan",$C$1)),Monthly!$C1163,(IF(ISNUMBER(FIND("Feb",$C$1)),Monthly!$D1163,((IF(ISNUMBER(FIND("Mar",$C$1)),Monthly!$E1163,(IF(ISNUMBER(FIND("Apr",$C$1)),Monthly!$F1163,((IF(ISNUMBER(FIND("May",$C$1)),Monthly!$G1163,((IF(ISNUMBER(FIND("Jun",$C$1)),Monthly!$H1163,(IF(ISNUMBER(FIND("Jul",$C$1)),Monthly!$I1163,(IF(ISNUMBER(FIND("Aug",$C$1)),Monthly!$J1163,(IF(ISNUMBER(FIND("Sep",$C$1)),Monthly!$K1163,(IF(ISNUMBER(FIND("Oct",$C$1)),Monthly!$L1163,(IF(ISNUMBER(FIND("Nov",$C$1)),Monthly!$M1163,(IF(ISNUMBER(FIND("Dec",$C$1)),Monthly!$N1163,))))))))))))))))))))))))))</f>
        <v>0</v>
      </c>
      <c r="M73" s="1139">
        <f>IF(ISNUMBER(FIND("Jan",$C$1)),Monthly!$C1086,(IF(ISNUMBER(FIND("Feb",$C$1)),Monthly!$D1086,((IF(ISNUMBER(FIND("Mar",$C$1)),Monthly!$E1086,(IF(ISNUMBER(FIND("Apr",$C$1)),Monthly!$F1086,((IF(ISNUMBER(FIND("May",$C$1)),Monthly!$G1086,((IF(ISNUMBER(FIND("Jun",$C$1)),Monthly!$H1086,(IF(ISNUMBER(FIND("Jul",$C$1)),Monthly!$I1086,(IF(ISNUMBER(FIND("Aug",$C$1)),Monthly!$J1086,(IF(ISNUMBER(FIND("Sep",$C$1)),Monthly!$K1086,(IF(ISNUMBER(FIND("Oct",$C$1)),Monthly!$L1086,(IF(ISNUMBER(FIND("Nov",$C$1)),Monthly!$M1086,(IF(ISNUMBER(FIND("Dec",$C$1)),Monthly!$N1086,))))))))))))))))))))))))))</f>
        <v>0</v>
      </c>
      <c r="N73" s="1148">
        <f>IF(ISNUMBER(FIND("Jan",$C$1)),Monthly!$C1009,(IF(ISNUMBER(FIND("Feb",$C$1)),Monthly!$D1009,((IF(ISNUMBER(FIND("Mar",$C$1)),Monthly!$E1009,(IF(ISNUMBER(FIND("Apr",$C$1)),Monthly!$F1009,((IF(ISNUMBER(FIND("May",$C$1)),Monthly!$G1009,((IF(ISNUMBER(FIND("Jun",$C$1)),Monthly!$H1009,(IF(ISNUMBER(FIND("Jul",$C$1)),Monthly!$I1009,(IF(ISNUMBER(FIND("Aug",$C$1)),Monthly!$J1009,(IF(ISNUMBER(FIND("Sep",$C$1)),Monthly!$K1009,(IF(ISNUMBER(FIND("Oct",$C$1)),Monthly!$L1009,(IF(ISNUMBER(FIND("Nov",$C$1)),Monthly!$M1009,(IF(ISNUMBER(FIND("Dec",$C$1)),Monthly!$N1009,))))))))))))))))))))))))))</f>
        <v>0</v>
      </c>
      <c r="O73" s="1148">
        <f>IF(ISNUMBER(FIND("Jan",$C$1)),Monthly!$C933,(IF(ISNUMBER(FIND("Feb",$C$1)),Monthly!$D933,((IF(ISNUMBER(FIND("Mar",$C$1)),Monthly!$E933,(IF(ISNUMBER(FIND("Apr",$C$1)),Monthly!$F933,((IF(ISNUMBER(FIND("May",$C$1)),Monthly!$G933,((IF(ISNUMBER(FIND("Jun",$C$1)),Monthly!$H933,(IF(ISNUMBER(FIND("Jul",$C$1)),Monthly!$I933,(IF(ISNUMBER(FIND("Aug",$C$1)),Monthly!$J933,(IF(ISNUMBER(FIND("Sep",$C$1)),Monthly!$K933,(IF(ISNUMBER(FIND("Oct",$C$1)),Monthly!$L933,(IF(ISNUMBER(FIND("Nov",$C$1)),Monthly!$M933,(IF(ISNUMBER(FIND("Dec",$C$1)),Monthly!$N933,))))))))))))))))))))))))))</f>
        <v>0</v>
      </c>
      <c r="P73" s="1148">
        <f>IF(ISNUMBER(FIND("Jan",$C$1)),Monthly!$C856,(IF(ISNUMBER(FIND("Feb",$C$1)),Monthly!$D856,((IF(ISNUMBER(FIND("Mar",$C$1)),Monthly!$E856,(IF(ISNUMBER(FIND("Apr",$C$1)),Monthly!$F856,((IF(ISNUMBER(FIND("May",$C$1)),Monthly!$G856,((IF(ISNUMBER(FIND("Jun",$C$1)),Monthly!$H856,(IF(ISNUMBER(FIND("Jul",$C$1)),Monthly!$I856,(IF(ISNUMBER(FIND("Aug",$C$1)),Monthly!$J856,(IF(ISNUMBER(FIND("Sep",$C$1)),Monthly!$K856,(IF(ISNUMBER(FIND("Oct",$C$1)),Monthly!$L856,(IF(ISNUMBER(FIND("Nov",$C$1)),Monthly!$M856,(IF(ISNUMBER(FIND("Dec",$C$1)),Monthly!$N856,))))))))))))))))))))))))))</f>
        <v>0</v>
      </c>
      <c r="Q73" s="1142">
        <f>IF(ISNUMBER(FIND("Jan",$C$1)),Monthly!$C779,(IF(ISNUMBER(FIND("Feb",$C$1)),Monthly!$D779,((IF(ISNUMBER(FIND("Mar",$C$1)),Monthly!$E779,(IF(ISNUMBER(FIND("Apr",$C$1)),Monthly!$F779,((IF(ISNUMBER(FIND("May",$C$1)),Monthly!$G779,((IF(ISNUMBER(FIND("Jun",$C$1)),Monthly!$H779,(IF(ISNUMBER(FIND("Jul",$C$1)),Monthly!$I779,(IF(ISNUMBER(FIND("Aug",$C$1)),Monthly!$J779,(IF(ISNUMBER(FIND("Sep",$C$1)),Monthly!$K779,(IF(ISNUMBER(FIND("Oct",$C$1)),Monthly!$L779,(IF(ISNUMBER(FIND("Nov",$C$1)),Monthly!$M779,(IF(ISNUMBER(FIND("Dec",$C$1)),Monthly!$N779,))))))))))))))))))))))))))</f>
        <v>0</v>
      </c>
      <c r="R73" s="1142"/>
      <c r="S73" s="1142"/>
      <c r="T73" s="1142"/>
      <c r="U73" s="1142">
        <f>Monthly!N387</f>
        <v>0</v>
      </c>
      <c r="V73" s="1142">
        <f>Monthly!O387</f>
        <v>416.66666666666669</v>
      </c>
      <c r="W73" s="1142"/>
      <c r="X73" s="1144">
        <f>SUM(C73:Q73)/$E$77</f>
        <v>114.66666666666667</v>
      </c>
      <c r="Y73" s="1154"/>
      <c r="Z73" s="1146"/>
      <c r="AA73" s="1147">
        <f>MAX(C73:Q73)</f>
        <v>1000</v>
      </c>
      <c r="AB73" s="1147">
        <f>MIN(C73:Q73)</f>
        <v>0</v>
      </c>
    </row>
    <row r="74" spans="1:28" ht="15" customHeight="1">
      <c r="A74" s="1155" t="s">
        <v>437</v>
      </c>
      <c r="B74" s="1156"/>
      <c r="C74" s="1153">
        <f>C4+C18+C26+C32+C36+C46+C55+C59+ C66+ C65+C70</f>
        <v>5549.25</v>
      </c>
      <c r="D74" s="1153">
        <f t="shared" ref="D74:AB74" si="37">D4+D18+D26+D32+D36+D46+D55+D59+ D66+ D65+D70</f>
        <v>4857.166666666667</v>
      </c>
      <c r="E74" s="1153">
        <f t="shared" si="37"/>
        <v>5164.083333333333</v>
      </c>
      <c r="F74" s="1153">
        <f t="shared" si="37"/>
        <v>6491.583333333333</v>
      </c>
      <c r="G74" s="1153">
        <f t="shared" si="37"/>
        <v>6183.666666666667</v>
      </c>
      <c r="H74" s="1153">
        <f t="shared" si="37"/>
        <v>5084.0344142318108</v>
      </c>
      <c r="I74" s="1153">
        <f t="shared" si="37"/>
        <v>8362.6522217745442</v>
      </c>
      <c r="J74" s="1153">
        <f t="shared" si="37"/>
        <v>7833.0332331258096</v>
      </c>
      <c r="K74" s="1153">
        <f t="shared" si="37"/>
        <v>10236.699899792477</v>
      </c>
      <c r="L74" s="1153">
        <f t="shared" si="37"/>
        <v>11229.533233125811</v>
      </c>
      <c r="M74" s="1153">
        <f t="shared" si="37"/>
        <v>10874.25</v>
      </c>
      <c r="N74" s="1153">
        <f t="shared" si="37"/>
        <v>11906.166666666666</v>
      </c>
      <c r="O74" s="1153">
        <f t="shared" si="37"/>
        <v>9131.4166666666679</v>
      </c>
      <c r="P74" s="1153">
        <f t="shared" si="37"/>
        <v>9327.25</v>
      </c>
      <c r="Q74" s="1153">
        <f t="shared" si="37"/>
        <v>10473.5</v>
      </c>
      <c r="R74" s="1153">
        <f t="shared" si="37"/>
        <v>0</v>
      </c>
      <c r="S74" s="1153">
        <f t="shared" si="37"/>
        <v>0</v>
      </c>
      <c r="T74" s="1153">
        <f t="shared" si="37"/>
        <v>0</v>
      </c>
      <c r="U74" s="1153">
        <f t="shared" ca="1" si="37"/>
        <v>19056.51595610844</v>
      </c>
      <c r="V74" s="1153">
        <f t="shared" ca="1" si="37"/>
        <v>22405.410481309336</v>
      </c>
      <c r="W74" s="1153">
        <f t="shared" si="37"/>
        <v>0</v>
      </c>
      <c r="X74" s="1153">
        <f t="shared" si="37"/>
        <v>8180.2857556922527</v>
      </c>
      <c r="Y74" s="1154"/>
      <c r="Z74" s="1157"/>
      <c r="AA74" s="1153">
        <f t="shared" si="37"/>
        <v>24494.083333333332</v>
      </c>
      <c r="AB74" s="1153">
        <f t="shared" si="37"/>
        <v>1976.1666666666667</v>
      </c>
    </row>
    <row r="75" spans="1:28" ht="15" customHeight="1">
      <c r="H75" s="145"/>
      <c r="J75" s="14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</row>
    <row r="76" spans="1:28" ht="15" customHeight="1">
      <c r="H76" s="145"/>
      <c r="J76" s="14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</row>
    <row r="77" spans="1:28" ht="15" customHeight="1">
      <c r="D77" s="145" t="s">
        <v>461</v>
      </c>
      <c r="E77" s="145">
        <v>15</v>
      </c>
      <c r="F77" s="145">
        <v>2017</v>
      </c>
      <c r="H77" s="145"/>
      <c r="J77" s="14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  <c r="AB77" s="269"/>
    </row>
    <row r="117" spans="2:2" ht="15" customHeight="1">
      <c r="B117" s="145" t="s">
        <v>309</v>
      </c>
    </row>
    <row r="118" spans="2:2" ht="15" customHeight="1">
      <c r="B118" s="145" t="s">
        <v>311</v>
      </c>
    </row>
    <row r="119" spans="2:2" ht="15" customHeight="1">
      <c r="B119" s="145" t="s">
        <v>312</v>
      </c>
    </row>
    <row r="120" spans="2:2" ht="15" customHeight="1">
      <c r="B120" s="145" t="s">
        <v>313</v>
      </c>
    </row>
    <row r="121" spans="2:2" ht="15" customHeight="1">
      <c r="B121" s="145" t="s">
        <v>314</v>
      </c>
    </row>
    <row r="122" spans="2:2" ht="15" customHeight="1">
      <c r="B122" s="145" t="s">
        <v>315</v>
      </c>
    </row>
    <row r="123" spans="2:2" ht="15" customHeight="1">
      <c r="B123" s="145" t="s">
        <v>316</v>
      </c>
    </row>
    <row r="124" spans="2:2" ht="15" customHeight="1">
      <c r="B124" s="145" t="s">
        <v>317</v>
      </c>
    </row>
    <row r="125" spans="2:2" ht="15" customHeight="1">
      <c r="B125" s="145" t="s">
        <v>318</v>
      </c>
    </row>
    <row r="126" spans="2:2" ht="15" customHeight="1">
      <c r="B126" s="145" t="s">
        <v>319</v>
      </c>
    </row>
    <row r="127" spans="2:2" ht="15" customHeight="1">
      <c r="B127" s="145" t="s">
        <v>320</v>
      </c>
    </row>
    <row r="128" spans="2:2" ht="15" customHeight="1">
      <c r="B128" s="145" t="s">
        <v>321</v>
      </c>
    </row>
  </sheetData>
  <mergeCells count="241">
    <mergeCell ref="S55:S56"/>
    <mergeCell ref="T55:T56"/>
    <mergeCell ref="U55:U56"/>
    <mergeCell ref="V55:V56"/>
    <mergeCell ref="W55:W56"/>
    <mergeCell ref="S70:S71"/>
    <mergeCell ref="T70:T71"/>
    <mergeCell ref="U70:U71"/>
    <mergeCell ref="V70:V71"/>
    <mergeCell ref="W70:W71"/>
    <mergeCell ref="U36:U37"/>
    <mergeCell ref="V36:V37"/>
    <mergeCell ref="W36:W37"/>
    <mergeCell ref="S46:S47"/>
    <mergeCell ref="T46:T47"/>
    <mergeCell ref="U46:U47"/>
    <mergeCell ref="V46:V47"/>
    <mergeCell ref="W46:W47"/>
    <mergeCell ref="W4:W5"/>
    <mergeCell ref="W18:W19"/>
    <mergeCell ref="W26:W27"/>
    <mergeCell ref="W32:W33"/>
    <mergeCell ref="V4:V5"/>
    <mergeCell ref="V18:V19"/>
    <mergeCell ref="V26:V27"/>
    <mergeCell ref="S4:S5"/>
    <mergeCell ref="T4:T5"/>
    <mergeCell ref="U4:U5"/>
    <mergeCell ref="S18:S19"/>
    <mergeCell ref="T18:T19"/>
    <mergeCell ref="U18:U19"/>
    <mergeCell ref="S26:S27"/>
    <mergeCell ref="T26:T27"/>
    <mergeCell ref="U26:U27"/>
    <mergeCell ref="X70:X71"/>
    <mergeCell ref="A72:A73"/>
    <mergeCell ref="AA46:AA47"/>
    <mergeCell ref="AB46:AB47"/>
    <mergeCell ref="AA55:AA56"/>
    <mergeCell ref="AB55:AB56"/>
    <mergeCell ref="AA59:AA60"/>
    <mergeCell ref="AB59:AB60"/>
    <mergeCell ref="AA65:AA66"/>
    <mergeCell ref="AB65:AB66"/>
    <mergeCell ref="AA70:AA71"/>
    <mergeCell ref="AB70:AB71"/>
    <mergeCell ref="K65:K66"/>
    <mergeCell ref="L65:L66"/>
    <mergeCell ref="M65:M66"/>
    <mergeCell ref="N65:N66"/>
    <mergeCell ref="O65:O66"/>
    <mergeCell ref="P65:P66"/>
    <mergeCell ref="Q65:Q66"/>
    <mergeCell ref="X65:X66"/>
    <mergeCell ref="A70:B71"/>
    <mergeCell ref="C70:C71"/>
    <mergeCell ref="D70:D71"/>
    <mergeCell ref="E70:E71"/>
    <mergeCell ref="O70:O71"/>
    <mergeCell ref="P70:P71"/>
    <mergeCell ref="Q70:Q71"/>
    <mergeCell ref="A65:B66"/>
    <mergeCell ref="C65:C66"/>
    <mergeCell ref="D65:D66"/>
    <mergeCell ref="E65:E66"/>
    <mergeCell ref="F65:F66"/>
    <mergeCell ref="G65:G66"/>
    <mergeCell ref="H65:H66"/>
    <mergeCell ref="I65:I66"/>
    <mergeCell ref="J65:J66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55:O56"/>
    <mergeCell ref="P55:P56"/>
    <mergeCell ref="Q55:Q56"/>
    <mergeCell ref="X55:X56"/>
    <mergeCell ref="A57:A58"/>
    <mergeCell ref="A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X59:X60"/>
    <mergeCell ref="J55:J56"/>
    <mergeCell ref="K55:K56"/>
    <mergeCell ref="A48:A54"/>
    <mergeCell ref="A55:B56"/>
    <mergeCell ref="C55:C56"/>
    <mergeCell ref="D55:D56"/>
    <mergeCell ref="E55:E56"/>
    <mergeCell ref="F55:F56"/>
    <mergeCell ref="G55:G56"/>
    <mergeCell ref="H55:H56"/>
    <mergeCell ref="I55:I56"/>
    <mergeCell ref="AA26:AA27"/>
    <mergeCell ref="AB26:AB27"/>
    <mergeCell ref="AB4:AB5"/>
    <mergeCell ref="A36:B37"/>
    <mergeCell ref="A46:B47"/>
    <mergeCell ref="D1:AB2"/>
    <mergeCell ref="C18:C19"/>
    <mergeCell ref="D18:D19"/>
    <mergeCell ref="E18:E19"/>
    <mergeCell ref="F18:F19"/>
    <mergeCell ref="G18:G19"/>
    <mergeCell ref="A4:B5"/>
    <mergeCell ref="A18:B19"/>
    <mergeCell ref="A26:B27"/>
    <mergeCell ref="A32:B33"/>
    <mergeCell ref="N4:N5"/>
    <mergeCell ref="X4:X5"/>
    <mergeCell ref="Y4:Y5"/>
    <mergeCell ref="AA4:AA5"/>
    <mergeCell ref="C4:C5"/>
    <mergeCell ref="D4:D5"/>
    <mergeCell ref="E4:E5"/>
    <mergeCell ref="F4:F5"/>
    <mergeCell ref="N32:N33"/>
    <mergeCell ref="N18:N19"/>
    <mergeCell ref="X18:X19"/>
    <mergeCell ref="C1:C2"/>
    <mergeCell ref="A1:B2"/>
    <mergeCell ref="C26:C27"/>
    <mergeCell ref="D26:D27"/>
    <mergeCell ref="E26:E27"/>
    <mergeCell ref="F26:F27"/>
    <mergeCell ref="G26:G27"/>
    <mergeCell ref="H18:H19"/>
    <mergeCell ref="I18:I19"/>
    <mergeCell ref="J18:J19"/>
    <mergeCell ref="K18:K19"/>
    <mergeCell ref="L18:L19"/>
    <mergeCell ref="M18:M19"/>
    <mergeCell ref="G4:G5"/>
    <mergeCell ref="H4:H5"/>
    <mergeCell ref="I4:I5"/>
    <mergeCell ref="J4:J5"/>
    <mergeCell ref="K4:K5"/>
    <mergeCell ref="L4:L5"/>
    <mergeCell ref="M4:M5"/>
    <mergeCell ref="X26:X27"/>
    <mergeCell ref="J26:J27"/>
    <mergeCell ref="C32:C33"/>
    <mergeCell ref="D32:D33"/>
    <mergeCell ref="E32:E33"/>
    <mergeCell ref="F32:F33"/>
    <mergeCell ref="G32:G33"/>
    <mergeCell ref="H32:H33"/>
    <mergeCell ref="I32:I33"/>
    <mergeCell ref="H26:H27"/>
    <mergeCell ref="I26:I27"/>
    <mergeCell ref="N46:N47"/>
    <mergeCell ref="X46:X47"/>
    <mergeCell ref="J46:J47"/>
    <mergeCell ref="K46:K47"/>
    <mergeCell ref="L46:L47"/>
    <mergeCell ref="M46:M47"/>
    <mergeCell ref="K26:K27"/>
    <mergeCell ref="L26:L27"/>
    <mergeCell ref="M26:M27"/>
    <mergeCell ref="X32:X33"/>
    <mergeCell ref="J32:J33"/>
    <mergeCell ref="K32:K33"/>
    <mergeCell ref="L32:L33"/>
    <mergeCell ref="M32:M33"/>
    <mergeCell ref="X36:X37"/>
    <mergeCell ref="J36:J37"/>
    <mergeCell ref="K36:K37"/>
    <mergeCell ref="L36:L37"/>
    <mergeCell ref="S32:S33"/>
    <mergeCell ref="T32:T33"/>
    <mergeCell ref="U32:U33"/>
    <mergeCell ref="V32:V33"/>
    <mergeCell ref="S36:S37"/>
    <mergeCell ref="T36:T37"/>
    <mergeCell ref="C36:C37"/>
    <mergeCell ref="D36:D37"/>
    <mergeCell ref="E36:E37"/>
    <mergeCell ref="F36:F37"/>
    <mergeCell ref="G36:G37"/>
    <mergeCell ref="H36:H37"/>
    <mergeCell ref="I36:I37"/>
    <mergeCell ref="H46:H47"/>
    <mergeCell ref="I46:I47"/>
    <mergeCell ref="C46:C47"/>
    <mergeCell ref="D46:D47"/>
    <mergeCell ref="E46:E47"/>
    <mergeCell ref="F46:F47"/>
    <mergeCell ref="G46:G47"/>
    <mergeCell ref="L55:L56"/>
    <mergeCell ref="M55:M56"/>
    <mergeCell ref="N55:N56"/>
    <mergeCell ref="Q4:Q5"/>
    <mergeCell ref="Q18:Q19"/>
    <mergeCell ref="Q26:Q27"/>
    <mergeCell ref="Q32:Q33"/>
    <mergeCell ref="Q36:Q37"/>
    <mergeCell ref="Q46:Q47"/>
    <mergeCell ref="O4:O5"/>
    <mergeCell ref="O18:O19"/>
    <mergeCell ref="O26:O27"/>
    <mergeCell ref="O32:O33"/>
    <mergeCell ref="O36:O37"/>
    <mergeCell ref="O46:O47"/>
    <mergeCell ref="P4:P5"/>
    <mergeCell ref="P18:P19"/>
    <mergeCell ref="P26:P27"/>
    <mergeCell ref="P32:P33"/>
    <mergeCell ref="P36:P37"/>
    <mergeCell ref="P46:P47"/>
    <mergeCell ref="N36:N37"/>
    <mergeCell ref="N26:N27"/>
    <mergeCell ref="M36:M37"/>
    <mergeCell ref="R70:R71"/>
    <mergeCell ref="R4:R5"/>
    <mergeCell ref="R18:R19"/>
    <mergeCell ref="R26:R27"/>
    <mergeCell ref="R32:R33"/>
    <mergeCell ref="R36:R37"/>
    <mergeCell ref="R46:R47"/>
    <mergeCell ref="R55:R56"/>
    <mergeCell ref="R59:R60"/>
    <mergeCell ref="R65:R66"/>
  </mergeCells>
  <phoneticPr fontId="4" type="noConversion"/>
  <dataValidations count="1">
    <dataValidation type="list" allowBlank="1" showInputMessage="1" showErrorMessage="1" errorTitle="select value from drop down menu" error="select value from menu only" promptTitle="Average $ for selected month" sqref="C1" xr:uid="{00000000-0002-0000-0500-000000000000}">
      <formula1>$B$117:$B$128</formula1>
    </dataValidation>
  </dataValidations>
  <hyperlinks>
    <hyperlink ref="F3" location="Monthly!A1" display="Monthly!A1" xr:uid="{00000000-0004-0000-0500-000000000000}"/>
    <hyperlink ref="E3" location="Monthly!A75" display="Monthly!A75" xr:uid="{00000000-0004-0000-0500-000001000000}"/>
  </hyperlinks>
  <pageMargins left="0.7" right="0.7" top="0.75" bottom="0.75" header="0.3" footer="0.3"/>
  <pageSetup paperSize="11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500-000004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'M-Comparison'!C6:Q6</xm:f>
              <xm:sqref>Z6</xm:sqref>
            </x14:sparkline>
          </x14:sparklines>
        </x14:sparklineGroup>
        <x14:sparklineGroup manualMax="0" manualMin="0" displayEmptyCellsAs="gap" high="1" xr2:uid="{00000000-0003-0000-0500-000005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'M-Comparison'!C7:Q7</xm:f>
              <xm:sqref>Z7</xm:sqref>
            </x14:sparkline>
            <x14:sparkline>
              <xm:f>'M-Comparison'!C8:Q8</xm:f>
              <xm:sqref>Z8</xm:sqref>
            </x14:sparkline>
            <x14:sparkline>
              <xm:f>'M-Comparison'!C9:Q9</xm:f>
              <xm:sqref>Z9</xm:sqref>
            </x14:sparkline>
            <x14:sparkline>
              <xm:f>'M-Comparison'!C10:Q10</xm:f>
              <xm:sqref>Z10</xm:sqref>
            </x14:sparkline>
            <x14:sparkline>
              <xm:f>'M-Comparison'!C11:Q11</xm:f>
              <xm:sqref>Z11</xm:sqref>
            </x14:sparkline>
            <x14:sparkline>
              <xm:f>'M-Comparison'!C12:Q12</xm:f>
              <xm:sqref>Z12</xm:sqref>
            </x14:sparkline>
            <x14:sparkline>
              <xm:f>'M-Comparison'!C13:Q13</xm:f>
              <xm:sqref>Z13</xm:sqref>
            </x14:sparkline>
            <x14:sparkline>
              <xm:f>'M-Comparison'!C14:Q14</xm:f>
              <xm:sqref>Z14</xm:sqref>
            </x14:sparkline>
            <x14:sparkline>
              <xm:f>'M-Comparison'!C15:Q15</xm:f>
              <xm:sqref>Z15</xm:sqref>
            </x14:sparkline>
            <x14:sparkline>
              <xm:f>'M-Comparison'!C16:Q16</xm:f>
              <xm:sqref>Z16</xm:sqref>
            </x14:sparkline>
            <x14:sparkline>
              <xm:f>'M-Comparison'!C17:Q17</xm:f>
              <xm:sqref>Z17</xm:sqref>
            </x14:sparkline>
          </x14:sparklines>
        </x14:sparklineGroup>
        <x14:sparklineGroup manualMax="0" manualMin="0" displayEmptyCellsAs="gap" high="1" xr2:uid="{00000000-0003-0000-0500-000006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'M-Comparison'!C18:Q18</xm:f>
              <xm:sqref>Z18</xm:sqref>
            </x14:sparkline>
          </x14:sparklines>
        </x14:sparklineGroup>
        <x14:sparklineGroup manualMax="0" manualMin="0" displayEmptyCellsAs="gap" high="1" xr2:uid="{00000000-0003-0000-0500-000007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'M-Comparison'!C4:Q4</xm:f>
              <xm:sqref>Z4</xm:sqref>
            </x14:sparkline>
          </x14:sparklines>
        </x14:sparklineGroup>
        <x14:sparklineGroup manualMax="0" manualMin="0" displayEmptyCellsAs="gap" high="1" xr2:uid="{00000000-0003-0000-0500-000008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'M-Comparison'!C20:Q20</xm:f>
              <xm:sqref>Z20</xm:sqref>
            </x14:sparkline>
            <x14:sparkline>
              <xm:f>'M-Comparison'!C21:Q21</xm:f>
              <xm:sqref>Z21</xm:sqref>
            </x14:sparkline>
            <x14:sparkline>
              <xm:f>'M-Comparison'!C22:Q22</xm:f>
              <xm:sqref>Z22</xm:sqref>
            </x14:sparkline>
            <x14:sparkline>
              <xm:f>'M-Comparison'!C23:Q23</xm:f>
              <xm:sqref>Z23</xm:sqref>
            </x14:sparkline>
            <x14:sparkline>
              <xm:f>'M-Comparison'!C24:Q24</xm:f>
              <xm:sqref>Z24</xm:sqref>
            </x14:sparkline>
            <x14:sparkline>
              <xm:f>'M-Comparison'!C25:Q25</xm:f>
              <xm:sqref>Z25</xm:sqref>
            </x14:sparkline>
          </x14:sparklines>
        </x14:sparklineGroup>
        <x14:sparklineGroup manualMax="0" manualMin="0" displayEmptyCellsAs="gap" high="1" xr2:uid="{00000000-0003-0000-0500-000009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'M-Comparison'!C28:Q28</xm:f>
              <xm:sqref>Z28</xm:sqref>
            </x14:sparkline>
            <x14:sparkline>
              <xm:f>'M-Comparison'!C29:Q29</xm:f>
              <xm:sqref>Z29</xm:sqref>
            </x14:sparkline>
            <x14:sparkline>
              <xm:f>'M-Comparison'!C30:Q30</xm:f>
              <xm:sqref>Z30</xm:sqref>
            </x14:sparkline>
            <x14:sparkline>
              <xm:f>'M-Comparison'!C31:Q31</xm:f>
              <xm:sqref>Z31</xm:sqref>
            </x14:sparkline>
          </x14:sparklines>
        </x14:sparklineGroup>
        <x14:sparklineGroup manualMax="0" manualMin="0" displayEmptyCellsAs="gap" high="1" xr2:uid="{00000000-0003-0000-0500-00000A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'M-Comparison'!C34:Q34</xm:f>
              <xm:sqref>Z34</xm:sqref>
            </x14:sparkline>
            <x14:sparkline>
              <xm:f>'M-Comparison'!C35:Q35</xm:f>
              <xm:sqref>Z35</xm:sqref>
            </x14:sparkline>
          </x14:sparklines>
        </x14:sparklineGroup>
        <x14:sparklineGroup manualMax="0" manualMin="0" displayEmptyCellsAs="gap" high="1" xr2:uid="{00000000-0003-0000-0500-00000B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'M-Comparison'!C38:Q38</xm:f>
              <xm:sqref>Z38</xm:sqref>
            </x14:sparkline>
            <x14:sparkline>
              <xm:f>'M-Comparison'!C39:Q39</xm:f>
              <xm:sqref>Z39</xm:sqref>
            </x14:sparkline>
            <x14:sparkline>
              <xm:f>'M-Comparison'!C40:Q40</xm:f>
              <xm:sqref>Z40</xm:sqref>
            </x14:sparkline>
            <x14:sparkline>
              <xm:f>'M-Comparison'!C41:Q41</xm:f>
              <xm:sqref>Z41</xm:sqref>
            </x14:sparkline>
            <x14:sparkline>
              <xm:f>'M-Comparison'!C42:Q42</xm:f>
              <xm:sqref>Z42</xm:sqref>
            </x14:sparkline>
            <x14:sparkline>
              <xm:f>'M-Comparison'!C43:Q43</xm:f>
              <xm:sqref>Z43</xm:sqref>
            </x14:sparkline>
            <x14:sparkline>
              <xm:f>'M-Comparison'!C44:Q44</xm:f>
              <xm:sqref>Z44</xm:sqref>
            </x14:sparkline>
            <x14:sparkline>
              <xm:f>'M-Comparison'!C45:Q45</xm:f>
              <xm:sqref>Z45</xm:sqref>
            </x14:sparkline>
          </x14:sparklines>
        </x14:sparklineGroup>
        <x14:sparklineGroup manualMax="0" manualMin="0" displayEmptyCellsAs="gap" high="1" xr2:uid="{00000000-0003-0000-0500-00000C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'M-Comparison'!C48:Q48</xm:f>
              <xm:sqref>Z48</xm:sqref>
            </x14:sparkline>
            <x14:sparkline>
              <xm:f>'M-Comparison'!C49:Q49</xm:f>
              <xm:sqref>Z49</xm:sqref>
            </x14:sparkline>
            <x14:sparkline>
              <xm:f>'M-Comparison'!C50:Q50</xm:f>
              <xm:sqref>Z50</xm:sqref>
            </x14:sparkline>
            <x14:sparkline>
              <xm:f>'M-Comparison'!C51:Q51</xm:f>
              <xm:sqref>Z51</xm:sqref>
            </x14:sparkline>
            <x14:sparkline>
              <xm:f>'M-Comparison'!C52:Q52</xm:f>
              <xm:sqref>Z52</xm:sqref>
            </x14:sparkline>
            <x14:sparkline>
              <xm:f>'M-Comparison'!C53:Q53</xm:f>
              <xm:sqref>Z53</xm:sqref>
            </x14:sparkline>
            <x14:sparkline>
              <xm:f>'M-Comparison'!C54:Q54</xm:f>
              <xm:sqref>Z54</xm:sqref>
            </x14:sparkline>
          </x14:sparklines>
        </x14:sparklineGroup>
        <x14:sparklineGroup manualMax="0" manualMin="0" displayEmptyCellsAs="gap" high="1" xr2:uid="{00000000-0003-0000-0500-00000D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'M-Comparison'!C57:Q57</xm:f>
              <xm:sqref>Z57</xm:sqref>
            </x14:sparkline>
            <x14:sparkline>
              <xm:f>'M-Comparison'!C58:Q58</xm:f>
              <xm:sqref>Z58</xm:sqref>
            </x14:sparkline>
          </x14:sparklines>
        </x14:sparklineGroup>
        <x14:sparklineGroup manualMax="0" manualMin="0" displayEmptyCellsAs="gap" high="1" xr2:uid="{00000000-0003-0000-0500-00000E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'M-Comparison'!C61:Q61</xm:f>
              <xm:sqref>Z61</xm:sqref>
            </x14:sparkline>
            <x14:sparkline>
              <xm:f>'M-Comparison'!C62:Q62</xm:f>
              <xm:sqref>Z62</xm:sqref>
            </x14:sparkline>
            <x14:sparkline>
              <xm:f>'M-Comparison'!C63:Q63</xm:f>
              <xm:sqref>Z63</xm:sqref>
            </x14:sparkline>
            <x14:sparkline>
              <xm:f>'M-Comparison'!C64:Q64</xm:f>
              <xm:sqref>Z64</xm:sqref>
            </x14:sparkline>
          </x14:sparklines>
        </x14:sparklineGroup>
        <x14:sparklineGroup manualMax="0" manualMin="0" displayEmptyCellsAs="gap" high="1" xr2:uid="{00000000-0003-0000-0500-00000F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'M-Comparison'!C67:Q67</xm:f>
              <xm:sqref>Z67</xm:sqref>
            </x14:sparkline>
            <x14:sparkline>
              <xm:f>'M-Comparison'!C68:Q68</xm:f>
              <xm:sqref>Z68</xm:sqref>
            </x14:sparkline>
            <x14:sparkline>
              <xm:f>'M-Comparison'!C69:Q69</xm:f>
              <xm:sqref>Z69</xm:sqref>
            </x14:sparkline>
          </x14:sparklines>
        </x14:sparklineGroup>
        <x14:sparklineGroup manualMax="0" manualMin="0" displayEmptyCellsAs="gap" high="1" xr2:uid="{00000000-0003-0000-0500-000010000000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'M-Comparison'!C72:Q72</xm:f>
              <xm:sqref>Z72</xm:sqref>
            </x14:sparkline>
            <x14:sparkline>
              <xm:f>'M-Comparison'!C73:Q73</xm:f>
              <xm:sqref>Z73</xm:sqref>
            </x14:sparkline>
          </x14:sparklines>
        </x14:sparklineGroup>
        <x14:sparklineGroup manualMax="0" manualMin="0" displayEmptyCellsAs="gap" high="1" xr2:uid="{00000000-0003-0000-0500-000011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'M-Comparison'!C74:Q74</xm:f>
              <xm:sqref>Z74</xm:sqref>
            </x14:sparkline>
          </x14:sparklines>
        </x14:sparklineGroup>
        <x14:sparklineGroup manualMax="0" manualMin="0" displayEmptyCellsAs="gap" high="1" xr2:uid="{00000000-0003-0000-0500-000012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'M-Comparison'!C26:Q26</xm:f>
              <xm:sqref>Z26</xm:sqref>
            </x14:sparkline>
          </x14:sparklines>
        </x14:sparklineGroup>
        <x14:sparklineGroup manualMax="0" manualMin="0" displayEmptyCellsAs="gap" high="1" xr2:uid="{00000000-0003-0000-0500-000013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'M-Comparison'!C32:Q32</xm:f>
              <xm:sqref>Z32</xm:sqref>
            </x14:sparkline>
          </x14:sparklines>
        </x14:sparklineGroup>
        <x14:sparklineGroup manualMax="0" manualMin="0" displayEmptyCellsAs="gap" high="1" xr2:uid="{00000000-0003-0000-0500-000014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'M-Comparison'!C36:Q36</xm:f>
              <xm:sqref>Z36</xm:sqref>
            </x14:sparkline>
          </x14:sparklines>
        </x14:sparklineGroup>
        <x14:sparklineGroup manualMax="0" manualMin="0" displayEmptyCellsAs="gap" high="1" xr2:uid="{00000000-0003-0000-0500-000015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'M-Comparison'!C55:Q55</xm:f>
              <xm:sqref>Z55</xm:sqref>
            </x14:sparkline>
          </x14:sparklines>
        </x14:sparklineGroup>
        <x14:sparklineGroup manualMax="0" manualMin="0" displayEmptyCellsAs="gap" high="1" xr2:uid="{00000000-0003-0000-0500-000016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'M-Comparison'!C59:Q59</xm:f>
              <xm:sqref>Z59</xm:sqref>
            </x14:sparkline>
          </x14:sparklines>
        </x14:sparklineGroup>
        <x14:sparklineGroup manualMax="0" manualMin="0" displayEmptyCellsAs="gap" high="1" xr2:uid="{00000000-0003-0000-0500-000017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'M-Comparison'!C65:Q65</xm:f>
              <xm:sqref>Z65</xm:sqref>
            </x14:sparkline>
          </x14:sparklines>
        </x14:sparklineGroup>
        <x14:sparklineGroup manualMax="0" manualMin="0" displayEmptyCellsAs="gap" high="1" xr2:uid="{00000000-0003-0000-0500-000018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'M-Comparison'!C70:Q70</xm:f>
              <xm:sqref>Z70</xm:sqref>
            </x14:sparkline>
          </x14:sparklines>
        </x14:sparklineGroup>
        <x14:sparklineGroup manualMax="0" manualMin="0" displayEmptyCellsAs="gap" high="1" xr2:uid="{00000000-0003-0000-0500-000019000000}">
          <x14:colorSeries theme="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rgb="FFFF0000"/>
          <x14:colorLow theme="6" tint="-0.249977111117893"/>
          <x14:sparklines>
            <x14:sparkline>
              <xm:f>'M-Comparison'!C46:Q46</xm:f>
              <xm:sqref>Z46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9" tint="-0.249977111117893"/>
  </sheetPr>
  <dimension ref="A1:BA244"/>
  <sheetViews>
    <sheetView topLeftCell="D1" zoomScale="205" zoomScaleNormal="205" zoomScalePageLayoutView="135" workbookViewId="0">
      <selection activeCell="J147" sqref="J147"/>
    </sheetView>
  </sheetViews>
  <sheetFormatPr defaultColWidth="8.85546875" defaultRowHeight="12"/>
  <cols>
    <col min="1" max="1" width="3.85546875" style="501" customWidth="1"/>
    <col min="2" max="2" width="20.85546875" style="501" customWidth="1"/>
    <col min="3" max="3" width="18.28515625" style="577" customWidth="1"/>
    <col min="4" max="4" width="16.28515625" style="577" customWidth="1"/>
    <col min="5" max="5" width="17.7109375" style="577" customWidth="1"/>
    <col min="6" max="6" width="16.140625" style="577" customWidth="1"/>
    <col min="7" max="7" width="12.85546875" style="577" customWidth="1"/>
    <col min="8" max="8" width="15.140625" style="577" customWidth="1"/>
    <col min="9" max="9" width="12.28515625" style="577" customWidth="1"/>
    <col min="10" max="11" width="11.28515625" style="577" customWidth="1"/>
    <col min="12" max="12" width="11.85546875" style="501" customWidth="1"/>
    <col min="13" max="13" width="19.140625" style="577" hidden="1" customWidth="1"/>
    <col min="14" max="18" width="16.28515625" style="577" hidden="1" customWidth="1"/>
    <col min="19" max="19" width="20.140625" style="577" hidden="1" customWidth="1"/>
    <col min="20" max="20" width="17.28515625" style="501" hidden="1" customWidth="1"/>
    <col min="21" max="21" width="19.42578125" style="501" customWidth="1"/>
    <col min="22" max="22" width="27.140625" style="501" customWidth="1"/>
    <col min="23" max="23" width="16" style="501" customWidth="1"/>
    <col min="24" max="24" width="15" style="501" customWidth="1"/>
    <col min="25" max="25" width="12.140625" style="501" customWidth="1"/>
    <col min="26" max="26" width="14.42578125" style="501" hidden="1" customWidth="1"/>
    <col min="27" max="27" width="13.85546875" style="501" hidden="1" customWidth="1"/>
    <col min="28" max="28" width="12.140625" style="501" hidden="1" customWidth="1"/>
    <col min="29" max="29" width="27" style="501" hidden="1" customWidth="1"/>
    <col min="30" max="30" width="13.85546875" style="501" hidden="1" customWidth="1"/>
    <col min="31" max="31" width="13" style="501" hidden="1" customWidth="1"/>
    <col min="32" max="32" width="12" style="501" hidden="1" customWidth="1"/>
    <col min="33" max="33" width="14.28515625" style="501" hidden="1" customWidth="1"/>
    <col min="34" max="35" width="14.42578125" style="501" hidden="1" customWidth="1"/>
    <col min="36" max="36" width="14.7109375" style="501" hidden="1" customWidth="1"/>
    <col min="37" max="37" width="13.85546875" style="501" hidden="1" customWidth="1"/>
    <col min="38" max="38" width="13" style="501" hidden="1" customWidth="1"/>
    <col min="39" max="40" width="12" style="501" hidden="1" customWidth="1"/>
    <col min="41" max="41" width="16.85546875" style="501" customWidth="1"/>
    <col min="42" max="42" width="15" style="502" customWidth="1"/>
    <col min="43" max="43" width="18.7109375" style="501" customWidth="1"/>
    <col min="44" max="44" width="11.85546875" style="501" customWidth="1"/>
    <col min="45" max="45" width="33.140625" style="501" customWidth="1"/>
    <col min="46" max="46" width="10.7109375" style="501" hidden="1" customWidth="1"/>
    <col min="47" max="47" width="12.28515625" style="501" hidden="1" customWidth="1"/>
    <col min="48" max="48" width="13.28515625" style="501" hidden="1" customWidth="1"/>
    <col min="49" max="50" width="0" style="501" hidden="1" customWidth="1"/>
    <col min="51" max="51" width="14.28515625" style="501" hidden="1" customWidth="1"/>
    <col min="52" max="52" width="8.85546875" style="501"/>
    <col min="53" max="53" width="11.42578125" style="501" bestFit="1" customWidth="1"/>
    <col min="54" max="16384" width="8.85546875" style="501"/>
  </cols>
  <sheetData>
    <row r="1" spans="1:40">
      <c r="A1" s="495" t="s">
        <v>388</v>
      </c>
      <c r="B1" s="496"/>
      <c r="C1" s="497" t="s">
        <v>462</v>
      </c>
      <c r="D1" s="497" t="s">
        <v>462</v>
      </c>
      <c r="E1" s="497" t="s">
        <v>462</v>
      </c>
      <c r="F1" s="497" t="s">
        <v>462</v>
      </c>
      <c r="G1" s="498" t="s">
        <v>463</v>
      </c>
      <c r="H1" s="499" t="s">
        <v>464</v>
      </c>
      <c r="I1" s="498" t="s">
        <v>465</v>
      </c>
      <c r="J1" s="500" t="s">
        <v>241</v>
      </c>
      <c r="K1" s="500" t="s">
        <v>466</v>
      </c>
      <c r="M1" s="497" t="s">
        <v>462</v>
      </c>
      <c r="N1" s="497" t="s">
        <v>462</v>
      </c>
      <c r="O1" s="497" t="s">
        <v>462</v>
      </c>
      <c r="P1" s="497" t="s">
        <v>462</v>
      </c>
      <c r="Q1" s="497" t="s">
        <v>462</v>
      </c>
      <c r="R1" s="497" t="s">
        <v>462</v>
      </c>
      <c r="S1" s="497" t="s">
        <v>462</v>
      </c>
    </row>
    <row r="2" spans="1:40">
      <c r="A2" s="503"/>
      <c r="B2" s="504" t="s">
        <v>467</v>
      </c>
      <c r="C2" s="505">
        <v>1.5</v>
      </c>
      <c r="D2" s="506" t="s">
        <v>468</v>
      </c>
      <c r="E2" s="506" t="s">
        <v>469</v>
      </c>
      <c r="F2" s="506" t="s">
        <v>470</v>
      </c>
      <c r="G2" s="507">
        <v>1</v>
      </c>
      <c r="H2" s="508">
        <v>2017</v>
      </c>
      <c r="I2" s="509">
        <v>2017</v>
      </c>
      <c r="J2" s="509">
        <v>2017</v>
      </c>
      <c r="K2" s="509">
        <v>2017</v>
      </c>
      <c r="M2" s="506" t="s">
        <v>471</v>
      </c>
      <c r="N2" s="506" t="s">
        <v>472</v>
      </c>
      <c r="O2" s="510" t="s">
        <v>473</v>
      </c>
      <c r="P2" s="510" t="s">
        <v>473</v>
      </c>
      <c r="Q2" s="506" t="s">
        <v>474</v>
      </c>
      <c r="R2" s="506" t="s">
        <v>475</v>
      </c>
      <c r="S2" s="510" t="s">
        <v>476</v>
      </c>
      <c r="U2" s="511"/>
      <c r="V2" s="511"/>
      <c r="W2" s="512" t="s">
        <v>133</v>
      </c>
      <c r="X2" s="512" t="s">
        <v>477</v>
      </c>
      <c r="Y2" s="513"/>
    </row>
    <row r="3" spans="1:40" ht="15" customHeight="1">
      <c r="A3" s="2317" t="s">
        <v>56</v>
      </c>
      <c r="B3" s="2318"/>
      <c r="C3" s="2308">
        <f>SUM(C6:C17)</f>
        <v>4250</v>
      </c>
      <c r="D3" s="2312">
        <f>SUM(D6:D17)</f>
        <v>4249</v>
      </c>
      <c r="E3" s="2312">
        <f>SUM(E6:E17)</f>
        <v>3520</v>
      </c>
      <c r="F3" s="2312">
        <f>SUM(F7:F17) + 4000</f>
        <v>5918.33</v>
      </c>
      <c r="G3" s="2315">
        <f>SUM(G6:G17)</f>
        <v>3000</v>
      </c>
      <c r="H3" s="2312">
        <f>SUM(H7:H17)</f>
        <v>1739.3333333333333</v>
      </c>
      <c r="I3" s="2313">
        <f>SUM(I6:I17)</f>
        <v>3100</v>
      </c>
      <c r="J3" s="2313">
        <f>SUM(J6:J17)</f>
        <v>1360.6666666666667</v>
      </c>
      <c r="K3" s="2313">
        <f>H3-C3</f>
        <v>-2510.666666666667</v>
      </c>
      <c r="M3" s="2312">
        <f>SUM(M6:M17)</f>
        <v>4265</v>
      </c>
      <c r="N3" s="2312">
        <f>SUM(N6:N17)</f>
        <v>4235</v>
      </c>
      <c r="O3" s="2312">
        <f>SUM(O6:O17)</f>
        <v>4426</v>
      </c>
      <c r="P3" s="2312">
        <f>SUM(P6:P17)</f>
        <v>4904</v>
      </c>
      <c r="Q3" s="2312">
        <f>SUM(Q6:Q17)</f>
        <v>7631.25</v>
      </c>
      <c r="R3" s="2319">
        <v>4746.166666666667</v>
      </c>
      <c r="S3" s="2312">
        <f>SUM(S6:S17)</f>
        <v>4520</v>
      </c>
      <c r="U3" s="511"/>
      <c r="V3" s="511" t="s">
        <v>478</v>
      </c>
      <c r="W3" s="514">
        <v>250000</v>
      </c>
      <c r="X3" s="515">
        <f t="shared" ref="X3:X8" si="0">W3/12</f>
        <v>20833.333333333332</v>
      </c>
      <c r="Y3" s="513">
        <v>1</v>
      </c>
      <c r="AC3" s="516" t="s">
        <v>479</v>
      </c>
      <c r="AD3" s="517">
        <v>1500000</v>
      </c>
      <c r="AE3" s="518">
        <v>3250000</v>
      </c>
      <c r="AF3" s="519" t="s">
        <v>241</v>
      </c>
      <c r="AH3" s="501" t="s">
        <v>480</v>
      </c>
      <c r="AJ3" s="502">
        <v>900000</v>
      </c>
    </row>
    <row r="4" spans="1:40" ht="15" customHeight="1">
      <c r="A4" s="2310"/>
      <c r="B4" s="2311"/>
      <c r="C4" s="2309"/>
      <c r="D4" s="2312"/>
      <c r="E4" s="2312"/>
      <c r="F4" s="2312"/>
      <c r="G4" s="2316"/>
      <c r="H4" s="2312"/>
      <c r="I4" s="2313"/>
      <c r="J4" s="2313"/>
      <c r="K4" s="2313"/>
      <c r="M4" s="2312"/>
      <c r="N4" s="2312"/>
      <c r="O4" s="2312"/>
      <c r="P4" s="2312"/>
      <c r="Q4" s="2312"/>
      <c r="R4" s="2320"/>
      <c r="S4" s="2312"/>
      <c r="U4" s="511"/>
      <c r="V4" s="511" t="s">
        <v>481</v>
      </c>
      <c r="W4" s="514">
        <v>228400</v>
      </c>
      <c r="X4" s="514">
        <f t="shared" si="0"/>
        <v>19033.333333333332</v>
      </c>
      <c r="Y4" s="513">
        <v>1</v>
      </c>
      <c r="AC4" s="516" t="s">
        <v>482</v>
      </c>
      <c r="AD4" s="520">
        <v>1200000</v>
      </c>
      <c r="AE4" s="520">
        <f>AE3-AE6</f>
        <v>2437500</v>
      </c>
      <c r="AF4" s="521">
        <f>AE4-AD4</f>
        <v>1237500</v>
      </c>
      <c r="AH4" s="501" t="s">
        <v>483</v>
      </c>
      <c r="AJ4" s="522">
        <f>AE3</f>
        <v>3250000</v>
      </c>
    </row>
    <row r="5" spans="1:40" ht="15" customHeight="1">
      <c r="A5" s="2187"/>
      <c r="B5" s="2188"/>
      <c r="C5" s="2184"/>
      <c r="D5" s="2182"/>
      <c r="E5" s="2182"/>
      <c r="F5" s="2182"/>
      <c r="G5" s="2185"/>
      <c r="H5" s="2182"/>
      <c r="I5" s="2189"/>
      <c r="J5" s="2189"/>
      <c r="K5" s="2189"/>
      <c r="M5" s="2182"/>
      <c r="N5" s="2182"/>
      <c r="O5" s="2182"/>
      <c r="P5" s="2182"/>
      <c r="Q5" s="2182"/>
      <c r="R5" s="2186"/>
      <c r="S5" s="2182"/>
      <c r="U5" s="511"/>
      <c r="V5" s="523" t="s">
        <v>93</v>
      </c>
      <c r="W5" s="524">
        <f>SUM(W3:W4)</f>
        <v>478400</v>
      </c>
      <c r="X5" s="524">
        <f t="shared" si="0"/>
        <v>39866.666666666664</v>
      </c>
      <c r="Y5" s="525"/>
      <c r="AC5" s="516"/>
      <c r="AD5" s="520"/>
      <c r="AE5" s="520"/>
      <c r="AF5" s="521"/>
      <c r="AJ5" s="522"/>
      <c r="AN5" s="526">
        <f>AP67/X5</f>
        <v>0.3259338681020067</v>
      </c>
    </row>
    <row r="6" spans="1:40">
      <c r="A6" s="527"/>
      <c r="B6" s="528" t="s">
        <v>393</v>
      </c>
      <c r="C6" s="529">
        <v>4000</v>
      </c>
      <c r="D6" s="530">
        <v>4215</v>
      </c>
      <c r="E6" s="530">
        <v>3400</v>
      </c>
      <c r="F6" s="530">
        <f>1057</f>
        <v>1057</v>
      </c>
      <c r="G6" s="531">
        <v>3000</v>
      </c>
      <c r="H6" s="529">
        <v>1057</v>
      </c>
      <c r="I6" s="531">
        <v>2000</v>
      </c>
      <c r="J6" s="531">
        <f>I6-H6</f>
        <v>943</v>
      </c>
      <c r="K6" s="531">
        <f>H6-C6</f>
        <v>-2943</v>
      </c>
      <c r="L6" s="532" t="s">
        <v>484</v>
      </c>
      <c r="M6" s="530">
        <v>4125</v>
      </c>
      <c r="N6" s="530">
        <v>4215</v>
      </c>
      <c r="O6" s="530">
        <v>4406</v>
      </c>
      <c r="P6" s="530">
        <v>4884</v>
      </c>
      <c r="Q6" s="529">
        <v>7600</v>
      </c>
      <c r="R6" s="533">
        <v>4742</v>
      </c>
      <c r="S6" s="530">
        <v>4500</v>
      </c>
      <c r="U6" s="511">
        <v>40000</v>
      </c>
      <c r="V6" s="511" t="s">
        <v>485</v>
      </c>
      <c r="W6" s="514">
        <v>50000</v>
      </c>
      <c r="X6" s="514">
        <f t="shared" si="0"/>
        <v>4166.666666666667</v>
      </c>
      <c r="Y6" s="513">
        <v>1</v>
      </c>
      <c r="AC6" s="516" t="s">
        <v>486</v>
      </c>
      <c r="AD6" s="534">
        <v>300000</v>
      </c>
      <c r="AE6" s="534">
        <f>$W$45*AE3</f>
        <v>812500</v>
      </c>
      <c r="AF6" s="521">
        <f t="shared" ref="AF6:AF30" si="1">AE6-AD6</f>
        <v>512500</v>
      </c>
      <c r="AH6" s="501" t="s">
        <v>487</v>
      </c>
      <c r="AJ6" s="502">
        <f>0.25*AJ4</f>
        <v>812500</v>
      </c>
    </row>
    <row r="7" spans="1:40">
      <c r="A7" s="527"/>
      <c r="B7" s="535" t="s">
        <v>394</v>
      </c>
      <c r="C7" s="529"/>
      <c r="D7" s="536"/>
      <c r="E7" s="536">
        <v>0</v>
      </c>
      <c r="F7" s="536">
        <v>657</v>
      </c>
      <c r="G7" s="531"/>
      <c r="H7" s="529">
        <v>657</v>
      </c>
      <c r="I7" s="531"/>
      <c r="J7" s="531"/>
      <c r="K7" s="531"/>
      <c r="L7" s="532"/>
      <c r="M7" s="536">
        <v>0</v>
      </c>
      <c r="N7" s="536"/>
      <c r="O7" s="536"/>
      <c r="P7" s="536"/>
      <c r="Q7" s="529">
        <f>'APM-Yearly'!S9</f>
        <v>0</v>
      </c>
      <c r="R7" s="533">
        <v>0</v>
      </c>
      <c r="S7" s="536"/>
      <c r="U7" s="511">
        <v>40000</v>
      </c>
      <c r="V7" s="511" t="s">
        <v>488</v>
      </c>
      <c r="W7" s="514">
        <f>W4*0.1</f>
        <v>22840</v>
      </c>
      <c r="X7" s="514">
        <f t="shared" si="0"/>
        <v>1903.3333333333333</v>
      </c>
      <c r="Y7" s="513">
        <v>1</v>
      </c>
      <c r="AC7" s="516" t="s">
        <v>489</v>
      </c>
      <c r="AD7" s="534">
        <v>30000</v>
      </c>
      <c r="AE7" s="534">
        <f>$W$46*AE3</f>
        <v>97500</v>
      </c>
      <c r="AF7" s="521">
        <f t="shared" si="1"/>
        <v>67500</v>
      </c>
      <c r="AH7" s="501" t="s">
        <v>480</v>
      </c>
      <c r="AJ7" s="502">
        <f>AJ3-AJ6</f>
        <v>87500</v>
      </c>
    </row>
    <row r="8" spans="1:40">
      <c r="A8" s="527"/>
      <c r="B8" s="535" t="s">
        <v>395</v>
      </c>
      <c r="C8" s="529"/>
      <c r="D8" s="536"/>
      <c r="E8" s="536">
        <v>0</v>
      </c>
      <c r="F8" s="536">
        <v>400</v>
      </c>
      <c r="G8" s="531"/>
      <c r="H8" s="529">
        <v>400</v>
      </c>
      <c r="I8" s="531"/>
      <c r="J8" s="531"/>
      <c r="K8" s="531"/>
      <c r="L8" s="532"/>
      <c r="M8" s="536">
        <v>0</v>
      </c>
      <c r="N8" s="536"/>
      <c r="O8" s="536"/>
      <c r="P8" s="536"/>
      <c r="Q8" s="529">
        <f>'APM-Yearly'!S10</f>
        <v>0</v>
      </c>
      <c r="R8" s="533">
        <v>0</v>
      </c>
      <c r="S8" s="536"/>
      <c r="U8" s="537">
        <v>0.9</v>
      </c>
      <c r="V8" s="511" t="s">
        <v>490</v>
      </c>
      <c r="W8" s="514">
        <f>SUM(W6:W7)*$U$8</f>
        <v>65556</v>
      </c>
      <c r="X8" s="514">
        <f t="shared" si="0"/>
        <v>5463</v>
      </c>
      <c r="Y8" s="513">
        <v>1</v>
      </c>
      <c r="AC8" s="516" t="s">
        <v>491</v>
      </c>
      <c r="AD8" s="538">
        <v>330000</v>
      </c>
      <c r="AE8" s="538">
        <f>AE6+AE7</f>
        <v>910000</v>
      </c>
      <c r="AF8" s="521">
        <f t="shared" si="1"/>
        <v>580000</v>
      </c>
      <c r="AJ8" s="522">
        <v>2400000</v>
      </c>
      <c r="AK8" s="501" t="s">
        <v>492</v>
      </c>
      <c r="AL8" s="501" t="s">
        <v>493</v>
      </c>
      <c r="AM8" s="501" t="s">
        <v>244</v>
      </c>
    </row>
    <row r="9" spans="1:40">
      <c r="A9" s="527"/>
      <c r="B9" s="528" t="s">
        <v>396</v>
      </c>
      <c r="C9" s="529"/>
      <c r="D9" s="536">
        <v>0</v>
      </c>
      <c r="E9" s="536">
        <v>0</v>
      </c>
      <c r="F9" s="536">
        <v>0</v>
      </c>
      <c r="G9" s="531"/>
      <c r="H9" s="529">
        <v>0</v>
      </c>
      <c r="I9" s="531"/>
      <c r="J9" s="531"/>
      <c r="K9" s="531"/>
      <c r="L9" s="532"/>
      <c r="M9" s="536">
        <v>0</v>
      </c>
      <c r="N9" s="536">
        <v>0</v>
      </c>
      <c r="O9" s="536">
        <v>0</v>
      </c>
      <c r="P9" s="536">
        <v>0</v>
      </c>
      <c r="Q9" s="529">
        <f>'APM-Yearly'!S11</f>
        <v>0</v>
      </c>
      <c r="R9" s="533">
        <v>0</v>
      </c>
      <c r="S9" s="536">
        <v>0</v>
      </c>
      <c r="U9" s="537">
        <v>0.4</v>
      </c>
      <c r="V9" s="511" t="s">
        <v>287</v>
      </c>
      <c r="W9" s="514">
        <f>(W3+W4+W8)*U9</f>
        <v>217582.40000000002</v>
      </c>
      <c r="X9" s="514">
        <f t="shared" ref="X9:X19" si="2">W9/12</f>
        <v>18131.866666666669</v>
      </c>
      <c r="Y9" s="513"/>
      <c r="AC9" s="516" t="s">
        <v>494</v>
      </c>
      <c r="AD9" s="534">
        <v>420000</v>
      </c>
      <c r="AE9" s="534">
        <f>$W$43-AE8</f>
        <v>115000</v>
      </c>
      <c r="AF9" s="521">
        <f t="shared" si="1"/>
        <v>-305000</v>
      </c>
    </row>
    <row r="10" spans="1:40">
      <c r="A10" s="527"/>
      <c r="B10" s="528" t="s">
        <v>397</v>
      </c>
      <c r="C10" s="529"/>
      <c r="D10" s="536">
        <v>0</v>
      </c>
      <c r="E10" s="536">
        <v>0</v>
      </c>
      <c r="F10" s="536">
        <v>0</v>
      </c>
      <c r="G10" s="531"/>
      <c r="H10" s="529">
        <v>0</v>
      </c>
      <c r="I10" s="531"/>
      <c r="J10" s="531"/>
      <c r="K10" s="531"/>
      <c r="L10" s="532"/>
      <c r="M10" s="536">
        <v>0</v>
      </c>
      <c r="N10" s="536">
        <v>0</v>
      </c>
      <c r="O10" s="536">
        <v>0</v>
      </c>
      <c r="P10" s="536">
        <v>0</v>
      </c>
      <c r="Q10" s="529">
        <f>'APM-Yearly'!S12</f>
        <v>0</v>
      </c>
      <c r="R10" s="533">
        <v>0</v>
      </c>
      <c r="S10" s="536">
        <v>0</v>
      </c>
      <c r="U10" s="537"/>
      <c r="V10" s="539" t="s">
        <v>495</v>
      </c>
      <c r="W10" s="540">
        <f>W3+W4+W8-W9</f>
        <v>326373.59999999998</v>
      </c>
      <c r="X10" s="540">
        <f t="shared" si="2"/>
        <v>27197.8</v>
      </c>
      <c r="Y10" s="541"/>
      <c r="AC10" s="516" t="s">
        <v>496</v>
      </c>
      <c r="AD10" s="542">
        <v>5903.2786929538042</v>
      </c>
      <c r="AE10" s="542">
        <f>-PMT($W$47/12,360,AE4,0)</f>
        <v>10828.785536805566</v>
      </c>
      <c r="AF10" s="543">
        <f t="shared" si="1"/>
        <v>4925.5068438517619</v>
      </c>
      <c r="AH10" s="501" t="s">
        <v>497</v>
      </c>
      <c r="AI10" s="501">
        <v>3.375</v>
      </c>
      <c r="AJ10" s="544">
        <v>10610.31</v>
      </c>
      <c r="AK10" s="544">
        <v>3500</v>
      </c>
      <c r="AL10" s="544">
        <v>200</v>
      </c>
      <c r="AM10" s="544">
        <f>SUM(AJ10:AL10)</f>
        <v>14310.31</v>
      </c>
      <c r="AN10" s="544"/>
    </row>
    <row r="11" spans="1:40">
      <c r="A11" s="527"/>
      <c r="B11" s="535" t="s">
        <v>398</v>
      </c>
      <c r="C11" s="529"/>
      <c r="D11" s="536">
        <v>0</v>
      </c>
      <c r="E11" s="536">
        <v>0</v>
      </c>
      <c r="F11" s="536">
        <v>0</v>
      </c>
      <c r="G11" s="531"/>
      <c r="H11" s="529">
        <v>0</v>
      </c>
      <c r="I11" s="531"/>
      <c r="J11" s="531"/>
      <c r="K11" s="531"/>
      <c r="L11" s="532"/>
      <c r="M11" s="536">
        <v>0</v>
      </c>
      <c r="N11" s="536">
        <v>0</v>
      </c>
      <c r="O11" s="536">
        <v>0</v>
      </c>
      <c r="P11" s="536">
        <v>0</v>
      </c>
      <c r="Q11" s="529">
        <f>'APM-Yearly'!S13</f>
        <v>0</v>
      </c>
      <c r="R11" s="533">
        <v>0</v>
      </c>
      <c r="S11" s="536">
        <v>0</v>
      </c>
      <c r="U11" s="511"/>
      <c r="V11" s="511" t="s">
        <v>498</v>
      </c>
      <c r="W11" s="514">
        <v>19500</v>
      </c>
      <c r="X11" s="514">
        <f t="shared" si="2"/>
        <v>1625</v>
      </c>
      <c r="Y11" s="513">
        <v>1</v>
      </c>
      <c r="AC11" s="516" t="s">
        <v>287</v>
      </c>
      <c r="AD11" s="534">
        <v>1250</v>
      </c>
      <c r="AE11" s="534">
        <f>AE3*$W$48/12</f>
        <v>3385.4166666666665</v>
      </c>
      <c r="AF11" s="521">
        <f t="shared" si="1"/>
        <v>2135.4166666666665</v>
      </c>
      <c r="AH11" s="501" t="s">
        <v>499</v>
      </c>
      <c r="AI11" s="501">
        <v>2.625</v>
      </c>
      <c r="AJ11" s="544">
        <v>9639.6200000000008</v>
      </c>
      <c r="AK11" s="544">
        <v>3500</v>
      </c>
      <c r="AL11" s="544">
        <v>200</v>
      </c>
      <c r="AM11" s="544">
        <f>SUM(AJ11:AL11)</f>
        <v>13339.62</v>
      </c>
      <c r="AN11" s="544"/>
    </row>
    <row r="12" spans="1:40">
      <c r="A12" s="527"/>
      <c r="B12" s="528" t="s">
        <v>287</v>
      </c>
      <c r="C12" s="529"/>
      <c r="D12" s="536"/>
      <c r="E12" s="536">
        <v>0</v>
      </c>
      <c r="F12" s="536">
        <v>303</v>
      </c>
      <c r="G12" s="531"/>
      <c r="H12" s="529">
        <v>303</v>
      </c>
      <c r="I12" s="531">
        <v>800</v>
      </c>
      <c r="J12" s="531">
        <f>I12-H12</f>
        <v>497</v>
      </c>
      <c r="K12" s="531">
        <f>H12-C12</f>
        <v>303</v>
      </c>
      <c r="L12" s="532" t="s">
        <v>500</v>
      </c>
      <c r="M12" s="536">
        <v>0</v>
      </c>
      <c r="N12" s="536"/>
      <c r="O12" s="536"/>
      <c r="P12" s="536"/>
      <c r="Q12" s="529">
        <f>'APM-Yearly'!S14</f>
        <v>0</v>
      </c>
      <c r="R12" s="533">
        <v>0</v>
      </c>
      <c r="S12" s="536"/>
      <c r="U12" s="511"/>
      <c r="V12" s="511" t="s">
        <v>501</v>
      </c>
      <c r="W12" s="514">
        <v>19500</v>
      </c>
      <c r="X12" s="514">
        <f t="shared" si="2"/>
        <v>1625</v>
      </c>
      <c r="Y12" s="513">
        <v>1</v>
      </c>
      <c r="AC12" s="516" t="s">
        <v>502</v>
      </c>
      <c r="AD12" s="520">
        <v>700</v>
      </c>
      <c r="AE12" s="520">
        <f>$W$49</f>
        <v>0</v>
      </c>
      <c r="AF12" s="521">
        <f t="shared" si="1"/>
        <v>-700</v>
      </c>
      <c r="AH12" s="501" t="s">
        <v>503</v>
      </c>
      <c r="AI12" s="501">
        <v>2.625</v>
      </c>
      <c r="AJ12" s="544">
        <v>9639.6200000000008</v>
      </c>
      <c r="AK12" s="544">
        <v>3500</v>
      </c>
      <c r="AL12" s="544">
        <v>200</v>
      </c>
      <c r="AM12" s="544">
        <f>SUM(AJ12:AL12)</f>
        <v>13339.62</v>
      </c>
      <c r="AN12" s="544"/>
    </row>
    <row r="13" spans="1:40">
      <c r="A13" s="527"/>
      <c r="B13" s="528" t="s">
        <v>399</v>
      </c>
      <c r="C13" s="529"/>
      <c r="D13" s="536"/>
      <c r="E13" s="536">
        <v>0</v>
      </c>
      <c r="F13" s="536">
        <v>0</v>
      </c>
      <c r="G13" s="531"/>
      <c r="H13" s="529">
        <v>0</v>
      </c>
      <c r="I13" s="531"/>
      <c r="J13" s="531"/>
      <c r="K13" s="531"/>
      <c r="M13" s="536">
        <v>0</v>
      </c>
      <c r="N13" s="536"/>
      <c r="O13" s="536"/>
      <c r="P13" s="536"/>
      <c r="Q13" s="529">
        <f>'APM-Yearly'!S15</f>
        <v>0</v>
      </c>
      <c r="R13" s="533">
        <v>0</v>
      </c>
      <c r="S13" s="536"/>
      <c r="U13" s="511"/>
      <c r="V13" s="511" t="s">
        <v>504</v>
      </c>
      <c r="W13" s="514">
        <f xml:space="preserve"> 0 *Y13</f>
        <v>0</v>
      </c>
      <c r="X13" s="514">
        <f t="shared" si="2"/>
        <v>0</v>
      </c>
      <c r="Y13" s="513">
        <v>1</v>
      </c>
      <c r="AC13" s="516" t="s">
        <v>505</v>
      </c>
      <c r="AD13" s="534">
        <v>375</v>
      </c>
      <c r="AE13" s="534">
        <f>AE3*$W$50/12</f>
        <v>812.5</v>
      </c>
      <c r="AF13" s="521">
        <f t="shared" si="1"/>
        <v>437.5</v>
      </c>
      <c r="AH13" s="501" t="s">
        <v>506</v>
      </c>
      <c r="AI13" s="501">
        <v>2.9750000000000001</v>
      </c>
      <c r="AJ13" s="544">
        <v>9957.42</v>
      </c>
      <c r="AK13" s="544">
        <v>3500</v>
      </c>
      <c r="AL13" s="544">
        <v>200</v>
      </c>
      <c r="AM13" s="544">
        <f>SUM(AJ13:AL13)</f>
        <v>13657.42</v>
      </c>
      <c r="AN13" s="544"/>
    </row>
    <row r="14" spans="1:40">
      <c r="A14" s="527"/>
      <c r="B14" s="528" t="s">
        <v>400</v>
      </c>
      <c r="C14" s="529">
        <v>200</v>
      </c>
      <c r="D14" s="536">
        <v>20</v>
      </c>
      <c r="E14" s="536">
        <v>20</v>
      </c>
      <c r="F14" s="536">
        <v>200</v>
      </c>
      <c r="G14" s="531"/>
      <c r="H14" s="529">
        <v>21</v>
      </c>
      <c r="I14" s="531">
        <v>100</v>
      </c>
      <c r="J14" s="531">
        <f>I14-H14</f>
        <v>79</v>
      </c>
      <c r="K14" s="531">
        <f>H14-C14</f>
        <v>-179</v>
      </c>
      <c r="M14" s="536">
        <v>20</v>
      </c>
      <c r="N14" s="536">
        <v>20</v>
      </c>
      <c r="O14" s="536">
        <v>20</v>
      </c>
      <c r="P14" s="536">
        <v>20</v>
      </c>
      <c r="Q14" s="529">
        <f>'APM-Yearly'!S16</f>
        <v>0</v>
      </c>
      <c r="R14" s="533">
        <v>0</v>
      </c>
      <c r="S14" s="536">
        <v>20</v>
      </c>
      <c r="U14" s="511"/>
      <c r="V14" s="545">
        <v>529</v>
      </c>
      <c r="W14" s="514">
        <f>(801+701+501) *12</f>
        <v>24036</v>
      </c>
      <c r="X14" s="514">
        <f t="shared" si="2"/>
        <v>2003</v>
      </c>
      <c r="Y14" s="513">
        <v>1</v>
      </c>
      <c r="AC14" s="516" t="s">
        <v>280</v>
      </c>
      <c r="AD14" s="546">
        <v>150</v>
      </c>
      <c r="AE14" s="546">
        <v>200</v>
      </c>
      <c r="AF14" s="521">
        <f t="shared" si="1"/>
        <v>50</v>
      </c>
    </row>
    <row r="15" spans="1:40">
      <c r="A15" s="527"/>
      <c r="B15" s="528" t="s">
        <v>401</v>
      </c>
      <c r="C15" s="529"/>
      <c r="D15" s="536">
        <v>14</v>
      </c>
      <c r="E15" s="536">
        <v>0</v>
      </c>
      <c r="F15" s="536">
        <v>308.33</v>
      </c>
      <c r="G15" s="531"/>
      <c r="H15" s="529">
        <v>308.33333333333331</v>
      </c>
      <c r="I15" s="531">
        <v>150</v>
      </c>
      <c r="J15" s="531">
        <f>I15-H15</f>
        <v>-158.33333333333331</v>
      </c>
      <c r="K15" s="531">
        <f>H15-C15</f>
        <v>308.33333333333331</v>
      </c>
      <c r="M15" s="536">
        <v>20</v>
      </c>
      <c r="N15" s="536"/>
      <c r="O15" s="536"/>
      <c r="P15" s="536"/>
      <c r="Q15" s="529">
        <f>'APM-Yearly'!S17</f>
        <v>0</v>
      </c>
      <c r="R15" s="533">
        <v>0</v>
      </c>
      <c r="S15" s="536"/>
      <c r="U15" s="511"/>
      <c r="V15" s="511" t="s">
        <v>507</v>
      </c>
      <c r="W15" s="514">
        <f>19000*Y15</f>
        <v>19000</v>
      </c>
      <c r="X15" s="514">
        <f t="shared" si="2"/>
        <v>1583.3333333333333</v>
      </c>
      <c r="Y15" s="513">
        <v>1</v>
      </c>
      <c r="AC15" s="516" t="s">
        <v>508</v>
      </c>
      <c r="AD15" s="547">
        <v>8378.2786929538051</v>
      </c>
      <c r="AE15" s="547">
        <f>SUM(AE10:AE14)</f>
        <v>15226.702203472232</v>
      </c>
      <c r="AF15" s="543">
        <f t="shared" si="1"/>
        <v>6848.4235105184271</v>
      </c>
    </row>
    <row r="16" spans="1:40">
      <c r="A16" s="527"/>
      <c r="B16" s="528" t="s">
        <v>509</v>
      </c>
      <c r="C16" s="529"/>
      <c r="D16" s="536">
        <v>0</v>
      </c>
      <c r="E16" s="536">
        <v>100</v>
      </c>
      <c r="F16" s="536">
        <v>0</v>
      </c>
      <c r="G16" s="531"/>
      <c r="H16" s="529">
        <v>0</v>
      </c>
      <c r="I16" s="531"/>
      <c r="J16" s="531"/>
      <c r="K16" s="531"/>
      <c r="M16" s="536">
        <v>100</v>
      </c>
      <c r="N16" s="536">
        <v>0</v>
      </c>
      <c r="O16" s="536">
        <v>0</v>
      </c>
      <c r="P16" s="536">
        <v>0</v>
      </c>
      <c r="Q16" s="529">
        <f>'APM-Yearly'!S18</f>
        <v>0</v>
      </c>
      <c r="R16" s="533">
        <v>0</v>
      </c>
      <c r="S16" s="536">
        <v>0</v>
      </c>
      <c r="U16" s="511"/>
      <c r="V16" s="511" t="s">
        <v>510</v>
      </c>
      <c r="W16" s="514">
        <v>19000</v>
      </c>
      <c r="X16" s="514">
        <f t="shared" si="2"/>
        <v>1583.3333333333333</v>
      </c>
      <c r="Y16" s="513">
        <v>1</v>
      </c>
      <c r="AC16" s="516" t="s">
        <v>511</v>
      </c>
      <c r="AD16" s="548">
        <v>3488.2786929538051</v>
      </c>
      <c r="AE16" s="548">
        <f>AE15-$W$44</f>
        <v>10336.702203472232</v>
      </c>
      <c r="AF16" s="521">
        <f t="shared" si="1"/>
        <v>6848.4235105184271</v>
      </c>
    </row>
    <row r="17" spans="1:43">
      <c r="A17" s="527"/>
      <c r="B17" s="528" t="s">
        <v>403</v>
      </c>
      <c r="C17" s="529">
        <v>50</v>
      </c>
      <c r="D17" s="536"/>
      <c r="E17" s="536"/>
      <c r="F17" s="536">
        <v>50</v>
      </c>
      <c r="G17" s="531"/>
      <c r="H17" s="529">
        <v>50</v>
      </c>
      <c r="I17" s="531">
        <v>50</v>
      </c>
      <c r="J17" s="531">
        <f>I17-H17</f>
        <v>0</v>
      </c>
      <c r="K17" s="531">
        <f>H17-C17</f>
        <v>0</v>
      </c>
      <c r="M17" s="536"/>
      <c r="N17" s="536"/>
      <c r="O17" s="536"/>
      <c r="P17" s="536"/>
      <c r="Q17" s="529">
        <f>'APM-Yearly'!S19</f>
        <v>31.25</v>
      </c>
      <c r="R17" s="533">
        <v>4.166666666666667</v>
      </c>
      <c r="S17" s="536"/>
      <c r="U17" s="511"/>
      <c r="V17" s="511" t="s">
        <v>512</v>
      </c>
      <c r="W17" s="514">
        <f>SUM(W11:W16)</f>
        <v>101036</v>
      </c>
      <c r="X17" s="514">
        <f t="shared" si="2"/>
        <v>8419.6666666666661</v>
      </c>
      <c r="Y17" s="513"/>
      <c r="AC17" s="516" t="s">
        <v>513</v>
      </c>
      <c r="AD17" s="534">
        <v>26183.333333333332</v>
      </c>
      <c r="AE17" s="534">
        <f>$X$10</f>
        <v>27197.8</v>
      </c>
      <c r="AF17" s="521">
        <f t="shared" si="1"/>
        <v>1014.4666666666672</v>
      </c>
    </row>
    <row r="18" spans="1:43" ht="15" customHeight="1">
      <c r="A18" s="2310" t="s">
        <v>404</v>
      </c>
      <c r="B18" s="2311"/>
      <c r="C18" s="2308">
        <f>SUM(C20:C25)</f>
        <v>1101.3333333333335</v>
      </c>
      <c r="D18" s="2308">
        <f>SUM(D20:D25)</f>
        <v>1101.3333333333335</v>
      </c>
      <c r="E18" s="2308">
        <f>SUM(E20:E25)</f>
        <v>1101.3333333333335</v>
      </c>
      <c r="F18" s="2308">
        <v>342.625</v>
      </c>
      <c r="G18" s="2315">
        <f>SUM(G20:G25)</f>
        <v>1101.3333333333335</v>
      </c>
      <c r="H18" s="2312">
        <f>SUM(H20:H25)</f>
        <v>1101.3333333333335</v>
      </c>
      <c r="I18" s="2313">
        <f>SUM(I20:I25)</f>
        <v>1101.3333333333335</v>
      </c>
      <c r="J18" s="2313">
        <f>SUM(J20:J25)</f>
        <v>1101.3333333333335</v>
      </c>
      <c r="K18" s="2313">
        <f>SUM(K20:K25)</f>
        <v>1101.3333333333335</v>
      </c>
      <c r="M18" s="2308">
        <f t="shared" ref="M18:S18" si="3">SUM(M20:M25)</f>
        <v>1101.3333333333335</v>
      </c>
      <c r="N18" s="2308">
        <f t="shared" si="3"/>
        <v>1101.3333333333335</v>
      </c>
      <c r="O18" s="2308">
        <f t="shared" si="3"/>
        <v>1101.3333333333335</v>
      </c>
      <c r="P18" s="2308">
        <f t="shared" si="3"/>
        <v>1101.3333333333335</v>
      </c>
      <c r="Q18" s="2308">
        <f t="shared" si="3"/>
        <v>1352.1111111111111</v>
      </c>
      <c r="R18" s="2321">
        <f>SUM(R20:R25)</f>
        <v>1122.2314814814815</v>
      </c>
      <c r="S18" s="2308">
        <f t="shared" si="3"/>
        <v>1102</v>
      </c>
      <c r="U18" s="511"/>
      <c r="V18" s="511" t="s">
        <v>284</v>
      </c>
      <c r="W18" s="514">
        <f>10000</f>
        <v>10000</v>
      </c>
      <c r="X18" s="514">
        <f t="shared" si="2"/>
        <v>833.33333333333337</v>
      </c>
      <c r="Y18" s="513"/>
      <c r="AC18" s="516" t="s">
        <v>514</v>
      </c>
      <c r="AD18" s="549">
        <v>7635.2777777777792</v>
      </c>
      <c r="AE18" s="549">
        <f>$X$20-$W$44</f>
        <v>17762.416666666668</v>
      </c>
      <c r="AF18" s="521">
        <f t="shared" si="1"/>
        <v>10127.138888888889</v>
      </c>
    </row>
    <row r="19" spans="1:43" ht="15" customHeight="1">
      <c r="A19" s="2310"/>
      <c r="B19" s="2311"/>
      <c r="C19" s="2309"/>
      <c r="D19" s="2309"/>
      <c r="E19" s="2309"/>
      <c r="F19" s="2309"/>
      <c r="G19" s="2316"/>
      <c r="H19" s="2312"/>
      <c r="I19" s="2313"/>
      <c r="J19" s="2313"/>
      <c r="K19" s="2313"/>
      <c r="M19" s="2309"/>
      <c r="N19" s="2309"/>
      <c r="O19" s="2309"/>
      <c r="P19" s="2309"/>
      <c r="Q19" s="2309"/>
      <c r="R19" s="2322"/>
      <c r="S19" s="2309"/>
      <c r="U19" s="511"/>
      <c r="V19" s="523" t="s">
        <v>515</v>
      </c>
      <c r="W19" s="524">
        <f>W10-W17-W18</f>
        <v>215337.59999999998</v>
      </c>
      <c r="X19" s="524">
        <f t="shared" si="2"/>
        <v>17944.8</v>
      </c>
      <c r="Y19" s="525"/>
      <c r="AC19" s="516" t="s">
        <v>516</v>
      </c>
      <c r="AD19" s="550">
        <v>16846.889804064918</v>
      </c>
      <c r="AE19" s="550">
        <f>AE18+AE15+AE29</f>
        <v>33822.452203472239</v>
      </c>
      <c r="AF19" s="521">
        <f t="shared" si="1"/>
        <v>16975.562399407321</v>
      </c>
    </row>
    <row r="20" spans="1:43">
      <c r="A20" s="527"/>
      <c r="B20" s="528" t="s">
        <v>405</v>
      </c>
      <c r="C20" s="529">
        <v>778.33333333333337</v>
      </c>
      <c r="D20" s="529">
        <v>778.33333333333337</v>
      </c>
      <c r="E20" s="529">
        <v>778.33333333333337</v>
      </c>
      <c r="F20" s="529">
        <v>778.33333333333337</v>
      </c>
      <c r="G20" s="529">
        <v>778.33333333333337</v>
      </c>
      <c r="H20" s="529">
        <v>778.33333333333337</v>
      </c>
      <c r="I20" s="529">
        <v>778.33333333333337</v>
      </c>
      <c r="J20" s="529">
        <v>778.33333333333337</v>
      </c>
      <c r="K20" s="529">
        <v>778.33333333333337</v>
      </c>
      <c r="L20" s="529">
        <v>778.33333333333337</v>
      </c>
      <c r="M20" s="529">
        <v>778.33333333333337</v>
      </c>
      <c r="N20" s="529">
        <v>778.33333333333337</v>
      </c>
      <c r="O20" s="529">
        <v>778.33333333333337</v>
      </c>
      <c r="P20" s="529">
        <v>778.33333333333337</v>
      </c>
      <c r="Q20" s="529">
        <f>'APM-Yearly'!S22</f>
        <v>778.33333333333337</v>
      </c>
      <c r="R20" s="494">
        <f t="shared" ref="R20:R25" si="4">SUM(F20:Q20)/12</f>
        <v>778.33333333333337</v>
      </c>
      <c r="S20" s="529">
        <v>779</v>
      </c>
      <c r="U20" s="511"/>
      <c r="V20" s="511" t="s">
        <v>288</v>
      </c>
      <c r="W20" s="514">
        <f>'APM-Yearly'!AB76*12</f>
        <v>271829</v>
      </c>
      <c r="X20" s="514">
        <f>W20/12</f>
        <v>22652.416666666668</v>
      </c>
      <c r="Y20" s="551"/>
      <c r="AC20" s="516" t="s">
        <v>517</v>
      </c>
      <c r="AD20" s="552">
        <v>9336.4435292684138</v>
      </c>
      <c r="AE20" s="552">
        <f>AE17-AE19</f>
        <v>-6624.6522034722402</v>
      </c>
      <c r="AF20" s="521">
        <f t="shared" si="1"/>
        <v>-15961.095732740654</v>
      </c>
    </row>
    <row r="21" spans="1:43">
      <c r="A21" s="527"/>
      <c r="B21" s="528" t="s">
        <v>400</v>
      </c>
      <c r="C21" s="529">
        <v>180</v>
      </c>
      <c r="D21" s="529">
        <v>180</v>
      </c>
      <c r="E21" s="529">
        <v>180</v>
      </c>
      <c r="F21" s="529">
        <v>180</v>
      </c>
      <c r="G21" s="529">
        <v>180</v>
      </c>
      <c r="H21" s="529">
        <v>180</v>
      </c>
      <c r="I21" s="529">
        <v>180</v>
      </c>
      <c r="J21" s="529">
        <v>180</v>
      </c>
      <c r="K21" s="529">
        <v>180</v>
      </c>
      <c r="L21" s="529">
        <v>180</v>
      </c>
      <c r="M21" s="529">
        <v>180</v>
      </c>
      <c r="N21" s="529">
        <v>180</v>
      </c>
      <c r="O21" s="529">
        <v>180</v>
      </c>
      <c r="P21" s="529">
        <v>180</v>
      </c>
      <c r="Q21" s="529">
        <f>'APM-Yearly'!S23</f>
        <v>164.7777777777778</v>
      </c>
      <c r="R21" s="494">
        <f t="shared" si="4"/>
        <v>178.7314814814815</v>
      </c>
      <c r="S21" s="529">
        <v>180</v>
      </c>
      <c r="U21" s="511"/>
      <c r="V21" s="511" t="s">
        <v>518</v>
      </c>
      <c r="W21" s="553">
        <f>W10-W20</f>
        <v>54544.599999999977</v>
      </c>
      <c r="X21" s="514">
        <f>W21/12</f>
        <v>4545.3833333333314</v>
      </c>
      <c r="Y21" s="551"/>
      <c r="AC21" s="516" t="s">
        <v>519</v>
      </c>
      <c r="AD21" s="534">
        <v>3000</v>
      </c>
      <c r="AE21" s="534">
        <f>$X$11+$X$12</f>
        <v>3250</v>
      </c>
      <c r="AF21" s="521">
        <f t="shared" si="1"/>
        <v>250</v>
      </c>
      <c r="AN21" s="554">
        <f>X21</f>
        <v>4545.3833333333314</v>
      </c>
      <c r="AO21" s="501" t="s">
        <v>442</v>
      </c>
    </row>
    <row r="22" spans="1:43">
      <c r="A22" s="527"/>
      <c r="B22" s="528" t="s">
        <v>406</v>
      </c>
      <c r="C22" s="529">
        <v>25</v>
      </c>
      <c r="D22" s="529">
        <v>25</v>
      </c>
      <c r="E22" s="529">
        <v>25</v>
      </c>
      <c r="F22" s="529">
        <v>25</v>
      </c>
      <c r="G22" s="529">
        <v>25</v>
      </c>
      <c r="H22" s="529">
        <v>25</v>
      </c>
      <c r="I22" s="529">
        <v>25</v>
      </c>
      <c r="J22" s="529">
        <v>25</v>
      </c>
      <c r="K22" s="529">
        <v>25</v>
      </c>
      <c r="L22" s="529">
        <v>25</v>
      </c>
      <c r="M22" s="529">
        <v>25</v>
      </c>
      <c r="N22" s="529">
        <v>25</v>
      </c>
      <c r="O22" s="529">
        <v>25</v>
      </c>
      <c r="P22" s="529">
        <v>25</v>
      </c>
      <c r="Q22" s="529">
        <f>'APM-Yearly'!S24</f>
        <v>122.91666666666667</v>
      </c>
      <c r="R22" s="494">
        <f t="shared" si="4"/>
        <v>33.159722222222221</v>
      </c>
      <c r="S22" s="529">
        <v>25</v>
      </c>
      <c r="U22" s="511"/>
      <c r="V22" s="511" t="s">
        <v>520</v>
      </c>
      <c r="W22" s="513"/>
      <c r="X22" s="515">
        <v>4896</v>
      </c>
      <c r="Y22" s="513"/>
      <c r="AC22" s="516" t="s">
        <v>521</v>
      </c>
      <c r="AD22" s="555">
        <v>6336.4435292684138</v>
      </c>
      <c r="AE22" s="555">
        <f>AE20-AE21</f>
        <v>-9874.6522034722402</v>
      </c>
      <c r="AF22" s="521">
        <f t="shared" si="1"/>
        <v>-16211.095732740654</v>
      </c>
      <c r="AN22" s="502">
        <f>AP68</f>
        <v>8103.8968750000004</v>
      </c>
      <c r="AO22" s="501" t="s">
        <v>241</v>
      </c>
    </row>
    <row r="23" spans="1:43">
      <c r="A23" s="527"/>
      <c r="B23" s="528" t="s">
        <v>407</v>
      </c>
      <c r="C23" s="529">
        <v>0</v>
      </c>
      <c r="D23" s="529">
        <v>0</v>
      </c>
      <c r="E23" s="529">
        <v>0</v>
      </c>
      <c r="F23" s="529">
        <v>0</v>
      </c>
      <c r="G23" s="529">
        <v>0</v>
      </c>
      <c r="H23" s="529">
        <v>0</v>
      </c>
      <c r="I23" s="529">
        <v>0</v>
      </c>
      <c r="J23" s="529">
        <v>0</v>
      </c>
      <c r="K23" s="529">
        <v>0</v>
      </c>
      <c r="L23" s="529">
        <v>0</v>
      </c>
      <c r="M23" s="529">
        <v>0</v>
      </c>
      <c r="N23" s="529">
        <v>0</v>
      </c>
      <c r="O23" s="529">
        <v>0</v>
      </c>
      <c r="P23" s="529">
        <v>0</v>
      </c>
      <c r="Q23" s="529">
        <f>'APM-Yearly'!S25</f>
        <v>162.83333333333334</v>
      </c>
      <c r="R23" s="494">
        <f t="shared" si="4"/>
        <v>13.569444444444445</v>
      </c>
      <c r="S23" s="529">
        <v>0</v>
      </c>
      <c r="U23" s="511"/>
      <c r="V23" s="511" t="s">
        <v>522</v>
      </c>
      <c r="W23" s="513"/>
      <c r="X23" s="556">
        <f>X22+X21</f>
        <v>9441.3833333333314</v>
      </c>
      <c r="Y23" s="513"/>
      <c r="AC23" s="516">
        <v>529</v>
      </c>
      <c r="AD23" s="534">
        <v>2003</v>
      </c>
      <c r="AE23" s="534">
        <f>$X$14</f>
        <v>2003</v>
      </c>
      <c r="AF23" s="521">
        <f t="shared" si="1"/>
        <v>0</v>
      </c>
      <c r="AN23" s="502">
        <f>AN22-AN21-X11-X12</f>
        <v>308.51354166666897</v>
      </c>
    </row>
    <row r="24" spans="1:43">
      <c r="A24" s="527"/>
      <c r="B24" s="528" t="s">
        <v>523</v>
      </c>
      <c r="C24" s="529">
        <v>108</v>
      </c>
      <c r="D24" s="529">
        <v>108</v>
      </c>
      <c r="E24" s="529">
        <v>108</v>
      </c>
      <c r="F24" s="529">
        <v>108</v>
      </c>
      <c r="G24" s="529">
        <v>108</v>
      </c>
      <c r="H24" s="529">
        <v>108</v>
      </c>
      <c r="I24" s="529">
        <v>108</v>
      </c>
      <c r="J24" s="529">
        <v>108</v>
      </c>
      <c r="K24" s="529">
        <v>108</v>
      </c>
      <c r="L24" s="529">
        <v>108</v>
      </c>
      <c r="M24" s="529">
        <v>108</v>
      </c>
      <c r="N24" s="529">
        <v>108</v>
      </c>
      <c r="O24" s="529">
        <v>108</v>
      </c>
      <c r="P24" s="529">
        <v>108</v>
      </c>
      <c r="Q24" s="529">
        <f>'APM-Yearly'!S26</f>
        <v>97.916666666666671</v>
      </c>
      <c r="R24" s="494">
        <f t="shared" si="4"/>
        <v>107.15972222222223</v>
      </c>
      <c r="S24" s="529">
        <v>108</v>
      </c>
      <c r="U24" s="511"/>
      <c r="V24" s="511" t="s">
        <v>524</v>
      </c>
      <c r="W24" s="513"/>
      <c r="X24" s="553"/>
      <c r="Y24" s="513"/>
      <c r="AC24" s="516" t="s">
        <v>525</v>
      </c>
      <c r="AD24" s="557">
        <v>4333.4435292684138</v>
      </c>
      <c r="AE24" s="557">
        <f>AE22-AE23</f>
        <v>-11877.65220347224</v>
      </c>
      <c r="AF24" s="521">
        <f t="shared" si="1"/>
        <v>-16211.095732740654</v>
      </c>
    </row>
    <row r="25" spans="1:43">
      <c r="A25" s="527"/>
      <c r="B25" s="528" t="s">
        <v>409</v>
      </c>
      <c r="C25" s="529">
        <v>10</v>
      </c>
      <c r="D25" s="529">
        <v>10</v>
      </c>
      <c r="E25" s="529">
        <v>10</v>
      </c>
      <c r="F25" s="529">
        <v>10</v>
      </c>
      <c r="G25" s="529">
        <v>10</v>
      </c>
      <c r="H25" s="529">
        <v>10</v>
      </c>
      <c r="I25" s="529">
        <v>10</v>
      </c>
      <c r="J25" s="529">
        <v>10</v>
      </c>
      <c r="K25" s="529">
        <v>10</v>
      </c>
      <c r="L25" s="529">
        <v>10</v>
      </c>
      <c r="M25" s="529">
        <v>10</v>
      </c>
      <c r="N25" s="529">
        <v>10</v>
      </c>
      <c r="O25" s="529">
        <v>10</v>
      </c>
      <c r="P25" s="529">
        <v>10</v>
      </c>
      <c r="Q25" s="529">
        <f>'APM-Yearly'!S27</f>
        <v>25.333333333333332</v>
      </c>
      <c r="R25" s="494">
        <f t="shared" si="4"/>
        <v>11.277777777777779</v>
      </c>
      <c r="S25" s="529">
        <v>10</v>
      </c>
      <c r="U25" s="511"/>
      <c r="V25" s="511" t="s">
        <v>526</v>
      </c>
      <c r="W25" s="513" t="s">
        <v>527</v>
      </c>
      <c r="X25" s="553" t="s">
        <v>528</v>
      </c>
      <c r="Y25" s="513" t="s">
        <v>529</v>
      </c>
      <c r="Z25" s="501" t="s">
        <v>530</v>
      </c>
      <c r="AA25" s="501" t="s">
        <v>531</v>
      </c>
      <c r="AC25" s="516" t="s">
        <v>532</v>
      </c>
      <c r="AD25" s="534">
        <v>3586.333333333333</v>
      </c>
      <c r="AE25" s="534">
        <f>$X$14+$X$15</f>
        <v>3586.333333333333</v>
      </c>
      <c r="AF25" s="521">
        <f t="shared" si="1"/>
        <v>0</v>
      </c>
      <c r="AQ25" s="501" t="s">
        <v>533</v>
      </c>
    </row>
    <row r="26" spans="1:43" ht="15" hidden="1" customHeight="1">
      <c r="A26" s="2310" t="s">
        <v>277</v>
      </c>
      <c r="B26" s="2311"/>
      <c r="C26" s="2308">
        <f>SUM(C28:C31)</f>
        <v>300</v>
      </c>
      <c r="D26" s="2308">
        <v>663.75</v>
      </c>
      <c r="E26" s="2308">
        <v>663.75</v>
      </c>
      <c r="F26" s="2308">
        <v>663.75</v>
      </c>
      <c r="G26" s="2315">
        <f>SUM(G28:G31)</f>
        <v>300</v>
      </c>
      <c r="H26" s="2312">
        <f>SUM(H28:H31)</f>
        <v>300</v>
      </c>
      <c r="I26" s="2313">
        <f>SUM(I28:I31)</f>
        <v>300</v>
      </c>
      <c r="J26" s="2313">
        <f>SUM(J28:J31)</f>
        <v>300</v>
      </c>
      <c r="K26" s="2313">
        <f>SUM(K28:K31)</f>
        <v>300</v>
      </c>
      <c r="M26" s="2308">
        <v>663.75</v>
      </c>
      <c r="N26" s="2308">
        <f t="shared" ref="N26:S26" si="5">SUM(N28:N31)</f>
        <v>300</v>
      </c>
      <c r="O26" s="2308">
        <f t="shared" si="5"/>
        <v>600</v>
      </c>
      <c r="P26" s="2308">
        <f t="shared" si="5"/>
        <v>600</v>
      </c>
      <c r="Q26" s="2308">
        <f t="shared" si="5"/>
        <v>604.75000000000011</v>
      </c>
      <c r="R26" s="2321">
        <f t="shared" si="5"/>
        <v>375.39583333333331</v>
      </c>
      <c r="S26" s="2308">
        <f t="shared" si="5"/>
        <v>750</v>
      </c>
      <c r="U26" s="511"/>
      <c r="V26" s="511"/>
      <c r="W26" s="513"/>
      <c r="X26" s="553"/>
      <c r="Y26" s="513"/>
      <c r="AC26" s="516" t="s">
        <v>534</v>
      </c>
      <c r="AD26" s="557">
        <v>747.11019593508081</v>
      </c>
      <c r="AE26" s="558">
        <f>AE24-AE25</f>
        <v>-15463.985536805572</v>
      </c>
      <c r="AF26" s="521">
        <f t="shared" si="1"/>
        <v>-16211.095732740654</v>
      </c>
    </row>
    <row r="27" spans="1:43" ht="15" hidden="1" customHeight="1">
      <c r="A27" s="2310"/>
      <c r="B27" s="2311"/>
      <c r="C27" s="2309"/>
      <c r="D27" s="2309"/>
      <c r="E27" s="2309"/>
      <c r="F27" s="2309"/>
      <c r="G27" s="2316"/>
      <c r="H27" s="2312"/>
      <c r="I27" s="2313"/>
      <c r="J27" s="2313"/>
      <c r="K27" s="2313"/>
      <c r="M27" s="2309"/>
      <c r="N27" s="2309"/>
      <c r="O27" s="2309"/>
      <c r="P27" s="2309"/>
      <c r="Q27" s="2309"/>
      <c r="R27" s="2322"/>
      <c r="S27" s="2309"/>
      <c r="U27" s="511"/>
      <c r="V27" s="511"/>
      <c r="W27" s="513"/>
      <c r="X27" s="553" t="s">
        <v>535</v>
      </c>
      <c r="Y27" s="513"/>
      <c r="AC27" s="516" t="s">
        <v>536</v>
      </c>
      <c r="AD27" s="546">
        <v>747.11019593508081</v>
      </c>
      <c r="AE27" s="559">
        <f>AE26</f>
        <v>-15463.985536805572</v>
      </c>
      <c r="AF27" s="521">
        <f t="shared" si="1"/>
        <v>-16211.095732740654</v>
      </c>
    </row>
    <row r="28" spans="1:43" hidden="1">
      <c r="A28" s="527"/>
      <c r="B28" s="528" t="s">
        <v>410</v>
      </c>
      <c r="C28" s="529">
        <v>250</v>
      </c>
      <c r="D28" s="529">
        <v>250</v>
      </c>
      <c r="E28" s="529">
        <v>250</v>
      </c>
      <c r="F28" s="529">
        <v>250</v>
      </c>
      <c r="G28" s="529">
        <v>250</v>
      </c>
      <c r="H28" s="529">
        <v>250</v>
      </c>
      <c r="I28" s="529">
        <v>250</v>
      </c>
      <c r="J28" s="529">
        <v>250</v>
      </c>
      <c r="K28" s="529">
        <v>250</v>
      </c>
      <c r="L28" s="529">
        <v>250</v>
      </c>
      <c r="M28" s="529">
        <v>250</v>
      </c>
      <c r="N28" s="529">
        <v>250</v>
      </c>
      <c r="O28" s="560">
        <v>400</v>
      </c>
      <c r="P28" s="560">
        <v>400</v>
      </c>
      <c r="Q28" s="529">
        <f>'APM-Yearly'!S30</f>
        <v>190.41666666666666</v>
      </c>
      <c r="R28" s="494">
        <f>SUM(F28:Q28)/12</f>
        <v>270.03472222222223</v>
      </c>
      <c r="S28" s="560">
        <v>250</v>
      </c>
      <c r="U28" s="511"/>
      <c r="V28" s="511"/>
      <c r="W28" s="513"/>
      <c r="X28" s="553" t="s">
        <v>537</v>
      </c>
      <c r="Y28" s="513"/>
      <c r="AC28" s="516" t="s">
        <v>538</v>
      </c>
      <c r="AD28" s="552">
        <v>-4321.6120262871391</v>
      </c>
      <c r="AE28" s="552">
        <f>$X$20-AE19</f>
        <v>-11170.035536805572</v>
      </c>
      <c r="AF28" s="521">
        <f t="shared" si="1"/>
        <v>-6848.4235105184325</v>
      </c>
    </row>
    <row r="29" spans="1:43" hidden="1">
      <c r="A29" s="527"/>
      <c r="B29" s="528" t="s">
        <v>539</v>
      </c>
      <c r="C29" s="529">
        <v>0</v>
      </c>
      <c r="D29" s="529">
        <v>0</v>
      </c>
      <c r="E29" s="529">
        <v>0</v>
      </c>
      <c r="F29" s="529">
        <v>0</v>
      </c>
      <c r="G29" s="529">
        <v>0</v>
      </c>
      <c r="H29" s="529">
        <v>0</v>
      </c>
      <c r="I29" s="529">
        <v>0</v>
      </c>
      <c r="J29" s="529">
        <v>0</v>
      </c>
      <c r="K29" s="529">
        <v>0</v>
      </c>
      <c r="L29" s="529">
        <v>0</v>
      </c>
      <c r="M29" s="529">
        <v>0</v>
      </c>
      <c r="N29" s="529">
        <v>0</v>
      </c>
      <c r="O29" s="529">
        <v>0</v>
      </c>
      <c r="P29" s="529">
        <v>0</v>
      </c>
      <c r="Q29" s="529">
        <f>'APM-Yearly'!S31</f>
        <v>365.16666666666669</v>
      </c>
      <c r="R29" s="494">
        <f>SUM(F29:Q29)/12</f>
        <v>30.430555555555557</v>
      </c>
      <c r="S29" s="529">
        <v>400</v>
      </c>
      <c r="U29" s="511"/>
      <c r="V29" s="511"/>
      <c r="W29" s="513"/>
      <c r="X29" s="553" t="s">
        <v>540</v>
      </c>
      <c r="Y29" s="513"/>
      <c r="AC29" s="561" t="s">
        <v>284</v>
      </c>
      <c r="AD29" s="534">
        <v>833.33333333333337</v>
      </c>
      <c r="AE29" s="534">
        <f>$X$18</f>
        <v>833.33333333333337</v>
      </c>
      <c r="AF29" s="521">
        <f t="shared" si="1"/>
        <v>0</v>
      </c>
    </row>
    <row r="30" spans="1:43" hidden="1">
      <c r="A30" s="527"/>
      <c r="B30" s="528" t="s">
        <v>412</v>
      </c>
      <c r="C30" s="529">
        <v>50</v>
      </c>
      <c r="D30" s="529">
        <v>50</v>
      </c>
      <c r="E30" s="529">
        <v>50</v>
      </c>
      <c r="F30" s="529">
        <v>50</v>
      </c>
      <c r="G30" s="529">
        <v>50</v>
      </c>
      <c r="H30" s="529">
        <v>50</v>
      </c>
      <c r="I30" s="529">
        <v>50</v>
      </c>
      <c r="J30" s="529">
        <v>50</v>
      </c>
      <c r="K30" s="529">
        <v>50</v>
      </c>
      <c r="L30" s="529">
        <v>50</v>
      </c>
      <c r="M30" s="529">
        <v>50</v>
      </c>
      <c r="N30" s="529">
        <v>50</v>
      </c>
      <c r="O30" s="560">
        <v>100</v>
      </c>
      <c r="P30" s="560">
        <v>100</v>
      </c>
      <c r="Q30" s="529">
        <f>'APM-Yearly'!S32</f>
        <v>47.083333333333336</v>
      </c>
      <c r="R30" s="494">
        <f>SUM(F30:Q30)/12</f>
        <v>58.090277777777779</v>
      </c>
      <c r="S30" s="560">
        <v>100</v>
      </c>
      <c r="U30" s="511"/>
      <c r="V30" s="511"/>
      <c r="W30" s="513"/>
      <c r="X30" s="553" t="s">
        <v>541</v>
      </c>
      <c r="Y30" s="513"/>
      <c r="AC30" s="562" t="s">
        <v>542</v>
      </c>
      <c r="AD30" s="563">
        <v>24.930417714174155</v>
      </c>
      <c r="AE30" s="563">
        <f>AE9/AE19</f>
        <v>3.4001082862996554</v>
      </c>
      <c r="AF30" s="521">
        <f t="shared" si="1"/>
        <v>-21.530309427874499</v>
      </c>
    </row>
    <row r="31" spans="1:43" hidden="1">
      <c r="A31" s="527"/>
      <c r="B31" s="528" t="s">
        <v>413</v>
      </c>
      <c r="C31" s="529">
        <v>0</v>
      </c>
      <c r="D31" s="529">
        <v>0</v>
      </c>
      <c r="E31" s="529">
        <v>0</v>
      </c>
      <c r="F31" s="529">
        <v>0</v>
      </c>
      <c r="G31" s="529">
        <v>0</v>
      </c>
      <c r="H31" s="529">
        <v>0</v>
      </c>
      <c r="I31" s="529">
        <v>0</v>
      </c>
      <c r="J31" s="529">
        <v>0</v>
      </c>
      <c r="K31" s="529">
        <v>0</v>
      </c>
      <c r="L31" s="529">
        <v>0</v>
      </c>
      <c r="M31" s="529">
        <v>0</v>
      </c>
      <c r="N31" s="529">
        <v>0</v>
      </c>
      <c r="O31" s="560">
        <v>100</v>
      </c>
      <c r="P31" s="560">
        <v>100</v>
      </c>
      <c r="Q31" s="529">
        <f>'APM-Yearly'!S33</f>
        <v>2.0833333333333335</v>
      </c>
      <c r="R31" s="494">
        <f>SUM(F31:Q31)/12</f>
        <v>16.840277777777779</v>
      </c>
      <c r="S31" s="560">
        <v>0</v>
      </c>
      <c r="U31" s="511"/>
      <c r="V31" s="511"/>
      <c r="W31" s="513"/>
      <c r="X31" s="553" t="s">
        <v>543</v>
      </c>
      <c r="Y31" s="513"/>
      <c r="AC31" s="562" t="s">
        <v>544</v>
      </c>
      <c r="AD31" s="564">
        <v>0.18676002546148951</v>
      </c>
      <c r="AE31" s="564">
        <f>$W$44/$X$10</f>
        <v>0.17979395392274375</v>
      </c>
      <c r="AF31" s="521"/>
      <c r="AG31" s="565"/>
      <c r="AH31" s="565"/>
      <c r="AI31" s="565"/>
      <c r="AJ31" s="565"/>
      <c r="AK31" s="565"/>
    </row>
    <row r="32" spans="1:43" ht="15" hidden="1" customHeight="1">
      <c r="A32" s="2310" t="s">
        <v>278</v>
      </c>
      <c r="B32" s="2311"/>
      <c r="C32" s="2308">
        <f>SUM(C34:C35)</f>
        <v>700</v>
      </c>
      <c r="D32" s="2308">
        <v>1442.125</v>
      </c>
      <c r="E32" s="2308">
        <v>1442.125</v>
      </c>
      <c r="F32" s="2308">
        <v>1442.125</v>
      </c>
      <c r="G32" s="2315">
        <f>SUM(G34:G35)</f>
        <v>700</v>
      </c>
      <c r="H32" s="2312">
        <f>SUM(H34:H35)</f>
        <v>700</v>
      </c>
      <c r="I32" s="2313">
        <f>SUM(I34:I35)</f>
        <v>700</v>
      </c>
      <c r="J32" s="2313">
        <f>SUM(J34:J35)</f>
        <v>700</v>
      </c>
      <c r="K32" s="2313">
        <f>SUM(K34:K35)</f>
        <v>700</v>
      </c>
      <c r="M32" s="2308">
        <v>1442.125</v>
      </c>
      <c r="N32" s="2308">
        <f>SUM(N34:N35)</f>
        <v>700</v>
      </c>
      <c r="O32" s="2308">
        <f>SUM(O34:O35)</f>
        <v>750</v>
      </c>
      <c r="P32" s="2308">
        <f>SUM(P34:P35)</f>
        <v>750</v>
      </c>
      <c r="Q32" s="2308">
        <f>SUM(Q34:Q35)</f>
        <v>885.91666666666674</v>
      </c>
      <c r="R32" s="2308">
        <v>885.91666666666674</v>
      </c>
      <c r="S32" s="2308">
        <f>SUM(S34:S35)</f>
        <v>900</v>
      </c>
      <c r="U32" s="511"/>
      <c r="V32" s="511"/>
      <c r="W32" s="566">
        <v>10336</v>
      </c>
      <c r="X32" s="513" t="s">
        <v>545</v>
      </c>
      <c r="Y32" s="513">
        <v>4.18</v>
      </c>
      <c r="Z32" s="546">
        <f t="shared" ref="Z32:Z38" si="6">W32-4596</f>
        <v>5740</v>
      </c>
      <c r="AA32" s="562"/>
      <c r="AC32" s="562" t="s">
        <v>546</v>
      </c>
      <c r="AD32" s="564">
        <v>0.31998518241707724</v>
      </c>
      <c r="AE32" s="564">
        <f>AE15/$X$10</f>
        <v>0.55985051009538389</v>
      </c>
      <c r="AF32" s="521"/>
      <c r="AG32" s="567"/>
      <c r="AH32" s="568"/>
      <c r="AI32" s="568"/>
      <c r="AJ32" s="569"/>
      <c r="AK32" s="565"/>
    </row>
    <row r="33" spans="1:43" ht="15" hidden="1" customHeight="1">
      <c r="A33" s="2310"/>
      <c r="B33" s="2311"/>
      <c r="C33" s="2309"/>
      <c r="D33" s="2309"/>
      <c r="E33" s="2309"/>
      <c r="F33" s="2309"/>
      <c r="G33" s="2316"/>
      <c r="H33" s="2312"/>
      <c r="I33" s="2313"/>
      <c r="J33" s="2313"/>
      <c r="K33" s="2313"/>
      <c r="M33" s="2309"/>
      <c r="N33" s="2309"/>
      <c r="O33" s="2309"/>
      <c r="P33" s="2309"/>
      <c r="Q33" s="2309"/>
      <c r="R33" s="2309"/>
      <c r="S33" s="2309"/>
      <c r="U33" s="511"/>
      <c r="V33" s="511"/>
      <c r="W33" s="566">
        <v>10809</v>
      </c>
      <c r="X33" s="513" t="s">
        <v>547</v>
      </c>
      <c r="Y33" s="513">
        <v>4.18</v>
      </c>
      <c r="Z33" s="546">
        <f t="shared" si="6"/>
        <v>6213</v>
      </c>
      <c r="AA33" s="562"/>
      <c r="AD33" s="565"/>
      <c r="AE33" s="570"/>
      <c r="AF33" s="570"/>
      <c r="AG33" s="567"/>
      <c r="AH33" s="568"/>
      <c r="AI33" s="568"/>
      <c r="AJ33" s="569"/>
      <c r="AK33" s="565"/>
    </row>
    <row r="34" spans="1:43" hidden="1">
      <c r="A34" s="527"/>
      <c r="B34" s="528" t="s">
        <v>414</v>
      </c>
      <c r="C34" s="529">
        <v>600</v>
      </c>
      <c r="D34" s="529">
        <v>600</v>
      </c>
      <c r="E34" s="529">
        <v>600</v>
      </c>
      <c r="F34" s="529">
        <v>600</v>
      </c>
      <c r="G34" s="529">
        <v>600</v>
      </c>
      <c r="H34" s="529">
        <v>600</v>
      </c>
      <c r="I34" s="529">
        <v>600</v>
      </c>
      <c r="J34" s="529">
        <v>600</v>
      </c>
      <c r="K34" s="529">
        <v>600</v>
      </c>
      <c r="L34" s="529">
        <v>600</v>
      </c>
      <c r="M34" s="529">
        <v>600</v>
      </c>
      <c r="N34" s="529">
        <v>600</v>
      </c>
      <c r="O34" s="529">
        <v>600</v>
      </c>
      <c r="P34" s="529">
        <v>600</v>
      </c>
      <c r="Q34" s="529">
        <f>'APM-Yearly'!S36</f>
        <v>804.08333333333337</v>
      </c>
      <c r="R34" s="529">
        <v>1000</v>
      </c>
      <c r="S34" s="529">
        <v>800</v>
      </c>
      <c r="U34" s="511"/>
      <c r="V34" s="511"/>
      <c r="W34" s="566">
        <v>11282</v>
      </c>
      <c r="X34" s="513" t="s">
        <v>548</v>
      </c>
      <c r="Y34" s="513">
        <v>4.18</v>
      </c>
      <c r="Z34" s="546">
        <f t="shared" si="6"/>
        <v>6686</v>
      </c>
      <c r="AA34" s="562"/>
      <c r="AD34" s="565"/>
      <c r="AE34" s="570"/>
      <c r="AF34" s="570"/>
      <c r="AG34" s="567"/>
      <c r="AH34" s="568"/>
      <c r="AI34" s="568"/>
      <c r="AJ34" s="569"/>
      <c r="AK34" s="565"/>
    </row>
    <row r="35" spans="1:43" hidden="1">
      <c r="A35" s="527"/>
      <c r="B35" s="528" t="s">
        <v>278</v>
      </c>
      <c r="C35" s="529">
        <v>100</v>
      </c>
      <c r="D35" s="529">
        <v>100</v>
      </c>
      <c r="E35" s="529">
        <v>100</v>
      </c>
      <c r="F35" s="529">
        <v>100</v>
      </c>
      <c r="G35" s="529">
        <v>100</v>
      </c>
      <c r="H35" s="529">
        <v>100</v>
      </c>
      <c r="I35" s="529">
        <v>100</v>
      </c>
      <c r="J35" s="529">
        <v>100</v>
      </c>
      <c r="K35" s="529">
        <v>100</v>
      </c>
      <c r="L35" s="529">
        <v>100</v>
      </c>
      <c r="M35" s="529">
        <v>100</v>
      </c>
      <c r="N35" s="529">
        <v>100</v>
      </c>
      <c r="O35" s="529">
        <v>150</v>
      </c>
      <c r="P35" s="529">
        <v>150</v>
      </c>
      <c r="Q35" s="529">
        <f>'APM-Yearly'!S37</f>
        <v>81.833333333333329</v>
      </c>
      <c r="R35" s="529">
        <v>81.833333333333329</v>
      </c>
      <c r="S35" s="529">
        <v>100</v>
      </c>
      <c r="U35" s="511"/>
      <c r="V35" s="511"/>
      <c r="W35" s="566">
        <v>11755</v>
      </c>
      <c r="X35" s="513" t="s">
        <v>549</v>
      </c>
      <c r="Y35" s="513">
        <v>4.18</v>
      </c>
      <c r="Z35" s="546">
        <f t="shared" si="6"/>
        <v>7159</v>
      </c>
      <c r="AA35" s="562"/>
      <c r="AD35" s="565"/>
      <c r="AE35" s="570"/>
      <c r="AF35" s="570"/>
      <c r="AG35" s="567"/>
      <c r="AH35" s="568"/>
      <c r="AI35" s="568"/>
      <c r="AJ35" s="569"/>
      <c r="AK35" s="565"/>
    </row>
    <row r="36" spans="1:43" ht="15" hidden="1" customHeight="1">
      <c r="A36" s="2310" t="s">
        <v>279</v>
      </c>
      <c r="B36" s="2311"/>
      <c r="C36" s="2308">
        <f>SUM(C38:C45)</f>
        <v>290</v>
      </c>
      <c r="D36" s="2308">
        <v>599</v>
      </c>
      <c r="E36" s="2308">
        <v>599</v>
      </c>
      <c r="F36" s="2308">
        <v>599</v>
      </c>
      <c r="G36" s="2315">
        <f>SUM(G38:G45)</f>
        <v>290</v>
      </c>
      <c r="H36" s="2312">
        <f>SUM(H38:H45)</f>
        <v>290</v>
      </c>
      <c r="I36" s="2313">
        <f>SUM(I38:I45)</f>
        <v>290</v>
      </c>
      <c r="J36" s="2313">
        <f>SUM(J38:J45)</f>
        <v>290</v>
      </c>
      <c r="K36" s="2313">
        <f>SUM(K38:K45)</f>
        <v>290</v>
      </c>
      <c r="M36" s="2308">
        <v>599</v>
      </c>
      <c r="N36" s="2308">
        <f>SUM(N38:N45)</f>
        <v>290</v>
      </c>
      <c r="O36" s="2308">
        <f>SUM(O38:O45)</f>
        <v>290</v>
      </c>
      <c r="P36" s="2308">
        <f>SUM(P38:P45)</f>
        <v>290</v>
      </c>
      <c r="Q36" s="2308">
        <f>SUM(Q38:Q45)</f>
        <v>329.66666666666663</v>
      </c>
      <c r="R36" s="2308">
        <v>424.66666666666663</v>
      </c>
      <c r="S36" s="2308">
        <f>SUM(S38:S45)</f>
        <v>470</v>
      </c>
      <c r="V36" s="511"/>
      <c r="W36" s="566">
        <v>12228</v>
      </c>
      <c r="X36" s="513" t="s">
        <v>550</v>
      </c>
      <c r="Y36" s="513">
        <v>4.18</v>
      </c>
      <c r="Z36" s="546">
        <f t="shared" si="6"/>
        <v>7632</v>
      </c>
      <c r="AA36" s="562"/>
      <c r="AD36" s="565"/>
      <c r="AE36" s="565"/>
      <c r="AF36" s="570"/>
      <c r="AG36" s="567"/>
      <c r="AH36" s="568"/>
      <c r="AI36" s="568"/>
      <c r="AJ36" s="569"/>
      <c r="AK36" s="565"/>
    </row>
    <row r="37" spans="1:43" ht="15" hidden="1" customHeight="1">
      <c r="A37" s="2310"/>
      <c r="B37" s="2311"/>
      <c r="C37" s="2309"/>
      <c r="D37" s="2309"/>
      <c r="E37" s="2309"/>
      <c r="F37" s="2309"/>
      <c r="G37" s="2316"/>
      <c r="H37" s="2312"/>
      <c r="I37" s="2313"/>
      <c r="J37" s="2313"/>
      <c r="K37" s="2313"/>
      <c r="M37" s="2309"/>
      <c r="N37" s="2309"/>
      <c r="O37" s="2309"/>
      <c r="P37" s="2309"/>
      <c r="Q37" s="2309"/>
      <c r="R37" s="2309"/>
      <c r="S37" s="2309"/>
      <c r="W37" s="566">
        <v>12829</v>
      </c>
      <c r="X37" s="513" t="s">
        <v>551</v>
      </c>
      <c r="Y37" s="513">
        <v>4.18</v>
      </c>
      <c r="Z37" s="546">
        <f t="shared" si="6"/>
        <v>8233</v>
      </c>
      <c r="AA37" s="562"/>
      <c r="AD37" s="565"/>
      <c r="AE37" s="565"/>
      <c r="AF37" s="565"/>
      <c r="AG37" s="567"/>
      <c r="AH37" s="568"/>
      <c r="AI37" s="568"/>
      <c r="AJ37" s="569"/>
      <c r="AK37" s="565"/>
    </row>
    <row r="38" spans="1:43" hidden="1">
      <c r="A38" s="527"/>
      <c r="B38" s="528" t="s">
        <v>415</v>
      </c>
      <c r="C38" s="529">
        <v>75</v>
      </c>
      <c r="D38" s="529">
        <v>75</v>
      </c>
      <c r="E38" s="529">
        <v>75</v>
      </c>
      <c r="F38" s="529">
        <v>75</v>
      </c>
      <c r="G38" s="529">
        <v>75</v>
      </c>
      <c r="H38" s="529">
        <v>75</v>
      </c>
      <c r="I38" s="529">
        <v>75</v>
      </c>
      <c r="J38" s="529">
        <v>75</v>
      </c>
      <c r="K38" s="529">
        <v>75</v>
      </c>
      <c r="L38" s="529">
        <v>75</v>
      </c>
      <c r="M38" s="529">
        <v>75</v>
      </c>
      <c r="N38" s="529">
        <v>75</v>
      </c>
      <c r="O38" s="529">
        <v>75</v>
      </c>
      <c r="P38" s="529">
        <v>75</v>
      </c>
      <c r="Q38" s="529">
        <f>'APM-Yearly'!S40</f>
        <v>90.333333333333329</v>
      </c>
      <c r="R38" s="529">
        <v>90.333333333333329</v>
      </c>
      <c r="S38" s="529">
        <v>75</v>
      </c>
      <c r="V38" s="562"/>
      <c r="Z38" s="501">
        <f t="shared" si="6"/>
        <v>-4596</v>
      </c>
      <c r="AD38" s="565"/>
      <c r="AE38" s="565"/>
      <c r="AF38" s="565"/>
      <c r="AG38" s="565"/>
      <c r="AH38" s="565"/>
      <c r="AI38" s="565"/>
      <c r="AJ38" s="565"/>
      <c r="AK38" s="565"/>
    </row>
    <row r="39" spans="1:43" hidden="1">
      <c r="A39" s="527"/>
      <c r="B39" s="528" t="s">
        <v>416</v>
      </c>
      <c r="C39" s="529">
        <v>55</v>
      </c>
      <c r="D39" s="529">
        <v>55</v>
      </c>
      <c r="E39" s="529">
        <v>55</v>
      </c>
      <c r="F39" s="529">
        <v>55</v>
      </c>
      <c r="G39" s="529">
        <v>55</v>
      </c>
      <c r="H39" s="529">
        <v>55</v>
      </c>
      <c r="I39" s="529">
        <v>55</v>
      </c>
      <c r="J39" s="529">
        <v>55</v>
      </c>
      <c r="K39" s="529">
        <v>55</v>
      </c>
      <c r="L39" s="529">
        <v>55</v>
      </c>
      <c r="M39" s="529">
        <v>55</v>
      </c>
      <c r="N39" s="529">
        <v>55</v>
      </c>
      <c r="O39" s="529">
        <v>55</v>
      </c>
      <c r="P39" s="529">
        <v>55</v>
      </c>
      <c r="Q39" s="529">
        <f>'APM-Yearly'!S41</f>
        <v>55</v>
      </c>
      <c r="R39" s="529">
        <v>55</v>
      </c>
      <c r="S39" s="529">
        <v>55</v>
      </c>
      <c r="V39" s="562" t="s">
        <v>552</v>
      </c>
      <c r="W39" s="546">
        <v>2500000</v>
      </c>
      <c r="X39" s="546"/>
      <c r="Y39" s="562" t="s">
        <v>553</v>
      </c>
      <c r="AD39" s="565"/>
      <c r="AE39" s="565"/>
      <c r="AF39" s="565"/>
      <c r="AG39" s="565"/>
      <c r="AH39" s="565"/>
      <c r="AI39" s="565"/>
      <c r="AJ39" s="565"/>
      <c r="AK39" s="565"/>
    </row>
    <row r="40" spans="1:43" hidden="1">
      <c r="A40" s="527"/>
      <c r="B40" s="528" t="s">
        <v>417</v>
      </c>
      <c r="C40" s="529">
        <v>50</v>
      </c>
      <c r="D40" s="529">
        <v>50</v>
      </c>
      <c r="E40" s="529">
        <v>50</v>
      </c>
      <c r="F40" s="529">
        <v>50</v>
      </c>
      <c r="G40" s="529">
        <v>50</v>
      </c>
      <c r="H40" s="529">
        <v>50</v>
      </c>
      <c r="I40" s="529">
        <v>50</v>
      </c>
      <c r="J40" s="529">
        <v>50</v>
      </c>
      <c r="K40" s="529">
        <v>50</v>
      </c>
      <c r="L40" s="529">
        <v>50</v>
      </c>
      <c r="M40" s="529">
        <v>50</v>
      </c>
      <c r="N40" s="529">
        <v>50</v>
      </c>
      <c r="O40" s="529">
        <v>50</v>
      </c>
      <c r="P40" s="529">
        <v>50</v>
      </c>
      <c r="Q40" s="529">
        <f>'APM-Yearly'!S42</f>
        <v>65</v>
      </c>
      <c r="R40" s="529">
        <v>65</v>
      </c>
      <c r="S40" s="529">
        <v>50</v>
      </c>
      <c r="V40" s="562"/>
      <c r="W40" s="548"/>
      <c r="X40" s="562"/>
      <c r="Y40" s="562"/>
      <c r="AD40" s="565"/>
      <c r="AE40" s="565"/>
      <c r="AF40" s="565"/>
      <c r="AG40" s="565"/>
      <c r="AH40" s="565"/>
      <c r="AI40" s="565"/>
      <c r="AJ40" s="565"/>
      <c r="AK40" s="565"/>
    </row>
    <row r="41" spans="1:43" hidden="1">
      <c r="A41" s="527"/>
      <c r="B41" s="528" t="s">
        <v>410</v>
      </c>
      <c r="C41" s="529">
        <v>60</v>
      </c>
      <c r="D41" s="529">
        <v>60</v>
      </c>
      <c r="E41" s="529">
        <v>60</v>
      </c>
      <c r="F41" s="529">
        <v>60</v>
      </c>
      <c r="G41" s="529">
        <v>60</v>
      </c>
      <c r="H41" s="529">
        <v>60</v>
      </c>
      <c r="I41" s="529">
        <v>60</v>
      </c>
      <c r="J41" s="529">
        <v>60</v>
      </c>
      <c r="K41" s="529">
        <v>60</v>
      </c>
      <c r="L41" s="529">
        <v>60</v>
      </c>
      <c r="M41" s="529">
        <v>60</v>
      </c>
      <c r="N41" s="529">
        <v>60</v>
      </c>
      <c r="O41" s="529">
        <v>60</v>
      </c>
      <c r="P41" s="529">
        <v>60</v>
      </c>
      <c r="Q41" s="529">
        <f>'APM-Yearly'!S43</f>
        <v>35.5</v>
      </c>
      <c r="R41" s="529">
        <v>35.5</v>
      </c>
      <c r="S41" s="529">
        <v>60</v>
      </c>
      <c r="V41" s="562"/>
      <c r="W41" s="548"/>
      <c r="X41" s="562"/>
      <c r="Y41" s="562"/>
      <c r="AD41" s="565"/>
      <c r="AE41" s="565"/>
      <c r="AF41" s="565"/>
      <c r="AG41" s="565"/>
      <c r="AH41" s="565"/>
      <c r="AI41" s="565"/>
      <c r="AJ41" s="565"/>
      <c r="AK41" s="565"/>
    </row>
    <row r="42" spans="1:43" hidden="1">
      <c r="A42" s="527"/>
      <c r="B42" s="528" t="s">
        <v>418</v>
      </c>
      <c r="C42" s="529">
        <v>40</v>
      </c>
      <c r="D42" s="529">
        <v>40</v>
      </c>
      <c r="E42" s="529">
        <v>40</v>
      </c>
      <c r="F42" s="529">
        <v>40</v>
      </c>
      <c r="G42" s="529">
        <v>40</v>
      </c>
      <c r="H42" s="529">
        <v>40</v>
      </c>
      <c r="I42" s="529">
        <v>40</v>
      </c>
      <c r="J42" s="529">
        <v>40</v>
      </c>
      <c r="K42" s="529">
        <v>40</v>
      </c>
      <c r="L42" s="529">
        <v>40</v>
      </c>
      <c r="M42" s="529">
        <v>40</v>
      </c>
      <c r="N42" s="529">
        <v>40</v>
      </c>
      <c r="O42" s="529">
        <v>40</v>
      </c>
      <c r="P42" s="529">
        <v>40</v>
      </c>
      <c r="Q42" s="529">
        <f>'APM-Yearly'!S44</f>
        <v>58</v>
      </c>
      <c r="R42" s="529">
        <v>58</v>
      </c>
      <c r="S42" s="529">
        <v>50</v>
      </c>
      <c r="V42" s="562" t="s">
        <v>554</v>
      </c>
      <c r="W42" s="571">
        <f>W39*X42</f>
        <v>0</v>
      </c>
      <c r="X42" s="572"/>
      <c r="Y42" s="573"/>
    </row>
    <row r="43" spans="1:43" hidden="1">
      <c r="A43" s="527"/>
      <c r="B43" s="528" t="s">
        <v>419</v>
      </c>
      <c r="C43" s="529">
        <v>0</v>
      </c>
      <c r="D43" s="529">
        <v>0</v>
      </c>
      <c r="E43" s="529">
        <v>0</v>
      </c>
      <c r="F43" s="529">
        <v>0</v>
      </c>
      <c r="G43" s="529">
        <v>0</v>
      </c>
      <c r="H43" s="529">
        <v>0</v>
      </c>
      <c r="I43" s="529">
        <v>0</v>
      </c>
      <c r="J43" s="529">
        <v>0</v>
      </c>
      <c r="K43" s="529">
        <v>0</v>
      </c>
      <c r="L43" s="529">
        <v>0</v>
      </c>
      <c r="M43" s="529">
        <v>0</v>
      </c>
      <c r="N43" s="529">
        <v>0</v>
      </c>
      <c r="O43" s="529">
        <v>0</v>
      </c>
      <c r="P43" s="529">
        <v>0</v>
      </c>
      <c r="Q43" s="529">
        <f>'APM-Yearly'!S45</f>
        <v>0</v>
      </c>
      <c r="R43" s="529">
        <v>0</v>
      </c>
      <c r="S43" s="529" t="s">
        <v>37</v>
      </c>
      <c r="V43" s="562" t="s">
        <v>555</v>
      </c>
      <c r="W43" s="546">
        <f>D233</f>
        <v>1025000</v>
      </c>
      <c r="X43" s="562"/>
      <c r="Y43" s="562"/>
    </row>
    <row r="44" spans="1:43" hidden="1">
      <c r="A44" s="527"/>
      <c r="B44" s="528" t="s">
        <v>460</v>
      </c>
      <c r="C44" s="529">
        <v>10</v>
      </c>
      <c r="D44" s="529">
        <v>10</v>
      </c>
      <c r="E44" s="529">
        <v>10</v>
      </c>
      <c r="F44" s="529">
        <v>10</v>
      </c>
      <c r="G44" s="529">
        <v>10</v>
      </c>
      <c r="H44" s="529">
        <v>10</v>
      </c>
      <c r="I44" s="529">
        <v>10</v>
      </c>
      <c r="J44" s="529">
        <v>10</v>
      </c>
      <c r="K44" s="529">
        <v>10</v>
      </c>
      <c r="L44" s="529">
        <v>10</v>
      </c>
      <c r="M44" s="529">
        <v>10</v>
      </c>
      <c r="N44" s="529">
        <v>10</v>
      </c>
      <c r="O44" s="529">
        <v>10</v>
      </c>
      <c r="P44" s="529">
        <v>10</v>
      </c>
      <c r="Q44" s="529">
        <f>'APM-Yearly'!S46</f>
        <v>0.83333333333333337</v>
      </c>
      <c r="R44" s="529">
        <v>0.83333333333333337</v>
      </c>
      <c r="S44" s="529">
        <v>5</v>
      </c>
      <c r="V44" s="562" t="s">
        <v>556</v>
      </c>
      <c r="W44" s="546">
        <v>4890</v>
      </c>
      <c r="X44" s="562"/>
      <c r="Y44" s="562"/>
    </row>
    <row r="45" spans="1:43" hidden="1">
      <c r="A45" s="527"/>
      <c r="B45" s="528" t="s">
        <v>421</v>
      </c>
      <c r="C45" s="529">
        <v>0</v>
      </c>
      <c r="D45" s="529">
        <v>0</v>
      </c>
      <c r="E45" s="529">
        <v>0</v>
      </c>
      <c r="F45" s="529">
        <v>0</v>
      </c>
      <c r="G45" s="529">
        <v>0</v>
      </c>
      <c r="H45" s="529">
        <v>0</v>
      </c>
      <c r="I45" s="529">
        <v>0</v>
      </c>
      <c r="J45" s="529">
        <v>0</v>
      </c>
      <c r="K45" s="529">
        <v>0</v>
      </c>
      <c r="L45" s="529">
        <v>0</v>
      </c>
      <c r="M45" s="529">
        <v>0</v>
      </c>
      <c r="N45" s="529">
        <v>0</v>
      </c>
      <c r="O45" s="560">
        <v>0</v>
      </c>
      <c r="P45" s="560">
        <v>0</v>
      </c>
      <c r="Q45" s="529">
        <f>'APM-Yearly'!S47</f>
        <v>25</v>
      </c>
      <c r="R45" s="529">
        <v>200</v>
      </c>
      <c r="S45" s="560">
        <v>175</v>
      </c>
      <c r="V45" s="562" t="s">
        <v>557</v>
      </c>
      <c r="W45" s="574">
        <v>0.25</v>
      </c>
      <c r="X45" s="562"/>
      <c r="Y45" s="562"/>
    </row>
    <row r="46" spans="1:43" ht="15" hidden="1" customHeight="1">
      <c r="A46" s="2310" t="s">
        <v>422</v>
      </c>
      <c r="B46" s="2311"/>
      <c r="C46" s="2308">
        <f>SUM(C48:C55)</f>
        <v>1498</v>
      </c>
      <c r="D46" s="2308">
        <v>2305.5</v>
      </c>
      <c r="E46" s="2308">
        <v>2305.5</v>
      </c>
      <c r="F46" s="2308">
        <v>2305.5</v>
      </c>
      <c r="G46" s="2315">
        <f>SUM(G48:G55)</f>
        <v>1498</v>
      </c>
      <c r="H46" s="2312">
        <f>SUM(H48:H55)</f>
        <v>1498</v>
      </c>
      <c r="I46" s="2313">
        <f>SUM(I48:I55)</f>
        <v>1498</v>
      </c>
      <c r="J46" s="2313">
        <f>SUM(J48:J55)</f>
        <v>1498</v>
      </c>
      <c r="K46" s="2313">
        <f>SUM(K48:K55)</f>
        <v>1498</v>
      </c>
      <c r="M46" s="2308">
        <v>2305.5</v>
      </c>
      <c r="N46" s="2308">
        <f>SUM(N48:N55)</f>
        <v>1498</v>
      </c>
      <c r="O46" s="2308">
        <f>SUM(O48:O55)</f>
        <v>1523</v>
      </c>
      <c r="P46" s="2308">
        <f>SUM(P48:P55)</f>
        <v>1523</v>
      </c>
      <c r="Q46" s="2308">
        <f>SUM(Q48:Q55)</f>
        <v>3458.9166666666665</v>
      </c>
      <c r="R46" s="2308">
        <v>3458.9166666666665</v>
      </c>
      <c r="S46" s="2308">
        <f>SUM(S48:S55)</f>
        <v>1150</v>
      </c>
      <c r="V46" s="562" t="s">
        <v>558</v>
      </c>
      <c r="W46" s="562">
        <v>0.03</v>
      </c>
      <c r="X46" s="562"/>
      <c r="Y46" s="562"/>
      <c r="AQ46" s="501">
        <f>39975/3198000</f>
        <v>1.2500000000000001E-2</v>
      </c>
    </row>
    <row r="47" spans="1:43" ht="15" hidden="1" customHeight="1">
      <c r="A47" s="2310"/>
      <c r="B47" s="2311"/>
      <c r="C47" s="2309"/>
      <c r="D47" s="2309"/>
      <c r="E47" s="2309"/>
      <c r="F47" s="2309"/>
      <c r="G47" s="2316"/>
      <c r="H47" s="2312"/>
      <c r="I47" s="2313"/>
      <c r="J47" s="2313"/>
      <c r="K47" s="2313"/>
      <c r="M47" s="2309"/>
      <c r="N47" s="2309"/>
      <c r="O47" s="2309"/>
      <c r="P47" s="2309"/>
      <c r="Q47" s="2309"/>
      <c r="R47" s="2309"/>
      <c r="S47" s="2309"/>
      <c r="V47" s="562" t="s">
        <v>529</v>
      </c>
      <c r="W47" s="562">
        <f>3.414/100</f>
        <v>3.4140000000000004E-2</v>
      </c>
      <c r="X47" s="562"/>
      <c r="Y47" s="562"/>
    </row>
    <row r="48" spans="1:43" hidden="1">
      <c r="A48" s="2314"/>
      <c r="B48" s="528" t="s">
        <v>280</v>
      </c>
      <c r="C48" s="529">
        <v>378</v>
      </c>
      <c r="D48" s="529">
        <v>378</v>
      </c>
      <c r="E48" s="529">
        <v>378</v>
      </c>
      <c r="F48" s="529">
        <v>378</v>
      </c>
      <c r="G48" s="529">
        <v>378</v>
      </c>
      <c r="H48" s="529">
        <v>378</v>
      </c>
      <c r="I48" s="529">
        <v>378</v>
      </c>
      <c r="J48" s="529">
        <v>378</v>
      </c>
      <c r="K48" s="529">
        <v>378</v>
      </c>
      <c r="L48" s="529">
        <v>378</v>
      </c>
      <c r="M48" s="529">
        <v>378</v>
      </c>
      <c r="N48" s="529">
        <v>378</v>
      </c>
      <c r="O48" s="529">
        <v>378</v>
      </c>
      <c r="P48" s="529">
        <v>378</v>
      </c>
      <c r="Q48" s="529">
        <f>'APM-Yearly'!S50</f>
        <v>153.91666666666666</v>
      </c>
      <c r="R48" s="529">
        <v>300</v>
      </c>
      <c r="S48" s="529">
        <v>200</v>
      </c>
      <c r="V48" s="562" t="s">
        <v>287</v>
      </c>
      <c r="W48" s="575">
        <v>1.2500000000000001E-2</v>
      </c>
      <c r="X48" s="562"/>
      <c r="Y48" s="562"/>
      <c r="AO48" s="554">
        <f>AP54+AR55</f>
        <v>3193775.25</v>
      </c>
    </row>
    <row r="49" spans="1:51" hidden="1">
      <c r="A49" s="2314"/>
      <c r="B49" s="528" t="s">
        <v>423</v>
      </c>
      <c r="C49" s="529">
        <v>301</v>
      </c>
      <c r="D49" s="529">
        <v>301</v>
      </c>
      <c r="E49" s="529">
        <v>301</v>
      </c>
      <c r="F49" s="529">
        <v>301</v>
      </c>
      <c r="G49" s="529">
        <v>301</v>
      </c>
      <c r="H49" s="529">
        <v>301</v>
      </c>
      <c r="I49" s="529">
        <v>301</v>
      </c>
      <c r="J49" s="529">
        <v>301</v>
      </c>
      <c r="K49" s="529">
        <v>301</v>
      </c>
      <c r="L49" s="529">
        <v>301</v>
      </c>
      <c r="M49" s="529">
        <v>301</v>
      </c>
      <c r="N49" s="529">
        <v>301</v>
      </c>
      <c r="O49" s="529">
        <v>301</v>
      </c>
      <c r="P49" s="529">
        <v>301</v>
      </c>
      <c r="Q49" s="529">
        <f>'APM-Yearly'!S51</f>
        <v>180.58333333333334</v>
      </c>
      <c r="R49" s="529">
        <v>150</v>
      </c>
      <c r="S49" s="529">
        <v>150</v>
      </c>
      <c r="V49" s="562" t="s">
        <v>502</v>
      </c>
      <c r="W49" s="546">
        <v>0</v>
      </c>
      <c r="X49" s="562"/>
      <c r="Y49" s="562"/>
    </row>
    <row r="50" spans="1:51" hidden="1">
      <c r="A50" s="2314"/>
      <c r="B50" s="528" t="s">
        <v>559</v>
      </c>
      <c r="C50" s="529">
        <v>0</v>
      </c>
      <c r="D50" s="529">
        <v>0</v>
      </c>
      <c r="E50" s="529">
        <v>0</v>
      </c>
      <c r="F50" s="529">
        <v>0</v>
      </c>
      <c r="G50" s="529">
        <v>0</v>
      </c>
      <c r="H50" s="529">
        <v>0</v>
      </c>
      <c r="I50" s="529">
        <v>0</v>
      </c>
      <c r="J50" s="529">
        <v>0</v>
      </c>
      <c r="K50" s="529">
        <v>0</v>
      </c>
      <c r="L50" s="529">
        <v>0</v>
      </c>
      <c r="M50" s="529">
        <v>0</v>
      </c>
      <c r="N50" s="529">
        <v>0</v>
      </c>
      <c r="O50" s="529">
        <v>0</v>
      </c>
      <c r="P50" s="529">
        <v>0</v>
      </c>
      <c r="Q50" s="529">
        <f>'APM-Yearly'!S52</f>
        <v>0</v>
      </c>
      <c r="R50" s="529">
        <v>100</v>
      </c>
      <c r="S50" s="529">
        <v>0</v>
      </c>
      <c r="V50" s="562" t="s">
        <v>560</v>
      </c>
      <c r="W50" s="575">
        <v>3.0000000000000001E-3</v>
      </c>
      <c r="X50" s="562"/>
      <c r="Y50" s="562"/>
    </row>
    <row r="51" spans="1:51" hidden="1">
      <c r="A51" s="2314"/>
      <c r="B51" s="528" t="s">
        <v>561</v>
      </c>
      <c r="C51" s="529">
        <v>0</v>
      </c>
      <c r="D51" s="529">
        <v>0</v>
      </c>
      <c r="E51" s="529">
        <v>0</v>
      </c>
      <c r="F51" s="529">
        <v>0</v>
      </c>
      <c r="G51" s="529">
        <v>0</v>
      </c>
      <c r="H51" s="529">
        <v>0</v>
      </c>
      <c r="I51" s="529">
        <v>0</v>
      </c>
      <c r="J51" s="529">
        <v>0</v>
      </c>
      <c r="K51" s="529">
        <v>0</v>
      </c>
      <c r="L51" s="529">
        <v>0</v>
      </c>
      <c r="M51" s="529">
        <v>0</v>
      </c>
      <c r="N51" s="529">
        <v>0</v>
      </c>
      <c r="O51" s="529">
        <v>0</v>
      </c>
      <c r="P51" s="529">
        <v>0</v>
      </c>
      <c r="Q51" s="529">
        <f>'APM-Yearly'!S53</f>
        <v>63</v>
      </c>
      <c r="R51" s="529">
        <v>100</v>
      </c>
      <c r="S51" s="529">
        <v>0</v>
      </c>
      <c r="V51" s="562"/>
      <c r="W51" s="562"/>
      <c r="X51" s="562"/>
      <c r="Y51" s="562"/>
    </row>
    <row r="52" spans="1:51" hidden="1">
      <c r="A52" s="2314"/>
      <c r="B52" s="528" t="s">
        <v>426</v>
      </c>
      <c r="C52" s="529">
        <v>150</v>
      </c>
      <c r="D52" s="529">
        <v>150</v>
      </c>
      <c r="E52" s="529">
        <v>150</v>
      </c>
      <c r="F52" s="529">
        <v>150</v>
      </c>
      <c r="G52" s="529">
        <v>150</v>
      </c>
      <c r="H52" s="529">
        <v>150</v>
      </c>
      <c r="I52" s="529">
        <v>150</v>
      </c>
      <c r="J52" s="529">
        <v>150</v>
      </c>
      <c r="K52" s="529">
        <v>150</v>
      </c>
      <c r="L52" s="529">
        <v>150</v>
      </c>
      <c r="M52" s="529">
        <v>150</v>
      </c>
      <c r="N52" s="529">
        <v>150</v>
      </c>
      <c r="O52" s="529">
        <v>150</v>
      </c>
      <c r="P52" s="529">
        <v>150</v>
      </c>
      <c r="Q52" s="529">
        <f>'APM-Yearly'!S54</f>
        <v>272</v>
      </c>
      <c r="R52" s="529">
        <v>272</v>
      </c>
      <c r="S52" s="529">
        <v>100</v>
      </c>
      <c r="V52" s="562" t="s">
        <v>562</v>
      </c>
      <c r="W52" s="548">
        <f>W21 -W45*12</f>
        <v>54541.599999999977</v>
      </c>
      <c r="X52" s="562"/>
      <c r="Y52" s="562"/>
      <c r="AP52" s="576" t="s">
        <v>563</v>
      </c>
    </row>
    <row r="53" spans="1:51" hidden="1">
      <c r="A53" s="2314"/>
      <c r="B53" s="528" t="s">
        <v>427</v>
      </c>
      <c r="C53" s="529">
        <v>94</v>
      </c>
      <c r="D53" s="529">
        <v>94</v>
      </c>
      <c r="E53" s="529">
        <v>94</v>
      </c>
      <c r="F53" s="529">
        <v>94</v>
      </c>
      <c r="G53" s="529">
        <v>94</v>
      </c>
      <c r="H53" s="529">
        <v>94</v>
      </c>
      <c r="I53" s="529">
        <v>94</v>
      </c>
      <c r="J53" s="529">
        <v>94</v>
      </c>
      <c r="K53" s="529">
        <v>94</v>
      </c>
      <c r="L53" s="529">
        <v>94</v>
      </c>
      <c r="M53" s="529">
        <v>94</v>
      </c>
      <c r="N53" s="529">
        <v>94</v>
      </c>
      <c r="O53" s="529">
        <v>94</v>
      </c>
      <c r="P53" s="529">
        <v>94</v>
      </c>
      <c r="Q53" s="529">
        <f>'APM-Yearly'!S55</f>
        <v>95</v>
      </c>
      <c r="R53" s="529">
        <v>125</v>
      </c>
      <c r="S53" s="529">
        <v>100</v>
      </c>
      <c r="AP53" s="2323" t="s">
        <v>564</v>
      </c>
      <c r="AQ53" s="2323"/>
      <c r="AR53" s="577" t="s">
        <v>241</v>
      </c>
    </row>
    <row r="54" spans="1:51">
      <c r="A54" s="2314"/>
      <c r="B54" s="528" t="s">
        <v>284</v>
      </c>
      <c r="C54" s="529">
        <v>100</v>
      </c>
      <c r="D54" s="529">
        <v>100</v>
      </c>
      <c r="E54" s="529">
        <v>100</v>
      </c>
      <c r="F54" s="529">
        <v>100</v>
      </c>
      <c r="G54" s="529">
        <v>100</v>
      </c>
      <c r="H54" s="529">
        <v>100</v>
      </c>
      <c r="I54" s="529">
        <v>100</v>
      </c>
      <c r="J54" s="529">
        <v>100</v>
      </c>
      <c r="K54" s="529">
        <v>100</v>
      </c>
      <c r="L54" s="529">
        <v>100</v>
      </c>
      <c r="M54" s="529">
        <v>100</v>
      </c>
      <c r="N54" s="529">
        <v>100</v>
      </c>
      <c r="O54" s="529">
        <v>100</v>
      </c>
      <c r="P54" s="529">
        <v>100</v>
      </c>
      <c r="Q54" s="529">
        <f>'APM-Yearly'!S56</f>
        <v>545.41666666666663</v>
      </c>
      <c r="R54" s="529">
        <v>545.41666666666663</v>
      </c>
      <c r="S54" s="529">
        <v>100</v>
      </c>
      <c r="V54" s="516" t="s">
        <v>479</v>
      </c>
      <c r="W54" s="517">
        <v>1200000</v>
      </c>
      <c r="X54" s="517">
        <v>1400000</v>
      </c>
      <c r="Y54" s="517">
        <v>1500000</v>
      </c>
      <c r="Z54" s="518">
        <v>1700000</v>
      </c>
      <c r="AA54" s="518">
        <v>1800000</v>
      </c>
      <c r="AB54" s="518">
        <v>1900000</v>
      </c>
      <c r="AC54" s="518">
        <v>2000000</v>
      </c>
      <c r="AD54" s="518">
        <v>2100000</v>
      </c>
      <c r="AE54" s="578">
        <v>2200000</v>
      </c>
      <c r="AF54" s="578">
        <v>2300000</v>
      </c>
      <c r="AG54" s="578">
        <v>2400000</v>
      </c>
      <c r="AH54" s="578">
        <v>2500000</v>
      </c>
      <c r="AI54" s="578">
        <v>2600000</v>
      </c>
      <c r="AJ54" s="578">
        <v>2700000</v>
      </c>
      <c r="AK54" s="578">
        <v>2800000</v>
      </c>
      <c r="AL54" s="578">
        <v>2900000</v>
      </c>
      <c r="AM54" s="578">
        <v>3100000</v>
      </c>
      <c r="AN54" s="578">
        <v>3250000</v>
      </c>
      <c r="AO54" s="578">
        <v>3300000</v>
      </c>
      <c r="AP54" s="579">
        <v>3235101</v>
      </c>
      <c r="AQ54" s="580">
        <v>3200101</v>
      </c>
      <c r="AR54" s="581">
        <f t="shared" ref="AR54:AR66" si="7">AQ54-AP54</f>
        <v>-35000</v>
      </c>
      <c r="AS54" s="516" t="s">
        <v>479</v>
      </c>
    </row>
    <row r="55" spans="1:51">
      <c r="A55" s="2314"/>
      <c r="B55" s="528" t="s">
        <v>565</v>
      </c>
      <c r="C55" s="529">
        <v>475</v>
      </c>
      <c r="D55" s="529">
        <v>475</v>
      </c>
      <c r="E55" s="529">
        <v>475</v>
      </c>
      <c r="F55" s="529">
        <v>475</v>
      </c>
      <c r="G55" s="529">
        <v>475</v>
      </c>
      <c r="H55" s="529">
        <v>475</v>
      </c>
      <c r="I55" s="529">
        <v>475</v>
      </c>
      <c r="J55" s="529">
        <v>475</v>
      </c>
      <c r="K55" s="529">
        <v>475</v>
      </c>
      <c r="L55" s="529">
        <v>475</v>
      </c>
      <c r="M55" s="529">
        <v>475</v>
      </c>
      <c r="N55" s="529">
        <v>475</v>
      </c>
      <c r="O55" s="560">
        <v>500</v>
      </c>
      <c r="P55" s="560">
        <v>500</v>
      </c>
      <c r="Q55" s="529">
        <f>'APM-Yearly'!S57</f>
        <v>2149</v>
      </c>
      <c r="R55" s="529">
        <v>2149</v>
      </c>
      <c r="S55" s="560">
        <v>500</v>
      </c>
      <c r="V55" s="516" t="s">
        <v>482</v>
      </c>
      <c r="W55" s="520">
        <f>W54-W58</f>
        <v>900000</v>
      </c>
      <c r="X55" s="520">
        <f t="shared" ref="X55:AK55" si="8">X54-X58</f>
        <v>1050000</v>
      </c>
      <c r="Y55" s="520">
        <f t="shared" si="8"/>
        <v>1125000</v>
      </c>
      <c r="Z55" s="520">
        <f t="shared" si="8"/>
        <v>1275000</v>
      </c>
      <c r="AA55" s="520">
        <f t="shared" si="8"/>
        <v>1350000</v>
      </c>
      <c r="AB55" s="520">
        <f t="shared" si="8"/>
        <v>1425000</v>
      </c>
      <c r="AC55" s="520">
        <f t="shared" si="8"/>
        <v>1500000</v>
      </c>
      <c r="AD55" s="520">
        <f t="shared" si="8"/>
        <v>1575000</v>
      </c>
      <c r="AE55" s="520">
        <f t="shared" si="8"/>
        <v>1650000</v>
      </c>
      <c r="AF55" s="520">
        <f t="shared" si="8"/>
        <v>1725000</v>
      </c>
      <c r="AG55" s="520">
        <f t="shared" si="8"/>
        <v>1800000</v>
      </c>
      <c r="AH55" s="520">
        <f t="shared" si="8"/>
        <v>1875000</v>
      </c>
      <c r="AI55" s="520">
        <f t="shared" si="8"/>
        <v>1950000</v>
      </c>
      <c r="AJ55" s="520">
        <f t="shared" si="8"/>
        <v>2025000</v>
      </c>
      <c r="AK55" s="520">
        <f t="shared" si="8"/>
        <v>2100000</v>
      </c>
      <c r="AL55" s="520">
        <f>AL54-AL58</f>
        <v>2175000</v>
      </c>
      <c r="AM55" s="520">
        <f>AM54-AM58</f>
        <v>2325000</v>
      </c>
      <c r="AN55" s="520">
        <f>AN54-AN58</f>
        <v>2437500</v>
      </c>
      <c r="AO55" s="520">
        <f>AO54-AO58</f>
        <v>2475000</v>
      </c>
      <c r="AP55" s="520">
        <f>AP54-AP58</f>
        <v>2426325.75</v>
      </c>
      <c r="AQ55" s="582">
        <v>2385000</v>
      </c>
      <c r="AR55" s="583">
        <f t="shared" si="7"/>
        <v>-41325.75</v>
      </c>
      <c r="AS55" s="516" t="s">
        <v>482</v>
      </c>
      <c r="AU55" s="501" t="s">
        <v>566</v>
      </c>
      <c r="AV55" s="584">
        <v>3000000</v>
      </c>
      <c r="AY55" s="544">
        <f>713922.22 + 97353.03</f>
        <v>811275.25</v>
      </c>
    </row>
    <row r="56" spans="1:51">
      <c r="A56" s="2190"/>
      <c r="B56" s="528"/>
      <c r="C56" s="585"/>
      <c r="D56" s="585"/>
      <c r="E56" s="585"/>
      <c r="F56" s="585"/>
      <c r="G56" s="585"/>
      <c r="H56" s="529"/>
      <c r="I56" s="529"/>
      <c r="J56" s="529"/>
      <c r="K56" s="529"/>
      <c r="L56" s="586"/>
      <c r="M56" s="585"/>
      <c r="N56" s="585"/>
      <c r="O56" s="587"/>
      <c r="P56" s="587"/>
      <c r="Q56" s="585"/>
      <c r="R56" s="585"/>
      <c r="S56" s="587"/>
      <c r="V56" s="516"/>
      <c r="W56" s="520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>
        <f>0.03*AP54</f>
        <v>97053.03</v>
      </c>
      <c r="AQ56" s="520">
        <v>96000</v>
      </c>
      <c r="AR56" s="583">
        <f t="shared" si="7"/>
        <v>-1053.0299999999988</v>
      </c>
      <c r="AS56" s="516" t="s">
        <v>567</v>
      </c>
      <c r="AV56" s="584"/>
    </row>
    <row r="57" spans="1:51">
      <c r="A57" s="2190"/>
      <c r="B57" s="528"/>
      <c r="C57" s="585"/>
      <c r="D57" s="585"/>
      <c r="E57" s="585"/>
      <c r="F57" s="585"/>
      <c r="G57" s="585"/>
      <c r="H57" s="529"/>
      <c r="I57" s="529"/>
      <c r="J57" s="529"/>
      <c r="K57" s="529"/>
      <c r="L57" s="586"/>
      <c r="M57" s="585"/>
      <c r="N57" s="585"/>
      <c r="O57" s="587"/>
      <c r="P57" s="587"/>
      <c r="Q57" s="585"/>
      <c r="R57" s="585"/>
      <c r="S57" s="587"/>
      <c r="V57" s="516"/>
      <c r="W57" s="520"/>
      <c r="X57" s="520"/>
      <c r="Y57" s="520"/>
      <c r="Z57" s="520"/>
      <c r="AA57" s="520"/>
      <c r="AB57" s="520"/>
      <c r="AC57" s="520"/>
      <c r="AD57" s="520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/>
      <c r="AP57" s="520">
        <f>AP58-AP56</f>
        <v>711722.22</v>
      </c>
      <c r="AQ57" s="520">
        <f>AQ58-AQ56</f>
        <v>623101</v>
      </c>
      <c r="AR57" s="583">
        <f t="shared" si="7"/>
        <v>-88621.219999999972</v>
      </c>
      <c r="AS57" s="516" t="s">
        <v>238</v>
      </c>
      <c r="AV57" s="584"/>
    </row>
    <row r="58" spans="1:51" ht="15" customHeight="1">
      <c r="A58" s="2310" t="s">
        <v>435</v>
      </c>
      <c r="B58" s="2311"/>
      <c r="C58" s="2308">
        <f>(SUM(C60:C64))</f>
        <v>1683.9</v>
      </c>
      <c r="D58" s="2308">
        <f>SUM(D60:D64)</f>
        <v>1683.9</v>
      </c>
      <c r="E58" s="2308">
        <f>SUM(E60:E64)</f>
        <v>4000</v>
      </c>
      <c r="F58" s="2308">
        <f>SUM(F60:F64)</f>
        <v>2166</v>
      </c>
      <c r="G58" s="2315" t="e">
        <f>(SUM(G60:G64))</f>
        <v>#REF!</v>
      </c>
      <c r="H58" s="2312">
        <f>(SUM(H60:H64))</f>
        <v>3459.333333333333</v>
      </c>
      <c r="I58" s="2313" t="e">
        <f>(SUM(I60:I64))</f>
        <v>#REF!</v>
      </c>
      <c r="J58" s="2313" t="e">
        <f>(SUM(J60:J64))</f>
        <v>#REF!</v>
      </c>
      <c r="K58" s="2313" t="e">
        <f>(SUM(K60:K64))</f>
        <v>#REF!</v>
      </c>
      <c r="M58" s="2308">
        <f t="shared" ref="M58:S58" si="9">SUM(M60:M64)</f>
        <v>1683.9</v>
      </c>
      <c r="N58" s="2308">
        <f t="shared" si="9"/>
        <v>1683.9</v>
      </c>
      <c r="O58" s="2308">
        <f t="shared" si="9"/>
        <v>3949.9</v>
      </c>
      <c r="P58" s="2308">
        <f t="shared" si="9"/>
        <v>3949.9</v>
      </c>
      <c r="Q58" s="2308">
        <f t="shared" si="9"/>
        <v>2032.9166666666665</v>
      </c>
      <c r="R58" s="2308">
        <v>2032.9166666666665</v>
      </c>
      <c r="S58" s="2308">
        <f t="shared" si="9"/>
        <v>2892</v>
      </c>
      <c r="V58" s="516" t="s">
        <v>486</v>
      </c>
      <c r="W58" s="534">
        <f t="shared" ref="W58:AK58" si="10">$W$45*W54</f>
        <v>300000</v>
      </c>
      <c r="X58" s="534">
        <f t="shared" si="10"/>
        <v>350000</v>
      </c>
      <c r="Y58" s="534">
        <f t="shared" si="10"/>
        <v>375000</v>
      </c>
      <c r="Z58" s="534">
        <f t="shared" si="10"/>
        <v>425000</v>
      </c>
      <c r="AA58" s="534">
        <f t="shared" si="10"/>
        <v>450000</v>
      </c>
      <c r="AB58" s="534">
        <f t="shared" si="10"/>
        <v>475000</v>
      </c>
      <c r="AC58" s="534">
        <f t="shared" si="10"/>
        <v>500000</v>
      </c>
      <c r="AD58" s="534">
        <f t="shared" si="10"/>
        <v>525000</v>
      </c>
      <c r="AE58" s="534">
        <f t="shared" si="10"/>
        <v>550000</v>
      </c>
      <c r="AF58" s="534">
        <f t="shared" si="10"/>
        <v>575000</v>
      </c>
      <c r="AG58" s="534">
        <f t="shared" si="10"/>
        <v>600000</v>
      </c>
      <c r="AH58" s="534">
        <f t="shared" si="10"/>
        <v>625000</v>
      </c>
      <c r="AI58" s="534">
        <f t="shared" si="10"/>
        <v>650000</v>
      </c>
      <c r="AJ58" s="534">
        <f t="shared" si="10"/>
        <v>675000</v>
      </c>
      <c r="AK58" s="534">
        <f t="shared" si="10"/>
        <v>700000</v>
      </c>
      <c r="AL58" s="534">
        <f>$W$45*AL54</f>
        <v>725000</v>
      </c>
      <c r="AM58" s="534">
        <f>$W$45*AM54</f>
        <v>775000</v>
      </c>
      <c r="AN58" s="534">
        <f>$W$45*AN54</f>
        <v>812500</v>
      </c>
      <c r="AO58" s="534">
        <f>$W$45*AO54</f>
        <v>825000</v>
      </c>
      <c r="AP58" s="534">
        <f>$W$45*AP54</f>
        <v>808775.25</v>
      </c>
      <c r="AQ58" s="588">
        <f>AQ54-AQ55-AQ56</f>
        <v>719101</v>
      </c>
      <c r="AR58" s="583">
        <f t="shared" si="7"/>
        <v>-89674.25</v>
      </c>
      <c r="AS58" s="516" t="s">
        <v>486</v>
      </c>
      <c r="AU58" s="501" t="s">
        <v>63</v>
      </c>
      <c r="AV58" s="584">
        <f>AP55</f>
        <v>2426325.75</v>
      </c>
    </row>
    <row r="59" spans="1:51" ht="15" customHeight="1">
      <c r="A59" s="2310"/>
      <c r="B59" s="2311"/>
      <c r="C59" s="2309"/>
      <c r="D59" s="2309"/>
      <c r="E59" s="2309"/>
      <c r="F59" s="2309"/>
      <c r="G59" s="2316"/>
      <c r="H59" s="2312"/>
      <c r="I59" s="2313"/>
      <c r="J59" s="2313"/>
      <c r="K59" s="2313"/>
      <c r="M59" s="2309"/>
      <c r="N59" s="2309"/>
      <c r="O59" s="2309"/>
      <c r="P59" s="2309"/>
      <c r="Q59" s="2309"/>
      <c r="R59" s="2309"/>
      <c r="S59" s="2309"/>
      <c r="V59" s="516" t="s">
        <v>489</v>
      </c>
      <c r="W59" s="534">
        <f t="shared" ref="W59:AK59" si="11">$W$46*W54</f>
        <v>36000</v>
      </c>
      <c r="X59" s="534">
        <f t="shared" si="11"/>
        <v>42000</v>
      </c>
      <c r="Y59" s="534">
        <f t="shared" si="11"/>
        <v>45000</v>
      </c>
      <c r="Z59" s="534">
        <f t="shared" si="11"/>
        <v>51000</v>
      </c>
      <c r="AA59" s="534">
        <f t="shared" si="11"/>
        <v>54000</v>
      </c>
      <c r="AB59" s="534">
        <f t="shared" si="11"/>
        <v>57000</v>
      </c>
      <c r="AC59" s="534">
        <f t="shared" si="11"/>
        <v>60000</v>
      </c>
      <c r="AD59" s="534">
        <f t="shared" si="11"/>
        <v>63000</v>
      </c>
      <c r="AE59" s="534">
        <f t="shared" si="11"/>
        <v>66000</v>
      </c>
      <c r="AF59" s="534">
        <f t="shared" si="11"/>
        <v>69000</v>
      </c>
      <c r="AG59" s="534">
        <f t="shared" si="11"/>
        <v>72000</v>
      </c>
      <c r="AH59" s="534">
        <f t="shared" si="11"/>
        <v>75000</v>
      </c>
      <c r="AI59" s="534">
        <f t="shared" si="11"/>
        <v>78000</v>
      </c>
      <c r="AJ59" s="534">
        <f t="shared" si="11"/>
        <v>81000</v>
      </c>
      <c r="AK59" s="534">
        <f t="shared" si="11"/>
        <v>84000</v>
      </c>
      <c r="AL59" s="534">
        <f>$W$46*AL54</f>
        <v>87000</v>
      </c>
      <c r="AM59" s="534">
        <f>$W$46*AM54</f>
        <v>93000</v>
      </c>
      <c r="AN59" s="534">
        <f>$W$46*AN54</f>
        <v>97500</v>
      </c>
      <c r="AO59" s="534">
        <f>$W$46*AO54</f>
        <v>99000</v>
      </c>
      <c r="AP59" s="534">
        <v>65000</v>
      </c>
      <c r="AQ59" s="588">
        <v>65000</v>
      </c>
      <c r="AR59" s="583">
        <f t="shared" si="7"/>
        <v>0</v>
      </c>
      <c r="AS59" s="516" t="s">
        <v>489</v>
      </c>
      <c r="AU59" s="501" t="s">
        <v>568</v>
      </c>
      <c r="AV59" s="584">
        <f>AV55-AV58</f>
        <v>573674.25</v>
      </c>
    </row>
    <row r="60" spans="1:51">
      <c r="A60" s="527"/>
      <c r="B60" s="528" t="s">
        <v>428</v>
      </c>
      <c r="C60" s="529">
        <v>757.9</v>
      </c>
      <c r="D60" s="529">
        <v>757.9</v>
      </c>
      <c r="E60" s="529">
        <f xml:space="preserve"> 3000 + 1000</f>
        <v>4000</v>
      </c>
      <c r="F60" s="529"/>
      <c r="G60" s="531">
        <f>20000*2/12</f>
        <v>3333.3333333333335</v>
      </c>
      <c r="H60" s="529">
        <f>(6525+6175)/12</f>
        <v>1058.3333333333333</v>
      </c>
      <c r="I60" s="531">
        <v>0</v>
      </c>
      <c r="J60" s="531">
        <f t="shared" ref="J60:K64" si="12">I60-H60</f>
        <v>-1058.3333333333333</v>
      </c>
      <c r="K60" s="531">
        <f t="shared" si="12"/>
        <v>-1058.3333333333333</v>
      </c>
      <c r="M60" s="529">
        <v>757.9</v>
      </c>
      <c r="N60" s="529">
        <v>757.9</v>
      </c>
      <c r="O60" s="529">
        <v>757.9</v>
      </c>
      <c r="P60" s="529">
        <v>757.9</v>
      </c>
      <c r="Q60" s="529">
        <f>'APM-Yearly'!S60</f>
        <v>1535.25</v>
      </c>
      <c r="R60" s="529">
        <v>1535.25</v>
      </c>
      <c r="S60" s="529">
        <v>800</v>
      </c>
      <c r="V60" s="516" t="s">
        <v>491</v>
      </c>
      <c r="W60" s="538">
        <f>W58+W59</f>
        <v>336000</v>
      </c>
      <c r="X60" s="538">
        <f t="shared" ref="X60:AK60" si="13">X58+X59</f>
        <v>392000</v>
      </c>
      <c r="Y60" s="538">
        <f t="shared" si="13"/>
        <v>420000</v>
      </c>
      <c r="Z60" s="538">
        <f t="shared" si="13"/>
        <v>476000</v>
      </c>
      <c r="AA60" s="538">
        <f t="shared" si="13"/>
        <v>504000</v>
      </c>
      <c r="AB60" s="538">
        <f t="shared" si="13"/>
        <v>532000</v>
      </c>
      <c r="AC60" s="538">
        <f t="shared" si="13"/>
        <v>560000</v>
      </c>
      <c r="AD60" s="538">
        <f t="shared" si="13"/>
        <v>588000</v>
      </c>
      <c r="AE60" s="538">
        <f t="shared" si="13"/>
        <v>616000</v>
      </c>
      <c r="AF60" s="538">
        <f t="shared" si="13"/>
        <v>644000</v>
      </c>
      <c r="AG60" s="538">
        <f t="shared" si="13"/>
        <v>672000</v>
      </c>
      <c r="AH60" s="538">
        <f t="shared" si="13"/>
        <v>700000</v>
      </c>
      <c r="AI60" s="538">
        <f t="shared" si="13"/>
        <v>728000</v>
      </c>
      <c r="AJ60" s="538">
        <f t="shared" si="13"/>
        <v>756000</v>
      </c>
      <c r="AK60" s="538">
        <f t="shared" si="13"/>
        <v>784000</v>
      </c>
      <c r="AL60" s="538">
        <f t="shared" ref="AL60:AQ60" si="14">AL58+AL59</f>
        <v>812000</v>
      </c>
      <c r="AM60" s="538">
        <f t="shared" si="14"/>
        <v>868000</v>
      </c>
      <c r="AN60" s="538">
        <f t="shared" si="14"/>
        <v>910000</v>
      </c>
      <c r="AO60" s="538">
        <f t="shared" si="14"/>
        <v>924000</v>
      </c>
      <c r="AP60" s="579">
        <f t="shared" si="14"/>
        <v>873775.25</v>
      </c>
      <c r="AQ60" s="580">
        <f t="shared" si="14"/>
        <v>784101</v>
      </c>
      <c r="AR60" s="581">
        <f t="shared" si="7"/>
        <v>-89674.25</v>
      </c>
      <c r="AS60" s="516" t="s">
        <v>491</v>
      </c>
      <c r="AU60" s="501" t="s">
        <v>242</v>
      </c>
      <c r="AV60" s="589">
        <f>1- AV59/AV55</f>
        <v>0.80877525000000006</v>
      </c>
    </row>
    <row r="61" spans="1:51">
      <c r="A61" s="527"/>
      <c r="B61" s="528" t="s">
        <v>569</v>
      </c>
      <c r="C61" s="529">
        <v>634</v>
      </c>
      <c r="D61" s="529">
        <v>634</v>
      </c>
      <c r="E61" s="529">
        <v>0</v>
      </c>
      <c r="F61" s="529">
        <f t="shared" ref="F61:L61" si="15" xml:space="preserve"> 1166 + 1200*2/12 + (600 * 8 * 2)/12</f>
        <v>2166</v>
      </c>
      <c r="G61" s="529">
        <f t="shared" si="15"/>
        <v>2166</v>
      </c>
      <c r="H61" s="529">
        <f t="shared" si="15"/>
        <v>2166</v>
      </c>
      <c r="I61" s="529">
        <f t="shared" si="15"/>
        <v>2166</v>
      </c>
      <c r="J61" s="529">
        <f t="shared" si="15"/>
        <v>2166</v>
      </c>
      <c r="K61" s="529">
        <f t="shared" si="15"/>
        <v>2166</v>
      </c>
      <c r="L61" s="529">
        <f t="shared" si="15"/>
        <v>2166</v>
      </c>
      <c r="M61" s="529">
        <v>634</v>
      </c>
      <c r="N61" s="529">
        <v>634</v>
      </c>
      <c r="O61" s="529">
        <v>2900</v>
      </c>
      <c r="P61" s="529">
        <v>2900</v>
      </c>
      <c r="Q61" s="529">
        <f>'APM-Yearly'!S61</f>
        <v>381.66666666666663</v>
      </c>
      <c r="R61" s="529">
        <v>381.66666666666663</v>
      </c>
      <c r="S61" s="529">
        <v>1800</v>
      </c>
      <c r="V61" s="516" t="s">
        <v>494</v>
      </c>
      <c r="W61" s="534">
        <f t="shared" ref="W61:AK61" si="16">$W$43-W60</f>
        <v>689000</v>
      </c>
      <c r="X61" s="534">
        <f t="shared" si="16"/>
        <v>633000</v>
      </c>
      <c r="Y61" s="534">
        <f t="shared" si="16"/>
        <v>605000</v>
      </c>
      <c r="Z61" s="534">
        <f t="shared" si="16"/>
        <v>549000</v>
      </c>
      <c r="AA61" s="534">
        <f t="shared" si="16"/>
        <v>521000</v>
      </c>
      <c r="AB61" s="534">
        <f t="shared" si="16"/>
        <v>493000</v>
      </c>
      <c r="AC61" s="534">
        <f t="shared" si="16"/>
        <v>465000</v>
      </c>
      <c r="AD61" s="534">
        <f t="shared" si="16"/>
        <v>437000</v>
      </c>
      <c r="AE61" s="534">
        <f t="shared" si="16"/>
        <v>409000</v>
      </c>
      <c r="AF61" s="558">
        <f t="shared" si="16"/>
        <v>381000</v>
      </c>
      <c r="AG61" s="558">
        <f t="shared" si="16"/>
        <v>353000</v>
      </c>
      <c r="AH61" s="558">
        <f t="shared" si="16"/>
        <v>325000</v>
      </c>
      <c r="AI61" s="558">
        <f t="shared" si="16"/>
        <v>297000</v>
      </c>
      <c r="AJ61" s="558">
        <f t="shared" si="16"/>
        <v>269000</v>
      </c>
      <c r="AK61" s="558">
        <f t="shared" si="16"/>
        <v>241000</v>
      </c>
      <c r="AL61" s="558">
        <f t="shared" ref="AL61:AQ61" si="17">$W$43-AL60</f>
        <v>213000</v>
      </c>
      <c r="AM61" s="558">
        <f t="shared" si="17"/>
        <v>157000</v>
      </c>
      <c r="AN61" s="558">
        <f t="shared" si="17"/>
        <v>115000</v>
      </c>
      <c r="AO61" s="558">
        <f t="shared" si="17"/>
        <v>101000</v>
      </c>
      <c r="AP61" s="558">
        <f t="shared" si="17"/>
        <v>151224.75</v>
      </c>
      <c r="AQ61" s="590">
        <f t="shared" si="17"/>
        <v>240899</v>
      </c>
      <c r="AR61" s="591">
        <f t="shared" si="7"/>
        <v>89674.25</v>
      </c>
      <c r="AS61" s="592" t="s">
        <v>494</v>
      </c>
    </row>
    <row r="62" spans="1:51">
      <c r="A62" s="527"/>
      <c r="B62" s="528" t="s">
        <v>570</v>
      </c>
      <c r="C62" s="529">
        <v>235</v>
      </c>
      <c r="D62" s="529">
        <v>235</v>
      </c>
      <c r="E62" s="529">
        <v>0</v>
      </c>
      <c r="F62" s="529"/>
      <c r="G62" s="531" t="e">
        <f>#REF!*$G$2</f>
        <v>#REF!</v>
      </c>
      <c r="H62" s="529">
        <f>C62*$G$2</f>
        <v>235</v>
      </c>
      <c r="I62" s="531" t="e">
        <f>G62*$G$2</f>
        <v>#REF!</v>
      </c>
      <c r="J62" s="531" t="e">
        <f t="shared" si="12"/>
        <v>#REF!</v>
      </c>
      <c r="K62" s="531" t="e">
        <f t="shared" si="12"/>
        <v>#REF!</v>
      </c>
      <c r="M62" s="529">
        <v>235</v>
      </c>
      <c r="N62" s="529">
        <v>235</v>
      </c>
      <c r="O62" s="529">
        <v>235</v>
      </c>
      <c r="P62" s="529">
        <v>235</v>
      </c>
      <c r="Q62" s="529">
        <f>'APM-Yearly'!S62</f>
        <v>0</v>
      </c>
      <c r="R62" s="529">
        <v>100000</v>
      </c>
      <c r="S62" s="529">
        <v>235</v>
      </c>
      <c r="V62" s="516" t="s">
        <v>496</v>
      </c>
      <c r="W62" s="542">
        <f t="shared" ref="W62:AK62" si="18">-PMT($W$47/12,360,W55,0)</f>
        <v>3998.3208135897476</v>
      </c>
      <c r="X62" s="542">
        <f t="shared" si="18"/>
        <v>4664.7076158547052</v>
      </c>
      <c r="Y62" s="542">
        <f t="shared" si="18"/>
        <v>4997.9010169871844</v>
      </c>
      <c r="Z62" s="542">
        <f t="shared" si="18"/>
        <v>5664.2878192521421</v>
      </c>
      <c r="AA62" s="542">
        <f t="shared" si="18"/>
        <v>5997.4812203846213</v>
      </c>
      <c r="AB62" s="542">
        <f t="shared" si="18"/>
        <v>6330.6746215170988</v>
      </c>
      <c r="AC62" s="542">
        <f t="shared" si="18"/>
        <v>6663.868022649579</v>
      </c>
      <c r="AD62" s="542">
        <f t="shared" si="18"/>
        <v>6997.0614237820582</v>
      </c>
      <c r="AE62" s="542">
        <f t="shared" si="18"/>
        <v>7330.2548249145357</v>
      </c>
      <c r="AF62" s="542">
        <f t="shared" si="18"/>
        <v>7663.4482260470159</v>
      </c>
      <c r="AG62" s="542">
        <f t="shared" si="18"/>
        <v>7996.6416271794951</v>
      </c>
      <c r="AH62" s="542">
        <f t="shared" si="18"/>
        <v>8329.8350283119726</v>
      </c>
      <c r="AI62" s="542">
        <f t="shared" si="18"/>
        <v>8663.0284294444518</v>
      </c>
      <c r="AJ62" s="542">
        <f t="shared" si="18"/>
        <v>8996.2218305769311</v>
      </c>
      <c r="AK62" s="542">
        <f t="shared" si="18"/>
        <v>9329.4152317094104</v>
      </c>
      <c r="AL62" s="542">
        <f>-PMT($W$47/12,360,AL55,0)</f>
        <v>9662.6086328418896</v>
      </c>
      <c r="AM62" s="542">
        <f>-PMT($W$47/12,360,AM55,0)</f>
        <v>10328.995435106846</v>
      </c>
      <c r="AN62" s="542">
        <f>-PMT($W$47/12,360,AN55,0)</f>
        <v>10828.785536805566</v>
      </c>
      <c r="AO62" s="542">
        <f>-PMT($W$47/12,360,AO55,0)</f>
        <v>10995.382237371805</v>
      </c>
      <c r="AP62" s="542">
        <v>9424</v>
      </c>
      <c r="AQ62" s="593">
        <v>9425</v>
      </c>
      <c r="AR62" s="594">
        <f t="shared" si="7"/>
        <v>1</v>
      </c>
      <c r="AS62" s="516" t="s">
        <v>496</v>
      </c>
    </row>
    <row r="63" spans="1:51">
      <c r="A63" s="527"/>
      <c r="B63" s="528" t="s">
        <v>436</v>
      </c>
      <c r="C63" s="529">
        <v>0</v>
      </c>
      <c r="D63" s="529">
        <v>0</v>
      </c>
      <c r="E63" s="529">
        <v>0</v>
      </c>
      <c r="F63" s="529">
        <v>0</v>
      </c>
      <c r="G63" s="531" t="e">
        <f>#REF!*$G$2</f>
        <v>#REF!</v>
      </c>
      <c r="H63" s="529">
        <v>0</v>
      </c>
      <c r="I63" s="531">
        <v>0</v>
      </c>
      <c r="J63" s="531">
        <f t="shared" si="12"/>
        <v>0</v>
      </c>
      <c r="K63" s="531">
        <f t="shared" si="12"/>
        <v>0</v>
      </c>
      <c r="M63" s="529">
        <v>0</v>
      </c>
      <c r="N63" s="529">
        <v>0</v>
      </c>
      <c r="O63" s="529">
        <v>0</v>
      </c>
      <c r="P63" s="529">
        <v>0</v>
      </c>
      <c r="Q63" s="529">
        <f>'APM-Yearly'!S63</f>
        <v>83.166666666666671</v>
      </c>
      <c r="R63" s="529">
        <v>83.166666666666671</v>
      </c>
      <c r="S63" s="529">
        <v>0</v>
      </c>
      <c r="U63" s="595"/>
      <c r="V63" s="516" t="s">
        <v>287</v>
      </c>
      <c r="W63" s="534">
        <f t="shared" ref="W63:AK63" si="19">W54*$W$48/12</f>
        <v>1250</v>
      </c>
      <c r="X63" s="534">
        <f t="shared" si="19"/>
        <v>1458.3333333333333</v>
      </c>
      <c r="Y63" s="534">
        <f t="shared" si="19"/>
        <v>1562.5</v>
      </c>
      <c r="Z63" s="534">
        <f t="shared" si="19"/>
        <v>1770.8333333333333</v>
      </c>
      <c r="AA63" s="534">
        <f t="shared" si="19"/>
        <v>1875</v>
      </c>
      <c r="AB63" s="534">
        <f t="shared" si="19"/>
        <v>1979.1666666666667</v>
      </c>
      <c r="AC63" s="534">
        <f t="shared" si="19"/>
        <v>2083.3333333333335</v>
      </c>
      <c r="AD63" s="534">
        <f t="shared" si="19"/>
        <v>2187.5</v>
      </c>
      <c r="AE63" s="534">
        <f t="shared" si="19"/>
        <v>2291.6666666666665</v>
      </c>
      <c r="AF63" s="534">
        <f t="shared" si="19"/>
        <v>2395.8333333333335</v>
      </c>
      <c r="AG63" s="534">
        <f t="shared" si="19"/>
        <v>2500</v>
      </c>
      <c r="AH63" s="534">
        <f t="shared" si="19"/>
        <v>2604.1666666666665</v>
      </c>
      <c r="AI63" s="534">
        <f t="shared" si="19"/>
        <v>2708.3333333333335</v>
      </c>
      <c r="AJ63" s="534">
        <f t="shared" si="19"/>
        <v>2812.5</v>
      </c>
      <c r="AK63" s="534">
        <f t="shared" si="19"/>
        <v>2916.6666666666665</v>
      </c>
      <c r="AL63" s="534">
        <f>AL54*$W$48/12</f>
        <v>3020.8333333333335</v>
      </c>
      <c r="AM63" s="534">
        <f>AM54*$W$48/12</f>
        <v>3229.1666666666665</v>
      </c>
      <c r="AN63" s="534">
        <f>AN54*$W$48/12</f>
        <v>3385.4166666666665</v>
      </c>
      <c r="AO63" s="534">
        <f>AO54*$W$48/12</f>
        <v>3437.5</v>
      </c>
      <c r="AP63" s="534">
        <f>AP54*$W$48/12</f>
        <v>3369.8968750000004</v>
      </c>
      <c r="AQ63" s="596">
        <v>3689</v>
      </c>
      <c r="AR63" s="594">
        <f t="shared" si="7"/>
        <v>319.10312499999964</v>
      </c>
      <c r="AS63" s="516" t="s">
        <v>287</v>
      </c>
    </row>
    <row r="64" spans="1:51">
      <c r="A64" s="527"/>
      <c r="B64" s="528" t="s">
        <v>130</v>
      </c>
      <c r="C64" s="529">
        <v>57</v>
      </c>
      <c r="D64" s="529">
        <v>57</v>
      </c>
      <c r="E64" s="529">
        <v>0</v>
      </c>
      <c r="F64" s="529">
        <v>0</v>
      </c>
      <c r="G64" s="531" t="e">
        <f>#REF!*$G$2</f>
        <v>#REF!</v>
      </c>
      <c r="H64" s="529">
        <v>0</v>
      </c>
      <c r="I64" s="531">
        <v>0</v>
      </c>
      <c r="J64" s="531">
        <f t="shared" si="12"/>
        <v>0</v>
      </c>
      <c r="K64" s="531">
        <f t="shared" si="12"/>
        <v>0</v>
      </c>
      <c r="M64" s="529">
        <v>57</v>
      </c>
      <c r="N64" s="529">
        <v>57</v>
      </c>
      <c r="O64" s="529">
        <v>57</v>
      </c>
      <c r="P64" s="529">
        <v>57</v>
      </c>
      <c r="Q64" s="529">
        <f>'APM-Yearly'!S64</f>
        <v>32.833333333333336</v>
      </c>
      <c r="R64" s="529">
        <v>32.833333333333336</v>
      </c>
      <c r="S64" s="529">
        <v>57</v>
      </c>
      <c r="V64" s="516" t="s">
        <v>502</v>
      </c>
      <c r="W64" s="520">
        <f t="shared" ref="W64:AQ64" si="20">$W$49</f>
        <v>0</v>
      </c>
      <c r="X64" s="520">
        <f t="shared" si="20"/>
        <v>0</v>
      </c>
      <c r="Y64" s="520">
        <f t="shared" si="20"/>
        <v>0</v>
      </c>
      <c r="Z64" s="520">
        <f t="shared" si="20"/>
        <v>0</v>
      </c>
      <c r="AA64" s="520">
        <f t="shared" si="20"/>
        <v>0</v>
      </c>
      <c r="AB64" s="520">
        <f t="shared" si="20"/>
        <v>0</v>
      </c>
      <c r="AC64" s="520">
        <f t="shared" si="20"/>
        <v>0</v>
      </c>
      <c r="AD64" s="520">
        <f t="shared" si="20"/>
        <v>0</v>
      </c>
      <c r="AE64" s="520">
        <f t="shared" si="20"/>
        <v>0</v>
      </c>
      <c r="AF64" s="520">
        <f t="shared" si="20"/>
        <v>0</v>
      </c>
      <c r="AG64" s="520">
        <f t="shared" si="20"/>
        <v>0</v>
      </c>
      <c r="AH64" s="520">
        <f t="shared" si="20"/>
        <v>0</v>
      </c>
      <c r="AI64" s="520">
        <f t="shared" si="20"/>
        <v>0</v>
      </c>
      <c r="AJ64" s="520">
        <f t="shared" si="20"/>
        <v>0</v>
      </c>
      <c r="AK64" s="520">
        <f t="shared" si="20"/>
        <v>0</v>
      </c>
      <c r="AL64" s="520">
        <f t="shared" si="20"/>
        <v>0</v>
      </c>
      <c r="AM64" s="520">
        <f t="shared" si="20"/>
        <v>0</v>
      </c>
      <c r="AN64" s="520">
        <f t="shared" si="20"/>
        <v>0</v>
      </c>
      <c r="AO64" s="520">
        <f t="shared" si="20"/>
        <v>0</v>
      </c>
      <c r="AP64" s="520">
        <f t="shared" si="20"/>
        <v>0</v>
      </c>
      <c r="AQ64" s="582">
        <f t="shared" si="20"/>
        <v>0</v>
      </c>
      <c r="AR64" s="594">
        <f t="shared" si="7"/>
        <v>0</v>
      </c>
      <c r="AS64" s="516" t="s">
        <v>502</v>
      </c>
    </row>
    <row r="65" spans="1:53" ht="15" customHeight="1">
      <c r="A65" s="2310" t="s">
        <v>286</v>
      </c>
      <c r="B65" s="2311"/>
      <c r="C65" s="2183">
        <f t="shared" ref="C65:P65" si="21">SUM(C67:C68)</f>
        <v>750</v>
      </c>
      <c r="D65" s="2183">
        <f t="shared" si="21"/>
        <v>750</v>
      </c>
      <c r="E65" s="2183">
        <f t="shared" si="21"/>
        <v>750</v>
      </c>
      <c r="F65" s="2183">
        <f t="shared" si="21"/>
        <v>750</v>
      </c>
      <c r="G65" s="2183">
        <f t="shared" si="21"/>
        <v>750</v>
      </c>
      <c r="H65" s="2183">
        <f t="shared" si="21"/>
        <v>750</v>
      </c>
      <c r="I65" s="2183">
        <f t="shared" si="21"/>
        <v>750</v>
      </c>
      <c r="J65" s="2183">
        <f t="shared" si="21"/>
        <v>0</v>
      </c>
      <c r="K65" s="2183">
        <f t="shared" si="21"/>
        <v>-750</v>
      </c>
      <c r="L65" s="2183">
        <f t="shared" si="21"/>
        <v>0</v>
      </c>
      <c r="M65" s="2183">
        <f t="shared" si="21"/>
        <v>750</v>
      </c>
      <c r="N65" s="2183">
        <f t="shared" si="21"/>
        <v>600</v>
      </c>
      <c r="O65" s="2183">
        <f t="shared" si="21"/>
        <v>600</v>
      </c>
      <c r="P65" s="2183">
        <f t="shared" si="21"/>
        <v>600</v>
      </c>
      <c r="Q65" s="2183">
        <f>SUM(Q67:Q68)</f>
        <v>105.08333333333333</v>
      </c>
      <c r="R65" s="2183">
        <v>105.08333333333333</v>
      </c>
      <c r="S65" s="2183">
        <f>SUM(S67:S68)</f>
        <v>600</v>
      </c>
      <c r="V65" s="516" t="s">
        <v>505</v>
      </c>
      <c r="W65" s="534">
        <f t="shared" ref="W65:AK65" si="22">W54*$W$50/12</f>
        <v>300</v>
      </c>
      <c r="X65" s="534">
        <f t="shared" si="22"/>
        <v>350</v>
      </c>
      <c r="Y65" s="534">
        <f t="shared" si="22"/>
        <v>375</v>
      </c>
      <c r="Z65" s="534">
        <f t="shared" si="22"/>
        <v>425</v>
      </c>
      <c r="AA65" s="534">
        <f t="shared" si="22"/>
        <v>450</v>
      </c>
      <c r="AB65" s="534">
        <f t="shared" si="22"/>
        <v>475</v>
      </c>
      <c r="AC65" s="534">
        <f t="shared" si="22"/>
        <v>500</v>
      </c>
      <c r="AD65" s="534">
        <f t="shared" si="22"/>
        <v>525</v>
      </c>
      <c r="AE65" s="534">
        <f t="shared" si="22"/>
        <v>550</v>
      </c>
      <c r="AF65" s="534">
        <f t="shared" si="22"/>
        <v>575</v>
      </c>
      <c r="AG65" s="534">
        <f t="shared" si="22"/>
        <v>600</v>
      </c>
      <c r="AH65" s="534">
        <f t="shared" si="22"/>
        <v>625</v>
      </c>
      <c r="AI65" s="534">
        <f t="shared" si="22"/>
        <v>650</v>
      </c>
      <c r="AJ65" s="534">
        <f t="shared" si="22"/>
        <v>675</v>
      </c>
      <c r="AK65" s="534">
        <f t="shared" si="22"/>
        <v>700</v>
      </c>
      <c r="AL65" s="534">
        <f>AL54*$W$50/12</f>
        <v>725</v>
      </c>
      <c r="AM65" s="534">
        <f>AM54*$W$50/12</f>
        <v>775</v>
      </c>
      <c r="AN65" s="534">
        <f>AN54*$W$50/12</f>
        <v>812.5</v>
      </c>
      <c r="AO65" s="534">
        <f>AO54*$W$50/12</f>
        <v>825</v>
      </c>
      <c r="AP65" s="534">
        <v>200</v>
      </c>
      <c r="AQ65" s="596">
        <v>100</v>
      </c>
      <c r="AR65" s="594">
        <f t="shared" si="7"/>
        <v>-100</v>
      </c>
      <c r="AS65" s="516" t="s">
        <v>505</v>
      </c>
    </row>
    <row r="66" spans="1:53" ht="15" customHeight="1">
      <c r="A66" s="2310"/>
      <c r="B66" s="2311"/>
      <c r="C66" s="2184"/>
      <c r="D66" s="2184"/>
      <c r="E66" s="2184"/>
      <c r="F66" s="2184"/>
      <c r="G66" s="2184"/>
      <c r="H66" s="2184"/>
      <c r="I66" s="2184"/>
      <c r="J66" s="2184"/>
      <c r="K66" s="2184"/>
      <c r="L66" s="2184"/>
      <c r="M66" s="2184"/>
      <c r="N66" s="2184"/>
      <c r="O66" s="2184"/>
      <c r="P66" s="2184"/>
      <c r="Q66" s="2184"/>
      <c r="R66" s="2184"/>
      <c r="S66" s="2184"/>
      <c r="V66" s="516" t="s">
        <v>280</v>
      </c>
      <c r="W66" s="546">
        <f>150</f>
        <v>150</v>
      </c>
      <c r="X66" s="546">
        <f>150</f>
        <v>150</v>
      </c>
      <c r="Y66" s="546">
        <f>150</f>
        <v>150</v>
      </c>
      <c r="Z66" s="546">
        <f>150</f>
        <v>150</v>
      </c>
      <c r="AA66" s="546">
        <f>150</f>
        <v>150</v>
      </c>
      <c r="AB66" s="546">
        <f>150</f>
        <v>150</v>
      </c>
      <c r="AC66" s="546">
        <f>150</f>
        <v>150</v>
      </c>
      <c r="AD66" s="546">
        <f>150</f>
        <v>150</v>
      </c>
      <c r="AE66" s="546">
        <f>150</f>
        <v>150</v>
      </c>
      <c r="AF66" s="546">
        <f>150</f>
        <v>150</v>
      </c>
      <c r="AG66" s="546">
        <f>150</f>
        <v>150</v>
      </c>
      <c r="AH66" s="546">
        <f>150</f>
        <v>150</v>
      </c>
      <c r="AI66" s="546">
        <f>150</f>
        <v>150</v>
      </c>
      <c r="AJ66" s="546">
        <f>150</f>
        <v>150</v>
      </c>
      <c r="AK66" s="546">
        <f>150</f>
        <v>150</v>
      </c>
      <c r="AL66" s="546">
        <f>150</f>
        <v>150</v>
      </c>
      <c r="AM66" s="546">
        <f>150</f>
        <v>150</v>
      </c>
      <c r="AN66" s="546">
        <f>150</f>
        <v>150</v>
      </c>
      <c r="AO66" s="546">
        <f>150</f>
        <v>150</v>
      </c>
      <c r="AP66" s="548">
        <v>0</v>
      </c>
      <c r="AQ66" s="596">
        <v>150</v>
      </c>
      <c r="AR66" s="594">
        <f t="shared" si="7"/>
        <v>150</v>
      </c>
      <c r="AS66" s="516" t="s">
        <v>280</v>
      </c>
    </row>
    <row r="67" spans="1:53">
      <c r="A67" s="527"/>
      <c r="B67" s="528" t="s">
        <v>82</v>
      </c>
      <c r="C67" s="529">
        <v>750</v>
      </c>
      <c r="D67" s="529">
        <v>750</v>
      </c>
      <c r="E67" s="529">
        <v>750</v>
      </c>
      <c r="F67" s="529">
        <v>750</v>
      </c>
      <c r="G67" s="531">
        <v>750</v>
      </c>
      <c r="H67" s="529">
        <v>750</v>
      </c>
      <c r="I67" s="531">
        <v>750</v>
      </c>
      <c r="J67" s="531">
        <f>I67-H67</f>
        <v>0</v>
      </c>
      <c r="K67" s="531">
        <f>J67-I67</f>
        <v>-750</v>
      </c>
      <c r="M67" s="529">
        <v>750</v>
      </c>
      <c r="N67" s="529">
        <v>600</v>
      </c>
      <c r="O67" s="529">
        <v>600</v>
      </c>
      <c r="P67" s="529">
        <v>600</v>
      </c>
      <c r="Q67" s="529">
        <f>'APM-Yearly'!S67</f>
        <v>105.08333333333333</v>
      </c>
      <c r="R67" s="529">
        <v>250</v>
      </c>
      <c r="S67" s="529">
        <v>600</v>
      </c>
      <c r="V67" s="516" t="s">
        <v>508</v>
      </c>
      <c r="W67" s="547">
        <f>SUM(W62:W66)</f>
        <v>5698.3208135897476</v>
      </c>
      <c r="X67" s="547">
        <f t="shared" ref="X67:AK67" si="23">SUM(X62:X66)</f>
        <v>6623.0409491880382</v>
      </c>
      <c r="Y67" s="547">
        <f t="shared" si="23"/>
        <v>7085.4010169871844</v>
      </c>
      <c r="Z67" s="547">
        <f t="shared" si="23"/>
        <v>8010.1211525854751</v>
      </c>
      <c r="AA67" s="547">
        <f t="shared" si="23"/>
        <v>8472.4812203846213</v>
      </c>
      <c r="AB67" s="547">
        <f t="shared" si="23"/>
        <v>8934.8412881837648</v>
      </c>
      <c r="AC67" s="547">
        <f t="shared" si="23"/>
        <v>9397.201355982912</v>
      </c>
      <c r="AD67" s="547">
        <f t="shared" si="23"/>
        <v>9859.5614237820591</v>
      </c>
      <c r="AE67" s="547">
        <f t="shared" si="23"/>
        <v>10321.921491581203</v>
      </c>
      <c r="AF67" s="547">
        <f t="shared" si="23"/>
        <v>10784.28155938035</v>
      </c>
      <c r="AG67" s="547">
        <f t="shared" si="23"/>
        <v>11246.641627179495</v>
      </c>
      <c r="AH67" s="547">
        <f t="shared" si="23"/>
        <v>11709.001694978639</v>
      </c>
      <c r="AI67" s="547">
        <f t="shared" si="23"/>
        <v>12171.361762777786</v>
      </c>
      <c r="AJ67" s="547">
        <f t="shared" si="23"/>
        <v>12633.721830576931</v>
      </c>
      <c r="AK67" s="547">
        <f t="shared" si="23"/>
        <v>13096.081898376076</v>
      </c>
      <c r="AL67" s="547">
        <f t="shared" ref="AL67:AQ67" si="24">SUM(AL62:AL66)</f>
        <v>13558.441966175224</v>
      </c>
      <c r="AM67" s="547">
        <f t="shared" si="24"/>
        <v>14483.162101773512</v>
      </c>
      <c r="AN67" s="547">
        <f t="shared" si="24"/>
        <v>15176.702203472232</v>
      </c>
      <c r="AO67" s="547">
        <f t="shared" si="24"/>
        <v>15407.882237371805</v>
      </c>
      <c r="AP67" s="547">
        <f t="shared" si="24"/>
        <v>12993.896875</v>
      </c>
      <c r="AQ67" s="597">
        <f t="shared" si="24"/>
        <v>13364</v>
      </c>
      <c r="AR67" s="598">
        <f t="shared" ref="AR67:AR77" si="25">AQ67-AP67</f>
        <v>370.10312499999964</v>
      </c>
      <c r="AS67" s="516" t="s">
        <v>508</v>
      </c>
    </row>
    <row r="68" spans="1:53">
      <c r="A68" s="527"/>
      <c r="B68" s="528" t="s">
        <v>83</v>
      </c>
      <c r="C68" s="529">
        <v>0</v>
      </c>
      <c r="D68" s="529">
        <v>0</v>
      </c>
      <c r="E68" s="529">
        <v>0</v>
      </c>
      <c r="F68" s="529">
        <v>0</v>
      </c>
      <c r="G68" s="531">
        <f>C68*12</f>
        <v>0</v>
      </c>
      <c r="H68" s="529">
        <f>G68*12</f>
        <v>0</v>
      </c>
      <c r="I68" s="531">
        <f>H68*12</f>
        <v>0</v>
      </c>
      <c r="J68" s="531">
        <f>I68-H68</f>
        <v>0</v>
      </c>
      <c r="K68" s="531">
        <f>J68-I68</f>
        <v>0</v>
      </c>
      <c r="M68" s="529">
        <v>0</v>
      </c>
      <c r="N68" s="529">
        <v>0</v>
      </c>
      <c r="O68" s="529">
        <v>0</v>
      </c>
      <c r="P68" s="529">
        <v>0</v>
      </c>
      <c r="Q68" s="529">
        <f>'APM-Yearly'!S68</f>
        <v>0</v>
      </c>
      <c r="R68" s="529">
        <v>0</v>
      </c>
      <c r="S68" s="529">
        <v>0</v>
      </c>
      <c r="V68" s="516" t="s">
        <v>511</v>
      </c>
      <c r="W68" s="548">
        <f t="shared" ref="W68:AK68" si="26">W67-$W$44</f>
        <v>808.32081358974756</v>
      </c>
      <c r="X68" s="548">
        <f t="shared" si="26"/>
        <v>1733.0409491880382</v>
      </c>
      <c r="Y68" s="548">
        <f t="shared" si="26"/>
        <v>2195.4010169871844</v>
      </c>
      <c r="Z68" s="548">
        <f t="shared" si="26"/>
        <v>3120.1211525854751</v>
      </c>
      <c r="AA68" s="548">
        <f t="shared" si="26"/>
        <v>3582.4812203846213</v>
      </c>
      <c r="AB68" s="548">
        <f t="shared" si="26"/>
        <v>4044.8412881837648</v>
      </c>
      <c r="AC68" s="548">
        <f t="shared" si="26"/>
        <v>4507.201355982912</v>
      </c>
      <c r="AD68" s="548">
        <f t="shared" si="26"/>
        <v>4969.5614237820591</v>
      </c>
      <c r="AE68" s="548">
        <f t="shared" si="26"/>
        <v>5431.9214915812026</v>
      </c>
      <c r="AF68" s="548">
        <f t="shared" si="26"/>
        <v>5894.2815593803498</v>
      </c>
      <c r="AG68" s="548">
        <f t="shared" si="26"/>
        <v>6356.6416271794951</v>
      </c>
      <c r="AH68" s="548">
        <f t="shared" si="26"/>
        <v>6819.0016949786386</v>
      </c>
      <c r="AI68" s="548">
        <f t="shared" si="26"/>
        <v>7281.3617627777858</v>
      </c>
      <c r="AJ68" s="548">
        <f t="shared" si="26"/>
        <v>7743.7218305769311</v>
      </c>
      <c r="AK68" s="548">
        <f t="shared" si="26"/>
        <v>8206.0818983760764</v>
      </c>
      <c r="AL68" s="548">
        <f t="shared" ref="AL68:AQ68" si="27">AL67-$W$44</f>
        <v>8668.4419661752236</v>
      </c>
      <c r="AM68" s="548">
        <f t="shared" si="27"/>
        <v>9593.1621017735124</v>
      </c>
      <c r="AN68" s="548">
        <f t="shared" si="27"/>
        <v>10286.702203472232</v>
      </c>
      <c r="AO68" s="548">
        <f t="shared" si="27"/>
        <v>10517.882237371805</v>
      </c>
      <c r="AP68" s="548">
        <f t="shared" si="27"/>
        <v>8103.8968750000004</v>
      </c>
      <c r="AQ68" s="596">
        <f t="shared" si="27"/>
        <v>8474</v>
      </c>
      <c r="AR68" s="599">
        <f t="shared" si="25"/>
        <v>370.10312499999964</v>
      </c>
      <c r="AS68" s="516" t="s">
        <v>511</v>
      </c>
    </row>
    <row r="69" spans="1:53" ht="21" customHeight="1">
      <c r="A69" s="600" t="s">
        <v>437</v>
      </c>
      <c r="B69" s="601"/>
      <c r="C69" s="602">
        <f t="shared" ref="C69:K69" si="28">C3+C18+C26+C32+C36+C46+C58+C65</f>
        <v>10573.233333333334</v>
      </c>
      <c r="D69" s="602">
        <f t="shared" si="28"/>
        <v>12794.608333333334</v>
      </c>
      <c r="E69" s="602">
        <f t="shared" si="28"/>
        <v>14381.708333333334</v>
      </c>
      <c r="F69" s="603">
        <f t="shared" si="28"/>
        <v>14187.33</v>
      </c>
      <c r="G69" s="604" t="e">
        <f t="shared" si="28"/>
        <v>#REF!</v>
      </c>
      <c r="H69" s="603">
        <f t="shared" si="28"/>
        <v>9838</v>
      </c>
      <c r="I69" s="604" t="e">
        <f t="shared" si="28"/>
        <v>#REF!</v>
      </c>
      <c r="J69" s="605" t="e">
        <f t="shared" si="28"/>
        <v>#REF!</v>
      </c>
      <c r="K69" s="605" t="e">
        <f t="shared" si="28"/>
        <v>#REF!</v>
      </c>
      <c r="M69" s="602">
        <f>M3+M18+M26+M32+M36+M46+M58+M65</f>
        <v>12810.608333333334</v>
      </c>
      <c r="N69" s="602">
        <f>N3+N18+N26+N32+N36+N46+N58+N65</f>
        <v>10408.233333333334</v>
      </c>
      <c r="O69" s="602">
        <f>O3+O18+O26+O32+O36+O46+O58+O65</f>
        <v>13240.233333333334</v>
      </c>
      <c r="P69" s="602">
        <f>P3+P18+P26+P32+P36+P46+P58+P65</f>
        <v>13718.233333333334</v>
      </c>
      <c r="Q69" s="602">
        <f>Q3+Q18+Q26+Q32+Q36+Q46+Q58+Q65</f>
        <v>16400.611111111109</v>
      </c>
      <c r="R69" s="602">
        <v>13382.611111111111</v>
      </c>
      <c r="S69" s="602">
        <f>S3+S18+S26+S32+S36+S46+S58+S65</f>
        <v>12384</v>
      </c>
      <c r="V69" s="516" t="s">
        <v>513</v>
      </c>
      <c r="W69" s="534">
        <f>$X$10</f>
        <v>27197.8</v>
      </c>
      <c r="X69" s="534">
        <f t="shared" ref="X69:AQ69" si="29">$X$10</f>
        <v>27197.8</v>
      </c>
      <c r="Y69" s="534">
        <f t="shared" si="29"/>
        <v>27197.8</v>
      </c>
      <c r="Z69" s="534">
        <f t="shared" si="29"/>
        <v>27197.8</v>
      </c>
      <c r="AA69" s="534">
        <f t="shared" si="29"/>
        <v>27197.8</v>
      </c>
      <c r="AB69" s="534">
        <f t="shared" si="29"/>
        <v>27197.8</v>
      </c>
      <c r="AC69" s="534">
        <f t="shared" si="29"/>
        <v>27197.8</v>
      </c>
      <c r="AD69" s="534">
        <f t="shared" si="29"/>
        <v>27197.8</v>
      </c>
      <c r="AE69" s="534">
        <f t="shared" si="29"/>
        <v>27197.8</v>
      </c>
      <c r="AF69" s="534">
        <f t="shared" si="29"/>
        <v>27197.8</v>
      </c>
      <c r="AG69" s="534">
        <f t="shared" si="29"/>
        <v>27197.8</v>
      </c>
      <c r="AH69" s="534">
        <f t="shared" si="29"/>
        <v>27197.8</v>
      </c>
      <c r="AI69" s="534">
        <f t="shared" si="29"/>
        <v>27197.8</v>
      </c>
      <c r="AJ69" s="534">
        <f t="shared" si="29"/>
        <v>27197.8</v>
      </c>
      <c r="AK69" s="534">
        <f t="shared" si="29"/>
        <v>27197.8</v>
      </c>
      <c r="AL69" s="534">
        <f t="shared" si="29"/>
        <v>27197.8</v>
      </c>
      <c r="AM69" s="534">
        <f t="shared" si="29"/>
        <v>27197.8</v>
      </c>
      <c r="AN69" s="534">
        <f t="shared" si="29"/>
        <v>27197.8</v>
      </c>
      <c r="AO69" s="534">
        <f t="shared" si="29"/>
        <v>27197.8</v>
      </c>
      <c r="AP69" s="534">
        <f t="shared" si="29"/>
        <v>27197.8</v>
      </c>
      <c r="AQ69" s="588">
        <f t="shared" si="29"/>
        <v>27197.8</v>
      </c>
      <c r="AR69" s="606">
        <f t="shared" si="25"/>
        <v>0</v>
      </c>
      <c r="AS69" s="516" t="s">
        <v>513</v>
      </c>
      <c r="AU69" s="554">
        <f>AP69</f>
        <v>27197.8</v>
      </c>
      <c r="AZ69" s="554">
        <f>X5</f>
        <v>39866.666666666664</v>
      </c>
      <c r="BA69" s="502">
        <f>AQ67</f>
        <v>13364</v>
      </c>
    </row>
    <row r="70" spans="1:53" s="595" customFormat="1" ht="17.100000000000001" customHeight="1">
      <c r="A70" s="2324"/>
      <c r="B70" s="607" t="s">
        <v>571</v>
      </c>
      <c r="C70" s="608"/>
      <c r="D70" s="608"/>
      <c r="E70" s="608"/>
      <c r="F70" s="608"/>
      <c r="G70" s="608"/>
      <c r="H70" s="608"/>
      <c r="I70" s="608"/>
      <c r="J70" s="608"/>
      <c r="K70" s="608"/>
      <c r="L70" s="609"/>
      <c r="M70" s="608"/>
      <c r="N70" s="608"/>
      <c r="O70" s="608"/>
      <c r="P70" s="608"/>
      <c r="Q70" s="610">
        <f>Q69-R69</f>
        <v>3017.9999999999982</v>
      </c>
      <c r="R70" s="608"/>
      <c r="S70" s="608"/>
      <c r="U70" s="502"/>
      <c r="V70" s="516" t="s">
        <v>514</v>
      </c>
      <c r="W70" s="611">
        <f>'APM-Yearly'!$AB$82</f>
        <v>9460.4166666666679</v>
      </c>
      <c r="X70" s="611">
        <f>'APM-Yearly'!$AB$82</f>
        <v>9460.4166666666679</v>
      </c>
      <c r="Y70" s="611">
        <f>'APM-Yearly'!$AB$82</f>
        <v>9460.4166666666679</v>
      </c>
      <c r="Z70" s="611">
        <f>'APM-Yearly'!$AB$82</f>
        <v>9460.4166666666679</v>
      </c>
      <c r="AA70" s="611">
        <f>'APM-Yearly'!$AB$82</f>
        <v>9460.4166666666679</v>
      </c>
      <c r="AB70" s="611">
        <f>'APM-Yearly'!$AB$82</f>
        <v>9460.4166666666679</v>
      </c>
      <c r="AC70" s="611">
        <f>'APM-Yearly'!$AB$82</f>
        <v>9460.4166666666679</v>
      </c>
      <c r="AD70" s="611">
        <f>'APM-Yearly'!$AB$82</f>
        <v>9460.4166666666679</v>
      </c>
      <c r="AE70" s="611">
        <f>'APM-Yearly'!$AB$82</f>
        <v>9460.4166666666679</v>
      </c>
      <c r="AF70" s="611">
        <f>'APM-Yearly'!$AB$82</f>
        <v>9460.4166666666679</v>
      </c>
      <c r="AG70" s="611">
        <f>'APM-Yearly'!$AB$82</f>
        <v>9460.4166666666679</v>
      </c>
      <c r="AH70" s="611">
        <f>'APM-Yearly'!$AB$82</f>
        <v>9460.4166666666679</v>
      </c>
      <c r="AI70" s="611">
        <f>'APM-Yearly'!$AB$82</f>
        <v>9460.4166666666679</v>
      </c>
      <c r="AJ70" s="611">
        <f>'APM-Yearly'!$AB$82</f>
        <v>9460.4166666666679</v>
      </c>
      <c r="AK70" s="611">
        <f>'APM-Yearly'!$AB$82</f>
        <v>9460.4166666666679</v>
      </c>
      <c r="AL70" s="611">
        <f>'APM-Yearly'!$AB$82</f>
        <v>9460.4166666666679</v>
      </c>
      <c r="AM70" s="611">
        <f>'APM-Yearly'!$AB$82</f>
        <v>9460.4166666666679</v>
      </c>
      <c r="AN70" s="611">
        <f>'APM-Yearly'!$AB$82</f>
        <v>9460.4166666666679</v>
      </c>
      <c r="AO70" s="611">
        <f>'APM-Yearly'!$AB$82</f>
        <v>9460.4166666666679</v>
      </c>
      <c r="AP70" s="611">
        <f>'APM-Yearly'!$AB$82</f>
        <v>9460.4166666666679</v>
      </c>
      <c r="AQ70" s="611">
        <f>'APM-Yearly'!$AB$82</f>
        <v>9460.4166666666679</v>
      </c>
      <c r="AR70" s="612">
        <f t="shared" si="25"/>
        <v>0</v>
      </c>
      <c r="AS70" s="516" t="s">
        <v>514</v>
      </c>
      <c r="AT70" s="501"/>
      <c r="AU70" s="501" t="s">
        <v>572</v>
      </c>
      <c r="AV70" s="501"/>
      <c r="AW70" s="501"/>
      <c r="AX70" s="501"/>
      <c r="AY70" s="501"/>
      <c r="AZ70" s="526">
        <f>BA69/AZ69</f>
        <v>0.33521739130434786</v>
      </c>
      <c r="BA70" s="501"/>
    </row>
    <row r="71" spans="1:53" ht="12.95" customHeight="1">
      <c r="A71" s="2324"/>
      <c r="B71" s="607" t="s">
        <v>573</v>
      </c>
      <c r="C71" s="613">
        <f>(C69-$H$69)/$H$69</f>
        <v>7.4734024530731205E-2</v>
      </c>
      <c r="D71" s="614">
        <f>(D69-$H$69)/$H$69</f>
        <v>0.30052940977163384</v>
      </c>
      <c r="E71" s="614">
        <f>(E69-$H$69)/$H$69</f>
        <v>0.46185284949515493</v>
      </c>
      <c r="F71" s="613">
        <f>(F69-$H$69)/$H$69</f>
        <v>0.44209493799552751</v>
      </c>
      <c r="G71" s="615" t="e">
        <f>(G69-$H$69)/$H$69</f>
        <v>#REF!</v>
      </c>
      <c r="H71" s="616" t="e">
        <f>(H69-#REF!)/#REF!</f>
        <v>#REF!</v>
      </c>
      <c r="I71" s="615" t="e">
        <f>(I69-$H$69)/$H$69</f>
        <v>#REF!</v>
      </c>
      <c r="J71" s="615"/>
      <c r="K71" s="615"/>
      <c r="L71" s="562"/>
      <c r="M71" s="614">
        <f>(M69-$H$69)/$H$69</f>
        <v>0.30215575659009286</v>
      </c>
      <c r="N71" s="614">
        <f>(N69-$H$69)/$H$69</f>
        <v>5.796232296537239E-2</v>
      </c>
      <c r="O71" s="614">
        <f>(O69-$H$69)/$H$69</f>
        <v>0.34582570983262184</v>
      </c>
      <c r="P71" s="614">
        <f>(P69-$H$69)/$H$69</f>
        <v>0.39441282103408554</v>
      </c>
      <c r="Q71" s="614">
        <f>(Q69-$H$69)/$H$69</f>
        <v>0.6670676063337172</v>
      </c>
      <c r="R71" s="614">
        <v>0.36029793770188162</v>
      </c>
      <c r="S71" s="614">
        <f>(S69-$H$69)/$H$69</f>
        <v>0.25879243748729419</v>
      </c>
      <c r="U71" s="502"/>
      <c r="V71" s="516" t="s">
        <v>516</v>
      </c>
      <c r="W71" s="617">
        <f t="shared" ref="W71:AO71" si="30">W67+W70</f>
        <v>15158.737480256415</v>
      </c>
      <c r="X71" s="617">
        <f t="shared" si="30"/>
        <v>16083.457615854706</v>
      </c>
      <c r="Y71" s="617">
        <f t="shared" si="30"/>
        <v>16545.817683653851</v>
      </c>
      <c r="Z71" s="617">
        <f t="shared" si="30"/>
        <v>17470.537819252142</v>
      </c>
      <c r="AA71" s="617">
        <f t="shared" si="30"/>
        <v>17932.897887051287</v>
      </c>
      <c r="AB71" s="617">
        <f t="shared" si="30"/>
        <v>18395.257954850433</v>
      </c>
      <c r="AC71" s="617">
        <f t="shared" si="30"/>
        <v>18857.618022649578</v>
      </c>
      <c r="AD71" s="617">
        <f t="shared" si="30"/>
        <v>19319.978090448727</v>
      </c>
      <c r="AE71" s="617">
        <f t="shared" si="30"/>
        <v>19782.338158247869</v>
      </c>
      <c r="AF71" s="617">
        <f t="shared" si="30"/>
        <v>20244.698226047018</v>
      </c>
      <c r="AG71" s="617">
        <f t="shared" si="30"/>
        <v>20707.058293846163</v>
      </c>
      <c r="AH71" s="617">
        <f t="shared" si="30"/>
        <v>21169.418361645308</v>
      </c>
      <c r="AI71" s="617">
        <f t="shared" si="30"/>
        <v>21631.778429444454</v>
      </c>
      <c r="AJ71" s="617">
        <f t="shared" si="30"/>
        <v>22094.138497243599</v>
      </c>
      <c r="AK71" s="617">
        <f t="shared" si="30"/>
        <v>22556.498565042744</v>
      </c>
      <c r="AL71" s="617">
        <f t="shared" si="30"/>
        <v>23018.85863284189</v>
      </c>
      <c r="AM71" s="617">
        <f t="shared" si="30"/>
        <v>23943.57876844018</v>
      </c>
      <c r="AN71" s="617">
        <f t="shared" si="30"/>
        <v>24637.1188701389</v>
      </c>
      <c r="AO71" s="617">
        <f t="shared" si="30"/>
        <v>24868.298904038471</v>
      </c>
      <c r="AP71" s="617">
        <f>AP67+AP70</f>
        <v>22454.31354166667</v>
      </c>
      <c r="AQ71" s="617">
        <f>AQ67+11500</f>
        <v>24864</v>
      </c>
      <c r="AR71" s="618">
        <f t="shared" si="25"/>
        <v>2409.6864583333299</v>
      </c>
      <c r="AS71" s="516" t="s">
        <v>516</v>
      </c>
      <c r="AT71" s="619">
        <f>AP67/AP71</f>
        <v>0.57868154601512389</v>
      </c>
      <c r="AU71" s="522">
        <f>'APM-Yearly'!T76</f>
        <v>12486.291666666666</v>
      </c>
    </row>
    <row r="72" spans="1:53" ht="14.1" customHeight="1">
      <c r="A72" s="2324"/>
      <c r="B72" s="562" t="s">
        <v>574</v>
      </c>
      <c r="C72" s="620">
        <f t="shared" ref="C72:K72" si="31" xml:space="preserve"> 72000/12</f>
        <v>6000</v>
      </c>
      <c r="D72" s="620">
        <v>6000</v>
      </c>
      <c r="E72" s="620">
        <v>6000</v>
      </c>
      <c r="F72" s="620">
        <v>6000</v>
      </c>
      <c r="G72" s="621">
        <f t="shared" si="31"/>
        <v>6000</v>
      </c>
      <c r="H72" s="620">
        <f t="shared" si="31"/>
        <v>6000</v>
      </c>
      <c r="I72" s="621">
        <f t="shared" si="31"/>
        <v>6000</v>
      </c>
      <c r="J72" s="621">
        <f t="shared" si="31"/>
        <v>6000</v>
      </c>
      <c r="K72" s="621">
        <f t="shared" si="31"/>
        <v>6000</v>
      </c>
      <c r="L72" s="562"/>
      <c r="M72" s="620">
        <v>6000</v>
      </c>
      <c r="N72" s="620">
        <v>6000</v>
      </c>
      <c r="O72" s="620">
        <v>6000</v>
      </c>
      <c r="P72" s="620">
        <v>6000</v>
      </c>
      <c r="Q72" s="620">
        <v>6000</v>
      </c>
      <c r="R72" s="620">
        <v>6000</v>
      </c>
      <c r="S72" s="620">
        <f>C72</f>
        <v>6000</v>
      </c>
      <c r="V72" s="516" t="s">
        <v>517</v>
      </c>
      <c r="W72" s="552">
        <f>W69-W71</f>
        <v>12039.062519743584</v>
      </c>
      <c r="X72" s="552">
        <f t="shared" ref="X72:AK72" si="32">X69-X71</f>
        <v>11114.342384145293</v>
      </c>
      <c r="Y72" s="552">
        <f t="shared" si="32"/>
        <v>10651.982316346148</v>
      </c>
      <c r="Z72" s="552">
        <f t="shared" si="32"/>
        <v>9727.2621807478572</v>
      </c>
      <c r="AA72" s="552">
        <f t="shared" si="32"/>
        <v>9264.9021129487119</v>
      </c>
      <c r="AB72" s="552">
        <f t="shared" si="32"/>
        <v>8802.5420451495665</v>
      </c>
      <c r="AC72" s="552">
        <f t="shared" si="32"/>
        <v>8340.1819773504212</v>
      </c>
      <c r="AD72" s="552">
        <f t="shared" si="32"/>
        <v>7877.8219095512723</v>
      </c>
      <c r="AE72" s="552">
        <f t="shared" si="32"/>
        <v>7415.4618417521306</v>
      </c>
      <c r="AF72" s="552">
        <f t="shared" si="32"/>
        <v>6953.1017739529816</v>
      </c>
      <c r="AG72" s="552">
        <f t="shared" si="32"/>
        <v>6490.7417061538363</v>
      </c>
      <c r="AH72" s="552">
        <f t="shared" si="32"/>
        <v>6028.3816383546909</v>
      </c>
      <c r="AI72" s="552">
        <f t="shared" si="32"/>
        <v>5566.0215705555456</v>
      </c>
      <c r="AJ72" s="552">
        <f t="shared" si="32"/>
        <v>5103.6615027564003</v>
      </c>
      <c r="AK72" s="552">
        <f t="shared" si="32"/>
        <v>4641.301434957255</v>
      </c>
      <c r="AL72" s="552">
        <f t="shared" ref="AL72:AU72" si="33">AL69-AL71</f>
        <v>4178.9413671581096</v>
      </c>
      <c r="AM72" s="552">
        <f t="shared" si="33"/>
        <v>3254.221231559819</v>
      </c>
      <c r="AN72" s="552">
        <f t="shared" si="33"/>
        <v>2560.6811298610992</v>
      </c>
      <c r="AO72" s="552">
        <f t="shared" si="33"/>
        <v>2329.5010959615283</v>
      </c>
      <c r="AP72" s="552">
        <f t="shared" si="33"/>
        <v>4743.4864583333292</v>
      </c>
      <c r="AQ72" s="622">
        <f>AQ69-AQ71</f>
        <v>2333.7999999999993</v>
      </c>
      <c r="AR72" s="623">
        <f t="shared" si="25"/>
        <v>-2409.6864583333299</v>
      </c>
      <c r="AS72" s="516" t="s">
        <v>517</v>
      </c>
      <c r="AT72" s="502">
        <f>AP72-AU72</f>
        <v>-9968.021875000004</v>
      </c>
      <c r="AU72" s="552">
        <f t="shared" si="33"/>
        <v>14711.508333333333</v>
      </c>
    </row>
    <row r="73" spans="1:53" ht="14.1" customHeight="1">
      <c r="A73" s="2324"/>
      <c r="B73" s="562" t="s">
        <v>575</v>
      </c>
      <c r="C73" s="620">
        <v>3900</v>
      </c>
      <c r="D73" s="620">
        <v>3900</v>
      </c>
      <c r="E73" s="620">
        <v>3900</v>
      </c>
      <c r="F73" s="620">
        <v>3900</v>
      </c>
      <c r="G73" s="621">
        <v>3900</v>
      </c>
      <c r="H73" s="620">
        <v>3900</v>
      </c>
      <c r="I73" s="621">
        <v>3900</v>
      </c>
      <c r="J73" s="621">
        <v>3900</v>
      </c>
      <c r="K73" s="621">
        <v>3900</v>
      </c>
      <c r="L73" s="562"/>
      <c r="M73" s="620">
        <v>3900</v>
      </c>
      <c r="N73" s="620">
        <v>3900</v>
      </c>
      <c r="O73" s="620">
        <v>3900</v>
      </c>
      <c r="P73" s="620">
        <v>3900</v>
      </c>
      <c r="Q73" s="620">
        <v>1500</v>
      </c>
      <c r="R73" s="620">
        <v>1500</v>
      </c>
      <c r="S73" s="620">
        <v>3900</v>
      </c>
      <c r="V73" s="516" t="s">
        <v>519</v>
      </c>
      <c r="W73" s="534">
        <f>$X$11+$X$12</f>
        <v>3250</v>
      </c>
      <c r="X73" s="534">
        <f t="shared" ref="X73:AO73" si="34">$X$11+$X$12</f>
        <v>3250</v>
      </c>
      <c r="Y73" s="534">
        <f t="shared" si="34"/>
        <v>3250</v>
      </c>
      <c r="Z73" s="534">
        <f t="shared" si="34"/>
        <v>3250</v>
      </c>
      <c r="AA73" s="534">
        <f t="shared" si="34"/>
        <v>3250</v>
      </c>
      <c r="AB73" s="534">
        <f t="shared" si="34"/>
        <v>3250</v>
      </c>
      <c r="AC73" s="534">
        <f t="shared" si="34"/>
        <v>3250</v>
      </c>
      <c r="AD73" s="534">
        <f t="shared" si="34"/>
        <v>3250</v>
      </c>
      <c r="AE73" s="534">
        <f t="shared" si="34"/>
        <v>3250</v>
      </c>
      <c r="AF73" s="534">
        <f t="shared" si="34"/>
        <v>3250</v>
      </c>
      <c r="AG73" s="534">
        <f t="shared" si="34"/>
        <v>3250</v>
      </c>
      <c r="AH73" s="534">
        <f t="shared" si="34"/>
        <v>3250</v>
      </c>
      <c r="AI73" s="534">
        <f t="shared" si="34"/>
        <v>3250</v>
      </c>
      <c r="AJ73" s="534">
        <f t="shared" si="34"/>
        <v>3250</v>
      </c>
      <c r="AK73" s="534">
        <f t="shared" si="34"/>
        <v>3250</v>
      </c>
      <c r="AL73" s="534">
        <f t="shared" si="34"/>
        <v>3250</v>
      </c>
      <c r="AM73" s="534">
        <f t="shared" si="34"/>
        <v>3250</v>
      </c>
      <c r="AN73" s="534">
        <f t="shared" si="34"/>
        <v>3250</v>
      </c>
      <c r="AO73" s="534">
        <f t="shared" si="34"/>
        <v>3250</v>
      </c>
      <c r="AP73" s="534">
        <f>$X$11+$X$12</f>
        <v>3250</v>
      </c>
      <c r="AQ73" s="588">
        <f>$X$11+$X$12</f>
        <v>3250</v>
      </c>
      <c r="AR73" s="606">
        <f t="shared" si="25"/>
        <v>0</v>
      </c>
      <c r="AS73" s="516" t="s">
        <v>519</v>
      </c>
      <c r="AT73" s="554">
        <f>(AP73+AP74)</f>
        <v>4743.4864583333292</v>
      </c>
      <c r="AU73" s="522">
        <f>AT73*12</f>
        <v>56921.837499999951</v>
      </c>
    </row>
    <row r="74" spans="1:53" ht="14.1" customHeight="1">
      <c r="A74" s="2324"/>
      <c r="B74" s="562" t="s">
        <v>576</v>
      </c>
      <c r="C74" s="620">
        <v>501</v>
      </c>
      <c r="D74" s="620">
        <v>501</v>
      </c>
      <c r="E74" s="620">
        <v>501</v>
      </c>
      <c r="F74" s="620">
        <v>501</v>
      </c>
      <c r="G74" s="621">
        <v>501</v>
      </c>
      <c r="H74" s="620">
        <v>501</v>
      </c>
      <c r="I74" s="621">
        <v>501</v>
      </c>
      <c r="J74" s="621">
        <v>501</v>
      </c>
      <c r="K74" s="621">
        <v>501</v>
      </c>
      <c r="L74" s="562"/>
      <c r="M74" s="620">
        <v>501</v>
      </c>
      <c r="N74" s="620">
        <v>501</v>
      </c>
      <c r="O74" s="620">
        <v>501</v>
      </c>
      <c r="P74" s="620">
        <v>501</v>
      </c>
      <c r="Q74" s="620">
        <v>501</v>
      </c>
      <c r="R74" s="620">
        <v>501</v>
      </c>
      <c r="S74" s="620">
        <v>501</v>
      </c>
      <c r="V74" s="516" t="s">
        <v>521</v>
      </c>
      <c r="W74" s="555">
        <f>W72-W73</f>
        <v>8789.0625197435838</v>
      </c>
      <c r="X74" s="555">
        <f t="shared" ref="X74:AK74" si="35">X72-X73</f>
        <v>7864.3423841452932</v>
      </c>
      <c r="Y74" s="555">
        <f t="shared" si="35"/>
        <v>7401.9823163461479</v>
      </c>
      <c r="Z74" s="555">
        <f t="shared" si="35"/>
        <v>6477.2621807478572</v>
      </c>
      <c r="AA74" s="555">
        <f t="shared" si="35"/>
        <v>6014.9021129487119</v>
      </c>
      <c r="AB74" s="555">
        <f t="shared" si="35"/>
        <v>5552.5420451495665</v>
      </c>
      <c r="AC74" s="555">
        <f t="shared" si="35"/>
        <v>5090.1819773504212</v>
      </c>
      <c r="AD74" s="555">
        <f t="shared" si="35"/>
        <v>4627.8219095512723</v>
      </c>
      <c r="AE74" s="555">
        <f t="shared" si="35"/>
        <v>4165.4618417521306</v>
      </c>
      <c r="AF74" s="555">
        <f t="shared" si="35"/>
        <v>3703.1017739529816</v>
      </c>
      <c r="AG74" s="555">
        <f t="shared" si="35"/>
        <v>3240.7417061538363</v>
      </c>
      <c r="AH74" s="555">
        <f t="shared" si="35"/>
        <v>2778.3816383546909</v>
      </c>
      <c r="AI74" s="558">
        <f t="shared" si="35"/>
        <v>2316.0215705555456</v>
      </c>
      <c r="AJ74" s="558">
        <f t="shared" si="35"/>
        <v>1853.6615027564003</v>
      </c>
      <c r="AK74" s="558">
        <f t="shared" si="35"/>
        <v>1391.301434957255</v>
      </c>
      <c r="AL74" s="558">
        <f t="shared" ref="AL74:AQ74" si="36">AL72-AL73</f>
        <v>928.94136715810964</v>
      </c>
      <c r="AM74" s="558">
        <f t="shared" si="36"/>
        <v>4.2212315598189889</v>
      </c>
      <c r="AN74" s="558">
        <f t="shared" si="36"/>
        <v>-689.31887013890082</v>
      </c>
      <c r="AO74" s="558">
        <f t="shared" si="36"/>
        <v>-920.49890403847166</v>
      </c>
      <c r="AP74" s="558">
        <f t="shared" si="36"/>
        <v>1493.4864583333292</v>
      </c>
      <c r="AQ74" s="590">
        <f t="shared" si="36"/>
        <v>-916.20000000000073</v>
      </c>
      <c r="AR74" s="594">
        <f t="shared" si="25"/>
        <v>-2409.6864583333299</v>
      </c>
      <c r="AS74" s="516" t="s">
        <v>521</v>
      </c>
    </row>
    <row r="75" spans="1:53" ht="14.1" customHeight="1">
      <c r="A75" s="2324"/>
      <c r="B75" s="562" t="s">
        <v>577</v>
      </c>
      <c r="C75" s="620">
        <v>1202</v>
      </c>
      <c r="D75" s="620">
        <v>1202</v>
      </c>
      <c r="E75" s="620">
        <v>1202</v>
      </c>
      <c r="F75" s="620">
        <v>1202</v>
      </c>
      <c r="G75" s="621">
        <v>1202</v>
      </c>
      <c r="H75" s="620">
        <v>1202</v>
      </c>
      <c r="I75" s="621">
        <v>1202</v>
      </c>
      <c r="J75" s="621">
        <v>1202</v>
      </c>
      <c r="K75" s="621">
        <v>1202</v>
      </c>
      <c r="L75" s="562"/>
      <c r="M75" s="620">
        <v>1202</v>
      </c>
      <c r="N75" s="620">
        <v>1202</v>
      </c>
      <c r="O75" s="620">
        <v>1202</v>
      </c>
      <c r="P75" s="620">
        <v>1202</v>
      </c>
      <c r="Q75" s="620">
        <v>501</v>
      </c>
      <c r="R75" s="620">
        <v>501</v>
      </c>
      <c r="S75" s="620">
        <v>1202</v>
      </c>
      <c r="V75" s="516">
        <v>529</v>
      </c>
      <c r="W75" s="534">
        <f t="shared" ref="W75:AQ75" si="37">$X$14</f>
        <v>2003</v>
      </c>
      <c r="X75" s="534">
        <f t="shared" si="37"/>
        <v>2003</v>
      </c>
      <c r="Y75" s="534">
        <f t="shared" si="37"/>
        <v>2003</v>
      </c>
      <c r="Z75" s="534">
        <f t="shared" si="37"/>
        <v>2003</v>
      </c>
      <c r="AA75" s="534">
        <f t="shared" si="37"/>
        <v>2003</v>
      </c>
      <c r="AB75" s="534">
        <f t="shared" si="37"/>
        <v>2003</v>
      </c>
      <c r="AC75" s="534">
        <f t="shared" si="37"/>
        <v>2003</v>
      </c>
      <c r="AD75" s="534">
        <f t="shared" si="37"/>
        <v>2003</v>
      </c>
      <c r="AE75" s="534">
        <f t="shared" si="37"/>
        <v>2003</v>
      </c>
      <c r="AF75" s="534">
        <f t="shared" si="37"/>
        <v>2003</v>
      </c>
      <c r="AG75" s="534">
        <f t="shared" si="37"/>
        <v>2003</v>
      </c>
      <c r="AH75" s="534">
        <f t="shared" si="37"/>
        <v>2003</v>
      </c>
      <c r="AI75" s="534">
        <f t="shared" si="37"/>
        <v>2003</v>
      </c>
      <c r="AJ75" s="534">
        <f t="shared" si="37"/>
        <v>2003</v>
      </c>
      <c r="AK75" s="534">
        <f t="shared" si="37"/>
        <v>2003</v>
      </c>
      <c r="AL75" s="534">
        <f t="shared" si="37"/>
        <v>2003</v>
      </c>
      <c r="AM75" s="534">
        <f t="shared" si="37"/>
        <v>2003</v>
      </c>
      <c r="AN75" s="534">
        <f t="shared" si="37"/>
        <v>2003</v>
      </c>
      <c r="AO75" s="534">
        <f t="shared" si="37"/>
        <v>2003</v>
      </c>
      <c r="AP75" s="624">
        <f t="shared" si="37"/>
        <v>2003</v>
      </c>
      <c r="AQ75" s="625">
        <f t="shared" si="37"/>
        <v>2003</v>
      </c>
      <c r="AR75" s="626">
        <f t="shared" si="25"/>
        <v>0</v>
      </c>
      <c r="AS75" s="516">
        <v>529</v>
      </c>
    </row>
    <row r="76" spans="1:53">
      <c r="A76" s="627"/>
      <c r="B76" s="628" t="s">
        <v>578</v>
      </c>
      <c r="C76" s="629">
        <f t="shared" ref="C76:K76" si="38">SUM(C72:C75)</f>
        <v>11603</v>
      </c>
      <c r="D76" s="629">
        <f t="shared" si="38"/>
        <v>11603</v>
      </c>
      <c r="E76" s="629">
        <f t="shared" si="38"/>
        <v>11603</v>
      </c>
      <c r="F76" s="630">
        <f t="shared" si="38"/>
        <v>11603</v>
      </c>
      <c r="G76" s="631">
        <f t="shared" si="38"/>
        <v>11603</v>
      </c>
      <c r="H76" s="632">
        <f t="shared" si="38"/>
        <v>11603</v>
      </c>
      <c r="I76" s="631">
        <f t="shared" si="38"/>
        <v>11603</v>
      </c>
      <c r="J76" s="631">
        <f t="shared" si="38"/>
        <v>11603</v>
      </c>
      <c r="K76" s="631">
        <f t="shared" si="38"/>
        <v>11603</v>
      </c>
      <c r="L76" s="562"/>
      <c r="M76" s="629">
        <f t="shared" ref="M76:S76" si="39">SUM(M72:M75)</f>
        <v>11603</v>
      </c>
      <c r="N76" s="629">
        <f t="shared" si="39"/>
        <v>11603</v>
      </c>
      <c r="O76" s="629">
        <f t="shared" si="39"/>
        <v>11603</v>
      </c>
      <c r="P76" s="629">
        <f t="shared" si="39"/>
        <v>11603</v>
      </c>
      <c r="Q76" s="629">
        <f t="shared" si="39"/>
        <v>8502</v>
      </c>
      <c r="R76" s="629">
        <v>8502</v>
      </c>
      <c r="S76" s="629">
        <f t="shared" si="39"/>
        <v>11603</v>
      </c>
      <c r="V76" s="516" t="s">
        <v>525</v>
      </c>
      <c r="W76" s="557">
        <f>W74-W75</f>
        <v>6786.0625197435838</v>
      </c>
      <c r="X76" s="557">
        <f t="shared" ref="X76:AK76" si="40">X74-X75</f>
        <v>5861.3423841452932</v>
      </c>
      <c r="Y76" s="557">
        <f t="shared" si="40"/>
        <v>5398.9823163461479</v>
      </c>
      <c r="Z76" s="557">
        <f t="shared" si="40"/>
        <v>4474.2621807478572</v>
      </c>
      <c r="AA76" s="557">
        <f t="shared" si="40"/>
        <v>4011.9021129487119</v>
      </c>
      <c r="AB76" s="557">
        <f t="shared" si="40"/>
        <v>3549.5420451495665</v>
      </c>
      <c r="AC76" s="557">
        <f t="shared" si="40"/>
        <v>3087.1819773504212</v>
      </c>
      <c r="AD76" s="557">
        <f t="shared" si="40"/>
        <v>2624.8219095512723</v>
      </c>
      <c r="AE76" s="558">
        <f t="shared" si="40"/>
        <v>2162.4618417521306</v>
      </c>
      <c r="AF76" s="558">
        <f t="shared" si="40"/>
        <v>1700.1017739529816</v>
      </c>
      <c r="AG76" s="558">
        <f t="shared" si="40"/>
        <v>1237.7417061538363</v>
      </c>
      <c r="AH76" s="558">
        <f t="shared" si="40"/>
        <v>775.38163835469095</v>
      </c>
      <c r="AI76" s="558">
        <f t="shared" si="40"/>
        <v>313.02157055554562</v>
      </c>
      <c r="AJ76" s="558">
        <f t="shared" si="40"/>
        <v>-149.3384972435997</v>
      </c>
      <c r="AK76" s="558">
        <f t="shared" si="40"/>
        <v>-611.69856504274503</v>
      </c>
      <c r="AL76" s="558">
        <f t="shared" ref="AL76:AQ76" si="41">AL74-AL75</f>
        <v>-1074.0586328418904</v>
      </c>
      <c r="AM76" s="558">
        <f t="shared" si="41"/>
        <v>-1998.778768440181</v>
      </c>
      <c r="AN76" s="558">
        <f t="shared" si="41"/>
        <v>-2692.3188701389008</v>
      </c>
      <c r="AO76" s="558">
        <f t="shared" si="41"/>
        <v>-2923.4989040384717</v>
      </c>
      <c r="AP76" s="558">
        <f t="shared" si="41"/>
        <v>-509.51354166667079</v>
      </c>
      <c r="AQ76" s="590">
        <f t="shared" si="41"/>
        <v>-2919.2000000000007</v>
      </c>
      <c r="AR76" s="594">
        <f t="shared" si="25"/>
        <v>-2409.6864583333299</v>
      </c>
      <c r="AS76" s="516" t="s">
        <v>525</v>
      </c>
    </row>
    <row r="77" spans="1:53">
      <c r="A77" s="633"/>
      <c r="B77" s="634" t="s">
        <v>244</v>
      </c>
      <c r="C77" s="635">
        <f>C69+C76</f>
        <v>22176.233333333334</v>
      </c>
      <c r="D77" s="635">
        <f>D69+D76</f>
        <v>24397.608333333334</v>
      </c>
      <c r="E77" s="635">
        <f>E69+E76</f>
        <v>25984.708333333336</v>
      </c>
      <c r="F77" s="636">
        <f>F69+F76</f>
        <v>25790.33</v>
      </c>
      <c r="G77" s="637" t="e">
        <f>SUM(G69:G75)</f>
        <v>#REF!</v>
      </c>
      <c r="H77" s="636" t="e">
        <f>SUM(H69:H75)</f>
        <v>#REF!</v>
      </c>
      <c r="I77" s="637" t="e">
        <f>SUM(I69:I75)</f>
        <v>#REF!</v>
      </c>
      <c r="J77" s="637" t="e">
        <f>SUM(J69:J75)</f>
        <v>#REF!</v>
      </c>
      <c r="K77" s="637" t="e">
        <f>SUM(K69:K75)</f>
        <v>#REF!</v>
      </c>
      <c r="L77" s="562"/>
      <c r="M77" s="635">
        <f>M69+M76</f>
        <v>24413.608333333334</v>
      </c>
      <c r="N77" s="635">
        <f>N69+N76</f>
        <v>22011.233333333334</v>
      </c>
      <c r="O77" s="635">
        <f>O69+O76</f>
        <v>24843.233333333334</v>
      </c>
      <c r="P77" s="635">
        <f>P69+P76</f>
        <v>25321.233333333334</v>
      </c>
      <c r="Q77" s="635">
        <f>Q69+Q76</f>
        <v>24902.611111111109</v>
      </c>
      <c r="R77" s="635">
        <v>21884.611111111109</v>
      </c>
      <c r="S77" s="635">
        <f>S69+S76</f>
        <v>23987</v>
      </c>
      <c r="U77" s="502"/>
      <c r="V77" s="516" t="s">
        <v>532</v>
      </c>
      <c r="W77" s="534">
        <f>$X$14+$X$15</f>
        <v>3586.333333333333</v>
      </c>
      <c r="X77" s="534">
        <f t="shared" ref="X77:AQ77" si="42">$X$14+$X$15</f>
        <v>3586.333333333333</v>
      </c>
      <c r="Y77" s="534">
        <f t="shared" si="42"/>
        <v>3586.333333333333</v>
      </c>
      <c r="Z77" s="534">
        <f t="shared" si="42"/>
        <v>3586.333333333333</v>
      </c>
      <c r="AA77" s="534">
        <f t="shared" si="42"/>
        <v>3586.333333333333</v>
      </c>
      <c r="AB77" s="534">
        <f t="shared" si="42"/>
        <v>3586.333333333333</v>
      </c>
      <c r="AC77" s="534">
        <f t="shared" si="42"/>
        <v>3586.333333333333</v>
      </c>
      <c r="AD77" s="534">
        <f t="shared" si="42"/>
        <v>3586.333333333333</v>
      </c>
      <c r="AE77" s="534">
        <f t="shared" si="42"/>
        <v>3586.333333333333</v>
      </c>
      <c r="AF77" s="534">
        <f t="shared" si="42"/>
        <v>3586.333333333333</v>
      </c>
      <c r="AG77" s="534">
        <f t="shared" si="42"/>
        <v>3586.333333333333</v>
      </c>
      <c r="AH77" s="534">
        <f t="shared" si="42"/>
        <v>3586.333333333333</v>
      </c>
      <c r="AI77" s="534">
        <f t="shared" si="42"/>
        <v>3586.333333333333</v>
      </c>
      <c r="AJ77" s="534">
        <f t="shared" si="42"/>
        <v>3586.333333333333</v>
      </c>
      <c r="AK77" s="534">
        <f t="shared" si="42"/>
        <v>3586.333333333333</v>
      </c>
      <c r="AL77" s="534">
        <f t="shared" si="42"/>
        <v>3586.333333333333</v>
      </c>
      <c r="AM77" s="534">
        <f t="shared" si="42"/>
        <v>3586.333333333333</v>
      </c>
      <c r="AN77" s="534">
        <f t="shared" si="42"/>
        <v>3586.333333333333</v>
      </c>
      <c r="AO77" s="534">
        <f t="shared" si="42"/>
        <v>3586.333333333333</v>
      </c>
      <c r="AP77" s="624">
        <f t="shared" si="42"/>
        <v>3586.333333333333</v>
      </c>
      <c r="AQ77" s="625">
        <f t="shared" si="42"/>
        <v>3586.333333333333</v>
      </c>
      <c r="AR77" s="626">
        <f t="shared" si="25"/>
        <v>0</v>
      </c>
      <c r="AS77" s="516" t="s">
        <v>532</v>
      </c>
    </row>
    <row r="78" spans="1:53">
      <c r="A78" s="633"/>
      <c r="B78" s="609" t="s">
        <v>579</v>
      </c>
      <c r="C78" s="638">
        <v>0.15</v>
      </c>
      <c r="D78" s="638">
        <v>0.15</v>
      </c>
      <c r="E78" s="638">
        <v>0.15</v>
      </c>
      <c r="F78" s="639">
        <v>0.113</v>
      </c>
      <c r="G78" s="640">
        <v>0</v>
      </c>
      <c r="H78" s="636"/>
      <c r="I78" s="637"/>
      <c r="J78" s="637"/>
      <c r="K78" s="637"/>
      <c r="L78" s="562"/>
      <c r="M78" s="638">
        <v>0.15</v>
      </c>
      <c r="N78" s="638">
        <v>0.15</v>
      </c>
      <c r="O78" s="638">
        <v>0.15</v>
      </c>
      <c r="P78" s="638">
        <v>0.15</v>
      </c>
      <c r="Q78" s="638">
        <v>0.15</v>
      </c>
      <c r="R78" s="638">
        <v>0.15</v>
      </c>
      <c r="S78" s="638">
        <v>0.15</v>
      </c>
      <c r="V78" s="516" t="s">
        <v>534</v>
      </c>
      <c r="W78" s="557">
        <f>W76-W77</f>
        <v>3199.7291864102508</v>
      </c>
      <c r="X78" s="557">
        <f t="shared" ref="X78:AK78" si="43">X76-X77</f>
        <v>2275.0090508119602</v>
      </c>
      <c r="Y78" s="557">
        <f t="shared" si="43"/>
        <v>1812.6489830128148</v>
      </c>
      <c r="Z78" s="558">
        <f t="shared" si="43"/>
        <v>887.92884741452417</v>
      </c>
      <c r="AA78" s="558">
        <f t="shared" si="43"/>
        <v>425.56877961537884</v>
      </c>
      <c r="AB78" s="558">
        <f t="shared" si="43"/>
        <v>-36.791288183766483</v>
      </c>
      <c r="AC78" s="558">
        <f t="shared" si="43"/>
        <v>-499.15135598291181</v>
      </c>
      <c r="AD78" s="558">
        <f t="shared" si="43"/>
        <v>-961.51142378206077</v>
      </c>
      <c r="AE78" s="558">
        <f t="shared" si="43"/>
        <v>-1423.8714915812025</v>
      </c>
      <c r="AF78" s="558">
        <f t="shared" si="43"/>
        <v>-1886.2315593803514</v>
      </c>
      <c r="AG78" s="558">
        <f t="shared" si="43"/>
        <v>-2348.5916271794968</v>
      </c>
      <c r="AH78" s="558">
        <f t="shared" si="43"/>
        <v>-2810.9516949786421</v>
      </c>
      <c r="AI78" s="558">
        <f t="shared" si="43"/>
        <v>-3273.3117627777874</v>
      </c>
      <c r="AJ78" s="558">
        <f t="shared" si="43"/>
        <v>-3735.6718305769327</v>
      </c>
      <c r="AK78" s="558">
        <f t="shared" si="43"/>
        <v>-4198.0318983760781</v>
      </c>
      <c r="AL78" s="558">
        <f t="shared" ref="AL78:AQ78" si="44">AL76-AL77</f>
        <v>-4660.3919661752234</v>
      </c>
      <c r="AM78" s="558">
        <f t="shared" si="44"/>
        <v>-5585.112101773514</v>
      </c>
      <c r="AN78" s="558">
        <f t="shared" si="44"/>
        <v>-6278.6522034722339</v>
      </c>
      <c r="AO78" s="558">
        <f t="shared" si="44"/>
        <v>-6509.8322373718047</v>
      </c>
      <c r="AP78" s="558">
        <f t="shared" si="44"/>
        <v>-4095.8468750000038</v>
      </c>
      <c r="AQ78" s="590">
        <f t="shared" si="44"/>
        <v>-6505.5333333333338</v>
      </c>
      <c r="AR78" s="594">
        <f>AQ78+AP78</f>
        <v>-10601.380208333338</v>
      </c>
      <c r="AS78" s="516" t="s">
        <v>534</v>
      </c>
    </row>
    <row r="79" spans="1:53">
      <c r="A79" s="633"/>
      <c r="B79" s="609" t="s">
        <v>580</v>
      </c>
      <c r="C79" s="608">
        <f>C90*0.5/12</f>
        <v>16041.666666666666</v>
      </c>
      <c r="D79" s="608">
        <f>D90*0.5/12</f>
        <v>16041.666666666666</v>
      </c>
      <c r="E79" s="608">
        <f>E90*0.5/12</f>
        <v>16041.666666666666</v>
      </c>
      <c r="F79" s="608">
        <f t="shared" ref="F79:L79" si="45">F90*0.36/12</f>
        <v>11550</v>
      </c>
      <c r="G79" s="608">
        <f t="shared" si="45"/>
        <v>0</v>
      </c>
      <c r="H79" s="641">
        <f t="shared" si="45"/>
        <v>0</v>
      </c>
      <c r="I79" s="608">
        <f t="shared" si="45"/>
        <v>0</v>
      </c>
      <c r="J79" s="608">
        <f t="shared" si="45"/>
        <v>0</v>
      </c>
      <c r="K79" s="608">
        <f t="shared" si="45"/>
        <v>0</v>
      </c>
      <c r="L79" s="608">
        <f t="shared" si="45"/>
        <v>0</v>
      </c>
      <c r="M79" s="608">
        <f>M90*0.5/12</f>
        <v>16041.666666666666</v>
      </c>
      <c r="N79" s="608">
        <f>210000/12</f>
        <v>17500</v>
      </c>
      <c r="O79" s="608">
        <f>O90*0.5/12</f>
        <v>19666.666666666668</v>
      </c>
      <c r="P79" s="608">
        <f>P90*0.5/12</f>
        <v>18625</v>
      </c>
      <c r="Q79" s="608">
        <f>Q90*0.5/12</f>
        <v>18625</v>
      </c>
      <c r="R79" s="608">
        <v>18625</v>
      </c>
      <c r="S79" s="608">
        <f>S90*0.4/12</f>
        <v>14566.666666666666</v>
      </c>
      <c r="V79" s="516" t="s">
        <v>536</v>
      </c>
      <c r="W79" s="546">
        <f>W78</f>
        <v>3199.7291864102508</v>
      </c>
      <c r="X79" s="546">
        <f>X78</f>
        <v>2275.0090508119602</v>
      </c>
      <c r="Y79" s="546">
        <f t="shared" ref="Y79:AK79" si="46">Y78</f>
        <v>1812.6489830128148</v>
      </c>
      <c r="Z79" s="559">
        <f t="shared" si="46"/>
        <v>887.92884741452417</v>
      </c>
      <c r="AA79" s="559">
        <f t="shared" si="46"/>
        <v>425.56877961537884</v>
      </c>
      <c r="AB79" s="559">
        <f t="shared" si="46"/>
        <v>-36.791288183766483</v>
      </c>
      <c r="AC79" s="559">
        <f t="shared" si="46"/>
        <v>-499.15135598291181</v>
      </c>
      <c r="AD79" s="559">
        <f t="shared" si="46"/>
        <v>-961.51142378206077</v>
      </c>
      <c r="AE79" s="559">
        <f t="shared" si="46"/>
        <v>-1423.8714915812025</v>
      </c>
      <c r="AF79" s="559">
        <f t="shared" si="46"/>
        <v>-1886.2315593803514</v>
      </c>
      <c r="AG79" s="559">
        <f t="shared" si="46"/>
        <v>-2348.5916271794968</v>
      </c>
      <c r="AH79" s="559">
        <f t="shared" si="46"/>
        <v>-2810.9516949786421</v>
      </c>
      <c r="AI79" s="559">
        <f t="shared" si="46"/>
        <v>-3273.3117627777874</v>
      </c>
      <c r="AJ79" s="559">
        <f t="shared" si="46"/>
        <v>-3735.6718305769327</v>
      </c>
      <c r="AK79" s="559">
        <f t="shared" si="46"/>
        <v>-4198.0318983760781</v>
      </c>
      <c r="AL79" s="559">
        <f t="shared" ref="AL79:AQ79" si="47">AL78</f>
        <v>-4660.3919661752234</v>
      </c>
      <c r="AM79" s="559">
        <f t="shared" si="47"/>
        <v>-5585.112101773514</v>
      </c>
      <c r="AN79" s="559">
        <f t="shared" si="47"/>
        <v>-6278.6522034722339</v>
      </c>
      <c r="AO79" s="559">
        <f t="shared" si="47"/>
        <v>-6509.8322373718047</v>
      </c>
      <c r="AP79" s="559">
        <f t="shared" si="47"/>
        <v>-4095.8468750000038</v>
      </c>
      <c r="AQ79" s="642">
        <f t="shared" si="47"/>
        <v>-6505.5333333333338</v>
      </c>
      <c r="AR79" s="594">
        <f>AQ79+AP79</f>
        <v>-10601.380208333338</v>
      </c>
      <c r="AS79" s="516" t="s">
        <v>536</v>
      </c>
    </row>
    <row r="80" spans="1:53">
      <c r="A80" s="633"/>
      <c r="B80" s="609" t="s">
        <v>581</v>
      </c>
      <c r="C80" s="608">
        <v>7700</v>
      </c>
      <c r="D80" s="608">
        <v>7700</v>
      </c>
      <c r="E80" s="608">
        <v>7700</v>
      </c>
      <c r="F80" s="636">
        <f>$C$90*F78/12</f>
        <v>3625.4166666666665</v>
      </c>
      <c r="G80" s="637" t="e">
        <f>G85*G78</f>
        <v>#REF!</v>
      </c>
      <c r="H80" s="636"/>
      <c r="I80" s="637"/>
      <c r="J80" s="637"/>
      <c r="K80" s="637"/>
      <c r="L80" s="562"/>
      <c r="M80" s="608">
        <v>7700</v>
      </c>
      <c r="N80" s="608">
        <f>7700</f>
        <v>7700</v>
      </c>
      <c r="O80" s="608">
        <v>7700</v>
      </c>
      <c r="P80" s="608">
        <v>7700</v>
      </c>
      <c r="Q80" s="608">
        <v>7700</v>
      </c>
      <c r="R80" s="608">
        <v>7700</v>
      </c>
      <c r="S80" s="608">
        <f>S90*0.15/12</f>
        <v>5462.5</v>
      </c>
      <c r="V80" s="516" t="s">
        <v>538</v>
      </c>
      <c r="W80" s="552">
        <f t="shared" ref="W80:AK80" si="48">$X$20-W71</f>
        <v>7493.6791864102524</v>
      </c>
      <c r="X80" s="552">
        <f t="shared" si="48"/>
        <v>6568.9590508119618</v>
      </c>
      <c r="Y80" s="552">
        <f t="shared" si="48"/>
        <v>6106.5989830128165</v>
      </c>
      <c r="Z80" s="552">
        <f t="shared" si="48"/>
        <v>5181.8788474145258</v>
      </c>
      <c r="AA80" s="552">
        <f t="shared" si="48"/>
        <v>4719.5187796153805</v>
      </c>
      <c r="AB80" s="552">
        <f t="shared" si="48"/>
        <v>4257.1587118162352</v>
      </c>
      <c r="AC80" s="552">
        <f t="shared" si="48"/>
        <v>3794.7986440170898</v>
      </c>
      <c r="AD80" s="552">
        <f t="shared" si="48"/>
        <v>3332.4385762179409</v>
      </c>
      <c r="AE80" s="552">
        <f t="shared" si="48"/>
        <v>2870.0785084187992</v>
      </c>
      <c r="AF80" s="552">
        <f t="shared" si="48"/>
        <v>2407.7184406196502</v>
      </c>
      <c r="AG80" s="552">
        <f t="shared" si="48"/>
        <v>1945.3583728205049</v>
      </c>
      <c r="AH80" s="552">
        <f t="shared" si="48"/>
        <v>1482.9983050213596</v>
      </c>
      <c r="AI80" s="552">
        <f t="shared" si="48"/>
        <v>1020.6382372222142</v>
      </c>
      <c r="AJ80" s="552">
        <f t="shared" si="48"/>
        <v>558.2781694230689</v>
      </c>
      <c r="AK80" s="552">
        <f t="shared" si="48"/>
        <v>95.918101623923576</v>
      </c>
      <c r="AL80" s="552">
        <f t="shared" ref="AL80:AQ80" si="49">$X$20-AL71</f>
        <v>-366.44196617522175</v>
      </c>
      <c r="AM80" s="552">
        <f t="shared" si="49"/>
        <v>-1291.1621017735124</v>
      </c>
      <c r="AN80" s="552">
        <f t="shared" si="49"/>
        <v>-1984.7022034722322</v>
      </c>
      <c r="AO80" s="552">
        <f t="shared" si="49"/>
        <v>-2215.8822373718031</v>
      </c>
      <c r="AP80" s="552">
        <f t="shared" si="49"/>
        <v>198.10312499999782</v>
      </c>
      <c r="AQ80" s="552">
        <f t="shared" si="49"/>
        <v>-2211.5833333333321</v>
      </c>
      <c r="AR80" s="623"/>
      <c r="AS80" s="516" t="s">
        <v>538</v>
      </c>
    </row>
    <row r="82" spans="2:45">
      <c r="B82" s="634" t="s">
        <v>288</v>
      </c>
      <c r="C82" s="635">
        <f>C77+C80+ C79</f>
        <v>45917.9</v>
      </c>
      <c r="D82" s="635">
        <f>D77+D80+ D79</f>
        <v>48139.275000000001</v>
      </c>
      <c r="E82" s="635">
        <f>E77+E80+ E79</f>
        <v>49726.375</v>
      </c>
      <c r="F82" s="636">
        <f>F77+F80</f>
        <v>29415.74666666667</v>
      </c>
      <c r="G82" s="637" t="e">
        <f>G77+G80</f>
        <v>#REF!</v>
      </c>
      <c r="H82" s="636"/>
      <c r="I82" s="637"/>
      <c r="J82" s="637"/>
      <c r="K82" s="637"/>
      <c r="L82" s="562"/>
      <c r="M82" s="635">
        <f t="shared" ref="M82:S82" si="50">M77+M80+ M79</f>
        <v>48155.275000000001</v>
      </c>
      <c r="N82" s="635">
        <f t="shared" si="50"/>
        <v>47211.233333333337</v>
      </c>
      <c r="O82" s="635">
        <f t="shared" si="50"/>
        <v>52209.9</v>
      </c>
      <c r="P82" s="635">
        <f t="shared" si="50"/>
        <v>51646.233333333337</v>
      </c>
      <c r="Q82" s="635">
        <f t="shared" si="50"/>
        <v>51227.611111111109</v>
      </c>
      <c r="R82" s="635">
        <v>48209.611111111109</v>
      </c>
      <c r="S82" s="635">
        <f t="shared" si="50"/>
        <v>44016.166666666664</v>
      </c>
      <c r="V82" s="643" t="s">
        <v>284</v>
      </c>
      <c r="W82" s="521">
        <f>$X$18</f>
        <v>833.33333333333337</v>
      </c>
      <c r="X82" s="521">
        <f t="shared" ref="X82:AR82" si="51">$X$18</f>
        <v>833.33333333333337</v>
      </c>
      <c r="Y82" s="521">
        <f t="shared" si="51"/>
        <v>833.33333333333337</v>
      </c>
      <c r="Z82" s="521">
        <f t="shared" si="51"/>
        <v>833.33333333333337</v>
      </c>
      <c r="AA82" s="521">
        <f t="shared" si="51"/>
        <v>833.33333333333337</v>
      </c>
      <c r="AB82" s="521">
        <f t="shared" si="51"/>
        <v>833.33333333333337</v>
      </c>
      <c r="AC82" s="521">
        <f t="shared" si="51"/>
        <v>833.33333333333337</v>
      </c>
      <c r="AD82" s="521">
        <f t="shared" si="51"/>
        <v>833.33333333333337</v>
      </c>
      <c r="AE82" s="521">
        <f t="shared" si="51"/>
        <v>833.33333333333337</v>
      </c>
      <c r="AF82" s="521">
        <f t="shared" si="51"/>
        <v>833.33333333333337</v>
      </c>
      <c r="AG82" s="521">
        <f t="shared" si="51"/>
        <v>833.33333333333337</v>
      </c>
      <c r="AH82" s="521">
        <f t="shared" si="51"/>
        <v>833.33333333333337</v>
      </c>
      <c r="AI82" s="521">
        <f t="shared" si="51"/>
        <v>833.33333333333337</v>
      </c>
      <c r="AJ82" s="521">
        <f t="shared" si="51"/>
        <v>833.33333333333337</v>
      </c>
      <c r="AK82" s="521">
        <f t="shared" si="51"/>
        <v>833.33333333333337</v>
      </c>
      <c r="AL82" s="521">
        <f t="shared" si="51"/>
        <v>833.33333333333337</v>
      </c>
      <c r="AM82" s="521">
        <f t="shared" si="51"/>
        <v>833.33333333333337</v>
      </c>
      <c r="AN82" s="521">
        <f t="shared" si="51"/>
        <v>833.33333333333337</v>
      </c>
      <c r="AO82" s="521">
        <f t="shared" si="51"/>
        <v>833.33333333333337</v>
      </c>
      <c r="AP82" s="521">
        <f t="shared" si="51"/>
        <v>833.33333333333337</v>
      </c>
      <c r="AQ82" s="521">
        <f t="shared" si="51"/>
        <v>833.33333333333337</v>
      </c>
      <c r="AR82" s="521">
        <f t="shared" si="51"/>
        <v>833.33333333333337</v>
      </c>
      <c r="AS82" s="643" t="s">
        <v>284</v>
      </c>
    </row>
    <row r="83" spans="2:45">
      <c r="B83" s="609" t="s">
        <v>582</v>
      </c>
      <c r="C83" s="608"/>
      <c r="D83" s="608">
        <f>D82-C82</f>
        <v>2221.375</v>
      </c>
      <c r="E83" s="608">
        <f>E82-C82</f>
        <v>3808.4749999999985</v>
      </c>
      <c r="F83" s="644" t="e">
        <f>F82-#REF!</f>
        <v>#REF!</v>
      </c>
      <c r="G83" s="645" t="e">
        <f>G77-#REF!</f>
        <v>#REF!</v>
      </c>
      <c r="H83" s="644" t="e">
        <f>H77-C77</f>
        <v>#REF!</v>
      </c>
      <c r="I83" s="645" t="e">
        <f>I77-G77</f>
        <v>#REF!</v>
      </c>
      <c r="J83" s="645" t="e">
        <f>J77-H77</f>
        <v>#REF!</v>
      </c>
      <c r="K83" s="645" t="e">
        <f>K77-I77</f>
        <v>#REF!</v>
      </c>
      <c r="L83" s="562"/>
      <c r="M83" s="608">
        <f>M82-C82</f>
        <v>2237.375</v>
      </c>
      <c r="N83" s="608">
        <f>N82-C82</f>
        <v>1293.3333333333358</v>
      </c>
      <c r="O83" s="608">
        <f>O82-N82</f>
        <v>4998.6666666666642</v>
      </c>
      <c r="P83" s="608">
        <f>P82-O82</f>
        <v>-563.66666666666424</v>
      </c>
      <c r="Q83" s="608">
        <f>Q82-N82</f>
        <v>4016.3777777777723</v>
      </c>
      <c r="R83" s="608">
        <v>998.37777777777228</v>
      </c>
      <c r="S83" s="608">
        <f xml:space="preserve"> S82 -N82</f>
        <v>-3195.066666666673</v>
      </c>
      <c r="V83" s="646" t="s">
        <v>542</v>
      </c>
      <c r="W83" s="647">
        <f t="shared" ref="W83:AM83" si="52">W61/W71</f>
        <v>45.452334067886063</v>
      </c>
      <c r="X83" s="647">
        <f t="shared" si="52"/>
        <v>39.357208824053046</v>
      </c>
      <c r="Y83" s="647">
        <f t="shared" si="52"/>
        <v>36.565131537602952</v>
      </c>
      <c r="Z83" s="647">
        <f t="shared" si="52"/>
        <v>31.424333107536867</v>
      </c>
      <c r="AA83" s="647">
        <f t="shared" si="52"/>
        <v>29.05275005085462</v>
      </c>
      <c r="AB83" s="647">
        <f t="shared" si="52"/>
        <v>26.800385252004936</v>
      </c>
      <c r="AC83" s="647">
        <f t="shared" si="52"/>
        <v>24.658469560762981</v>
      </c>
      <c r="AD83" s="647">
        <f t="shared" si="52"/>
        <v>22.619073269862607</v>
      </c>
      <c r="AE83" s="647">
        <f t="shared" si="52"/>
        <v>20.675008016151782</v>
      </c>
      <c r="AF83" s="647">
        <f t="shared" si="52"/>
        <v>18.819742124375153</v>
      </c>
      <c r="AG83" s="647">
        <f t="shared" si="52"/>
        <v>17.047327292496515</v>
      </c>
      <c r="AH83" s="647">
        <f t="shared" si="52"/>
        <v>15.352334884591542</v>
      </c>
      <c r="AI83" s="647">
        <f t="shared" si="52"/>
        <v>13.72980039383787</v>
      </c>
      <c r="AJ83" s="647">
        <f t="shared" si="52"/>
        <v>12.175174878783332</v>
      </c>
      <c r="AK83" s="647">
        <f t="shared" si="52"/>
        <v>10.684282372331191</v>
      </c>
      <c r="AL83" s="647">
        <f t="shared" si="52"/>
        <v>9.2532824236604299</v>
      </c>
      <c r="AM83" s="647">
        <f t="shared" si="52"/>
        <v>6.557081609159459</v>
      </c>
      <c r="AN83" s="647">
        <f>AN61/AN71</f>
        <v>4.6677535878346657</v>
      </c>
      <c r="AO83" s="647">
        <f>AO61/AO71</f>
        <v>4.0613956101194431</v>
      </c>
      <c r="AP83" s="647">
        <f>AP61/AP71</f>
        <v>6.7347750230433165</v>
      </c>
      <c r="AQ83" s="647">
        <f>AQ61/AQ71</f>
        <v>9.6886663449163457</v>
      </c>
      <c r="AR83" s="647"/>
      <c r="AS83" s="646" t="s">
        <v>542</v>
      </c>
    </row>
    <row r="84" spans="2:45">
      <c r="B84" s="609" t="s">
        <v>583</v>
      </c>
      <c r="C84" s="608"/>
      <c r="D84" s="608">
        <f>D83*12</f>
        <v>26656.5</v>
      </c>
      <c r="E84" s="608">
        <f t="shared" ref="E84:J84" si="53">E83*12</f>
        <v>45701.699999999983</v>
      </c>
      <c r="F84" s="644" t="e">
        <f t="shared" si="53"/>
        <v>#REF!</v>
      </c>
      <c r="G84" s="645" t="e">
        <f t="shared" si="53"/>
        <v>#REF!</v>
      </c>
      <c r="H84" s="644" t="e">
        <f t="shared" si="53"/>
        <v>#REF!</v>
      </c>
      <c r="I84" s="645" t="e">
        <f t="shared" si="53"/>
        <v>#REF!</v>
      </c>
      <c r="J84" s="645" t="e">
        <f t="shared" si="53"/>
        <v>#REF!</v>
      </c>
      <c r="K84" s="645" t="e">
        <f>K83*12</f>
        <v>#REF!</v>
      </c>
      <c r="L84" s="562"/>
      <c r="M84" s="608">
        <f t="shared" ref="M84:S84" si="54">M83*12</f>
        <v>26848.5</v>
      </c>
      <c r="N84" s="608">
        <f t="shared" si="54"/>
        <v>15520.000000000029</v>
      </c>
      <c r="O84" s="608">
        <f t="shared" si="54"/>
        <v>59983.999999999971</v>
      </c>
      <c r="P84" s="608">
        <f t="shared" si="54"/>
        <v>-6763.9999999999709</v>
      </c>
      <c r="Q84" s="608">
        <f t="shared" si="54"/>
        <v>48196.533333333267</v>
      </c>
      <c r="R84" s="608">
        <v>11980.533333333267</v>
      </c>
      <c r="S84" s="608">
        <f t="shared" si="54"/>
        <v>-38340.800000000076</v>
      </c>
      <c r="V84" s="646" t="s">
        <v>544</v>
      </c>
      <c r="W84" s="564">
        <f t="shared" ref="W84:AQ84" si="55">$W$44/$X$10</f>
        <v>0.17979395392274375</v>
      </c>
      <c r="X84" s="564">
        <f t="shared" si="55"/>
        <v>0.17979395392274375</v>
      </c>
      <c r="Y84" s="564">
        <f t="shared" si="55"/>
        <v>0.17979395392274375</v>
      </c>
      <c r="Z84" s="564">
        <f t="shared" si="55"/>
        <v>0.17979395392274375</v>
      </c>
      <c r="AA84" s="564">
        <f t="shared" si="55"/>
        <v>0.17979395392274375</v>
      </c>
      <c r="AB84" s="564">
        <f t="shared" si="55"/>
        <v>0.17979395392274375</v>
      </c>
      <c r="AC84" s="564">
        <f t="shared" si="55"/>
        <v>0.17979395392274375</v>
      </c>
      <c r="AD84" s="564">
        <f t="shared" si="55"/>
        <v>0.17979395392274375</v>
      </c>
      <c r="AE84" s="564">
        <f t="shared" si="55"/>
        <v>0.17979395392274375</v>
      </c>
      <c r="AF84" s="564">
        <f t="shared" si="55"/>
        <v>0.17979395392274375</v>
      </c>
      <c r="AG84" s="564">
        <f t="shared" si="55"/>
        <v>0.17979395392274375</v>
      </c>
      <c r="AH84" s="564">
        <f t="shared" si="55"/>
        <v>0.17979395392274375</v>
      </c>
      <c r="AI84" s="564">
        <f t="shared" si="55"/>
        <v>0.17979395392274375</v>
      </c>
      <c r="AJ84" s="564">
        <f t="shared" si="55"/>
        <v>0.17979395392274375</v>
      </c>
      <c r="AK84" s="564">
        <f t="shared" si="55"/>
        <v>0.17979395392274375</v>
      </c>
      <c r="AL84" s="564">
        <f t="shared" si="55"/>
        <v>0.17979395392274375</v>
      </c>
      <c r="AM84" s="564">
        <f t="shared" si="55"/>
        <v>0.17979395392274375</v>
      </c>
      <c r="AN84" s="564">
        <f t="shared" si="55"/>
        <v>0.17979395392274375</v>
      </c>
      <c r="AO84" s="564">
        <f t="shared" si="55"/>
        <v>0.17979395392274375</v>
      </c>
      <c r="AP84" s="564">
        <f t="shared" si="55"/>
        <v>0.17979395392274375</v>
      </c>
      <c r="AQ84" s="564">
        <f t="shared" si="55"/>
        <v>0.17979395392274375</v>
      </c>
      <c r="AR84" s="564"/>
      <c r="AS84" s="646" t="s">
        <v>544</v>
      </c>
    </row>
    <row r="85" spans="2:45">
      <c r="B85" s="609" t="s">
        <v>584</v>
      </c>
      <c r="C85" s="608"/>
      <c r="D85" s="648">
        <f>C90+D84</f>
        <v>411656.5</v>
      </c>
      <c r="E85" s="648">
        <f>C90+E84</f>
        <v>430701.69999999995</v>
      </c>
      <c r="F85" s="648" t="e">
        <f>#REF!+F84</f>
        <v>#REF!</v>
      </c>
      <c r="G85" s="649" t="e">
        <f>#REF!+G84</f>
        <v>#REF!</v>
      </c>
      <c r="H85" s="648" t="e">
        <f>C85+H84</f>
        <v>#REF!</v>
      </c>
      <c r="I85" s="649" t="e">
        <f>G85+I84</f>
        <v>#REF!</v>
      </c>
      <c r="J85" s="649" t="e">
        <f>H85+J84</f>
        <v>#REF!</v>
      </c>
      <c r="K85" s="649" t="e">
        <f>I85+K84</f>
        <v>#REF!</v>
      </c>
      <c r="L85" s="650"/>
      <c r="M85" s="648">
        <f>C90+M84</f>
        <v>411848.5</v>
      </c>
      <c r="N85" s="648">
        <f>C90+N84</f>
        <v>400520</v>
      </c>
      <c r="O85" s="651">
        <f>N90+O84</f>
        <v>444984</v>
      </c>
      <c r="P85" s="651">
        <f>O90+P84</f>
        <v>465236</v>
      </c>
      <c r="Q85" s="652">
        <f>O90+Q84</f>
        <v>520196.53333333327</v>
      </c>
      <c r="R85" s="652">
        <v>483980.53333333327</v>
      </c>
      <c r="S85" s="651">
        <f>S90 - S84</f>
        <v>475340.80000000005</v>
      </c>
      <c r="V85" s="646" t="s">
        <v>546</v>
      </c>
      <c r="W85" s="564">
        <f t="shared" ref="W85:AM85" si="56">W67/$X$10</f>
        <v>0.2095140347230198</v>
      </c>
      <c r="X85" s="564">
        <f t="shared" si="56"/>
        <v>0.24351384851671967</v>
      </c>
      <c r="Y85" s="564">
        <f t="shared" si="56"/>
        <v>0.26051375541356964</v>
      </c>
      <c r="Z85" s="564">
        <f t="shared" si="56"/>
        <v>0.29451356920726951</v>
      </c>
      <c r="AA85" s="564">
        <f t="shared" si="56"/>
        <v>0.3115134761041195</v>
      </c>
      <c r="AB85" s="564">
        <f t="shared" si="56"/>
        <v>0.32851338300096938</v>
      </c>
      <c r="AC85" s="564">
        <f t="shared" si="56"/>
        <v>0.34551328989781938</v>
      </c>
      <c r="AD85" s="564">
        <f t="shared" si="56"/>
        <v>0.36251319679466942</v>
      </c>
      <c r="AE85" s="564">
        <f t="shared" si="56"/>
        <v>0.37951310369151925</v>
      </c>
      <c r="AF85" s="564">
        <f t="shared" si="56"/>
        <v>0.3965130105883693</v>
      </c>
      <c r="AG85" s="564">
        <f t="shared" si="56"/>
        <v>0.41351291748521923</v>
      </c>
      <c r="AH85" s="564">
        <f t="shared" si="56"/>
        <v>0.43051282438206911</v>
      </c>
      <c r="AI85" s="564">
        <f t="shared" si="56"/>
        <v>0.44751273127891911</v>
      </c>
      <c r="AJ85" s="564">
        <f t="shared" si="56"/>
        <v>0.46451263817576904</v>
      </c>
      <c r="AK85" s="564">
        <f t="shared" si="56"/>
        <v>0.48151254507261898</v>
      </c>
      <c r="AL85" s="564">
        <f t="shared" si="56"/>
        <v>0.49851245196946897</v>
      </c>
      <c r="AM85" s="564">
        <f t="shared" si="56"/>
        <v>0.53251226576316879</v>
      </c>
      <c r="AN85" s="564">
        <f>AN67/$X$10</f>
        <v>0.55801212610844375</v>
      </c>
      <c r="AO85" s="564">
        <f>AO67/$X$10</f>
        <v>0.56651207955686878</v>
      </c>
      <c r="AP85" s="564">
        <f>AP67/$X$10</f>
        <v>0.47775543885902538</v>
      </c>
      <c r="AQ85" s="564">
        <f>AQ67/$X$10</f>
        <v>0.49136327202935531</v>
      </c>
      <c r="AR85" s="564"/>
      <c r="AS85" s="646" t="s">
        <v>546</v>
      </c>
    </row>
    <row r="86" spans="2:45">
      <c r="B86" s="609" t="s">
        <v>585</v>
      </c>
      <c r="C86" s="613"/>
      <c r="D86" s="613">
        <f>(D85-C90)/C90</f>
        <v>6.9237662337662334E-2</v>
      </c>
      <c r="E86" s="613">
        <f>(E85-C90)/C90</f>
        <v>0.11870571428571416</v>
      </c>
      <c r="F86" s="653" t="e">
        <f>(F85-#REF!)/#REF!</f>
        <v>#REF!</v>
      </c>
      <c r="G86" s="654" t="e">
        <f>(G85-#REF!)/#REF!</f>
        <v>#REF!</v>
      </c>
      <c r="H86" s="653" t="e">
        <f>(H85-C85)/C85</f>
        <v>#REF!</v>
      </c>
      <c r="I86" s="654" t="e">
        <f>(I85-G85)/G85</f>
        <v>#REF!</v>
      </c>
      <c r="J86" s="654" t="e">
        <f>(J85-H85)/H85</f>
        <v>#REF!</v>
      </c>
      <c r="K86" s="654" t="e">
        <f>(K85-I85)/I85</f>
        <v>#REF!</v>
      </c>
      <c r="L86" s="562"/>
      <c r="M86" s="613">
        <f>(M85-C90)/C90</f>
        <v>6.9736363636363638E-2</v>
      </c>
      <c r="N86" s="613">
        <f>(N85-C90)/C90</f>
        <v>4.0311688311688312E-2</v>
      </c>
      <c r="O86" s="613">
        <f>(O85-N90)/N90</f>
        <v>0.15580259740259741</v>
      </c>
      <c r="P86" s="613">
        <f>(P85-O90)/O90</f>
        <v>-1.4330508474576271E-2</v>
      </c>
      <c r="Q86" s="613">
        <f>(Q85-O90)/O90</f>
        <v>0.10211129943502811</v>
      </c>
      <c r="R86" s="613">
        <v>2.5382485875706073E-2</v>
      </c>
      <c r="S86" s="613" t="e">
        <f>(S85-#REF!)/#REF!</f>
        <v>#REF!</v>
      </c>
      <c r="U86" s="655"/>
    </row>
    <row r="87" spans="2:45">
      <c r="B87" s="656" t="s">
        <v>586</v>
      </c>
      <c r="C87" s="646" t="s">
        <v>587</v>
      </c>
      <c r="D87" s="646"/>
      <c r="E87" s="646"/>
      <c r="F87" s="646"/>
      <c r="G87" s="657"/>
      <c r="H87" s="646"/>
      <c r="I87" s="657"/>
      <c r="J87" s="657"/>
      <c r="K87" s="657"/>
      <c r="L87" s="562"/>
      <c r="M87" s="646"/>
      <c r="N87" s="646"/>
      <c r="O87" s="646"/>
      <c r="P87" s="646"/>
      <c r="Q87" s="646"/>
      <c r="R87" s="646"/>
      <c r="S87" s="646"/>
    </row>
    <row r="88" spans="2:45">
      <c r="B88" s="658" t="s">
        <v>588</v>
      </c>
      <c r="C88" s="620">
        <v>235000</v>
      </c>
      <c r="D88" s="659">
        <f>C88</f>
        <v>235000</v>
      </c>
      <c r="E88" s="659">
        <f>C88</f>
        <v>235000</v>
      </c>
      <c r="F88" s="620">
        <f>C88</f>
        <v>235000</v>
      </c>
      <c r="G88" s="621"/>
      <c r="H88" s="620"/>
      <c r="I88" s="621"/>
      <c r="J88" s="621"/>
      <c r="K88" s="621"/>
      <c r="L88" s="562"/>
      <c r="M88" s="659">
        <f>$C$88</f>
        <v>235000</v>
      </c>
      <c r="N88" s="659">
        <v>235000</v>
      </c>
      <c r="O88" s="659">
        <v>235000</v>
      </c>
      <c r="P88" s="659">
        <v>210000</v>
      </c>
      <c r="Q88" s="659">
        <v>210000</v>
      </c>
      <c r="R88" s="659">
        <v>210000</v>
      </c>
      <c r="S88" s="659">
        <v>200000</v>
      </c>
    </row>
    <row r="89" spans="2:45">
      <c r="B89" s="658" t="s">
        <v>589</v>
      </c>
      <c r="C89" s="620">
        <v>150000</v>
      </c>
      <c r="D89" s="659">
        <f>C89</f>
        <v>150000</v>
      </c>
      <c r="E89" s="659">
        <f>C89</f>
        <v>150000</v>
      </c>
      <c r="F89" s="620">
        <f>C89</f>
        <v>150000</v>
      </c>
      <c r="G89" s="621"/>
      <c r="H89" s="620"/>
      <c r="I89" s="621"/>
      <c r="J89" s="621"/>
      <c r="K89" s="621"/>
      <c r="L89" s="562"/>
      <c r="M89" s="659">
        <f>$C$89</f>
        <v>150000</v>
      </c>
      <c r="N89" s="659">
        <v>150000</v>
      </c>
      <c r="O89" s="659">
        <v>237000</v>
      </c>
      <c r="P89" s="659">
        <v>237000</v>
      </c>
      <c r="Q89" s="659">
        <v>237000</v>
      </c>
      <c r="R89" s="659">
        <v>237000</v>
      </c>
      <c r="S89" s="659">
        <v>237000</v>
      </c>
      <c r="AH89" s="655"/>
      <c r="AI89" s="655"/>
      <c r="AJ89" s="655"/>
      <c r="AK89" s="655"/>
    </row>
    <row r="90" spans="2:45">
      <c r="B90" s="658" t="s">
        <v>244</v>
      </c>
      <c r="C90" s="660">
        <f>SUM(C88:C89)</f>
        <v>385000</v>
      </c>
      <c r="D90" s="661">
        <f>SUM(D88:D89)</f>
        <v>385000</v>
      </c>
      <c r="E90" s="661">
        <f>SUM(E88:E89)</f>
        <v>385000</v>
      </c>
      <c r="F90" s="660">
        <f>SUM(F88:F89)</f>
        <v>385000</v>
      </c>
      <c r="G90" s="621"/>
      <c r="H90" s="620"/>
      <c r="I90" s="621"/>
      <c r="J90" s="621"/>
      <c r="K90" s="621"/>
      <c r="L90" s="562"/>
      <c r="M90" s="661">
        <f t="shared" ref="M90:S90" si="57">SUM(M88:M89)</f>
        <v>385000</v>
      </c>
      <c r="N90" s="661">
        <f t="shared" si="57"/>
        <v>385000</v>
      </c>
      <c r="O90" s="661">
        <f t="shared" si="57"/>
        <v>472000</v>
      </c>
      <c r="P90" s="661">
        <f t="shared" si="57"/>
        <v>447000</v>
      </c>
      <c r="Q90" s="661">
        <f t="shared" si="57"/>
        <v>447000</v>
      </c>
      <c r="R90" s="661">
        <v>447000</v>
      </c>
      <c r="S90" s="661">
        <f t="shared" si="57"/>
        <v>437000</v>
      </c>
      <c r="AG90" s="655"/>
    </row>
    <row r="91" spans="2:45">
      <c r="B91" s="658" t="s">
        <v>590</v>
      </c>
      <c r="C91" s="660"/>
      <c r="D91" s="661"/>
      <c r="E91" s="661"/>
      <c r="F91" s="660"/>
      <c r="G91" s="621"/>
      <c r="H91" s="620"/>
      <c r="I91" s="621"/>
      <c r="J91" s="621"/>
      <c r="K91" s="621"/>
      <c r="L91" s="562"/>
      <c r="M91" s="661"/>
      <c r="N91" s="661"/>
      <c r="O91" s="661"/>
      <c r="P91" s="661"/>
      <c r="Q91" s="662">
        <f>Q85-Q90</f>
        <v>73196.533333333267</v>
      </c>
      <c r="R91" s="662">
        <v>36980.533333333267</v>
      </c>
      <c r="S91" s="661">
        <f>S90-S93</f>
        <v>475340.80000000005</v>
      </c>
    </row>
    <row r="92" spans="2:45">
      <c r="B92" s="658" t="s">
        <v>591</v>
      </c>
      <c r="C92" s="660"/>
      <c r="D92" s="661"/>
      <c r="E92" s="661"/>
      <c r="F92" s="660"/>
      <c r="G92" s="621"/>
      <c r="H92" s="620"/>
      <c r="I92" s="621"/>
      <c r="J92" s="621"/>
      <c r="K92" s="621"/>
      <c r="L92" s="562"/>
      <c r="M92" s="661"/>
      <c r="N92" s="661"/>
      <c r="O92" s="661"/>
      <c r="P92" s="661"/>
      <c r="Q92" s="661">
        <f>Q85/2</f>
        <v>260098.26666666663</v>
      </c>
      <c r="R92" s="661">
        <v>241990.26666666663</v>
      </c>
      <c r="S92" s="663">
        <f>S85/2</f>
        <v>237670.40000000002</v>
      </c>
      <c r="AP92" s="664"/>
      <c r="AQ92" s="655"/>
      <c r="AR92" s="655"/>
      <c r="AS92" s="655"/>
    </row>
    <row r="93" spans="2:45" s="655" customFormat="1">
      <c r="B93" s="665" t="s">
        <v>592</v>
      </c>
      <c r="C93" s="666"/>
      <c r="D93" s="666"/>
      <c r="E93" s="666"/>
      <c r="F93" s="659" t="e">
        <f>F90-F85</f>
        <v>#REF!</v>
      </c>
      <c r="G93" s="667"/>
      <c r="H93" s="668"/>
      <c r="I93" s="667"/>
      <c r="J93" s="667"/>
      <c r="K93" s="667"/>
      <c r="L93" s="669"/>
      <c r="M93" s="666"/>
      <c r="N93" s="666">
        <f>N90-N85</f>
        <v>-15520</v>
      </c>
      <c r="O93" s="666">
        <f>O90-O85</f>
        <v>27016</v>
      </c>
      <c r="P93" s="666">
        <f>P90-P85</f>
        <v>-18236</v>
      </c>
      <c r="Q93" s="666">
        <f>Q90-Q85</f>
        <v>-73196.533333333267</v>
      </c>
      <c r="R93" s="666">
        <v>-36980.533333333267</v>
      </c>
      <c r="S93" s="666">
        <f>S90-S85</f>
        <v>-38340.800000000047</v>
      </c>
      <c r="U93" s="501"/>
      <c r="W93" s="501"/>
      <c r="X93" s="501"/>
      <c r="Y93" s="501"/>
      <c r="Z93" s="501"/>
      <c r="AA93" s="501"/>
      <c r="AB93" s="501"/>
      <c r="AC93" s="501"/>
      <c r="AD93" s="501"/>
      <c r="AE93" s="501"/>
      <c r="AF93" s="501"/>
      <c r="AG93" s="501"/>
      <c r="AH93" s="501"/>
      <c r="AI93" s="501"/>
      <c r="AJ93" s="501"/>
      <c r="AK93" s="501"/>
      <c r="AP93" s="502"/>
      <c r="AQ93" s="501"/>
      <c r="AR93" s="501"/>
      <c r="AS93" s="501"/>
    </row>
    <row r="94" spans="2:45" hidden="1">
      <c r="V94" s="501" t="s">
        <v>477</v>
      </c>
      <c r="W94" s="655" t="s">
        <v>241</v>
      </c>
    </row>
    <row r="95" spans="2:45" hidden="1">
      <c r="U95" s="501" t="s">
        <v>593</v>
      </c>
      <c r="V95" s="501">
        <v>6649</v>
      </c>
      <c r="W95" s="501">
        <v>2249</v>
      </c>
    </row>
    <row r="96" spans="2:45" hidden="1">
      <c r="U96" s="501" t="s">
        <v>594</v>
      </c>
    </row>
    <row r="98" spans="2:23" hidden="1">
      <c r="B98" s="562"/>
      <c r="C98" s="670"/>
      <c r="D98" s="670"/>
      <c r="E98" s="670"/>
      <c r="F98" s="670"/>
      <c r="G98" s="670"/>
      <c r="H98" s="670"/>
      <c r="I98" s="670"/>
      <c r="J98" s="670"/>
      <c r="K98" s="670"/>
      <c r="L98" s="670"/>
      <c r="M98" s="646" t="s">
        <v>595</v>
      </c>
      <c r="N98" s="646" t="s">
        <v>596</v>
      </c>
      <c r="O98" s="646" t="s">
        <v>597</v>
      </c>
      <c r="P98" s="646" t="s">
        <v>598</v>
      </c>
    </row>
    <row r="99" spans="2:23" hidden="1">
      <c r="B99" s="562" t="s">
        <v>556</v>
      </c>
      <c r="C99" s="670">
        <v>3900</v>
      </c>
      <c r="D99" s="670">
        <v>4610</v>
      </c>
      <c r="E99" s="670" t="s">
        <v>556</v>
      </c>
      <c r="F99" s="670"/>
      <c r="G99" s="670"/>
      <c r="H99" s="670"/>
      <c r="I99" s="670"/>
      <c r="J99" s="670"/>
      <c r="K99" s="670"/>
      <c r="L99" s="670"/>
      <c r="M99" s="671">
        <v>4384</v>
      </c>
      <c r="N99" s="671">
        <v>4592</v>
      </c>
      <c r="O99" s="671">
        <v>4395</v>
      </c>
      <c r="P99" s="671">
        <v>4500</v>
      </c>
      <c r="S99" s="672"/>
    </row>
    <row r="100" spans="2:23" hidden="1">
      <c r="B100" s="562" t="s">
        <v>599</v>
      </c>
      <c r="C100" s="670">
        <f>C99*12</f>
        <v>46800</v>
      </c>
      <c r="D100" s="670">
        <f>D99*12</f>
        <v>55320</v>
      </c>
      <c r="E100" s="670" t="s">
        <v>600</v>
      </c>
      <c r="F100" s="670"/>
      <c r="G100" s="670"/>
      <c r="H100" s="670"/>
      <c r="I100" s="670"/>
      <c r="J100" s="670"/>
      <c r="K100" s="670"/>
      <c r="L100" s="670"/>
      <c r="M100" s="671">
        <v>22</v>
      </c>
      <c r="N100" s="671">
        <v>22</v>
      </c>
      <c r="O100" s="671">
        <v>22</v>
      </c>
      <c r="P100" s="671">
        <v>22</v>
      </c>
      <c r="S100" s="672"/>
    </row>
    <row r="101" spans="2:23" hidden="1">
      <c r="B101" s="562" t="s">
        <v>601</v>
      </c>
      <c r="C101" s="670">
        <f>4410*2.1</f>
        <v>9261</v>
      </c>
      <c r="D101" s="670"/>
      <c r="E101" s="670" t="s">
        <v>416</v>
      </c>
      <c r="F101" s="670"/>
      <c r="G101" s="670"/>
      <c r="H101" s="670"/>
      <c r="I101" s="670"/>
      <c r="J101" s="670"/>
      <c r="K101" s="670"/>
      <c r="L101" s="670"/>
      <c r="M101" s="671">
        <v>42</v>
      </c>
      <c r="N101" s="671">
        <v>42</v>
      </c>
      <c r="O101" s="671">
        <v>53</v>
      </c>
      <c r="P101" s="671">
        <v>53</v>
      </c>
      <c r="S101" s="672"/>
      <c r="V101" s="501">
        <v>11290</v>
      </c>
      <c r="W101" s="501">
        <v>6400</v>
      </c>
    </row>
    <row r="102" spans="2:23" hidden="1">
      <c r="B102" s="562" t="s">
        <v>416</v>
      </c>
      <c r="C102" s="670">
        <f>C100+C101</f>
        <v>56061</v>
      </c>
      <c r="D102" s="670"/>
      <c r="E102" s="670" t="s">
        <v>410</v>
      </c>
      <c r="F102" s="670"/>
      <c r="G102" s="670"/>
      <c r="H102" s="670"/>
      <c r="I102" s="670"/>
      <c r="J102" s="670"/>
      <c r="K102" s="670"/>
      <c r="L102" s="670"/>
      <c r="M102" s="671">
        <v>52</v>
      </c>
      <c r="N102" s="671">
        <v>52</v>
      </c>
      <c r="O102" s="671">
        <v>103</v>
      </c>
      <c r="P102" s="671">
        <v>103</v>
      </c>
      <c r="S102" s="672"/>
      <c r="V102" s="501">
        <f>V101-V95</f>
        <v>4641</v>
      </c>
    </row>
    <row r="103" spans="2:23" hidden="1">
      <c r="B103" s="562" t="s">
        <v>602</v>
      </c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1">
        <v>85</v>
      </c>
      <c r="N103" s="671">
        <v>85</v>
      </c>
      <c r="O103" s="671">
        <v>135</v>
      </c>
      <c r="P103" s="671">
        <v>135</v>
      </c>
      <c r="S103" s="672"/>
    </row>
    <row r="104" spans="2:23" hidden="1">
      <c r="B104" s="562" t="s">
        <v>603</v>
      </c>
      <c r="C104" s="670"/>
      <c r="D104" s="670"/>
      <c r="E104" s="670" t="s">
        <v>603</v>
      </c>
      <c r="F104" s="670"/>
      <c r="G104" s="670"/>
      <c r="H104" s="670"/>
      <c r="I104" s="670"/>
      <c r="J104" s="670"/>
      <c r="K104" s="670"/>
      <c r="L104" s="670"/>
      <c r="M104" s="671">
        <v>40</v>
      </c>
      <c r="N104" s="671">
        <v>40</v>
      </c>
      <c r="O104" s="671">
        <v>40</v>
      </c>
      <c r="P104" s="671">
        <v>40</v>
      </c>
      <c r="S104" s="672"/>
    </row>
    <row r="105" spans="2:23" hidden="1">
      <c r="B105" s="562" t="s">
        <v>604</v>
      </c>
      <c r="C105" s="670"/>
      <c r="D105" s="670"/>
      <c r="E105" s="670" t="s">
        <v>604</v>
      </c>
      <c r="F105" s="670"/>
      <c r="G105" s="670"/>
      <c r="H105" s="670"/>
      <c r="I105" s="670"/>
      <c r="J105" s="670"/>
      <c r="K105" s="670"/>
      <c r="L105" s="670"/>
      <c r="M105" s="671">
        <v>2</v>
      </c>
      <c r="N105" s="671">
        <v>2</v>
      </c>
      <c r="O105" s="671"/>
      <c r="P105" s="671"/>
      <c r="S105" s="672"/>
    </row>
    <row r="106" spans="2:23" hidden="1">
      <c r="B106" s="562" t="s">
        <v>244</v>
      </c>
      <c r="C106" s="670"/>
      <c r="D106" s="670"/>
      <c r="E106" s="670" t="s">
        <v>244</v>
      </c>
      <c r="F106" s="670"/>
      <c r="G106" s="670"/>
      <c r="H106" s="670"/>
      <c r="I106" s="670"/>
      <c r="J106" s="670"/>
      <c r="K106" s="670"/>
      <c r="L106" s="670"/>
      <c r="M106" s="671">
        <f>SUM(M99:M105)</f>
        <v>4627</v>
      </c>
      <c r="N106" s="671">
        <f>SUM(N99:N104)</f>
        <v>4833</v>
      </c>
      <c r="O106" s="671">
        <f>SUM(O99:O104)</f>
        <v>4748</v>
      </c>
      <c r="P106" s="671">
        <f>SUM(P99:P104)</f>
        <v>4853</v>
      </c>
      <c r="S106" s="672"/>
    </row>
    <row r="107" spans="2:23" hidden="1">
      <c r="B107" s="562" t="s">
        <v>605</v>
      </c>
      <c r="C107" s="670"/>
      <c r="D107" s="670"/>
      <c r="E107" s="670" t="s">
        <v>606</v>
      </c>
      <c r="F107" s="670"/>
      <c r="G107" s="670"/>
      <c r="H107" s="670"/>
      <c r="I107" s="670"/>
      <c r="J107" s="670"/>
      <c r="K107" s="670"/>
      <c r="L107" s="670"/>
      <c r="M107" s="670"/>
      <c r="N107" s="670"/>
      <c r="O107" s="671">
        <v>1500</v>
      </c>
      <c r="P107" s="671"/>
      <c r="S107" s="672"/>
    </row>
    <row r="108" spans="2:23" hidden="1">
      <c r="B108" s="562"/>
      <c r="C108" s="670"/>
      <c r="D108" s="670"/>
      <c r="E108" s="670" t="s">
        <v>607</v>
      </c>
      <c r="F108" s="670"/>
      <c r="G108" s="670"/>
      <c r="H108" s="670"/>
      <c r="I108" s="670"/>
      <c r="J108" s="670"/>
      <c r="K108" s="670"/>
      <c r="L108" s="670"/>
      <c r="M108" s="670"/>
      <c r="N108" s="670"/>
      <c r="O108" s="673">
        <f>4075/30*Q108</f>
        <v>0</v>
      </c>
      <c r="P108" s="673">
        <f>4075/30*S108</f>
        <v>0</v>
      </c>
      <c r="Q108" s="577">
        <v>0</v>
      </c>
      <c r="R108" s="577">
        <v>0</v>
      </c>
      <c r="S108" s="576"/>
    </row>
    <row r="109" spans="2:23" hidden="1">
      <c r="B109" s="562" t="s">
        <v>133</v>
      </c>
      <c r="C109" s="670"/>
      <c r="D109" s="670"/>
      <c r="E109" s="670" t="s">
        <v>241</v>
      </c>
      <c r="F109" s="670"/>
      <c r="G109" s="670"/>
      <c r="H109" s="670"/>
      <c r="I109" s="670"/>
      <c r="J109" s="670"/>
      <c r="K109" s="670"/>
      <c r="L109" s="670"/>
      <c r="M109" s="673">
        <f>M106*12</f>
        <v>55524</v>
      </c>
      <c r="N109" s="673">
        <f>N106*12</f>
        <v>57996</v>
      </c>
      <c r="O109" s="673">
        <f>O106*12+O107</f>
        <v>58476</v>
      </c>
      <c r="P109" s="673">
        <f>P106*12+P107</f>
        <v>58236</v>
      </c>
      <c r="S109" s="576"/>
    </row>
    <row r="110" spans="2:23" hidden="1">
      <c r="B110" s="562" t="s">
        <v>477</v>
      </c>
      <c r="C110" s="670"/>
      <c r="D110" s="670"/>
      <c r="E110" s="670" t="s">
        <v>608</v>
      </c>
      <c r="F110" s="670"/>
      <c r="G110" s="670"/>
      <c r="H110" s="670"/>
      <c r="I110" s="670"/>
      <c r="J110" s="670"/>
      <c r="K110" s="670"/>
      <c r="L110" s="670"/>
      <c r="M110" s="673">
        <f>M109/12</f>
        <v>4627</v>
      </c>
      <c r="N110" s="673">
        <f>N109/12</f>
        <v>4833</v>
      </c>
      <c r="O110" s="673">
        <f>O109/12</f>
        <v>4873</v>
      </c>
      <c r="P110" s="673">
        <f>P109/12</f>
        <v>4853</v>
      </c>
      <c r="S110" s="576"/>
    </row>
    <row r="111" spans="2:23" hidden="1">
      <c r="B111" s="562" t="s">
        <v>609</v>
      </c>
      <c r="C111" s="670"/>
      <c r="D111" s="670"/>
      <c r="E111" s="670" t="s">
        <v>556</v>
      </c>
      <c r="F111" s="670"/>
      <c r="G111" s="670"/>
      <c r="H111" s="670"/>
      <c r="I111" s="670"/>
      <c r="J111" s="670"/>
      <c r="K111" s="670"/>
      <c r="L111" s="670"/>
      <c r="M111" s="670"/>
      <c r="N111" s="670"/>
      <c r="O111" s="673">
        <f>O109-N109</f>
        <v>480</v>
      </c>
      <c r="P111" s="673">
        <f>P109-N109</f>
        <v>240</v>
      </c>
      <c r="S111" s="576"/>
    </row>
    <row r="112" spans="2:23" hidden="1">
      <c r="B112" s="562" t="s">
        <v>387</v>
      </c>
      <c r="C112" s="670"/>
      <c r="D112" s="670"/>
      <c r="E112" s="670" t="s">
        <v>288</v>
      </c>
      <c r="F112" s="670"/>
      <c r="G112" s="670"/>
      <c r="H112" s="670"/>
      <c r="I112" s="670"/>
      <c r="J112" s="670"/>
      <c r="K112" s="670"/>
      <c r="L112" s="670"/>
      <c r="M112" s="673">
        <f>M106*12</f>
        <v>55524</v>
      </c>
      <c r="N112" s="673">
        <f>N106*12</f>
        <v>57996</v>
      </c>
      <c r="O112" s="673">
        <f>O106*12</f>
        <v>56976</v>
      </c>
      <c r="P112" s="673">
        <f>P106*12</f>
        <v>58236</v>
      </c>
      <c r="S112" s="576"/>
    </row>
    <row r="113" spans="2:16" hidden="1">
      <c r="B113" s="562" t="s">
        <v>610</v>
      </c>
      <c r="C113" s="670"/>
      <c r="D113" s="670"/>
      <c r="E113" s="670" t="s">
        <v>241</v>
      </c>
      <c r="F113" s="670"/>
      <c r="G113" s="670"/>
      <c r="H113" s="670"/>
      <c r="I113" s="670"/>
      <c r="J113" s="670"/>
      <c r="K113" s="670"/>
      <c r="L113" s="670"/>
      <c r="M113" s="670"/>
      <c r="N113" s="670"/>
      <c r="O113" s="673">
        <f>N112-O112</f>
        <v>1020</v>
      </c>
      <c r="P113" s="673">
        <f>O112-P112</f>
        <v>-1260</v>
      </c>
    </row>
    <row r="114" spans="2:16" hidden="1"/>
    <row r="115" spans="2:16" hidden="1">
      <c r="B115" s="562" t="s">
        <v>611</v>
      </c>
      <c r="C115" s="646">
        <v>4215</v>
      </c>
      <c r="D115" s="646"/>
      <c r="E115" s="646"/>
      <c r="F115" s="646"/>
      <c r="G115" s="646"/>
      <c r="H115" s="646"/>
      <c r="I115" s="646"/>
      <c r="J115" s="646"/>
      <c r="K115" s="646"/>
      <c r="L115" s="562"/>
      <c r="M115" s="646"/>
      <c r="N115" s="646"/>
    </row>
    <row r="116" spans="2:16" hidden="1">
      <c r="B116" s="562" t="s">
        <v>612</v>
      </c>
      <c r="C116" s="646">
        <v>4384</v>
      </c>
      <c r="D116" s="564">
        <f>(C116-C115)/C115</f>
        <v>4.0094899169632263E-2</v>
      </c>
      <c r="E116" s="646"/>
      <c r="F116" s="646"/>
      <c r="G116" s="646"/>
      <c r="H116" s="646"/>
      <c r="I116" s="646"/>
      <c r="J116" s="646"/>
      <c r="K116" s="646"/>
      <c r="L116" s="562"/>
      <c r="M116" s="646">
        <v>4395</v>
      </c>
      <c r="N116" s="646"/>
    </row>
    <row r="117" spans="2:16" hidden="1">
      <c r="B117" s="562" t="s">
        <v>613</v>
      </c>
      <c r="C117" s="646">
        <v>4592</v>
      </c>
      <c r="D117" s="564">
        <f>(C117-C116)/C116</f>
        <v>4.7445255474452552E-2</v>
      </c>
      <c r="E117" s="646"/>
      <c r="F117" s="646"/>
      <c r="G117" s="646"/>
      <c r="H117" s="646"/>
      <c r="I117" s="646"/>
      <c r="J117" s="646"/>
      <c r="K117" s="646"/>
      <c r="L117" s="562"/>
      <c r="M117" s="646">
        <v>4502</v>
      </c>
      <c r="N117" s="564">
        <f>(M117-M116)/M116</f>
        <v>2.434584755403868E-2</v>
      </c>
    </row>
    <row r="118" spans="2:16" hidden="1">
      <c r="B118" s="562" t="s">
        <v>614</v>
      </c>
      <c r="C118" s="646"/>
      <c r="D118" s="564">
        <f>(C117-C115)/C115</f>
        <v>8.944246737841044E-2</v>
      </c>
      <c r="E118" s="646"/>
      <c r="F118" s="646"/>
      <c r="G118" s="646"/>
      <c r="H118" s="646"/>
      <c r="I118" s="646"/>
      <c r="J118" s="646"/>
      <c r="K118" s="646"/>
      <c r="L118" s="562"/>
      <c r="M118" s="646"/>
      <c r="N118" s="646"/>
    </row>
    <row r="119" spans="2:16" hidden="1"/>
    <row r="122" spans="2:16">
      <c r="B122" s="562" t="s">
        <v>442</v>
      </c>
      <c r="C122" s="660">
        <f>Q70</f>
        <v>3017.9999999999982</v>
      </c>
    </row>
    <row r="123" spans="2:16">
      <c r="B123" s="562" t="s">
        <v>615</v>
      </c>
      <c r="C123" s="546">
        <f>15000/12</f>
        <v>1250</v>
      </c>
    </row>
    <row r="124" spans="2:16">
      <c r="B124" s="562" t="s">
        <v>241</v>
      </c>
      <c r="C124" s="674">
        <f>C122-C123 - R20</f>
        <v>989.66666666666481</v>
      </c>
    </row>
    <row r="125" spans="2:16">
      <c r="B125" s="562" t="s">
        <v>616</v>
      </c>
      <c r="C125" s="660">
        <f>C124*1.38</f>
        <v>1365.7399999999973</v>
      </c>
    </row>
    <row r="126" spans="2:16">
      <c r="B126" s="562" t="s">
        <v>617</v>
      </c>
      <c r="C126" s="660">
        <f>C125*12</f>
        <v>16388.879999999968</v>
      </c>
    </row>
    <row r="127" spans="2:16">
      <c r="B127" s="562" t="s">
        <v>618</v>
      </c>
      <c r="C127" s="620">
        <f>20000/12</f>
        <v>1666.6666666666667</v>
      </c>
    </row>
    <row r="129" spans="2:16">
      <c r="C129" s="577" t="s">
        <v>619</v>
      </c>
      <c r="D129" s="577" t="s">
        <v>620</v>
      </c>
      <c r="E129" s="675" t="s">
        <v>621</v>
      </c>
      <c r="F129" s="675" t="s">
        <v>622</v>
      </c>
      <c r="G129" s="675" t="s">
        <v>623</v>
      </c>
      <c r="H129" s="576">
        <f>D130*(1+$D$135)</f>
        <v>3028990</v>
      </c>
      <c r="L129" s="577"/>
      <c r="M129" s="577">
        <v>2999998</v>
      </c>
      <c r="N129" s="501">
        <v>2395</v>
      </c>
      <c r="O129" s="577">
        <f>M129/N129</f>
        <v>1252.6087682672235</v>
      </c>
    </row>
    <row r="130" spans="2:16">
      <c r="B130" s="670" t="s">
        <v>624</v>
      </c>
      <c r="C130" s="660">
        <v>3199900</v>
      </c>
      <c r="D130" s="660">
        <v>2999000</v>
      </c>
      <c r="E130" s="660">
        <v>2999998</v>
      </c>
      <c r="F130" s="660">
        <v>3000000</v>
      </c>
      <c r="G130" s="660">
        <v>2742500</v>
      </c>
      <c r="H130" s="576">
        <f>H129*(1+$D$135)</f>
        <v>3059279.9</v>
      </c>
      <c r="L130" s="577"/>
      <c r="M130" s="577">
        <v>3105000</v>
      </c>
      <c r="N130" s="501">
        <v>2395</v>
      </c>
      <c r="O130" s="577">
        <f>M130/N130</f>
        <v>1296.4509394572026</v>
      </c>
      <c r="P130" s="676">
        <f>(M130-M129)/M129</f>
        <v>3.5000690000460001E-2</v>
      </c>
    </row>
    <row r="131" spans="2:16">
      <c r="B131" s="670" t="s">
        <v>625</v>
      </c>
      <c r="C131" s="646">
        <v>15</v>
      </c>
      <c r="D131" s="646">
        <v>20</v>
      </c>
      <c r="E131" s="646">
        <v>20</v>
      </c>
      <c r="F131" s="646">
        <v>10</v>
      </c>
      <c r="G131" s="646">
        <v>45</v>
      </c>
      <c r="H131" s="576">
        <f>H130*(1+$D$135)</f>
        <v>3089872.699</v>
      </c>
      <c r="L131" s="577"/>
      <c r="N131" s="501"/>
    </row>
    <row r="132" spans="2:16">
      <c r="B132" s="670" t="s">
        <v>626</v>
      </c>
      <c r="C132" s="646" t="s">
        <v>37</v>
      </c>
      <c r="D132" s="646">
        <v>5</v>
      </c>
      <c r="E132" s="646">
        <v>5</v>
      </c>
      <c r="F132" s="646">
        <v>6</v>
      </c>
      <c r="G132" s="646">
        <v>8</v>
      </c>
      <c r="H132" s="576">
        <f>H131*(1+$D$135)</f>
        <v>3120771.4259899999</v>
      </c>
      <c r="L132" s="577"/>
      <c r="N132" s="501"/>
    </row>
    <row r="133" spans="2:16">
      <c r="B133" s="670" t="s">
        <v>627</v>
      </c>
      <c r="C133" s="646"/>
      <c r="D133" s="646">
        <v>6</v>
      </c>
      <c r="E133" s="646">
        <v>6</v>
      </c>
      <c r="F133" s="646">
        <v>7</v>
      </c>
      <c r="G133" s="646">
        <v>8</v>
      </c>
      <c r="H133" s="576">
        <f>H132*(1+$D$135)</f>
        <v>3151979.1402499001</v>
      </c>
      <c r="L133" s="577"/>
      <c r="N133" s="501"/>
    </row>
    <row r="134" spans="2:16">
      <c r="B134" s="670" t="s">
        <v>628</v>
      </c>
      <c r="C134" s="646">
        <v>6</v>
      </c>
      <c r="D134" s="646">
        <v>7</v>
      </c>
      <c r="E134" s="646">
        <v>7</v>
      </c>
      <c r="F134" s="646">
        <v>6</v>
      </c>
      <c r="G134" s="646">
        <v>6</v>
      </c>
      <c r="H134" s="576">
        <f>H133*(1+$D$135)</f>
        <v>3183498.9316523992</v>
      </c>
      <c r="L134" s="577"/>
      <c r="N134" s="501"/>
    </row>
    <row r="135" spans="2:16">
      <c r="B135" s="670" t="s">
        <v>629</v>
      </c>
      <c r="C135" s="646"/>
      <c r="D135" s="646">
        <v>0.01</v>
      </c>
      <c r="E135" s="646">
        <v>0.01</v>
      </c>
      <c r="F135" s="646">
        <v>0.01</v>
      </c>
      <c r="G135" s="646">
        <v>0.01</v>
      </c>
      <c r="L135" s="577"/>
      <c r="N135" s="501"/>
    </row>
    <row r="136" spans="2:16">
      <c r="B136" s="670" t="s">
        <v>630</v>
      </c>
      <c r="C136" s="660"/>
      <c r="D136" s="660">
        <f>D130*(1+ D133*D135)</f>
        <v>3178940</v>
      </c>
      <c r="E136" s="660">
        <v>3105000</v>
      </c>
      <c r="F136" s="660">
        <f>F130*(1+ F133*F135)</f>
        <v>3210000</v>
      </c>
      <c r="G136" s="660">
        <f>G130*(1+ G133*G135)</f>
        <v>2961900</v>
      </c>
      <c r="L136" s="577"/>
      <c r="N136" s="501"/>
    </row>
    <row r="137" spans="2:16">
      <c r="B137" s="670" t="s">
        <v>631</v>
      </c>
      <c r="C137" s="660">
        <v>3200000</v>
      </c>
      <c r="D137" s="660">
        <v>3235000</v>
      </c>
      <c r="E137" s="660">
        <v>3105000</v>
      </c>
      <c r="F137" s="660">
        <v>3235101</v>
      </c>
      <c r="G137" s="660">
        <v>3175000</v>
      </c>
      <c r="L137" s="577"/>
      <c r="N137" s="501"/>
    </row>
    <row r="138" spans="2:16">
      <c r="B138" s="677" t="s">
        <v>632</v>
      </c>
      <c r="C138" s="660">
        <v>3350000</v>
      </c>
      <c r="D138" s="660">
        <v>3235000</v>
      </c>
      <c r="E138" s="660">
        <v>3250000</v>
      </c>
      <c r="F138" s="660">
        <v>3350000</v>
      </c>
      <c r="G138" s="660">
        <v>3190</v>
      </c>
      <c r="L138" s="577"/>
      <c r="N138" s="501"/>
    </row>
    <row r="139" spans="2:16">
      <c r="B139" s="670" t="s">
        <v>633</v>
      </c>
      <c r="C139" s="564">
        <f>(C138-C130)/C130</f>
        <v>4.6907715866120817E-2</v>
      </c>
      <c r="D139" s="564">
        <f>(D138-D130)/D130</f>
        <v>7.8692897632544181E-2</v>
      </c>
      <c r="E139" s="564">
        <f>(E138-E130)/E130</f>
        <v>8.333405555603704E-2</v>
      </c>
      <c r="F139" s="564">
        <f>(F138-F130)/F130</f>
        <v>0.11666666666666667</v>
      </c>
      <c r="G139" s="564">
        <f>(G138-G130)/G130</f>
        <v>-0.99883682771194171</v>
      </c>
      <c r="L139" s="577"/>
      <c r="N139" s="501"/>
    </row>
    <row r="140" spans="2:16">
      <c r="B140" s="670" t="s">
        <v>634</v>
      </c>
      <c r="C140" s="564">
        <f>C139/C134</f>
        <v>7.8179526443534694E-3</v>
      </c>
      <c r="D140" s="564">
        <f>D139/D134</f>
        <v>1.1241842518934883E-2</v>
      </c>
      <c r="E140" s="564">
        <f>E139/E134</f>
        <v>1.1904865079433863E-2</v>
      </c>
      <c r="F140" s="564">
        <f>F139/F134</f>
        <v>1.9444444444444445E-2</v>
      </c>
      <c r="G140" s="564">
        <f>G139/G134</f>
        <v>-0.16647280461865696</v>
      </c>
      <c r="L140" s="577"/>
      <c r="N140" s="501"/>
    </row>
    <row r="141" spans="2:16">
      <c r="B141" s="670" t="s">
        <v>635</v>
      </c>
      <c r="C141" s="646"/>
      <c r="D141" s="678" t="s">
        <v>636</v>
      </c>
      <c r="E141" s="646"/>
      <c r="F141" s="646"/>
      <c r="G141" s="646" t="s">
        <v>637</v>
      </c>
      <c r="H141" s="576"/>
      <c r="L141" s="577"/>
      <c r="N141" s="501"/>
    </row>
    <row r="142" spans="2:16">
      <c r="B142" s="670" t="s">
        <v>638</v>
      </c>
      <c r="C142" s="646"/>
      <c r="D142" s="646">
        <v>16900</v>
      </c>
      <c r="E142" s="646"/>
      <c r="F142" s="646"/>
      <c r="G142" s="646">
        <v>10000</v>
      </c>
      <c r="H142" s="576"/>
      <c r="L142" s="577"/>
      <c r="N142" s="501"/>
    </row>
    <row r="143" spans="2:16">
      <c r="B143" s="670" t="s">
        <v>639</v>
      </c>
      <c r="C143" s="679">
        <v>2729</v>
      </c>
      <c r="D143" s="679">
        <v>2164</v>
      </c>
      <c r="E143" s="679">
        <v>2395</v>
      </c>
      <c r="F143" s="679">
        <v>2178</v>
      </c>
      <c r="G143" s="679">
        <v>2265</v>
      </c>
      <c r="L143" s="577"/>
      <c r="N143" s="501"/>
    </row>
    <row r="144" spans="2:16">
      <c r="B144" s="670" t="s">
        <v>640</v>
      </c>
      <c r="C144" s="660">
        <f>C138/C143</f>
        <v>1227.5558812751924</v>
      </c>
      <c r="D144" s="660">
        <f>D138/D143</f>
        <v>1494.9168207024029</v>
      </c>
      <c r="E144" s="660">
        <f>E138/E143</f>
        <v>1356.9937369519832</v>
      </c>
      <c r="F144" s="660">
        <f>F138/F143</f>
        <v>1538.1083562901745</v>
      </c>
      <c r="G144" s="660">
        <f>G138/G143</f>
        <v>1.4083885209713025</v>
      </c>
    </row>
    <row r="147" spans="2:11" hidden="1">
      <c r="B147" s="562" t="s">
        <v>388</v>
      </c>
      <c r="C147" s="646"/>
      <c r="D147" s="646">
        <v>2002</v>
      </c>
      <c r="E147" s="646">
        <v>2003</v>
      </c>
      <c r="F147" s="646">
        <v>2004</v>
      </c>
      <c r="G147" s="646">
        <v>2005</v>
      </c>
      <c r="H147" s="646">
        <v>2006</v>
      </c>
      <c r="I147" s="646">
        <v>2007</v>
      </c>
      <c r="J147" s="646">
        <v>2008</v>
      </c>
      <c r="K147" s="646">
        <v>2009</v>
      </c>
    </row>
    <row r="148" spans="2:11" hidden="1">
      <c r="B148" s="562"/>
      <c r="C148" s="646"/>
      <c r="D148" s="680"/>
      <c r="E148" s="646"/>
      <c r="F148" s="646"/>
      <c r="G148" s="646"/>
      <c r="H148" s="646"/>
      <c r="I148" s="646"/>
      <c r="J148" s="646"/>
      <c r="K148" s="646"/>
    </row>
    <row r="149" spans="2:11" hidden="1">
      <c r="B149" s="562" t="s">
        <v>56</v>
      </c>
      <c r="C149" s="646"/>
      <c r="D149" s="660">
        <v>1075</v>
      </c>
      <c r="E149" s="660">
        <v>1075.25</v>
      </c>
      <c r="F149" s="660">
        <v>1672.9166666666667</v>
      </c>
      <c r="G149" s="660">
        <v>2662.25</v>
      </c>
      <c r="H149" s="660">
        <v>2629.9166666666665</v>
      </c>
      <c r="I149" s="660">
        <v>2544.5</v>
      </c>
      <c r="J149" s="660">
        <v>2585.130518283273</v>
      </c>
      <c r="K149" s="660">
        <v>2624.8072243153879</v>
      </c>
    </row>
    <row r="150" spans="2:11" hidden="1">
      <c r="B150" s="562"/>
      <c r="C150" s="646"/>
      <c r="D150" s="660"/>
      <c r="E150" s="660"/>
      <c r="F150" s="660"/>
      <c r="G150" s="660"/>
      <c r="H150" s="660"/>
      <c r="I150" s="660"/>
      <c r="J150" s="660"/>
      <c r="K150" s="660"/>
    </row>
    <row r="151" spans="2:11" hidden="1">
      <c r="B151" s="562"/>
      <c r="C151" s="646" t="s">
        <v>393</v>
      </c>
      <c r="D151" s="660">
        <v>1075</v>
      </c>
      <c r="E151" s="660">
        <v>1075</v>
      </c>
      <c r="F151" s="660">
        <v>1378.75</v>
      </c>
      <c r="G151" s="660">
        <v>2045.0833333333333</v>
      </c>
      <c r="H151" s="660">
        <v>1978.0833333333333</v>
      </c>
      <c r="I151" s="660">
        <v>1894</v>
      </c>
      <c r="J151" s="660">
        <v>1895.2971849499397</v>
      </c>
      <c r="K151" s="660">
        <v>1892.7238909820546</v>
      </c>
    </row>
    <row r="152" spans="2:11" hidden="1">
      <c r="B152" s="562"/>
      <c r="C152" s="646" t="s">
        <v>394</v>
      </c>
      <c r="D152" s="660">
        <v>0</v>
      </c>
      <c r="E152" s="660">
        <v>0</v>
      </c>
      <c r="F152" s="660">
        <v>899.5</v>
      </c>
      <c r="G152" s="660">
        <v>856.25</v>
      </c>
      <c r="H152" s="660">
        <v>837</v>
      </c>
      <c r="I152" s="660">
        <v>820.5</v>
      </c>
      <c r="J152" s="660">
        <v>966.1193477656708</v>
      </c>
      <c r="K152" s="660">
        <v>902.71851673181061</v>
      </c>
    </row>
    <row r="153" spans="2:11" hidden="1">
      <c r="B153" s="562"/>
      <c r="C153" s="646" t="s">
        <v>395</v>
      </c>
      <c r="D153" s="660">
        <v>0</v>
      </c>
      <c r="E153" s="660">
        <v>0</v>
      </c>
      <c r="F153" s="660">
        <v>177.16666666666666</v>
      </c>
      <c r="G153" s="660">
        <v>446</v>
      </c>
      <c r="H153" s="660">
        <v>431.75</v>
      </c>
      <c r="I153" s="660">
        <v>363.5</v>
      </c>
      <c r="J153" s="660">
        <v>281.22315240680922</v>
      </c>
      <c r="K153" s="660">
        <v>346.41728623159548</v>
      </c>
    </row>
    <row r="154" spans="2:11" hidden="1">
      <c r="B154" s="562"/>
      <c r="C154" s="646" t="s">
        <v>396</v>
      </c>
      <c r="D154" s="660">
        <v>0</v>
      </c>
      <c r="E154" s="660">
        <v>0</v>
      </c>
      <c r="F154" s="660">
        <v>0</v>
      </c>
      <c r="G154" s="660">
        <v>0</v>
      </c>
      <c r="H154" s="660">
        <v>0</v>
      </c>
      <c r="I154" s="660">
        <v>0</v>
      </c>
      <c r="J154" s="660">
        <v>58.833333333333336</v>
      </c>
      <c r="K154" s="660">
        <v>0</v>
      </c>
    </row>
    <row r="155" spans="2:11" hidden="1">
      <c r="B155" s="562"/>
      <c r="C155" s="646" t="s">
        <v>397</v>
      </c>
      <c r="D155" s="660">
        <v>0</v>
      </c>
      <c r="E155" s="660">
        <v>0</v>
      </c>
      <c r="F155" s="660">
        <v>149.75</v>
      </c>
      <c r="G155" s="660">
        <v>283.16666666666669</v>
      </c>
      <c r="H155" s="660">
        <v>255.66666666666666</v>
      </c>
      <c r="I155" s="660">
        <v>231</v>
      </c>
      <c r="J155" s="660">
        <v>197.5701124056948</v>
      </c>
      <c r="K155" s="660">
        <v>177.77421721313215</v>
      </c>
    </row>
    <row r="156" spans="2:11" hidden="1">
      <c r="B156" s="562"/>
      <c r="C156" s="646" t="s">
        <v>398</v>
      </c>
      <c r="D156" s="660">
        <v>0</v>
      </c>
      <c r="E156" s="660">
        <v>0</v>
      </c>
      <c r="F156" s="660">
        <v>105</v>
      </c>
      <c r="G156" s="660">
        <v>459.66666666666669</v>
      </c>
      <c r="H156" s="660">
        <v>453.66666666666669</v>
      </c>
      <c r="I156" s="660">
        <v>479</v>
      </c>
      <c r="J156" s="660">
        <v>391.55123903843156</v>
      </c>
      <c r="K156" s="660">
        <v>465.8138708055165</v>
      </c>
    </row>
    <row r="157" spans="2:11" hidden="1">
      <c r="B157" s="562"/>
      <c r="C157" s="646" t="s">
        <v>287</v>
      </c>
      <c r="D157" s="660">
        <v>0</v>
      </c>
      <c r="E157" s="660">
        <v>0</v>
      </c>
      <c r="F157" s="660">
        <v>156</v>
      </c>
      <c r="G157" s="660">
        <v>312</v>
      </c>
      <c r="H157" s="660">
        <v>312</v>
      </c>
      <c r="I157" s="660">
        <v>312</v>
      </c>
      <c r="J157" s="660">
        <v>317.58333333333331</v>
      </c>
      <c r="K157" s="660">
        <v>312</v>
      </c>
    </row>
    <row r="158" spans="2:11" hidden="1">
      <c r="B158" s="562"/>
      <c r="C158" s="646" t="s">
        <v>399</v>
      </c>
      <c r="D158" s="660">
        <v>0</v>
      </c>
      <c r="E158" s="660">
        <v>0</v>
      </c>
      <c r="F158" s="660">
        <v>0</v>
      </c>
      <c r="G158" s="660">
        <v>10.416666666666666</v>
      </c>
      <c r="H158" s="660">
        <v>22.916666666666668</v>
      </c>
      <c r="I158" s="660">
        <v>22.916666666666668</v>
      </c>
      <c r="J158" s="660">
        <v>25</v>
      </c>
      <c r="K158" s="660">
        <v>25</v>
      </c>
    </row>
    <row r="159" spans="2:11" hidden="1">
      <c r="B159" s="562"/>
      <c r="C159" s="646" t="s">
        <v>400</v>
      </c>
      <c r="D159" s="660">
        <v>0</v>
      </c>
      <c r="E159" s="660">
        <v>0</v>
      </c>
      <c r="F159" s="660">
        <v>15.333333333333334</v>
      </c>
      <c r="G159" s="660">
        <v>14.916666666666666</v>
      </c>
      <c r="H159" s="660">
        <v>15.333333333333334</v>
      </c>
      <c r="I159" s="660">
        <v>15.333333333333334</v>
      </c>
      <c r="J159" s="660">
        <v>16.75</v>
      </c>
      <c r="K159" s="660">
        <v>16.75</v>
      </c>
    </row>
    <row r="160" spans="2:11" hidden="1">
      <c r="B160" s="562"/>
      <c r="C160" s="646" t="s">
        <v>401</v>
      </c>
      <c r="D160" s="660">
        <v>0</v>
      </c>
      <c r="E160" s="660">
        <v>0</v>
      </c>
      <c r="F160" s="660">
        <v>102</v>
      </c>
      <c r="G160" s="660">
        <v>214</v>
      </c>
      <c r="H160" s="660">
        <v>234</v>
      </c>
      <c r="I160" s="660">
        <v>244</v>
      </c>
      <c r="J160" s="660">
        <v>274.75</v>
      </c>
      <c r="K160" s="660">
        <v>305.83333333333331</v>
      </c>
    </row>
    <row r="161" spans="2:11" hidden="1">
      <c r="B161" s="562"/>
      <c r="C161" s="646" t="s">
        <v>402</v>
      </c>
      <c r="D161" s="660">
        <v>0</v>
      </c>
      <c r="E161" s="660">
        <v>0</v>
      </c>
      <c r="F161" s="660">
        <v>20.833333333333332</v>
      </c>
      <c r="G161" s="660">
        <v>65.833333333333329</v>
      </c>
      <c r="H161" s="660">
        <v>67.583333333333329</v>
      </c>
      <c r="I161" s="660">
        <v>39</v>
      </c>
      <c r="J161" s="660">
        <v>36.916666666666664</v>
      </c>
      <c r="K161" s="660">
        <v>34</v>
      </c>
    </row>
    <row r="162" spans="2:11" hidden="1">
      <c r="B162" s="562"/>
      <c r="C162" s="646" t="s">
        <v>403</v>
      </c>
      <c r="D162" s="660">
        <v>0</v>
      </c>
      <c r="E162" s="660">
        <v>0.25</v>
      </c>
      <c r="F162" s="660">
        <v>0</v>
      </c>
      <c r="G162" s="660">
        <v>0</v>
      </c>
      <c r="H162" s="660">
        <v>0</v>
      </c>
      <c r="I162" s="660">
        <v>17.25</v>
      </c>
      <c r="J162" s="660">
        <v>18.833333333333332</v>
      </c>
      <c r="K162" s="660">
        <v>38.5</v>
      </c>
    </row>
    <row r="163" spans="2:11" hidden="1">
      <c r="B163" s="562" t="s">
        <v>404</v>
      </c>
      <c r="C163" s="646"/>
      <c r="D163" s="660">
        <v>966.66666666666674</v>
      </c>
      <c r="E163" s="660">
        <v>1728.9999999999998</v>
      </c>
      <c r="F163" s="660">
        <v>1999.4999999999998</v>
      </c>
      <c r="G163" s="660">
        <v>406.41666666666669</v>
      </c>
      <c r="H163" s="660">
        <v>560.41666666666663</v>
      </c>
      <c r="I163" s="660">
        <v>357.91666666666669</v>
      </c>
      <c r="J163" s="660">
        <v>355.25000000000006</v>
      </c>
      <c r="K163" s="660">
        <v>246.58333333333337</v>
      </c>
    </row>
    <row r="164" spans="2:11" hidden="1">
      <c r="B164" s="562"/>
      <c r="C164" s="646"/>
      <c r="D164" s="660"/>
      <c r="E164" s="660"/>
      <c r="F164" s="660"/>
      <c r="G164" s="660"/>
      <c r="H164" s="660"/>
      <c r="I164" s="660"/>
      <c r="J164" s="660"/>
      <c r="K164" s="660"/>
    </row>
    <row r="165" spans="2:11" hidden="1">
      <c r="B165" s="562"/>
      <c r="C165" s="646" t="s">
        <v>405</v>
      </c>
      <c r="D165" s="660">
        <v>808</v>
      </c>
      <c r="E165" s="660">
        <v>1379.25</v>
      </c>
      <c r="F165" s="660">
        <v>1716.8333333333333</v>
      </c>
      <c r="G165" s="660">
        <v>0</v>
      </c>
      <c r="H165" s="660">
        <v>0</v>
      </c>
      <c r="I165" s="660">
        <v>0</v>
      </c>
      <c r="J165" s="660">
        <v>0</v>
      </c>
      <c r="K165" s="660">
        <v>39.166666666666664</v>
      </c>
    </row>
    <row r="166" spans="2:11" hidden="1">
      <c r="B166" s="562"/>
      <c r="C166" s="646" t="s">
        <v>400</v>
      </c>
      <c r="D166" s="660">
        <v>144</v>
      </c>
      <c r="E166" s="660">
        <v>149.83333333333334</v>
      </c>
      <c r="F166" s="660">
        <v>166.83333333333334</v>
      </c>
      <c r="G166" s="660">
        <v>170.5</v>
      </c>
      <c r="H166" s="660">
        <v>146.66666666666666</v>
      </c>
      <c r="I166" s="660">
        <v>145.58333333333334</v>
      </c>
      <c r="J166" s="660">
        <v>141.33333333333334</v>
      </c>
      <c r="K166" s="660">
        <v>125.41666666666667</v>
      </c>
    </row>
    <row r="167" spans="2:11" hidden="1">
      <c r="B167" s="562"/>
      <c r="C167" s="646" t="s">
        <v>406</v>
      </c>
      <c r="D167" s="660">
        <v>0</v>
      </c>
      <c r="E167" s="660">
        <v>56.833333333333336</v>
      </c>
      <c r="F167" s="660">
        <v>31.083333333333332</v>
      </c>
      <c r="G167" s="660">
        <v>29.166666666666668</v>
      </c>
      <c r="H167" s="660">
        <v>17.416666666666668</v>
      </c>
      <c r="I167" s="660">
        <v>20.833333333333332</v>
      </c>
      <c r="J167" s="660">
        <v>14.083333333333334</v>
      </c>
      <c r="K167" s="660">
        <v>21.583333333333332</v>
      </c>
    </row>
    <row r="168" spans="2:11" hidden="1">
      <c r="B168" s="562"/>
      <c r="C168" s="646" t="s">
        <v>407</v>
      </c>
      <c r="D168" s="660">
        <v>0</v>
      </c>
      <c r="E168" s="660">
        <v>98.666666666666671</v>
      </c>
      <c r="F168" s="660">
        <v>0</v>
      </c>
      <c r="G168" s="660">
        <v>0</v>
      </c>
      <c r="H168" s="660">
        <v>27.916666666666668</v>
      </c>
      <c r="I168" s="660">
        <v>0</v>
      </c>
      <c r="J168" s="660">
        <v>4.916666666666667</v>
      </c>
      <c r="K168" s="660">
        <v>12.833333333333334</v>
      </c>
    </row>
    <row r="169" spans="2:11" hidden="1">
      <c r="B169" s="562"/>
      <c r="C169" s="646" t="s">
        <v>408</v>
      </c>
      <c r="D169" s="660">
        <v>5.333333333333333</v>
      </c>
      <c r="E169" s="660">
        <v>10.333333333333334</v>
      </c>
      <c r="F169" s="660">
        <v>37.916666666666664</v>
      </c>
      <c r="G169" s="660">
        <v>160.33333333333334</v>
      </c>
      <c r="H169" s="660">
        <v>174.83333333333334</v>
      </c>
      <c r="I169" s="660">
        <v>105.33333333333333</v>
      </c>
      <c r="J169" s="660">
        <v>118</v>
      </c>
      <c r="K169" s="660">
        <v>1.5833333333333333</v>
      </c>
    </row>
    <row r="170" spans="2:11" hidden="1">
      <c r="B170" s="562"/>
      <c r="C170" s="646" t="s">
        <v>409</v>
      </c>
      <c r="D170" s="660">
        <v>9.3333333333333339</v>
      </c>
      <c r="E170" s="660">
        <v>34.083333333333336</v>
      </c>
      <c r="F170" s="660">
        <v>46.833333333333336</v>
      </c>
      <c r="G170" s="660">
        <v>46.416666666666664</v>
      </c>
      <c r="H170" s="660">
        <v>193.58333333333334</v>
      </c>
      <c r="I170" s="660">
        <v>86.166666666666671</v>
      </c>
      <c r="J170" s="660">
        <v>76.916666666666671</v>
      </c>
      <c r="K170" s="660">
        <v>46</v>
      </c>
    </row>
    <row r="171" spans="2:11" hidden="1">
      <c r="B171" s="562" t="s">
        <v>277</v>
      </c>
      <c r="C171" s="646"/>
      <c r="D171" s="660">
        <v>275.5</v>
      </c>
      <c r="E171" s="660">
        <v>242.58333333333334</v>
      </c>
      <c r="F171" s="660">
        <v>189.25</v>
      </c>
      <c r="G171" s="660">
        <v>239.16666666666669</v>
      </c>
      <c r="H171" s="660">
        <v>229.58333333333331</v>
      </c>
      <c r="I171" s="660">
        <v>293.5</v>
      </c>
      <c r="J171" s="660">
        <v>403.99999999999994</v>
      </c>
      <c r="K171" s="660">
        <v>283.33333333333337</v>
      </c>
    </row>
    <row r="172" spans="2:11" hidden="1">
      <c r="B172" s="562"/>
      <c r="C172" s="646"/>
      <c r="D172" s="660"/>
      <c r="E172" s="660"/>
      <c r="F172" s="660"/>
      <c r="G172" s="660"/>
      <c r="H172" s="660"/>
      <c r="I172" s="660"/>
      <c r="J172" s="660"/>
      <c r="K172" s="660"/>
    </row>
    <row r="173" spans="2:11" hidden="1">
      <c r="B173" s="562"/>
      <c r="C173" s="646" t="s">
        <v>410</v>
      </c>
      <c r="D173" s="660">
        <v>221</v>
      </c>
      <c r="E173" s="660">
        <v>201.83333333333334</v>
      </c>
      <c r="F173" s="660">
        <v>171.83333333333334</v>
      </c>
      <c r="G173" s="660">
        <v>191.83333333333334</v>
      </c>
      <c r="H173" s="660">
        <v>207.75</v>
      </c>
      <c r="I173" s="660">
        <v>246.58333333333334</v>
      </c>
      <c r="J173" s="660">
        <v>328.58333333333331</v>
      </c>
      <c r="K173" s="660">
        <v>231.58333333333334</v>
      </c>
    </row>
    <row r="174" spans="2:11" hidden="1">
      <c r="B174" s="562"/>
      <c r="C174" s="646" t="s">
        <v>411</v>
      </c>
      <c r="D174" s="660">
        <v>21.166666666666668</v>
      </c>
      <c r="E174" s="660">
        <v>0</v>
      </c>
      <c r="F174" s="660">
        <v>0</v>
      </c>
      <c r="G174" s="660">
        <v>30.833333333333332</v>
      </c>
      <c r="H174" s="660">
        <v>11.666666666666666</v>
      </c>
      <c r="I174" s="660">
        <v>33.5</v>
      </c>
      <c r="J174" s="660">
        <v>44.333333333333336</v>
      </c>
      <c r="K174" s="660">
        <v>0</v>
      </c>
    </row>
    <row r="175" spans="2:11" hidden="1">
      <c r="B175" s="562"/>
      <c r="C175" s="646" t="s">
        <v>412</v>
      </c>
      <c r="D175" s="660">
        <v>7.5</v>
      </c>
      <c r="E175" s="660">
        <v>10.583333333333334</v>
      </c>
      <c r="F175" s="660">
        <v>2</v>
      </c>
      <c r="G175" s="660">
        <v>8.1666666666666661</v>
      </c>
      <c r="H175" s="660">
        <v>4.75</v>
      </c>
      <c r="I175" s="660">
        <v>3.5833333333333335</v>
      </c>
      <c r="J175" s="660">
        <v>14</v>
      </c>
      <c r="K175" s="660">
        <v>25.5</v>
      </c>
    </row>
    <row r="176" spans="2:11" hidden="1">
      <c r="B176" s="562"/>
      <c r="C176" s="646" t="s">
        <v>413</v>
      </c>
      <c r="D176" s="660">
        <v>25.833333333333332</v>
      </c>
      <c r="E176" s="660">
        <v>30.166666666666668</v>
      </c>
      <c r="F176" s="660">
        <v>15.416666666666666</v>
      </c>
      <c r="G176" s="660">
        <v>8.3333333333333339</v>
      </c>
      <c r="H176" s="660">
        <v>5.416666666666667</v>
      </c>
      <c r="I176" s="660">
        <v>9.8333333333333339</v>
      </c>
      <c r="J176" s="660">
        <v>17.083333333333332</v>
      </c>
      <c r="K176" s="660">
        <v>26.25</v>
      </c>
    </row>
    <row r="177" spans="2:11" hidden="1">
      <c r="B177" s="562" t="s">
        <v>278</v>
      </c>
      <c r="C177" s="646"/>
      <c r="D177" s="660">
        <v>478</v>
      </c>
      <c r="E177" s="660">
        <v>517.91666666666674</v>
      </c>
      <c r="F177" s="660">
        <v>287.16666666666669</v>
      </c>
      <c r="G177" s="660">
        <v>273.75</v>
      </c>
      <c r="H177" s="660">
        <v>271.25</v>
      </c>
      <c r="I177" s="660">
        <v>324.66666666666663</v>
      </c>
      <c r="J177" s="660">
        <v>490.91666666666669</v>
      </c>
      <c r="K177" s="660">
        <v>509.58333333333331</v>
      </c>
    </row>
    <row r="178" spans="2:11" hidden="1">
      <c r="B178" s="562"/>
      <c r="C178" s="646"/>
      <c r="D178" s="660"/>
      <c r="E178" s="660"/>
      <c r="F178" s="660"/>
      <c r="G178" s="660"/>
      <c r="H178" s="660"/>
      <c r="I178" s="660"/>
      <c r="J178" s="660"/>
      <c r="K178" s="660"/>
    </row>
    <row r="179" spans="2:11" hidden="1">
      <c r="B179" s="562"/>
      <c r="C179" s="646" t="s">
        <v>414</v>
      </c>
      <c r="D179" s="660">
        <v>358.66666666666669</v>
      </c>
      <c r="E179" s="660">
        <v>349.16666666666669</v>
      </c>
      <c r="F179" s="660">
        <v>227.25</v>
      </c>
      <c r="G179" s="660">
        <v>186.75</v>
      </c>
      <c r="H179" s="660">
        <v>193.41666666666666</v>
      </c>
      <c r="I179" s="660">
        <v>234.41666666666666</v>
      </c>
      <c r="J179" s="660">
        <v>377.5</v>
      </c>
      <c r="K179" s="660">
        <v>479.75</v>
      </c>
    </row>
    <row r="180" spans="2:11" hidden="1">
      <c r="B180" s="562"/>
      <c r="C180" s="646" t="s">
        <v>278</v>
      </c>
      <c r="D180" s="660">
        <v>119.33333333333333</v>
      </c>
      <c r="E180" s="660">
        <v>168.75</v>
      </c>
      <c r="F180" s="660">
        <v>59.916666666666664</v>
      </c>
      <c r="G180" s="660">
        <v>87</v>
      </c>
      <c r="H180" s="660">
        <v>77.833333333333329</v>
      </c>
      <c r="I180" s="660">
        <v>90.25</v>
      </c>
      <c r="J180" s="660">
        <v>113.41666666666667</v>
      </c>
      <c r="K180" s="660">
        <v>29.833333333333332</v>
      </c>
    </row>
    <row r="181" spans="2:11" hidden="1">
      <c r="B181" s="562" t="s">
        <v>279</v>
      </c>
      <c r="C181" s="646"/>
      <c r="D181" s="660">
        <v>550.33333333333337</v>
      </c>
      <c r="E181" s="660">
        <v>421.08333333333337</v>
      </c>
      <c r="F181" s="660">
        <v>364.24999999999994</v>
      </c>
      <c r="G181" s="660">
        <v>457.58333333333331</v>
      </c>
      <c r="H181" s="660">
        <v>428.91666666666663</v>
      </c>
      <c r="I181" s="660">
        <v>421.58333333333331</v>
      </c>
      <c r="J181" s="660">
        <v>456.91666666666663</v>
      </c>
      <c r="K181" s="660">
        <v>474.16666666666663</v>
      </c>
    </row>
    <row r="182" spans="2:11" hidden="1">
      <c r="B182" s="562"/>
      <c r="C182" s="646"/>
      <c r="D182" s="660"/>
      <c r="E182" s="660"/>
      <c r="F182" s="660"/>
      <c r="G182" s="660"/>
      <c r="H182" s="660"/>
      <c r="I182" s="660"/>
      <c r="J182" s="660"/>
      <c r="K182" s="660"/>
    </row>
    <row r="183" spans="2:11" hidden="1">
      <c r="B183" s="562"/>
      <c r="C183" s="646" t="s">
        <v>415</v>
      </c>
      <c r="D183" s="660">
        <v>57.166666666666664</v>
      </c>
      <c r="E183" s="660">
        <v>52.083333333333336</v>
      </c>
      <c r="F183" s="660">
        <v>62.083333333333336</v>
      </c>
      <c r="G183" s="660">
        <v>65.416666666666671</v>
      </c>
      <c r="H183" s="660">
        <v>74.5</v>
      </c>
      <c r="I183" s="660">
        <v>93.083333333333329</v>
      </c>
      <c r="J183" s="660">
        <v>112.41666666666667</v>
      </c>
      <c r="K183" s="660">
        <v>146.33333333333334</v>
      </c>
    </row>
    <row r="184" spans="2:11" hidden="1">
      <c r="B184" s="562"/>
      <c r="C184" s="646" t="s">
        <v>416</v>
      </c>
      <c r="D184" s="660">
        <v>0</v>
      </c>
      <c r="E184" s="660">
        <v>0</v>
      </c>
      <c r="F184" s="660">
        <v>0</v>
      </c>
      <c r="G184" s="660">
        <v>0</v>
      </c>
      <c r="H184" s="660">
        <v>0</v>
      </c>
      <c r="I184" s="660">
        <v>0</v>
      </c>
      <c r="J184" s="660">
        <v>0</v>
      </c>
      <c r="K184" s="660">
        <v>0</v>
      </c>
    </row>
    <row r="185" spans="2:11" hidden="1">
      <c r="B185" s="562"/>
      <c r="C185" s="646" t="s">
        <v>417</v>
      </c>
      <c r="D185" s="660">
        <v>0</v>
      </c>
      <c r="E185" s="660">
        <v>0</v>
      </c>
      <c r="F185" s="660">
        <v>0</v>
      </c>
      <c r="G185" s="660">
        <v>0</v>
      </c>
      <c r="H185" s="660">
        <v>0</v>
      </c>
      <c r="I185" s="660">
        <v>0</v>
      </c>
      <c r="J185" s="660">
        <v>0</v>
      </c>
      <c r="K185" s="660">
        <v>0</v>
      </c>
    </row>
    <row r="186" spans="2:11" hidden="1">
      <c r="B186" s="562"/>
      <c r="C186" s="646" t="s">
        <v>410</v>
      </c>
      <c r="D186" s="660">
        <v>0</v>
      </c>
      <c r="E186" s="660">
        <v>0</v>
      </c>
      <c r="F186" s="660">
        <v>65.416666666666671</v>
      </c>
      <c r="G186" s="660">
        <v>92</v>
      </c>
      <c r="H186" s="660">
        <v>87.083333333333329</v>
      </c>
      <c r="I186" s="660">
        <v>97.25</v>
      </c>
      <c r="J186" s="660">
        <v>96.333333333333329</v>
      </c>
      <c r="K186" s="660">
        <v>85.666666666666671</v>
      </c>
    </row>
    <row r="187" spans="2:11" hidden="1">
      <c r="B187" s="562"/>
      <c r="C187" s="646" t="s">
        <v>418</v>
      </c>
      <c r="D187" s="660">
        <v>70.5</v>
      </c>
      <c r="E187" s="660">
        <v>67.5</v>
      </c>
      <c r="F187" s="660">
        <v>71.25</v>
      </c>
      <c r="G187" s="660">
        <v>105</v>
      </c>
      <c r="H187" s="660">
        <v>109.58333333333333</v>
      </c>
      <c r="I187" s="660">
        <v>109.58333333333333</v>
      </c>
      <c r="J187" s="660">
        <v>132.66666666666666</v>
      </c>
      <c r="K187" s="660">
        <v>75.833333333333329</v>
      </c>
    </row>
    <row r="188" spans="2:11" hidden="1">
      <c r="B188" s="562"/>
      <c r="C188" s="646" t="s">
        <v>419</v>
      </c>
      <c r="D188" s="660">
        <v>30</v>
      </c>
      <c r="E188" s="660">
        <v>33.333333333333336</v>
      </c>
      <c r="F188" s="660">
        <v>28.416666666666668</v>
      </c>
      <c r="G188" s="660">
        <v>31.5</v>
      </c>
      <c r="H188" s="660">
        <v>33.166666666666664</v>
      </c>
      <c r="I188" s="660">
        <v>35.666666666666664</v>
      </c>
      <c r="J188" s="660">
        <v>25.833333333333332</v>
      </c>
      <c r="K188" s="660">
        <v>31.416666666666668</v>
      </c>
    </row>
    <row r="189" spans="2:11" hidden="1">
      <c r="B189" s="562"/>
      <c r="C189" s="646" t="s">
        <v>460</v>
      </c>
      <c r="D189" s="660">
        <v>276.16666666666669</v>
      </c>
      <c r="E189" s="660">
        <v>187.41666666666666</v>
      </c>
      <c r="F189" s="660">
        <v>58.75</v>
      </c>
      <c r="G189" s="660">
        <v>76.333333333333329</v>
      </c>
      <c r="H189" s="660">
        <v>57.25</v>
      </c>
      <c r="I189" s="660">
        <v>17.416666666666668</v>
      </c>
      <c r="J189" s="660">
        <v>20.25</v>
      </c>
      <c r="K189" s="660">
        <v>14.583333333333334</v>
      </c>
    </row>
    <row r="190" spans="2:11" hidden="1">
      <c r="B190" s="562"/>
      <c r="C190" s="646" t="s">
        <v>421</v>
      </c>
      <c r="D190" s="660">
        <v>116.5</v>
      </c>
      <c r="E190" s="660">
        <v>80.75</v>
      </c>
      <c r="F190" s="660">
        <v>78.333333333333329</v>
      </c>
      <c r="G190" s="660">
        <v>87.333333333333329</v>
      </c>
      <c r="H190" s="660">
        <v>67.333333333333329</v>
      </c>
      <c r="I190" s="660">
        <v>68.583333333333329</v>
      </c>
      <c r="J190" s="660">
        <v>69.416666666666671</v>
      </c>
      <c r="K190" s="660">
        <v>120.33333333333333</v>
      </c>
    </row>
    <row r="191" spans="2:11" hidden="1">
      <c r="B191" s="562" t="s">
        <v>422</v>
      </c>
      <c r="C191" s="646"/>
      <c r="D191" s="681">
        <v>1477.1666666666667</v>
      </c>
      <c r="E191" s="681">
        <v>923.66666666666674</v>
      </c>
      <c r="F191" s="681">
        <v>886.25</v>
      </c>
      <c r="G191" s="681">
        <v>498.66666666666669</v>
      </c>
      <c r="H191" s="681">
        <v>669.41666666666674</v>
      </c>
      <c r="I191" s="681">
        <v>762.16666666666674</v>
      </c>
      <c r="J191" s="681">
        <v>602.5</v>
      </c>
      <c r="K191" s="681">
        <v>419.83333333333331</v>
      </c>
    </row>
    <row r="193" spans="2:11" hidden="1">
      <c r="B193" s="562"/>
      <c r="C193" s="646" t="s">
        <v>280</v>
      </c>
      <c r="D193" s="660">
        <v>617.5</v>
      </c>
      <c r="E193" s="660">
        <v>219.58333333333334</v>
      </c>
      <c r="F193" s="660">
        <v>210.33333333333334</v>
      </c>
      <c r="G193" s="660">
        <v>152.25</v>
      </c>
      <c r="H193" s="660">
        <v>124.5</v>
      </c>
      <c r="I193" s="660">
        <v>114.66666666666667</v>
      </c>
      <c r="J193" s="660">
        <v>133.25</v>
      </c>
      <c r="K193" s="660">
        <v>194.66666666666666</v>
      </c>
    </row>
    <row r="194" spans="2:11" hidden="1">
      <c r="B194" s="562"/>
      <c r="C194" s="646" t="s">
        <v>423</v>
      </c>
      <c r="D194" s="660">
        <v>280.5</v>
      </c>
      <c r="E194" s="660">
        <v>182.5</v>
      </c>
      <c r="F194" s="660">
        <v>43.583333333333336</v>
      </c>
      <c r="G194" s="660">
        <v>125</v>
      </c>
      <c r="H194" s="660">
        <v>80</v>
      </c>
      <c r="I194" s="660">
        <v>220.75</v>
      </c>
      <c r="J194" s="660">
        <v>70.833333333333329</v>
      </c>
      <c r="K194" s="660">
        <v>65.833333333333329</v>
      </c>
    </row>
    <row r="195" spans="2:11" hidden="1">
      <c r="B195" s="562"/>
      <c r="C195" s="646" t="s">
        <v>424</v>
      </c>
      <c r="D195" s="660">
        <v>211.66666666666666</v>
      </c>
      <c r="E195" s="660">
        <v>15.833333333333334</v>
      </c>
      <c r="F195" s="660">
        <v>340.58333333333331</v>
      </c>
      <c r="G195" s="660">
        <v>2.0833333333333335</v>
      </c>
      <c r="H195" s="660">
        <v>0</v>
      </c>
      <c r="I195" s="660">
        <v>7.25</v>
      </c>
      <c r="J195" s="660">
        <v>71.333333333333329</v>
      </c>
      <c r="K195" s="660">
        <v>16.25</v>
      </c>
    </row>
    <row r="196" spans="2:11" hidden="1">
      <c r="B196" s="562"/>
      <c r="C196" s="646" t="s">
        <v>425</v>
      </c>
      <c r="D196" s="660">
        <v>0</v>
      </c>
      <c r="E196" s="660">
        <v>6.916666666666667</v>
      </c>
      <c r="F196" s="660">
        <v>63.5</v>
      </c>
      <c r="G196" s="660">
        <v>6.166666666666667</v>
      </c>
      <c r="H196" s="660">
        <v>7.833333333333333</v>
      </c>
      <c r="I196" s="660">
        <v>0.83333333333333337</v>
      </c>
      <c r="J196" s="660">
        <v>45.083333333333336</v>
      </c>
      <c r="K196" s="660">
        <v>2.5833333333333335</v>
      </c>
    </row>
    <row r="197" spans="2:11" hidden="1">
      <c r="B197" s="562"/>
      <c r="C197" s="646" t="s">
        <v>426</v>
      </c>
      <c r="D197" s="660">
        <v>181.83333333333334</v>
      </c>
      <c r="E197" s="660">
        <v>221.41666666666666</v>
      </c>
      <c r="F197" s="660">
        <v>138.66666666666666</v>
      </c>
      <c r="G197" s="660">
        <v>69.916666666666671</v>
      </c>
      <c r="H197" s="660">
        <v>80.5</v>
      </c>
      <c r="I197" s="660">
        <v>122.75</v>
      </c>
      <c r="J197" s="660">
        <v>176.25</v>
      </c>
      <c r="K197" s="660">
        <v>123.33333333333333</v>
      </c>
    </row>
    <row r="198" spans="2:11" hidden="1">
      <c r="B198" s="562"/>
      <c r="C198" s="646" t="s">
        <v>427</v>
      </c>
      <c r="D198" s="660">
        <v>0</v>
      </c>
      <c r="E198" s="660">
        <v>0</v>
      </c>
      <c r="F198" s="660">
        <v>0</v>
      </c>
      <c r="G198" s="660">
        <v>0</v>
      </c>
      <c r="H198" s="660">
        <v>3.3333333333333335</v>
      </c>
      <c r="I198" s="660">
        <v>7.5</v>
      </c>
      <c r="J198" s="660">
        <v>7.5</v>
      </c>
      <c r="K198" s="660">
        <v>16.666666666666668</v>
      </c>
    </row>
    <row r="199" spans="2:11" hidden="1">
      <c r="B199" s="562"/>
      <c r="C199" s="646" t="s">
        <v>381</v>
      </c>
      <c r="D199" s="660">
        <v>185.66666666666666</v>
      </c>
      <c r="E199" s="660">
        <v>277.41666666666669</v>
      </c>
      <c r="F199" s="660">
        <v>89.583333333333329</v>
      </c>
      <c r="G199" s="660">
        <v>143.25</v>
      </c>
      <c r="H199" s="660">
        <v>373.25</v>
      </c>
      <c r="I199" s="660">
        <v>288.41666666666669</v>
      </c>
      <c r="J199" s="660">
        <v>98.25</v>
      </c>
      <c r="K199" s="660">
        <v>0.5</v>
      </c>
    </row>
    <row r="200" spans="2:11" hidden="1">
      <c r="B200" s="562" t="s">
        <v>428</v>
      </c>
      <c r="C200" s="646"/>
      <c r="D200" s="681">
        <v>0</v>
      </c>
      <c r="E200" s="681">
        <v>0</v>
      </c>
      <c r="F200" s="681">
        <v>0</v>
      </c>
      <c r="G200" s="681">
        <v>0</v>
      </c>
      <c r="H200" s="681">
        <v>0</v>
      </c>
      <c r="I200" s="681">
        <v>632.75</v>
      </c>
      <c r="J200" s="681">
        <v>347.83333333333331</v>
      </c>
      <c r="K200" s="681">
        <v>1224.25</v>
      </c>
    </row>
    <row r="201" spans="2:11" hidden="1">
      <c r="B201" s="562"/>
      <c r="C201" s="646"/>
      <c r="D201" s="681"/>
      <c r="E201" s="681"/>
      <c r="F201" s="681"/>
      <c r="G201" s="681"/>
      <c r="H201" s="681"/>
      <c r="I201" s="681"/>
      <c r="J201" s="681"/>
      <c r="K201" s="681"/>
    </row>
    <row r="202" spans="2:11" hidden="1">
      <c r="B202" s="562"/>
      <c r="C202" s="646" t="s">
        <v>429</v>
      </c>
      <c r="D202" s="660">
        <v>0</v>
      </c>
      <c r="E202" s="660">
        <v>0</v>
      </c>
      <c r="F202" s="660">
        <v>0</v>
      </c>
      <c r="G202" s="660">
        <v>0</v>
      </c>
      <c r="H202" s="660">
        <v>0</v>
      </c>
      <c r="I202" s="660">
        <v>632.75</v>
      </c>
      <c r="J202" s="660">
        <v>347.83333333333331</v>
      </c>
      <c r="K202" s="660">
        <v>1224.25</v>
      </c>
    </row>
    <row r="203" spans="2:11" hidden="1">
      <c r="B203" s="562"/>
      <c r="C203" s="646" t="s">
        <v>430</v>
      </c>
      <c r="D203" s="660">
        <v>0</v>
      </c>
      <c r="E203" s="660">
        <v>0</v>
      </c>
      <c r="F203" s="660">
        <v>0</v>
      </c>
      <c r="G203" s="660">
        <v>0</v>
      </c>
      <c r="H203" s="660">
        <v>0</v>
      </c>
      <c r="I203" s="660">
        <v>0</v>
      </c>
      <c r="J203" s="660">
        <v>0</v>
      </c>
      <c r="K203" s="660">
        <v>0</v>
      </c>
    </row>
    <row r="204" spans="2:11" hidden="1">
      <c r="B204" s="562" t="s">
        <v>431</v>
      </c>
      <c r="C204" s="646"/>
      <c r="D204" s="681">
        <v>155.66666666666669</v>
      </c>
      <c r="E204" s="681">
        <v>170.60416666666669</v>
      </c>
      <c r="F204" s="681">
        <v>84.166666666666657</v>
      </c>
      <c r="G204" s="681">
        <v>151.5</v>
      </c>
      <c r="H204" s="681">
        <v>196.5</v>
      </c>
      <c r="I204" s="681">
        <v>211.75000000000003</v>
      </c>
      <c r="J204" s="681">
        <v>310.33333333333337</v>
      </c>
      <c r="K204" s="681">
        <v>319.75000000000006</v>
      </c>
    </row>
    <row r="205" spans="2:11" hidden="1">
      <c r="B205" s="562"/>
      <c r="C205" s="646"/>
      <c r="D205" s="681"/>
      <c r="E205" s="681"/>
      <c r="F205" s="681"/>
      <c r="G205" s="681"/>
      <c r="H205" s="681"/>
      <c r="I205" s="681"/>
      <c r="J205" s="681"/>
      <c r="K205" s="681"/>
    </row>
    <row r="206" spans="2:11" hidden="1">
      <c r="B206" s="562"/>
      <c r="C206" s="646" t="s">
        <v>432</v>
      </c>
      <c r="D206" s="660">
        <v>72.25</v>
      </c>
      <c r="E206" s="660">
        <v>78.4375</v>
      </c>
      <c r="F206" s="660">
        <v>26.833333333333332</v>
      </c>
      <c r="G206" s="660">
        <v>120.75</v>
      </c>
      <c r="H206" s="660">
        <v>132</v>
      </c>
      <c r="I206" s="660">
        <v>141.16666666666669</v>
      </c>
      <c r="J206" s="660">
        <v>148.16666666666669</v>
      </c>
      <c r="K206" s="660">
        <v>165.91666666666669</v>
      </c>
    </row>
    <row r="207" spans="2:11" hidden="1">
      <c r="B207" s="562"/>
      <c r="C207" s="646" t="s">
        <v>284</v>
      </c>
      <c r="D207" s="660">
        <v>37.833333333333336</v>
      </c>
      <c r="E207" s="660">
        <v>70.166666666666671</v>
      </c>
      <c r="F207" s="660">
        <v>25</v>
      </c>
      <c r="G207" s="660">
        <v>17.416666666666668</v>
      </c>
      <c r="H207" s="660">
        <v>37.916666666666664</v>
      </c>
      <c r="I207" s="660">
        <v>23.083333333333332</v>
      </c>
      <c r="J207" s="660">
        <v>113.16666666666667</v>
      </c>
      <c r="K207" s="660">
        <v>110.91666666666667</v>
      </c>
    </row>
    <row r="208" spans="2:11" hidden="1">
      <c r="B208" s="562"/>
      <c r="C208" s="646" t="s">
        <v>433</v>
      </c>
      <c r="D208" s="660">
        <v>45.583333333333336</v>
      </c>
      <c r="E208" s="660">
        <v>22</v>
      </c>
      <c r="F208" s="660">
        <v>32.333333333333329</v>
      </c>
      <c r="G208" s="660">
        <v>13.333333333333334</v>
      </c>
      <c r="H208" s="660">
        <v>26.583333333333332</v>
      </c>
      <c r="I208" s="660">
        <v>47.5</v>
      </c>
      <c r="J208" s="660">
        <v>49</v>
      </c>
      <c r="K208" s="660">
        <v>42.916666666666679</v>
      </c>
    </row>
    <row r="209" spans="2:11" hidden="1">
      <c r="B209" s="562"/>
      <c r="C209" s="646" t="s">
        <v>434</v>
      </c>
      <c r="D209" s="660">
        <v>0</v>
      </c>
      <c r="E209" s="660">
        <v>0</v>
      </c>
      <c r="F209" s="660">
        <v>0</v>
      </c>
      <c r="G209" s="660">
        <v>0</v>
      </c>
      <c r="H209" s="660">
        <v>0</v>
      </c>
      <c r="I209" s="660">
        <v>0</v>
      </c>
      <c r="J209" s="660">
        <v>0</v>
      </c>
      <c r="K209" s="660">
        <v>0</v>
      </c>
    </row>
    <row r="210" spans="2:11" hidden="1">
      <c r="B210" s="562" t="s">
        <v>435</v>
      </c>
      <c r="C210" s="646"/>
      <c r="D210" s="681">
        <v>614</v>
      </c>
      <c r="E210" s="681">
        <v>403.41666666666669</v>
      </c>
      <c r="F210" s="681">
        <v>884</v>
      </c>
      <c r="G210" s="681">
        <v>406.25</v>
      </c>
      <c r="H210" s="681">
        <v>21.333333333333332</v>
      </c>
      <c r="I210" s="681">
        <v>236</v>
      </c>
      <c r="J210" s="681">
        <v>431</v>
      </c>
      <c r="K210" s="681">
        <v>403.41666666666669</v>
      </c>
    </row>
    <row r="211" spans="2:11" hidden="1">
      <c r="B211" s="562"/>
      <c r="C211" s="646"/>
      <c r="D211" s="681"/>
      <c r="E211" s="681"/>
      <c r="F211" s="681"/>
      <c r="G211" s="681"/>
      <c r="H211" s="681"/>
      <c r="I211" s="681"/>
      <c r="J211" s="681"/>
      <c r="K211" s="681"/>
    </row>
    <row r="212" spans="2:11" hidden="1">
      <c r="B212" s="562"/>
      <c r="C212" s="646" t="s">
        <v>405</v>
      </c>
      <c r="D212" s="660">
        <v>194</v>
      </c>
      <c r="E212" s="660">
        <v>66.666666666666671</v>
      </c>
      <c r="F212" s="660">
        <v>551.5</v>
      </c>
      <c r="G212" s="660">
        <v>0</v>
      </c>
      <c r="H212" s="660">
        <v>1.5833333333333333</v>
      </c>
      <c r="I212" s="660">
        <v>0</v>
      </c>
      <c r="J212" s="660">
        <v>0</v>
      </c>
      <c r="K212" s="660">
        <v>66.666666666666671</v>
      </c>
    </row>
    <row r="213" spans="2:11" hidden="1">
      <c r="B213" s="562"/>
      <c r="C213" s="646" t="s">
        <v>436</v>
      </c>
      <c r="D213" s="660">
        <v>0</v>
      </c>
      <c r="E213" s="660">
        <v>4.333333333333333</v>
      </c>
      <c r="F213" s="660">
        <v>1.3333333333333333</v>
      </c>
      <c r="G213" s="660">
        <v>4.166666666666667</v>
      </c>
      <c r="H213" s="660">
        <v>0</v>
      </c>
      <c r="I213" s="660">
        <v>18.5</v>
      </c>
      <c r="J213" s="660">
        <v>21.5</v>
      </c>
      <c r="K213" s="660">
        <v>4.333333333333333</v>
      </c>
    </row>
    <row r="214" spans="2:11" hidden="1">
      <c r="B214" s="562"/>
      <c r="C214" s="646" t="s">
        <v>130</v>
      </c>
      <c r="D214" s="660">
        <v>420</v>
      </c>
      <c r="E214" s="660">
        <v>332.41666666666669</v>
      </c>
      <c r="F214" s="660">
        <v>331.16666666666669</v>
      </c>
      <c r="G214" s="660">
        <v>402.08333333333331</v>
      </c>
      <c r="H214" s="660">
        <v>19.75</v>
      </c>
      <c r="I214" s="660">
        <v>217.5</v>
      </c>
      <c r="J214" s="660">
        <v>409.5</v>
      </c>
      <c r="K214" s="660">
        <v>332.41666666666669</v>
      </c>
    </row>
    <row r="215" spans="2:11" hidden="1">
      <c r="B215" s="562" t="s">
        <v>286</v>
      </c>
      <c r="C215" s="646"/>
      <c r="D215" s="681">
        <v>916.66666666666674</v>
      </c>
      <c r="E215" s="681">
        <v>671.5</v>
      </c>
      <c r="F215" s="681">
        <v>230</v>
      </c>
      <c r="G215" s="681">
        <v>1752.1666666666667</v>
      </c>
      <c r="H215" s="681">
        <v>1788.3333333333333</v>
      </c>
      <c r="I215" s="681">
        <v>1712.75</v>
      </c>
      <c r="J215" s="681">
        <v>891.66666666666663</v>
      </c>
      <c r="K215" s="681">
        <v>413.41666666666669</v>
      </c>
    </row>
    <row r="216" spans="2:11" hidden="1">
      <c r="B216" s="562"/>
      <c r="C216" s="646"/>
      <c r="D216" s="681"/>
      <c r="E216" s="681"/>
      <c r="F216" s="681"/>
      <c r="G216" s="681"/>
      <c r="H216" s="681"/>
      <c r="I216" s="681"/>
      <c r="J216" s="681"/>
      <c r="K216" s="681"/>
    </row>
    <row r="217" spans="2:11" hidden="1">
      <c r="B217" s="562"/>
      <c r="C217" s="646" t="s">
        <v>82</v>
      </c>
      <c r="D217" s="660">
        <v>500</v>
      </c>
      <c r="E217" s="660">
        <v>416.66666666666669</v>
      </c>
      <c r="F217" s="660">
        <v>125</v>
      </c>
      <c r="G217" s="660">
        <v>1502.1666666666667</v>
      </c>
      <c r="H217" s="660">
        <v>1788.3333333333333</v>
      </c>
      <c r="I217" s="660">
        <v>1671.0833333333333</v>
      </c>
      <c r="J217" s="660">
        <v>850</v>
      </c>
      <c r="K217" s="660">
        <v>308.41666666666669</v>
      </c>
    </row>
    <row r="218" spans="2:11" hidden="1">
      <c r="B218" s="562"/>
      <c r="C218" s="646" t="s">
        <v>83</v>
      </c>
      <c r="D218" s="660">
        <v>416.66666666666669</v>
      </c>
      <c r="E218" s="660">
        <v>254.83333333333334</v>
      </c>
      <c r="F218" s="660">
        <v>105</v>
      </c>
      <c r="G218" s="660">
        <v>250</v>
      </c>
      <c r="H218" s="660">
        <v>0</v>
      </c>
      <c r="I218" s="660">
        <v>41.666666666666664</v>
      </c>
      <c r="J218" s="660">
        <v>41.666666666666664</v>
      </c>
      <c r="K218" s="660">
        <v>105</v>
      </c>
    </row>
    <row r="219" spans="2:11" hidden="1">
      <c r="B219" s="562" t="s">
        <v>437</v>
      </c>
      <c r="C219" s="646"/>
      <c r="D219" s="681">
        <v>6509.0000000000009</v>
      </c>
      <c r="E219" s="681">
        <v>6155.0208333333339</v>
      </c>
      <c r="F219" s="681">
        <v>6597.5</v>
      </c>
      <c r="G219" s="681">
        <v>6847.75</v>
      </c>
      <c r="H219" s="681">
        <v>6795.6666666666661</v>
      </c>
      <c r="I219" s="681">
        <v>7497.583333333333</v>
      </c>
      <c r="J219" s="681">
        <v>6875.547184949939</v>
      </c>
      <c r="K219" s="681">
        <v>6919.1405576487223</v>
      </c>
    </row>
    <row r="220" spans="2:11" hidden="1">
      <c r="B220" s="562"/>
      <c r="C220" s="646" t="s">
        <v>287</v>
      </c>
      <c r="D220" s="682"/>
      <c r="E220" s="682">
        <v>0.30604665196370717</v>
      </c>
      <c r="F220" s="682">
        <v>0.28916989598205178</v>
      </c>
      <c r="G220" s="682">
        <v>0.34158235093907607</v>
      </c>
      <c r="H220" s="682">
        <v>0.29203606110055913</v>
      </c>
      <c r="I220" s="682">
        <v>0.27198820012117719</v>
      </c>
      <c r="J220" s="682">
        <v>0.28007504923612309</v>
      </c>
      <c r="K220" s="682">
        <v>0.29657562822940403</v>
      </c>
    </row>
    <row r="221" spans="2:11" hidden="1">
      <c r="B221" s="562" t="s">
        <v>438</v>
      </c>
      <c r="C221" s="646"/>
      <c r="D221" s="680"/>
      <c r="E221" s="682">
        <v>-5.4383033748143635E-2</v>
      </c>
      <c r="F221" s="682">
        <v>7.1889141994509798E-2</v>
      </c>
      <c r="G221" s="682">
        <v>3.793103448275862E-2</v>
      </c>
      <c r="H221" s="682">
        <v>-7.6059046158714816E-3</v>
      </c>
      <c r="I221" s="682">
        <v>0.10328886054838873</v>
      </c>
      <c r="J221" s="682">
        <v>-8.2964886247799047E-2</v>
      </c>
      <c r="K221" s="682">
        <v>6.3403495788969186E-3</v>
      </c>
    </row>
    <row r="226" spans="2:4">
      <c r="B226" s="501" t="s">
        <v>641</v>
      </c>
    </row>
    <row r="227" spans="2:4">
      <c r="C227" s="683" t="s">
        <v>642</v>
      </c>
      <c r="D227" s="576">
        <v>225000</v>
      </c>
    </row>
    <row r="228" spans="2:4">
      <c r="C228" s="683" t="s">
        <v>643</v>
      </c>
      <c r="D228" s="684">
        <v>0</v>
      </c>
    </row>
    <row r="229" spans="2:4">
      <c r="C229" s="683" t="s">
        <v>644</v>
      </c>
      <c r="D229" s="684">
        <v>50000</v>
      </c>
    </row>
    <row r="230" spans="2:4">
      <c r="C230" s="683" t="s">
        <v>645</v>
      </c>
      <c r="D230" s="684">
        <v>0</v>
      </c>
    </row>
    <row r="231" spans="2:4">
      <c r="C231" s="683" t="s">
        <v>646</v>
      </c>
      <c r="D231" s="684">
        <v>0</v>
      </c>
    </row>
    <row r="232" spans="2:4">
      <c r="C232" s="683" t="s">
        <v>647</v>
      </c>
      <c r="D232" s="684">
        <v>750000</v>
      </c>
    </row>
    <row r="233" spans="2:4">
      <c r="C233" s="683" t="s">
        <v>648</v>
      </c>
      <c r="D233" s="685">
        <f>SUM(D227:D232)</f>
        <v>1025000</v>
      </c>
    </row>
    <row r="234" spans="2:4">
      <c r="C234" s="683" t="s">
        <v>649</v>
      </c>
      <c r="D234" s="686">
        <v>0</v>
      </c>
    </row>
    <row r="235" spans="2:4">
      <c r="C235" s="683" t="s">
        <v>650</v>
      </c>
      <c r="D235" s="686">
        <v>0</v>
      </c>
    </row>
    <row r="236" spans="2:4">
      <c r="C236" s="683" t="s">
        <v>651</v>
      </c>
      <c r="D236" s="686">
        <v>0</v>
      </c>
    </row>
    <row r="237" spans="2:4">
      <c r="C237" s="683" t="s">
        <v>652</v>
      </c>
      <c r="D237" s="686">
        <v>635000</v>
      </c>
    </row>
    <row r="238" spans="2:4">
      <c r="C238" s="683" t="s">
        <v>653</v>
      </c>
      <c r="D238" s="686">
        <f>22965+15082</f>
        <v>38047</v>
      </c>
    </row>
    <row r="239" spans="2:4">
      <c r="C239" s="577" t="s">
        <v>654</v>
      </c>
      <c r="D239" s="686">
        <f>SUM(D234:D238)</f>
        <v>673047</v>
      </c>
    </row>
    <row r="240" spans="2:4">
      <c r="C240" s="577" t="s">
        <v>655</v>
      </c>
      <c r="D240" s="686">
        <f>SUM(D234:D236)</f>
        <v>0</v>
      </c>
    </row>
    <row r="241" spans="3:4">
      <c r="C241" s="577" t="s">
        <v>656</v>
      </c>
      <c r="D241" s="687">
        <f>D233+D240</f>
        <v>1025000</v>
      </c>
    </row>
    <row r="242" spans="3:4">
      <c r="C242" s="577" t="s">
        <v>554</v>
      </c>
      <c r="D242" s="684">
        <f>AP60</f>
        <v>873775.25</v>
      </c>
    </row>
    <row r="243" spans="3:4">
      <c r="C243" s="577" t="s">
        <v>238</v>
      </c>
      <c r="D243" s="688">
        <f>D241-D242</f>
        <v>151224.75</v>
      </c>
    </row>
    <row r="244" spans="3:4">
      <c r="C244" s="577" t="s">
        <v>657</v>
      </c>
      <c r="D244" s="689">
        <f>D240+D233</f>
        <v>1025000</v>
      </c>
    </row>
  </sheetData>
  <sortState xmlns:xlrd2="http://schemas.microsoft.com/office/spreadsheetml/2017/richdata2" ref="V82:AN85">
    <sortCondition ref="V85"/>
  </sortState>
  <mergeCells count="123">
    <mergeCell ref="AP53:AQ53"/>
    <mergeCell ref="A70:A75"/>
    <mergeCell ref="P3:P4"/>
    <mergeCell ref="P18:P19"/>
    <mergeCell ref="P26:P27"/>
    <mergeCell ref="P32:P33"/>
    <mergeCell ref="P36:P37"/>
    <mergeCell ref="P46:P47"/>
    <mergeCell ref="P58:P59"/>
    <mergeCell ref="F58:F59"/>
    <mergeCell ref="N58:N59"/>
    <mergeCell ref="M46:M47"/>
    <mergeCell ref="M58:M59"/>
    <mergeCell ref="M3:M4"/>
    <mergeCell ref="M18:M19"/>
    <mergeCell ref="M26:M27"/>
    <mergeCell ref="M32:M33"/>
    <mergeCell ref="M36:M37"/>
    <mergeCell ref="G3:G4"/>
    <mergeCell ref="H3:H4"/>
    <mergeCell ref="H18:H19"/>
    <mergeCell ref="H32:H33"/>
    <mergeCell ref="H36:H37"/>
    <mergeCell ref="H46:H47"/>
    <mergeCell ref="N3:N4"/>
    <mergeCell ref="S3:S4"/>
    <mergeCell ref="S18:S19"/>
    <mergeCell ref="S26:S27"/>
    <mergeCell ref="S32:S33"/>
    <mergeCell ref="S36:S37"/>
    <mergeCell ref="S46:S47"/>
    <mergeCell ref="S58:S59"/>
    <mergeCell ref="Q3:Q4"/>
    <mergeCell ref="Q18:Q19"/>
    <mergeCell ref="Q26:Q27"/>
    <mergeCell ref="Q32:Q33"/>
    <mergeCell ref="Q36:Q37"/>
    <mergeCell ref="Q46:Q47"/>
    <mergeCell ref="Q58:Q59"/>
    <mergeCell ref="R3:R4"/>
    <mergeCell ref="R18:R19"/>
    <mergeCell ref="R26:R27"/>
    <mergeCell ref="R32:R33"/>
    <mergeCell ref="R36:R37"/>
    <mergeCell ref="R46:R47"/>
    <mergeCell ref="R58:R59"/>
    <mergeCell ref="N18:N19"/>
    <mergeCell ref="N26:N27"/>
    <mergeCell ref="N32:N33"/>
    <mergeCell ref="N36:N37"/>
    <mergeCell ref="N46:N47"/>
    <mergeCell ref="A36:B37"/>
    <mergeCell ref="A32:B33"/>
    <mergeCell ref="G36:G37"/>
    <mergeCell ref="G32:G33"/>
    <mergeCell ref="G26:G27"/>
    <mergeCell ref="G18:G19"/>
    <mergeCell ref="C26:C27"/>
    <mergeCell ref="C18:C19"/>
    <mergeCell ref="A26:B27"/>
    <mergeCell ref="J58:J59"/>
    <mergeCell ref="J3:J4"/>
    <mergeCell ref="J18:J19"/>
    <mergeCell ref="J26:J27"/>
    <mergeCell ref="J32:J33"/>
    <mergeCell ref="J36:J37"/>
    <mergeCell ref="J46:J47"/>
    <mergeCell ref="H58:H59"/>
    <mergeCell ref="I3:I4"/>
    <mergeCell ref="I18:I19"/>
    <mergeCell ref="I26:I27"/>
    <mergeCell ref="I32:I33"/>
    <mergeCell ref="I36:I37"/>
    <mergeCell ref="I46:I47"/>
    <mergeCell ref="I58:I59"/>
    <mergeCell ref="G58:G59"/>
    <mergeCell ref="G46:G47"/>
    <mergeCell ref="H26:H27"/>
    <mergeCell ref="A65:B66"/>
    <mergeCell ref="C58:C59"/>
    <mergeCell ref="D58:D59"/>
    <mergeCell ref="A3:B4"/>
    <mergeCell ref="F3:F4"/>
    <mergeCell ref="D3:D4"/>
    <mergeCell ref="E3:E4"/>
    <mergeCell ref="F46:F47"/>
    <mergeCell ref="D32:D33"/>
    <mergeCell ref="D36:D37"/>
    <mergeCell ref="D46:D47"/>
    <mergeCell ref="E46:E47"/>
    <mergeCell ref="F36:F37"/>
    <mergeCell ref="F32:F33"/>
    <mergeCell ref="C3:C4"/>
    <mergeCell ref="F18:F19"/>
    <mergeCell ref="F26:F27"/>
    <mergeCell ref="E18:E19"/>
    <mergeCell ref="E26:E27"/>
    <mergeCell ref="E32:E33"/>
    <mergeCell ref="E36:E37"/>
    <mergeCell ref="E58:E59"/>
    <mergeCell ref="A46:B47"/>
    <mergeCell ref="O46:O47"/>
    <mergeCell ref="O58:O59"/>
    <mergeCell ref="O3:O4"/>
    <mergeCell ref="O18:O19"/>
    <mergeCell ref="O26:O27"/>
    <mergeCell ref="O32:O33"/>
    <mergeCell ref="O36:O37"/>
    <mergeCell ref="K46:K47"/>
    <mergeCell ref="K58:K59"/>
    <mergeCell ref="K3:K4"/>
    <mergeCell ref="K18:K19"/>
    <mergeCell ref="K26:K27"/>
    <mergeCell ref="K32:K33"/>
    <mergeCell ref="K36:K37"/>
    <mergeCell ref="C46:C47"/>
    <mergeCell ref="D18:D19"/>
    <mergeCell ref="D26:D27"/>
    <mergeCell ref="C36:C37"/>
    <mergeCell ref="C32:C33"/>
    <mergeCell ref="A48:A55"/>
    <mergeCell ref="A58:B59"/>
    <mergeCell ref="A18:B19"/>
  </mergeCells>
  <pageMargins left="0.75" right="0.75" top="1" bottom="1" header="0.5" footer="0.5"/>
  <pageSetup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7030A0"/>
  </sheetPr>
  <dimension ref="A1:W1946"/>
  <sheetViews>
    <sheetView topLeftCell="A5" zoomScale="154" zoomScaleNormal="154" zoomScalePageLayoutView="122" workbookViewId="0">
      <selection activeCell="H50" sqref="H50"/>
    </sheetView>
  </sheetViews>
  <sheetFormatPr defaultColWidth="10.7109375" defaultRowHeight="12"/>
  <cols>
    <col min="1" max="1" width="6.5703125" style="1170" customWidth="1"/>
    <col min="2" max="2" width="20.140625" style="1170" customWidth="1"/>
    <col min="3" max="3" width="11" style="1170" bestFit="1" customWidth="1"/>
    <col min="4" max="4" width="14.140625" style="1170" customWidth="1"/>
    <col min="5" max="6" width="11" style="1170" bestFit="1" customWidth="1"/>
    <col min="7" max="7" width="11.140625" style="1170" bestFit="1" customWidth="1"/>
    <col min="8" max="11" width="11" style="1170" bestFit="1" customWidth="1"/>
    <col min="12" max="12" width="15" style="1170" customWidth="1"/>
    <col min="13" max="15" width="11" style="1170" bestFit="1" customWidth="1"/>
    <col min="16" max="16" width="0" style="1170" hidden="1" customWidth="1"/>
    <col min="17" max="17" width="13" style="1170" customWidth="1"/>
    <col min="18" max="18" width="18.5703125" style="1170" customWidth="1"/>
    <col min="19" max="19" width="14" style="1170" bestFit="1" customWidth="1"/>
    <col min="20" max="20" width="13.7109375" style="1170" bestFit="1" customWidth="1"/>
    <col min="21" max="21" width="14" style="1170" bestFit="1" customWidth="1"/>
    <col min="22" max="22" width="19.85546875" style="1170" customWidth="1"/>
    <col min="23" max="16384" width="10.7109375" style="1170"/>
  </cols>
  <sheetData>
    <row r="1" spans="1:23" ht="12.75">
      <c r="A1" s="1191" t="s">
        <v>658</v>
      </c>
      <c r="B1" s="1192"/>
      <c r="C1" s="1193">
        <f>C75/M!$Q$14</f>
        <v>1.0253051708097163</v>
      </c>
      <c r="D1" s="1193">
        <f>D75/M!$Q$14</f>
        <v>0.70422848858715359</v>
      </c>
      <c r="E1" s="1193">
        <f>E75/M!$Q$14</f>
        <v>0.58837006841356021</v>
      </c>
      <c r="F1" s="1193">
        <f>F75/M!$Q$14</f>
        <v>1.0904979505823187</v>
      </c>
      <c r="G1" s="1193">
        <f>G75/M!$Q$14</f>
        <v>0.70337658843881834</v>
      </c>
      <c r="H1" s="1193">
        <f>H75/M!$Q$14</f>
        <v>1.0160329102478358</v>
      </c>
      <c r="I1" s="1193">
        <f>I75/M!$Q$14</f>
        <v>1.0662501821497028</v>
      </c>
      <c r="J1" s="1193">
        <f>J75/M!$Q$14</f>
        <v>0.68890325328710167</v>
      </c>
      <c r="K1" s="1193">
        <f>K75/M!$Q$14</f>
        <v>0.70118855016309412</v>
      </c>
      <c r="L1" s="1193">
        <f>L75/M!$Q$14</f>
        <v>0.81372904344317121</v>
      </c>
      <c r="M1" s="1193">
        <f>M75/M!$Q$14</f>
        <v>0.75588950705619939</v>
      </c>
      <c r="N1" s="1193">
        <f>N75/M!$Q$14</f>
        <v>1.3480049469991071</v>
      </c>
      <c r="O1" s="1193">
        <f>O75/M!$Q$14</f>
        <v>0.87514805501481474</v>
      </c>
      <c r="P1" s="1194"/>
      <c r="Q1" s="1235"/>
      <c r="R1" s="1235"/>
      <c r="S1" s="1235"/>
      <c r="T1" s="1235"/>
      <c r="U1" s="1235"/>
      <c r="V1" s="1235"/>
      <c r="W1" s="1235"/>
    </row>
    <row r="2" spans="1:23" ht="12.75">
      <c r="A2" s="1165"/>
      <c r="B2" s="1166"/>
      <c r="C2" s="1167"/>
      <c r="D2" s="1168"/>
      <c r="E2" s="1168"/>
      <c r="F2" s="1168"/>
      <c r="G2" s="1168"/>
      <c r="H2" s="1167" t="s">
        <v>659</v>
      </c>
      <c r="I2" s="1168"/>
      <c r="J2" s="1168"/>
      <c r="K2" s="1168"/>
      <c r="L2" s="1168"/>
      <c r="M2" s="1168"/>
      <c r="N2" s="1168"/>
      <c r="O2" s="1168"/>
      <c r="P2" s="1169"/>
      <c r="Q2" s="1235"/>
      <c r="R2" s="1235"/>
      <c r="S2" s="1235"/>
      <c r="T2" s="1235"/>
      <c r="U2" s="1235"/>
      <c r="V2" s="1235"/>
      <c r="W2" s="1235"/>
    </row>
    <row r="3" spans="1:23" ht="12.75">
      <c r="A3" s="2220">
        <v>2026</v>
      </c>
      <c r="B3" s="2221"/>
      <c r="C3" s="2221"/>
      <c r="D3" s="2221"/>
      <c r="E3" s="2221"/>
      <c r="F3" s="2221"/>
      <c r="G3" s="2221"/>
      <c r="H3" s="2221"/>
      <c r="I3" s="2221"/>
      <c r="J3" s="2221"/>
      <c r="K3" s="2221"/>
      <c r="L3" s="2221"/>
      <c r="M3" s="2221"/>
      <c r="N3" s="2221"/>
      <c r="O3" s="2221"/>
      <c r="P3" s="2222"/>
      <c r="Q3" s="1235"/>
      <c r="R3" s="1235"/>
      <c r="S3" s="1235"/>
      <c r="T3" s="1235"/>
      <c r="U3" s="1235"/>
      <c r="V3" s="1235"/>
      <c r="W3" s="1241">
        <f ca="1">Monthly!C234</f>
        <v>12873.633436802909</v>
      </c>
    </row>
    <row r="4" spans="1:23" ht="12.75">
      <c r="A4" s="1171" t="s">
        <v>388</v>
      </c>
      <c r="B4" s="1172"/>
      <c r="C4" s="1173" t="s">
        <v>309</v>
      </c>
      <c r="D4" s="1173" t="s">
        <v>311</v>
      </c>
      <c r="E4" s="1173" t="s">
        <v>312</v>
      </c>
      <c r="F4" s="1173" t="s">
        <v>313</v>
      </c>
      <c r="G4" s="1173" t="s">
        <v>314</v>
      </c>
      <c r="H4" s="1173" t="s">
        <v>315</v>
      </c>
      <c r="I4" s="1173" t="s">
        <v>316</v>
      </c>
      <c r="J4" s="1173" t="s">
        <v>317</v>
      </c>
      <c r="K4" s="1173" t="s">
        <v>318</v>
      </c>
      <c r="L4" s="1173" t="s">
        <v>319</v>
      </c>
      <c r="M4" s="1173" t="s">
        <v>320</v>
      </c>
      <c r="N4" s="1173" t="s">
        <v>321</v>
      </c>
      <c r="O4" s="1174" t="s">
        <v>660</v>
      </c>
      <c r="P4" s="1175" t="s">
        <v>661</v>
      </c>
      <c r="Q4" s="1235"/>
      <c r="R4" s="1235"/>
      <c r="S4" s="1235"/>
      <c r="T4" s="1235"/>
      <c r="U4" s="1235"/>
      <c r="V4" s="1235"/>
      <c r="W4" s="1235"/>
    </row>
    <row r="5" spans="1:23" ht="12.75">
      <c r="A5" s="2199" t="s">
        <v>56</v>
      </c>
      <c r="B5" s="2200"/>
      <c r="C5" s="2203">
        <f t="shared" ref="C5:I5" si="0">C7+ SUM(C13:C18)</f>
        <v>4218</v>
      </c>
      <c r="D5" s="2203">
        <f t="shared" si="0"/>
        <v>4218</v>
      </c>
      <c r="E5" s="2203">
        <f t="shared" si="0"/>
        <v>4218</v>
      </c>
      <c r="F5" s="2203">
        <f t="shared" si="0"/>
        <v>4218</v>
      </c>
      <c r="G5" s="2203">
        <f t="shared" si="0"/>
        <v>4218</v>
      </c>
      <c r="H5" s="2203">
        <f t="shared" si="0"/>
        <v>4218</v>
      </c>
      <c r="I5" s="2203">
        <f t="shared" si="0"/>
        <v>4232</v>
      </c>
      <c r="J5" s="2203">
        <f t="shared" ref="J5:O5" si="1">J7+ SUM(J13:J18)</f>
        <v>4218</v>
      </c>
      <c r="K5" s="2203">
        <f t="shared" si="1"/>
        <v>4218</v>
      </c>
      <c r="L5" s="2203">
        <f t="shared" si="1"/>
        <v>4218</v>
      </c>
      <c r="M5" s="2203">
        <f t="shared" si="1"/>
        <v>4218</v>
      </c>
      <c r="N5" s="2203">
        <f t="shared" si="1"/>
        <v>4218</v>
      </c>
      <c r="O5" s="2203">
        <f t="shared" si="1"/>
        <v>4219.166666666667</v>
      </c>
      <c r="P5" s="2205">
        <f>O5/M!$Q$14</f>
        <v>0.37834828517731112</v>
      </c>
      <c r="Q5" s="1235"/>
      <c r="R5" s="1235"/>
      <c r="S5" s="1235"/>
      <c r="T5" s="1235"/>
      <c r="U5" s="1235"/>
      <c r="V5" s="1235"/>
      <c r="W5" s="1235"/>
    </row>
    <row r="6" spans="1:23" ht="12.75">
      <c r="A6" s="2201"/>
      <c r="B6" s="2202"/>
      <c r="C6" s="2204"/>
      <c r="D6" s="2204"/>
      <c r="E6" s="2204"/>
      <c r="F6" s="2204"/>
      <c r="G6" s="2204"/>
      <c r="H6" s="2204"/>
      <c r="I6" s="2204"/>
      <c r="J6" s="2204"/>
      <c r="K6" s="2204"/>
      <c r="L6" s="2204"/>
      <c r="M6" s="2204"/>
      <c r="N6" s="2204"/>
      <c r="O6" s="2204"/>
      <c r="P6" s="2206"/>
      <c r="Q6" s="1235"/>
      <c r="R6" s="1235"/>
      <c r="S6" s="1235"/>
      <c r="T6" s="1235"/>
      <c r="U6" s="1235"/>
      <c r="V6" s="1235"/>
      <c r="W6" s="1235"/>
    </row>
    <row r="7" spans="1:23" ht="12.75">
      <c r="A7" s="2217"/>
      <c r="B7" s="1176" t="s">
        <v>662</v>
      </c>
      <c r="C7" s="1177">
        <v>4215</v>
      </c>
      <c r="D7" s="1178">
        <v>4215</v>
      </c>
      <c r="E7" s="1178">
        <v>4215</v>
      </c>
      <c r="F7" s="1178">
        <v>4215</v>
      </c>
      <c r="G7" s="1178">
        <v>4215</v>
      </c>
      <c r="H7" s="1178">
        <v>4215</v>
      </c>
      <c r="I7" s="1178">
        <v>4215</v>
      </c>
      <c r="J7" s="1178">
        <v>4215</v>
      </c>
      <c r="K7" s="1178">
        <v>4215</v>
      </c>
      <c r="L7" s="1178">
        <v>4215</v>
      </c>
      <c r="M7" s="1178">
        <v>4215</v>
      </c>
      <c r="N7" s="1178">
        <v>4215</v>
      </c>
      <c r="O7" s="1179">
        <f t="shared" ref="O7:O18" si="2">SUM(C7:N7)/12</f>
        <v>4215</v>
      </c>
      <c r="P7" s="1180">
        <f>O7/M!$Q$14</f>
        <v>0.37797464476137455</v>
      </c>
      <c r="Q7" s="1235"/>
      <c r="R7" s="1235"/>
      <c r="S7" s="1235"/>
      <c r="T7" s="1235"/>
      <c r="U7" s="1235"/>
      <c r="V7" s="1235"/>
      <c r="W7" s="1235"/>
    </row>
    <row r="8" spans="1:23" ht="12.75">
      <c r="A8" s="2218"/>
      <c r="B8" s="1176" t="s">
        <v>663</v>
      </c>
      <c r="C8" s="1178">
        <v>0</v>
      </c>
      <c r="D8" s="1178">
        <v>0</v>
      </c>
      <c r="E8" s="1178">
        <v>0</v>
      </c>
      <c r="F8" s="1178">
        <v>0</v>
      </c>
      <c r="G8" s="1178">
        <v>0</v>
      </c>
      <c r="H8" s="1178">
        <v>0</v>
      </c>
      <c r="I8" s="1178">
        <v>0</v>
      </c>
      <c r="J8" s="1178">
        <v>0</v>
      </c>
      <c r="K8" s="1178">
        <v>0</v>
      </c>
      <c r="L8" s="1178">
        <v>0</v>
      </c>
      <c r="M8" s="1178">
        <v>0</v>
      </c>
      <c r="N8" s="1178">
        <v>0</v>
      </c>
      <c r="O8" s="1179">
        <f t="shared" si="2"/>
        <v>0</v>
      </c>
      <c r="P8" s="1180">
        <f>O8/M!$Q$14</f>
        <v>0</v>
      </c>
      <c r="Q8" s="1235"/>
      <c r="R8" s="1235"/>
      <c r="S8" s="1235"/>
      <c r="T8" s="1235"/>
      <c r="U8" s="1235"/>
      <c r="V8" s="1235"/>
      <c r="W8" s="1235"/>
    </row>
    <row r="9" spans="1:23" ht="12.75">
      <c r="A9" s="2218"/>
      <c r="B9" s="1176" t="s">
        <v>664</v>
      </c>
      <c r="C9" s="1178">
        <v>0</v>
      </c>
      <c r="D9" s="1178">
        <v>0</v>
      </c>
      <c r="E9" s="1178">
        <v>0</v>
      </c>
      <c r="F9" s="1178">
        <v>0</v>
      </c>
      <c r="G9" s="1178">
        <v>0</v>
      </c>
      <c r="H9" s="1178">
        <v>0</v>
      </c>
      <c r="I9" s="1178">
        <v>0</v>
      </c>
      <c r="J9" s="1178">
        <v>0</v>
      </c>
      <c r="K9" s="1178">
        <v>0</v>
      </c>
      <c r="L9" s="1178">
        <v>0</v>
      </c>
      <c r="M9" s="1178">
        <v>0</v>
      </c>
      <c r="N9" s="1178">
        <v>0</v>
      </c>
      <c r="O9" s="1179">
        <f t="shared" si="2"/>
        <v>0</v>
      </c>
      <c r="P9" s="1180">
        <f>O9/M!$Q$14</f>
        <v>0</v>
      </c>
      <c r="Q9" s="1235"/>
      <c r="R9" s="1235"/>
      <c r="S9" s="1235"/>
      <c r="T9" s="1235"/>
      <c r="U9" s="1235"/>
      <c r="V9" s="1235"/>
      <c r="W9" s="1235"/>
    </row>
    <row r="10" spans="1:23" ht="12.75">
      <c r="A10" s="2218"/>
      <c r="B10" s="1176" t="s">
        <v>450</v>
      </c>
      <c r="C10" s="1178">
        <v>0</v>
      </c>
      <c r="D10" s="1178">
        <v>0</v>
      </c>
      <c r="E10" s="1178">
        <v>0</v>
      </c>
      <c r="F10" s="1178">
        <v>0</v>
      </c>
      <c r="G10" s="1178">
        <v>0</v>
      </c>
      <c r="H10" s="1178">
        <v>0</v>
      </c>
      <c r="I10" s="1178">
        <v>0</v>
      </c>
      <c r="J10" s="1178">
        <v>0</v>
      </c>
      <c r="K10" s="1178">
        <v>0</v>
      </c>
      <c r="L10" s="1178">
        <v>0</v>
      </c>
      <c r="M10" s="1178">
        <v>0</v>
      </c>
      <c r="N10" s="1178">
        <v>0</v>
      </c>
      <c r="O10" s="1179">
        <f t="shared" si="2"/>
        <v>0</v>
      </c>
      <c r="P10" s="1180">
        <f>O10/M!$Q$14</f>
        <v>0</v>
      </c>
      <c r="Q10" s="1235"/>
      <c r="R10" s="1235"/>
      <c r="S10" s="1235"/>
      <c r="T10" s="1235"/>
      <c r="U10" s="1235"/>
      <c r="V10" s="1235"/>
      <c r="W10" s="1235"/>
    </row>
    <row r="11" spans="1:23" ht="12.75">
      <c r="A11" s="2218"/>
      <c r="B11" s="1176" t="s">
        <v>665</v>
      </c>
      <c r="C11" s="1178">
        <v>0</v>
      </c>
      <c r="D11" s="1178">
        <v>0</v>
      </c>
      <c r="E11" s="1178">
        <v>0</v>
      </c>
      <c r="F11" s="1178">
        <v>0</v>
      </c>
      <c r="G11" s="1178">
        <v>0</v>
      </c>
      <c r="H11" s="1178">
        <v>0</v>
      </c>
      <c r="I11" s="1178">
        <v>0</v>
      </c>
      <c r="J11" s="1178">
        <v>0</v>
      </c>
      <c r="K11" s="1178">
        <v>0</v>
      </c>
      <c r="L11" s="1178">
        <v>0</v>
      </c>
      <c r="M11" s="1178">
        <v>0</v>
      </c>
      <c r="N11" s="1178">
        <v>0</v>
      </c>
      <c r="O11" s="1179">
        <f t="shared" si="2"/>
        <v>0</v>
      </c>
      <c r="P11" s="1180">
        <f>O11/M!$Q$14</f>
        <v>0</v>
      </c>
      <c r="Q11" s="1235"/>
      <c r="R11" s="1235"/>
      <c r="S11" s="1235"/>
      <c r="T11" s="1235"/>
      <c r="U11" s="1235"/>
      <c r="V11" s="1235"/>
      <c r="W11" s="1235"/>
    </row>
    <row r="12" spans="1:23" ht="12.75">
      <c r="A12" s="2218"/>
      <c r="B12" s="1176" t="s">
        <v>664</v>
      </c>
      <c r="C12" s="1178">
        <v>0</v>
      </c>
      <c r="D12" s="1178">
        <v>0</v>
      </c>
      <c r="E12" s="1178">
        <v>0</v>
      </c>
      <c r="F12" s="1178">
        <v>0</v>
      </c>
      <c r="G12" s="1178">
        <v>0</v>
      </c>
      <c r="H12" s="1178">
        <v>0</v>
      </c>
      <c r="I12" s="1178">
        <v>0</v>
      </c>
      <c r="J12" s="1178">
        <v>0</v>
      </c>
      <c r="K12" s="1178">
        <v>0</v>
      </c>
      <c r="L12" s="1178">
        <v>0</v>
      </c>
      <c r="M12" s="1178">
        <v>0</v>
      </c>
      <c r="N12" s="1178">
        <v>0</v>
      </c>
      <c r="O12" s="1179">
        <f t="shared" si="2"/>
        <v>0</v>
      </c>
      <c r="P12" s="1180">
        <f>O12/M!$Q$14</f>
        <v>0</v>
      </c>
      <c r="Q12" s="1235"/>
      <c r="R12" s="1235"/>
      <c r="S12" s="1235"/>
      <c r="T12" s="1235"/>
      <c r="U12" s="1235"/>
      <c r="V12" s="1235"/>
      <c r="W12" s="1235"/>
    </row>
    <row r="13" spans="1:23" ht="12.75">
      <c r="A13" s="2218"/>
      <c r="B13" s="1176" t="s">
        <v>287</v>
      </c>
      <c r="C13" s="1178">
        <v>0</v>
      </c>
      <c r="D13" s="1178">
        <v>0</v>
      </c>
      <c r="E13" s="1178">
        <v>0</v>
      </c>
      <c r="F13" s="1178">
        <v>0</v>
      </c>
      <c r="G13" s="1178">
        <v>0</v>
      </c>
      <c r="H13" s="1178">
        <v>0</v>
      </c>
      <c r="I13" s="1178">
        <v>0</v>
      </c>
      <c r="J13" s="1178">
        <v>0</v>
      </c>
      <c r="K13" s="1178">
        <v>0</v>
      </c>
      <c r="L13" s="1178">
        <v>0</v>
      </c>
      <c r="M13" s="1178">
        <v>0</v>
      </c>
      <c r="N13" s="1178">
        <v>0</v>
      </c>
      <c r="O13" s="1179">
        <f t="shared" si="2"/>
        <v>0</v>
      </c>
      <c r="P13" s="1180">
        <f>O13/M!$Q$14</f>
        <v>0</v>
      </c>
      <c r="Q13" s="1235"/>
      <c r="R13" s="1235"/>
      <c r="S13" s="1235"/>
      <c r="T13" s="1235"/>
      <c r="U13" s="1235"/>
      <c r="V13" s="1235"/>
      <c r="W13" s="1235"/>
    </row>
    <row r="14" spans="1:23" ht="12.75">
      <c r="A14" s="2218"/>
      <c r="B14" s="1176" t="s">
        <v>453</v>
      </c>
      <c r="C14" s="1178">
        <v>0</v>
      </c>
      <c r="D14" s="1178">
        <v>0</v>
      </c>
      <c r="E14" s="1178">
        <v>0</v>
      </c>
      <c r="F14" s="1178">
        <v>0</v>
      </c>
      <c r="G14" s="1178">
        <v>0</v>
      </c>
      <c r="H14" s="1178">
        <v>0</v>
      </c>
      <c r="I14" s="1178">
        <v>0</v>
      </c>
      <c r="J14" s="1178">
        <v>0</v>
      </c>
      <c r="K14" s="1178">
        <v>0</v>
      </c>
      <c r="L14" s="1178">
        <v>0</v>
      </c>
      <c r="M14" s="1178">
        <v>0</v>
      </c>
      <c r="N14" s="1178">
        <v>0</v>
      </c>
      <c r="O14" s="1179">
        <f t="shared" si="2"/>
        <v>0</v>
      </c>
      <c r="P14" s="1180">
        <f>O14/M!$Q$14</f>
        <v>0</v>
      </c>
      <c r="Q14" s="1235"/>
      <c r="R14" s="1235"/>
      <c r="S14" s="1235"/>
      <c r="T14" s="1235"/>
      <c r="U14" s="1235"/>
      <c r="V14" s="1235"/>
      <c r="W14" s="1235"/>
    </row>
    <row r="15" spans="1:23" ht="12.75">
      <c r="A15" s="2218"/>
      <c r="B15" s="1176" t="s">
        <v>400</v>
      </c>
      <c r="C15" s="1178">
        <v>0</v>
      </c>
      <c r="D15" s="1178">
        <v>0</v>
      </c>
      <c r="E15" s="1178">
        <v>0</v>
      </c>
      <c r="F15" s="1178">
        <v>0</v>
      </c>
      <c r="G15" s="1178">
        <v>0</v>
      </c>
      <c r="H15" s="1178">
        <v>0</v>
      </c>
      <c r="I15" s="1178">
        <v>0</v>
      </c>
      <c r="J15" s="1178">
        <v>0</v>
      </c>
      <c r="K15" s="1178">
        <v>0</v>
      </c>
      <c r="L15" s="1178">
        <v>0</v>
      </c>
      <c r="M15" s="1178">
        <v>0</v>
      </c>
      <c r="N15" s="1178">
        <v>0</v>
      </c>
      <c r="O15" s="1179">
        <f t="shared" si="2"/>
        <v>0</v>
      </c>
      <c r="P15" s="1180">
        <f>O15/M!$Q$14</f>
        <v>0</v>
      </c>
      <c r="Q15" s="1235"/>
      <c r="R15" s="1235"/>
      <c r="S15" s="1235"/>
      <c r="T15" s="1235"/>
      <c r="U15" s="1235"/>
      <c r="V15" s="1235"/>
      <c r="W15" s="1235"/>
    </row>
    <row r="16" spans="1:23" ht="12.75">
      <c r="A16" s="2218"/>
      <c r="B16" s="1176" t="s">
        <v>401</v>
      </c>
      <c r="C16" s="1178">
        <v>0</v>
      </c>
      <c r="D16" s="1178">
        <v>0</v>
      </c>
      <c r="E16" s="1178">
        <v>0</v>
      </c>
      <c r="F16" s="1178">
        <v>0</v>
      </c>
      <c r="G16" s="1178">
        <v>0</v>
      </c>
      <c r="H16" s="1178">
        <v>0</v>
      </c>
      <c r="I16" s="1178">
        <v>0</v>
      </c>
      <c r="J16" s="1178">
        <v>0</v>
      </c>
      <c r="K16" s="1178">
        <v>0</v>
      </c>
      <c r="L16" s="1178">
        <v>0</v>
      </c>
      <c r="M16" s="1178">
        <v>0</v>
      </c>
      <c r="N16" s="1178">
        <v>0</v>
      </c>
      <c r="O16" s="1179">
        <f t="shared" si="2"/>
        <v>0</v>
      </c>
      <c r="P16" s="1180">
        <f>O16/M!$Q$14</f>
        <v>0</v>
      </c>
      <c r="Q16" s="1235"/>
      <c r="R16" s="1235"/>
      <c r="S16" s="1235"/>
      <c r="T16" s="1235"/>
      <c r="U16" s="1235"/>
      <c r="V16" s="1235"/>
      <c r="W16" s="1235"/>
    </row>
    <row r="17" spans="1:23" ht="12.75">
      <c r="A17" s="2218"/>
      <c r="B17" s="1176" t="s">
        <v>402</v>
      </c>
      <c r="C17" s="1178">
        <v>0</v>
      </c>
      <c r="D17" s="1178">
        <v>0</v>
      </c>
      <c r="E17" s="1178">
        <v>0</v>
      </c>
      <c r="F17" s="1178">
        <v>0</v>
      </c>
      <c r="G17" s="1178">
        <v>0</v>
      </c>
      <c r="H17" s="1178">
        <v>0</v>
      </c>
      <c r="I17" s="1178">
        <v>0</v>
      </c>
      <c r="J17" s="1178">
        <v>0</v>
      </c>
      <c r="K17" s="1178">
        <v>0</v>
      </c>
      <c r="L17" s="1178">
        <v>0</v>
      </c>
      <c r="M17" s="1178">
        <v>0</v>
      </c>
      <c r="N17" s="1178">
        <v>0</v>
      </c>
      <c r="O17" s="1179">
        <f t="shared" si="2"/>
        <v>0</v>
      </c>
      <c r="P17" s="1180">
        <f>O17/M!$Q$14</f>
        <v>0</v>
      </c>
      <c r="Q17" s="1235"/>
      <c r="R17" s="1235"/>
      <c r="S17" s="1235"/>
      <c r="T17" s="1235"/>
      <c r="U17" s="1235"/>
      <c r="V17" s="1235"/>
      <c r="W17" s="1235"/>
    </row>
    <row r="18" spans="1:23" ht="12.75">
      <c r="A18" s="2219"/>
      <c r="B18" s="1176" t="s">
        <v>403</v>
      </c>
      <c r="C18" s="1177">
        <v>3</v>
      </c>
      <c r="D18" s="1178">
        <v>3</v>
      </c>
      <c r="E18" s="1178">
        <v>3</v>
      </c>
      <c r="F18" s="1178">
        <v>3</v>
      </c>
      <c r="G18" s="1178">
        <v>3</v>
      </c>
      <c r="H18" s="1178">
        <v>3</v>
      </c>
      <c r="I18" s="1178">
        <v>17</v>
      </c>
      <c r="J18" s="1178">
        <v>3</v>
      </c>
      <c r="K18" s="1178">
        <v>3</v>
      </c>
      <c r="L18" s="1178">
        <v>3</v>
      </c>
      <c r="M18" s="1178">
        <v>3</v>
      </c>
      <c r="N18" s="1178">
        <v>3</v>
      </c>
      <c r="O18" s="1179">
        <f t="shared" si="2"/>
        <v>4.166666666666667</v>
      </c>
      <c r="P18" s="1180">
        <f>O18/M!$Q$14</f>
        <v>3.7364041593651104E-4</v>
      </c>
      <c r="Q18" s="1235"/>
      <c r="R18" s="1235"/>
      <c r="S18" s="1235"/>
      <c r="T18" s="1235"/>
      <c r="U18" s="1235"/>
      <c r="V18" s="1235"/>
      <c r="W18" s="1235"/>
    </row>
    <row r="19" spans="1:23" ht="12.75">
      <c r="A19" s="2199" t="s">
        <v>276</v>
      </c>
      <c r="B19" s="2200"/>
      <c r="C19" s="2203">
        <f t="shared" ref="C19:N19" si="3">SUM(C21:C26)</f>
        <v>1054.3333333333335</v>
      </c>
      <c r="D19" s="2203">
        <f t="shared" si="3"/>
        <v>1025.3333333333335</v>
      </c>
      <c r="E19" s="2203">
        <f t="shared" si="3"/>
        <v>1025.3333333333335</v>
      </c>
      <c r="F19" s="2203">
        <f t="shared" si="3"/>
        <v>1025.3333333333335</v>
      </c>
      <c r="G19" s="2203">
        <f t="shared" si="3"/>
        <v>1025.3333333333335</v>
      </c>
      <c r="H19" s="2203">
        <f t="shared" si="3"/>
        <v>1025.3333333333335</v>
      </c>
      <c r="I19" s="2203">
        <f t="shared" si="3"/>
        <v>1246.3333333333335</v>
      </c>
      <c r="J19" s="2203">
        <f t="shared" si="3"/>
        <v>1055.3333333333335</v>
      </c>
      <c r="K19" s="2203">
        <f t="shared" si="3"/>
        <v>1055.3333333333335</v>
      </c>
      <c r="L19" s="2203">
        <f t="shared" si="3"/>
        <v>1089.3333333333335</v>
      </c>
      <c r="M19" s="2203">
        <f t="shared" si="3"/>
        <v>1055.3333333333335</v>
      </c>
      <c r="N19" s="2203">
        <f t="shared" si="3"/>
        <v>1126.3333333333335</v>
      </c>
      <c r="O19" s="2203">
        <f>SUM(O21:O26)</f>
        <v>1067.4166666666667</v>
      </c>
      <c r="P19" s="2205">
        <f>O19/M!$Q$14</f>
        <v>9.5719201754615402E-2</v>
      </c>
      <c r="Q19" s="1235"/>
      <c r="R19" s="1235"/>
      <c r="S19" s="1235"/>
      <c r="T19" s="1235"/>
      <c r="U19" s="1235"/>
      <c r="V19" s="1235"/>
      <c r="W19" s="1235"/>
    </row>
    <row r="20" spans="1:23" ht="12.75">
      <c r="A20" s="2201"/>
      <c r="B20" s="2202"/>
      <c r="C20" s="2204"/>
      <c r="D20" s="2204"/>
      <c r="E20" s="2204"/>
      <c r="F20" s="2204"/>
      <c r="G20" s="2204"/>
      <c r="H20" s="2204"/>
      <c r="I20" s="2204"/>
      <c r="J20" s="2204"/>
      <c r="K20" s="2204"/>
      <c r="L20" s="2204"/>
      <c r="M20" s="2204"/>
      <c r="N20" s="2204"/>
      <c r="O20" s="2204"/>
      <c r="P20" s="2206"/>
      <c r="Q20" s="1235"/>
      <c r="R20" s="1235"/>
      <c r="S20" s="1235"/>
      <c r="T20" s="1235"/>
      <c r="U20" s="1235"/>
      <c r="V20" s="1235"/>
      <c r="W20" s="1235"/>
    </row>
    <row r="21" spans="1:23" ht="12.75">
      <c r="A21" s="2217"/>
      <c r="B21" s="1176" t="s">
        <v>666</v>
      </c>
      <c r="C21" s="1178">
        <f t="shared" ref="C21:H21" si="4">46700/60</f>
        <v>778.33333333333337</v>
      </c>
      <c r="D21" s="1178">
        <f t="shared" si="4"/>
        <v>778.33333333333337</v>
      </c>
      <c r="E21" s="1178">
        <f t="shared" si="4"/>
        <v>778.33333333333337</v>
      </c>
      <c r="F21" s="1178">
        <f t="shared" si="4"/>
        <v>778.33333333333337</v>
      </c>
      <c r="G21" s="1178">
        <f t="shared" si="4"/>
        <v>778.33333333333337</v>
      </c>
      <c r="H21" s="1178">
        <f t="shared" si="4"/>
        <v>778.33333333333337</v>
      </c>
      <c r="I21" s="1178">
        <f t="shared" ref="I21:N21" si="5">46700/60</f>
        <v>778.33333333333337</v>
      </c>
      <c r="J21" s="1178">
        <f t="shared" si="5"/>
        <v>778.33333333333337</v>
      </c>
      <c r="K21" s="1178">
        <f t="shared" si="5"/>
        <v>778.33333333333337</v>
      </c>
      <c r="L21" s="1178">
        <f t="shared" si="5"/>
        <v>778.33333333333337</v>
      </c>
      <c r="M21" s="1178">
        <f t="shared" si="5"/>
        <v>778.33333333333337</v>
      </c>
      <c r="N21" s="1178">
        <f t="shared" si="5"/>
        <v>778.33333333333337</v>
      </c>
      <c r="O21" s="1179">
        <f t="shared" ref="O21:O26" si="6">SUM(C21:N21)/12</f>
        <v>778.33333333333337</v>
      </c>
      <c r="P21" s="1180">
        <f>O21/M!$Q$14</f>
        <v>6.9796029696940265E-2</v>
      </c>
      <c r="Q21" s="1235"/>
      <c r="R21" s="1235"/>
      <c r="S21" s="1235"/>
      <c r="T21" s="1235"/>
      <c r="U21" s="1235"/>
      <c r="V21" s="1235"/>
      <c r="W21" s="1235"/>
    </row>
    <row r="22" spans="1:23" ht="12.75">
      <c r="A22" s="2218"/>
      <c r="B22" s="1176" t="s">
        <v>400</v>
      </c>
      <c r="C22" s="1181">
        <v>179</v>
      </c>
      <c r="D22" s="1182">
        <f t="shared" ref="D22:I22" si="7">ROUNDUP(900/6,0)</f>
        <v>150</v>
      </c>
      <c r="E22" s="1182">
        <f t="shared" si="7"/>
        <v>150</v>
      </c>
      <c r="F22" s="1182">
        <f t="shared" si="7"/>
        <v>150</v>
      </c>
      <c r="G22" s="1182">
        <f t="shared" si="7"/>
        <v>150</v>
      </c>
      <c r="H22" s="1182">
        <f t="shared" si="7"/>
        <v>150</v>
      </c>
      <c r="I22" s="1182">
        <f t="shared" si="7"/>
        <v>150</v>
      </c>
      <c r="J22" s="1182">
        <v>180</v>
      </c>
      <c r="K22" s="1182">
        <v>180</v>
      </c>
      <c r="L22" s="1182">
        <v>180</v>
      </c>
      <c r="M22" s="1182">
        <v>180</v>
      </c>
      <c r="N22" s="1182">
        <v>180</v>
      </c>
      <c r="O22" s="1179">
        <f t="shared" si="6"/>
        <v>164.91666666666666</v>
      </c>
      <c r="P22" s="1180">
        <f>O22/M!$Q$14</f>
        <v>1.4788687662767107E-2</v>
      </c>
      <c r="Q22" s="1235"/>
      <c r="R22" s="1235"/>
      <c r="S22" s="1235"/>
      <c r="T22" s="1235"/>
      <c r="U22" s="1235"/>
      <c r="V22" s="1235"/>
      <c r="W22" s="1235"/>
    </row>
    <row r="23" spans="1:23" ht="12.75">
      <c r="A23" s="2218"/>
      <c r="B23" s="1176" t="s">
        <v>454</v>
      </c>
      <c r="C23" s="1178">
        <v>0</v>
      </c>
      <c r="D23" s="1178">
        <v>0</v>
      </c>
      <c r="E23" s="1178">
        <v>0</v>
      </c>
      <c r="F23" s="1178">
        <v>0</v>
      </c>
      <c r="G23" s="1178">
        <v>0</v>
      </c>
      <c r="H23" s="1178">
        <v>0</v>
      </c>
      <c r="I23" s="1178">
        <v>221</v>
      </c>
      <c r="J23" s="1178">
        <v>0</v>
      </c>
      <c r="K23" s="1178">
        <v>0</v>
      </c>
      <c r="L23" s="1178">
        <v>0</v>
      </c>
      <c r="M23" s="1178">
        <v>0</v>
      </c>
      <c r="N23" s="1178">
        <v>50</v>
      </c>
      <c r="O23" s="1179">
        <f t="shared" si="6"/>
        <v>22.583333333333332</v>
      </c>
      <c r="P23" s="1180">
        <f>O23/M!$Q$14</f>
        <v>2.0251310543758895E-3</v>
      </c>
      <c r="Q23" s="1235"/>
      <c r="R23" s="1235"/>
      <c r="S23" s="1235"/>
      <c r="T23" s="1235"/>
      <c r="U23" s="1235"/>
      <c r="V23" s="1235"/>
      <c r="W23" s="1235"/>
    </row>
    <row r="24" spans="1:23" ht="12.75">
      <c r="A24" s="2218"/>
      <c r="B24" s="1176" t="s">
        <v>407</v>
      </c>
      <c r="C24" s="1178">
        <v>0</v>
      </c>
      <c r="D24" s="1178">
        <v>0</v>
      </c>
      <c r="E24" s="1178">
        <v>0</v>
      </c>
      <c r="F24" s="1178">
        <v>0</v>
      </c>
      <c r="G24" s="1178">
        <v>0</v>
      </c>
      <c r="H24" s="1178">
        <v>0</v>
      </c>
      <c r="I24" s="1178">
        <v>0</v>
      </c>
      <c r="J24" s="1178">
        <v>0</v>
      </c>
      <c r="K24" s="1178">
        <v>0</v>
      </c>
      <c r="L24" s="1178">
        <v>0</v>
      </c>
      <c r="M24" s="1178">
        <v>0</v>
      </c>
      <c r="N24" s="1178">
        <v>0</v>
      </c>
      <c r="O24" s="1179">
        <f t="shared" si="6"/>
        <v>0</v>
      </c>
      <c r="P24" s="1180">
        <f>O24/M!$Q$14</f>
        <v>0</v>
      </c>
      <c r="Q24" s="1235"/>
      <c r="R24" s="1235"/>
      <c r="S24" s="1235"/>
      <c r="T24" s="1235"/>
      <c r="U24" s="1235"/>
      <c r="V24" s="1235"/>
      <c r="W24" s="1235"/>
    </row>
    <row r="25" spans="1:23" ht="12.75">
      <c r="A25" s="2218"/>
      <c r="B25" s="1176" t="s">
        <v>408</v>
      </c>
      <c r="C25" s="1178">
        <v>97</v>
      </c>
      <c r="D25" s="1178">
        <v>97</v>
      </c>
      <c r="E25" s="1178">
        <v>97</v>
      </c>
      <c r="F25" s="1178">
        <v>97</v>
      </c>
      <c r="G25" s="1178">
        <v>97</v>
      </c>
      <c r="H25" s="1178">
        <v>97</v>
      </c>
      <c r="I25" s="1178">
        <v>97</v>
      </c>
      <c r="J25" s="1178">
        <v>97</v>
      </c>
      <c r="K25" s="1178">
        <v>97</v>
      </c>
      <c r="L25" s="1178">
        <v>97</v>
      </c>
      <c r="M25" s="1178">
        <v>97</v>
      </c>
      <c r="N25" s="1178">
        <v>108</v>
      </c>
      <c r="O25" s="1179">
        <f t="shared" si="6"/>
        <v>97.916666666666671</v>
      </c>
      <c r="P25" s="1180">
        <f>O25/M!$Q$14</f>
        <v>8.7805497745080101E-3</v>
      </c>
      <c r="Q25" s="1235"/>
      <c r="R25" s="1235"/>
      <c r="S25" s="1235"/>
      <c r="T25" s="1235"/>
      <c r="U25" s="1235"/>
      <c r="V25" s="1235"/>
      <c r="W25" s="1235"/>
    </row>
    <row r="26" spans="1:23" ht="12.75">
      <c r="A26" s="2219"/>
      <c r="B26" s="1176" t="s">
        <v>409</v>
      </c>
      <c r="C26" s="1178">
        <v>0</v>
      </c>
      <c r="D26" s="1178">
        <v>0</v>
      </c>
      <c r="E26" s="1178">
        <v>0</v>
      </c>
      <c r="F26" s="1178">
        <v>0</v>
      </c>
      <c r="G26" s="1178">
        <v>0</v>
      </c>
      <c r="H26" s="1178">
        <v>0</v>
      </c>
      <c r="I26" s="1178">
        <v>0</v>
      </c>
      <c r="J26" s="1178">
        <v>0</v>
      </c>
      <c r="K26" s="1178">
        <v>0</v>
      </c>
      <c r="L26" s="1178">
        <v>34</v>
      </c>
      <c r="M26" s="1178">
        <v>0</v>
      </c>
      <c r="N26" s="1178">
        <v>10</v>
      </c>
      <c r="O26" s="1179">
        <f t="shared" si="6"/>
        <v>3.6666666666666665</v>
      </c>
      <c r="P26" s="1180">
        <f>O26/M!$Q$14</f>
        <v>3.2880356602412971E-4</v>
      </c>
      <c r="Q26" s="1235"/>
      <c r="R26" s="1235"/>
      <c r="S26" s="1235"/>
      <c r="T26" s="1235"/>
      <c r="U26" s="1235"/>
      <c r="V26" s="1235"/>
      <c r="W26" s="1235"/>
    </row>
    <row r="27" spans="1:23" ht="12.75">
      <c r="A27" s="2199" t="s">
        <v>277</v>
      </c>
      <c r="B27" s="2200"/>
      <c r="C27" s="2203">
        <f t="shared" ref="C27:N27" si="8">SUM(C29:C32)</f>
        <v>171</v>
      </c>
      <c r="D27" s="2203">
        <f t="shared" si="8"/>
        <v>190</v>
      </c>
      <c r="E27" s="2203">
        <f t="shared" si="8"/>
        <v>0</v>
      </c>
      <c r="F27" s="2203">
        <f t="shared" si="8"/>
        <v>446</v>
      </c>
      <c r="G27" s="2203">
        <f t="shared" si="8"/>
        <v>388</v>
      </c>
      <c r="H27" s="2203">
        <f t="shared" si="8"/>
        <v>461</v>
      </c>
      <c r="I27" s="2203">
        <f t="shared" si="8"/>
        <v>186</v>
      </c>
      <c r="J27" s="2203">
        <f t="shared" si="8"/>
        <v>142</v>
      </c>
      <c r="K27" s="2203">
        <f t="shared" si="8"/>
        <v>202</v>
      </c>
      <c r="L27" s="2203">
        <f t="shared" si="8"/>
        <v>249</v>
      </c>
      <c r="M27" s="2203">
        <f t="shared" si="8"/>
        <v>155</v>
      </c>
      <c r="N27" s="2203">
        <f t="shared" si="8"/>
        <v>311</v>
      </c>
      <c r="O27" s="2203">
        <f>SUM(O29:O32)</f>
        <v>241.75</v>
      </c>
      <c r="P27" s="2205">
        <f>O27/M!$Q$14</f>
        <v>2.1678616932636372E-2</v>
      </c>
      <c r="Q27" s="1235"/>
      <c r="R27" s="1235"/>
      <c r="S27" s="1235"/>
      <c r="T27" s="1235"/>
      <c r="U27" s="1235"/>
      <c r="V27" s="1235"/>
      <c r="W27" s="1235"/>
    </row>
    <row r="28" spans="1:23" ht="12.75">
      <c r="A28" s="2201"/>
      <c r="B28" s="2202"/>
      <c r="C28" s="2204"/>
      <c r="D28" s="2204"/>
      <c r="E28" s="2204"/>
      <c r="F28" s="2204"/>
      <c r="G28" s="2204"/>
      <c r="H28" s="2204"/>
      <c r="I28" s="2204"/>
      <c r="J28" s="2204"/>
      <c r="K28" s="2204"/>
      <c r="L28" s="2204"/>
      <c r="M28" s="2204"/>
      <c r="N28" s="2204"/>
      <c r="O28" s="2204"/>
      <c r="P28" s="2206"/>
      <c r="Q28" s="1235"/>
      <c r="R28" s="1235"/>
      <c r="S28" s="1235"/>
      <c r="T28" s="1235"/>
      <c r="U28" s="1235"/>
      <c r="V28" s="1235"/>
      <c r="W28" s="1235"/>
    </row>
    <row r="29" spans="1:23" ht="12.75">
      <c r="A29" s="2217"/>
      <c r="B29" s="1176" t="s">
        <v>410</v>
      </c>
      <c r="C29" s="1177">
        <v>166</v>
      </c>
      <c r="D29" s="1177">
        <v>170</v>
      </c>
      <c r="E29" s="1177">
        <v>0</v>
      </c>
      <c r="F29" s="1177">
        <v>249</v>
      </c>
      <c r="G29" s="1177">
        <v>256</v>
      </c>
      <c r="H29" s="1177">
        <v>348</v>
      </c>
      <c r="I29" s="1178">
        <v>137</v>
      </c>
      <c r="J29" s="1178">
        <v>142</v>
      </c>
      <c r="K29" s="1178">
        <v>187</v>
      </c>
      <c r="L29" s="1178">
        <v>174</v>
      </c>
      <c r="M29" s="1178">
        <v>155</v>
      </c>
      <c r="N29" s="1178">
        <v>173</v>
      </c>
      <c r="O29" s="1179">
        <f>SUM(C29:N29)/12</f>
        <v>179.75</v>
      </c>
      <c r="P29" s="1180">
        <f>O29/M!$Q$14</f>
        <v>1.6118847543501087E-2</v>
      </c>
      <c r="Q29" s="1235"/>
      <c r="R29" s="1235"/>
      <c r="S29" s="1235"/>
      <c r="T29" s="1235"/>
      <c r="U29" s="1235"/>
      <c r="V29" s="1235"/>
      <c r="W29" s="1235"/>
    </row>
    <row r="30" spans="1:23" ht="12.75">
      <c r="A30" s="2218"/>
      <c r="B30" s="1176" t="s">
        <v>457</v>
      </c>
      <c r="C30" s="1177">
        <v>0</v>
      </c>
      <c r="D30" s="1177">
        <v>0</v>
      </c>
      <c r="E30" s="1177">
        <v>0</v>
      </c>
      <c r="F30" s="1177">
        <v>45</v>
      </c>
      <c r="G30" s="1177">
        <v>0</v>
      </c>
      <c r="H30" s="1177">
        <v>0</v>
      </c>
      <c r="I30" s="1178">
        <v>0</v>
      </c>
      <c r="J30" s="1178">
        <v>0</v>
      </c>
      <c r="K30" s="1178">
        <v>0</v>
      </c>
      <c r="L30" s="1178">
        <v>25</v>
      </c>
      <c r="M30" s="1178">
        <v>0</v>
      </c>
      <c r="N30" s="1178">
        <v>102</v>
      </c>
      <c r="O30" s="1179">
        <f>SUM(C30:N30)/12</f>
        <v>14.333333333333334</v>
      </c>
      <c r="P30" s="1180">
        <f>O30/M!$Q$14</f>
        <v>1.285323030821598E-3</v>
      </c>
      <c r="Q30" s="1235"/>
      <c r="R30" s="1235"/>
      <c r="S30" s="1235"/>
      <c r="T30" s="1235"/>
      <c r="U30" s="1235"/>
      <c r="V30" s="1235"/>
      <c r="W30" s="1235"/>
    </row>
    <row r="31" spans="1:23" ht="12.75">
      <c r="A31" s="2218"/>
      <c r="B31" s="1176" t="s">
        <v>458</v>
      </c>
      <c r="C31" s="1177">
        <v>0</v>
      </c>
      <c r="D31" s="1177">
        <v>10</v>
      </c>
      <c r="E31" s="1177">
        <v>0</v>
      </c>
      <c r="F31" s="1177">
        <v>52</v>
      </c>
      <c r="G31" s="1177">
        <v>87</v>
      </c>
      <c r="H31" s="1177">
        <v>68</v>
      </c>
      <c r="I31" s="1178">
        <v>24</v>
      </c>
      <c r="J31" s="1178">
        <v>0</v>
      </c>
      <c r="K31" s="1178">
        <v>15</v>
      </c>
      <c r="L31" s="1178">
        <v>50</v>
      </c>
      <c r="M31" s="1178">
        <v>0</v>
      </c>
      <c r="N31" s="1178">
        <v>36</v>
      </c>
      <c r="O31" s="1179">
        <f>SUM(C31:N31)/12</f>
        <v>28.5</v>
      </c>
      <c r="P31" s="1180">
        <f>O31/M!$Q$14</f>
        <v>2.5557004450057355E-3</v>
      </c>
      <c r="Q31" s="1235"/>
      <c r="R31" s="1235"/>
      <c r="S31" s="1235"/>
      <c r="T31" s="1235"/>
      <c r="U31" s="1235"/>
      <c r="V31" s="1235"/>
      <c r="W31" s="1235"/>
    </row>
    <row r="32" spans="1:23" ht="12.75">
      <c r="A32" s="2219"/>
      <c r="B32" s="1176" t="s">
        <v>459</v>
      </c>
      <c r="C32" s="1177">
        <v>5</v>
      </c>
      <c r="D32" s="1177">
        <v>10</v>
      </c>
      <c r="E32" s="1177">
        <v>0</v>
      </c>
      <c r="F32" s="1177">
        <v>100</v>
      </c>
      <c r="G32" s="1177">
        <v>45</v>
      </c>
      <c r="H32" s="1177">
        <v>45</v>
      </c>
      <c r="I32" s="1178">
        <v>25</v>
      </c>
      <c r="J32" s="1178">
        <v>0</v>
      </c>
      <c r="K32" s="1178">
        <v>0</v>
      </c>
      <c r="L32" s="1178">
        <v>0</v>
      </c>
      <c r="M32" s="1178">
        <v>0</v>
      </c>
      <c r="N32" s="1178">
        <v>0</v>
      </c>
      <c r="O32" s="1179">
        <f>SUM(C32:N32)/12</f>
        <v>19.166666666666668</v>
      </c>
      <c r="P32" s="1180">
        <f>O32/M!$Q$14</f>
        <v>1.7187459133079508E-3</v>
      </c>
      <c r="Q32" s="1235"/>
      <c r="R32" s="1235"/>
      <c r="S32" s="1235"/>
      <c r="T32" s="1235"/>
      <c r="U32" s="1235"/>
      <c r="V32" s="1235"/>
      <c r="W32" s="1235"/>
    </row>
    <row r="33" spans="1:23" ht="12.75">
      <c r="A33" s="2199" t="s">
        <v>278</v>
      </c>
      <c r="B33" s="2200"/>
      <c r="C33" s="2203">
        <f t="shared" ref="C33:J33" si="9">SUM(C35:C36)</f>
        <v>619</v>
      </c>
      <c r="D33" s="2203">
        <f t="shared" si="9"/>
        <v>621</v>
      </c>
      <c r="E33" s="2203">
        <f t="shared" si="9"/>
        <v>0</v>
      </c>
      <c r="F33" s="2203">
        <f t="shared" si="9"/>
        <v>745</v>
      </c>
      <c r="G33" s="2203">
        <f t="shared" si="9"/>
        <v>556</v>
      </c>
      <c r="H33" s="2203">
        <f t="shared" si="9"/>
        <v>1161</v>
      </c>
      <c r="I33" s="2203">
        <f t="shared" si="9"/>
        <v>1237</v>
      </c>
      <c r="J33" s="2203">
        <f t="shared" si="9"/>
        <v>501</v>
      </c>
      <c r="K33" s="2203">
        <f>SUM(K35:K36)</f>
        <v>801</v>
      </c>
      <c r="L33" s="2203">
        <f>SUM(L35:L36)</f>
        <v>772</v>
      </c>
      <c r="M33" s="2203">
        <f>SUM(M35:M36)</f>
        <v>461</v>
      </c>
      <c r="N33" s="2203">
        <f>SUM(N35:N36)</f>
        <v>807</v>
      </c>
      <c r="O33" s="2203">
        <f>SUM(O35:O36)</f>
        <v>690.08333333333326</v>
      </c>
      <c r="P33" s="2205">
        <f>O33/M!$Q$14</f>
        <v>6.1882325687404954E-2</v>
      </c>
      <c r="Q33" s="1235"/>
      <c r="R33" s="1235"/>
      <c r="S33" s="1235"/>
      <c r="T33" s="1235"/>
      <c r="U33" s="1235"/>
      <c r="V33" s="1235"/>
      <c r="W33" s="1235"/>
    </row>
    <row r="34" spans="1:23" ht="12.75">
      <c r="A34" s="2201"/>
      <c r="B34" s="2202"/>
      <c r="C34" s="2204"/>
      <c r="D34" s="2204"/>
      <c r="E34" s="2204"/>
      <c r="F34" s="2204"/>
      <c r="G34" s="2204"/>
      <c r="H34" s="2204"/>
      <c r="I34" s="2204"/>
      <c r="J34" s="2204"/>
      <c r="K34" s="2204"/>
      <c r="L34" s="2204"/>
      <c r="M34" s="2204"/>
      <c r="N34" s="2204"/>
      <c r="O34" s="2204"/>
      <c r="P34" s="2206"/>
      <c r="Q34" s="1235"/>
      <c r="R34" s="1235"/>
      <c r="S34" s="1235"/>
      <c r="T34" s="1235"/>
      <c r="U34" s="1235"/>
      <c r="V34" s="1235"/>
      <c r="W34" s="1235"/>
    </row>
    <row r="35" spans="1:23" ht="12.75">
      <c r="A35" s="2217"/>
      <c r="B35" s="1176" t="s">
        <v>414</v>
      </c>
      <c r="C35" s="1177">
        <v>619</v>
      </c>
      <c r="D35" s="1177">
        <v>621</v>
      </c>
      <c r="E35" s="1177">
        <v>0</v>
      </c>
      <c r="F35" s="1177">
        <v>620</v>
      </c>
      <c r="G35" s="1177">
        <v>493</v>
      </c>
      <c r="H35" s="1177">
        <v>650</v>
      </c>
      <c r="I35" s="1178">
        <v>1011</v>
      </c>
      <c r="J35" s="1178">
        <v>501</v>
      </c>
      <c r="K35" s="1178">
        <v>709</v>
      </c>
      <c r="L35" s="1178">
        <v>598</v>
      </c>
      <c r="M35" s="1178">
        <v>354</v>
      </c>
      <c r="N35" s="1178">
        <v>477</v>
      </c>
      <c r="O35" s="1179">
        <f>SUM(C35:N35)/12</f>
        <v>554.41666666666663</v>
      </c>
      <c r="P35" s="1180">
        <f>O35/M!$Q$14</f>
        <v>4.9716593744512157E-2</v>
      </c>
      <c r="Q35" s="1235"/>
      <c r="R35" s="1235"/>
      <c r="S35" s="1235"/>
      <c r="T35" s="1235"/>
      <c r="U35" s="1235"/>
      <c r="V35" s="1235"/>
      <c r="W35" s="1235"/>
    </row>
    <row r="36" spans="1:23" ht="12.75">
      <c r="A36" s="2219"/>
      <c r="B36" s="1176" t="s">
        <v>278</v>
      </c>
      <c r="C36" s="1177">
        <v>0</v>
      </c>
      <c r="D36" s="1177">
        <v>0</v>
      </c>
      <c r="E36" s="1177">
        <v>0</v>
      </c>
      <c r="F36" s="1177">
        <v>125</v>
      </c>
      <c r="G36" s="1177">
        <v>63</v>
      </c>
      <c r="H36" s="1177">
        <v>511</v>
      </c>
      <c r="I36" s="1178">
        <v>226</v>
      </c>
      <c r="J36" s="1178">
        <v>0</v>
      </c>
      <c r="K36" s="1178">
        <v>92</v>
      </c>
      <c r="L36" s="1178">
        <v>174</v>
      </c>
      <c r="M36" s="1178">
        <v>107</v>
      </c>
      <c r="N36" s="1178">
        <v>330</v>
      </c>
      <c r="O36" s="1179">
        <f>SUM(C36:N36)/12</f>
        <v>135.66666666666666</v>
      </c>
      <c r="P36" s="1180">
        <f>O36/M!$Q$14</f>
        <v>1.2165731942892799E-2</v>
      </c>
      <c r="Q36" s="1235"/>
      <c r="R36" s="1235"/>
      <c r="S36" s="1235"/>
      <c r="T36" s="1235"/>
      <c r="U36" s="1235"/>
      <c r="V36" s="1235"/>
      <c r="W36" s="1235"/>
    </row>
    <row r="37" spans="1:23" ht="12.75">
      <c r="A37" s="2199" t="s">
        <v>279</v>
      </c>
      <c r="B37" s="2200"/>
      <c r="C37" s="2203">
        <f t="shared" ref="C37:N37" si="10">SUM(C39:C46)</f>
        <v>448</v>
      </c>
      <c r="D37" s="2203">
        <f t="shared" si="10"/>
        <v>240</v>
      </c>
      <c r="E37" s="2203">
        <f t="shared" si="10"/>
        <v>240</v>
      </c>
      <c r="F37" s="2203">
        <f t="shared" si="10"/>
        <v>389</v>
      </c>
      <c r="G37" s="2203">
        <f t="shared" si="10"/>
        <v>381</v>
      </c>
      <c r="H37" s="2203">
        <f t="shared" si="10"/>
        <v>450</v>
      </c>
      <c r="I37" s="2203">
        <f t="shared" si="10"/>
        <v>471</v>
      </c>
      <c r="J37" s="2203">
        <f t="shared" si="10"/>
        <v>283</v>
      </c>
      <c r="K37" s="2203">
        <f t="shared" si="10"/>
        <v>208</v>
      </c>
      <c r="L37" s="2203">
        <f t="shared" si="10"/>
        <v>227</v>
      </c>
      <c r="M37" s="2203">
        <f t="shared" si="10"/>
        <v>233</v>
      </c>
      <c r="N37" s="2203">
        <f t="shared" si="10"/>
        <v>395</v>
      </c>
      <c r="O37" s="2203">
        <f>SUM(O39:O46)</f>
        <v>330.41666666666669</v>
      </c>
      <c r="P37" s="2205">
        <f>O37/M!$Q$14</f>
        <v>2.9629684983765326E-2</v>
      </c>
      <c r="Q37" s="1235"/>
      <c r="R37" s="1235"/>
      <c r="S37" s="1235"/>
      <c r="T37" s="1235"/>
      <c r="U37" s="1235"/>
      <c r="V37" s="1235"/>
      <c r="W37" s="1235"/>
    </row>
    <row r="38" spans="1:23" ht="12.75">
      <c r="A38" s="2201"/>
      <c r="B38" s="2202"/>
      <c r="C38" s="2204"/>
      <c r="D38" s="2204"/>
      <c r="E38" s="2204"/>
      <c r="F38" s="2204"/>
      <c r="G38" s="2204"/>
      <c r="H38" s="2204"/>
      <c r="I38" s="2204"/>
      <c r="J38" s="2204"/>
      <c r="K38" s="2204"/>
      <c r="L38" s="2204"/>
      <c r="M38" s="2204"/>
      <c r="N38" s="2204"/>
      <c r="O38" s="2204"/>
      <c r="P38" s="2206"/>
      <c r="Q38" s="1235"/>
      <c r="R38" s="1235"/>
      <c r="S38" s="1235"/>
      <c r="T38" s="1235"/>
      <c r="U38" s="1235"/>
      <c r="V38" s="1235"/>
      <c r="W38" s="1235"/>
    </row>
    <row r="39" spans="1:23" ht="12.75">
      <c r="A39" s="2217"/>
      <c r="B39" s="1176" t="s">
        <v>415</v>
      </c>
      <c r="C39" s="1182">
        <v>266</v>
      </c>
      <c r="D39" s="1182">
        <v>59</v>
      </c>
      <c r="E39" s="1182">
        <v>59</v>
      </c>
      <c r="F39" s="1182">
        <v>129</v>
      </c>
      <c r="G39" s="1182">
        <v>121</v>
      </c>
      <c r="H39" s="1182">
        <v>190</v>
      </c>
      <c r="I39" s="1182">
        <v>211</v>
      </c>
      <c r="J39" s="1182">
        <v>80</v>
      </c>
      <c r="K39" s="1182">
        <v>45</v>
      </c>
      <c r="L39" s="1182">
        <v>53</v>
      </c>
      <c r="M39" s="1182">
        <v>50</v>
      </c>
      <c r="N39" s="1182">
        <v>125</v>
      </c>
      <c r="O39" s="1179">
        <f t="shared" ref="O39:O46" si="11">SUM(C39:N39)/12</f>
        <v>115.66666666666667</v>
      </c>
      <c r="P39" s="1180">
        <f>O39/M!$Q$14</f>
        <v>1.0372257946397546E-2</v>
      </c>
      <c r="Q39" s="1235"/>
      <c r="R39" s="1235"/>
      <c r="S39" s="1235"/>
      <c r="T39" s="1235"/>
      <c r="U39" s="1235"/>
      <c r="V39" s="1235"/>
      <c r="W39" s="1235"/>
    </row>
    <row r="40" spans="1:23" ht="12.75">
      <c r="A40" s="2218"/>
      <c r="B40" s="1176" t="s">
        <v>416</v>
      </c>
      <c r="C40" s="1182">
        <v>47</v>
      </c>
      <c r="D40" s="1182">
        <v>47</v>
      </c>
      <c r="E40" s="1182">
        <v>47</v>
      </c>
      <c r="F40" s="1182">
        <v>100</v>
      </c>
      <c r="G40" s="1182">
        <v>100</v>
      </c>
      <c r="H40" s="1182">
        <v>100</v>
      </c>
      <c r="I40" s="1182">
        <v>100</v>
      </c>
      <c r="J40" s="1182">
        <v>49</v>
      </c>
      <c r="K40" s="1182">
        <v>49</v>
      </c>
      <c r="L40" s="1182">
        <v>54</v>
      </c>
      <c r="M40" s="1182">
        <v>53</v>
      </c>
      <c r="N40" s="1182">
        <v>100</v>
      </c>
      <c r="O40" s="1179">
        <f t="shared" si="11"/>
        <v>70.5</v>
      </c>
      <c r="P40" s="1180">
        <f>O40/M!$Q$14</f>
        <v>6.3219958376457665E-3</v>
      </c>
      <c r="Q40" s="1235"/>
      <c r="R40" s="1235"/>
      <c r="S40" s="1235"/>
      <c r="T40" s="1235"/>
      <c r="U40" s="1235"/>
      <c r="V40" s="1235"/>
      <c r="W40" s="1235"/>
    </row>
    <row r="41" spans="1:23" ht="12.75">
      <c r="A41" s="2218"/>
      <c r="B41" s="1176" t="s">
        <v>417</v>
      </c>
      <c r="C41" s="1182">
        <v>58</v>
      </c>
      <c r="D41" s="1182">
        <v>55</v>
      </c>
      <c r="E41" s="1182">
        <v>55</v>
      </c>
      <c r="F41" s="1182">
        <v>52</v>
      </c>
      <c r="G41" s="1182">
        <v>52</v>
      </c>
      <c r="H41" s="1182">
        <v>52</v>
      </c>
      <c r="I41" s="1182">
        <v>52</v>
      </c>
      <c r="J41" s="1182">
        <v>52</v>
      </c>
      <c r="K41" s="1182">
        <v>52</v>
      </c>
      <c r="L41" s="1182">
        <v>52</v>
      </c>
      <c r="M41" s="1182">
        <v>53</v>
      </c>
      <c r="N41" s="1182">
        <v>52</v>
      </c>
      <c r="O41" s="1179">
        <f t="shared" si="11"/>
        <v>53.083333333333336</v>
      </c>
      <c r="P41" s="1180">
        <f>O41/M!$Q$14</f>
        <v>4.7601788990311511E-3</v>
      </c>
      <c r="Q41" s="1235"/>
      <c r="R41" s="1235"/>
      <c r="S41" s="1235"/>
      <c r="T41" s="1235"/>
      <c r="U41" s="1235"/>
      <c r="V41" s="1235"/>
      <c r="W41" s="1235"/>
    </row>
    <row r="42" spans="1:23" ht="12.75">
      <c r="A42" s="2218"/>
      <c r="B42" s="1176" t="s">
        <v>410</v>
      </c>
      <c r="C42" s="1182">
        <v>29</v>
      </c>
      <c r="D42" s="1182">
        <v>29</v>
      </c>
      <c r="E42" s="1182">
        <v>29</v>
      </c>
      <c r="F42" s="1182">
        <v>60</v>
      </c>
      <c r="G42" s="1182">
        <v>60</v>
      </c>
      <c r="H42" s="1182">
        <v>60</v>
      </c>
      <c r="I42" s="1182">
        <v>60</v>
      </c>
      <c r="J42" s="1182">
        <v>22</v>
      </c>
      <c r="K42" s="1182">
        <v>22</v>
      </c>
      <c r="L42" s="1182">
        <v>28</v>
      </c>
      <c r="M42" s="1182">
        <v>29</v>
      </c>
      <c r="N42" s="1182">
        <v>60</v>
      </c>
      <c r="O42" s="1179">
        <f t="shared" si="11"/>
        <v>40.666666666666664</v>
      </c>
      <c r="P42" s="1180">
        <f>O42/M!$Q$14</f>
        <v>3.6467304595403476E-3</v>
      </c>
      <c r="Q42" s="1235"/>
      <c r="R42" s="1235"/>
      <c r="S42" s="1235"/>
      <c r="T42" s="1235"/>
      <c r="U42" s="1235"/>
      <c r="V42" s="1235"/>
      <c r="W42" s="1235"/>
    </row>
    <row r="43" spans="1:23" ht="12.75">
      <c r="A43" s="2218"/>
      <c r="B43" s="1176" t="s">
        <v>418</v>
      </c>
      <c r="C43" s="1182">
        <v>48</v>
      </c>
      <c r="D43" s="1182">
        <v>40</v>
      </c>
      <c r="E43" s="1182">
        <v>40</v>
      </c>
      <c r="F43" s="1182">
        <v>48</v>
      </c>
      <c r="G43" s="1182">
        <v>48</v>
      </c>
      <c r="H43" s="1182">
        <v>48</v>
      </c>
      <c r="I43" s="1182">
        <v>48</v>
      </c>
      <c r="J43" s="1182">
        <v>80</v>
      </c>
      <c r="K43" s="1182">
        <v>40</v>
      </c>
      <c r="L43" s="1182">
        <v>40</v>
      </c>
      <c r="M43" s="1182">
        <v>48</v>
      </c>
      <c r="N43" s="1182">
        <v>48</v>
      </c>
      <c r="O43" s="1179">
        <f t="shared" si="11"/>
        <v>48</v>
      </c>
      <c r="P43" s="1180">
        <f>O43/M!$Q$14</f>
        <v>4.3043375915886072E-3</v>
      </c>
      <c r="Q43" s="1235"/>
      <c r="R43" s="1235"/>
      <c r="S43" s="1235"/>
      <c r="T43" s="1235"/>
      <c r="U43" s="1235"/>
      <c r="V43" s="1235"/>
      <c r="W43" s="1235"/>
    </row>
    <row r="44" spans="1:23" ht="12.75">
      <c r="A44" s="2218"/>
      <c r="B44" s="1176" t="s">
        <v>419</v>
      </c>
      <c r="C44" s="1182">
        <v>0</v>
      </c>
      <c r="D44" s="1182">
        <v>0</v>
      </c>
      <c r="E44" s="1182">
        <v>0</v>
      </c>
      <c r="F44" s="1182">
        <v>0</v>
      </c>
      <c r="G44" s="1182">
        <v>0</v>
      </c>
      <c r="H44" s="1182">
        <v>0</v>
      </c>
      <c r="I44" s="1182">
        <v>0</v>
      </c>
      <c r="J44" s="1182">
        <v>0</v>
      </c>
      <c r="K44" s="1182">
        <v>0</v>
      </c>
      <c r="L44" s="1182">
        <v>0</v>
      </c>
      <c r="M44" s="1182">
        <v>0</v>
      </c>
      <c r="N44" s="1182">
        <v>0</v>
      </c>
      <c r="O44" s="1179">
        <f t="shared" si="11"/>
        <v>0</v>
      </c>
      <c r="P44" s="1180">
        <f>O44/M!$Q$14</f>
        <v>0</v>
      </c>
      <c r="Q44" s="1235"/>
      <c r="R44" s="1235"/>
      <c r="S44" s="1235"/>
      <c r="T44" s="1235"/>
      <c r="U44" s="1235"/>
      <c r="V44" s="1235"/>
      <c r="W44" s="1235"/>
    </row>
    <row r="45" spans="1:23" ht="12.75">
      <c r="A45" s="2218"/>
      <c r="B45" s="1176" t="s">
        <v>460</v>
      </c>
      <c r="C45" s="1182">
        <v>0</v>
      </c>
      <c r="D45" s="1182">
        <v>10</v>
      </c>
      <c r="E45" s="1182">
        <v>10</v>
      </c>
      <c r="F45" s="1182">
        <v>0</v>
      </c>
      <c r="G45" s="1182">
        <v>0</v>
      </c>
      <c r="H45" s="1182">
        <v>0</v>
      </c>
      <c r="I45" s="1182">
        <v>0</v>
      </c>
      <c r="J45" s="1182">
        <v>0</v>
      </c>
      <c r="K45" s="1182">
        <v>0</v>
      </c>
      <c r="L45" s="1182">
        <v>0</v>
      </c>
      <c r="M45" s="1182">
        <v>0</v>
      </c>
      <c r="N45" s="1182">
        <v>10</v>
      </c>
      <c r="O45" s="1179">
        <f t="shared" si="11"/>
        <v>2.5</v>
      </c>
      <c r="P45" s="1180">
        <f>O45/M!$Q$14</f>
        <v>2.2418424956190662E-4</v>
      </c>
      <c r="Q45" s="1235"/>
      <c r="R45" s="1235"/>
      <c r="S45" s="1235"/>
      <c r="T45" s="1235"/>
      <c r="U45" s="1235"/>
      <c r="V45" s="1235"/>
      <c r="W45" s="1235"/>
    </row>
    <row r="46" spans="1:23" ht="12.75">
      <c r="A46" s="2219"/>
      <c r="B46" s="1176" t="s">
        <v>421</v>
      </c>
      <c r="C46" s="1182">
        <v>0</v>
      </c>
      <c r="D46" s="1182">
        <v>0</v>
      </c>
      <c r="E46" s="1182">
        <v>0</v>
      </c>
      <c r="F46" s="1182">
        <v>0</v>
      </c>
      <c r="G46" s="1182">
        <v>0</v>
      </c>
      <c r="H46" s="1182">
        <v>0</v>
      </c>
      <c r="I46" s="1182">
        <v>0</v>
      </c>
      <c r="J46" s="1182">
        <v>0</v>
      </c>
      <c r="K46" s="1182">
        <v>0</v>
      </c>
      <c r="L46" s="1182">
        <v>0</v>
      </c>
      <c r="M46" s="1182">
        <v>0</v>
      </c>
      <c r="N46" s="1182">
        <v>0</v>
      </c>
      <c r="O46" s="1179">
        <f t="shared" si="11"/>
        <v>0</v>
      </c>
      <c r="P46" s="1180">
        <f>O46/M!$Q$14</f>
        <v>0</v>
      </c>
      <c r="Q46" s="1235"/>
      <c r="R46" s="1235"/>
      <c r="S46" s="1235"/>
      <c r="T46" s="1235"/>
      <c r="U46" s="1235"/>
      <c r="V46" s="1235"/>
      <c r="W46" s="1235"/>
    </row>
    <row r="47" spans="1:23" ht="12.75">
      <c r="A47" s="2199" t="s">
        <v>280</v>
      </c>
      <c r="B47" s="2200"/>
      <c r="C47" s="2203">
        <f t="shared" ref="C47:O47" si="12">SUM(C49:C55)</f>
        <v>438</v>
      </c>
      <c r="D47" s="2203">
        <f t="shared" si="12"/>
        <v>388</v>
      </c>
      <c r="E47" s="2203">
        <f t="shared" si="12"/>
        <v>0</v>
      </c>
      <c r="F47" s="2203">
        <f t="shared" si="12"/>
        <v>2352</v>
      </c>
      <c r="G47" s="2203">
        <f t="shared" si="12"/>
        <v>290</v>
      </c>
      <c r="H47" s="2203">
        <f t="shared" si="12"/>
        <v>3381</v>
      </c>
      <c r="I47" s="2203">
        <f t="shared" si="12"/>
        <v>884</v>
      </c>
      <c r="J47" s="2203">
        <f t="shared" si="12"/>
        <v>482</v>
      </c>
      <c r="K47" s="2203">
        <f t="shared" si="12"/>
        <v>334</v>
      </c>
      <c r="L47" s="2203">
        <f t="shared" si="12"/>
        <v>1518</v>
      </c>
      <c r="M47" s="2203">
        <f t="shared" si="12"/>
        <v>1306</v>
      </c>
      <c r="N47" s="2203">
        <f t="shared" si="12"/>
        <v>7174</v>
      </c>
      <c r="O47" s="2203">
        <f t="shared" si="12"/>
        <v>1545.5833333333333</v>
      </c>
      <c r="P47" s="2205">
        <f>O47/M!$Q$14</f>
        <v>0.13859817588748941</v>
      </c>
      <c r="Q47" s="1235"/>
      <c r="R47" s="1235"/>
      <c r="S47" s="1235"/>
      <c r="T47" s="1235"/>
      <c r="U47" s="1235"/>
      <c r="V47" s="1235"/>
      <c r="W47" s="1235"/>
    </row>
    <row r="48" spans="1:23" ht="12.75">
      <c r="A48" s="2201"/>
      <c r="B48" s="2202"/>
      <c r="C48" s="2204"/>
      <c r="D48" s="2204"/>
      <c r="E48" s="2204"/>
      <c r="F48" s="2204"/>
      <c r="G48" s="2204"/>
      <c r="H48" s="2204"/>
      <c r="I48" s="2204"/>
      <c r="J48" s="2204"/>
      <c r="K48" s="2204"/>
      <c r="L48" s="2204"/>
      <c r="M48" s="2204"/>
      <c r="N48" s="2204"/>
      <c r="O48" s="2204"/>
      <c r="P48" s="2206"/>
      <c r="Q48" s="1235"/>
      <c r="R48" s="1235"/>
      <c r="S48" s="1235"/>
      <c r="T48" s="1235"/>
      <c r="U48" s="1235"/>
      <c r="V48" s="1235"/>
      <c r="W48" s="1235"/>
    </row>
    <row r="49" spans="1:23" ht="12.75">
      <c r="A49" s="2217"/>
      <c r="B49" s="1176" t="s">
        <v>280</v>
      </c>
      <c r="C49" s="1177">
        <v>123</v>
      </c>
      <c r="D49" s="1177">
        <v>119</v>
      </c>
      <c r="E49" s="1177">
        <v>0</v>
      </c>
      <c r="F49" s="1177">
        <v>45</v>
      </c>
      <c r="G49" s="1177">
        <v>136</v>
      </c>
      <c r="H49" s="1177">
        <v>800</v>
      </c>
      <c r="I49" s="1178">
        <v>407</v>
      </c>
      <c r="J49" s="1178">
        <v>156</v>
      </c>
      <c r="K49" s="1177">
        <v>119</v>
      </c>
      <c r="L49" s="1182">
        <v>208</v>
      </c>
      <c r="M49" s="1182">
        <v>378</v>
      </c>
      <c r="N49" s="1182">
        <v>350</v>
      </c>
      <c r="O49" s="1179">
        <f t="shared" ref="O49:O55" si="13">SUM(C49:N49)/12</f>
        <v>236.75</v>
      </c>
      <c r="P49" s="1180">
        <f>O49/M!$Q$14</f>
        <v>2.1230248433512556E-2</v>
      </c>
      <c r="Q49" s="1235"/>
      <c r="R49" s="1235"/>
      <c r="S49" s="1235"/>
      <c r="T49" s="1235"/>
      <c r="U49" s="1235"/>
      <c r="V49" s="1235"/>
      <c r="W49" s="1235"/>
    </row>
    <row r="50" spans="1:23" ht="12.75">
      <c r="A50" s="2218"/>
      <c r="B50" s="1176" t="s">
        <v>423</v>
      </c>
      <c r="C50" s="1177">
        <v>76</v>
      </c>
      <c r="D50" s="1177">
        <v>29</v>
      </c>
      <c r="E50" s="1177">
        <v>0</v>
      </c>
      <c r="F50" s="1177">
        <v>60</v>
      </c>
      <c r="G50" s="1177">
        <v>0</v>
      </c>
      <c r="H50" s="1177">
        <v>144</v>
      </c>
      <c r="I50" s="1178">
        <v>60</v>
      </c>
      <c r="J50" s="1178">
        <v>0</v>
      </c>
      <c r="K50" s="1177">
        <v>45</v>
      </c>
      <c r="L50" s="1182">
        <v>65</v>
      </c>
      <c r="M50" s="1182">
        <v>301</v>
      </c>
      <c r="N50" s="1182">
        <v>296</v>
      </c>
      <c r="O50" s="1179">
        <f t="shared" si="13"/>
        <v>89.666666666666671</v>
      </c>
      <c r="P50" s="1180">
        <f>O50/M!$Q$14</f>
        <v>8.0407417509537182E-3</v>
      </c>
      <c r="Q50" s="1235"/>
      <c r="R50" s="1235"/>
      <c r="S50" s="1235"/>
      <c r="T50" s="1235"/>
      <c r="U50" s="1235"/>
      <c r="V50" s="1235"/>
      <c r="W50" s="1235"/>
    </row>
    <row r="51" spans="1:23" ht="12.75">
      <c r="A51" s="2218"/>
      <c r="B51" s="1176" t="s">
        <v>424</v>
      </c>
      <c r="C51" s="1177">
        <v>0</v>
      </c>
      <c r="D51" s="1177">
        <v>0</v>
      </c>
      <c r="E51" s="1177">
        <v>0</v>
      </c>
      <c r="F51" s="1177">
        <v>0</v>
      </c>
      <c r="G51" s="1177">
        <v>52</v>
      </c>
      <c r="H51" s="1177">
        <v>1267</v>
      </c>
      <c r="I51" s="1182">
        <v>0</v>
      </c>
      <c r="J51" s="1178">
        <v>0</v>
      </c>
      <c r="K51" s="1177">
        <v>0</v>
      </c>
      <c r="L51" s="1182">
        <v>0</v>
      </c>
      <c r="M51" s="1182">
        <v>0</v>
      </c>
      <c r="N51" s="1182">
        <v>0</v>
      </c>
      <c r="O51" s="1179">
        <f t="shared" si="13"/>
        <v>109.91666666666667</v>
      </c>
      <c r="P51" s="1180">
        <f>O51/M!$Q$14</f>
        <v>9.8566341724051609E-3</v>
      </c>
      <c r="Q51" s="1235"/>
      <c r="R51" s="1235"/>
      <c r="S51" s="1235"/>
      <c r="T51" s="1235"/>
      <c r="U51" s="1235"/>
      <c r="V51" s="1235"/>
      <c r="W51" s="1235"/>
    </row>
    <row r="52" spans="1:23" ht="12.75">
      <c r="A52" s="2218"/>
      <c r="B52" s="1176" t="s">
        <v>425</v>
      </c>
      <c r="C52" s="1177">
        <v>0</v>
      </c>
      <c r="D52" s="1177">
        <v>0</v>
      </c>
      <c r="E52" s="1177">
        <v>0</v>
      </c>
      <c r="F52" s="1177">
        <v>0</v>
      </c>
      <c r="G52" s="1177">
        <v>0</v>
      </c>
      <c r="H52" s="1177">
        <v>53</v>
      </c>
      <c r="I52" s="1178">
        <v>61</v>
      </c>
      <c r="J52" s="1178">
        <v>0</v>
      </c>
      <c r="K52" s="1177">
        <v>0</v>
      </c>
      <c r="L52" s="1182">
        <v>0</v>
      </c>
      <c r="M52" s="1182">
        <v>0</v>
      </c>
      <c r="N52" s="1182">
        <v>0</v>
      </c>
      <c r="O52" s="1179">
        <f t="shared" si="13"/>
        <v>9.5</v>
      </c>
      <c r="P52" s="1180">
        <f>O52/M!$Q$14</f>
        <v>8.5190014833524518E-4</v>
      </c>
      <c r="Q52" s="1235"/>
      <c r="R52" s="1235"/>
      <c r="S52" s="1235"/>
      <c r="T52" s="1235"/>
      <c r="U52" s="1235"/>
      <c r="V52" s="1235"/>
      <c r="W52" s="1235"/>
    </row>
    <row r="53" spans="1:23" ht="12.75">
      <c r="A53" s="2218"/>
      <c r="B53" s="1176" t="s">
        <v>667</v>
      </c>
      <c r="C53" s="1177">
        <v>145</v>
      </c>
      <c r="D53" s="1177">
        <v>98</v>
      </c>
      <c r="E53" s="1177">
        <v>0</v>
      </c>
      <c r="F53" s="1182">
        <v>120</v>
      </c>
      <c r="G53" s="1177">
        <v>0</v>
      </c>
      <c r="H53" s="1177">
        <v>30</v>
      </c>
      <c r="I53" s="1178">
        <v>245</v>
      </c>
      <c r="J53" s="1178">
        <v>222</v>
      </c>
      <c r="K53" s="1177">
        <v>68</v>
      </c>
      <c r="L53" s="1182">
        <v>0</v>
      </c>
      <c r="M53" s="1182">
        <v>65</v>
      </c>
      <c r="N53" s="1182">
        <v>224</v>
      </c>
      <c r="O53" s="1179">
        <f t="shared" si="13"/>
        <v>101.41666666666667</v>
      </c>
      <c r="P53" s="1180">
        <f>O53/M!$Q$14</f>
        <v>9.0944077238946791E-3</v>
      </c>
      <c r="Q53" s="1235"/>
      <c r="R53" s="1235"/>
      <c r="S53" s="1235"/>
      <c r="T53" s="1235"/>
      <c r="U53" s="1235"/>
      <c r="V53" s="1235"/>
      <c r="W53" s="1235"/>
    </row>
    <row r="54" spans="1:23" ht="12.75">
      <c r="A54" s="2218"/>
      <c r="B54" s="1176" t="s">
        <v>427</v>
      </c>
      <c r="C54" s="1177">
        <v>94</v>
      </c>
      <c r="D54" s="1177">
        <v>94</v>
      </c>
      <c r="E54" s="1177">
        <v>0</v>
      </c>
      <c r="F54" s="1177">
        <v>94</v>
      </c>
      <c r="G54" s="1177">
        <v>94</v>
      </c>
      <c r="H54" s="1177">
        <v>94</v>
      </c>
      <c r="I54" s="1177">
        <v>94</v>
      </c>
      <c r="J54" s="1177">
        <v>94</v>
      </c>
      <c r="K54" s="1177">
        <v>94</v>
      </c>
      <c r="L54" s="1177">
        <v>94</v>
      </c>
      <c r="M54" s="1177">
        <v>94</v>
      </c>
      <c r="N54" s="1177">
        <v>94</v>
      </c>
      <c r="O54" s="1179">
        <f t="shared" si="13"/>
        <v>86.166666666666671</v>
      </c>
      <c r="P54" s="1180">
        <f>O54/M!$Q$14</f>
        <v>7.7268838015670483E-3</v>
      </c>
      <c r="Q54" s="1235"/>
      <c r="R54" s="1235"/>
      <c r="S54" s="1235"/>
      <c r="T54" s="1235"/>
      <c r="U54" s="1235"/>
      <c r="V54" s="1235"/>
      <c r="W54" s="1235"/>
    </row>
    <row r="55" spans="1:23" ht="12.75">
      <c r="A55" s="2219"/>
      <c r="B55" s="1176" t="s">
        <v>381</v>
      </c>
      <c r="C55" s="1177">
        <v>0</v>
      </c>
      <c r="D55" s="1177">
        <v>48</v>
      </c>
      <c r="E55" s="1177">
        <v>0</v>
      </c>
      <c r="F55" s="1182">
        <f xml:space="preserve"> 2841 - 808</f>
        <v>2033</v>
      </c>
      <c r="G55" s="1177">
        <v>8</v>
      </c>
      <c r="H55" s="1182">
        <v>993</v>
      </c>
      <c r="I55" s="1178">
        <v>17</v>
      </c>
      <c r="J55" s="1178">
        <v>10</v>
      </c>
      <c r="K55" s="1177">
        <v>8</v>
      </c>
      <c r="L55" s="1182">
        <v>1151</v>
      </c>
      <c r="M55" s="1182">
        <v>468</v>
      </c>
      <c r="N55" s="1182">
        <v>6210</v>
      </c>
      <c r="O55" s="1179">
        <f t="shared" si="13"/>
        <v>912.16666666666663</v>
      </c>
      <c r="P55" s="1180">
        <f>O55/M!$Q$14</f>
        <v>8.1797359856820989E-2</v>
      </c>
      <c r="Q55" s="1235"/>
      <c r="R55" s="1235"/>
      <c r="S55" s="1235"/>
      <c r="T55" s="1235"/>
      <c r="U55" s="1235"/>
      <c r="V55" s="1235"/>
      <c r="W55" s="1235"/>
    </row>
    <row r="56" spans="1:23" ht="12.75">
      <c r="A56" s="2199" t="s">
        <v>428</v>
      </c>
      <c r="B56" s="2200"/>
      <c r="C56" s="2203">
        <f>SUM(C58:C59)</f>
        <v>985.4</v>
      </c>
      <c r="D56" s="2203">
        <f t="shared" ref="D56:N56" si="14">SUM(D58:D59)</f>
        <v>1170.9000000000001</v>
      </c>
      <c r="E56" s="2203">
        <f t="shared" si="14"/>
        <v>1077.9000000000001</v>
      </c>
      <c r="F56" s="2203">
        <f t="shared" si="14"/>
        <v>985.4</v>
      </c>
      <c r="G56" s="2203">
        <f t="shared" si="14"/>
        <v>985.4</v>
      </c>
      <c r="H56" s="2203">
        <f t="shared" si="14"/>
        <v>634</v>
      </c>
      <c r="I56" s="2203">
        <f t="shared" si="14"/>
        <v>634</v>
      </c>
      <c r="J56" s="2203">
        <f t="shared" si="14"/>
        <v>1001</v>
      </c>
      <c r="K56" s="2203">
        <f t="shared" si="14"/>
        <v>1001</v>
      </c>
      <c r="L56" s="2203">
        <f t="shared" si="14"/>
        <v>1001</v>
      </c>
      <c r="M56" s="2203">
        <f t="shared" si="14"/>
        <v>1001</v>
      </c>
      <c r="N56" s="2203">
        <f t="shared" si="14"/>
        <v>1001</v>
      </c>
      <c r="O56" s="2203">
        <f>SUM(O58:O59)</f>
        <v>956.5</v>
      </c>
      <c r="P56" s="2205">
        <f>O56/M!$Q$14</f>
        <v>8.5772893882385473E-2</v>
      </c>
      <c r="Q56" s="1235"/>
      <c r="R56" s="1235"/>
      <c r="S56" s="1235"/>
      <c r="T56" s="1235"/>
      <c r="U56" s="1235"/>
      <c r="V56" s="1235"/>
      <c r="W56" s="1235"/>
    </row>
    <row r="57" spans="1:23" ht="12.75">
      <c r="A57" s="2201"/>
      <c r="B57" s="2202"/>
      <c r="C57" s="2204"/>
      <c r="D57" s="2204"/>
      <c r="E57" s="2204"/>
      <c r="F57" s="2204"/>
      <c r="G57" s="2204"/>
      <c r="H57" s="2204"/>
      <c r="I57" s="2204"/>
      <c r="J57" s="2204"/>
      <c r="K57" s="2204"/>
      <c r="L57" s="2204"/>
      <c r="M57" s="2204"/>
      <c r="N57" s="2204"/>
      <c r="O57" s="2204"/>
      <c r="P57" s="2206"/>
      <c r="Q57" s="1235"/>
      <c r="R57" s="1235"/>
      <c r="S57" s="1235"/>
      <c r="T57" s="1235"/>
      <c r="U57" s="1235"/>
      <c r="V57" s="1235"/>
      <c r="W57" s="1235"/>
    </row>
    <row r="58" spans="1:23" ht="12.75">
      <c r="A58" s="2217"/>
      <c r="B58" s="1176" t="s">
        <v>429</v>
      </c>
      <c r="C58" s="1177">
        <f xml:space="preserve"> (1457 + 300 )/5</f>
        <v>351.4</v>
      </c>
      <c r="D58" s="1177">
        <f xml:space="preserve"> (1457 + 300)/5  + 185/2 + 93</f>
        <v>536.9</v>
      </c>
      <c r="E58" s="1177">
        <f xml:space="preserve"> (1457 + 300)/5  + 185/2</f>
        <v>443.9</v>
      </c>
      <c r="F58" s="1177">
        <f xml:space="preserve"> (1457 + 300 )/5</f>
        <v>351.4</v>
      </c>
      <c r="G58" s="1177">
        <f xml:space="preserve"> (1457 + 300 )/5</f>
        <v>351.4</v>
      </c>
      <c r="H58" s="1177">
        <v>0</v>
      </c>
      <c r="I58" s="1182">
        <v>0</v>
      </c>
      <c r="J58" s="1182">
        <f xml:space="preserve"> (585 + 495 + 395 + 360)/5</f>
        <v>367</v>
      </c>
      <c r="K58" s="1182">
        <f xml:space="preserve"> (585 + 495 + 395 + 360)/5</f>
        <v>367</v>
      </c>
      <c r="L58" s="1182">
        <f xml:space="preserve"> (585 + 495 + 395 + 360)/5</f>
        <v>367</v>
      </c>
      <c r="M58" s="1182">
        <f xml:space="preserve"> (585 + 495 + 395 + 360)/5</f>
        <v>367</v>
      </c>
      <c r="N58" s="1182">
        <f xml:space="preserve"> (585 + 495 + 395 + 360)/5</f>
        <v>367</v>
      </c>
      <c r="O58" s="1179">
        <f>SUM(C58:N58)/12</f>
        <v>322.5</v>
      </c>
      <c r="P58" s="1180">
        <f>O58/M!$Q$14</f>
        <v>2.8919768193485955E-2</v>
      </c>
      <c r="Q58" s="1235"/>
      <c r="R58" s="1235"/>
      <c r="S58" s="1235"/>
      <c r="T58" s="1235"/>
      <c r="U58" s="1235"/>
      <c r="V58" s="1235"/>
      <c r="W58" s="1235"/>
    </row>
    <row r="59" spans="1:23" ht="12.75">
      <c r="A59" s="2218"/>
      <c r="B59" s="1176" t="s">
        <v>430</v>
      </c>
      <c r="C59" s="1177">
        <v>634</v>
      </c>
      <c r="D59" s="1177">
        <v>634</v>
      </c>
      <c r="E59" s="1177">
        <v>634</v>
      </c>
      <c r="F59" s="1177">
        <v>634</v>
      </c>
      <c r="G59" s="1177">
        <v>634</v>
      </c>
      <c r="H59" s="1177">
        <v>634</v>
      </c>
      <c r="I59" s="1177">
        <v>634</v>
      </c>
      <c r="J59" s="1177">
        <v>634</v>
      </c>
      <c r="K59" s="1177">
        <v>634</v>
      </c>
      <c r="L59" s="1177">
        <v>634</v>
      </c>
      <c r="M59" s="1177">
        <v>634</v>
      </c>
      <c r="N59" s="1177">
        <v>634</v>
      </c>
      <c r="O59" s="1179">
        <f>SUM(C59:N59)/12</f>
        <v>634</v>
      </c>
      <c r="P59" s="1180">
        <f>O59/M!$Q$14</f>
        <v>5.6853125688899518E-2</v>
      </c>
      <c r="Q59" s="1235"/>
      <c r="R59" s="1235"/>
      <c r="S59" s="1235"/>
      <c r="T59" s="1235"/>
      <c r="U59" s="1235"/>
      <c r="V59" s="1235"/>
      <c r="W59" s="1235"/>
    </row>
    <row r="60" spans="1:23" ht="12.75">
      <c r="A60" s="2199" t="s">
        <v>668</v>
      </c>
      <c r="B60" s="2200"/>
      <c r="C60" s="2203">
        <f>SUM(C62:C65)</f>
        <v>413.16666666666669</v>
      </c>
      <c r="D60" s="2203">
        <f t="shared" ref="D60:N60" si="15">SUM(D62:D65)</f>
        <v>313.16666666666669</v>
      </c>
      <c r="E60" s="2203">
        <f t="shared" si="15"/>
        <v>313.16666666666669</v>
      </c>
      <c r="F60" s="2203">
        <f t="shared" si="15"/>
        <v>509.16666666666669</v>
      </c>
      <c r="G60" s="2203">
        <f t="shared" si="15"/>
        <v>385.16666666666669</v>
      </c>
      <c r="H60" s="2203">
        <f t="shared" si="15"/>
        <v>393.16666666666669</v>
      </c>
      <c r="I60" s="2203">
        <f t="shared" si="15"/>
        <v>313.16666666666669</v>
      </c>
      <c r="J60" s="2203">
        <f t="shared" si="15"/>
        <v>313.16666666666669</v>
      </c>
      <c r="K60" s="2203">
        <f t="shared" si="15"/>
        <v>313.16666666666669</v>
      </c>
      <c r="L60" s="2203">
        <f t="shared" si="15"/>
        <v>313.16666666666669</v>
      </c>
      <c r="M60" s="2203">
        <f t="shared" si="15"/>
        <v>373.16666666666669</v>
      </c>
      <c r="N60" s="2203">
        <f t="shared" si="15"/>
        <v>553.16666666666674</v>
      </c>
      <c r="O60" s="2203">
        <f>SUM(O62:O70)</f>
        <v>1941.5</v>
      </c>
      <c r="P60" s="2205">
        <f>O60/M!$Q$14</f>
        <v>0.17410148820977669</v>
      </c>
      <c r="Q60" s="1235"/>
      <c r="R60" s="1235"/>
      <c r="S60" s="1235"/>
      <c r="T60" s="1235"/>
      <c r="U60" s="1235"/>
      <c r="V60" s="1235"/>
      <c r="W60" s="1235"/>
    </row>
    <row r="61" spans="1:23" ht="12.75">
      <c r="A61" s="2201"/>
      <c r="B61" s="2202"/>
      <c r="C61" s="2204"/>
      <c r="D61" s="2204"/>
      <c r="E61" s="2204"/>
      <c r="F61" s="2204"/>
      <c r="G61" s="2204"/>
      <c r="H61" s="2204"/>
      <c r="I61" s="2204"/>
      <c r="J61" s="2204"/>
      <c r="K61" s="2204"/>
      <c r="L61" s="2204"/>
      <c r="M61" s="2204"/>
      <c r="N61" s="2204"/>
      <c r="O61" s="2204"/>
      <c r="P61" s="2206"/>
      <c r="Q61" s="1235"/>
      <c r="R61" s="1235"/>
      <c r="S61" s="1235"/>
      <c r="T61" s="1235"/>
      <c r="U61" s="1235"/>
      <c r="V61" s="1235"/>
      <c r="W61" s="1235"/>
    </row>
    <row r="62" spans="1:23" ht="12.75">
      <c r="A62" s="1183"/>
      <c r="B62" s="1176" t="s">
        <v>432</v>
      </c>
      <c r="C62" s="1184">
        <f>(FinSnapshot!$Q$94+FinSnapshot!$Q$102)/12</f>
        <v>78.166666666666671</v>
      </c>
      <c r="D62" s="1184">
        <f>(FinSnapshot!$Q$94+FinSnapshot!$Q$102)/12</f>
        <v>78.166666666666671</v>
      </c>
      <c r="E62" s="1184">
        <f>(FinSnapshot!$Q$94+FinSnapshot!$Q$102)/12</f>
        <v>78.166666666666671</v>
      </c>
      <c r="F62" s="1184">
        <f>(FinSnapshot!$Q$94+FinSnapshot!$Q$102)/12</f>
        <v>78.166666666666671</v>
      </c>
      <c r="G62" s="1184">
        <f>(FinSnapshot!$Q$94+FinSnapshot!$Q$102)/12</f>
        <v>78.166666666666671</v>
      </c>
      <c r="H62" s="1184">
        <f>(FinSnapshot!$Q$94+FinSnapshot!$Q$102)/12</f>
        <v>78.166666666666671</v>
      </c>
      <c r="I62" s="1184">
        <f>(FinSnapshot!$Q$94+FinSnapshot!$Q$102)/12</f>
        <v>78.166666666666671</v>
      </c>
      <c r="J62" s="1184">
        <f>(FinSnapshot!$Q$94+FinSnapshot!$Q$102)/12</f>
        <v>78.166666666666671</v>
      </c>
      <c r="K62" s="1184">
        <f>(FinSnapshot!$Q$94+FinSnapshot!$Q$102)/12</f>
        <v>78.166666666666671</v>
      </c>
      <c r="L62" s="1184">
        <f>(FinSnapshot!$Q$94+FinSnapshot!$Q$102)/12</f>
        <v>78.166666666666671</v>
      </c>
      <c r="M62" s="1184">
        <f>(FinSnapshot!$Q$94+FinSnapshot!$Q$102)/12</f>
        <v>78.166666666666671</v>
      </c>
      <c r="N62" s="1184">
        <f>(FinSnapshot!$Q$94+FinSnapshot!$Q$102)/12</f>
        <v>78.166666666666671</v>
      </c>
      <c r="O62" s="1185"/>
      <c r="P62" s="1186"/>
      <c r="Q62" s="1235"/>
      <c r="R62" s="1235"/>
      <c r="S62" s="1235"/>
      <c r="T62" s="1235"/>
      <c r="U62" s="1235"/>
      <c r="V62" s="1235"/>
      <c r="W62" s="1235"/>
    </row>
    <row r="63" spans="1:23" ht="12.75">
      <c r="A63" s="1183"/>
      <c r="B63" s="1176" t="s">
        <v>284</v>
      </c>
      <c r="C63" s="1177">
        <v>50</v>
      </c>
      <c r="D63" s="1177">
        <v>0</v>
      </c>
      <c r="E63" s="1177">
        <v>0</v>
      </c>
      <c r="F63" s="1177">
        <v>98</v>
      </c>
      <c r="G63" s="1177">
        <v>36</v>
      </c>
      <c r="H63" s="1177">
        <v>40</v>
      </c>
      <c r="I63" s="1178">
        <v>0</v>
      </c>
      <c r="J63" s="1178">
        <v>0</v>
      </c>
      <c r="K63" s="1177">
        <v>0</v>
      </c>
      <c r="L63" s="1182">
        <v>0</v>
      </c>
      <c r="M63" s="1182">
        <v>30</v>
      </c>
      <c r="N63" s="1182">
        <v>120</v>
      </c>
      <c r="O63" s="1179">
        <f>SUM(C63:N63)/12</f>
        <v>31.166666666666668</v>
      </c>
      <c r="P63" s="1180">
        <f>O63/M!$Q$14</f>
        <v>2.7948303112051028E-3</v>
      </c>
      <c r="Q63" s="1235"/>
      <c r="R63" s="1235"/>
      <c r="S63" s="1235"/>
      <c r="T63" s="1235"/>
      <c r="U63" s="1235"/>
      <c r="V63" s="1235"/>
      <c r="W63" s="1235"/>
    </row>
    <row r="64" spans="1:23" ht="12.75">
      <c r="A64" s="1183"/>
      <c r="B64" s="1176" t="s">
        <v>433</v>
      </c>
      <c r="C64" s="1177">
        <v>50</v>
      </c>
      <c r="D64" s="1177">
        <v>0</v>
      </c>
      <c r="E64" s="1177">
        <v>0</v>
      </c>
      <c r="F64" s="1177">
        <v>98</v>
      </c>
      <c r="G64" s="1177">
        <v>36</v>
      </c>
      <c r="H64" s="1177">
        <v>40</v>
      </c>
      <c r="I64" s="1178">
        <v>0</v>
      </c>
      <c r="J64" s="1178">
        <v>0</v>
      </c>
      <c r="K64" s="1177">
        <v>0</v>
      </c>
      <c r="L64" s="1182">
        <v>0</v>
      </c>
      <c r="M64" s="1182">
        <v>30</v>
      </c>
      <c r="N64" s="1182">
        <v>120</v>
      </c>
      <c r="O64" s="1179">
        <f>SUM(C64:N64)/12</f>
        <v>31.166666666666668</v>
      </c>
      <c r="P64" s="1180">
        <f>O64/M!$Q$14</f>
        <v>2.7948303112051028E-3</v>
      </c>
      <c r="Q64" s="1235"/>
      <c r="R64" s="1235"/>
      <c r="S64" s="1235"/>
      <c r="T64" s="1235"/>
      <c r="U64" s="1235"/>
      <c r="V64" s="1235"/>
      <c r="W64" s="1235"/>
    </row>
    <row r="65" spans="1:23" ht="12.75">
      <c r="A65" s="1183"/>
      <c r="B65" s="1176" t="s">
        <v>434</v>
      </c>
      <c r="C65" s="1184">
        <f>ROUNDUP((((382+2430))/12),0)</f>
        <v>235</v>
      </c>
      <c r="D65" s="1184">
        <f t="shared" ref="D65:N65" si="16">ROUNDUP((((382+2430))/12),0)</f>
        <v>235</v>
      </c>
      <c r="E65" s="1184">
        <f t="shared" si="16"/>
        <v>235</v>
      </c>
      <c r="F65" s="1184">
        <f t="shared" si="16"/>
        <v>235</v>
      </c>
      <c r="G65" s="1184">
        <f t="shared" si="16"/>
        <v>235</v>
      </c>
      <c r="H65" s="1184">
        <f t="shared" si="16"/>
        <v>235</v>
      </c>
      <c r="I65" s="1184">
        <f t="shared" si="16"/>
        <v>235</v>
      </c>
      <c r="J65" s="1184">
        <f t="shared" si="16"/>
        <v>235</v>
      </c>
      <c r="K65" s="1184">
        <f t="shared" si="16"/>
        <v>235</v>
      </c>
      <c r="L65" s="1184">
        <f t="shared" si="16"/>
        <v>235</v>
      </c>
      <c r="M65" s="1184">
        <f t="shared" si="16"/>
        <v>235</v>
      </c>
      <c r="N65" s="1184">
        <f t="shared" si="16"/>
        <v>235</v>
      </c>
      <c r="O65" s="1185"/>
      <c r="P65" s="1186"/>
      <c r="Q65" s="1235"/>
      <c r="R65" s="1235"/>
      <c r="S65" s="1235"/>
      <c r="T65" s="1235"/>
      <c r="U65" s="1235"/>
      <c r="V65" s="1235"/>
      <c r="W65" s="1235"/>
    </row>
    <row r="66" spans="1:23" ht="12.75">
      <c r="A66" s="2199" t="s">
        <v>435</v>
      </c>
      <c r="B66" s="2200"/>
      <c r="C66" s="2203">
        <f>SUM(C68:C70)</f>
        <v>285</v>
      </c>
      <c r="D66" s="2203">
        <f t="shared" ref="D66:O66" si="17">SUM(D71:D73)</f>
        <v>0</v>
      </c>
      <c r="E66" s="2203">
        <f t="shared" si="17"/>
        <v>0</v>
      </c>
      <c r="F66" s="2203">
        <f t="shared" si="17"/>
        <v>4000</v>
      </c>
      <c r="G66" s="2203">
        <f t="shared" si="17"/>
        <v>0</v>
      </c>
      <c r="H66" s="2203">
        <f t="shared" si="17"/>
        <v>0</v>
      </c>
      <c r="I66" s="2203">
        <f t="shared" si="17"/>
        <v>6000</v>
      </c>
      <c r="J66" s="2203">
        <f t="shared" si="17"/>
        <v>0</v>
      </c>
      <c r="K66" s="2203">
        <f t="shared" si="17"/>
        <v>0</v>
      </c>
      <c r="L66" s="2203">
        <f t="shared" si="17"/>
        <v>0</v>
      </c>
      <c r="M66" s="2203">
        <f t="shared" si="17"/>
        <v>0</v>
      </c>
      <c r="N66" s="2203">
        <f t="shared" si="17"/>
        <v>0</v>
      </c>
      <c r="O66" s="2203">
        <f t="shared" si="17"/>
        <v>1416.6666666666667</v>
      </c>
      <c r="P66" s="2205">
        <f>O66/M!$Q$14</f>
        <v>0.12703774141841376</v>
      </c>
      <c r="Q66" s="1235"/>
      <c r="R66" s="1235"/>
      <c r="S66" s="1235"/>
      <c r="T66" s="1235"/>
      <c r="U66" s="1235"/>
      <c r="V66" s="1235"/>
      <c r="W66" s="1235"/>
    </row>
    <row r="67" spans="1:23" ht="12.75">
      <c r="A67" s="2201"/>
      <c r="B67" s="2202"/>
      <c r="C67" s="2204"/>
      <c r="D67" s="2204"/>
      <c r="E67" s="2204"/>
      <c r="F67" s="2204"/>
      <c r="G67" s="2204"/>
      <c r="H67" s="2204"/>
      <c r="I67" s="2204"/>
      <c r="J67" s="2204"/>
      <c r="K67" s="2204"/>
      <c r="L67" s="2204"/>
      <c r="M67" s="2204"/>
      <c r="N67" s="2204"/>
      <c r="O67" s="2204"/>
      <c r="P67" s="2206"/>
      <c r="Q67" s="1235"/>
      <c r="R67" s="1235"/>
      <c r="S67" s="1235"/>
      <c r="T67" s="1235"/>
      <c r="U67" s="1235"/>
      <c r="V67" s="1235"/>
      <c r="W67" s="1235"/>
    </row>
    <row r="68" spans="1:23" ht="12.75">
      <c r="A68" s="1183"/>
      <c r="B68" s="1176" t="s">
        <v>405</v>
      </c>
      <c r="C68" s="1177">
        <f>ROUNDUP((((382+2430))/12),0)</f>
        <v>235</v>
      </c>
      <c r="D68" s="1177">
        <f t="shared" ref="D68:N68" si="18">ROUNDUP((((382+2430))/12),0)</f>
        <v>235</v>
      </c>
      <c r="E68" s="1177">
        <f t="shared" si="18"/>
        <v>235</v>
      </c>
      <c r="F68" s="1177">
        <f t="shared" si="18"/>
        <v>235</v>
      </c>
      <c r="G68" s="1177">
        <f t="shared" si="18"/>
        <v>235</v>
      </c>
      <c r="H68" s="1177">
        <f t="shared" si="18"/>
        <v>235</v>
      </c>
      <c r="I68" s="1177">
        <f t="shared" si="18"/>
        <v>235</v>
      </c>
      <c r="J68" s="1177">
        <f t="shared" si="18"/>
        <v>235</v>
      </c>
      <c r="K68" s="1177">
        <f t="shared" si="18"/>
        <v>235</v>
      </c>
      <c r="L68" s="1177">
        <f t="shared" si="18"/>
        <v>235</v>
      </c>
      <c r="M68" s="1177">
        <f t="shared" si="18"/>
        <v>235</v>
      </c>
      <c r="N68" s="1177">
        <f t="shared" si="18"/>
        <v>235</v>
      </c>
      <c r="O68" s="1179">
        <f>SUM(C68:N68)/12</f>
        <v>235</v>
      </c>
      <c r="P68" s="1180">
        <f>O68/M!$Q$14</f>
        <v>2.1073319458819222E-2</v>
      </c>
      <c r="Q68" s="1235"/>
      <c r="R68" s="1235"/>
      <c r="S68" s="1235"/>
      <c r="T68" s="1235"/>
      <c r="U68" s="1235"/>
      <c r="V68" s="1235"/>
      <c r="W68" s="1235"/>
    </row>
    <row r="69" spans="1:23" ht="12.75">
      <c r="A69" s="1183"/>
      <c r="B69" s="1176" t="s">
        <v>436</v>
      </c>
      <c r="C69" s="1177">
        <v>0</v>
      </c>
      <c r="D69" s="1177">
        <v>0</v>
      </c>
      <c r="E69" s="1177">
        <v>0</v>
      </c>
      <c r="F69" s="1177">
        <v>85</v>
      </c>
      <c r="G69" s="1177">
        <v>350</v>
      </c>
      <c r="H69" s="1177">
        <v>765</v>
      </c>
      <c r="I69" s="1182">
        <v>150</v>
      </c>
      <c r="J69" s="1178">
        <v>4</v>
      </c>
      <c r="K69" s="1182">
        <v>200</v>
      </c>
      <c r="L69" s="1182">
        <v>99</v>
      </c>
      <c r="M69" s="1182">
        <v>0</v>
      </c>
      <c r="N69" s="1182">
        <v>15</v>
      </c>
      <c r="O69" s="1179">
        <f>SUM(C69:N69)/12</f>
        <v>139</v>
      </c>
      <c r="P69" s="1180">
        <f>O69/M!$Q$14</f>
        <v>1.2464644275642008E-2</v>
      </c>
      <c r="Q69" s="1235"/>
      <c r="R69" s="1235"/>
      <c r="S69" s="1235"/>
      <c r="T69" s="1235"/>
      <c r="U69" s="1235"/>
      <c r="V69" s="1235"/>
      <c r="W69" s="1235"/>
    </row>
    <row r="70" spans="1:23" ht="12.75">
      <c r="A70" s="1183"/>
      <c r="B70" s="1176" t="s">
        <v>130</v>
      </c>
      <c r="C70" s="1182">
        <v>50</v>
      </c>
      <c r="D70" s="1182">
        <v>0</v>
      </c>
      <c r="E70" s="1177">
        <v>0</v>
      </c>
      <c r="F70" s="1177">
        <v>641</v>
      </c>
      <c r="G70" s="1177">
        <v>0</v>
      </c>
      <c r="H70" s="1177">
        <v>371</v>
      </c>
      <c r="I70" s="1182">
        <v>0</v>
      </c>
      <c r="J70" s="1178">
        <v>0</v>
      </c>
      <c r="K70" s="1182">
        <v>0</v>
      </c>
      <c r="L70" s="1182">
        <v>0</v>
      </c>
      <c r="M70" s="1182">
        <v>0</v>
      </c>
      <c r="N70" s="1182">
        <v>0</v>
      </c>
      <c r="O70" s="1179">
        <f>SUM(C70:N70)/12</f>
        <v>88.5</v>
      </c>
      <c r="P70" s="1180">
        <f>O70/M!$Q$14</f>
        <v>7.9361224344914952E-3</v>
      </c>
      <c r="Q70" s="1235"/>
      <c r="R70" s="1235"/>
      <c r="S70" s="1235"/>
      <c r="T70" s="1235"/>
      <c r="U70" s="1235"/>
      <c r="V70" s="1235"/>
      <c r="W70" s="1235"/>
    </row>
    <row r="71" spans="1:23" ht="12.75">
      <c r="A71" s="2199" t="s">
        <v>286</v>
      </c>
      <c r="B71" s="2200"/>
      <c r="C71" s="2203">
        <f t="shared" ref="C71:N71" si="19">SUM(C73:C74)</f>
        <v>3500</v>
      </c>
      <c r="D71" s="2203">
        <f t="shared" si="19"/>
        <v>0</v>
      </c>
      <c r="E71" s="2203">
        <f t="shared" si="19"/>
        <v>0</v>
      </c>
      <c r="F71" s="2203">
        <f t="shared" si="19"/>
        <v>2000</v>
      </c>
      <c r="G71" s="2203">
        <f t="shared" si="19"/>
        <v>0</v>
      </c>
      <c r="H71" s="2203">
        <f t="shared" si="19"/>
        <v>0</v>
      </c>
      <c r="I71" s="2203">
        <f t="shared" si="19"/>
        <v>3000</v>
      </c>
      <c r="J71" s="2203">
        <f t="shared" si="19"/>
        <v>0</v>
      </c>
      <c r="K71" s="2203">
        <f t="shared" si="19"/>
        <v>0</v>
      </c>
      <c r="L71" s="2203">
        <f t="shared" si="19"/>
        <v>0</v>
      </c>
      <c r="M71" s="2203">
        <f t="shared" si="19"/>
        <v>0</v>
      </c>
      <c r="N71" s="2203">
        <f t="shared" si="19"/>
        <v>0</v>
      </c>
      <c r="O71" s="2203">
        <f>SUM(O73:O74)</f>
        <v>708.33333333333337</v>
      </c>
      <c r="P71" s="2205">
        <f>O71/M!$Q$14</f>
        <v>6.3518870709206879E-2</v>
      </c>
      <c r="Q71" s="1235"/>
      <c r="R71" s="1235"/>
      <c r="S71" s="1235"/>
      <c r="T71" s="1235"/>
      <c r="U71" s="1235"/>
      <c r="V71" s="1235"/>
      <c r="W71" s="1235"/>
    </row>
    <row r="72" spans="1:23" ht="12.75">
      <c r="A72" s="2201"/>
      <c r="B72" s="2202"/>
      <c r="C72" s="2204"/>
      <c r="D72" s="2204"/>
      <c r="E72" s="2204"/>
      <c r="F72" s="2204"/>
      <c r="G72" s="2204"/>
      <c r="H72" s="2204"/>
      <c r="I72" s="2204"/>
      <c r="J72" s="2204"/>
      <c r="K72" s="2204"/>
      <c r="L72" s="2204"/>
      <c r="M72" s="2204"/>
      <c r="N72" s="2204"/>
      <c r="O72" s="2204"/>
      <c r="P72" s="2206"/>
      <c r="Q72" s="1235"/>
      <c r="R72" s="1235"/>
      <c r="S72" s="1235"/>
      <c r="T72" s="1235"/>
      <c r="U72" s="1235"/>
      <c r="V72" s="1235"/>
      <c r="W72" s="1235"/>
    </row>
    <row r="73" spans="1:23" ht="12.75">
      <c r="A73" s="2217"/>
      <c r="B73" s="1176" t="s">
        <v>82</v>
      </c>
      <c r="C73" s="1177">
        <v>3500</v>
      </c>
      <c r="D73" s="1177">
        <v>0</v>
      </c>
      <c r="E73" s="1177">
        <v>0</v>
      </c>
      <c r="F73" s="1177">
        <v>2000</v>
      </c>
      <c r="G73" s="1177">
        <v>0</v>
      </c>
      <c r="H73" s="1177">
        <v>0</v>
      </c>
      <c r="I73" s="1178">
        <v>3000</v>
      </c>
      <c r="J73" s="1178">
        <v>0</v>
      </c>
      <c r="K73" s="1178">
        <v>0</v>
      </c>
      <c r="L73" s="1178">
        <v>0</v>
      </c>
      <c r="M73" s="1178">
        <v>0</v>
      </c>
      <c r="N73" s="1178">
        <v>0</v>
      </c>
      <c r="O73" s="1179">
        <f>SUM(C73:N73)/12</f>
        <v>708.33333333333337</v>
      </c>
      <c r="P73" s="1180">
        <f>O73/M!$Q$14</f>
        <v>6.3518870709206879E-2</v>
      </c>
      <c r="Q73" s="1235"/>
      <c r="R73" s="1235"/>
      <c r="S73" s="1235"/>
      <c r="T73" s="1235"/>
      <c r="U73" s="1235"/>
      <c r="V73" s="1235"/>
      <c r="W73" s="1235"/>
    </row>
    <row r="74" spans="1:23" ht="12.75">
      <c r="A74" s="2219"/>
      <c r="B74" s="1176" t="s">
        <v>83</v>
      </c>
      <c r="C74" s="1177">
        <v>0</v>
      </c>
      <c r="D74" s="1177">
        <v>0</v>
      </c>
      <c r="E74" s="1177">
        <v>0</v>
      </c>
      <c r="F74" s="1177">
        <v>0</v>
      </c>
      <c r="G74" s="1177">
        <v>0</v>
      </c>
      <c r="H74" s="1177">
        <v>0</v>
      </c>
      <c r="I74" s="1178">
        <v>0</v>
      </c>
      <c r="J74" s="1178">
        <v>0</v>
      </c>
      <c r="K74" s="1178">
        <v>0</v>
      </c>
      <c r="L74" s="1178">
        <v>0</v>
      </c>
      <c r="M74" s="1178">
        <v>0</v>
      </c>
      <c r="N74" s="1178">
        <v>0</v>
      </c>
      <c r="O74" s="1179">
        <f>SUM(C74:N74)/12</f>
        <v>0</v>
      </c>
      <c r="P74" s="1180">
        <f>O74/M!$Q$14</f>
        <v>0</v>
      </c>
      <c r="Q74" s="1235"/>
      <c r="R74" s="1235"/>
      <c r="S74" s="1235"/>
      <c r="T74" s="1235"/>
      <c r="U74" s="1235"/>
      <c r="V74" s="1235"/>
      <c r="W74" s="1235"/>
    </row>
    <row r="75" spans="1:23">
      <c r="A75" s="1187" t="s">
        <v>437</v>
      </c>
      <c r="B75" s="1188"/>
      <c r="C75" s="1189">
        <f t="shared" ref="C75:N75" si="20">C5+C19+C27+C33+C47+C37+ C56+C71</f>
        <v>11433.733333333334</v>
      </c>
      <c r="D75" s="1189">
        <f t="shared" si="20"/>
        <v>7853.2333333333336</v>
      </c>
      <c r="E75" s="1189">
        <f t="shared" si="20"/>
        <v>6561.2333333333336</v>
      </c>
      <c r="F75" s="1189">
        <f t="shared" si="20"/>
        <v>12160.733333333334</v>
      </c>
      <c r="G75" s="1189">
        <f t="shared" si="20"/>
        <v>7843.7333333333336</v>
      </c>
      <c r="H75" s="1189">
        <f t="shared" si="20"/>
        <v>11330.333333333334</v>
      </c>
      <c r="I75" s="1189">
        <f t="shared" si="20"/>
        <v>11890.333333333334</v>
      </c>
      <c r="J75" s="1189">
        <f t="shared" si="20"/>
        <v>7682.3333333333339</v>
      </c>
      <c r="K75" s="1189">
        <f t="shared" si="20"/>
        <v>7819.3333333333339</v>
      </c>
      <c r="L75" s="1189">
        <f t="shared" si="20"/>
        <v>9074.3333333333339</v>
      </c>
      <c r="M75" s="1189">
        <f t="shared" si="20"/>
        <v>8429.3333333333339</v>
      </c>
      <c r="N75" s="1189">
        <f t="shared" si="20"/>
        <v>15032.333333333334</v>
      </c>
      <c r="O75" s="1189">
        <f>SUM(C75:N75)/12</f>
        <v>9759.2499999999982</v>
      </c>
      <c r="P75" s="1190">
        <f>O75/M!$Q$14</f>
        <v>0.87514805501481474</v>
      </c>
      <c r="Q75" s="1235"/>
      <c r="R75" s="1235"/>
      <c r="S75" s="1235"/>
      <c r="T75" s="1235"/>
      <c r="U75" s="1235"/>
      <c r="V75" s="1235"/>
      <c r="W75" s="1235"/>
    </row>
    <row r="76" spans="1:23">
      <c r="A76" s="1235"/>
      <c r="B76" s="1235"/>
      <c r="C76" s="1235"/>
      <c r="D76" s="1235"/>
      <c r="E76" s="1235"/>
      <c r="F76" s="1235"/>
      <c r="G76" s="1235"/>
      <c r="H76" s="1235"/>
      <c r="I76" s="1235"/>
      <c r="J76" s="1235"/>
      <c r="K76" s="1235"/>
      <c r="L76" s="1235"/>
      <c r="M76" s="1235"/>
      <c r="N76" s="1235"/>
      <c r="O76" s="1235"/>
      <c r="P76" s="1235"/>
      <c r="Q76" s="1235"/>
      <c r="R76" s="1235"/>
      <c r="S76" s="1235"/>
      <c r="T76" s="1235"/>
      <c r="U76" s="1235"/>
      <c r="V76" s="1235"/>
      <c r="W76" s="1235"/>
    </row>
    <row r="77" spans="1:23" ht="12.75">
      <c r="A77" s="1235"/>
      <c r="B77" s="1235"/>
      <c r="C77" s="1235"/>
      <c r="D77" s="1235"/>
      <c r="E77" s="1235"/>
      <c r="F77" s="1235"/>
      <c r="G77" s="1235"/>
      <c r="H77" s="1235"/>
      <c r="I77" s="1235"/>
      <c r="J77" s="1235"/>
      <c r="K77" s="1235"/>
      <c r="L77" s="1235"/>
      <c r="M77" s="1235"/>
      <c r="N77" s="1235"/>
      <c r="O77" s="1235"/>
      <c r="P77" s="1235"/>
      <c r="Q77" s="1235"/>
      <c r="R77" s="1235"/>
      <c r="S77" s="1235"/>
      <c r="T77" s="1235"/>
      <c r="U77" s="1235"/>
      <c r="V77" s="1235"/>
      <c r="W77" s="1235"/>
    </row>
    <row r="78" spans="1:23" ht="12.75">
      <c r="A78" s="2220">
        <v>2025</v>
      </c>
      <c r="B78" s="2221"/>
      <c r="C78" s="2221"/>
      <c r="D78" s="2221"/>
      <c r="E78" s="2221"/>
      <c r="F78" s="2221"/>
      <c r="G78" s="2221"/>
      <c r="H78" s="2221"/>
      <c r="I78" s="2221"/>
      <c r="J78" s="2221"/>
      <c r="K78" s="2221"/>
      <c r="L78" s="2221"/>
      <c r="M78" s="2221"/>
      <c r="N78" s="2221"/>
      <c r="O78" s="2221"/>
      <c r="P78" s="2222"/>
      <c r="Q78" s="1235"/>
      <c r="R78" s="1235"/>
      <c r="S78" s="1235"/>
      <c r="T78" s="1235"/>
      <c r="U78" s="1235"/>
      <c r="V78" s="1235"/>
      <c r="W78" s="1235"/>
    </row>
    <row r="79" spans="1:23">
      <c r="A79" s="1171" t="s">
        <v>388</v>
      </c>
      <c r="B79" s="1172"/>
      <c r="C79" s="1173" t="s">
        <v>309</v>
      </c>
      <c r="D79" s="1173" t="s">
        <v>311</v>
      </c>
      <c r="E79" s="1173" t="s">
        <v>312</v>
      </c>
      <c r="F79" s="1173" t="s">
        <v>313</v>
      </c>
      <c r="G79" s="1173" t="s">
        <v>314</v>
      </c>
      <c r="H79" s="1173" t="s">
        <v>315</v>
      </c>
      <c r="I79" s="1173" t="s">
        <v>316</v>
      </c>
      <c r="J79" s="1173" t="s">
        <v>317</v>
      </c>
      <c r="K79" s="1173" t="s">
        <v>318</v>
      </c>
      <c r="L79" s="1173" t="s">
        <v>319</v>
      </c>
      <c r="M79" s="1173" t="s">
        <v>320</v>
      </c>
      <c r="N79" s="1173" t="s">
        <v>321</v>
      </c>
      <c r="O79" s="1174" t="s">
        <v>660</v>
      </c>
      <c r="P79" s="1175" t="s">
        <v>661</v>
      </c>
      <c r="Q79" s="1235"/>
      <c r="R79" s="1235"/>
      <c r="S79" s="1235"/>
      <c r="T79" s="1235"/>
      <c r="U79" s="1235"/>
      <c r="V79" s="1235"/>
      <c r="W79" s="1235"/>
    </row>
    <row r="80" spans="1:23" ht="12.75" customHeight="1">
      <c r="A80" s="2199" t="s">
        <v>56</v>
      </c>
      <c r="B80" s="2200"/>
      <c r="C80" s="2203">
        <f ca="1">C82 + C83 + SUM(C88:C93)</f>
        <v>8759.5492850460178</v>
      </c>
      <c r="D80" s="2203">
        <f t="shared" ref="D80:N80" ca="1" si="21">D82 + D83 + SUM(D88:D93)</f>
        <v>8749.3782763965246</v>
      </c>
      <c r="E80" s="2203">
        <f t="shared" ca="1" si="21"/>
        <v>8749.3782763965246</v>
      </c>
      <c r="F80" s="2203">
        <f t="shared" ca="1" si="21"/>
        <v>8749.3782763965246</v>
      </c>
      <c r="G80" s="2203">
        <f t="shared" ca="1" si="21"/>
        <v>8749.3782763965246</v>
      </c>
      <c r="H80" s="2203">
        <f t="shared" ca="1" si="21"/>
        <v>8749.3782763965246</v>
      </c>
      <c r="I80" s="2203">
        <f t="shared" ca="1" si="21"/>
        <v>8763.3782763965246</v>
      </c>
      <c r="J80" s="2203">
        <f t="shared" ca="1" si="21"/>
        <v>8749.3782763965246</v>
      </c>
      <c r="K80" s="2203">
        <f t="shared" ca="1" si="21"/>
        <v>8749.3782763965246</v>
      </c>
      <c r="L80" s="2203">
        <f t="shared" ca="1" si="21"/>
        <v>8749.3782763965246</v>
      </c>
      <c r="M80" s="2203">
        <f t="shared" ca="1" si="21"/>
        <v>8749.3782763965246</v>
      </c>
      <c r="N80" s="2203">
        <f t="shared" ca="1" si="21"/>
        <v>8749.3782763965246</v>
      </c>
      <c r="O80" s="2203">
        <f t="shared" ref="O80" ca="1" si="22">O82 + O83 + SUM(O88:O93)</f>
        <v>8751.3925271173121</v>
      </c>
      <c r="P80" s="2205">
        <f ca="1">O80/M!$Q$14</f>
        <v>0.78476974652538889</v>
      </c>
      <c r="Q80" s="1235"/>
      <c r="R80" s="1235"/>
      <c r="S80" s="1235"/>
      <c r="T80" s="1235"/>
      <c r="U80" s="1235"/>
      <c r="V80" s="1235"/>
      <c r="W80" s="1235"/>
    </row>
    <row r="81" spans="1:23" ht="12.75" customHeight="1">
      <c r="A81" s="2201"/>
      <c r="B81" s="2202"/>
      <c r="C81" s="2204"/>
      <c r="D81" s="2204"/>
      <c r="E81" s="2204"/>
      <c r="F81" s="2204"/>
      <c r="G81" s="2204"/>
      <c r="H81" s="2204"/>
      <c r="I81" s="2204"/>
      <c r="J81" s="2204"/>
      <c r="K81" s="2204"/>
      <c r="L81" s="2204"/>
      <c r="M81" s="2204"/>
      <c r="N81" s="2204"/>
      <c r="O81" s="2204"/>
      <c r="P81" s="2206"/>
      <c r="Q81" s="1235"/>
      <c r="R81" s="1241">
        <f ca="1">O80</f>
        <v>8751.3925271173121</v>
      </c>
      <c r="S81" s="1235" t="s">
        <v>669</v>
      </c>
      <c r="T81" s="1235"/>
      <c r="U81" s="1235"/>
      <c r="V81" s="1235"/>
      <c r="W81" s="1235"/>
    </row>
    <row r="82" spans="1:23">
      <c r="A82" s="2217"/>
      <c r="B82" s="1176" t="s">
        <v>662</v>
      </c>
      <c r="C82" s="1177">
        <v>4215</v>
      </c>
      <c r="D82" s="1178">
        <v>4215</v>
      </c>
      <c r="E82" s="1178">
        <v>4215</v>
      </c>
      <c r="F82" s="1178">
        <v>4215</v>
      </c>
      <c r="G82" s="1178">
        <v>4215</v>
      </c>
      <c r="H82" s="1178">
        <v>4215</v>
      </c>
      <c r="I82" s="1178">
        <v>4215</v>
      </c>
      <c r="J82" s="1178">
        <v>4215</v>
      </c>
      <c r="K82" s="1178">
        <v>4215</v>
      </c>
      <c r="L82" s="1178">
        <v>4215</v>
      </c>
      <c r="M82" s="1178">
        <v>4215</v>
      </c>
      <c r="N82" s="1178">
        <v>4215</v>
      </c>
      <c r="O82" s="1179">
        <f t="shared" ref="O82:O93" si="23">SUM(C82:N82)/12</f>
        <v>4215</v>
      </c>
      <c r="P82" s="1180">
        <f>O82/M!$Q$14</f>
        <v>0.37797464476137455</v>
      </c>
      <c r="Q82" s="1235"/>
      <c r="R82" s="1241">
        <f>O94</f>
        <v>1067.4166666666667</v>
      </c>
      <c r="S82" s="1235" t="s">
        <v>276</v>
      </c>
      <c r="T82" s="1235"/>
      <c r="U82" s="1235"/>
      <c r="V82" s="1235"/>
      <c r="W82" s="1235"/>
    </row>
    <row r="83" spans="1:23" ht="12.75">
      <c r="A83" s="2218"/>
      <c r="B83" s="1176" t="s">
        <v>663</v>
      </c>
      <c r="C83" s="1178">
        <f ca="1">Mortgage!I$55</f>
        <v>4541.5492850460168</v>
      </c>
      <c r="D83" s="1178">
        <f ca="1">Mortgage!I$56</f>
        <v>4531.3782763965237</v>
      </c>
      <c r="E83" s="1178">
        <f ca="1">Mortgage!I$56</f>
        <v>4531.3782763965237</v>
      </c>
      <c r="F83" s="1178">
        <f ca="1">Mortgage!I$56</f>
        <v>4531.3782763965237</v>
      </c>
      <c r="G83" s="1178">
        <f ca="1">Mortgage!I$56</f>
        <v>4531.3782763965237</v>
      </c>
      <c r="H83" s="1178">
        <f ca="1">Mortgage!I$56</f>
        <v>4531.3782763965237</v>
      </c>
      <c r="I83" s="1178">
        <f ca="1">Mortgage!I$56</f>
        <v>4531.3782763965237</v>
      </c>
      <c r="J83" s="1178">
        <f ca="1">Mortgage!I$56</f>
        <v>4531.3782763965237</v>
      </c>
      <c r="K83" s="1178">
        <f ca="1">Mortgage!I$56</f>
        <v>4531.3782763965237</v>
      </c>
      <c r="L83" s="1178">
        <f ca="1">Mortgage!I$56</f>
        <v>4531.3782763965237</v>
      </c>
      <c r="M83" s="1178">
        <f ca="1">Mortgage!I$56</f>
        <v>4531.3782763965237</v>
      </c>
      <c r="N83" s="1178">
        <f ca="1">Mortgage!I$56</f>
        <v>4531.3782763965237</v>
      </c>
      <c r="O83" s="1179">
        <f t="shared" ca="1" si="23"/>
        <v>4532.2258604506469</v>
      </c>
      <c r="P83" s="1180">
        <f ca="1">O83/M!$Q$14</f>
        <v>0.40642146134807794</v>
      </c>
      <c r="Q83" s="1235"/>
      <c r="R83" s="1241">
        <f>O102</f>
        <v>241.75</v>
      </c>
      <c r="S83" s="1235" t="s">
        <v>410</v>
      </c>
      <c r="T83" s="1235"/>
      <c r="U83" s="1235"/>
      <c r="V83" s="1235"/>
      <c r="W83" s="1235"/>
    </row>
    <row r="84" spans="1:23" ht="12.75">
      <c r="A84" s="2218"/>
      <c r="B84" s="1176" t="s">
        <v>664</v>
      </c>
      <c r="C84" s="1178">
        <v>0</v>
      </c>
      <c r="D84" s="1178">
        <v>0</v>
      </c>
      <c r="E84" s="1178">
        <v>0</v>
      </c>
      <c r="F84" s="1178">
        <v>0</v>
      </c>
      <c r="G84" s="1178">
        <v>0</v>
      </c>
      <c r="H84" s="1178">
        <v>0</v>
      </c>
      <c r="I84" s="1178">
        <v>0</v>
      </c>
      <c r="J84" s="1178">
        <v>0</v>
      </c>
      <c r="K84" s="1178">
        <v>0</v>
      </c>
      <c r="L84" s="1178">
        <v>0</v>
      </c>
      <c r="M84" s="1178">
        <v>0</v>
      </c>
      <c r="N84" s="1178">
        <v>0</v>
      </c>
      <c r="O84" s="1179">
        <f t="shared" si="23"/>
        <v>0</v>
      </c>
      <c r="P84" s="1180">
        <f>O84/M!$Q$14</f>
        <v>0</v>
      </c>
      <c r="Q84" s="1235"/>
      <c r="R84" s="1241">
        <f>N108</f>
        <v>807</v>
      </c>
      <c r="S84" s="1235" t="s">
        <v>414</v>
      </c>
      <c r="T84" s="1235"/>
      <c r="U84" s="1235"/>
      <c r="V84" s="1235"/>
      <c r="W84" s="1235"/>
    </row>
    <row r="85" spans="1:23" ht="12.75">
      <c r="A85" s="2218"/>
      <c r="B85" s="1176" t="s">
        <v>450</v>
      </c>
      <c r="C85" s="1178">
        <v>0</v>
      </c>
      <c r="D85" s="1178">
        <v>0</v>
      </c>
      <c r="E85" s="1178">
        <v>0</v>
      </c>
      <c r="F85" s="1178">
        <v>0</v>
      </c>
      <c r="G85" s="1178">
        <v>0</v>
      </c>
      <c r="H85" s="1178">
        <v>0</v>
      </c>
      <c r="I85" s="1178">
        <v>0</v>
      </c>
      <c r="J85" s="1178">
        <v>0</v>
      </c>
      <c r="K85" s="1178">
        <v>0</v>
      </c>
      <c r="L85" s="1178">
        <v>0</v>
      </c>
      <c r="M85" s="1178">
        <v>0</v>
      </c>
      <c r="N85" s="1178">
        <v>0</v>
      </c>
      <c r="O85" s="1179">
        <f t="shared" si="23"/>
        <v>0</v>
      </c>
      <c r="P85" s="1180">
        <f>O85/M!$Q$14</f>
        <v>0</v>
      </c>
      <c r="Q85" s="1235"/>
      <c r="R85" s="1241">
        <f>N112</f>
        <v>1260</v>
      </c>
      <c r="S85" s="1235" t="s">
        <v>279</v>
      </c>
      <c r="T85" s="1235"/>
      <c r="U85" s="1235"/>
      <c r="V85" s="1235"/>
      <c r="W85" s="1235"/>
    </row>
    <row r="86" spans="1:23" ht="12.75">
      <c r="A86" s="2218"/>
      <c r="B86" s="1176" t="s">
        <v>665</v>
      </c>
      <c r="C86" s="1178">
        <v>0</v>
      </c>
      <c r="D86" s="1178">
        <v>0</v>
      </c>
      <c r="E86" s="1178">
        <v>0</v>
      </c>
      <c r="F86" s="1178">
        <v>0</v>
      </c>
      <c r="G86" s="1178">
        <v>0</v>
      </c>
      <c r="H86" s="1178">
        <v>0</v>
      </c>
      <c r="I86" s="1178">
        <v>0</v>
      </c>
      <c r="J86" s="1178">
        <v>0</v>
      </c>
      <c r="K86" s="1178">
        <v>0</v>
      </c>
      <c r="L86" s="1178">
        <v>0</v>
      </c>
      <c r="M86" s="1178">
        <v>0</v>
      </c>
      <c r="N86" s="1178">
        <v>0</v>
      </c>
      <c r="O86" s="1179">
        <f t="shared" si="23"/>
        <v>0</v>
      </c>
      <c r="P86" s="1180">
        <f>O86/M!$Q$14</f>
        <v>0</v>
      </c>
      <c r="Q86" s="1235"/>
      <c r="R86" s="1241">
        <f>N122</f>
        <v>7174</v>
      </c>
      <c r="S86" s="1235"/>
      <c r="T86" s="1235"/>
      <c r="U86" s="1235"/>
      <c r="V86" s="1235"/>
      <c r="W86" s="1235"/>
    </row>
    <row r="87" spans="1:23" ht="12.75">
      <c r="A87" s="2218"/>
      <c r="B87" s="1176" t="s">
        <v>664</v>
      </c>
      <c r="C87" s="1178">
        <v>0</v>
      </c>
      <c r="D87" s="1178">
        <v>0</v>
      </c>
      <c r="E87" s="1178">
        <v>0</v>
      </c>
      <c r="F87" s="1178">
        <v>0</v>
      </c>
      <c r="G87" s="1178">
        <v>0</v>
      </c>
      <c r="H87" s="1178">
        <v>0</v>
      </c>
      <c r="I87" s="1178">
        <v>0</v>
      </c>
      <c r="J87" s="1178">
        <v>0</v>
      </c>
      <c r="K87" s="1178">
        <v>0</v>
      </c>
      <c r="L87" s="1178">
        <v>0</v>
      </c>
      <c r="M87" s="1178">
        <v>0</v>
      </c>
      <c r="N87" s="1178">
        <v>0</v>
      </c>
      <c r="O87" s="1179">
        <f t="shared" si="23"/>
        <v>0</v>
      </c>
      <c r="P87" s="1180">
        <f>O87/M!$Q$14</f>
        <v>0</v>
      </c>
      <c r="Q87" s="1235"/>
      <c r="R87" s="1241">
        <f>N131</f>
        <v>1001</v>
      </c>
      <c r="S87" s="1235"/>
      <c r="T87" s="1235"/>
      <c r="U87" s="1235"/>
      <c r="V87" s="1235"/>
      <c r="W87" s="1235"/>
    </row>
    <row r="88" spans="1:23" ht="12.75">
      <c r="A88" s="2218"/>
      <c r="B88" s="1176" t="s">
        <v>287</v>
      </c>
      <c r="C88" s="1178">
        <v>0</v>
      </c>
      <c r="D88" s="1178">
        <v>0</v>
      </c>
      <c r="E88" s="1178">
        <v>0</v>
      </c>
      <c r="F88" s="1178">
        <v>0</v>
      </c>
      <c r="G88" s="1178">
        <v>0</v>
      </c>
      <c r="H88" s="1178">
        <v>0</v>
      </c>
      <c r="I88" s="1178">
        <v>0</v>
      </c>
      <c r="J88" s="1178">
        <v>0</v>
      </c>
      <c r="K88" s="1178">
        <v>0</v>
      </c>
      <c r="L88" s="1178">
        <v>0</v>
      </c>
      <c r="M88" s="1178">
        <v>0</v>
      </c>
      <c r="N88" s="1178">
        <v>0</v>
      </c>
      <c r="O88" s="1179">
        <f t="shared" si="23"/>
        <v>0</v>
      </c>
      <c r="P88" s="1180">
        <f>O88/M!$Q$14</f>
        <v>0</v>
      </c>
      <c r="Q88" s="1235"/>
      <c r="R88" s="1241">
        <f>N135</f>
        <v>553.16666666666674</v>
      </c>
      <c r="S88" s="1235"/>
      <c r="T88" s="1235"/>
      <c r="U88" s="1235"/>
      <c r="V88" s="1235"/>
      <c r="W88" s="1235"/>
    </row>
    <row r="89" spans="1:23" ht="12.75">
      <c r="A89" s="2218"/>
      <c r="B89" s="1176" t="s">
        <v>453</v>
      </c>
      <c r="C89" s="1178">
        <v>0</v>
      </c>
      <c r="D89" s="1178">
        <v>0</v>
      </c>
      <c r="E89" s="1178">
        <v>0</v>
      </c>
      <c r="F89" s="1178">
        <v>0</v>
      </c>
      <c r="G89" s="1178">
        <v>0</v>
      </c>
      <c r="H89" s="1178">
        <v>0</v>
      </c>
      <c r="I89" s="1178">
        <v>0</v>
      </c>
      <c r="J89" s="1178">
        <v>0</v>
      </c>
      <c r="K89" s="1178">
        <v>0</v>
      </c>
      <c r="L89" s="1178">
        <v>0</v>
      </c>
      <c r="M89" s="1178">
        <v>0</v>
      </c>
      <c r="N89" s="1178">
        <v>0</v>
      </c>
      <c r="O89" s="1179">
        <f t="shared" si="23"/>
        <v>0</v>
      </c>
      <c r="P89" s="1180">
        <f>O89/M!$Q$14</f>
        <v>0</v>
      </c>
      <c r="Q89" s="1235"/>
      <c r="R89" s="1235"/>
      <c r="S89" s="1235"/>
      <c r="T89" s="1235"/>
      <c r="U89" s="1235"/>
      <c r="V89" s="1235"/>
      <c r="W89" s="1235"/>
    </row>
    <row r="90" spans="1:23" ht="12.75">
      <c r="A90" s="2218"/>
      <c r="B90" s="1176" t="s">
        <v>400</v>
      </c>
      <c r="C90" s="1178">
        <v>0</v>
      </c>
      <c r="D90" s="1178">
        <v>0</v>
      </c>
      <c r="E90" s="1178">
        <v>0</v>
      </c>
      <c r="F90" s="1178">
        <v>0</v>
      </c>
      <c r="G90" s="1178">
        <v>0</v>
      </c>
      <c r="H90" s="1178">
        <v>0</v>
      </c>
      <c r="I90" s="1178">
        <v>0</v>
      </c>
      <c r="J90" s="1178">
        <v>0</v>
      </c>
      <c r="K90" s="1178">
        <v>0</v>
      </c>
      <c r="L90" s="1178">
        <v>0</v>
      </c>
      <c r="M90" s="1178">
        <v>0</v>
      </c>
      <c r="N90" s="1178">
        <v>0</v>
      </c>
      <c r="O90" s="1179">
        <f t="shared" si="23"/>
        <v>0</v>
      </c>
      <c r="P90" s="1180">
        <f>O90/M!$Q$14</f>
        <v>0</v>
      </c>
      <c r="Q90" s="1235"/>
      <c r="R90" s="1235"/>
      <c r="S90" s="1235"/>
      <c r="T90" s="1235"/>
      <c r="U90" s="1235"/>
      <c r="V90" s="1235"/>
      <c r="W90" s="1235"/>
    </row>
    <row r="91" spans="1:23" ht="12.75">
      <c r="A91" s="2218"/>
      <c r="B91" s="1176" t="s">
        <v>401</v>
      </c>
      <c r="C91" s="1178">
        <v>0</v>
      </c>
      <c r="D91" s="1178">
        <v>0</v>
      </c>
      <c r="E91" s="1178">
        <v>0</v>
      </c>
      <c r="F91" s="1178">
        <v>0</v>
      </c>
      <c r="G91" s="1178">
        <v>0</v>
      </c>
      <c r="H91" s="1178">
        <v>0</v>
      </c>
      <c r="I91" s="1178">
        <v>0</v>
      </c>
      <c r="J91" s="1178">
        <v>0</v>
      </c>
      <c r="K91" s="1178">
        <v>0</v>
      </c>
      <c r="L91" s="1178">
        <v>0</v>
      </c>
      <c r="M91" s="1178">
        <v>0</v>
      </c>
      <c r="N91" s="1178">
        <v>0</v>
      </c>
      <c r="O91" s="1179">
        <f t="shared" si="23"/>
        <v>0</v>
      </c>
      <c r="P91" s="1180">
        <f>O91/M!$Q$14</f>
        <v>0</v>
      </c>
      <c r="Q91" s="1235"/>
      <c r="R91" s="1235"/>
      <c r="S91" s="1235"/>
      <c r="T91" s="1235"/>
      <c r="U91" s="1235"/>
      <c r="V91" s="1235"/>
      <c r="W91" s="1235"/>
    </row>
    <row r="92" spans="1:23" ht="12.75">
      <c r="A92" s="2218"/>
      <c r="B92" s="1176" t="s">
        <v>402</v>
      </c>
      <c r="C92" s="1178">
        <v>0</v>
      </c>
      <c r="D92" s="1178">
        <v>0</v>
      </c>
      <c r="E92" s="1178">
        <v>0</v>
      </c>
      <c r="F92" s="1178">
        <v>0</v>
      </c>
      <c r="G92" s="1178">
        <v>0</v>
      </c>
      <c r="H92" s="1178">
        <v>0</v>
      </c>
      <c r="I92" s="1178">
        <v>0</v>
      </c>
      <c r="J92" s="1178">
        <v>0</v>
      </c>
      <c r="K92" s="1178">
        <v>0</v>
      </c>
      <c r="L92" s="1178">
        <v>0</v>
      </c>
      <c r="M92" s="1178">
        <v>0</v>
      </c>
      <c r="N92" s="1178">
        <v>0</v>
      </c>
      <c r="O92" s="1179">
        <f t="shared" si="23"/>
        <v>0</v>
      </c>
      <c r="P92" s="1180">
        <f>O92/M!$Q$14</f>
        <v>0</v>
      </c>
      <c r="Q92" s="1235"/>
      <c r="R92" s="1235"/>
      <c r="S92" s="1235"/>
      <c r="T92" s="1235"/>
      <c r="U92" s="1235"/>
      <c r="V92" s="1235"/>
      <c r="W92" s="1235"/>
    </row>
    <row r="93" spans="1:23" ht="12.75">
      <c r="A93" s="2219"/>
      <c r="B93" s="1176" t="s">
        <v>403</v>
      </c>
      <c r="C93" s="1177">
        <v>3</v>
      </c>
      <c r="D93" s="1178">
        <v>3</v>
      </c>
      <c r="E93" s="1178">
        <v>3</v>
      </c>
      <c r="F93" s="1178">
        <v>3</v>
      </c>
      <c r="G93" s="1178">
        <v>3</v>
      </c>
      <c r="H93" s="1178">
        <v>3</v>
      </c>
      <c r="I93" s="1178">
        <v>17</v>
      </c>
      <c r="J93" s="1178">
        <v>3</v>
      </c>
      <c r="K93" s="1178">
        <v>3</v>
      </c>
      <c r="L93" s="1178">
        <v>3</v>
      </c>
      <c r="M93" s="1178">
        <v>3</v>
      </c>
      <c r="N93" s="1178">
        <v>3</v>
      </c>
      <c r="O93" s="1179">
        <f t="shared" si="23"/>
        <v>4.166666666666667</v>
      </c>
      <c r="P93" s="1180">
        <f>O93/M!$Q$14</f>
        <v>3.7364041593651104E-4</v>
      </c>
      <c r="Q93" s="1235"/>
      <c r="R93" s="1235"/>
      <c r="S93" s="1235"/>
      <c r="T93" s="1235"/>
      <c r="U93" s="1235"/>
      <c r="V93" s="1235"/>
      <c r="W93" s="1235"/>
    </row>
    <row r="94" spans="1:23" ht="12.75">
      <c r="A94" s="2199" t="s">
        <v>276</v>
      </c>
      <c r="B94" s="2200"/>
      <c r="C94" s="2203">
        <f t="shared" ref="C94:N94" si="24">SUM(C96:C101)</f>
        <v>1054.3333333333335</v>
      </c>
      <c r="D94" s="2203">
        <f t="shared" si="24"/>
        <v>1025.3333333333335</v>
      </c>
      <c r="E94" s="2203">
        <f t="shared" si="24"/>
        <v>1025.3333333333335</v>
      </c>
      <c r="F94" s="2203">
        <f t="shared" si="24"/>
        <v>1025.3333333333335</v>
      </c>
      <c r="G94" s="2203">
        <f t="shared" si="24"/>
        <v>1025.3333333333335</v>
      </c>
      <c r="H94" s="2203">
        <f t="shared" si="24"/>
        <v>1025.3333333333335</v>
      </c>
      <c r="I94" s="2203">
        <f t="shared" si="24"/>
        <v>1246.3333333333335</v>
      </c>
      <c r="J94" s="2203">
        <f t="shared" si="24"/>
        <v>1055.3333333333335</v>
      </c>
      <c r="K94" s="2203">
        <f t="shared" si="24"/>
        <v>1055.3333333333335</v>
      </c>
      <c r="L94" s="2203">
        <f t="shared" si="24"/>
        <v>1089.3333333333335</v>
      </c>
      <c r="M94" s="2203">
        <f t="shared" si="24"/>
        <v>1055.3333333333335</v>
      </c>
      <c r="N94" s="2203">
        <f t="shared" si="24"/>
        <v>1126.3333333333335</v>
      </c>
      <c r="O94" s="2203">
        <f>SUM(O96:O101)</f>
        <v>1067.4166666666667</v>
      </c>
      <c r="P94" s="2205">
        <f>O94/M!$Q$14</f>
        <v>9.5719201754615402E-2</v>
      </c>
      <c r="Q94" s="1235"/>
      <c r="R94" s="1235"/>
      <c r="S94" s="1235"/>
      <c r="T94" s="1235"/>
      <c r="U94" s="1235"/>
      <c r="V94" s="1235"/>
      <c r="W94" s="1235"/>
    </row>
    <row r="95" spans="1:23" ht="12.75">
      <c r="A95" s="2201"/>
      <c r="B95" s="2202"/>
      <c r="C95" s="2204"/>
      <c r="D95" s="2204"/>
      <c r="E95" s="2204"/>
      <c r="F95" s="2204"/>
      <c r="G95" s="2204"/>
      <c r="H95" s="2204"/>
      <c r="I95" s="2204"/>
      <c r="J95" s="2204"/>
      <c r="K95" s="2204"/>
      <c r="L95" s="2204"/>
      <c r="M95" s="2204"/>
      <c r="N95" s="2204"/>
      <c r="O95" s="2204"/>
      <c r="P95" s="2206"/>
      <c r="Q95" s="1235"/>
      <c r="R95" s="1235"/>
      <c r="S95" s="1235"/>
      <c r="T95" s="1235"/>
      <c r="U95" s="1235"/>
      <c r="V95" s="1235"/>
      <c r="W95" s="1235"/>
    </row>
    <row r="96" spans="1:23" ht="12.75">
      <c r="A96" s="2217"/>
      <c r="B96" s="1176" t="s">
        <v>666</v>
      </c>
      <c r="C96" s="1178">
        <f t="shared" ref="C96:H96" si="25">46700/60</f>
        <v>778.33333333333337</v>
      </c>
      <c r="D96" s="1178">
        <f t="shared" si="25"/>
        <v>778.33333333333337</v>
      </c>
      <c r="E96" s="1178">
        <f t="shared" si="25"/>
        <v>778.33333333333337</v>
      </c>
      <c r="F96" s="1178">
        <f t="shared" si="25"/>
        <v>778.33333333333337</v>
      </c>
      <c r="G96" s="1178">
        <f t="shared" si="25"/>
        <v>778.33333333333337</v>
      </c>
      <c r="H96" s="1178">
        <f t="shared" si="25"/>
        <v>778.33333333333337</v>
      </c>
      <c r="I96" s="1178">
        <f t="shared" ref="I96:N96" si="26">46700/60</f>
        <v>778.33333333333337</v>
      </c>
      <c r="J96" s="1178">
        <f t="shared" si="26"/>
        <v>778.33333333333337</v>
      </c>
      <c r="K96" s="1178">
        <f t="shared" si="26"/>
        <v>778.33333333333337</v>
      </c>
      <c r="L96" s="1178">
        <f t="shared" si="26"/>
        <v>778.33333333333337</v>
      </c>
      <c r="M96" s="1178">
        <f t="shared" si="26"/>
        <v>778.33333333333337</v>
      </c>
      <c r="N96" s="1178">
        <f t="shared" si="26"/>
        <v>778.33333333333337</v>
      </c>
      <c r="O96" s="1179">
        <f t="shared" ref="O96:O101" si="27">SUM(C96:N96)/12</f>
        <v>778.33333333333337</v>
      </c>
      <c r="P96" s="1180">
        <f>O96/M!$Q$14</f>
        <v>6.9796029696940265E-2</v>
      </c>
      <c r="Q96" s="1235"/>
      <c r="R96" s="1235"/>
      <c r="S96" s="1235"/>
      <c r="T96" s="1235"/>
      <c r="U96" s="1235"/>
      <c r="V96" s="1235"/>
      <c r="W96" s="1235"/>
    </row>
    <row r="97" spans="1:23" ht="12.75">
      <c r="A97" s="2218"/>
      <c r="B97" s="1176" t="s">
        <v>400</v>
      </c>
      <c r="C97" s="1181">
        <v>179</v>
      </c>
      <c r="D97" s="1182">
        <f t="shared" ref="D97:I97" si="28">ROUNDUP(900/6,0)</f>
        <v>150</v>
      </c>
      <c r="E97" s="1182">
        <f t="shared" si="28"/>
        <v>150</v>
      </c>
      <c r="F97" s="1182">
        <f t="shared" si="28"/>
        <v>150</v>
      </c>
      <c r="G97" s="1182">
        <f t="shared" si="28"/>
        <v>150</v>
      </c>
      <c r="H97" s="1182">
        <f t="shared" si="28"/>
        <v>150</v>
      </c>
      <c r="I97" s="1182">
        <f t="shared" si="28"/>
        <v>150</v>
      </c>
      <c r="J97" s="1182">
        <v>180</v>
      </c>
      <c r="K97" s="1182">
        <v>180</v>
      </c>
      <c r="L97" s="1182">
        <v>180</v>
      </c>
      <c r="M97" s="1182">
        <v>180</v>
      </c>
      <c r="N97" s="1182">
        <v>180</v>
      </c>
      <c r="O97" s="1179">
        <f t="shared" si="27"/>
        <v>164.91666666666666</v>
      </c>
      <c r="P97" s="1180">
        <f>O97/M!$Q$14</f>
        <v>1.4788687662767107E-2</v>
      </c>
      <c r="Q97" s="1235"/>
      <c r="R97" s="1235"/>
      <c r="S97" s="1235"/>
      <c r="T97" s="1235"/>
      <c r="U97" s="1235"/>
      <c r="V97" s="1235"/>
      <c r="W97" s="1235"/>
    </row>
    <row r="98" spans="1:23" ht="12.75">
      <c r="A98" s="2218"/>
      <c r="B98" s="1176" t="s">
        <v>454</v>
      </c>
      <c r="C98" s="1178">
        <v>0</v>
      </c>
      <c r="D98" s="1178">
        <v>0</v>
      </c>
      <c r="E98" s="1178">
        <v>0</v>
      </c>
      <c r="F98" s="1178">
        <v>0</v>
      </c>
      <c r="G98" s="1178">
        <v>0</v>
      </c>
      <c r="H98" s="1178">
        <v>0</v>
      </c>
      <c r="I98" s="1178">
        <v>221</v>
      </c>
      <c r="J98" s="1178">
        <v>0</v>
      </c>
      <c r="K98" s="1178">
        <v>0</v>
      </c>
      <c r="L98" s="1178">
        <v>0</v>
      </c>
      <c r="M98" s="1178">
        <v>0</v>
      </c>
      <c r="N98" s="1178">
        <v>50</v>
      </c>
      <c r="O98" s="1179">
        <f t="shared" si="27"/>
        <v>22.583333333333332</v>
      </c>
      <c r="P98" s="1180">
        <f>O98/M!$Q$14</f>
        <v>2.0251310543758895E-3</v>
      </c>
      <c r="Q98" s="1235"/>
      <c r="R98" s="1235"/>
      <c r="S98" s="1235"/>
      <c r="T98" s="1235"/>
      <c r="U98" s="1235"/>
      <c r="V98" s="1235"/>
      <c r="W98" s="1235"/>
    </row>
    <row r="99" spans="1:23" ht="12.75">
      <c r="A99" s="2218"/>
      <c r="B99" s="1176" t="s">
        <v>407</v>
      </c>
      <c r="C99" s="1178">
        <v>0</v>
      </c>
      <c r="D99" s="1178">
        <v>0</v>
      </c>
      <c r="E99" s="1178">
        <v>0</v>
      </c>
      <c r="F99" s="1178">
        <v>0</v>
      </c>
      <c r="G99" s="1178">
        <v>0</v>
      </c>
      <c r="H99" s="1178">
        <v>0</v>
      </c>
      <c r="I99" s="1178">
        <v>0</v>
      </c>
      <c r="J99" s="1178">
        <v>0</v>
      </c>
      <c r="K99" s="1178">
        <v>0</v>
      </c>
      <c r="L99" s="1178">
        <v>0</v>
      </c>
      <c r="M99" s="1178">
        <v>0</v>
      </c>
      <c r="N99" s="1178">
        <v>0</v>
      </c>
      <c r="O99" s="1179">
        <f t="shared" si="27"/>
        <v>0</v>
      </c>
      <c r="P99" s="1180">
        <f>O99/M!$Q$14</f>
        <v>0</v>
      </c>
      <c r="Q99" s="1235"/>
      <c r="R99" s="1235"/>
      <c r="S99" s="1235"/>
      <c r="T99" s="1235"/>
      <c r="U99" s="1235"/>
      <c r="V99" s="1235"/>
      <c r="W99" s="1235"/>
    </row>
    <row r="100" spans="1:23" ht="12.75">
      <c r="A100" s="2218"/>
      <c r="B100" s="1176" t="s">
        <v>408</v>
      </c>
      <c r="C100" s="1178">
        <v>97</v>
      </c>
      <c r="D100" s="1178">
        <v>97</v>
      </c>
      <c r="E100" s="1178">
        <v>97</v>
      </c>
      <c r="F100" s="1178">
        <v>97</v>
      </c>
      <c r="G100" s="1178">
        <v>97</v>
      </c>
      <c r="H100" s="1178">
        <v>97</v>
      </c>
      <c r="I100" s="1178">
        <v>97</v>
      </c>
      <c r="J100" s="1178">
        <v>97</v>
      </c>
      <c r="K100" s="1178">
        <v>97</v>
      </c>
      <c r="L100" s="1178">
        <v>97</v>
      </c>
      <c r="M100" s="1178">
        <v>97</v>
      </c>
      <c r="N100" s="1178">
        <v>108</v>
      </c>
      <c r="O100" s="1179">
        <f t="shared" si="27"/>
        <v>97.916666666666671</v>
      </c>
      <c r="P100" s="1180">
        <f>O100/M!$Q$14</f>
        <v>8.7805497745080101E-3</v>
      </c>
      <c r="Q100" s="1235"/>
      <c r="R100" s="1235"/>
      <c r="S100" s="1235"/>
      <c r="T100" s="1235"/>
      <c r="U100" s="1235"/>
      <c r="V100" s="1235"/>
      <c r="W100" s="1235"/>
    </row>
    <row r="101" spans="1:23" ht="12.75">
      <c r="A101" s="2219"/>
      <c r="B101" s="1176" t="s">
        <v>409</v>
      </c>
      <c r="C101" s="1178">
        <v>0</v>
      </c>
      <c r="D101" s="1178">
        <v>0</v>
      </c>
      <c r="E101" s="1178">
        <v>0</v>
      </c>
      <c r="F101" s="1178">
        <v>0</v>
      </c>
      <c r="G101" s="1178">
        <v>0</v>
      </c>
      <c r="H101" s="1178">
        <v>0</v>
      </c>
      <c r="I101" s="1178">
        <v>0</v>
      </c>
      <c r="J101" s="1178">
        <v>0</v>
      </c>
      <c r="K101" s="1178">
        <v>0</v>
      </c>
      <c r="L101" s="1178">
        <v>34</v>
      </c>
      <c r="M101" s="1178">
        <v>0</v>
      </c>
      <c r="N101" s="1178">
        <v>10</v>
      </c>
      <c r="O101" s="1179">
        <f t="shared" si="27"/>
        <v>3.6666666666666665</v>
      </c>
      <c r="P101" s="1180">
        <f>O101/M!$Q$14</f>
        <v>3.2880356602412971E-4</v>
      </c>
      <c r="Q101" s="1235"/>
      <c r="R101" s="1235"/>
      <c r="S101" s="1235"/>
      <c r="T101" s="1235"/>
      <c r="U101" s="1235"/>
      <c r="V101" s="1235"/>
      <c r="W101" s="1235"/>
    </row>
    <row r="102" spans="1:23" ht="12.75">
      <c r="A102" s="2199" t="s">
        <v>277</v>
      </c>
      <c r="B102" s="2200"/>
      <c r="C102" s="2203">
        <f t="shared" ref="C102:N102" si="29">SUM(C104:C107)</f>
        <v>171</v>
      </c>
      <c r="D102" s="2203">
        <f t="shared" si="29"/>
        <v>190</v>
      </c>
      <c r="E102" s="2203">
        <f t="shared" si="29"/>
        <v>0</v>
      </c>
      <c r="F102" s="2203">
        <f t="shared" si="29"/>
        <v>446</v>
      </c>
      <c r="G102" s="2203">
        <f t="shared" si="29"/>
        <v>388</v>
      </c>
      <c r="H102" s="2203">
        <f t="shared" si="29"/>
        <v>461</v>
      </c>
      <c r="I102" s="2203">
        <f t="shared" si="29"/>
        <v>186</v>
      </c>
      <c r="J102" s="2203">
        <f t="shared" si="29"/>
        <v>142</v>
      </c>
      <c r="K102" s="2203">
        <f t="shared" si="29"/>
        <v>202</v>
      </c>
      <c r="L102" s="2203">
        <f t="shared" si="29"/>
        <v>249</v>
      </c>
      <c r="M102" s="2203">
        <f t="shared" si="29"/>
        <v>155</v>
      </c>
      <c r="N102" s="2203">
        <f t="shared" si="29"/>
        <v>311</v>
      </c>
      <c r="O102" s="2203">
        <f>SUM(O104:O107)</f>
        <v>241.75</v>
      </c>
      <c r="P102" s="2205">
        <f>O102/M!$Q$14</f>
        <v>2.1678616932636372E-2</v>
      </c>
      <c r="Q102" s="1235"/>
      <c r="R102" s="1235"/>
      <c r="S102" s="1235"/>
      <c r="T102" s="1235"/>
      <c r="U102" s="1235"/>
      <c r="V102" s="1235"/>
      <c r="W102" s="1235"/>
    </row>
    <row r="103" spans="1:23" ht="12.75">
      <c r="A103" s="2201"/>
      <c r="B103" s="2202"/>
      <c r="C103" s="2204"/>
      <c r="D103" s="2204"/>
      <c r="E103" s="2204"/>
      <c r="F103" s="2204"/>
      <c r="G103" s="2204"/>
      <c r="H103" s="2204"/>
      <c r="I103" s="2204"/>
      <c r="J103" s="2204"/>
      <c r="K103" s="2204"/>
      <c r="L103" s="2204"/>
      <c r="M103" s="2204"/>
      <c r="N103" s="2204"/>
      <c r="O103" s="2204"/>
      <c r="P103" s="2206"/>
      <c r="Q103" s="1235"/>
      <c r="R103" s="1235"/>
      <c r="S103" s="1235"/>
      <c r="T103" s="1235"/>
      <c r="U103" s="1235"/>
      <c r="V103" s="1235"/>
      <c r="W103" s="1235"/>
    </row>
    <row r="104" spans="1:23" ht="12.75">
      <c r="A104" s="2217"/>
      <c r="B104" s="1176" t="s">
        <v>410</v>
      </c>
      <c r="C104" s="1177">
        <v>166</v>
      </c>
      <c r="D104" s="1177">
        <v>170</v>
      </c>
      <c r="E104" s="1177">
        <v>0</v>
      </c>
      <c r="F104" s="1177">
        <v>249</v>
      </c>
      <c r="G104" s="1177">
        <v>256</v>
      </c>
      <c r="H104" s="1177">
        <v>348</v>
      </c>
      <c r="I104" s="1178">
        <v>137</v>
      </c>
      <c r="J104" s="1178">
        <v>142</v>
      </c>
      <c r="K104" s="1178">
        <v>187</v>
      </c>
      <c r="L104" s="1178">
        <v>174</v>
      </c>
      <c r="M104" s="1178">
        <v>155</v>
      </c>
      <c r="N104" s="1178">
        <v>173</v>
      </c>
      <c r="O104" s="1179">
        <f>SUM(C104:N104)/12</f>
        <v>179.75</v>
      </c>
      <c r="P104" s="1180">
        <f>O104/M!$Q$14</f>
        <v>1.6118847543501087E-2</v>
      </c>
      <c r="Q104" s="1235"/>
      <c r="R104" s="1235"/>
      <c r="S104" s="1235"/>
      <c r="T104" s="1235"/>
      <c r="U104" s="1235"/>
      <c r="V104" s="1235"/>
      <c r="W104" s="1235"/>
    </row>
    <row r="105" spans="1:23" ht="12.75">
      <c r="A105" s="2218"/>
      <c r="B105" s="1176" t="s">
        <v>457</v>
      </c>
      <c r="C105" s="1177">
        <v>0</v>
      </c>
      <c r="D105" s="1177">
        <v>0</v>
      </c>
      <c r="E105" s="1177">
        <v>0</v>
      </c>
      <c r="F105" s="1177">
        <v>45</v>
      </c>
      <c r="G105" s="1177">
        <v>0</v>
      </c>
      <c r="H105" s="1177">
        <v>0</v>
      </c>
      <c r="I105" s="1178">
        <v>0</v>
      </c>
      <c r="J105" s="1178">
        <v>0</v>
      </c>
      <c r="K105" s="1178">
        <v>0</v>
      </c>
      <c r="L105" s="1178">
        <v>25</v>
      </c>
      <c r="M105" s="1178">
        <v>0</v>
      </c>
      <c r="N105" s="1178">
        <v>102</v>
      </c>
      <c r="O105" s="1179">
        <f>SUM(C105:N105)/12</f>
        <v>14.333333333333334</v>
      </c>
      <c r="P105" s="1180">
        <f>O105/M!$Q$14</f>
        <v>1.285323030821598E-3</v>
      </c>
      <c r="Q105" s="1235"/>
      <c r="R105" s="1235"/>
      <c r="S105" s="1235"/>
      <c r="T105" s="1235"/>
      <c r="U105" s="1235"/>
      <c r="V105" s="1235"/>
      <c r="W105" s="1235"/>
    </row>
    <row r="106" spans="1:23" ht="12.75">
      <c r="A106" s="2218"/>
      <c r="B106" s="1176" t="s">
        <v>458</v>
      </c>
      <c r="C106" s="1177">
        <v>0</v>
      </c>
      <c r="D106" s="1177">
        <v>10</v>
      </c>
      <c r="E106" s="1177">
        <v>0</v>
      </c>
      <c r="F106" s="1177">
        <v>52</v>
      </c>
      <c r="G106" s="1177">
        <v>87</v>
      </c>
      <c r="H106" s="1177">
        <v>68</v>
      </c>
      <c r="I106" s="1178">
        <v>24</v>
      </c>
      <c r="J106" s="1178">
        <v>0</v>
      </c>
      <c r="K106" s="1178">
        <v>15</v>
      </c>
      <c r="L106" s="1178">
        <v>50</v>
      </c>
      <c r="M106" s="1178">
        <v>0</v>
      </c>
      <c r="N106" s="1178">
        <v>36</v>
      </c>
      <c r="O106" s="1179">
        <f>SUM(C106:N106)/12</f>
        <v>28.5</v>
      </c>
      <c r="P106" s="1180">
        <f>O106/M!$Q$14</f>
        <v>2.5557004450057355E-3</v>
      </c>
      <c r="Q106" s="1235"/>
      <c r="R106" s="1235"/>
      <c r="S106" s="1235"/>
      <c r="T106" s="1235"/>
      <c r="U106" s="1235"/>
      <c r="V106" s="1235"/>
      <c r="W106" s="1235"/>
    </row>
    <row r="107" spans="1:23" ht="12.75">
      <c r="A107" s="2219"/>
      <c r="B107" s="1176" t="s">
        <v>459</v>
      </c>
      <c r="C107" s="1177">
        <v>5</v>
      </c>
      <c r="D107" s="1177">
        <v>10</v>
      </c>
      <c r="E107" s="1177">
        <v>0</v>
      </c>
      <c r="F107" s="1177">
        <v>100</v>
      </c>
      <c r="G107" s="1177">
        <v>45</v>
      </c>
      <c r="H107" s="1177">
        <v>45</v>
      </c>
      <c r="I107" s="1178">
        <v>25</v>
      </c>
      <c r="J107" s="1178">
        <v>0</v>
      </c>
      <c r="K107" s="1178">
        <v>0</v>
      </c>
      <c r="L107" s="1178">
        <v>0</v>
      </c>
      <c r="M107" s="1178">
        <v>0</v>
      </c>
      <c r="N107" s="1178">
        <v>0</v>
      </c>
      <c r="O107" s="1179">
        <f>SUM(C107:N107)/12</f>
        <v>19.166666666666668</v>
      </c>
      <c r="P107" s="1180">
        <f>O107/M!$Q$14</f>
        <v>1.7187459133079508E-3</v>
      </c>
      <c r="Q107" s="1235"/>
      <c r="R107" s="1235"/>
      <c r="S107" s="1235"/>
      <c r="T107" s="1235"/>
      <c r="U107" s="1235"/>
      <c r="V107" s="1235"/>
      <c r="W107" s="1235"/>
    </row>
    <row r="108" spans="1:23" ht="12.75">
      <c r="A108" s="2199" t="s">
        <v>278</v>
      </c>
      <c r="B108" s="2200"/>
      <c r="C108" s="2203">
        <f t="shared" ref="C108:J108" si="30">SUM(C110:C111)</f>
        <v>619</v>
      </c>
      <c r="D108" s="2203">
        <f t="shared" si="30"/>
        <v>621</v>
      </c>
      <c r="E108" s="2203">
        <f t="shared" si="30"/>
        <v>0</v>
      </c>
      <c r="F108" s="2203">
        <f t="shared" si="30"/>
        <v>745</v>
      </c>
      <c r="G108" s="2203">
        <f t="shared" si="30"/>
        <v>556</v>
      </c>
      <c r="H108" s="2203">
        <f t="shared" si="30"/>
        <v>1161</v>
      </c>
      <c r="I108" s="2203">
        <f t="shared" si="30"/>
        <v>1237</v>
      </c>
      <c r="J108" s="2203">
        <f t="shared" si="30"/>
        <v>501</v>
      </c>
      <c r="K108" s="2203">
        <f>SUM(K110:K111)</f>
        <v>801</v>
      </c>
      <c r="L108" s="2203">
        <f>SUM(L110:L111)</f>
        <v>772</v>
      </c>
      <c r="M108" s="2203">
        <f>SUM(M110:M111)</f>
        <v>461</v>
      </c>
      <c r="N108" s="2203">
        <f>SUM(N110:N111)</f>
        <v>807</v>
      </c>
      <c r="O108" s="2203">
        <f>SUM(O110:O111)</f>
        <v>690.08333333333326</v>
      </c>
      <c r="P108" s="2205">
        <f>O108/M!$Q$14</f>
        <v>6.1882325687404954E-2</v>
      </c>
      <c r="Q108" s="1235"/>
      <c r="R108" s="1235"/>
      <c r="S108" s="1235"/>
      <c r="T108" s="1235"/>
      <c r="U108" s="1235"/>
      <c r="V108" s="1235"/>
      <c r="W108" s="1235"/>
    </row>
    <row r="109" spans="1:23" ht="12.75">
      <c r="A109" s="2201"/>
      <c r="B109" s="2202"/>
      <c r="C109" s="2204"/>
      <c r="D109" s="2204"/>
      <c r="E109" s="2204"/>
      <c r="F109" s="2204"/>
      <c r="G109" s="2204"/>
      <c r="H109" s="2204"/>
      <c r="I109" s="2204"/>
      <c r="J109" s="2204"/>
      <c r="K109" s="2204"/>
      <c r="L109" s="2204"/>
      <c r="M109" s="2204"/>
      <c r="N109" s="2204"/>
      <c r="O109" s="2204"/>
      <c r="P109" s="2206"/>
      <c r="Q109" s="1235"/>
      <c r="R109" s="1235"/>
      <c r="S109" s="1235"/>
      <c r="T109" s="1235"/>
      <c r="U109" s="1235"/>
      <c r="V109" s="1235"/>
      <c r="W109" s="1235"/>
    </row>
    <row r="110" spans="1:23" ht="12.75">
      <c r="A110" s="2217"/>
      <c r="B110" s="1176" t="s">
        <v>414</v>
      </c>
      <c r="C110" s="1177">
        <v>619</v>
      </c>
      <c r="D110" s="1177">
        <v>621</v>
      </c>
      <c r="E110" s="1177">
        <v>0</v>
      </c>
      <c r="F110" s="1177">
        <v>620</v>
      </c>
      <c r="G110" s="1177">
        <v>493</v>
      </c>
      <c r="H110" s="1177">
        <v>650</v>
      </c>
      <c r="I110" s="1178">
        <v>1011</v>
      </c>
      <c r="J110" s="1178">
        <v>501</v>
      </c>
      <c r="K110" s="1178">
        <v>709</v>
      </c>
      <c r="L110" s="1178">
        <v>598</v>
      </c>
      <c r="M110" s="1178">
        <v>354</v>
      </c>
      <c r="N110" s="1178">
        <v>477</v>
      </c>
      <c r="O110" s="1179">
        <f>SUM(C110:N110)/12</f>
        <v>554.41666666666663</v>
      </c>
      <c r="P110" s="1180">
        <f>O110/M!$Q$14</f>
        <v>4.9716593744512157E-2</v>
      </c>
      <c r="Q110" s="1235"/>
      <c r="R110" s="1235"/>
      <c r="S110" s="1235"/>
      <c r="T110" s="1235"/>
      <c r="U110" s="1235"/>
      <c r="V110" s="1235"/>
      <c r="W110" s="1235"/>
    </row>
    <row r="111" spans="1:23" ht="12.75">
      <c r="A111" s="2219"/>
      <c r="B111" s="1176" t="s">
        <v>278</v>
      </c>
      <c r="C111" s="1177">
        <v>0</v>
      </c>
      <c r="D111" s="1177">
        <v>0</v>
      </c>
      <c r="E111" s="1177">
        <v>0</v>
      </c>
      <c r="F111" s="1177">
        <v>125</v>
      </c>
      <c r="G111" s="1177">
        <v>63</v>
      </c>
      <c r="H111" s="1177">
        <v>511</v>
      </c>
      <c r="I111" s="1178">
        <v>226</v>
      </c>
      <c r="J111" s="1178">
        <v>0</v>
      </c>
      <c r="K111" s="1178">
        <v>92</v>
      </c>
      <c r="L111" s="1178">
        <v>174</v>
      </c>
      <c r="M111" s="1178">
        <v>107</v>
      </c>
      <c r="N111" s="1178">
        <v>330</v>
      </c>
      <c r="O111" s="1179">
        <f>SUM(C111:N111)/12</f>
        <v>135.66666666666666</v>
      </c>
      <c r="P111" s="1180">
        <f>O111/M!$Q$14</f>
        <v>1.2165731942892799E-2</v>
      </c>
      <c r="Q111" s="1235"/>
      <c r="R111" s="1235"/>
      <c r="S111" s="1235"/>
      <c r="T111" s="1235"/>
      <c r="U111" s="1235"/>
      <c r="V111" s="1235"/>
      <c r="W111" s="1235"/>
    </row>
    <row r="112" spans="1:23" ht="12.75">
      <c r="A112" s="2199" t="s">
        <v>279</v>
      </c>
      <c r="B112" s="2200"/>
      <c r="C112" s="2203">
        <f t="shared" ref="C112:N112" si="31">SUM(C114:C121)</f>
        <v>1250</v>
      </c>
      <c r="D112" s="2203">
        <f t="shared" si="31"/>
        <v>1250</v>
      </c>
      <c r="E112" s="2203">
        <f t="shared" si="31"/>
        <v>1260</v>
      </c>
      <c r="F112" s="2203">
        <f t="shared" si="31"/>
        <v>1250</v>
      </c>
      <c r="G112" s="2203">
        <f t="shared" si="31"/>
        <v>1250</v>
      </c>
      <c r="H112" s="2203">
        <f t="shared" si="31"/>
        <v>1250</v>
      </c>
      <c r="I112" s="2203">
        <f t="shared" si="31"/>
        <v>1250</v>
      </c>
      <c r="J112" s="2203">
        <f t="shared" si="31"/>
        <v>1250</v>
      </c>
      <c r="K112" s="2203">
        <f t="shared" si="31"/>
        <v>1250</v>
      </c>
      <c r="L112" s="2203">
        <f t="shared" si="31"/>
        <v>1250</v>
      </c>
      <c r="M112" s="2203">
        <f t="shared" si="31"/>
        <v>1250</v>
      </c>
      <c r="N112" s="2203">
        <f t="shared" si="31"/>
        <v>1260</v>
      </c>
      <c r="O112" s="2203">
        <f>SUM(O114:O121)</f>
        <v>1251.6666666666665</v>
      </c>
      <c r="P112" s="2205">
        <f>O112/M!$Q$14</f>
        <v>0.1122415809473279</v>
      </c>
      <c r="Q112" s="1235"/>
      <c r="R112" s="1235"/>
      <c r="S112" s="1235"/>
      <c r="T112" s="1235"/>
      <c r="U112" s="1235"/>
      <c r="V112" s="1235"/>
      <c r="W112" s="1235"/>
    </row>
    <row r="113" spans="1:23" ht="12.75">
      <c r="A113" s="2201"/>
      <c r="B113" s="2202"/>
      <c r="C113" s="2204"/>
      <c r="D113" s="2204"/>
      <c r="E113" s="2204"/>
      <c r="F113" s="2204"/>
      <c r="G113" s="2204"/>
      <c r="H113" s="2204"/>
      <c r="I113" s="2204"/>
      <c r="J113" s="2204"/>
      <c r="K113" s="2204"/>
      <c r="L113" s="2204"/>
      <c r="M113" s="2204"/>
      <c r="N113" s="2204"/>
      <c r="O113" s="2204"/>
      <c r="P113" s="2206"/>
      <c r="Q113" s="1235"/>
      <c r="R113" s="1235"/>
      <c r="S113" s="1235"/>
      <c r="T113" s="1235"/>
      <c r="U113" s="1235"/>
      <c r="V113" s="1235"/>
      <c r="W113" s="1235"/>
    </row>
    <row r="114" spans="1:23" ht="12.75">
      <c r="A114" s="2217"/>
      <c r="B114" s="1176" t="s">
        <v>415</v>
      </c>
      <c r="C114" s="1182">
        <v>500</v>
      </c>
      <c r="D114" s="1182">
        <v>500</v>
      </c>
      <c r="E114" s="1182">
        <v>500</v>
      </c>
      <c r="F114" s="1182">
        <v>500</v>
      </c>
      <c r="G114" s="1182">
        <v>500</v>
      </c>
      <c r="H114" s="1182">
        <v>500</v>
      </c>
      <c r="I114" s="1182">
        <v>500</v>
      </c>
      <c r="J114" s="1182">
        <v>500</v>
      </c>
      <c r="K114" s="1182">
        <v>500</v>
      </c>
      <c r="L114" s="1182">
        <v>500</v>
      </c>
      <c r="M114" s="1182">
        <v>500</v>
      </c>
      <c r="N114" s="1182">
        <v>500</v>
      </c>
      <c r="O114" s="1179">
        <f t="shared" ref="O114:O121" si="32">SUM(C114:N114)/12</f>
        <v>500</v>
      </c>
      <c r="P114" s="1180">
        <f>O114/M!$Q$14</f>
        <v>4.4836849912381328E-2</v>
      </c>
      <c r="Q114" s="1235"/>
      <c r="R114" s="1235"/>
      <c r="S114" s="1235"/>
      <c r="T114" s="1235"/>
      <c r="U114" s="1235"/>
      <c r="V114" s="1235"/>
      <c r="W114" s="1235"/>
    </row>
    <row r="115" spans="1:23" ht="12.75">
      <c r="A115" s="2218"/>
      <c r="B115" s="1176" t="s">
        <v>416</v>
      </c>
      <c r="C115" s="1182">
        <v>100</v>
      </c>
      <c r="D115" s="1182">
        <v>100</v>
      </c>
      <c r="E115" s="1182">
        <v>100</v>
      </c>
      <c r="F115" s="1182">
        <v>100</v>
      </c>
      <c r="G115" s="1182">
        <v>100</v>
      </c>
      <c r="H115" s="1182">
        <v>100</v>
      </c>
      <c r="I115" s="1182">
        <v>100</v>
      </c>
      <c r="J115" s="1182">
        <v>100</v>
      </c>
      <c r="K115" s="1182">
        <v>100</v>
      </c>
      <c r="L115" s="1182">
        <v>100</v>
      </c>
      <c r="M115" s="1182">
        <v>100</v>
      </c>
      <c r="N115" s="1182">
        <v>100</v>
      </c>
      <c r="O115" s="1179">
        <f t="shared" si="32"/>
        <v>100</v>
      </c>
      <c r="P115" s="1180">
        <f>O115/M!$Q$14</f>
        <v>8.9673699824762646E-3</v>
      </c>
      <c r="Q115" s="1235"/>
      <c r="R115" s="1235"/>
      <c r="S115" s="1235"/>
      <c r="T115" s="1235"/>
      <c r="U115" s="1235"/>
      <c r="V115" s="1235"/>
      <c r="W115" s="1235"/>
    </row>
    <row r="116" spans="1:23" ht="12.75">
      <c r="A116" s="2218"/>
      <c r="B116" s="1176" t="s">
        <v>417</v>
      </c>
      <c r="C116" s="1182">
        <v>100</v>
      </c>
      <c r="D116" s="1182">
        <v>100</v>
      </c>
      <c r="E116" s="1182">
        <v>100</v>
      </c>
      <c r="F116" s="1182">
        <v>100</v>
      </c>
      <c r="G116" s="1182">
        <v>100</v>
      </c>
      <c r="H116" s="1182">
        <v>100</v>
      </c>
      <c r="I116" s="1182">
        <v>100</v>
      </c>
      <c r="J116" s="1182">
        <v>100</v>
      </c>
      <c r="K116" s="1182">
        <v>100</v>
      </c>
      <c r="L116" s="1182">
        <v>100</v>
      </c>
      <c r="M116" s="1182">
        <v>100</v>
      </c>
      <c r="N116" s="1182">
        <v>100</v>
      </c>
      <c r="O116" s="1179">
        <f t="shared" si="32"/>
        <v>100</v>
      </c>
      <c r="P116" s="1180">
        <f>O116/M!$Q$14</f>
        <v>8.9673699824762646E-3</v>
      </c>
      <c r="Q116" s="1235"/>
      <c r="R116" s="1235"/>
      <c r="S116" s="1235"/>
      <c r="T116" s="1235"/>
      <c r="U116" s="1235"/>
      <c r="V116" s="1235"/>
      <c r="W116" s="1235"/>
    </row>
    <row r="117" spans="1:23" ht="12.75">
      <c r="A117" s="2218"/>
      <c r="B117" s="1176" t="s">
        <v>410</v>
      </c>
      <c r="C117" s="1182">
        <v>200</v>
      </c>
      <c r="D117" s="1182">
        <v>200</v>
      </c>
      <c r="E117" s="1182">
        <v>200</v>
      </c>
      <c r="F117" s="1182">
        <v>200</v>
      </c>
      <c r="G117" s="1182">
        <v>200</v>
      </c>
      <c r="H117" s="1182">
        <v>200</v>
      </c>
      <c r="I117" s="1182">
        <v>200</v>
      </c>
      <c r="J117" s="1182">
        <v>200</v>
      </c>
      <c r="K117" s="1182">
        <v>200</v>
      </c>
      <c r="L117" s="1182">
        <v>200</v>
      </c>
      <c r="M117" s="1182">
        <v>200</v>
      </c>
      <c r="N117" s="1182">
        <v>200</v>
      </c>
      <c r="O117" s="1179">
        <f t="shared" si="32"/>
        <v>200</v>
      </c>
      <c r="P117" s="1180">
        <f>O117/M!$Q$14</f>
        <v>1.7934739964952529E-2</v>
      </c>
      <c r="Q117" s="1235"/>
      <c r="R117" s="1235"/>
      <c r="S117" s="1235"/>
      <c r="T117" s="1235"/>
      <c r="U117" s="1235"/>
      <c r="V117" s="1235"/>
      <c r="W117" s="1235"/>
    </row>
    <row r="118" spans="1:23" ht="12.75">
      <c r="A118" s="2218"/>
      <c r="B118" s="1176" t="s">
        <v>418</v>
      </c>
      <c r="C118" s="1182">
        <v>120</v>
      </c>
      <c r="D118" s="1182">
        <v>120</v>
      </c>
      <c r="E118" s="1182">
        <v>120</v>
      </c>
      <c r="F118" s="1182">
        <v>120</v>
      </c>
      <c r="G118" s="1182">
        <v>120</v>
      </c>
      <c r="H118" s="1182">
        <v>120</v>
      </c>
      <c r="I118" s="1182">
        <v>120</v>
      </c>
      <c r="J118" s="1182">
        <v>120</v>
      </c>
      <c r="K118" s="1182">
        <v>120</v>
      </c>
      <c r="L118" s="1182">
        <v>120</v>
      </c>
      <c r="M118" s="1182">
        <v>120</v>
      </c>
      <c r="N118" s="1182">
        <v>120</v>
      </c>
      <c r="O118" s="1179">
        <f t="shared" si="32"/>
        <v>120</v>
      </c>
      <c r="P118" s="1180">
        <f>O118/M!$Q$14</f>
        <v>1.0760843978971518E-2</v>
      </c>
      <c r="Q118" s="1235"/>
      <c r="R118" s="1235"/>
      <c r="S118" s="1235"/>
      <c r="T118" s="1235"/>
      <c r="U118" s="1235"/>
      <c r="V118" s="1235"/>
      <c r="W118" s="1235"/>
    </row>
    <row r="119" spans="1:23" ht="12.75">
      <c r="A119" s="2218"/>
      <c r="B119" s="1176" t="s">
        <v>419</v>
      </c>
      <c r="C119" s="1182">
        <v>0</v>
      </c>
      <c r="D119" s="1182">
        <v>0</v>
      </c>
      <c r="E119" s="1182">
        <v>0</v>
      </c>
      <c r="F119" s="1182">
        <v>0</v>
      </c>
      <c r="G119" s="1182">
        <v>0</v>
      </c>
      <c r="H119" s="1182">
        <v>0</v>
      </c>
      <c r="I119" s="1182">
        <v>0</v>
      </c>
      <c r="J119" s="1182">
        <v>0</v>
      </c>
      <c r="K119" s="1182">
        <v>0</v>
      </c>
      <c r="L119" s="1182">
        <v>0</v>
      </c>
      <c r="M119" s="1182">
        <v>0</v>
      </c>
      <c r="N119" s="1182">
        <v>0</v>
      </c>
      <c r="O119" s="1179">
        <f t="shared" si="32"/>
        <v>0</v>
      </c>
      <c r="P119" s="1180">
        <f>O119/M!$Q$14</f>
        <v>0</v>
      </c>
      <c r="Q119" s="1235"/>
      <c r="R119" s="1235"/>
      <c r="S119" s="1235"/>
      <c r="T119" s="1235"/>
      <c r="U119" s="1235"/>
      <c r="V119" s="1235"/>
      <c r="W119" s="1235"/>
    </row>
    <row r="120" spans="1:23" ht="12.75">
      <c r="A120" s="2218"/>
      <c r="B120" s="1176" t="s">
        <v>460</v>
      </c>
      <c r="C120" s="1182">
        <v>0</v>
      </c>
      <c r="D120" s="1182">
        <v>0</v>
      </c>
      <c r="E120" s="1182">
        <v>10</v>
      </c>
      <c r="F120" s="1182">
        <v>0</v>
      </c>
      <c r="G120" s="1182">
        <v>0</v>
      </c>
      <c r="H120" s="1182">
        <v>0</v>
      </c>
      <c r="I120" s="1182">
        <v>0</v>
      </c>
      <c r="J120" s="1182">
        <v>0</v>
      </c>
      <c r="K120" s="1182">
        <v>0</v>
      </c>
      <c r="L120" s="1182">
        <v>0</v>
      </c>
      <c r="M120" s="1182">
        <v>0</v>
      </c>
      <c r="N120" s="1182">
        <v>10</v>
      </c>
      <c r="O120" s="1179">
        <f t="shared" si="32"/>
        <v>1.6666666666666667</v>
      </c>
      <c r="P120" s="1180">
        <f>O120/M!$Q$14</f>
        <v>1.4945616637460443E-4</v>
      </c>
      <c r="Q120" s="1235"/>
      <c r="R120" s="1235"/>
      <c r="S120" s="1235"/>
      <c r="T120" s="1235"/>
      <c r="U120" s="1235"/>
      <c r="V120" s="1235"/>
      <c r="W120" s="1235"/>
    </row>
    <row r="121" spans="1:23" ht="12.75">
      <c r="A121" s="2219"/>
      <c r="B121" s="1176" t="s">
        <v>421</v>
      </c>
      <c r="C121" s="1182">
        <v>230</v>
      </c>
      <c r="D121" s="1182">
        <v>230</v>
      </c>
      <c r="E121" s="1182">
        <v>230</v>
      </c>
      <c r="F121" s="1182">
        <v>230</v>
      </c>
      <c r="G121" s="1182">
        <v>230</v>
      </c>
      <c r="H121" s="1182">
        <v>230</v>
      </c>
      <c r="I121" s="1182">
        <v>230</v>
      </c>
      <c r="J121" s="1182">
        <v>230</v>
      </c>
      <c r="K121" s="1182">
        <v>230</v>
      </c>
      <c r="L121" s="1182">
        <v>230</v>
      </c>
      <c r="M121" s="1182">
        <v>230</v>
      </c>
      <c r="N121" s="1182">
        <v>230</v>
      </c>
      <c r="O121" s="1179">
        <f t="shared" si="32"/>
        <v>230</v>
      </c>
      <c r="P121" s="1180">
        <f>O121/M!$Q$14</f>
        <v>2.0624950959695409E-2</v>
      </c>
      <c r="Q121" s="1235"/>
      <c r="R121" s="1235"/>
      <c r="S121" s="1235"/>
      <c r="T121" s="1235"/>
      <c r="U121" s="1235"/>
      <c r="V121" s="1235"/>
      <c r="W121" s="1235"/>
    </row>
    <row r="122" spans="1:23" ht="12.75">
      <c r="A122" s="2199" t="s">
        <v>280</v>
      </c>
      <c r="B122" s="2200"/>
      <c r="C122" s="2203">
        <f t="shared" ref="C122:O122" si="33">SUM(C124:C130)</f>
        <v>438</v>
      </c>
      <c r="D122" s="2203">
        <f t="shared" si="33"/>
        <v>388</v>
      </c>
      <c r="E122" s="2203">
        <f t="shared" si="33"/>
        <v>0</v>
      </c>
      <c r="F122" s="2203">
        <f t="shared" si="33"/>
        <v>2352</v>
      </c>
      <c r="G122" s="2203">
        <f t="shared" si="33"/>
        <v>290</v>
      </c>
      <c r="H122" s="2203">
        <f t="shared" si="33"/>
        <v>2581</v>
      </c>
      <c r="I122" s="2203">
        <f t="shared" si="33"/>
        <v>884</v>
      </c>
      <c r="J122" s="2203">
        <f t="shared" si="33"/>
        <v>482</v>
      </c>
      <c r="K122" s="2203">
        <f t="shared" si="33"/>
        <v>334</v>
      </c>
      <c r="L122" s="2203">
        <f t="shared" si="33"/>
        <v>1518</v>
      </c>
      <c r="M122" s="2203">
        <f t="shared" si="33"/>
        <v>1306</v>
      </c>
      <c r="N122" s="2203">
        <f t="shared" si="33"/>
        <v>7174</v>
      </c>
      <c r="O122" s="2203">
        <f t="shared" si="33"/>
        <v>1478.9166666666665</v>
      </c>
      <c r="P122" s="2205">
        <f>O122/M!$Q$14</f>
        <v>0.13261992923250521</v>
      </c>
      <c r="Q122" s="1235"/>
      <c r="R122" s="1235"/>
      <c r="S122" s="1235"/>
      <c r="T122" s="1235"/>
      <c r="U122" s="1235"/>
      <c r="V122" s="1235"/>
      <c r="W122" s="1235"/>
    </row>
    <row r="123" spans="1:23" ht="12.75">
      <c r="A123" s="2201"/>
      <c r="B123" s="2202"/>
      <c r="C123" s="2204"/>
      <c r="D123" s="2204"/>
      <c r="E123" s="2204"/>
      <c r="F123" s="2204"/>
      <c r="G123" s="2204"/>
      <c r="H123" s="2204"/>
      <c r="I123" s="2204"/>
      <c r="J123" s="2204"/>
      <c r="K123" s="2204"/>
      <c r="L123" s="2204"/>
      <c r="M123" s="2204"/>
      <c r="N123" s="2204"/>
      <c r="O123" s="2204"/>
      <c r="P123" s="2206"/>
      <c r="Q123" s="1235"/>
      <c r="R123" s="1235"/>
      <c r="S123" s="1235"/>
      <c r="T123" s="1235"/>
      <c r="U123" s="1235"/>
      <c r="V123" s="1235"/>
      <c r="W123" s="1235"/>
    </row>
    <row r="124" spans="1:23" ht="12.75">
      <c r="A124" s="2217"/>
      <c r="B124" s="1176" t="s">
        <v>280</v>
      </c>
      <c r="C124" s="1177">
        <v>123</v>
      </c>
      <c r="D124" s="1177">
        <v>119</v>
      </c>
      <c r="E124" s="1177">
        <v>0</v>
      </c>
      <c r="F124" s="1177">
        <v>45</v>
      </c>
      <c r="G124" s="1177">
        <v>136</v>
      </c>
      <c r="H124" s="1177" t="s">
        <v>670</v>
      </c>
      <c r="I124" s="1178">
        <v>407</v>
      </c>
      <c r="J124" s="1178">
        <v>156</v>
      </c>
      <c r="K124" s="1177">
        <v>119</v>
      </c>
      <c r="L124" s="1182">
        <v>208</v>
      </c>
      <c r="M124" s="1182">
        <v>378</v>
      </c>
      <c r="N124" s="1182">
        <v>350</v>
      </c>
      <c r="O124" s="1179">
        <f t="shared" ref="O124:O130" si="34">SUM(C124:N124)/12</f>
        <v>170.08333333333334</v>
      </c>
      <c r="P124" s="1180">
        <f>O124/M!$Q$14</f>
        <v>1.5252001778528382E-2</v>
      </c>
      <c r="Q124" s="1235"/>
      <c r="R124" s="1235"/>
      <c r="S124" s="1235"/>
      <c r="T124" s="1235"/>
      <c r="U124" s="1235"/>
      <c r="V124" s="1235"/>
      <c r="W124" s="1235"/>
    </row>
    <row r="125" spans="1:23" ht="12.75">
      <c r="A125" s="2218"/>
      <c r="B125" s="1176" t="s">
        <v>423</v>
      </c>
      <c r="C125" s="1177">
        <v>76</v>
      </c>
      <c r="D125" s="1177">
        <v>29</v>
      </c>
      <c r="E125" s="1177">
        <v>0</v>
      </c>
      <c r="F125" s="1177">
        <v>60</v>
      </c>
      <c r="G125" s="1177">
        <v>0</v>
      </c>
      <c r="H125" s="1177">
        <v>144</v>
      </c>
      <c r="I125" s="1178">
        <v>60</v>
      </c>
      <c r="J125" s="1178">
        <v>0</v>
      </c>
      <c r="K125" s="1177">
        <v>45</v>
      </c>
      <c r="L125" s="1182">
        <v>65</v>
      </c>
      <c r="M125" s="1182">
        <v>301</v>
      </c>
      <c r="N125" s="1182">
        <v>296</v>
      </c>
      <c r="O125" s="1179">
        <f t="shared" si="34"/>
        <v>89.666666666666671</v>
      </c>
      <c r="P125" s="1180">
        <f>O125/M!$Q$14</f>
        <v>8.0407417509537182E-3</v>
      </c>
      <c r="Q125" s="1235"/>
      <c r="R125" s="1235"/>
      <c r="S125" s="1235"/>
      <c r="T125" s="1235"/>
      <c r="U125" s="1235"/>
      <c r="V125" s="1235"/>
      <c r="W125" s="1235"/>
    </row>
    <row r="126" spans="1:23" ht="12.75">
      <c r="A126" s="2218"/>
      <c r="B126" s="1176" t="s">
        <v>424</v>
      </c>
      <c r="C126" s="1177">
        <v>0</v>
      </c>
      <c r="D126" s="1177">
        <v>0</v>
      </c>
      <c r="E126" s="1177">
        <v>0</v>
      </c>
      <c r="F126" s="1177">
        <v>0</v>
      </c>
      <c r="G126" s="1177">
        <v>52</v>
      </c>
      <c r="H126" s="1177">
        <v>1267</v>
      </c>
      <c r="I126" s="1182">
        <v>0</v>
      </c>
      <c r="J126" s="1178">
        <v>0</v>
      </c>
      <c r="K126" s="1177">
        <v>0</v>
      </c>
      <c r="L126" s="1182">
        <v>0</v>
      </c>
      <c r="M126" s="1182">
        <v>0</v>
      </c>
      <c r="N126" s="1182">
        <v>0</v>
      </c>
      <c r="O126" s="1179">
        <f t="shared" si="34"/>
        <v>109.91666666666667</v>
      </c>
      <c r="P126" s="1180">
        <f>O126/M!$Q$14</f>
        <v>9.8566341724051609E-3</v>
      </c>
      <c r="Q126" s="1235"/>
      <c r="R126" s="1235"/>
      <c r="S126" s="1235"/>
      <c r="T126" s="1235"/>
      <c r="U126" s="1235"/>
      <c r="V126" s="1235"/>
      <c r="W126" s="1235"/>
    </row>
    <row r="127" spans="1:23" ht="12.75">
      <c r="A127" s="2218"/>
      <c r="B127" s="1176" t="s">
        <v>425</v>
      </c>
      <c r="C127" s="1177">
        <v>0</v>
      </c>
      <c r="D127" s="1177">
        <v>0</v>
      </c>
      <c r="E127" s="1177">
        <v>0</v>
      </c>
      <c r="F127" s="1177">
        <v>0</v>
      </c>
      <c r="G127" s="1177">
        <v>0</v>
      </c>
      <c r="H127" s="1177">
        <v>53</v>
      </c>
      <c r="I127" s="1178">
        <v>61</v>
      </c>
      <c r="J127" s="1178">
        <v>0</v>
      </c>
      <c r="K127" s="1177">
        <v>0</v>
      </c>
      <c r="L127" s="1182">
        <v>0</v>
      </c>
      <c r="M127" s="1182">
        <v>0</v>
      </c>
      <c r="N127" s="1182">
        <v>0</v>
      </c>
      <c r="O127" s="1179">
        <f t="shared" si="34"/>
        <v>9.5</v>
      </c>
      <c r="P127" s="1180">
        <f>O127/M!$Q$14</f>
        <v>8.5190014833524518E-4</v>
      </c>
      <c r="Q127" s="1235"/>
      <c r="R127" s="1235"/>
      <c r="S127" s="1235"/>
      <c r="T127" s="1235"/>
      <c r="U127" s="1235"/>
      <c r="V127" s="1235"/>
      <c r="W127" s="1235"/>
    </row>
    <row r="128" spans="1:23" ht="12.75">
      <c r="A128" s="2218"/>
      <c r="B128" s="1176" t="s">
        <v>667</v>
      </c>
      <c r="C128" s="1177">
        <v>145</v>
      </c>
      <c r="D128" s="1177">
        <v>98</v>
      </c>
      <c r="E128" s="1177">
        <v>0</v>
      </c>
      <c r="F128" s="1182">
        <v>120</v>
      </c>
      <c r="G128" s="1177">
        <v>0</v>
      </c>
      <c r="H128" s="1177">
        <v>30</v>
      </c>
      <c r="I128" s="1178">
        <v>245</v>
      </c>
      <c r="J128" s="1178">
        <v>222</v>
      </c>
      <c r="K128" s="1177">
        <v>68</v>
      </c>
      <c r="L128" s="1182">
        <v>0</v>
      </c>
      <c r="M128" s="1182">
        <v>65</v>
      </c>
      <c r="N128" s="1182">
        <v>224</v>
      </c>
      <c r="O128" s="1179">
        <f t="shared" si="34"/>
        <v>101.41666666666667</v>
      </c>
      <c r="P128" s="1180">
        <f>O128/M!$Q$14</f>
        <v>9.0944077238946791E-3</v>
      </c>
      <c r="Q128" s="1235"/>
      <c r="R128" s="1235"/>
      <c r="S128" s="1235"/>
      <c r="T128" s="1235"/>
      <c r="U128" s="1235"/>
      <c r="V128" s="1235"/>
      <c r="W128" s="1235"/>
    </row>
    <row r="129" spans="1:23" ht="12.75">
      <c r="A129" s="2218"/>
      <c r="B129" s="1176" t="s">
        <v>427</v>
      </c>
      <c r="C129" s="1177">
        <v>94</v>
      </c>
      <c r="D129" s="1177">
        <v>94</v>
      </c>
      <c r="E129" s="1177">
        <v>0</v>
      </c>
      <c r="F129" s="1177">
        <v>94</v>
      </c>
      <c r="G129" s="1177">
        <v>94</v>
      </c>
      <c r="H129" s="1177">
        <v>94</v>
      </c>
      <c r="I129" s="1177">
        <v>94</v>
      </c>
      <c r="J129" s="1177">
        <v>94</v>
      </c>
      <c r="K129" s="1177">
        <v>94</v>
      </c>
      <c r="L129" s="1177">
        <v>94</v>
      </c>
      <c r="M129" s="1177">
        <v>94</v>
      </c>
      <c r="N129" s="1177">
        <v>94</v>
      </c>
      <c r="O129" s="1179">
        <f t="shared" si="34"/>
        <v>86.166666666666671</v>
      </c>
      <c r="P129" s="1180">
        <f>O129/M!$Q$14</f>
        <v>7.7268838015670483E-3</v>
      </c>
      <c r="Q129" s="1235"/>
      <c r="R129" s="1235"/>
      <c r="S129" s="1235"/>
      <c r="T129" s="1235"/>
      <c r="U129" s="1235"/>
      <c r="V129" s="1235"/>
      <c r="W129" s="1235"/>
    </row>
    <row r="130" spans="1:23" ht="12.75">
      <c r="A130" s="2219"/>
      <c r="B130" s="1176" t="s">
        <v>381</v>
      </c>
      <c r="C130" s="1177">
        <v>0</v>
      </c>
      <c r="D130" s="1177">
        <v>48</v>
      </c>
      <c r="E130" s="1177">
        <v>0</v>
      </c>
      <c r="F130" s="1182">
        <f xml:space="preserve"> 2841 - 808</f>
        <v>2033</v>
      </c>
      <c r="G130" s="1177">
        <v>8</v>
      </c>
      <c r="H130" s="1182">
        <v>993</v>
      </c>
      <c r="I130" s="1178">
        <v>17</v>
      </c>
      <c r="J130" s="1178">
        <v>10</v>
      </c>
      <c r="K130" s="1177">
        <v>8</v>
      </c>
      <c r="L130" s="1182">
        <v>1151</v>
      </c>
      <c r="M130" s="1182">
        <v>468</v>
      </c>
      <c r="N130" s="1182">
        <v>6210</v>
      </c>
      <c r="O130" s="1179">
        <f t="shared" si="34"/>
        <v>912.16666666666663</v>
      </c>
      <c r="P130" s="1180">
        <f>O130/M!$Q$14</f>
        <v>8.1797359856820989E-2</v>
      </c>
      <c r="Q130" s="1235"/>
      <c r="R130" s="1235"/>
      <c r="S130" s="1235"/>
      <c r="T130" s="1235"/>
      <c r="U130" s="1235"/>
      <c r="V130" s="1235"/>
      <c r="W130" s="1235"/>
    </row>
    <row r="131" spans="1:23" ht="12.75">
      <c r="A131" s="2199" t="s">
        <v>428</v>
      </c>
      <c r="B131" s="2200"/>
      <c r="C131" s="2203">
        <f>SUM(C133:C134)</f>
        <v>985.4</v>
      </c>
      <c r="D131" s="2203">
        <f t="shared" ref="D131:N131" si="35">SUM(D133:D134)</f>
        <v>1170.9000000000001</v>
      </c>
      <c r="E131" s="2203">
        <f t="shared" si="35"/>
        <v>1077.9000000000001</v>
      </c>
      <c r="F131" s="2203">
        <f t="shared" si="35"/>
        <v>985.4</v>
      </c>
      <c r="G131" s="2203">
        <f t="shared" si="35"/>
        <v>985.4</v>
      </c>
      <c r="H131" s="2203">
        <f t="shared" si="35"/>
        <v>634</v>
      </c>
      <c r="I131" s="2203">
        <f t="shared" si="35"/>
        <v>634</v>
      </c>
      <c r="J131" s="2203">
        <f t="shared" si="35"/>
        <v>1001</v>
      </c>
      <c r="K131" s="2203">
        <f t="shared" si="35"/>
        <v>1001</v>
      </c>
      <c r="L131" s="2203">
        <f t="shared" si="35"/>
        <v>1001</v>
      </c>
      <c r="M131" s="2203">
        <f t="shared" si="35"/>
        <v>1001</v>
      </c>
      <c r="N131" s="2203">
        <f t="shared" si="35"/>
        <v>1001</v>
      </c>
      <c r="O131" s="2203">
        <f>SUM(O133:O134)</f>
        <v>956.5</v>
      </c>
      <c r="P131" s="2205">
        <f>O131/M!$Q$14</f>
        <v>8.5772893882385473E-2</v>
      </c>
      <c r="Q131" s="1235"/>
      <c r="R131" s="1235"/>
      <c r="S131" s="1235"/>
      <c r="T131" s="1235"/>
      <c r="U131" s="1235"/>
      <c r="V131" s="1235"/>
      <c r="W131" s="1235"/>
    </row>
    <row r="132" spans="1:23" ht="12.75">
      <c r="A132" s="2201"/>
      <c r="B132" s="2202"/>
      <c r="C132" s="2204"/>
      <c r="D132" s="2204"/>
      <c r="E132" s="2204"/>
      <c r="F132" s="2204"/>
      <c r="G132" s="2204"/>
      <c r="H132" s="2204"/>
      <c r="I132" s="2204"/>
      <c r="J132" s="2204"/>
      <c r="K132" s="2204"/>
      <c r="L132" s="2204"/>
      <c r="M132" s="2204"/>
      <c r="N132" s="2204"/>
      <c r="O132" s="2204"/>
      <c r="P132" s="2206"/>
      <c r="Q132" s="1235"/>
      <c r="R132" s="1235"/>
      <c r="S132" s="1235"/>
      <c r="T132" s="1235"/>
      <c r="U132" s="1235"/>
      <c r="V132" s="1235"/>
      <c r="W132" s="1235"/>
    </row>
    <row r="133" spans="1:23" ht="12.75">
      <c r="A133" s="2217"/>
      <c r="B133" s="1176" t="s">
        <v>429</v>
      </c>
      <c r="C133" s="1177">
        <f xml:space="preserve"> (1457 + 300 )/5</f>
        <v>351.4</v>
      </c>
      <c r="D133" s="1177">
        <f xml:space="preserve"> (1457 + 300)/5  + 185/2 + 93</f>
        <v>536.9</v>
      </c>
      <c r="E133" s="1177">
        <f xml:space="preserve"> (1457 + 300)/5  + 185/2</f>
        <v>443.9</v>
      </c>
      <c r="F133" s="1177">
        <f xml:space="preserve"> (1457 + 300 )/5</f>
        <v>351.4</v>
      </c>
      <c r="G133" s="1177">
        <f xml:space="preserve"> (1457 + 300 )/5</f>
        <v>351.4</v>
      </c>
      <c r="H133" s="1177">
        <v>0</v>
      </c>
      <c r="I133" s="1182">
        <v>0</v>
      </c>
      <c r="J133" s="1182">
        <f xml:space="preserve"> (585 + 495 + 395 + 360)/5</f>
        <v>367</v>
      </c>
      <c r="K133" s="1182">
        <f xml:space="preserve"> (585 + 495 + 395 + 360)/5</f>
        <v>367</v>
      </c>
      <c r="L133" s="1182">
        <f xml:space="preserve"> (585 + 495 + 395 + 360)/5</f>
        <v>367</v>
      </c>
      <c r="M133" s="1182">
        <f xml:space="preserve"> (585 + 495 + 395 + 360)/5</f>
        <v>367</v>
      </c>
      <c r="N133" s="1182">
        <f xml:space="preserve"> (585 + 495 + 395 + 360)/5</f>
        <v>367</v>
      </c>
      <c r="O133" s="1179">
        <f>SUM(C133:N133)/12</f>
        <v>322.5</v>
      </c>
      <c r="P133" s="1180">
        <f>O133/M!$Q$14</f>
        <v>2.8919768193485955E-2</v>
      </c>
      <c r="Q133" s="1235"/>
      <c r="R133" s="1235"/>
      <c r="S133" s="1235"/>
      <c r="T133" s="1235"/>
      <c r="U133" s="1235"/>
      <c r="V133" s="1235"/>
      <c r="W133" s="1235"/>
    </row>
    <row r="134" spans="1:23" ht="12.75">
      <c r="A134" s="2218"/>
      <c r="B134" s="1176" t="s">
        <v>430</v>
      </c>
      <c r="C134" s="1177">
        <v>634</v>
      </c>
      <c r="D134" s="1177">
        <v>634</v>
      </c>
      <c r="E134" s="1177">
        <v>634</v>
      </c>
      <c r="F134" s="1177">
        <v>634</v>
      </c>
      <c r="G134" s="1177">
        <v>634</v>
      </c>
      <c r="H134" s="1177">
        <v>634</v>
      </c>
      <c r="I134" s="1177">
        <v>634</v>
      </c>
      <c r="J134" s="1177">
        <v>634</v>
      </c>
      <c r="K134" s="1177">
        <v>634</v>
      </c>
      <c r="L134" s="1177">
        <v>634</v>
      </c>
      <c r="M134" s="1177">
        <v>634</v>
      </c>
      <c r="N134" s="1177">
        <v>634</v>
      </c>
      <c r="O134" s="1179">
        <f>SUM(C134:N134)/12</f>
        <v>634</v>
      </c>
      <c r="P134" s="1180">
        <f>O134/M!$Q$14</f>
        <v>5.6853125688899518E-2</v>
      </c>
      <c r="Q134" s="1235"/>
      <c r="R134" s="1235"/>
      <c r="S134" s="1235"/>
      <c r="T134" s="1235"/>
      <c r="U134" s="1235"/>
      <c r="V134" s="1235"/>
      <c r="W134" s="1235"/>
    </row>
    <row r="135" spans="1:23" ht="12.75">
      <c r="A135" s="2199" t="s">
        <v>668</v>
      </c>
      <c r="B135" s="2200"/>
      <c r="C135" s="2203">
        <f>SUM(C137:C140)</f>
        <v>413.16666666666669</v>
      </c>
      <c r="D135" s="2203">
        <f t="shared" ref="D135:N135" si="36">SUM(D137:D140)</f>
        <v>313.16666666666669</v>
      </c>
      <c r="E135" s="2203">
        <f t="shared" si="36"/>
        <v>313.16666666666669</v>
      </c>
      <c r="F135" s="2203">
        <f t="shared" si="36"/>
        <v>509.16666666666669</v>
      </c>
      <c r="G135" s="2203">
        <f t="shared" si="36"/>
        <v>385.16666666666669</v>
      </c>
      <c r="H135" s="2203">
        <f t="shared" si="36"/>
        <v>393.16666666666669</v>
      </c>
      <c r="I135" s="2203">
        <f t="shared" si="36"/>
        <v>313.16666666666669</v>
      </c>
      <c r="J135" s="2203">
        <f t="shared" si="36"/>
        <v>313.16666666666669</v>
      </c>
      <c r="K135" s="2203">
        <f t="shared" si="36"/>
        <v>313.16666666666669</v>
      </c>
      <c r="L135" s="2203">
        <f t="shared" si="36"/>
        <v>313.16666666666669</v>
      </c>
      <c r="M135" s="2203">
        <f t="shared" si="36"/>
        <v>373.16666666666669</v>
      </c>
      <c r="N135" s="2203">
        <f t="shared" si="36"/>
        <v>553.16666666666674</v>
      </c>
      <c r="O135" s="2203">
        <f>SUM(O137:O145)</f>
        <v>1941.5</v>
      </c>
      <c r="P135" s="2205">
        <f>O135/M!$Q$14</f>
        <v>0.17410148820977669</v>
      </c>
      <c r="Q135" s="1235"/>
      <c r="R135" s="1235"/>
      <c r="S135" s="1235"/>
      <c r="T135" s="1235"/>
      <c r="U135" s="1235"/>
      <c r="V135" s="1235"/>
      <c r="W135" s="1235"/>
    </row>
    <row r="136" spans="1:23" ht="12.75">
      <c r="A136" s="2201"/>
      <c r="B136" s="2202"/>
      <c r="C136" s="2204"/>
      <c r="D136" s="2204"/>
      <c r="E136" s="2204"/>
      <c r="F136" s="2204"/>
      <c r="G136" s="2204"/>
      <c r="H136" s="2204"/>
      <c r="I136" s="2204"/>
      <c r="J136" s="2204"/>
      <c r="K136" s="2204"/>
      <c r="L136" s="2204"/>
      <c r="M136" s="2204"/>
      <c r="N136" s="2204"/>
      <c r="O136" s="2204"/>
      <c r="P136" s="2206"/>
      <c r="Q136" s="1235"/>
      <c r="R136" s="1235"/>
      <c r="S136" s="1235"/>
      <c r="T136" s="1235"/>
      <c r="U136" s="1235"/>
      <c r="V136" s="1235"/>
      <c r="W136" s="1235"/>
    </row>
    <row r="137" spans="1:23" ht="12.75">
      <c r="A137" s="1183"/>
      <c r="B137" s="1176" t="s">
        <v>432</v>
      </c>
      <c r="C137" s="1184">
        <f>(FinSnapshot!$Q$94+FinSnapshot!$Q$102)/12</f>
        <v>78.166666666666671</v>
      </c>
      <c r="D137" s="1184">
        <f>(FinSnapshot!$Q$94+FinSnapshot!$Q$102)/12</f>
        <v>78.166666666666671</v>
      </c>
      <c r="E137" s="1184">
        <f>(FinSnapshot!$Q$94+FinSnapshot!$Q$102)/12</f>
        <v>78.166666666666671</v>
      </c>
      <c r="F137" s="1184">
        <f>(FinSnapshot!$Q$94+FinSnapshot!$Q$102)/12</f>
        <v>78.166666666666671</v>
      </c>
      <c r="G137" s="1184">
        <f>(FinSnapshot!$Q$94+FinSnapshot!$Q$102)/12</f>
        <v>78.166666666666671</v>
      </c>
      <c r="H137" s="1184">
        <f>(FinSnapshot!$Q$94+FinSnapshot!$Q$102)/12</f>
        <v>78.166666666666671</v>
      </c>
      <c r="I137" s="1184">
        <f>(FinSnapshot!$Q$94+FinSnapshot!$Q$102)/12</f>
        <v>78.166666666666671</v>
      </c>
      <c r="J137" s="1184">
        <f>(FinSnapshot!$Q$94+FinSnapshot!$Q$102)/12</f>
        <v>78.166666666666671</v>
      </c>
      <c r="K137" s="1184">
        <f>(FinSnapshot!$Q$94+FinSnapshot!$Q$102)/12</f>
        <v>78.166666666666671</v>
      </c>
      <c r="L137" s="1184">
        <f>(FinSnapshot!$Q$94+FinSnapshot!$Q$102)/12</f>
        <v>78.166666666666671</v>
      </c>
      <c r="M137" s="1184">
        <f>(FinSnapshot!$Q$94+FinSnapshot!$Q$102)/12</f>
        <v>78.166666666666671</v>
      </c>
      <c r="N137" s="1184">
        <f>(FinSnapshot!$Q$94+FinSnapshot!$Q$102)/12</f>
        <v>78.166666666666671</v>
      </c>
      <c r="O137" s="1185"/>
      <c r="P137" s="1186"/>
      <c r="Q137" s="1235"/>
      <c r="R137" s="1235"/>
      <c r="S137" s="1235"/>
      <c r="T137" s="1235"/>
      <c r="U137" s="1235"/>
      <c r="V137" s="1235"/>
      <c r="W137" s="1235"/>
    </row>
    <row r="138" spans="1:23" ht="12.75">
      <c r="A138" s="1183"/>
      <c r="B138" s="1176" t="s">
        <v>284</v>
      </c>
      <c r="C138" s="1177">
        <v>50</v>
      </c>
      <c r="D138" s="1177">
        <v>0</v>
      </c>
      <c r="E138" s="1177">
        <v>0</v>
      </c>
      <c r="F138" s="1177">
        <v>98</v>
      </c>
      <c r="G138" s="1177">
        <v>36</v>
      </c>
      <c r="H138" s="1177">
        <v>40</v>
      </c>
      <c r="I138" s="1178">
        <v>0</v>
      </c>
      <c r="J138" s="1178">
        <v>0</v>
      </c>
      <c r="K138" s="1177">
        <v>0</v>
      </c>
      <c r="L138" s="1182">
        <v>0</v>
      </c>
      <c r="M138" s="1182">
        <v>30</v>
      </c>
      <c r="N138" s="1182">
        <v>120</v>
      </c>
      <c r="O138" s="1179">
        <f>SUM(C138:N138)/12</f>
        <v>31.166666666666668</v>
      </c>
      <c r="P138" s="1180">
        <f>O138/M!$Q$14</f>
        <v>2.7948303112051028E-3</v>
      </c>
      <c r="Q138" s="1235"/>
      <c r="R138" s="1235"/>
      <c r="S138" s="1235"/>
      <c r="T138" s="1235"/>
      <c r="U138" s="1235"/>
      <c r="V138" s="1235"/>
      <c r="W138" s="1235"/>
    </row>
    <row r="139" spans="1:23" ht="12.75">
      <c r="A139" s="1183"/>
      <c r="B139" s="1176" t="s">
        <v>433</v>
      </c>
      <c r="C139" s="1177">
        <v>50</v>
      </c>
      <c r="D139" s="1177">
        <v>0</v>
      </c>
      <c r="E139" s="1177">
        <v>0</v>
      </c>
      <c r="F139" s="1177">
        <v>98</v>
      </c>
      <c r="G139" s="1177">
        <v>36</v>
      </c>
      <c r="H139" s="1177">
        <v>40</v>
      </c>
      <c r="I139" s="1178">
        <v>0</v>
      </c>
      <c r="J139" s="1178">
        <v>0</v>
      </c>
      <c r="K139" s="1177">
        <v>0</v>
      </c>
      <c r="L139" s="1182">
        <v>0</v>
      </c>
      <c r="M139" s="1182">
        <v>30</v>
      </c>
      <c r="N139" s="1182">
        <v>120</v>
      </c>
      <c r="O139" s="1179">
        <f>SUM(C139:N139)/12</f>
        <v>31.166666666666668</v>
      </c>
      <c r="P139" s="1180">
        <f>O139/M!$Q$14</f>
        <v>2.7948303112051028E-3</v>
      </c>
      <c r="Q139" s="1235"/>
      <c r="R139" s="1235"/>
      <c r="S139" s="1235"/>
      <c r="T139" s="1235"/>
      <c r="U139" s="1235"/>
      <c r="V139" s="1235"/>
      <c r="W139" s="1235"/>
    </row>
    <row r="140" spans="1:23" ht="12.75">
      <c r="A140" s="1183"/>
      <c r="B140" s="1176" t="s">
        <v>434</v>
      </c>
      <c r="C140" s="1184">
        <f>ROUNDUP((((382+2430))/12),0)</f>
        <v>235</v>
      </c>
      <c r="D140" s="1184">
        <f t="shared" ref="D140:N140" si="37">ROUNDUP((((382+2430))/12),0)</f>
        <v>235</v>
      </c>
      <c r="E140" s="1184">
        <f t="shared" si="37"/>
        <v>235</v>
      </c>
      <c r="F140" s="1184">
        <f t="shared" si="37"/>
        <v>235</v>
      </c>
      <c r="G140" s="1184">
        <f t="shared" si="37"/>
        <v>235</v>
      </c>
      <c r="H140" s="1184">
        <f t="shared" si="37"/>
        <v>235</v>
      </c>
      <c r="I140" s="1184">
        <f t="shared" si="37"/>
        <v>235</v>
      </c>
      <c r="J140" s="1184">
        <f t="shared" si="37"/>
        <v>235</v>
      </c>
      <c r="K140" s="1184">
        <f t="shared" si="37"/>
        <v>235</v>
      </c>
      <c r="L140" s="1184">
        <f t="shared" si="37"/>
        <v>235</v>
      </c>
      <c r="M140" s="1184">
        <f t="shared" si="37"/>
        <v>235</v>
      </c>
      <c r="N140" s="1184">
        <f t="shared" si="37"/>
        <v>235</v>
      </c>
      <c r="O140" s="1185"/>
      <c r="P140" s="1186"/>
      <c r="Q140" s="1235"/>
      <c r="R140" s="1235"/>
      <c r="S140" s="1235"/>
      <c r="T140" s="1235"/>
      <c r="U140" s="1235"/>
      <c r="V140" s="1235"/>
      <c r="W140" s="1235"/>
    </row>
    <row r="141" spans="1:23" ht="12.75">
      <c r="A141" s="2199" t="s">
        <v>435</v>
      </c>
      <c r="B141" s="2200"/>
      <c r="C141" s="2203">
        <f>SUM(C143:C145)</f>
        <v>285</v>
      </c>
      <c r="D141" s="2203">
        <f t="shared" ref="D141:O141" si="38">SUM(D146:D148)</f>
        <v>0</v>
      </c>
      <c r="E141" s="2203">
        <f t="shared" si="38"/>
        <v>0</v>
      </c>
      <c r="F141" s="2203">
        <f t="shared" si="38"/>
        <v>4000</v>
      </c>
      <c r="G141" s="2203">
        <f t="shared" si="38"/>
        <v>0</v>
      </c>
      <c r="H141" s="2203">
        <f t="shared" si="38"/>
        <v>0</v>
      </c>
      <c r="I141" s="2203">
        <f t="shared" si="38"/>
        <v>6000</v>
      </c>
      <c r="J141" s="2203">
        <f t="shared" si="38"/>
        <v>0</v>
      </c>
      <c r="K141" s="2203">
        <f t="shared" si="38"/>
        <v>0</v>
      </c>
      <c r="L141" s="2203">
        <f t="shared" si="38"/>
        <v>0</v>
      </c>
      <c r="M141" s="2203">
        <f t="shared" si="38"/>
        <v>0</v>
      </c>
      <c r="N141" s="2203">
        <f t="shared" si="38"/>
        <v>0</v>
      </c>
      <c r="O141" s="2203">
        <f t="shared" si="38"/>
        <v>1416.6666666666667</v>
      </c>
      <c r="P141" s="2205">
        <f>O141/M!$Q$14</f>
        <v>0.12703774141841376</v>
      </c>
      <c r="Q141" s="1235"/>
      <c r="R141" s="1235"/>
      <c r="S141" s="1235"/>
      <c r="T141" s="1235"/>
      <c r="U141" s="1235"/>
      <c r="V141" s="1235"/>
      <c r="W141" s="1235"/>
    </row>
    <row r="142" spans="1:23" ht="12.75">
      <c r="A142" s="2201"/>
      <c r="B142" s="2202"/>
      <c r="C142" s="2204"/>
      <c r="D142" s="2204"/>
      <c r="E142" s="2204"/>
      <c r="F142" s="2204"/>
      <c r="G142" s="2204"/>
      <c r="H142" s="2204"/>
      <c r="I142" s="2204"/>
      <c r="J142" s="2204"/>
      <c r="K142" s="2204"/>
      <c r="L142" s="2204"/>
      <c r="M142" s="2204"/>
      <c r="N142" s="2204"/>
      <c r="O142" s="2204"/>
      <c r="P142" s="2206"/>
      <c r="Q142" s="1235"/>
      <c r="R142" s="1235"/>
      <c r="S142" s="1235"/>
      <c r="T142" s="1235"/>
      <c r="U142" s="1235"/>
      <c r="V142" s="1235"/>
      <c r="W142" s="1235"/>
    </row>
    <row r="143" spans="1:23" ht="12.75">
      <c r="A143" s="1183"/>
      <c r="B143" s="1176" t="s">
        <v>405</v>
      </c>
      <c r="C143" s="1177">
        <f>ROUNDUP((((382+2430))/12),0)</f>
        <v>235</v>
      </c>
      <c r="D143" s="1177">
        <f t="shared" ref="D143:N143" si="39">ROUNDUP((((382+2430))/12),0)</f>
        <v>235</v>
      </c>
      <c r="E143" s="1177">
        <f t="shared" si="39"/>
        <v>235</v>
      </c>
      <c r="F143" s="1177">
        <f t="shared" si="39"/>
        <v>235</v>
      </c>
      <c r="G143" s="1177">
        <f t="shared" si="39"/>
        <v>235</v>
      </c>
      <c r="H143" s="1177">
        <f t="shared" si="39"/>
        <v>235</v>
      </c>
      <c r="I143" s="1177">
        <f t="shared" si="39"/>
        <v>235</v>
      </c>
      <c r="J143" s="1177">
        <f t="shared" si="39"/>
        <v>235</v>
      </c>
      <c r="K143" s="1177">
        <f t="shared" si="39"/>
        <v>235</v>
      </c>
      <c r="L143" s="1177">
        <f t="shared" si="39"/>
        <v>235</v>
      </c>
      <c r="M143" s="1177">
        <f t="shared" si="39"/>
        <v>235</v>
      </c>
      <c r="N143" s="1177">
        <f t="shared" si="39"/>
        <v>235</v>
      </c>
      <c r="O143" s="1179">
        <f>SUM(C143:N143)/12</f>
        <v>235</v>
      </c>
      <c r="P143" s="1180">
        <f>O143/M!$Q$14</f>
        <v>2.1073319458819222E-2</v>
      </c>
      <c r="Q143" s="1235"/>
      <c r="R143" s="1235"/>
      <c r="S143" s="1235"/>
      <c r="T143" s="1235"/>
      <c r="U143" s="1235"/>
      <c r="V143" s="1235"/>
      <c r="W143" s="1235"/>
    </row>
    <row r="144" spans="1:23" ht="12.75">
      <c r="A144" s="1183"/>
      <c r="B144" s="1176" t="s">
        <v>436</v>
      </c>
      <c r="C144" s="1177">
        <v>0</v>
      </c>
      <c r="D144" s="1177">
        <v>0</v>
      </c>
      <c r="E144" s="1177">
        <v>0</v>
      </c>
      <c r="F144" s="1177">
        <v>85</v>
      </c>
      <c r="G144" s="1177">
        <v>350</v>
      </c>
      <c r="H144" s="1177">
        <v>765</v>
      </c>
      <c r="I144" s="1182">
        <v>150</v>
      </c>
      <c r="J144" s="1178">
        <v>4</v>
      </c>
      <c r="K144" s="1182">
        <v>200</v>
      </c>
      <c r="L144" s="1182">
        <v>99</v>
      </c>
      <c r="M144" s="1182">
        <v>0</v>
      </c>
      <c r="N144" s="1182">
        <v>15</v>
      </c>
      <c r="O144" s="1179">
        <f>SUM(C144:N144)/12</f>
        <v>139</v>
      </c>
      <c r="P144" s="1180">
        <f>O144/M!$Q$14</f>
        <v>1.2464644275642008E-2</v>
      </c>
      <c r="Q144" s="1235"/>
      <c r="R144" s="1235"/>
      <c r="S144" s="1235"/>
      <c r="T144" s="1235"/>
      <c r="U144" s="1235"/>
      <c r="V144" s="1235"/>
      <c r="W144" s="1235"/>
    </row>
    <row r="145" spans="1:23" ht="12.75">
      <c r="A145" s="1183"/>
      <c r="B145" s="1176" t="s">
        <v>130</v>
      </c>
      <c r="C145" s="1182">
        <v>50</v>
      </c>
      <c r="D145" s="1182">
        <v>0</v>
      </c>
      <c r="E145" s="1177">
        <v>0</v>
      </c>
      <c r="F145" s="1177">
        <v>641</v>
      </c>
      <c r="G145" s="1177">
        <v>0</v>
      </c>
      <c r="H145" s="1177">
        <v>371</v>
      </c>
      <c r="I145" s="1182">
        <v>0</v>
      </c>
      <c r="J145" s="1178">
        <v>0</v>
      </c>
      <c r="K145" s="1182">
        <v>0</v>
      </c>
      <c r="L145" s="1182">
        <v>0</v>
      </c>
      <c r="M145" s="1182">
        <v>0</v>
      </c>
      <c r="N145" s="1182">
        <v>0</v>
      </c>
      <c r="O145" s="1179">
        <f>SUM(C145:N145)/12</f>
        <v>88.5</v>
      </c>
      <c r="P145" s="1180">
        <f>O145/M!$Q$14</f>
        <v>7.9361224344914952E-3</v>
      </c>
      <c r="Q145" s="1235"/>
      <c r="R145" s="1235"/>
      <c r="S145" s="1235"/>
      <c r="T145" s="1235"/>
      <c r="U145" s="1235"/>
      <c r="V145" s="1235"/>
      <c r="W145" s="1235"/>
    </row>
    <row r="146" spans="1:23" ht="12.75">
      <c r="A146" s="2199" t="s">
        <v>286</v>
      </c>
      <c r="B146" s="2200"/>
      <c r="C146" s="2203">
        <f t="shared" ref="C146:N146" si="40">SUM(C148:C149)</f>
        <v>3500</v>
      </c>
      <c r="D146" s="2203">
        <f t="shared" si="40"/>
        <v>0</v>
      </c>
      <c r="E146" s="2203">
        <f t="shared" si="40"/>
        <v>0</v>
      </c>
      <c r="F146" s="2203">
        <f t="shared" si="40"/>
        <v>2000</v>
      </c>
      <c r="G146" s="2203">
        <f t="shared" si="40"/>
        <v>0</v>
      </c>
      <c r="H146" s="2203">
        <f t="shared" si="40"/>
        <v>0</v>
      </c>
      <c r="I146" s="2203">
        <f t="shared" si="40"/>
        <v>3000</v>
      </c>
      <c r="J146" s="2203">
        <f t="shared" si="40"/>
        <v>0</v>
      </c>
      <c r="K146" s="2203">
        <f t="shared" si="40"/>
        <v>0</v>
      </c>
      <c r="L146" s="2203">
        <f t="shared" si="40"/>
        <v>0</v>
      </c>
      <c r="M146" s="2203">
        <f t="shared" si="40"/>
        <v>0</v>
      </c>
      <c r="N146" s="2203">
        <f t="shared" si="40"/>
        <v>0</v>
      </c>
      <c r="O146" s="2203">
        <f>SUM(O148:O149)</f>
        <v>708.33333333333337</v>
      </c>
      <c r="P146" s="2205">
        <f>O146/M!$Q$14</f>
        <v>6.3518870709206879E-2</v>
      </c>
      <c r="Q146" s="1235"/>
      <c r="R146" s="1235"/>
      <c r="S146" s="1235"/>
      <c r="T146" s="1235"/>
      <c r="U146" s="1235"/>
      <c r="V146" s="1235"/>
      <c r="W146" s="1235"/>
    </row>
    <row r="147" spans="1:23" ht="12.75">
      <c r="A147" s="2201"/>
      <c r="B147" s="2202"/>
      <c r="C147" s="2204"/>
      <c r="D147" s="2204"/>
      <c r="E147" s="2204"/>
      <c r="F147" s="2204"/>
      <c r="G147" s="2204"/>
      <c r="H147" s="2204"/>
      <c r="I147" s="2204"/>
      <c r="J147" s="2204"/>
      <c r="K147" s="2204"/>
      <c r="L147" s="2204"/>
      <c r="M147" s="2204"/>
      <c r="N147" s="2204"/>
      <c r="O147" s="2204"/>
      <c r="P147" s="2206"/>
      <c r="Q147" s="1235"/>
      <c r="R147" s="1235"/>
      <c r="S147" s="1235"/>
      <c r="T147" s="1235"/>
      <c r="U147" s="1235"/>
      <c r="V147" s="1235"/>
      <c r="W147" s="1235"/>
    </row>
    <row r="148" spans="1:23" ht="12.75">
      <c r="A148" s="2217"/>
      <c r="B148" s="1176" t="s">
        <v>82</v>
      </c>
      <c r="C148" s="1177">
        <v>3500</v>
      </c>
      <c r="D148" s="1177">
        <v>0</v>
      </c>
      <c r="E148" s="1177">
        <v>0</v>
      </c>
      <c r="F148" s="1177">
        <v>2000</v>
      </c>
      <c r="G148" s="1177">
        <v>0</v>
      </c>
      <c r="H148" s="1177">
        <v>0</v>
      </c>
      <c r="I148" s="1178">
        <v>3000</v>
      </c>
      <c r="J148" s="1178">
        <v>0</v>
      </c>
      <c r="K148" s="1178">
        <v>0</v>
      </c>
      <c r="L148" s="1178">
        <v>0</v>
      </c>
      <c r="M148" s="1178">
        <v>0</v>
      </c>
      <c r="N148" s="1178">
        <v>0</v>
      </c>
      <c r="O148" s="1179">
        <f>SUM(C148:N148)/12</f>
        <v>708.33333333333337</v>
      </c>
      <c r="P148" s="1180">
        <f>O148/M!$Q$14</f>
        <v>6.3518870709206879E-2</v>
      </c>
      <c r="Q148" s="1235"/>
      <c r="R148" s="1235"/>
      <c r="S148" s="1235"/>
      <c r="T148" s="1235"/>
      <c r="U148" s="1235"/>
      <c r="V148" s="1235"/>
      <c r="W148" s="1235"/>
    </row>
    <row r="149" spans="1:23">
      <c r="A149" s="2219"/>
      <c r="B149" s="1176" t="s">
        <v>83</v>
      </c>
      <c r="C149" s="1177">
        <v>0</v>
      </c>
      <c r="D149" s="1177">
        <v>0</v>
      </c>
      <c r="E149" s="1177">
        <v>0</v>
      </c>
      <c r="F149" s="1177">
        <v>0</v>
      </c>
      <c r="G149" s="1177">
        <v>0</v>
      </c>
      <c r="H149" s="1177">
        <v>0</v>
      </c>
      <c r="I149" s="1178">
        <v>0</v>
      </c>
      <c r="J149" s="1178">
        <v>0</v>
      </c>
      <c r="K149" s="1178">
        <v>0</v>
      </c>
      <c r="L149" s="1178">
        <v>0</v>
      </c>
      <c r="M149" s="1178">
        <v>0</v>
      </c>
      <c r="N149" s="1178">
        <v>0</v>
      </c>
      <c r="O149" s="1179">
        <f>SUM(C149:N149)/12</f>
        <v>0</v>
      </c>
      <c r="P149" s="1180">
        <f>O149/M!$Q$14</f>
        <v>0</v>
      </c>
      <c r="Q149" s="1235"/>
      <c r="R149" s="1235"/>
      <c r="S149" s="1235"/>
      <c r="T149" s="1235"/>
      <c r="U149" s="1235"/>
      <c r="V149" s="1235"/>
      <c r="W149" s="1235"/>
    </row>
    <row r="150" spans="1:23">
      <c r="A150" s="1187" t="s">
        <v>437</v>
      </c>
      <c r="B150" s="1188"/>
      <c r="C150" s="1189">
        <f t="shared" ref="C150:N150" ca="1" si="41">C80+C94+C102+C108+C122+C112+ C131+C146</f>
        <v>16777.282618379351</v>
      </c>
      <c r="D150" s="1189">
        <f t="shared" ca="1" si="41"/>
        <v>13394.611609729858</v>
      </c>
      <c r="E150" s="1189">
        <f t="shared" ca="1" si="41"/>
        <v>12112.611609729858</v>
      </c>
      <c r="F150" s="1189">
        <f t="shared" ca="1" si="41"/>
        <v>17553.111609729858</v>
      </c>
      <c r="G150" s="1189">
        <f t="shared" ca="1" si="41"/>
        <v>13244.111609729858</v>
      </c>
      <c r="H150" s="1189">
        <f t="shared" ca="1" si="41"/>
        <v>15861.711609729859</v>
      </c>
      <c r="I150" s="1189">
        <f t="shared" ca="1" si="41"/>
        <v>17200.711609729857</v>
      </c>
      <c r="J150" s="1189">
        <f t="shared" ca="1" si="41"/>
        <v>13180.711609729859</v>
      </c>
      <c r="K150" s="1189">
        <f t="shared" ca="1" si="41"/>
        <v>13392.711609729859</v>
      </c>
      <c r="L150" s="1189">
        <f t="shared" ca="1" si="41"/>
        <v>14628.711609729859</v>
      </c>
      <c r="M150" s="1189">
        <f t="shared" ca="1" si="41"/>
        <v>13977.711609729859</v>
      </c>
      <c r="N150" s="1189">
        <f t="shared" ca="1" si="41"/>
        <v>20428.711609729857</v>
      </c>
      <c r="O150" s="1189">
        <f ca="1">SUM(C150:N150)/12</f>
        <v>15146.059193783984</v>
      </c>
      <c r="P150" s="1190">
        <f ca="1">O150/M!$Q$14</f>
        <v>1.3582031656714715</v>
      </c>
      <c r="Q150" s="1235"/>
      <c r="R150" s="1235"/>
      <c r="S150" s="1235"/>
      <c r="T150" s="1235"/>
      <c r="U150" s="1235"/>
      <c r="V150" s="1235"/>
      <c r="W150" s="1235"/>
    </row>
    <row r="151" spans="1:23">
      <c r="A151" s="1191" t="s">
        <v>658</v>
      </c>
      <c r="B151" s="1192"/>
      <c r="C151" s="1193">
        <f ca="1">C150/M!$Q$14</f>
        <v>1.5044810053957578</v>
      </c>
      <c r="D151" s="1193">
        <f ca="1">D150/M!$Q$14</f>
        <v>1.201144380760196</v>
      </c>
      <c r="E151" s="1193">
        <f ca="1">E150/M!$Q$14</f>
        <v>1.0861826975848503</v>
      </c>
      <c r="F151" s="1193">
        <f ca="1">F150/M!$Q$14</f>
        <v>1.5740524614814717</v>
      </c>
      <c r="G151" s="1193">
        <f ca="1">G150/M!$Q$14</f>
        <v>1.1876484889365693</v>
      </c>
      <c r="H151" s="1193">
        <f ca="1">H150/M!$Q$14</f>
        <v>1.4223783655978681</v>
      </c>
      <c r="I151" s="1193">
        <f ca="1">I150/M!$Q$14</f>
        <v>1.5424514496632251</v>
      </c>
      <c r="J151" s="1193">
        <f ca="1">J150/M!$Q$14</f>
        <v>1.1819631763676794</v>
      </c>
      <c r="K151" s="1193">
        <f ca="1">K150/M!$Q$14</f>
        <v>1.2009740007305292</v>
      </c>
      <c r="L151" s="1193">
        <f ca="1">L150/M!$Q$14</f>
        <v>1.3118106937139358</v>
      </c>
      <c r="M151" s="1193">
        <f ca="1">M150/M!$Q$14</f>
        <v>1.2534331151280154</v>
      </c>
      <c r="N151" s="1193">
        <f ca="1">N150/M!$Q$14</f>
        <v>1.831918152697559</v>
      </c>
      <c r="O151" s="1193">
        <f ca="1">O150/M!$Q$14</f>
        <v>1.3582031656714715</v>
      </c>
      <c r="P151" s="1194"/>
      <c r="Q151" s="1235"/>
      <c r="R151" s="1235"/>
      <c r="S151" s="1235"/>
      <c r="T151" s="1235"/>
      <c r="U151" s="1235"/>
      <c r="V151" s="1235"/>
      <c r="W151" s="1235"/>
    </row>
    <row r="152" spans="1:23" ht="12.75">
      <c r="A152" s="1235"/>
      <c r="B152" s="1235"/>
      <c r="C152" s="1235"/>
      <c r="D152" s="1235"/>
      <c r="E152" s="1235"/>
      <c r="F152" s="1235"/>
      <c r="G152" s="1235"/>
      <c r="H152" s="1235"/>
      <c r="I152" s="1235"/>
      <c r="J152" s="1235"/>
      <c r="K152" s="1235"/>
      <c r="L152" s="1235"/>
      <c r="M152" s="1235"/>
      <c r="N152" s="1235"/>
      <c r="O152" s="1235"/>
      <c r="P152" s="1235"/>
      <c r="Q152" s="1235"/>
      <c r="R152" s="1235"/>
      <c r="S152" s="1235"/>
      <c r="T152" s="1235"/>
      <c r="U152" s="1235"/>
      <c r="V152" s="1235"/>
      <c r="W152" s="1235"/>
    </row>
    <row r="153" spans="1:23" ht="12.75">
      <c r="A153" s="1235"/>
      <c r="B153" s="1235"/>
      <c r="C153" s="1235"/>
      <c r="D153" s="1235"/>
      <c r="E153" s="1235"/>
      <c r="F153" s="1235"/>
      <c r="G153" s="1235"/>
      <c r="H153" s="1235"/>
      <c r="I153" s="1235"/>
      <c r="J153" s="1235"/>
      <c r="K153" s="1235"/>
      <c r="L153" s="1235"/>
      <c r="M153" s="1235"/>
      <c r="N153" s="1235"/>
      <c r="O153" s="1235"/>
      <c r="P153" s="1235"/>
      <c r="Q153" s="1235"/>
      <c r="R153" s="1235"/>
      <c r="S153" s="1235"/>
      <c r="T153" s="1235"/>
      <c r="U153" s="1235"/>
      <c r="V153" s="1235"/>
      <c r="W153" s="1235"/>
    </row>
    <row r="154" spans="1:23" ht="12.75">
      <c r="A154" s="1235"/>
      <c r="B154" s="1235"/>
      <c r="C154" s="1235"/>
      <c r="D154" s="1235"/>
      <c r="E154" s="1235"/>
      <c r="F154" s="1235"/>
      <c r="G154" s="1235"/>
      <c r="H154" s="1235"/>
      <c r="I154" s="1235"/>
      <c r="J154" s="1235"/>
      <c r="K154" s="1235"/>
      <c r="L154" s="1235"/>
      <c r="M154" s="1235"/>
      <c r="N154" s="1235"/>
      <c r="O154" s="1235"/>
      <c r="P154" s="1235"/>
      <c r="Q154" s="1235"/>
      <c r="R154" s="1235"/>
      <c r="S154" s="1235"/>
      <c r="T154" s="1235"/>
      <c r="U154" s="1235"/>
      <c r="V154" s="1235"/>
      <c r="W154" s="1235"/>
    </row>
    <row r="155" spans="1:23" ht="13.5">
      <c r="A155" s="2223">
        <v>2024</v>
      </c>
      <c r="B155" s="2224"/>
      <c r="C155" s="2224"/>
      <c r="D155" s="2224"/>
      <c r="E155" s="2224"/>
      <c r="F155" s="2224"/>
      <c r="G155" s="2224"/>
      <c r="H155" s="2224"/>
      <c r="I155" s="2224"/>
      <c r="J155" s="2224"/>
      <c r="K155" s="2224"/>
      <c r="L155" s="2224"/>
      <c r="M155" s="2224"/>
      <c r="N155" s="2224"/>
      <c r="O155" s="2224"/>
      <c r="P155" s="2222"/>
      <c r="Q155" s="1235"/>
      <c r="R155" s="1235"/>
      <c r="S155" s="1235"/>
      <c r="T155" s="1235"/>
      <c r="U155" s="1235"/>
      <c r="V155" s="1235"/>
      <c r="W155" s="1235"/>
    </row>
    <row r="156" spans="1:23" ht="13.5">
      <c r="A156" s="1588" t="s">
        <v>388</v>
      </c>
      <c r="B156" s="1589"/>
      <c r="C156" s="1590" t="s">
        <v>309</v>
      </c>
      <c r="D156" s="1590" t="s">
        <v>311</v>
      </c>
      <c r="E156" s="1590" t="s">
        <v>312</v>
      </c>
      <c r="F156" s="1590" t="s">
        <v>313</v>
      </c>
      <c r="G156" s="1590" t="s">
        <v>314</v>
      </c>
      <c r="H156" s="1590" t="s">
        <v>315</v>
      </c>
      <c r="I156" s="1590" t="s">
        <v>316</v>
      </c>
      <c r="J156" s="1590" t="s">
        <v>317</v>
      </c>
      <c r="K156" s="1590" t="s">
        <v>318</v>
      </c>
      <c r="L156" s="1590" t="s">
        <v>319</v>
      </c>
      <c r="M156" s="1590" t="s">
        <v>320</v>
      </c>
      <c r="N156" s="1590" t="s">
        <v>321</v>
      </c>
      <c r="O156" s="1591" t="s">
        <v>660</v>
      </c>
      <c r="P156" s="1175" t="s">
        <v>661</v>
      </c>
      <c r="Q156" s="1235" t="s">
        <v>244</v>
      </c>
      <c r="R156" s="1235"/>
      <c r="S156" s="1235"/>
      <c r="T156" s="1235"/>
      <c r="U156" s="1235"/>
      <c r="V156" s="1235"/>
      <c r="W156" s="1235"/>
    </row>
    <row r="157" spans="1:23" ht="12.75">
      <c r="A157" s="2225" t="s">
        <v>56</v>
      </c>
      <c r="B157" s="2226"/>
      <c r="C157" s="2229">
        <f t="shared" ref="C157:I157" ca="1" si="42">C159+ SUM(C165:C170)</f>
        <v>12856.966770136243</v>
      </c>
      <c r="D157" s="2229">
        <f t="shared" ca="1" si="42"/>
        <v>12856.966770136243</v>
      </c>
      <c r="E157" s="2229">
        <f t="shared" ca="1" si="42"/>
        <v>12856.966770136243</v>
      </c>
      <c r="F157" s="2229">
        <f t="shared" ca="1" si="42"/>
        <v>12856.966770136243</v>
      </c>
      <c r="G157" s="2229">
        <f t="shared" ca="1" si="42"/>
        <v>12867.201480116773</v>
      </c>
      <c r="H157" s="2229">
        <f t="shared" ca="1" si="42"/>
        <v>12867.222802429233</v>
      </c>
      <c r="I157" s="2229">
        <f t="shared" ca="1" si="42"/>
        <v>12735.291948301665</v>
      </c>
      <c r="J157" s="2229">
        <f t="shared" ref="J157:O157" ca="1" si="43">J159+ SUM(J165:J170)</f>
        <v>15356.966770136243</v>
      </c>
      <c r="K157" s="2229">
        <f t="shared" ca="1" si="43"/>
        <v>12856.966770136243</v>
      </c>
      <c r="L157" s="2229">
        <f t="shared" ca="1" si="43"/>
        <v>12734.52989525741</v>
      </c>
      <c r="M157" s="2229">
        <f t="shared" ca="1" si="43"/>
        <v>12846.62500345216</v>
      </c>
      <c r="N157" s="2229">
        <f t="shared" ca="1" si="43"/>
        <v>12846.603458104903</v>
      </c>
      <c r="O157" s="2229">
        <f t="shared" ca="1" si="43"/>
        <v>13044.939600706632</v>
      </c>
      <c r="P157" s="2205">
        <f ca="1">O157/M!$Q$14</f>
        <v>1.1697879979859256</v>
      </c>
      <c r="Q157" s="1241">
        <f ca="1">SUM(C157:O158)</f>
        <v>169584.21480918623</v>
      </c>
      <c r="R157" s="1235"/>
      <c r="S157" s="1235"/>
      <c r="T157" s="1235"/>
      <c r="U157" s="1235"/>
      <c r="V157" s="1235"/>
      <c r="W157" s="1235"/>
    </row>
    <row r="158" spans="1:23" ht="12.75">
      <c r="A158" s="2227"/>
      <c r="B158" s="2228"/>
      <c r="C158" s="2230"/>
      <c r="D158" s="2230"/>
      <c r="E158" s="2230"/>
      <c r="F158" s="2230"/>
      <c r="G158" s="2230"/>
      <c r="H158" s="2230"/>
      <c r="I158" s="2230"/>
      <c r="J158" s="2230"/>
      <c r="K158" s="2230"/>
      <c r="L158" s="2230"/>
      <c r="M158" s="2230"/>
      <c r="N158" s="2230"/>
      <c r="O158" s="2230"/>
      <c r="P158" s="2206"/>
      <c r="Q158" s="1235"/>
      <c r="R158" s="1235"/>
      <c r="S158" s="1235"/>
      <c r="T158" s="1235"/>
      <c r="U158" s="1235"/>
      <c r="V158" s="1235"/>
      <c r="W158" s="1235"/>
    </row>
    <row r="159" spans="1:23" ht="13.5">
      <c r="A159" s="2231"/>
      <c r="B159" s="1592" t="s">
        <v>662</v>
      </c>
      <c r="C159" s="1593">
        <f ca="1">SUM(C160:C164)</f>
        <v>9423.6334368029093</v>
      </c>
      <c r="D159" s="1593">
        <f t="shared" ref="D159:N159" ca="1" si="44">SUM(D160:D164)</f>
        <v>9423.6334368029093</v>
      </c>
      <c r="E159" s="1593">
        <f t="shared" ca="1" si="44"/>
        <v>9423.6334368029093</v>
      </c>
      <c r="F159" s="1593">
        <f t="shared" ca="1" si="44"/>
        <v>9423.6334368029093</v>
      </c>
      <c r="G159" s="1593">
        <f t="shared" ca="1" si="44"/>
        <v>9433.8681467834394</v>
      </c>
      <c r="H159" s="1593">
        <f t="shared" ca="1" si="44"/>
        <v>9433.8894690958987</v>
      </c>
      <c r="I159" s="1593">
        <f t="shared" ca="1" si="44"/>
        <v>9301.9586149683309</v>
      </c>
      <c r="J159" s="1593">
        <f t="shared" ca="1" si="44"/>
        <v>9423.6334368029093</v>
      </c>
      <c r="K159" s="1593">
        <f t="shared" ca="1" si="44"/>
        <v>9423.6334368029093</v>
      </c>
      <c r="L159" s="1593">
        <f t="shared" ca="1" si="44"/>
        <v>9301.1965619240764</v>
      </c>
      <c r="M159" s="1593">
        <f t="shared" ca="1" si="44"/>
        <v>9413.291670118826</v>
      </c>
      <c r="N159" s="1593">
        <f t="shared" ca="1" si="44"/>
        <v>9413.2701247715686</v>
      </c>
      <c r="O159" s="1594">
        <f t="shared" ref="O159:O170" ca="1" si="45">SUM(C159:N159)/12</f>
        <v>9403.2729340399655</v>
      </c>
      <c r="P159" s="1180">
        <f ca="1">O159/M!$Q$14</f>
        <v>0.84322627445741505</v>
      </c>
      <c r="Q159" s="1235"/>
      <c r="R159" s="1235" t="s">
        <v>671</v>
      </c>
      <c r="S159" s="1241">
        <f ca="1">O157</f>
        <v>13044.939600706632</v>
      </c>
      <c r="T159" s="1235"/>
      <c r="U159" s="1235"/>
      <c r="V159" s="1235"/>
      <c r="W159" s="1235"/>
    </row>
    <row r="160" spans="1:23" ht="13.5">
      <c r="A160" s="2232"/>
      <c r="B160" s="1592" t="s">
        <v>663</v>
      </c>
      <c r="C160" s="1595">
        <f ca="1">Mortgage!I$55</f>
        <v>4541.5492850460168</v>
      </c>
      <c r="D160" s="1595">
        <f ca="1">Mortgage!I$56</f>
        <v>4531.3782763965237</v>
      </c>
      <c r="E160" s="1595">
        <f ca="1">Mortgage!I$57</f>
        <v>4521.1860781456771</v>
      </c>
      <c r="F160" s="1595">
        <f ca="1">Mortgage!I$58</f>
        <v>4510.9726461484743</v>
      </c>
      <c r="G160" s="1595">
        <f ca="1">Mortgage!I$58</f>
        <v>4510.9726461484743</v>
      </c>
      <c r="H160" s="1595">
        <f ca="1">Mortgage!I$59</f>
        <v>4500.737936167945</v>
      </c>
      <c r="I160" s="1595">
        <f ca="1">Mortgage!I$60</f>
        <v>4490.4819038749556</v>
      </c>
      <c r="J160" s="1595">
        <f ca="1">Mortgage!I$61</f>
        <v>4480.2045048480222</v>
      </c>
      <c r="K160" s="1595">
        <f ca="1">Mortgage!I$62</f>
        <v>4469.9056945731163</v>
      </c>
      <c r="L160" s="1595">
        <f ca="1">Mortgage!I$63</f>
        <v>4459.5854284434718</v>
      </c>
      <c r="M160" s="1595">
        <f ca="1">Mortgage!I$64</f>
        <v>4449.2436617593894</v>
      </c>
      <c r="N160" s="1595">
        <f ca="1">Mortgage!I$65</f>
        <v>4438.8803497280487</v>
      </c>
      <c r="O160" s="1594">
        <f t="shared" ca="1" si="45"/>
        <v>4492.0915342733424</v>
      </c>
      <c r="P160" s="1180">
        <f ca="1">O160/M!$Q$14</f>
        <v>0.4028224678297852</v>
      </c>
      <c r="Q160" s="1235"/>
      <c r="R160" s="1235" t="s">
        <v>276</v>
      </c>
      <c r="S160" s="1239">
        <f>O171</f>
        <v>696.58333333333337</v>
      </c>
      <c r="T160" s="1235"/>
      <c r="U160" s="1235"/>
      <c r="V160" s="1235"/>
      <c r="W160" s="1235"/>
    </row>
    <row r="161" spans="1:23" ht="13.5">
      <c r="A161" s="2232"/>
      <c r="B161" s="1592" t="s">
        <v>664</v>
      </c>
      <c r="C161" s="1596">
        <f ca="1">Mortgage!H$55</f>
        <v>4882.0841517568924</v>
      </c>
      <c r="D161" s="1596">
        <f ca="1">Mortgage!H$56</f>
        <v>4892.2551604063856</v>
      </c>
      <c r="E161" s="1596">
        <f ca="1">Mortgage!H$57</f>
        <v>4902.4473586572321</v>
      </c>
      <c r="F161" s="1596">
        <f ca="1">Mortgage!H$58</f>
        <v>4912.660790654435</v>
      </c>
      <c r="G161" s="1596">
        <f ca="1">Mortgage!H$59</f>
        <v>4922.8955006349643</v>
      </c>
      <c r="H161" s="1596">
        <f ca="1">Mortgage!H$60</f>
        <v>4933.1515329279537</v>
      </c>
      <c r="I161" s="1596">
        <f ca="1">Mortgage!H$48</f>
        <v>4811.4767110933744</v>
      </c>
      <c r="J161" s="1596">
        <f ca="1">Mortgage!H$61</f>
        <v>4943.428931954887</v>
      </c>
      <c r="K161" s="1596">
        <f ca="1">Mortgage!H$62</f>
        <v>4953.727742229793</v>
      </c>
      <c r="L161" s="1596">
        <f ca="1">Mortgage!H$51</f>
        <v>4841.6111334806037</v>
      </c>
      <c r="M161" s="1596">
        <f ca="1">Mortgage!H$63</f>
        <v>4964.0480083594375</v>
      </c>
      <c r="N161" s="1596">
        <f ca="1">Mortgage!H$64</f>
        <v>4974.3897750435199</v>
      </c>
      <c r="O161" s="1594">
        <f t="shared" ca="1" si="45"/>
        <v>4911.1813997666231</v>
      </c>
      <c r="P161" s="1180">
        <f ca="1">O161/M!$Q$14</f>
        <v>0.44040380662762985</v>
      </c>
      <c r="Q161" s="1235"/>
      <c r="R161" s="1235" t="s">
        <v>277</v>
      </c>
      <c r="S161" s="1239">
        <f>O179</f>
        <v>269.9158333333333</v>
      </c>
      <c r="T161" s="1235"/>
      <c r="U161" s="1235"/>
      <c r="V161" s="1235"/>
      <c r="W161" s="1235"/>
    </row>
    <row r="162" spans="1:23" ht="13.5">
      <c r="A162" s="2232"/>
      <c r="B162" s="1592" t="s">
        <v>450</v>
      </c>
      <c r="C162" s="1595">
        <v>0</v>
      </c>
      <c r="D162" s="1595">
        <v>0</v>
      </c>
      <c r="E162" s="1595">
        <v>0</v>
      </c>
      <c r="F162" s="1595">
        <v>0</v>
      </c>
      <c r="G162" s="1595">
        <v>0</v>
      </c>
      <c r="H162" s="1595">
        <v>0</v>
      </c>
      <c r="I162" s="1595">
        <v>0</v>
      </c>
      <c r="J162" s="1595">
        <v>0</v>
      </c>
      <c r="K162" s="1595">
        <v>0</v>
      </c>
      <c r="L162" s="1595">
        <v>0</v>
      </c>
      <c r="M162" s="1595">
        <v>0</v>
      </c>
      <c r="N162" s="1595">
        <v>0</v>
      </c>
      <c r="O162" s="1594">
        <f t="shared" si="45"/>
        <v>0</v>
      </c>
      <c r="P162" s="1180">
        <f>O162/M!$Q$14</f>
        <v>0</v>
      </c>
      <c r="Q162" s="1235"/>
      <c r="R162" s="1235" t="s">
        <v>414</v>
      </c>
      <c r="S162" s="1239">
        <f>O185</f>
        <v>1463.155</v>
      </c>
      <c r="T162" s="1235"/>
      <c r="U162" s="1235"/>
      <c r="V162" s="1235"/>
      <c r="W162" s="1235"/>
    </row>
    <row r="163" spans="1:23" ht="13.5">
      <c r="A163" s="2232"/>
      <c r="B163" s="1592" t="s">
        <v>665</v>
      </c>
      <c r="C163" s="1595">
        <v>0</v>
      </c>
      <c r="D163" s="1595">
        <v>0</v>
      </c>
      <c r="E163" s="1595">
        <v>0</v>
      </c>
      <c r="F163" s="1595">
        <v>0</v>
      </c>
      <c r="G163" s="1595">
        <v>0</v>
      </c>
      <c r="H163" s="1595">
        <v>0</v>
      </c>
      <c r="I163" s="1595">
        <v>0</v>
      </c>
      <c r="J163" s="1595">
        <v>0</v>
      </c>
      <c r="K163" s="1595">
        <v>0</v>
      </c>
      <c r="L163" s="1595">
        <v>0</v>
      </c>
      <c r="M163" s="1595">
        <v>0</v>
      </c>
      <c r="N163" s="1595">
        <v>0</v>
      </c>
      <c r="O163" s="1594">
        <f t="shared" si="45"/>
        <v>0</v>
      </c>
      <c r="P163" s="1180">
        <f>O163/M!$Q$14</f>
        <v>0</v>
      </c>
      <c r="Q163" s="1235"/>
      <c r="R163" s="1235" t="s">
        <v>280</v>
      </c>
      <c r="S163" s="1239">
        <f>O189</f>
        <v>1338.3333333333333</v>
      </c>
      <c r="T163" s="1235"/>
      <c r="U163" s="1235"/>
      <c r="V163" s="1235"/>
      <c r="W163" s="1235"/>
    </row>
    <row r="164" spans="1:23" ht="13.5">
      <c r="A164" s="2232"/>
      <c r="B164" s="1592" t="s">
        <v>664</v>
      </c>
      <c r="C164" s="1595">
        <v>0</v>
      </c>
      <c r="D164" s="1595">
        <v>0</v>
      </c>
      <c r="E164" s="1595">
        <v>0</v>
      </c>
      <c r="F164" s="1595">
        <v>0</v>
      </c>
      <c r="G164" s="1595">
        <v>0</v>
      </c>
      <c r="H164" s="1595">
        <v>0</v>
      </c>
      <c r="I164" s="1595">
        <v>0</v>
      </c>
      <c r="J164" s="1595">
        <v>0</v>
      </c>
      <c r="K164" s="1595">
        <v>0</v>
      </c>
      <c r="L164" s="1595">
        <v>0</v>
      </c>
      <c r="M164" s="1595">
        <v>0</v>
      </c>
      <c r="N164" s="1595">
        <v>0</v>
      </c>
      <c r="O164" s="1594">
        <f t="shared" si="45"/>
        <v>0</v>
      </c>
      <c r="P164" s="1180">
        <f>O164/M!$Q$14</f>
        <v>0</v>
      </c>
      <c r="Q164" s="1235"/>
      <c r="R164" s="1235" t="s">
        <v>279</v>
      </c>
      <c r="S164" s="1239">
        <f>O199</f>
        <v>1995.6666666666667</v>
      </c>
      <c r="T164" s="1235"/>
      <c r="U164" s="1235"/>
      <c r="V164" s="1235"/>
      <c r="W164" s="1235"/>
    </row>
    <row r="165" spans="1:23" ht="12.75">
      <c r="A165" s="2232"/>
      <c r="B165" s="1592" t="s">
        <v>287</v>
      </c>
      <c r="C165" s="1595">
        <f>40000/12</f>
        <v>3333.3333333333335</v>
      </c>
      <c r="D165" s="1595">
        <f t="shared" ref="D165:N165" si="46">40000/12</f>
        <v>3333.3333333333335</v>
      </c>
      <c r="E165" s="1595">
        <f t="shared" si="46"/>
        <v>3333.3333333333335</v>
      </c>
      <c r="F165" s="1595">
        <f t="shared" si="46"/>
        <v>3333.3333333333335</v>
      </c>
      <c r="G165" s="1595">
        <f t="shared" si="46"/>
        <v>3333.3333333333335</v>
      </c>
      <c r="H165" s="1595">
        <f t="shared" si="46"/>
        <v>3333.3333333333335</v>
      </c>
      <c r="I165" s="1595">
        <f t="shared" si="46"/>
        <v>3333.3333333333335</v>
      </c>
      <c r="J165" s="1595">
        <f t="shared" si="46"/>
        <v>3333.3333333333335</v>
      </c>
      <c r="K165" s="1595">
        <f t="shared" si="46"/>
        <v>3333.3333333333335</v>
      </c>
      <c r="L165" s="1595">
        <f t="shared" si="46"/>
        <v>3333.3333333333335</v>
      </c>
      <c r="M165" s="1595">
        <f t="shared" si="46"/>
        <v>3333.3333333333335</v>
      </c>
      <c r="N165" s="1595">
        <f t="shared" si="46"/>
        <v>3333.3333333333335</v>
      </c>
      <c r="O165" s="1594">
        <f t="shared" si="45"/>
        <v>3333.3333333333335</v>
      </c>
      <c r="P165" s="1180">
        <f>O165/M!$Q$14</f>
        <v>0.29891233274920886</v>
      </c>
      <c r="Q165" s="1235"/>
      <c r="R165" s="1235" t="s">
        <v>428</v>
      </c>
      <c r="S165" s="1239">
        <f>O208</f>
        <v>3703.0833333333335</v>
      </c>
      <c r="T165" s="1235"/>
      <c r="U165" s="1235"/>
      <c r="V165" s="1235"/>
      <c r="W165" s="1235"/>
    </row>
    <row r="166" spans="1:23" ht="12.75">
      <c r="A166" s="2232"/>
      <c r="B166" s="1592" t="s">
        <v>453</v>
      </c>
      <c r="C166" s="1595">
        <v>0</v>
      </c>
      <c r="D166" s="1595">
        <v>0</v>
      </c>
      <c r="E166" s="1595">
        <v>0</v>
      </c>
      <c r="F166" s="1595">
        <v>0</v>
      </c>
      <c r="G166" s="1595">
        <v>0</v>
      </c>
      <c r="H166" s="1595">
        <v>0</v>
      </c>
      <c r="I166" s="1595">
        <v>0</v>
      </c>
      <c r="J166" s="1595">
        <v>0</v>
      </c>
      <c r="K166" s="1595">
        <v>0</v>
      </c>
      <c r="L166" s="1595">
        <v>0</v>
      </c>
      <c r="M166" s="1595">
        <v>0</v>
      </c>
      <c r="N166" s="1595">
        <v>0</v>
      </c>
      <c r="O166" s="1594">
        <f t="shared" si="45"/>
        <v>0</v>
      </c>
      <c r="P166" s="1180">
        <f>O166/M!$Q$14</f>
        <v>0</v>
      </c>
      <c r="Q166" s="1235"/>
      <c r="R166" s="1235" t="s">
        <v>672</v>
      </c>
      <c r="S166" s="1239">
        <f>500</f>
        <v>500</v>
      </c>
      <c r="T166" s="1235"/>
      <c r="U166" s="1235"/>
      <c r="V166" s="1235"/>
      <c r="W166" s="1235"/>
    </row>
    <row r="167" spans="1:23" ht="12.75">
      <c r="A167" s="2232"/>
      <c r="B167" s="1592" t="s">
        <v>400</v>
      </c>
      <c r="C167" s="1595">
        <v>0</v>
      </c>
      <c r="D167" s="1595">
        <v>0</v>
      </c>
      <c r="E167" s="1595">
        <v>0</v>
      </c>
      <c r="F167" s="1595">
        <v>0</v>
      </c>
      <c r="G167" s="1595">
        <v>0</v>
      </c>
      <c r="H167" s="1595">
        <v>0</v>
      </c>
      <c r="I167" s="1595">
        <v>0</v>
      </c>
      <c r="J167" s="1595">
        <v>0</v>
      </c>
      <c r="K167" s="1595">
        <v>0</v>
      </c>
      <c r="L167" s="1595">
        <v>0</v>
      </c>
      <c r="M167" s="1595">
        <v>0</v>
      </c>
      <c r="N167" s="1595">
        <v>0</v>
      </c>
      <c r="O167" s="1594">
        <f t="shared" si="45"/>
        <v>0</v>
      </c>
      <c r="P167" s="1180">
        <f>O167/M!$Q$14</f>
        <v>0</v>
      </c>
      <c r="Q167" s="1235"/>
      <c r="R167" s="1235" t="s">
        <v>286</v>
      </c>
      <c r="S167" s="1239">
        <f>O223</f>
        <v>250</v>
      </c>
      <c r="T167" s="1235"/>
      <c r="U167" s="1235"/>
      <c r="V167" s="1235"/>
      <c r="W167" s="1235"/>
    </row>
    <row r="168" spans="1:23" ht="12.75">
      <c r="A168" s="2232"/>
      <c r="B168" s="1592" t="s">
        <v>401</v>
      </c>
      <c r="C168" s="1595">
        <v>0</v>
      </c>
      <c r="D168" s="1595">
        <v>0</v>
      </c>
      <c r="E168" s="1595">
        <v>0</v>
      </c>
      <c r="F168" s="1595">
        <v>0</v>
      </c>
      <c r="G168" s="1595">
        <v>0</v>
      </c>
      <c r="H168" s="1595">
        <v>0</v>
      </c>
      <c r="I168" s="1595">
        <v>0</v>
      </c>
      <c r="J168" s="1595">
        <v>0</v>
      </c>
      <c r="K168" s="1595">
        <v>0</v>
      </c>
      <c r="L168" s="1595">
        <v>0</v>
      </c>
      <c r="M168" s="1595">
        <v>0</v>
      </c>
      <c r="N168" s="1595">
        <v>0</v>
      </c>
      <c r="O168" s="1594">
        <f t="shared" si="45"/>
        <v>0</v>
      </c>
      <c r="P168" s="1180">
        <f>O168/M!$Q$14</f>
        <v>0</v>
      </c>
      <c r="Q168" s="1235"/>
      <c r="R168" s="1235" t="s">
        <v>244</v>
      </c>
      <c r="S168" s="1239">
        <f ca="1">SUM(S159:S167)</f>
        <v>23261.677100706631</v>
      </c>
      <c r="T168" s="1235"/>
      <c r="U168" s="1235"/>
      <c r="V168" s="1235"/>
      <c r="W168" s="1235"/>
    </row>
    <row r="169" spans="1:23" ht="21.75">
      <c r="A169" s="2232"/>
      <c r="B169" s="1592" t="s">
        <v>402</v>
      </c>
      <c r="C169" s="1595">
        <v>0</v>
      </c>
      <c r="D169" s="1595">
        <v>0</v>
      </c>
      <c r="E169" s="1595">
        <v>0</v>
      </c>
      <c r="F169" s="1595">
        <v>0</v>
      </c>
      <c r="G169" s="1595">
        <v>0</v>
      </c>
      <c r="H169" s="1595">
        <v>0</v>
      </c>
      <c r="I169" s="1595">
        <v>0</v>
      </c>
      <c r="J169" s="1595">
        <v>0</v>
      </c>
      <c r="K169" s="1595">
        <v>0</v>
      </c>
      <c r="L169" s="1595">
        <v>0</v>
      </c>
      <c r="M169" s="1595">
        <v>0</v>
      </c>
      <c r="N169" s="1595">
        <v>0</v>
      </c>
      <c r="O169" s="1594">
        <f t="shared" si="45"/>
        <v>0</v>
      </c>
      <c r="P169" s="1180">
        <f>O169/M!$Q$14</f>
        <v>0</v>
      </c>
      <c r="Q169" s="1235"/>
      <c r="R169" s="1235"/>
      <c r="S169" s="1235"/>
      <c r="T169" s="1235"/>
      <c r="U169" s="1235" t="s">
        <v>287</v>
      </c>
      <c r="V169" s="2063" t="s">
        <v>673</v>
      </c>
      <c r="W169" s="1235"/>
    </row>
    <row r="170" spans="1:23" ht="12.75">
      <c r="A170" s="2233"/>
      <c r="B170" s="1592" t="s">
        <v>674</v>
      </c>
      <c r="C170" s="1600">
        <f>SUMIF(Jan!$CN$1:$CN$186,$B247,Jan!$CM$1:$CM$186)</f>
        <v>100</v>
      </c>
      <c r="D170" s="1600">
        <f>SUMIF(Feb!$CN$1:$CN$171,$B247,Feb!$CM$1:$CM$171)</f>
        <v>100</v>
      </c>
      <c r="E170" s="1611">
        <f>SUMIF(Mar!$CN$1:$CN$192,$B247,Mar!$CM$1:$CM$192)</f>
        <v>100</v>
      </c>
      <c r="F170" s="1600">
        <f>SUMIF(Apr!$CN$1:$CN$204,$B247,Apr!$CM$1:$CM$204)</f>
        <v>100</v>
      </c>
      <c r="G170" s="1600">
        <f>SUMIF(May!$CN$1:$CN$177,$B170,May!$CM$1:$CM$177)</f>
        <v>100</v>
      </c>
      <c r="H170" s="1600">
        <f>SUMIF(Jun!$CN$1:$CN$191,$B170,Jun!$CM$1:$CM$191)</f>
        <v>100</v>
      </c>
      <c r="I170" s="1600">
        <f>SUMIF(Jul!$CN$1:$CN$177,$B170,Jul!$CM$1:$CM$177)</f>
        <v>100</v>
      </c>
      <c r="J170" s="1600">
        <f>SUMIF(Aug!$CN$1:$CN$182,$B170,Aug!$CM$1:$CM$182)</f>
        <v>2600</v>
      </c>
      <c r="K170" s="1600">
        <f>SUMIF(Sep!$CN$1:$CN$188,$B170,Sep!$CM$1:$CM$188)</f>
        <v>100</v>
      </c>
      <c r="L170" s="1595">
        <v>100</v>
      </c>
      <c r="M170" s="1595">
        <v>100</v>
      </c>
      <c r="N170" s="1595">
        <v>100</v>
      </c>
      <c r="O170" s="1594">
        <f t="shared" si="45"/>
        <v>308.33333333333331</v>
      </c>
      <c r="P170" s="1180">
        <f>O170/M!$Q$14</f>
        <v>2.7649390779301817E-2</v>
      </c>
      <c r="Q170" s="1235"/>
      <c r="R170" s="1235" t="s">
        <v>675</v>
      </c>
      <c r="S170" s="1239">
        <f>SUM(T170:T171)</f>
        <v>13600.607083333332</v>
      </c>
      <c r="T170" s="1235">
        <f>193640.27/24</f>
        <v>8068.3445833333326</v>
      </c>
      <c r="U170" s="1235">
        <f>89000/24</f>
        <v>3708.3333333333335</v>
      </c>
      <c r="V170" s="1235">
        <f>T170-U170</f>
        <v>4360.0112499999996</v>
      </c>
      <c r="W170" s="1235"/>
    </row>
    <row r="171" spans="1:23">
      <c r="A171" s="2225" t="s">
        <v>276</v>
      </c>
      <c r="B171" s="2226"/>
      <c r="C171" s="2229">
        <f t="shared" ref="C171:N171" si="47">SUM(C173:C178)</f>
        <v>297</v>
      </c>
      <c r="D171" s="2229">
        <f t="shared" si="47"/>
        <v>297</v>
      </c>
      <c r="E171" s="2229">
        <f t="shared" si="47"/>
        <v>430</v>
      </c>
      <c r="F171" s="2229">
        <f t="shared" si="47"/>
        <v>297</v>
      </c>
      <c r="G171" s="2229">
        <f t="shared" si="47"/>
        <v>603</v>
      </c>
      <c r="H171" s="2229">
        <f t="shared" si="47"/>
        <v>2418</v>
      </c>
      <c r="I171" s="2229">
        <f t="shared" si="47"/>
        <v>573</v>
      </c>
      <c r="J171" s="2229">
        <f t="shared" si="47"/>
        <v>2151</v>
      </c>
      <c r="K171" s="2229">
        <f t="shared" si="47"/>
        <v>297</v>
      </c>
      <c r="L171" s="2229">
        <f t="shared" si="47"/>
        <v>331</v>
      </c>
      <c r="M171" s="2229">
        <f t="shared" si="47"/>
        <v>297</v>
      </c>
      <c r="N171" s="2229">
        <f t="shared" si="47"/>
        <v>368</v>
      </c>
      <c r="O171" s="2229">
        <f>SUM(O173:O178)</f>
        <v>696.58333333333337</v>
      </c>
      <c r="P171" s="2205">
        <f>O171/M!$Q$14</f>
        <v>6.246520473626592E-2</v>
      </c>
      <c r="Q171" s="1235"/>
      <c r="R171" s="1235"/>
      <c r="S171" s="1235"/>
      <c r="T171" s="2064">
        <f xml:space="preserve"> 132774.3/24</f>
        <v>5532.2624999999998</v>
      </c>
      <c r="U171" s="1235"/>
      <c r="V171" s="1235"/>
      <c r="W171" s="1235"/>
    </row>
    <row r="172" spans="1:23">
      <c r="A172" s="2227"/>
      <c r="B172" s="2228"/>
      <c r="C172" s="2230"/>
      <c r="D172" s="2230"/>
      <c r="E172" s="2230"/>
      <c r="F172" s="2230"/>
      <c r="G172" s="2230"/>
      <c r="H172" s="2230"/>
      <c r="I172" s="2230"/>
      <c r="J172" s="2230"/>
      <c r="K172" s="2230"/>
      <c r="L172" s="2230"/>
      <c r="M172" s="2230"/>
      <c r="N172" s="2230"/>
      <c r="O172" s="2230"/>
      <c r="P172" s="2206"/>
      <c r="Q172" s="1235"/>
      <c r="R172" s="1235" t="s">
        <v>592</v>
      </c>
      <c r="S172" s="1239">
        <f ca="1">S170-S168</f>
        <v>-9661.0700173732985</v>
      </c>
      <c r="T172" s="1235"/>
      <c r="U172" s="1235"/>
      <c r="V172" s="1235"/>
      <c r="W172" s="1235"/>
    </row>
    <row r="173" spans="1:23" ht="12.75">
      <c r="A173" s="2231"/>
      <c r="B173" s="1592" t="s">
        <v>666</v>
      </c>
      <c r="C173" s="1595">
        <v>0</v>
      </c>
      <c r="D173" s="1595">
        <v>0</v>
      </c>
      <c r="E173" s="1595">
        <v>0</v>
      </c>
      <c r="F173" s="1595">
        <v>0</v>
      </c>
      <c r="G173" s="1595">
        <v>0</v>
      </c>
      <c r="H173" s="1595">
        <v>0</v>
      </c>
      <c r="I173" s="1595">
        <v>0</v>
      </c>
      <c r="J173" s="1595">
        <v>0</v>
      </c>
      <c r="K173" s="1595">
        <v>0</v>
      </c>
      <c r="L173" s="1595">
        <v>0</v>
      </c>
      <c r="M173" s="1595">
        <v>0</v>
      </c>
      <c r="N173" s="1595">
        <v>0</v>
      </c>
      <c r="O173" s="1594">
        <f t="shared" ref="O173:O178" si="48">SUM(C173:N173)/12</f>
        <v>0</v>
      </c>
      <c r="P173" s="1180">
        <f>O173/M!$Q$14</f>
        <v>0</v>
      </c>
      <c r="Q173" s="1235"/>
      <c r="R173" s="1235" t="s">
        <v>480</v>
      </c>
      <c r="S173" s="1239">
        <v>248000</v>
      </c>
      <c r="T173" s="1235"/>
      <c r="U173" s="1235"/>
      <c r="V173" s="1235"/>
      <c r="W173" s="1235"/>
    </row>
    <row r="174" spans="1:23" ht="12.75">
      <c r="A174" s="2232"/>
      <c r="B174" s="1592" t="s">
        <v>400</v>
      </c>
      <c r="C174" s="1598">
        <f>2400/12</f>
        <v>200</v>
      </c>
      <c r="D174" s="1598">
        <f t="shared" ref="D174:N174" si="49">2400/12</f>
        <v>200</v>
      </c>
      <c r="E174" s="1598">
        <f t="shared" si="49"/>
        <v>200</v>
      </c>
      <c r="F174" s="1598">
        <f t="shared" si="49"/>
        <v>200</v>
      </c>
      <c r="G174" s="1598">
        <f t="shared" si="49"/>
        <v>200</v>
      </c>
      <c r="H174" s="1598">
        <f t="shared" si="49"/>
        <v>200</v>
      </c>
      <c r="I174" s="1598">
        <f t="shared" si="49"/>
        <v>200</v>
      </c>
      <c r="J174" s="1598">
        <f t="shared" si="49"/>
        <v>200</v>
      </c>
      <c r="K174" s="1598">
        <f t="shared" si="49"/>
        <v>200</v>
      </c>
      <c r="L174" s="1598">
        <f t="shared" si="49"/>
        <v>200</v>
      </c>
      <c r="M174" s="1598">
        <f t="shared" si="49"/>
        <v>200</v>
      </c>
      <c r="N174" s="1598">
        <f t="shared" si="49"/>
        <v>200</v>
      </c>
      <c r="O174" s="1594">
        <f t="shared" si="48"/>
        <v>200</v>
      </c>
      <c r="P174" s="1180">
        <f>O174/M!$Q$14</f>
        <v>1.7934739964952529E-2</v>
      </c>
      <c r="Q174" s="1235"/>
      <c r="R174" s="1235" t="s">
        <v>676</v>
      </c>
      <c r="S174" s="1235">
        <f ca="1">ROUNDDOWN(S173/S172, 0)</f>
        <v>-25</v>
      </c>
      <c r="T174" s="1235"/>
      <c r="U174" s="1235"/>
      <c r="V174" s="1235"/>
      <c r="W174" s="1235"/>
    </row>
    <row r="175" spans="1:23" ht="12.75">
      <c r="A175" s="2232"/>
      <c r="B175" s="1592" t="s">
        <v>454</v>
      </c>
      <c r="C175" s="1595">
        <v>0</v>
      </c>
      <c r="D175" s="1595">
        <v>0</v>
      </c>
      <c r="E175" s="1595">
        <v>0</v>
      </c>
      <c r="F175" s="1595">
        <v>0</v>
      </c>
      <c r="G175" s="1595">
        <v>251</v>
      </c>
      <c r="H175" s="1595">
        <v>267</v>
      </c>
      <c r="I175" s="1595">
        <v>221</v>
      </c>
      <c r="J175" s="1595">
        <v>0</v>
      </c>
      <c r="K175" s="1595">
        <v>0</v>
      </c>
      <c r="L175" s="1595">
        <v>0</v>
      </c>
      <c r="M175" s="1595">
        <v>0</v>
      </c>
      <c r="N175" s="1595">
        <v>50</v>
      </c>
      <c r="O175" s="1594">
        <f t="shared" si="48"/>
        <v>65.75</v>
      </c>
      <c r="P175" s="1180">
        <f>O175/M!$Q$14</f>
        <v>5.8960457634781444E-3</v>
      </c>
      <c r="Q175" s="1235"/>
      <c r="R175" s="1235"/>
      <c r="S175" s="1235"/>
      <c r="T175" s="1235"/>
      <c r="U175" s="1235"/>
      <c r="V175" s="1235"/>
      <c r="W175" s="1235"/>
    </row>
    <row r="176" spans="1:23" ht="12.75">
      <c r="A176" s="2232"/>
      <c r="B176" s="1592" t="s">
        <v>407</v>
      </c>
      <c r="C176" s="1595">
        <v>0</v>
      </c>
      <c r="D176" s="1595">
        <v>0</v>
      </c>
      <c r="E176" s="1595">
        <v>0</v>
      </c>
      <c r="F176" s="1595">
        <v>0</v>
      </c>
      <c r="G176" s="1595">
        <v>55</v>
      </c>
      <c r="H176" s="1595">
        <v>51</v>
      </c>
      <c r="I176" s="1595">
        <v>55</v>
      </c>
      <c r="J176" s="1595">
        <v>51</v>
      </c>
      <c r="K176" s="1595">
        <v>0</v>
      </c>
      <c r="L176" s="1595">
        <v>0</v>
      </c>
      <c r="M176" s="1595">
        <v>0</v>
      </c>
      <c r="N176" s="1595">
        <v>0</v>
      </c>
      <c r="O176" s="1594">
        <f t="shared" si="48"/>
        <v>17.666666666666668</v>
      </c>
      <c r="P176" s="1180">
        <f>O176/M!$Q$14</f>
        <v>1.584235363570807E-3</v>
      </c>
      <c r="Q176" s="1235"/>
      <c r="R176" s="1235" t="s">
        <v>677</v>
      </c>
      <c r="S176" s="1235"/>
      <c r="T176" s="1235"/>
      <c r="U176" s="1235"/>
      <c r="V176" s="1235"/>
      <c r="W176" s="1235"/>
    </row>
    <row r="177" spans="1:23" ht="12.75">
      <c r="A177" s="2232"/>
      <c r="B177" s="1592" t="s">
        <v>408</v>
      </c>
      <c r="C177" s="1599">
        <v>97</v>
      </c>
      <c r="D177" s="1599">
        <v>97</v>
      </c>
      <c r="E177" s="1599">
        <v>97</v>
      </c>
      <c r="F177" s="1599">
        <v>97</v>
      </c>
      <c r="G177" s="1599">
        <v>97</v>
      </c>
      <c r="H177" s="1599">
        <v>1900</v>
      </c>
      <c r="I177" s="1599">
        <v>97</v>
      </c>
      <c r="J177" s="1599">
        <v>1900</v>
      </c>
      <c r="K177" s="1599">
        <v>97</v>
      </c>
      <c r="L177" s="1599">
        <v>97</v>
      </c>
      <c r="M177" s="1599">
        <v>97</v>
      </c>
      <c r="N177" s="1599">
        <v>108</v>
      </c>
      <c r="O177" s="1594">
        <f t="shared" si="48"/>
        <v>398.41666666666669</v>
      </c>
      <c r="P177" s="1180">
        <f>O177/M!$Q$14</f>
        <v>3.572749657184919E-2</v>
      </c>
      <c r="Q177" s="1235"/>
      <c r="R177" s="1235" t="s">
        <v>678</v>
      </c>
      <c r="S177" s="1235"/>
      <c r="T177" s="1235"/>
      <c r="U177" s="1235"/>
      <c r="V177" s="1235"/>
      <c r="W177" s="1235"/>
    </row>
    <row r="178" spans="1:23" ht="12.75">
      <c r="A178" s="2233"/>
      <c r="B178" s="1592" t="s">
        <v>409</v>
      </c>
      <c r="C178" s="1599">
        <v>0</v>
      </c>
      <c r="D178" s="1599">
        <v>0</v>
      </c>
      <c r="E178" s="1599">
        <v>133</v>
      </c>
      <c r="F178" s="1599">
        <v>0</v>
      </c>
      <c r="G178" s="1599">
        <v>0</v>
      </c>
      <c r="H178" s="1599">
        <v>0</v>
      </c>
      <c r="I178" s="1599">
        <v>0</v>
      </c>
      <c r="J178" s="1599">
        <v>0</v>
      </c>
      <c r="K178" s="1599">
        <v>0</v>
      </c>
      <c r="L178" s="1599">
        <v>34</v>
      </c>
      <c r="M178" s="1599">
        <v>0</v>
      </c>
      <c r="N178" s="1599">
        <v>10</v>
      </c>
      <c r="O178" s="1594">
        <f t="shared" si="48"/>
        <v>14.75</v>
      </c>
      <c r="P178" s="1180">
        <f>O178/M!$Q$14</f>
        <v>1.3226870724152491E-3</v>
      </c>
      <c r="Q178" s="1235"/>
      <c r="R178" s="2065" t="s">
        <v>679</v>
      </c>
      <c r="S178" s="1239">
        <v>26</v>
      </c>
      <c r="T178" s="1235"/>
      <c r="U178" s="1235"/>
      <c r="V178" s="1235"/>
      <c r="W178" s="1235"/>
    </row>
    <row r="179" spans="1:23">
      <c r="A179" s="2225" t="s">
        <v>277</v>
      </c>
      <c r="B179" s="2226"/>
      <c r="C179" s="2229">
        <f t="shared" ref="C179:N179" si="50">SUM(C181:C184)</f>
        <v>132</v>
      </c>
      <c r="D179" s="2229">
        <f t="shared" si="50"/>
        <v>209</v>
      </c>
      <c r="E179" s="2229">
        <f t="shared" si="50"/>
        <v>408</v>
      </c>
      <c r="F179" s="2229">
        <f t="shared" si="50"/>
        <v>206</v>
      </c>
      <c r="G179" s="2229">
        <f t="shared" si="50"/>
        <v>195</v>
      </c>
      <c r="H179" s="2229">
        <f t="shared" si="50"/>
        <v>266</v>
      </c>
      <c r="I179" s="2229">
        <f t="shared" si="50"/>
        <v>288</v>
      </c>
      <c r="J179" s="2229">
        <f t="shared" si="50"/>
        <v>403</v>
      </c>
      <c r="K179" s="2229">
        <f t="shared" si="50"/>
        <v>430</v>
      </c>
      <c r="L179" s="2229">
        <f t="shared" si="50"/>
        <v>264</v>
      </c>
      <c r="M179" s="2229">
        <f t="shared" si="50"/>
        <v>116.99000000000001</v>
      </c>
      <c r="N179" s="2229">
        <f t="shared" si="50"/>
        <v>321</v>
      </c>
      <c r="O179" s="2229">
        <f>SUM(O181:O184)</f>
        <v>269.9158333333333</v>
      </c>
      <c r="P179" s="2205">
        <f>O179/M!$Q$14</f>
        <v>2.4204351416283996E-2</v>
      </c>
      <c r="Q179" s="1235"/>
      <c r="R179" s="2065" t="s">
        <v>680</v>
      </c>
      <c r="S179" s="1239">
        <v>150</v>
      </c>
      <c r="T179" s="1235"/>
      <c r="U179" s="1235"/>
      <c r="V179" s="1235"/>
      <c r="W179" s="1235"/>
    </row>
    <row r="180" spans="1:23">
      <c r="A180" s="2227"/>
      <c r="B180" s="2228"/>
      <c r="C180" s="2230"/>
      <c r="D180" s="2230"/>
      <c r="E180" s="2230"/>
      <c r="F180" s="2230"/>
      <c r="G180" s="2230"/>
      <c r="H180" s="2230"/>
      <c r="I180" s="2230"/>
      <c r="J180" s="2230"/>
      <c r="K180" s="2230"/>
      <c r="L180" s="2230"/>
      <c r="M180" s="2230"/>
      <c r="N180" s="2230"/>
      <c r="O180" s="2230"/>
      <c r="P180" s="2206"/>
      <c r="Q180" s="1235"/>
      <c r="R180" s="2065" t="s">
        <v>681</v>
      </c>
      <c r="S180" s="1239">
        <v>80</v>
      </c>
      <c r="T180" s="1235"/>
      <c r="U180" s="1235"/>
      <c r="V180" s="1235"/>
      <c r="W180" s="1235"/>
    </row>
    <row r="181" spans="1:23" ht="12.75">
      <c r="A181" s="2231"/>
      <c r="B181" s="1592" t="s">
        <v>410</v>
      </c>
      <c r="C181" s="1600">
        <f>SUMIF(Jan!$CN$1:$CN$186,$B258,Jan!$CM$1:$CM$186)</f>
        <v>132</v>
      </c>
      <c r="D181" s="1600">
        <f>SUMIF(Feb!$CN$1:$CN$171,$B258,Feb!$CM$1:$CM$171)</f>
        <v>209</v>
      </c>
      <c r="E181" s="1611">
        <f>SUMIF(Mar!$CN$1:$CN$192,$B258,Mar!$CM$1:$CM$192)</f>
        <v>408</v>
      </c>
      <c r="F181" s="1600">
        <f>SUMIF(Apr!$CN$1:$CN$204,$B258,Apr!$CM$1:$CM$204)</f>
        <v>205</v>
      </c>
      <c r="G181" s="1600">
        <f>SUMIF(May!$CN$1:$CN$177,$B181,May!$CM$1:$CM$177)</f>
        <v>195</v>
      </c>
      <c r="H181" s="1600">
        <f>SUMIF(Jun!$CN$1:$CN$191,$B181,Jun!$CM$1:$CM$191)</f>
        <v>266</v>
      </c>
      <c r="I181" s="1600">
        <f>SUMIF(Jul!$CN$1:$CN$177,$B181,Jul!$CM$1:$CM$177)</f>
        <v>288</v>
      </c>
      <c r="J181" s="1600">
        <f>SUMIF(Aug!$CN$1:$CN$182,$B181,Aug!$CM$1:$CM$182)</f>
        <v>403</v>
      </c>
      <c r="K181" s="1600">
        <f>SUMIF(Sep!$CN$1:$CN$188,$B181,Sep!$CM$1:$CM$188)</f>
        <v>430</v>
      </c>
      <c r="L181" s="1600">
        <f>SUMIF(Oct!$CN$1:$CN$188,$B181,Oct!$CM$1:$CM$188)</f>
        <v>264</v>
      </c>
      <c r="M181" s="1600">
        <f>SUMIF(Nov!$CN$1:$CN$323,$B181,Nov!$CM$1:$CM$323)</f>
        <v>116.99000000000001</v>
      </c>
      <c r="N181" s="1600">
        <f>SUMIF(Dec!$CN$1:$CN$186,$B181,Dec!$CM$1:$CM$186)</f>
        <v>321</v>
      </c>
      <c r="O181" s="1594">
        <f>SUM(C181:N181)/12</f>
        <v>269.83249999999998</v>
      </c>
      <c r="P181" s="1180">
        <f>O181/M!$Q$14</f>
        <v>2.4196878607965266E-2</v>
      </c>
      <c r="Q181" s="1235"/>
      <c r="R181" s="2065" t="s">
        <v>682</v>
      </c>
      <c r="S181" s="1239">
        <v>23</v>
      </c>
      <c r="T181" s="1235"/>
      <c r="U181" s="1235"/>
      <c r="V181" s="1235"/>
      <c r="W181" s="1235"/>
    </row>
    <row r="182" spans="1:23" ht="12.75">
      <c r="A182" s="2232"/>
      <c r="B182" s="1592" t="s">
        <v>457</v>
      </c>
      <c r="C182" s="1600">
        <f>SUMIF(Jan!$CN$1:$CN$186,$B259,Jan!$CM$1:$CM$186)</f>
        <v>0</v>
      </c>
      <c r="D182" s="1600">
        <f>SUMIF(Feb!$CN$1:$CN$171,$B259,Feb!$CM$1:$CM$171)</f>
        <v>0</v>
      </c>
      <c r="E182" s="1600">
        <f>SUMIF(Mar!$CN$1:$CN$192,$B259,Mar!$CM$1:$CM$192)</f>
        <v>0</v>
      </c>
      <c r="F182" s="1600">
        <f>SUMIF(Apr!$CN$1:$CN$204,$B259,Apr!$CM$1:$CM$204)</f>
        <v>1</v>
      </c>
      <c r="G182" s="1600">
        <f>SUMIF(May!$CN$1:$CN$177,$B182,May!$CM$1:$CM$177)</f>
        <v>0</v>
      </c>
      <c r="H182" s="1600">
        <f>SUMIF(Jun!$CN$1:$CN$191,$B182,Jun!$CM$1:$CM$191)</f>
        <v>0</v>
      </c>
      <c r="I182" s="1600">
        <f>SUMIF(Jul!$CN$1:$CN$177,$B182,Jul!$CM$1:$CM$177)</f>
        <v>0</v>
      </c>
      <c r="J182" s="1600">
        <f>SUMIF(Aug!$CN$1:$CN$182,$B182,Aug!$CM$1:$CM$182)</f>
        <v>0</v>
      </c>
      <c r="K182" s="1600">
        <f>SUMIF(Sep!$CN$1:$CN$188,$B182,Sep!$CM$1:$CM$188)</f>
        <v>0</v>
      </c>
      <c r="L182" s="1600">
        <f>SUMIF(Oct!$CN$1:$CN$188,$B182,Oct!$CM$1:$CM$188)</f>
        <v>0</v>
      </c>
      <c r="M182" s="1600">
        <f>SUMIF(Nov!$CN$1:$CN$323,$B182,Nov!$CM$1:$CM$323)</f>
        <v>0</v>
      </c>
      <c r="N182" s="1600">
        <f>SUMIF(Dec!$CN$1:$CN$186,$B182,Dec!$CM$1:$CM$186)</f>
        <v>0</v>
      </c>
      <c r="O182" s="1594">
        <f>SUM(C182:N182)/12</f>
        <v>8.3333333333333329E-2</v>
      </c>
      <c r="P182" s="1180">
        <f>O182/M!$Q$14</f>
        <v>7.4728083187302201E-6</v>
      </c>
      <c r="Q182" s="1235"/>
      <c r="R182" s="2065" t="s">
        <v>683</v>
      </c>
      <c r="S182" s="1239">
        <v>20</v>
      </c>
      <c r="T182" s="1235"/>
      <c r="U182" s="1235"/>
      <c r="V182" s="1235"/>
      <c r="W182" s="1235"/>
    </row>
    <row r="183" spans="1:23" ht="12.75">
      <c r="A183" s="2232"/>
      <c r="B183" s="1592" t="s">
        <v>458</v>
      </c>
      <c r="C183" s="1600">
        <f>SUMIF(Jan!$CN$1:$CN$186,$B260,Jan!$CM$1:$CM$186)</f>
        <v>0</v>
      </c>
      <c r="D183" s="1600">
        <f>SUMIF(Feb!$CN$1:$CN$171,$B260,Feb!$CM$1:$CM$171)</f>
        <v>0</v>
      </c>
      <c r="E183" s="1600">
        <f>SUMIF(Mar!$CN$1:$CN$192,$B260,Mar!$CM$1:$CM$192)</f>
        <v>0</v>
      </c>
      <c r="F183" s="1600">
        <f>SUMIF(Apr!$CN$1:$CN$204,$B260,Apr!$CM$1:$CM$204)</f>
        <v>0</v>
      </c>
      <c r="G183" s="1600">
        <f>SUMIF(May!$CN$1:$CN$177,$B183,May!$CM$1:$CM$177)</f>
        <v>0</v>
      </c>
      <c r="H183" s="1600">
        <f>SUMIF(Jun!$CN$1:$CN$191,$B183,Jun!$CM$1:$CM$191)</f>
        <v>0</v>
      </c>
      <c r="I183" s="1600">
        <f>SUMIF(Jul!$CN$1:$CN$177,$B183,Jul!$CM$1:$CM$177)</f>
        <v>0</v>
      </c>
      <c r="J183" s="1600">
        <f>SUMIF(Aug!$CN$1:$CN$182,$B183,Aug!$CM$1:$CM$182)</f>
        <v>0</v>
      </c>
      <c r="K183" s="1600">
        <f>SUMIF(Sep!$CN$1:$CN$188,$B183,Sep!$CM$1:$CM$188)</f>
        <v>0</v>
      </c>
      <c r="L183" s="1600">
        <f>SUMIF(Oct!$CN$1:$CN$188,$B183,Oct!$CM$1:$CM$188)</f>
        <v>0</v>
      </c>
      <c r="M183" s="1600">
        <f>SUMIF(Nov!$CN$1:$CN$323,$B183,Nov!$CM$1:$CM$323)</f>
        <v>0</v>
      </c>
      <c r="N183" s="1600">
        <f>SUMIF(Dec!$CN$1:$CN$186,$B183,Dec!$CM$1:$CM$186)</f>
        <v>0</v>
      </c>
      <c r="O183" s="1594">
        <f>SUM(C183:N183)/12</f>
        <v>0</v>
      </c>
      <c r="P183" s="1180">
        <f>O183/M!$Q$14</f>
        <v>0</v>
      </c>
      <c r="Q183" s="1235"/>
      <c r="R183" s="2065" t="s">
        <v>684</v>
      </c>
      <c r="S183" s="1239">
        <v>20</v>
      </c>
      <c r="T183" s="1235"/>
      <c r="U183" s="1235"/>
      <c r="V183" s="1235"/>
      <c r="W183" s="1235"/>
    </row>
    <row r="184" spans="1:23" ht="12.75">
      <c r="A184" s="2233"/>
      <c r="B184" s="1592" t="s">
        <v>459</v>
      </c>
      <c r="C184" s="1600">
        <f>SUMIF(Jan!$CN$1:$CN$186,$B261,Jan!$CM$1:$CM$186)</f>
        <v>0</v>
      </c>
      <c r="D184" s="1600">
        <f>SUMIF(Feb!$CN$1:$CN$171,$B261,Feb!$CM$1:$CM$171)</f>
        <v>0</v>
      </c>
      <c r="E184" s="1600">
        <f>SUMIF(Mar!$CN$1:$CN$192,$B261,Mar!$CM$1:$CM$192)</f>
        <v>0</v>
      </c>
      <c r="F184" s="1600">
        <f>SUMIF(Apr!$CN$1:$CN$204,$B261,Apr!$CM$1:$CM$204)</f>
        <v>0</v>
      </c>
      <c r="G184" s="1600">
        <f>SUMIF(May!$CN$1:$CN$177,$B184,May!$CM$1:$CM$177)</f>
        <v>0</v>
      </c>
      <c r="H184" s="1600">
        <f>SUMIF(Jun!$CN$1:$CN$191,$B184,Jun!$CM$1:$CM$191)</f>
        <v>0</v>
      </c>
      <c r="I184" s="1600">
        <f>SUMIF(Jul!$CN$1:$CN$177,$B184,Jul!$CM$1:$CM$177)</f>
        <v>0</v>
      </c>
      <c r="J184" s="1600">
        <f>SUMIF(Aug!$CN$1:$CN$182,$B184,Aug!$CM$1:$CM$182)</f>
        <v>0</v>
      </c>
      <c r="K184" s="1600">
        <f>SUMIF(Sep!$CN$1:$CN$188,$B184,Sep!$CM$1:$CM$188)</f>
        <v>0</v>
      </c>
      <c r="L184" s="1600">
        <f>SUMIF(Oct!$CN$1:$CN$188,$B184,Oct!$CM$1:$CM$188)</f>
        <v>0</v>
      </c>
      <c r="M184" s="1600">
        <f>SUMIF(Nov!$CN$1:$CN$323,$B184,Nov!$CM$1:$CM$323)</f>
        <v>0</v>
      </c>
      <c r="N184" s="1600">
        <f>SUMIF(Dec!$CN$1:$CN$186,$B184,Dec!$CM$1:$CM$186)</f>
        <v>0</v>
      </c>
      <c r="O184" s="1594">
        <f>SUM(C184:N184)/12</f>
        <v>0</v>
      </c>
      <c r="P184" s="1180">
        <f>O184/M!$Q$14</f>
        <v>0</v>
      </c>
      <c r="Q184" s="1235"/>
      <c r="R184" s="1235"/>
      <c r="S184" s="1235"/>
      <c r="T184" s="1235"/>
      <c r="U184" s="1235"/>
      <c r="V184" s="1235"/>
      <c r="W184" s="1235"/>
    </row>
    <row r="185" spans="1:23">
      <c r="A185" s="2225" t="s">
        <v>278</v>
      </c>
      <c r="B185" s="2226"/>
      <c r="C185" s="2229">
        <f t="shared" ref="C185:J185" si="51">SUM(C187:C188)</f>
        <v>1075</v>
      </c>
      <c r="D185" s="2229">
        <f t="shared" si="51"/>
        <v>935</v>
      </c>
      <c r="E185" s="2229">
        <f t="shared" si="51"/>
        <v>1958</v>
      </c>
      <c r="F185" s="2229">
        <f t="shared" si="51"/>
        <v>1457</v>
      </c>
      <c r="G185" s="2229">
        <f t="shared" si="51"/>
        <v>2037</v>
      </c>
      <c r="H185" s="2229">
        <f t="shared" si="51"/>
        <v>1312</v>
      </c>
      <c r="I185" s="2229">
        <f t="shared" si="51"/>
        <v>1383</v>
      </c>
      <c r="J185" s="2229">
        <f t="shared" si="51"/>
        <v>2124</v>
      </c>
      <c r="K185" s="2229">
        <f>SUM(K187:K188)</f>
        <v>1629</v>
      </c>
      <c r="L185" s="2229">
        <f>SUM(L187:L188)</f>
        <v>1838</v>
      </c>
      <c r="M185" s="2229">
        <f>SUM(M187:M188)</f>
        <v>752.86</v>
      </c>
      <c r="N185" s="2229">
        <f>SUM(N187:N188)</f>
        <v>1057</v>
      </c>
      <c r="O185" s="2229">
        <f>SUM(O187:O188)</f>
        <v>1463.155</v>
      </c>
      <c r="P185" s="2205">
        <f>O185/M!$Q$14</f>
        <v>0.13120652226710058</v>
      </c>
      <c r="Q185" s="1235"/>
      <c r="R185" s="1235"/>
      <c r="S185" s="1235" t="s">
        <v>133</v>
      </c>
      <c r="T185" s="1235" t="s">
        <v>685</v>
      </c>
      <c r="U185" s="1235"/>
      <c r="V185" s="1235"/>
      <c r="W185" s="1235"/>
    </row>
    <row r="186" spans="1:23">
      <c r="A186" s="2227"/>
      <c r="B186" s="2228"/>
      <c r="C186" s="2230"/>
      <c r="D186" s="2230"/>
      <c r="E186" s="2230"/>
      <c r="F186" s="2230"/>
      <c r="G186" s="2230"/>
      <c r="H186" s="2230"/>
      <c r="I186" s="2230"/>
      <c r="J186" s="2230"/>
      <c r="K186" s="2230"/>
      <c r="L186" s="2230"/>
      <c r="M186" s="2230"/>
      <c r="N186" s="2230"/>
      <c r="O186" s="2230"/>
      <c r="P186" s="2206"/>
      <c r="Q186" s="1235"/>
      <c r="R186" s="1235" t="s">
        <v>686</v>
      </c>
      <c r="S186" s="1239">
        <f>SUM(TripCompare!N14:R14)</f>
        <v>29789</v>
      </c>
      <c r="T186" s="1239">
        <f>S186/12</f>
        <v>2482.4166666666665</v>
      </c>
      <c r="U186" s="1235"/>
      <c r="V186" s="1235"/>
      <c r="W186" s="1235"/>
    </row>
    <row r="187" spans="1:23" ht="12.75">
      <c r="A187" s="2231"/>
      <c r="B187" s="1592" t="s">
        <v>414</v>
      </c>
      <c r="C187" s="1600">
        <f>SUMIF(Jan!$CN$1:$CN$186,$B264,Jan!$CM$1:$CM$186)</f>
        <v>1075</v>
      </c>
      <c r="D187" s="1600">
        <f>SUMIF(Feb!$CN$1:$CN$171,$B264,Feb!$CM$1:$CM$171)</f>
        <v>935</v>
      </c>
      <c r="E187" s="1600">
        <f>SUMIF(Mar!$CN$1:$CN$192,$B264,Mar!$CM$1:$CM$192)</f>
        <v>1846</v>
      </c>
      <c r="F187" s="1600">
        <f>SUMIF(Apr!$CN$1:$CN$204,$B264,Apr!$CM$1:$CM$204)</f>
        <v>1034</v>
      </c>
      <c r="G187" s="1600">
        <f>SUMIF(May!$CN$1:$CN$177,$B187,May!$CM$1:$CM$177)</f>
        <v>1932</v>
      </c>
      <c r="H187" s="1600">
        <f>SUMIF(Jun!$CN$1:$CN$191,$B187,Jun!$CM$1:$CM$191)</f>
        <v>644</v>
      </c>
      <c r="I187" s="1600">
        <f>SUMIF(Jul!$CN$1:$CN$177,$B187,Jul!$CM$1:$CM$177)</f>
        <v>905</v>
      </c>
      <c r="J187" s="1600">
        <f>SUMIF(Aug!$CN$1:$CN$182,$B187,Aug!$CM$1:$CM$182)</f>
        <v>1081</v>
      </c>
      <c r="K187" s="1600">
        <f>SUMIF(Sep!$CN$1:$CN$188,$B187,Sep!$CM$1:$CM$188)</f>
        <v>1189</v>
      </c>
      <c r="L187" s="1600">
        <f>SUMIF(Oct!$CN$1:$CN$188,$B187,Oct!$CM$1:$CM$188)</f>
        <v>1457</v>
      </c>
      <c r="M187" s="1600">
        <f>SUMIF(Nov!$CN$1:$CN$323,$B187,Nov!$CM$1:$CM$323)</f>
        <v>1346.6399999999999</v>
      </c>
      <c r="N187" s="1600">
        <f>SUMIF(Dec!$CN$1:$CN$186,$B187,Dec!$CM$1:$CM$186)</f>
        <v>617</v>
      </c>
      <c r="O187" s="1594">
        <f>SUM(C187:N187)/12</f>
        <v>1171.8033333333333</v>
      </c>
      <c r="P187" s="1180">
        <f>O187/M!$Q$14</f>
        <v>0.10507994036698962</v>
      </c>
      <c r="Q187" s="1235"/>
      <c r="R187" s="1235" t="s">
        <v>687</v>
      </c>
      <c r="S187" s="1239">
        <f>SUM(TripCompare!G14:M14)</f>
        <v>26115</v>
      </c>
      <c r="T187" s="1239">
        <f t="shared" ref="T187:T188" si="52">S187/12</f>
        <v>2176.25</v>
      </c>
      <c r="U187" s="1235"/>
      <c r="V187" s="1235"/>
      <c r="W187" s="1235"/>
    </row>
    <row r="188" spans="1:23" ht="12.75">
      <c r="A188" s="2233"/>
      <c r="B188" s="1592" t="s">
        <v>278</v>
      </c>
      <c r="C188" s="1600">
        <f>SUMIF(Jan!$CN$1:$CN$186,$B265,Jan!$CM$1:$CM$186)</f>
        <v>0</v>
      </c>
      <c r="D188" s="1600">
        <f>SUMIF(Feb!$CN$1:$CN$171,$B265,Feb!$CM$1:$CM$171)</f>
        <v>0</v>
      </c>
      <c r="E188" s="1600">
        <f>SUMIF(Mar!$CN$1:$CN$192,$B265,Mar!$CM$1:$CM$192)</f>
        <v>112</v>
      </c>
      <c r="F188" s="1600">
        <f>SUMIF(Apr!$CN$1:$CN$204,$B265,Apr!$CM$1:$CM$204)</f>
        <v>423</v>
      </c>
      <c r="G188" s="1600">
        <f>SUMIF(May!$CN$1:$CN$177,$B188,May!$CM$1:$CM$177)</f>
        <v>105</v>
      </c>
      <c r="H188" s="1600">
        <f>SUMIF(Jun!$CN$1:$CN$191,$B188,Jun!$CM$1:$CM$191)</f>
        <v>668</v>
      </c>
      <c r="I188" s="1600">
        <f>SUMIF(Jul!$CN$1:$CN$177,$B188,Jul!$CM$1:$CM$177)</f>
        <v>478</v>
      </c>
      <c r="J188" s="1600">
        <f>SUMIF(Aug!$CN$1:$CN$182,$B188,Aug!$CM$1:$CM$182)</f>
        <v>1043</v>
      </c>
      <c r="K188" s="1600">
        <f>SUMIF(Sep!$CN$1:$CN$188,$B188,Sep!$CM$1:$CM$188)</f>
        <v>440</v>
      </c>
      <c r="L188" s="1600">
        <f>SUMIF(Oct!$CN$1:$CN$188,$B188,Oct!$CM$1:$CM$188)</f>
        <v>381</v>
      </c>
      <c r="M188" s="1600">
        <f>SUMIF(Nov!$CN$1:$CN$323,$B188,Nov!$CM$1:$CM$323)</f>
        <v>-593.77999999999986</v>
      </c>
      <c r="N188" s="1600">
        <f>SUMIF(Dec!$CN$1:$CN$186,$B188,Dec!$CM$1:$CM$186)</f>
        <v>440</v>
      </c>
      <c r="O188" s="1594">
        <f>SUM(C188:N188)/12</f>
        <v>291.35166666666669</v>
      </c>
      <c r="P188" s="1180">
        <f>O188/M!$Q$14</f>
        <v>2.6126581900110975E-2</v>
      </c>
      <c r="Q188" s="1235"/>
      <c r="R188" s="1235" t="s">
        <v>688</v>
      </c>
      <c r="S188" s="1239">
        <f>SUM(TripCompare!D14:F14)</f>
        <v>12789</v>
      </c>
      <c r="T188" s="1239">
        <f t="shared" si="52"/>
        <v>1065.75</v>
      </c>
      <c r="U188" s="1235"/>
      <c r="V188" s="1235"/>
      <c r="W188" s="1235"/>
    </row>
    <row r="189" spans="1:23">
      <c r="A189" s="2225" t="s">
        <v>279</v>
      </c>
      <c r="B189" s="2226"/>
      <c r="C189" s="2229">
        <f t="shared" ref="C189:N189" si="53">SUM(C191:C198)</f>
        <v>1325</v>
      </c>
      <c r="D189" s="2229">
        <f t="shared" si="53"/>
        <v>1325</v>
      </c>
      <c r="E189" s="2229">
        <f t="shared" si="53"/>
        <v>1325</v>
      </c>
      <c r="F189" s="2229">
        <f t="shared" si="53"/>
        <v>1325</v>
      </c>
      <c r="G189" s="2229">
        <f t="shared" si="53"/>
        <v>1325</v>
      </c>
      <c r="H189" s="2229">
        <f t="shared" si="53"/>
        <v>1325</v>
      </c>
      <c r="I189" s="2229">
        <f t="shared" si="53"/>
        <v>1325</v>
      </c>
      <c r="J189" s="2229">
        <f t="shared" si="53"/>
        <v>1485</v>
      </c>
      <c r="K189" s="2229">
        <f t="shared" si="53"/>
        <v>1325</v>
      </c>
      <c r="L189" s="2229">
        <f t="shared" si="53"/>
        <v>1325</v>
      </c>
      <c r="M189" s="2229">
        <f t="shared" si="53"/>
        <v>1325</v>
      </c>
      <c r="N189" s="2229">
        <f t="shared" si="53"/>
        <v>1325</v>
      </c>
      <c r="O189" s="2229">
        <f>SUM(O191:O198)</f>
        <v>1338.3333333333333</v>
      </c>
      <c r="P189" s="2205">
        <f>O189/M!$Q$14</f>
        <v>0.12001330159880734</v>
      </c>
      <c r="Q189" s="1235"/>
      <c r="R189" s="1235"/>
      <c r="S189" s="1235"/>
      <c r="T189" s="1235"/>
      <c r="U189" s="1235"/>
      <c r="V189" s="1235"/>
      <c r="W189" s="1235"/>
    </row>
    <row r="190" spans="1:23">
      <c r="A190" s="2227"/>
      <c r="B190" s="2228"/>
      <c r="C190" s="2230"/>
      <c r="D190" s="2230"/>
      <c r="E190" s="2230"/>
      <c r="F190" s="2230"/>
      <c r="G190" s="2230"/>
      <c r="H190" s="2230"/>
      <c r="I190" s="2230"/>
      <c r="J190" s="2230"/>
      <c r="K190" s="2230"/>
      <c r="L190" s="2230"/>
      <c r="M190" s="2230"/>
      <c r="N190" s="2230"/>
      <c r="O190" s="2230"/>
      <c r="P190" s="2206"/>
      <c r="Q190" s="1235"/>
      <c r="R190" s="1235"/>
      <c r="S190" s="1235"/>
      <c r="T190" s="1235"/>
      <c r="U190" s="1235"/>
      <c r="V190" s="1235"/>
      <c r="W190" s="1235"/>
    </row>
    <row r="191" spans="1:23" ht="12.75">
      <c r="A191" s="2231"/>
      <c r="B191" s="1592" t="s">
        <v>415</v>
      </c>
      <c r="C191" s="1601">
        <v>500</v>
      </c>
      <c r="D191" s="1601">
        <v>500</v>
      </c>
      <c r="E191" s="1601">
        <v>500</v>
      </c>
      <c r="F191" s="1601">
        <v>500</v>
      </c>
      <c r="G191" s="1601">
        <v>500</v>
      </c>
      <c r="H191" s="1601">
        <v>500</v>
      </c>
      <c r="I191" s="1601">
        <v>500</v>
      </c>
      <c r="J191" s="1601">
        <v>500</v>
      </c>
      <c r="K191" s="1601">
        <v>500</v>
      </c>
      <c r="L191" s="1601">
        <v>500</v>
      </c>
      <c r="M191" s="1601">
        <v>500</v>
      </c>
      <c r="N191" s="1601">
        <v>500</v>
      </c>
      <c r="O191" s="1594">
        <f t="shared" ref="O191:O198" si="54">SUM(C191:N191)/12</f>
        <v>500</v>
      </c>
      <c r="P191" s="1180">
        <f>O191/M!$Q$14</f>
        <v>4.4836849912381328E-2</v>
      </c>
      <c r="Q191" s="1235"/>
      <c r="R191" s="1235"/>
      <c r="S191" s="1235"/>
      <c r="T191" s="1235"/>
      <c r="U191" s="1235"/>
      <c r="V191" s="1235"/>
      <c r="W191" s="1235"/>
    </row>
    <row r="192" spans="1:23" ht="12.75">
      <c r="A192" s="2232"/>
      <c r="B192" s="1592" t="s">
        <v>416</v>
      </c>
      <c r="C192" s="1601">
        <v>200</v>
      </c>
      <c r="D192" s="1601">
        <v>200</v>
      </c>
      <c r="E192" s="1601">
        <v>200</v>
      </c>
      <c r="F192" s="1601">
        <v>200</v>
      </c>
      <c r="G192" s="1601">
        <v>200</v>
      </c>
      <c r="H192" s="1601">
        <v>200</v>
      </c>
      <c r="I192" s="1601">
        <v>200</v>
      </c>
      <c r="J192" s="1601">
        <v>200</v>
      </c>
      <c r="K192" s="1601">
        <v>200</v>
      </c>
      <c r="L192" s="1601">
        <v>200</v>
      </c>
      <c r="M192" s="1601">
        <v>200</v>
      </c>
      <c r="N192" s="1601">
        <v>200</v>
      </c>
      <c r="O192" s="1594">
        <f t="shared" si="54"/>
        <v>200</v>
      </c>
      <c r="P192" s="1180">
        <f>O192/M!$Q$14</f>
        <v>1.7934739964952529E-2</v>
      </c>
      <c r="Q192" s="1235"/>
      <c r="R192" s="1235"/>
      <c r="S192" s="1235"/>
      <c r="T192" s="1235"/>
      <c r="U192" s="1235"/>
      <c r="V192" s="1235"/>
      <c r="W192" s="1235"/>
    </row>
    <row r="193" spans="1:23" ht="12.75">
      <c r="A193" s="2232"/>
      <c r="B193" s="1592" t="s">
        <v>417</v>
      </c>
      <c r="C193" s="1601">
        <v>100</v>
      </c>
      <c r="D193" s="1601">
        <v>100</v>
      </c>
      <c r="E193" s="1601">
        <v>100</v>
      </c>
      <c r="F193" s="1601">
        <v>100</v>
      </c>
      <c r="G193" s="1601">
        <v>100</v>
      </c>
      <c r="H193" s="1601">
        <v>100</v>
      </c>
      <c r="I193" s="1601">
        <v>100</v>
      </c>
      <c r="J193" s="1601">
        <v>100</v>
      </c>
      <c r="K193" s="1601">
        <v>100</v>
      </c>
      <c r="L193" s="1601">
        <v>100</v>
      </c>
      <c r="M193" s="1601">
        <v>100</v>
      </c>
      <c r="N193" s="1601">
        <v>100</v>
      </c>
      <c r="O193" s="1594">
        <f t="shared" si="54"/>
        <v>100</v>
      </c>
      <c r="P193" s="1180">
        <f>O193/M!$Q$14</f>
        <v>8.9673699824762646E-3</v>
      </c>
      <c r="Q193" s="1235"/>
      <c r="R193" s="1235"/>
      <c r="S193" s="1235"/>
      <c r="T193" s="1235"/>
      <c r="U193" s="1235"/>
      <c r="V193" s="1235"/>
      <c r="W193" s="1235"/>
    </row>
    <row r="194" spans="1:23" ht="12.75">
      <c r="A194" s="2232"/>
      <c r="B194" s="1592" t="s">
        <v>410</v>
      </c>
      <c r="C194" s="1601">
        <v>200</v>
      </c>
      <c r="D194" s="1601">
        <v>200</v>
      </c>
      <c r="E194" s="1601">
        <v>200</v>
      </c>
      <c r="F194" s="1601">
        <v>200</v>
      </c>
      <c r="G194" s="1601">
        <v>200</v>
      </c>
      <c r="H194" s="1601">
        <v>200</v>
      </c>
      <c r="I194" s="1601">
        <v>200</v>
      </c>
      <c r="J194" s="1601">
        <v>200</v>
      </c>
      <c r="K194" s="1601">
        <v>200</v>
      </c>
      <c r="L194" s="1601">
        <v>200</v>
      </c>
      <c r="M194" s="1601">
        <v>200</v>
      </c>
      <c r="N194" s="1601">
        <v>200</v>
      </c>
      <c r="O194" s="1594">
        <f t="shared" si="54"/>
        <v>200</v>
      </c>
      <c r="P194" s="1180">
        <f>O194/M!$Q$14</f>
        <v>1.7934739964952529E-2</v>
      </c>
      <c r="Q194" s="1235"/>
      <c r="R194" s="1235"/>
      <c r="S194" s="1235"/>
      <c r="T194" s="1235"/>
      <c r="U194" s="1235"/>
      <c r="V194" s="1235"/>
      <c r="W194" s="1235"/>
    </row>
    <row r="195" spans="1:23" ht="12.75">
      <c r="A195" s="2232"/>
      <c r="B195" s="1592" t="s">
        <v>418</v>
      </c>
      <c r="C195" s="1601">
        <v>95</v>
      </c>
      <c r="D195" s="1601">
        <v>95</v>
      </c>
      <c r="E195" s="1601">
        <v>95</v>
      </c>
      <c r="F195" s="1601">
        <v>95</v>
      </c>
      <c r="G195" s="1601">
        <v>95</v>
      </c>
      <c r="H195" s="1601">
        <v>95</v>
      </c>
      <c r="I195" s="1601">
        <v>95</v>
      </c>
      <c r="J195" s="1601">
        <v>95</v>
      </c>
      <c r="K195" s="1601">
        <v>95</v>
      </c>
      <c r="L195" s="1601">
        <v>95</v>
      </c>
      <c r="M195" s="1601">
        <v>95</v>
      </c>
      <c r="N195" s="1601">
        <v>95</v>
      </c>
      <c r="O195" s="1594">
        <f t="shared" si="54"/>
        <v>95</v>
      </c>
      <c r="P195" s="1180">
        <f>O195/M!$Q$14</f>
        <v>8.5190014833524518E-3</v>
      </c>
      <c r="Q195" s="1235"/>
      <c r="R195" s="1235"/>
      <c r="S195" s="1235"/>
      <c r="T195" s="1235"/>
      <c r="U195" s="1235"/>
      <c r="V195" s="1235"/>
      <c r="W195" s="1235"/>
    </row>
    <row r="196" spans="1:23" ht="12.75">
      <c r="A196" s="2232"/>
      <c r="B196" s="1592" t="s">
        <v>419</v>
      </c>
      <c r="C196" s="1601">
        <v>0</v>
      </c>
      <c r="D196" s="1601">
        <v>0</v>
      </c>
      <c r="E196" s="1601">
        <v>0</v>
      </c>
      <c r="F196" s="1601">
        <v>0</v>
      </c>
      <c r="G196" s="1601">
        <v>0</v>
      </c>
      <c r="H196" s="1601">
        <v>0</v>
      </c>
      <c r="I196" s="1601">
        <v>0</v>
      </c>
      <c r="J196" s="1601">
        <v>0</v>
      </c>
      <c r="K196" s="1601">
        <v>0</v>
      </c>
      <c r="L196" s="1601">
        <v>0</v>
      </c>
      <c r="M196" s="1601">
        <v>0</v>
      </c>
      <c r="N196" s="1601">
        <v>0</v>
      </c>
      <c r="O196" s="1594">
        <f t="shared" si="54"/>
        <v>0</v>
      </c>
      <c r="P196" s="1180">
        <f>O196/M!$Q$14</f>
        <v>0</v>
      </c>
      <c r="Q196" s="1235"/>
      <c r="R196" s="1235"/>
      <c r="S196" s="1235"/>
      <c r="T196" s="1235"/>
      <c r="U196" s="1235"/>
      <c r="V196" s="1235"/>
      <c r="W196" s="1235"/>
    </row>
    <row r="197" spans="1:23" ht="12.75">
      <c r="A197" s="2232"/>
      <c r="B197" s="1592" t="s">
        <v>460</v>
      </c>
      <c r="C197" s="1601">
        <v>0</v>
      </c>
      <c r="D197" s="1601">
        <v>0</v>
      </c>
      <c r="E197" s="1601">
        <v>0</v>
      </c>
      <c r="F197" s="1601">
        <v>0</v>
      </c>
      <c r="G197" s="1601">
        <v>0</v>
      </c>
      <c r="H197" s="1601">
        <v>0</v>
      </c>
      <c r="I197" s="1601">
        <v>0</v>
      </c>
      <c r="J197" s="1601">
        <v>0</v>
      </c>
      <c r="K197" s="1601">
        <v>0</v>
      </c>
      <c r="L197" s="1601">
        <v>0</v>
      </c>
      <c r="M197" s="1601">
        <v>0</v>
      </c>
      <c r="N197" s="1601">
        <v>0</v>
      </c>
      <c r="O197" s="1594">
        <f t="shared" si="54"/>
        <v>0</v>
      </c>
      <c r="P197" s="1180">
        <f>O197/M!$Q$14</f>
        <v>0</v>
      </c>
      <c r="Q197" s="1235"/>
      <c r="R197" s="1235"/>
      <c r="S197" s="1235"/>
      <c r="T197" s="1235"/>
      <c r="U197" s="1235"/>
      <c r="V197" s="1235"/>
      <c r="W197" s="1235"/>
    </row>
    <row r="198" spans="1:23" ht="12.75">
      <c r="A198" s="2233"/>
      <c r="B198" s="1592" t="s">
        <v>421</v>
      </c>
      <c r="C198" s="1601">
        <v>230</v>
      </c>
      <c r="D198" s="1601">
        <v>230</v>
      </c>
      <c r="E198" s="1601">
        <v>230</v>
      </c>
      <c r="F198" s="1601">
        <v>230</v>
      </c>
      <c r="G198" s="1601">
        <v>230</v>
      </c>
      <c r="H198" s="1601">
        <v>230</v>
      </c>
      <c r="I198" s="1601">
        <v>230</v>
      </c>
      <c r="J198" s="1601">
        <v>390</v>
      </c>
      <c r="K198" s="1601">
        <v>230</v>
      </c>
      <c r="L198" s="1601">
        <v>230</v>
      </c>
      <c r="M198" s="1601">
        <v>230</v>
      </c>
      <c r="N198" s="1601">
        <v>230</v>
      </c>
      <c r="O198" s="1594">
        <f t="shared" si="54"/>
        <v>243.33333333333334</v>
      </c>
      <c r="P198" s="1180">
        <f>O198/M!$Q$14</f>
        <v>2.1820600290692247E-2</v>
      </c>
      <c r="Q198" s="1235"/>
      <c r="R198" s="1235"/>
      <c r="S198" s="1235"/>
      <c r="T198" s="1235"/>
      <c r="U198" s="1235"/>
      <c r="V198" s="1235"/>
      <c r="W198" s="1235"/>
    </row>
    <row r="199" spans="1:23">
      <c r="A199" s="2225" t="s">
        <v>280</v>
      </c>
      <c r="B199" s="2226"/>
      <c r="C199" s="2229">
        <f t="shared" ref="C199:O199" si="55">SUM(C201:C207)</f>
        <v>310</v>
      </c>
      <c r="D199" s="2229">
        <f t="shared" si="55"/>
        <v>207</v>
      </c>
      <c r="E199" s="2229">
        <f t="shared" si="55"/>
        <v>463</v>
      </c>
      <c r="F199" s="2229">
        <f t="shared" si="55"/>
        <v>2977</v>
      </c>
      <c r="G199" s="2229">
        <f t="shared" si="55"/>
        <v>217</v>
      </c>
      <c r="H199" s="2229">
        <f t="shared" si="55"/>
        <v>437</v>
      </c>
      <c r="I199" s="2229">
        <f t="shared" si="55"/>
        <v>870</v>
      </c>
      <c r="J199" s="2229">
        <f t="shared" si="55"/>
        <v>8089</v>
      </c>
      <c r="K199" s="2229">
        <f t="shared" si="55"/>
        <v>287</v>
      </c>
      <c r="L199" s="2229">
        <f t="shared" si="55"/>
        <v>1549</v>
      </c>
      <c r="M199" s="2229">
        <f t="shared" si="55"/>
        <v>1337</v>
      </c>
      <c r="N199" s="2229">
        <f t="shared" si="55"/>
        <v>7205</v>
      </c>
      <c r="O199" s="2229">
        <f t="shared" si="55"/>
        <v>1995.6666666666667</v>
      </c>
      <c r="P199" s="2205">
        <f>O199/M!$Q$14</f>
        <v>0.17895881361695135</v>
      </c>
      <c r="Q199" s="1235"/>
      <c r="R199" s="1235"/>
      <c r="S199" s="1235"/>
      <c r="T199" s="1235"/>
      <c r="U199" s="1235"/>
      <c r="V199" s="1235"/>
      <c r="W199" s="1235"/>
    </row>
    <row r="200" spans="1:23">
      <c r="A200" s="2227"/>
      <c r="B200" s="2228"/>
      <c r="C200" s="2230"/>
      <c r="D200" s="2230"/>
      <c r="E200" s="2230"/>
      <c r="F200" s="2230"/>
      <c r="G200" s="2230"/>
      <c r="H200" s="2230"/>
      <c r="I200" s="2230"/>
      <c r="J200" s="2230"/>
      <c r="K200" s="2230"/>
      <c r="L200" s="2230"/>
      <c r="M200" s="2230"/>
      <c r="N200" s="2230"/>
      <c r="O200" s="2230"/>
      <c r="P200" s="2206"/>
      <c r="Q200" s="1235"/>
      <c r="R200" s="1235"/>
      <c r="S200" s="1235"/>
      <c r="T200" s="1235"/>
      <c r="U200" s="1235"/>
      <c r="V200" s="1235"/>
      <c r="W200" s="1235"/>
    </row>
    <row r="201" spans="1:23" ht="12.75">
      <c r="A201" s="2231"/>
      <c r="B201" s="1592" t="s">
        <v>280</v>
      </c>
      <c r="C201" s="1599">
        <f>SUMIF(Jan!$CN$1:$CN$186,$B278,Jan!$CM$1:$CM$186)</f>
        <v>185</v>
      </c>
      <c r="D201" s="1600">
        <f>SUMIF(Feb!$CN$1:$CN$171,$B278,Feb!$CM$1:$CM$171)</f>
        <v>82</v>
      </c>
      <c r="E201" s="1600">
        <f>SUMIF(Mar!$CN$1:$CN$192,$B278,Mar!$CM$1:$CM$192)</f>
        <v>338</v>
      </c>
      <c r="F201" s="1600">
        <f>SUMIF(Apr!$CN$1:$CN$204,$B278,Apr!$CM$1:$CM$204)</f>
        <v>491</v>
      </c>
      <c r="G201" s="1600">
        <f>SUMIF(May!$CN$1:$CN$177,$B201,May!$CM$1:$CM$177)</f>
        <v>92</v>
      </c>
      <c r="H201" s="1600">
        <f>SUMIF(Jun!$CN$1:$CN$191,$B201,Jun!$CM$1:$CM$191)</f>
        <v>242</v>
      </c>
      <c r="I201" s="1600">
        <f>SUMIF(Jul!$CN$1:$CN$177,$B201,Jul!$CM$1:$CM$177)</f>
        <v>149</v>
      </c>
      <c r="J201" s="1600">
        <f>SUMIF(Aug!$CN$1:$CN$182,$B201,Aug!$CM$1:$CM$182)</f>
        <v>410</v>
      </c>
      <c r="K201" s="1600">
        <f>SUMIF(Sep!$CN$1:$CN$188,$B201,Sep!$CM$1:$CM$188)</f>
        <v>162</v>
      </c>
      <c r="L201" s="1601">
        <v>208</v>
      </c>
      <c r="M201" s="1601">
        <v>378</v>
      </c>
      <c r="N201" s="1601">
        <v>350</v>
      </c>
      <c r="O201" s="1594">
        <f t="shared" ref="O201:O207" si="56">SUM(C201:N201)/12</f>
        <v>257.25</v>
      </c>
      <c r="P201" s="1180">
        <f>O201/M!$Q$14</f>
        <v>2.306855927992019E-2</v>
      </c>
      <c r="Q201" s="1235"/>
      <c r="R201" s="1235"/>
      <c r="S201" s="1235"/>
      <c r="T201" s="1235"/>
      <c r="U201" s="1235"/>
      <c r="V201" s="1235"/>
      <c r="W201" s="1235"/>
    </row>
    <row r="202" spans="1:23" ht="12.75">
      <c r="A202" s="2232"/>
      <c r="B202" s="1592" t="s">
        <v>423</v>
      </c>
      <c r="C202" s="1599">
        <f>SUMIF(Jan!$CN$1:$CN$186,$B279,Jan!$CM$1:$CM$186)</f>
        <v>0</v>
      </c>
      <c r="D202" s="1600">
        <f>SUMIF(Feb!$CN$1:$CN$171,$B279,Feb!$CM$1:$CM$171)</f>
        <v>0</v>
      </c>
      <c r="E202" s="1600">
        <f>SUMIF(Mar!$CN$1:$CN$192,$B279,Mar!$CM$1:$CM$192)</f>
        <v>0</v>
      </c>
      <c r="F202" s="1600">
        <f>SUMIF(Apr!$CN$1:$CN$204,$B279,Apr!$CM$1:$CM$204)</f>
        <v>0</v>
      </c>
      <c r="G202" s="1600">
        <f>SUMIF(May!$CN$1:$CN$177,$B202,May!$CM$1:$CM$177)</f>
        <v>0</v>
      </c>
      <c r="H202" s="1600">
        <f>SUMIF(Jun!$CN$1:$CN$191,$B202,Jun!$CM$1:$CM$191)</f>
        <v>0</v>
      </c>
      <c r="I202" s="1600">
        <f>SUMIF(Jul!$CN$1:$CN$177,$B202,Jul!$CM$1:$CM$177)</f>
        <v>0</v>
      </c>
      <c r="J202" s="1600">
        <f>SUMIF(Aug!$CN$1:$CN$182,$B202,Aug!$CM$1:$CM$182)</f>
        <v>0</v>
      </c>
      <c r="K202" s="1600">
        <f>SUMIF(Sep!$CN$1:$CN$188,$B202,Sep!$CM$1:$CM$188)</f>
        <v>0</v>
      </c>
      <c r="L202" s="1601">
        <v>65</v>
      </c>
      <c r="M202" s="1601">
        <v>301</v>
      </c>
      <c r="N202" s="1601">
        <v>296</v>
      </c>
      <c r="O202" s="1594">
        <f t="shared" si="56"/>
        <v>55.166666666666664</v>
      </c>
      <c r="P202" s="1180">
        <f>O202/M!$Q$14</f>
        <v>4.9469991069994064E-3</v>
      </c>
      <c r="Q202" s="1235"/>
      <c r="R202" s="1235"/>
      <c r="S202" s="1235"/>
      <c r="T202" s="1235"/>
      <c r="U202" s="1235"/>
      <c r="V202" s="1235"/>
      <c r="W202" s="1235"/>
    </row>
    <row r="203" spans="1:23" ht="12.75">
      <c r="A203" s="2232"/>
      <c r="B203" s="1592" t="s">
        <v>424</v>
      </c>
      <c r="C203" s="1599">
        <f>SUMIF(Jan!$CN$1:$CN$186,$B280,Jan!$CM$1:$CM$186)</f>
        <v>0</v>
      </c>
      <c r="D203" s="1600">
        <f>SUMIF(Feb!$CN$1:$CN$171,$B280,Feb!$CM$1:$CM$171)</f>
        <v>0</v>
      </c>
      <c r="E203" s="1600">
        <f>SUMIF(Mar!$CN$1:$CN$192,$B280,Mar!$CM$1:$CM$192)</f>
        <v>0</v>
      </c>
      <c r="F203" s="1600">
        <f>SUMIF(Apr!$CN$1:$CN$204,$B280,Apr!$CM$1:$CM$204)</f>
        <v>0</v>
      </c>
      <c r="G203" s="1600">
        <f>SUMIF(May!$CN$1:$CN$177,$B203,May!$CM$1:$CM$177)</f>
        <v>0</v>
      </c>
      <c r="H203" s="1600">
        <f>SUMIF(Jun!$CN$1:$CN$191,$B203,Jun!$CM$1:$CM$191)</f>
        <v>0</v>
      </c>
      <c r="I203" s="1600">
        <f>SUMIF(Jul!$CN$1:$CN$177,$B203,Jul!$CM$1:$CM$177)</f>
        <v>0</v>
      </c>
      <c r="J203" s="1600">
        <f>SUMIF(Aug!$CN$1:$CN$182,$B203,Aug!$CM$1:$CM$182)</f>
        <v>0</v>
      </c>
      <c r="K203" s="1600">
        <f>SUMIF(Sep!$CN$1:$CN$188,$B203,Sep!$CM$1:$CM$188)</f>
        <v>0</v>
      </c>
      <c r="L203" s="1601">
        <v>0</v>
      </c>
      <c r="M203" s="1601">
        <v>0</v>
      </c>
      <c r="N203" s="1601">
        <v>0</v>
      </c>
      <c r="O203" s="1594">
        <f t="shared" si="56"/>
        <v>0</v>
      </c>
      <c r="P203" s="1180">
        <f>O203/M!$Q$14</f>
        <v>0</v>
      </c>
      <c r="Q203" s="1235"/>
      <c r="R203" s="1235"/>
      <c r="S203" s="1235"/>
      <c r="T203" s="1235"/>
      <c r="U203" s="1235"/>
      <c r="V203" s="1235"/>
      <c r="W203" s="1235"/>
    </row>
    <row r="204" spans="1:23" ht="12.75">
      <c r="A204" s="2232"/>
      <c r="B204" s="1592" t="s">
        <v>425</v>
      </c>
      <c r="C204" s="1599">
        <f>SUMIF(Jan!$CN$1:$CN$186,$B281,Jan!$CM$1:$CM$186)</f>
        <v>0</v>
      </c>
      <c r="D204" s="1600">
        <f>SUMIF(Feb!$CN$1:$CN$171,$B281,Feb!$CM$1:$CM$171)</f>
        <v>0</v>
      </c>
      <c r="E204" s="1600">
        <f>SUMIF(Mar!$CN$1:$CN$192,$B281,Mar!$CM$1:$CM$192)</f>
        <v>0</v>
      </c>
      <c r="F204" s="1600">
        <f>SUMIF(Apr!$CN$1:$CN$204,$B281,Apr!$CM$1:$CM$204)</f>
        <v>0</v>
      </c>
      <c r="G204" s="1600">
        <f>SUMIF(May!$CN$1:$CN$177,$B204,May!$CM$1:$CM$177)</f>
        <v>0</v>
      </c>
      <c r="H204" s="1600">
        <f>SUMIF(Jun!$CN$1:$CN$191,$B204,Jun!$CM$1:$CM$191)</f>
        <v>0</v>
      </c>
      <c r="I204" s="1600">
        <f>SUMIF(Jul!$CN$1:$CN$177,$B204,Jul!$CM$1:$CM$177)</f>
        <v>0</v>
      </c>
      <c r="J204" s="1600">
        <f>SUMIF(Aug!$CN$1:$CN$182,$B204,Aug!$CM$1:$CM$182)</f>
        <v>0</v>
      </c>
      <c r="K204" s="1600">
        <f>SUMIF(Sep!$CN$1:$CN$188,$B204,Sep!$CM$1:$CM$188)</f>
        <v>0</v>
      </c>
      <c r="L204" s="1601">
        <v>0</v>
      </c>
      <c r="M204" s="1601">
        <v>0</v>
      </c>
      <c r="N204" s="1601">
        <v>0</v>
      </c>
      <c r="O204" s="1594">
        <f t="shared" si="56"/>
        <v>0</v>
      </c>
      <c r="P204" s="1180">
        <f>O204/M!$Q$14</f>
        <v>0</v>
      </c>
      <c r="Q204" s="1235"/>
      <c r="R204" s="1235"/>
      <c r="S204" s="1235"/>
      <c r="T204" s="1235"/>
      <c r="U204" s="1235"/>
      <c r="V204" s="1235"/>
      <c r="W204" s="1235"/>
    </row>
    <row r="205" spans="1:23" ht="12.75">
      <c r="A205" s="2232"/>
      <c r="B205" s="1592" t="s">
        <v>667</v>
      </c>
      <c r="C205" s="1599">
        <f>SUMIF(Jan!$CN$1:$CN$186,$B282,Jan!$CM$1:$CM$186)</f>
        <v>0</v>
      </c>
      <c r="D205" s="1600">
        <f>SUMIF(Feb!$CN$1:$CN$171,$B282,Feb!$CM$1:$CM$171)</f>
        <v>0</v>
      </c>
      <c r="E205" s="1600">
        <f>SUMIF(Mar!$CN$1:$CN$192,$B282,Mar!$CM$1:$CM$192)</f>
        <v>0</v>
      </c>
      <c r="F205" s="1600">
        <f>SUMIF(Apr!$CN$1:$CN$204,$B282,Apr!$CM$1:$CM$204)</f>
        <v>368</v>
      </c>
      <c r="G205" s="1600">
        <f>SUMIF(May!$CN$1:$CN$177,$B205,May!$CM$1:$CM$177)</f>
        <v>0</v>
      </c>
      <c r="H205" s="1600">
        <f>SUMIF(Jun!$CN$1:$CN$191,$B205,Jun!$CM$1:$CM$191)</f>
        <v>0</v>
      </c>
      <c r="I205" s="1600">
        <f>SUMIF(Jul!$CN$1:$CN$177,$B205,Jul!$CM$1:$CM$177)</f>
        <v>0</v>
      </c>
      <c r="J205" s="1600">
        <f>SUMIF(Aug!$CN$1:$CN$182,$B205,Aug!$CM$1:$CM$182)</f>
        <v>0</v>
      </c>
      <c r="K205" s="1600">
        <f>SUMIF(Sep!$CN$1:$CN$188,$B205,Sep!$CM$1:$CM$188)</f>
        <v>0</v>
      </c>
      <c r="L205" s="1601">
        <v>0</v>
      </c>
      <c r="M205" s="1601">
        <v>65</v>
      </c>
      <c r="N205" s="1601">
        <v>224</v>
      </c>
      <c r="O205" s="1594">
        <f t="shared" si="56"/>
        <v>54.75</v>
      </c>
      <c r="P205" s="1180">
        <f>O205/M!$Q$14</f>
        <v>4.9096350654057553E-3</v>
      </c>
      <c r="Q205" s="1235"/>
      <c r="R205" s="1235"/>
      <c r="S205" s="1235"/>
      <c r="T205" s="1235"/>
      <c r="U205" s="1235"/>
      <c r="V205" s="1235"/>
      <c r="W205" s="1235"/>
    </row>
    <row r="206" spans="1:23" ht="12.75">
      <c r="A206" s="2232"/>
      <c r="B206" s="1592" t="s">
        <v>427</v>
      </c>
      <c r="C206" s="1597">
        <v>125</v>
      </c>
      <c r="D206" s="1597">
        <v>125</v>
      </c>
      <c r="E206" s="1597">
        <v>125</v>
      </c>
      <c r="F206" s="1597">
        <v>125</v>
      </c>
      <c r="G206" s="1597">
        <v>125</v>
      </c>
      <c r="H206" s="1597">
        <v>125</v>
      </c>
      <c r="I206" s="1597">
        <v>125</v>
      </c>
      <c r="J206" s="1597">
        <v>125</v>
      </c>
      <c r="K206" s="1597">
        <v>125</v>
      </c>
      <c r="L206" s="1597">
        <v>125</v>
      </c>
      <c r="M206" s="1597">
        <v>125</v>
      </c>
      <c r="N206" s="1597">
        <v>125</v>
      </c>
      <c r="O206" s="1594">
        <f t="shared" si="56"/>
        <v>125</v>
      </c>
      <c r="P206" s="1180">
        <f>O206/M!$Q$14</f>
        <v>1.1209212478095332E-2</v>
      </c>
      <c r="Q206" s="1235"/>
      <c r="R206" s="1235"/>
      <c r="S206" s="1235"/>
      <c r="T206" s="1235"/>
      <c r="U206" s="1235"/>
      <c r="V206" s="1235"/>
      <c r="W206" s="1235"/>
    </row>
    <row r="207" spans="1:23" ht="12.75">
      <c r="A207" s="2233"/>
      <c r="B207" s="1592" t="s">
        <v>381</v>
      </c>
      <c r="C207" s="1599">
        <f>SUMIF(Jan!$CN$1:$CN$186,$B284,Jan!$CM$1:$CM$186)</f>
        <v>0</v>
      </c>
      <c r="D207" s="1600">
        <f>SUMIF(Feb!$CN$1:$CN$171,$B284,Feb!$CM$1:$CM$171)</f>
        <v>0</v>
      </c>
      <c r="E207" s="1600">
        <f>SUMIF(Mar!$CN$1:$CN$192,$B284,Mar!$CM$1:$CM$192)</f>
        <v>0</v>
      </c>
      <c r="F207" s="1600">
        <f>SUMIF(Apr!$CN$1:$CN$204,$B284,Apr!$CM$1:$CM$204)</f>
        <v>1993</v>
      </c>
      <c r="G207" s="1600">
        <f>SUMIF(May!$CN$1:$CN$177,$B207,May!$CM$1:$CM$177)</f>
        <v>0</v>
      </c>
      <c r="H207" s="1600">
        <f>SUMIF(Jun!$CN$1:$CN$191,$B207,Jun!$CM$1:$CM$191)</f>
        <v>70</v>
      </c>
      <c r="I207" s="1600">
        <f>SUMIF(Jul!$CN$1:$CN$177,$B207,Jul!$CM$1:$CM$177)</f>
        <v>596</v>
      </c>
      <c r="J207" s="1600">
        <f>SUMIF(Aug!$CN$1:$CN$182,$B207,Aug!$CM$1:$CM$182)</f>
        <v>7554</v>
      </c>
      <c r="K207" s="1600">
        <f>SUMIF(Sep!$CN$1:$CN$188,$B207,Sep!$CM$1:$CM$188)</f>
        <v>0</v>
      </c>
      <c r="L207" s="1601">
        <v>1151</v>
      </c>
      <c r="M207" s="1601">
        <v>468</v>
      </c>
      <c r="N207" s="1601">
        <v>6210</v>
      </c>
      <c r="O207" s="1594">
        <f t="shared" si="56"/>
        <v>1503.5</v>
      </c>
      <c r="P207" s="1180">
        <f>O207/M!$Q$14</f>
        <v>0.13482440768653065</v>
      </c>
      <c r="Q207" s="1235"/>
      <c r="R207" s="1235"/>
      <c r="S207" s="1235"/>
      <c r="T207" s="1235"/>
      <c r="U207" s="1235"/>
      <c r="V207" s="1235"/>
      <c r="W207" s="1235"/>
    </row>
    <row r="208" spans="1:23">
      <c r="A208" s="2225" t="s">
        <v>428</v>
      </c>
      <c r="B208" s="2226"/>
      <c r="C208" s="2229">
        <f>SUM(C210:C211)</f>
        <v>2304</v>
      </c>
      <c r="D208" s="2229">
        <f t="shared" ref="D208:N208" si="57">SUM(D210:D211)</f>
        <v>3904</v>
      </c>
      <c r="E208" s="2229">
        <f t="shared" si="57"/>
        <v>16939</v>
      </c>
      <c r="F208" s="2229">
        <f t="shared" si="57"/>
        <v>5329</v>
      </c>
      <c r="G208" s="2229">
        <f t="shared" si="57"/>
        <v>1420</v>
      </c>
      <c r="H208" s="2229">
        <f t="shared" si="57"/>
        <v>1420</v>
      </c>
      <c r="I208" s="2229">
        <f t="shared" si="57"/>
        <v>8640</v>
      </c>
      <c r="J208" s="2229">
        <f t="shared" si="57"/>
        <v>1775</v>
      </c>
      <c r="K208" s="2229">
        <f t="shared" si="57"/>
        <v>1605</v>
      </c>
      <c r="L208" s="2229">
        <f t="shared" si="57"/>
        <v>367</v>
      </c>
      <c r="M208" s="2229">
        <f t="shared" si="57"/>
        <v>367</v>
      </c>
      <c r="N208" s="2229">
        <f t="shared" si="57"/>
        <v>367</v>
      </c>
      <c r="O208" s="2229">
        <f>SUM(O210:O211)</f>
        <v>3703.0833333333335</v>
      </c>
      <c r="P208" s="2205">
        <f>O208/M!$Q$14</f>
        <v>0.33206918325941481</v>
      </c>
      <c r="Q208" s="1235"/>
      <c r="R208" s="1235"/>
      <c r="S208" s="1235"/>
      <c r="T208" s="1235"/>
      <c r="U208" s="1235"/>
      <c r="V208" s="1235"/>
      <c r="W208" s="1235"/>
    </row>
    <row r="209" spans="1:23">
      <c r="A209" s="2227"/>
      <c r="B209" s="2228"/>
      <c r="C209" s="2230"/>
      <c r="D209" s="2230"/>
      <c r="E209" s="2230"/>
      <c r="F209" s="2230"/>
      <c r="G209" s="2230"/>
      <c r="H209" s="2230"/>
      <c r="I209" s="2230"/>
      <c r="J209" s="2230"/>
      <c r="K209" s="2230"/>
      <c r="L209" s="2230"/>
      <c r="M209" s="2230"/>
      <c r="N209" s="2230"/>
      <c r="O209" s="2230"/>
      <c r="P209" s="2206"/>
      <c r="Q209" s="1235"/>
      <c r="R209" s="1235"/>
      <c r="S209" s="1235"/>
      <c r="T209" s="1235"/>
      <c r="U209" s="1235"/>
      <c r="V209" s="1235"/>
      <c r="W209" s="1235"/>
    </row>
    <row r="210" spans="1:23" ht="12.75">
      <c r="A210" s="2231"/>
      <c r="B210" s="1592" t="s">
        <v>689</v>
      </c>
      <c r="C210" s="1611">
        <f>SUMIF(Jan!$CN$1:$CN$186,$B295,Jan!$CM$1:$CM$186)</f>
        <v>2304</v>
      </c>
      <c r="D210" s="1600">
        <f>SUMIF(Feb!$CN$1:$CN$171,$B295,Feb!$CM$1:$CM$171)</f>
        <v>3904</v>
      </c>
      <c r="E210" s="1600">
        <f>SUMIF(Mar!$CN$1:$CN$192,$B295,Mar!$CM$1:$CM$192)</f>
        <v>16939</v>
      </c>
      <c r="F210" s="1600">
        <f>SUMIF(Apr!$CN$1:$CN$204,$B295,Apr!$CM$1:$CM$204)</f>
        <v>5329</v>
      </c>
      <c r="G210" s="1600">
        <f>SUMIF(Jun!$CN$1:$CN$191,$B210,Jun!$CM$1:$CM$191)</f>
        <v>1420</v>
      </c>
      <c r="H210" s="1600">
        <f>SUMIF(Jun!$CN$1:$CN$191,$B210,Jun!$CM$1:$CM$191)</f>
        <v>1420</v>
      </c>
      <c r="I210" s="1600">
        <f>SUMIF(Jul!$CN$1:$CN$177,$B210,Jul!$CM$1:$CM$177)</f>
        <v>8640</v>
      </c>
      <c r="J210" s="1600">
        <f>SUMIF(Aug!$CN$1:$CN$182,$B210,Aug!$CM$1:$CM$182)</f>
        <v>1775</v>
      </c>
      <c r="K210" s="1600">
        <f>SUMIF(Sep!$CN$1:$CN$188,$B210,Sep!$CM$1:$CM$188)</f>
        <v>1605</v>
      </c>
      <c r="L210" s="1601">
        <f xml:space="preserve"> (585 + 495 + 395 + 360)/5</f>
        <v>367</v>
      </c>
      <c r="M210" s="1601">
        <f xml:space="preserve"> (585 + 495 + 395 + 360)/5</f>
        <v>367</v>
      </c>
      <c r="N210" s="1601">
        <f xml:space="preserve"> (585 + 495 + 395 + 360)/5</f>
        <v>367</v>
      </c>
      <c r="O210" s="1594">
        <f>SUM(C210:N210)/12</f>
        <v>3703.0833333333335</v>
      </c>
      <c r="P210" s="1180">
        <f>O210/M!$Q$14</f>
        <v>0.33206918325941481</v>
      </c>
      <c r="Q210" s="1235"/>
      <c r="R210" s="1235"/>
      <c r="S210" s="1235"/>
      <c r="T210" s="1235"/>
      <c r="U210" s="1235"/>
      <c r="V210" s="1235"/>
      <c r="W210" s="1235"/>
    </row>
    <row r="211" spans="1:23" ht="12.75">
      <c r="A211" s="2232"/>
      <c r="B211" s="1592" t="s">
        <v>282</v>
      </c>
      <c r="C211" s="1611">
        <f>SUMIF(Jan!$CN$1:$CN$186,$B296,Jan!$CM$1:$CM$186)</f>
        <v>0</v>
      </c>
      <c r="D211" s="1600">
        <f>SUMIF(Feb!$CN$1:$CN$171,$B296,Feb!$CM$1:$CM$171)</f>
        <v>0</v>
      </c>
      <c r="E211" s="1600">
        <f>SUMIF(Mar!$CN$1:$CN$192,$B296,Mar!$CM$1:$CM$192)</f>
        <v>0</v>
      </c>
      <c r="F211" s="1600">
        <f>SUMIF(Apr!$CN$1:$CN$204,$B296,Apr!$CM$1:$CM$204)</f>
        <v>0</v>
      </c>
      <c r="G211" s="1600">
        <f>SUMIF(Jun!$CN$1:$CN$191,$B211,Jun!$CM$1:$CM$191)</f>
        <v>0</v>
      </c>
      <c r="H211" s="1600">
        <f>SUMIF(Jun!$CN$1:$CN$191,$B211,Jun!$CM$1:$CM$191)</f>
        <v>0</v>
      </c>
      <c r="I211" s="1600">
        <f>SUMIF(Jul!$CN$1:$CN$177,$B211,Jul!$CM$1:$CM$177)</f>
        <v>0</v>
      </c>
      <c r="J211" s="1600">
        <f>SUMIF(Apr!$CN$1:$CN$204,$B296,Apr!$CM$1:$CM$204)</f>
        <v>0</v>
      </c>
      <c r="K211" s="1600">
        <f>SUMIF(Sep!$CN$1:$CN$188,$B211,Sep!$CM$1:$CM$188)</f>
        <v>0</v>
      </c>
      <c r="L211" s="1600">
        <f>SUMIF(Apr!$CN$1:$CN$204,$B296,Apr!$CM$1:$CM$204)</f>
        <v>0</v>
      </c>
      <c r="M211" s="1600">
        <f>SUMIF(Apr!$CN$1:$CN$204,$B296,Apr!$CM$1:$CM$204)</f>
        <v>0</v>
      </c>
      <c r="N211" s="1600">
        <f>SUMIF(Apr!$CN$1:$CN$204,$B296,Apr!$CM$1:$CM$204)</f>
        <v>0</v>
      </c>
      <c r="O211" s="1594">
        <f>SUM(C211:N211)/12</f>
        <v>0</v>
      </c>
      <c r="P211" s="1180">
        <f>O211/M!$Q$14</f>
        <v>0</v>
      </c>
      <c r="Q211" s="1235"/>
      <c r="R211" s="1235"/>
      <c r="S211" s="1235"/>
      <c r="T211" s="1235"/>
      <c r="U211" s="1235"/>
      <c r="V211" s="1235"/>
      <c r="W211" s="1235"/>
    </row>
    <row r="212" spans="1:23">
      <c r="A212" s="2225" t="s">
        <v>668</v>
      </c>
      <c r="B212" s="2226"/>
      <c r="C212" s="2229">
        <f>SUM(C214:C217)</f>
        <v>2737.1666666666665</v>
      </c>
      <c r="D212" s="2229">
        <f t="shared" ref="D212:N212" si="58">SUM(D214:D217)</f>
        <v>433.16666666666669</v>
      </c>
      <c r="E212" s="2229">
        <f t="shared" si="58"/>
        <v>1518.1666666666667</v>
      </c>
      <c r="F212" s="2229">
        <f t="shared" si="58"/>
        <v>1433.1666666666667</v>
      </c>
      <c r="G212" s="2229">
        <f t="shared" si="58"/>
        <v>469.16666666666669</v>
      </c>
      <c r="H212" s="2229">
        <f t="shared" si="58"/>
        <v>473.16666666666669</v>
      </c>
      <c r="I212" s="2229">
        <f t="shared" si="58"/>
        <v>433.16666666666669</v>
      </c>
      <c r="J212" s="2229">
        <f t="shared" si="58"/>
        <v>433.16666666666669</v>
      </c>
      <c r="K212" s="2229">
        <f t="shared" si="58"/>
        <v>433.16666666666669</v>
      </c>
      <c r="L212" s="2229">
        <f t="shared" si="58"/>
        <v>433.16666666666669</v>
      </c>
      <c r="M212" s="2229">
        <f t="shared" si="58"/>
        <v>463.16666666666669</v>
      </c>
      <c r="N212" s="2229">
        <f t="shared" si="58"/>
        <v>553.16666666666674</v>
      </c>
      <c r="O212" s="2229">
        <f>SUM(O214:O222)</f>
        <v>1178.6666666666665</v>
      </c>
      <c r="P212" s="2205">
        <f>O212/M!$Q$14</f>
        <v>0.10569540086012023</v>
      </c>
      <c r="Q212" s="1235"/>
      <c r="R212" s="1235"/>
      <c r="S212" s="1235"/>
      <c r="T212" s="1235"/>
      <c r="U212" s="1235"/>
      <c r="V212" s="1235"/>
      <c r="W212" s="1235"/>
    </row>
    <row r="213" spans="1:23">
      <c r="A213" s="2227"/>
      <c r="B213" s="2228"/>
      <c r="C213" s="2230"/>
      <c r="D213" s="2230"/>
      <c r="E213" s="2230"/>
      <c r="F213" s="2230"/>
      <c r="G213" s="2230"/>
      <c r="H213" s="2230"/>
      <c r="I213" s="2230"/>
      <c r="J213" s="2230"/>
      <c r="K213" s="2230"/>
      <c r="L213" s="2230"/>
      <c r="M213" s="2230"/>
      <c r="N213" s="2230"/>
      <c r="O213" s="2230"/>
      <c r="P213" s="2206"/>
      <c r="Q213" s="1235"/>
      <c r="R213" s="1235"/>
      <c r="S213" s="1235"/>
      <c r="T213" s="1235"/>
      <c r="U213" s="1235"/>
      <c r="V213" s="1235"/>
      <c r="W213" s="1235"/>
    </row>
    <row r="214" spans="1:23" ht="12.75">
      <c r="A214" s="1602"/>
      <c r="B214" s="1592" t="s">
        <v>432</v>
      </c>
      <c r="C214" s="1603">
        <f>(FinSnapshot!$Q$94+FinSnapshot!$Q$102)/12</f>
        <v>78.166666666666671</v>
      </c>
      <c r="D214" s="1603">
        <f>(FinSnapshot!$Q$94+FinSnapshot!$Q$102)/12</f>
        <v>78.166666666666671</v>
      </c>
      <c r="E214" s="1603">
        <f>(FinSnapshot!$Q$94+FinSnapshot!$Q$102)/12</f>
        <v>78.166666666666671</v>
      </c>
      <c r="F214" s="1603">
        <f>(FinSnapshot!$Q$94+FinSnapshot!$Q$102)/12</f>
        <v>78.166666666666671</v>
      </c>
      <c r="G214" s="1603">
        <f>(FinSnapshot!$Q$94+FinSnapshot!$Q$102)/12</f>
        <v>78.166666666666671</v>
      </c>
      <c r="H214" s="1603">
        <f>(FinSnapshot!$Q$94+FinSnapshot!$Q$102)/12</f>
        <v>78.166666666666671</v>
      </c>
      <c r="I214" s="1603">
        <f>(FinSnapshot!$Q$94+FinSnapshot!$Q$102)/12</f>
        <v>78.166666666666671</v>
      </c>
      <c r="J214" s="1603">
        <f>(FinSnapshot!$Q$94+FinSnapshot!$Q$102)/12</f>
        <v>78.166666666666671</v>
      </c>
      <c r="K214" s="1603">
        <f>(FinSnapshot!$Q$94+FinSnapshot!$Q$102)/12</f>
        <v>78.166666666666671</v>
      </c>
      <c r="L214" s="1603">
        <f>(FinSnapshot!$Q$94+FinSnapshot!$Q$102)/12</f>
        <v>78.166666666666671</v>
      </c>
      <c r="M214" s="1603">
        <f>(FinSnapshot!$Q$94+FinSnapshot!$Q$102)/12</f>
        <v>78.166666666666671</v>
      </c>
      <c r="N214" s="1603">
        <f>(FinSnapshot!$Q$94+FinSnapshot!$Q$102)/12</f>
        <v>78.166666666666671</v>
      </c>
      <c r="O214" s="1604"/>
      <c r="P214" s="1186"/>
      <c r="Q214" s="1235"/>
      <c r="R214" s="1235"/>
      <c r="S214" s="1235"/>
      <c r="T214" s="1235"/>
      <c r="U214" s="1235"/>
      <c r="V214" s="1235"/>
      <c r="W214" s="1235"/>
    </row>
    <row r="215" spans="1:23" ht="12.75">
      <c r="A215" s="1602"/>
      <c r="B215" s="1592" t="s">
        <v>284</v>
      </c>
      <c r="C215" s="1611">
        <f>SUMIF(Jan!$CN$1:$CN$186,$B295,Jan!$CM$1:$CM$186)</f>
        <v>2304</v>
      </c>
      <c r="D215" s="1611">
        <v>0</v>
      </c>
      <c r="E215" s="1600">
        <f>SUMIF(Mar!$CN$1:$CN$192,$B300,Mar!$CM$1:$CM$192)</f>
        <v>1085</v>
      </c>
      <c r="F215" s="1600">
        <f>SUMIF(Apr!$CN$1:$CN$204,$B300,Apr!$CM$1:$CM$204)</f>
        <v>1000</v>
      </c>
      <c r="G215" s="1611">
        <v>36</v>
      </c>
      <c r="H215" s="1611">
        <v>40</v>
      </c>
      <c r="I215" s="1611">
        <v>0</v>
      </c>
      <c r="J215" s="1611">
        <v>0</v>
      </c>
      <c r="K215" s="1600">
        <f>SUMIF(Sep!$CN$1:$CN$188,$B215,Sep!$CM$1:$CM$188)</f>
        <v>0</v>
      </c>
      <c r="L215" s="1611">
        <v>0</v>
      </c>
      <c r="M215" s="1611">
        <v>30</v>
      </c>
      <c r="N215" s="1611">
        <v>120</v>
      </c>
      <c r="O215" s="1594">
        <f>SUM(C215:N215)/12</f>
        <v>384.58333333333331</v>
      </c>
      <c r="P215" s="1180">
        <f>O215/M!$Q$14</f>
        <v>3.4487010390939966E-2</v>
      </c>
      <c r="Q215" s="1235"/>
      <c r="R215" s="1235"/>
      <c r="S215" s="1235"/>
      <c r="T215" s="1235"/>
      <c r="U215" s="1235"/>
      <c r="V215" s="1235"/>
      <c r="W215" s="1235"/>
    </row>
    <row r="216" spans="1:23" ht="12.75">
      <c r="A216" s="1602"/>
      <c r="B216" s="1592" t="s">
        <v>433</v>
      </c>
      <c r="C216" s="1597">
        <v>120</v>
      </c>
      <c r="D216" s="1597">
        <v>120</v>
      </c>
      <c r="E216" s="1597">
        <v>120</v>
      </c>
      <c r="F216" s="1597">
        <v>120</v>
      </c>
      <c r="G216" s="1597">
        <v>120</v>
      </c>
      <c r="H216" s="1597">
        <v>120</v>
      </c>
      <c r="I216" s="1597">
        <v>120</v>
      </c>
      <c r="J216" s="1597">
        <v>120</v>
      </c>
      <c r="K216" s="1597">
        <v>120</v>
      </c>
      <c r="L216" s="1597">
        <v>120</v>
      </c>
      <c r="M216" s="1597">
        <v>120</v>
      </c>
      <c r="N216" s="1597">
        <v>120</v>
      </c>
      <c r="O216" s="1594">
        <f>SUM(C216:N216)/12</f>
        <v>120</v>
      </c>
      <c r="P216" s="1180">
        <f>O216/M!$Q$14</f>
        <v>1.0760843978971518E-2</v>
      </c>
      <c r="Q216" s="1235"/>
      <c r="R216" s="1235"/>
      <c r="S216" s="1235"/>
      <c r="T216" s="1235"/>
      <c r="U216" s="1235"/>
      <c r="V216" s="1235"/>
      <c r="W216" s="1235"/>
    </row>
    <row r="217" spans="1:23" ht="12.75">
      <c r="A217" s="1602"/>
      <c r="B217" s="1592" t="s">
        <v>434</v>
      </c>
      <c r="C217" s="1603">
        <f>ROUNDUP((((382+2430))/12),0)</f>
        <v>235</v>
      </c>
      <c r="D217" s="1603">
        <f t="shared" ref="D217:N217" si="59">ROUNDUP((((382+2430))/12),0)</f>
        <v>235</v>
      </c>
      <c r="E217" s="1603">
        <f t="shared" si="59"/>
        <v>235</v>
      </c>
      <c r="F217" s="1603">
        <f t="shared" si="59"/>
        <v>235</v>
      </c>
      <c r="G217" s="1603">
        <f t="shared" si="59"/>
        <v>235</v>
      </c>
      <c r="H217" s="1603">
        <f t="shared" si="59"/>
        <v>235</v>
      </c>
      <c r="I217" s="1603">
        <f t="shared" si="59"/>
        <v>235</v>
      </c>
      <c r="J217" s="1603">
        <f t="shared" si="59"/>
        <v>235</v>
      </c>
      <c r="K217" s="1603">
        <f t="shared" si="59"/>
        <v>235</v>
      </c>
      <c r="L217" s="1603">
        <f t="shared" si="59"/>
        <v>235</v>
      </c>
      <c r="M217" s="1603">
        <f t="shared" si="59"/>
        <v>235</v>
      </c>
      <c r="N217" s="1603">
        <f t="shared" si="59"/>
        <v>235</v>
      </c>
      <c r="O217" s="1604"/>
      <c r="P217" s="1186"/>
      <c r="Q217" s="1235"/>
      <c r="R217" s="1235"/>
      <c r="S217" s="1235"/>
      <c r="T217" s="1235"/>
      <c r="U217" s="1235"/>
      <c r="V217" s="1235"/>
      <c r="W217" s="1235"/>
    </row>
    <row r="218" spans="1:23">
      <c r="A218" s="2225" t="s">
        <v>435</v>
      </c>
      <c r="B218" s="2226"/>
      <c r="C218" s="2229">
        <f>SUM(C220:C222)</f>
        <v>50</v>
      </c>
      <c r="D218" s="2229">
        <f t="shared" ref="D218:O218" si="60">SUM(D223:D225)</f>
        <v>0</v>
      </c>
      <c r="E218" s="2229">
        <f t="shared" si="60"/>
        <v>0</v>
      </c>
      <c r="F218" s="2229">
        <f t="shared" si="60"/>
        <v>0</v>
      </c>
      <c r="G218" s="2229">
        <f t="shared" si="60"/>
        <v>0</v>
      </c>
      <c r="H218" s="2229">
        <f t="shared" si="60"/>
        <v>0</v>
      </c>
      <c r="I218" s="2229">
        <f t="shared" si="60"/>
        <v>6000</v>
      </c>
      <c r="J218" s="2229">
        <f t="shared" si="60"/>
        <v>0</v>
      </c>
      <c r="K218" s="2229">
        <f t="shared" si="60"/>
        <v>0</v>
      </c>
      <c r="L218" s="2229">
        <f t="shared" si="60"/>
        <v>0</v>
      </c>
      <c r="M218" s="2229">
        <f t="shared" si="60"/>
        <v>0</v>
      </c>
      <c r="N218" s="2229">
        <f t="shared" si="60"/>
        <v>0</v>
      </c>
      <c r="O218" s="2229">
        <f t="shared" si="60"/>
        <v>500</v>
      </c>
      <c r="P218" s="2205">
        <f>O218/M!$Q$14</f>
        <v>4.4836849912381328E-2</v>
      </c>
      <c r="Q218" s="1235"/>
      <c r="R218" s="1235"/>
      <c r="S218" s="1235"/>
      <c r="T218" s="1235"/>
      <c r="U218" s="1235"/>
      <c r="V218" s="1235"/>
      <c r="W218" s="1235"/>
    </row>
    <row r="219" spans="1:23">
      <c r="A219" s="2227"/>
      <c r="B219" s="2228"/>
      <c r="C219" s="2230"/>
      <c r="D219" s="2230"/>
      <c r="E219" s="2230"/>
      <c r="F219" s="2230"/>
      <c r="G219" s="2230"/>
      <c r="H219" s="2230"/>
      <c r="I219" s="2230"/>
      <c r="J219" s="2230"/>
      <c r="K219" s="2230"/>
      <c r="L219" s="2230"/>
      <c r="M219" s="2230"/>
      <c r="N219" s="2230"/>
      <c r="O219" s="2230"/>
      <c r="P219" s="2206"/>
      <c r="Q219" s="1235"/>
      <c r="R219" s="1235"/>
      <c r="S219" s="1235"/>
      <c r="T219" s="1235"/>
      <c r="U219" s="1235"/>
      <c r="V219" s="1235"/>
      <c r="W219" s="1235"/>
    </row>
    <row r="220" spans="1:23" ht="12.75">
      <c r="A220" s="1602"/>
      <c r="B220" s="1592" t="s">
        <v>405</v>
      </c>
      <c r="C220" s="1597">
        <v>0</v>
      </c>
      <c r="D220" s="1597">
        <v>0</v>
      </c>
      <c r="E220" s="1597">
        <v>0</v>
      </c>
      <c r="F220" s="1597">
        <v>0</v>
      </c>
      <c r="G220" s="1597">
        <v>0</v>
      </c>
      <c r="H220" s="1597">
        <v>0</v>
      </c>
      <c r="I220" s="1597">
        <v>0</v>
      </c>
      <c r="J220" s="1597">
        <v>0</v>
      </c>
      <c r="K220" s="1597">
        <v>0</v>
      </c>
      <c r="L220" s="1597">
        <v>0</v>
      </c>
      <c r="M220" s="1597">
        <v>0</v>
      </c>
      <c r="N220" s="1597">
        <v>0</v>
      </c>
      <c r="O220" s="1594">
        <f>SUM(C220:N220)/12</f>
        <v>0</v>
      </c>
      <c r="P220" s="1180">
        <f>O220/M!$Q$14</f>
        <v>0</v>
      </c>
      <c r="Q220" s="1235"/>
      <c r="R220" s="1235"/>
      <c r="S220" s="1235"/>
      <c r="T220" s="1235"/>
      <c r="U220" s="1235"/>
      <c r="V220" s="1235"/>
      <c r="W220" s="1235"/>
    </row>
    <row r="221" spans="1:23" ht="12.75">
      <c r="A221" s="1602"/>
      <c r="B221" s="1592" t="s">
        <v>436</v>
      </c>
      <c r="C221" s="1597">
        <v>0</v>
      </c>
      <c r="D221" s="1597">
        <v>0</v>
      </c>
      <c r="E221" s="1597">
        <v>0</v>
      </c>
      <c r="F221" s="1597">
        <v>85</v>
      </c>
      <c r="G221" s="1597">
        <v>350</v>
      </c>
      <c r="H221" s="1597">
        <v>765</v>
      </c>
      <c r="I221" s="1601">
        <v>150</v>
      </c>
      <c r="J221" s="1595">
        <v>4</v>
      </c>
      <c r="K221" s="1601">
        <v>200</v>
      </c>
      <c r="L221" s="1601">
        <v>99</v>
      </c>
      <c r="M221" s="1601">
        <v>0</v>
      </c>
      <c r="N221" s="1601">
        <v>15</v>
      </c>
      <c r="O221" s="1594">
        <f>SUM(C221:N221)/12</f>
        <v>139</v>
      </c>
      <c r="P221" s="1180">
        <f>O221/M!$Q$14</f>
        <v>1.2464644275642008E-2</v>
      </c>
      <c r="Q221" s="1235"/>
      <c r="R221" s="1235"/>
      <c r="S221" s="1235"/>
      <c r="T221" s="1235"/>
      <c r="U221" s="1235"/>
      <c r="V221" s="1235"/>
      <c r="W221" s="1235"/>
    </row>
    <row r="222" spans="1:23" ht="12.75">
      <c r="A222" s="1602"/>
      <c r="B222" s="1592" t="s">
        <v>130</v>
      </c>
      <c r="C222" s="1601">
        <v>50</v>
      </c>
      <c r="D222" s="1601">
        <v>0</v>
      </c>
      <c r="E222" s="1597">
        <v>0</v>
      </c>
      <c r="F222" s="1597">
        <v>0</v>
      </c>
      <c r="G222" s="1597">
        <v>0</v>
      </c>
      <c r="H222" s="1597">
        <v>371</v>
      </c>
      <c r="I222" s="1601">
        <v>0</v>
      </c>
      <c r="J222" s="1595">
        <v>0</v>
      </c>
      <c r="K222" s="1601">
        <v>0</v>
      </c>
      <c r="L222" s="1601">
        <v>0</v>
      </c>
      <c r="M222" s="1601">
        <v>0</v>
      </c>
      <c r="N222" s="1601">
        <v>0</v>
      </c>
      <c r="O222" s="1594">
        <f>SUM(C222:N222)/12</f>
        <v>35.083333333333336</v>
      </c>
      <c r="P222" s="1180">
        <f>O222/M!$Q$14</f>
        <v>3.1460523021854233E-3</v>
      </c>
      <c r="Q222" s="1235"/>
      <c r="R222" s="1235"/>
      <c r="S222" s="1235"/>
      <c r="T222" s="1235"/>
      <c r="U222" s="1235"/>
      <c r="V222" s="1235"/>
      <c r="W222" s="1235"/>
    </row>
    <row r="223" spans="1:23">
      <c r="A223" s="2225" t="s">
        <v>286</v>
      </c>
      <c r="B223" s="2226"/>
      <c r="C223" s="2229">
        <f t="shared" ref="C223:N223" si="61">SUM(C225:C226)</f>
        <v>0</v>
      </c>
      <c r="D223" s="2229">
        <f t="shared" si="61"/>
        <v>0</v>
      </c>
      <c r="E223" s="2229">
        <f t="shared" si="61"/>
        <v>0</v>
      </c>
      <c r="F223" s="2229">
        <f t="shared" si="61"/>
        <v>0</v>
      </c>
      <c r="G223" s="2229">
        <f t="shared" si="61"/>
        <v>0</v>
      </c>
      <c r="H223" s="2229">
        <f t="shared" si="61"/>
        <v>0</v>
      </c>
      <c r="I223" s="2229">
        <f t="shared" si="61"/>
        <v>3000</v>
      </c>
      <c r="J223" s="2229">
        <f t="shared" si="61"/>
        <v>0</v>
      </c>
      <c r="K223" s="2229">
        <f t="shared" si="61"/>
        <v>0</v>
      </c>
      <c r="L223" s="2229">
        <f t="shared" si="61"/>
        <v>0</v>
      </c>
      <c r="M223" s="2229">
        <f t="shared" si="61"/>
        <v>0</v>
      </c>
      <c r="N223" s="2229">
        <f t="shared" si="61"/>
        <v>0</v>
      </c>
      <c r="O223" s="2229">
        <f>SUM(O225:O226)</f>
        <v>250</v>
      </c>
      <c r="P223" s="2205">
        <f>O223/M!$Q$14</f>
        <v>2.2418424956190664E-2</v>
      </c>
      <c r="Q223" s="1235"/>
      <c r="R223" s="1235"/>
      <c r="S223" s="1235"/>
      <c r="T223" s="1235"/>
      <c r="U223" s="1235"/>
      <c r="V223" s="1235"/>
      <c r="W223" s="1235"/>
    </row>
    <row r="224" spans="1:23">
      <c r="A224" s="2227"/>
      <c r="B224" s="2228"/>
      <c r="C224" s="2230"/>
      <c r="D224" s="2230"/>
      <c r="E224" s="2230"/>
      <c r="F224" s="2230"/>
      <c r="G224" s="2230"/>
      <c r="H224" s="2230"/>
      <c r="I224" s="2230"/>
      <c r="J224" s="2230"/>
      <c r="K224" s="2230"/>
      <c r="L224" s="2230"/>
      <c r="M224" s="2230"/>
      <c r="N224" s="2230"/>
      <c r="O224" s="2230"/>
      <c r="P224" s="2206"/>
      <c r="Q224" s="1235"/>
      <c r="R224" s="1235"/>
      <c r="S224" s="1235"/>
      <c r="T224" s="1235"/>
      <c r="U224" s="1235"/>
      <c r="V224" s="1235"/>
      <c r="W224" s="1235"/>
    </row>
    <row r="225" spans="1:23" ht="12.75">
      <c r="A225" s="2231"/>
      <c r="B225" s="1592" t="s">
        <v>82</v>
      </c>
      <c r="C225" s="1597">
        <v>0</v>
      </c>
      <c r="D225" s="1597">
        <v>0</v>
      </c>
      <c r="E225" s="1597">
        <v>0</v>
      </c>
      <c r="F225" s="1597">
        <v>0</v>
      </c>
      <c r="G225" s="1597">
        <v>0</v>
      </c>
      <c r="H225" s="1597">
        <v>0</v>
      </c>
      <c r="I225" s="1595">
        <v>3000</v>
      </c>
      <c r="J225" s="1595">
        <v>0</v>
      </c>
      <c r="K225" s="1595">
        <v>0</v>
      </c>
      <c r="L225" s="1595">
        <v>0</v>
      </c>
      <c r="M225" s="1595">
        <v>0</v>
      </c>
      <c r="N225" s="1595">
        <v>0</v>
      </c>
      <c r="O225" s="1594">
        <f>SUM(C225:N225)/12</f>
        <v>250</v>
      </c>
      <c r="P225" s="1180">
        <f>O225/M!$Q$14</f>
        <v>2.2418424956190664E-2</v>
      </c>
      <c r="Q225" s="1235"/>
      <c r="R225" s="1235"/>
      <c r="S225" s="1235"/>
      <c r="T225" s="1235"/>
      <c r="U225" s="1235"/>
      <c r="V225" s="1235"/>
      <c r="W225" s="1235"/>
    </row>
    <row r="226" spans="1:23" ht="12.75">
      <c r="A226" s="2233"/>
      <c r="B226" s="1592" t="s">
        <v>83</v>
      </c>
      <c r="C226" s="1597">
        <v>0</v>
      </c>
      <c r="D226" s="1597">
        <v>0</v>
      </c>
      <c r="E226" s="1597">
        <v>0</v>
      </c>
      <c r="F226" s="1597">
        <v>0</v>
      </c>
      <c r="G226" s="1597">
        <v>0</v>
      </c>
      <c r="H226" s="1597">
        <v>0</v>
      </c>
      <c r="I226" s="1595">
        <v>0</v>
      </c>
      <c r="J226" s="1595">
        <v>0</v>
      </c>
      <c r="K226" s="1595">
        <v>0</v>
      </c>
      <c r="L226" s="1595">
        <v>0</v>
      </c>
      <c r="M226" s="1595">
        <v>0</v>
      </c>
      <c r="N226" s="1595">
        <v>0</v>
      </c>
      <c r="O226" s="1594">
        <f>SUM(C226:N226)/12</f>
        <v>0</v>
      </c>
      <c r="P226" s="1180">
        <f>O226/M!$Q$14</f>
        <v>0</v>
      </c>
      <c r="Q226" s="1235"/>
      <c r="R226" s="1235"/>
      <c r="S226" s="1235"/>
      <c r="T226" s="1235"/>
      <c r="U226" s="1235"/>
      <c r="V226" s="1235"/>
      <c r="W226" s="1235"/>
    </row>
    <row r="227" spans="1:23" ht="12.75">
      <c r="A227" s="1605" t="s">
        <v>437</v>
      </c>
      <c r="B227" s="1606"/>
      <c r="C227" s="1607">
        <f t="shared" ref="C227:N227" ca="1" si="62">C157+C171+C179+C185+C199+C189+ C208+C223</f>
        <v>18299.966770136241</v>
      </c>
      <c r="D227" s="1607">
        <f t="shared" ca="1" si="62"/>
        <v>19733.966770136241</v>
      </c>
      <c r="E227" s="1607">
        <f t="shared" ca="1" si="62"/>
        <v>34379.966770136241</v>
      </c>
      <c r="F227" s="1607">
        <f t="shared" ca="1" si="62"/>
        <v>24447.966770136241</v>
      </c>
      <c r="G227" s="1607">
        <f t="shared" ca="1" si="62"/>
        <v>18664.201480116775</v>
      </c>
      <c r="H227" s="1607">
        <f t="shared" ca="1" si="62"/>
        <v>20045.222802429234</v>
      </c>
      <c r="I227" s="1607">
        <f t="shared" ca="1" si="62"/>
        <v>28814.291948301667</v>
      </c>
      <c r="J227" s="1607">
        <f t="shared" ca="1" si="62"/>
        <v>31383.966770136241</v>
      </c>
      <c r="K227" s="1607">
        <f t="shared" ca="1" si="62"/>
        <v>18429.966770136241</v>
      </c>
      <c r="L227" s="1607">
        <f t="shared" ca="1" si="62"/>
        <v>18408.529895257408</v>
      </c>
      <c r="M227" s="1607">
        <f t="shared" ca="1" si="62"/>
        <v>17042.47500345216</v>
      </c>
      <c r="N227" s="1607">
        <f t="shared" ca="1" si="62"/>
        <v>23489.603458104903</v>
      </c>
      <c r="O227" s="1607">
        <f ca="1">SUM(C227:N227)/12</f>
        <v>22761.677100706631</v>
      </c>
      <c r="P227" s="1190">
        <f ca="1">O227/M!$Q$14</f>
        <v>2.04112379983694</v>
      </c>
      <c r="Q227" s="1235"/>
      <c r="R227" s="1235"/>
      <c r="S227" s="1235"/>
      <c r="T227" s="1235"/>
      <c r="U227" s="1235"/>
      <c r="V227" s="1235"/>
      <c r="W227" s="1235"/>
    </row>
    <row r="228" spans="1:23" ht="12.75">
      <c r="A228" s="1608" t="s">
        <v>658</v>
      </c>
      <c r="B228" s="1609"/>
      <c r="C228" s="1610">
        <f ca="1">C227/M!$Q$14</f>
        <v>1.6410257269483286</v>
      </c>
      <c r="D228" s="1610">
        <f ca="1">D227/M!$Q$14</f>
        <v>1.7696178124970383</v>
      </c>
      <c r="E228" s="1610">
        <f ca="1">E227/M!$Q$14</f>
        <v>3.0829788201305122</v>
      </c>
      <c r="F228" s="1610">
        <f ca="1">F227/M!$Q$14</f>
        <v>2.1923396334709695</v>
      </c>
      <c r="G228" s="1610">
        <f ca="1">G227/M!$Q$14</f>
        <v>1.6736880009968824</v>
      </c>
      <c r="H228" s="1610">
        <f ca="1">H227/M!$Q$14</f>
        <v>1.7975292925055266</v>
      </c>
      <c r="I228" s="1610">
        <f ca="1">I227/M!$Q$14</f>
        <v>2.5838841668350789</v>
      </c>
      <c r="J228" s="1610">
        <f ca="1">J227/M!$Q$14</f>
        <v>2.8143164154555231</v>
      </c>
      <c r="K228" s="1610">
        <f ca="1">K227/M!$Q$14</f>
        <v>1.6526833079255476</v>
      </c>
      <c r="L228" s="1610">
        <f ca="1">L227/M!$Q$14</f>
        <v>1.6507609840424822</v>
      </c>
      <c r="M228" s="1610">
        <f ca="1">M227/M!$Q$14</f>
        <v>1.5282617877305897</v>
      </c>
      <c r="N228" s="1610">
        <f ca="1">N227/M!$Q$14</f>
        <v>2.1063996495048056</v>
      </c>
      <c r="O228" s="1610">
        <f ca="1">O227/M!$Q$14</f>
        <v>2.04112379983694</v>
      </c>
      <c r="P228" s="1194"/>
      <c r="Q228" s="1235"/>
      <c r="R228" s="1235"/>
      <c r="S228" s="1235"/>
      <c r="T228" s="1235"/>
      <c r="U228" s="1235"/>
      <c r="V228" s="1235"/>
      <c r="W228" s="1235"/>
    </row>
    <row r="229" spans="1:23">
      <c r="A229" s="1235"/>
      <c r="B229" s="1235"/>
      <c r="C229" s="1235"/>
      <c r="D229" s="1235"/>
      <c r="E229" s="1235"/>
      <c r="F229" s="1235"/>
      <c r="G229" s="1235"/>
      <c r="H229" s="1235"/>
      <c r="I229" s="1235"/>
      <c r="J229" s="1235"/>
      <c r="K229" s="1235"/>
      <c r="L229" s="1235"/>
      <c r="M229" s="1235"/>
      <c r="N229" s="1235"/>
      <c r="O229" s="1235"/>
      <c r="P229" s="1235"/>
      <c r="Q229" s="1235"/>
      <c r="R229" s="1235"/>
      <c r="S229" s="1235"/>
      <c r="T229" s="1235"/>
      <c r="U229" s="1235"/>
      <c r="V229" s="1235"/>
      <c r="W229" s="1235"/>
    </row>
    <row r="230" spans="1:23">
      <c r="A230" s="1235"/>
      <c r="B230" s="1235"/>
      <c r="C230" s="1235"/>
      <c r="D230" s="1235"/>
      <c r="E230" s="1235"/>
      <c r="F230" s="1235"/>
      <c r="G230" s="1235"/>
      <c r="H230" s="1235"/>
      <c r="I230" s="1235"/>
      <c r="J230" s="1235"/>
      <c r="K230" s="1235"/>
      <c r="L230" s="1235"/>
      <c r="M230" s="1235"/>
      <c r="N230" s="1235"/>
      <c r="O230" s="1235"/>
      <c r="P230" s="1235"/>
      <c r="Q230" s="1235"/>
      <c r="R230" s="1235"/>
      <c r="S230" s="1235"/>
      <c r="T230" s="1235"/>
      <c r="U230" s="1235"/>
      <c r="V230" s="1235"/>
      <c r="W230" s="1235"/>
    </row>
    <row r="231" spans="1:23">
      <c r="A231" s="1236"/>
      <c r="B231" s="1236"/>
      <c r="C231" s="1236"/>
      <c r="D231" s="1236"/>
      <c r="E231" s="1236"/>
      <c r="F231" s="1236"/>
      <c r="G231" s="1236"/>
      <c r="H231" s="1236"/>
      <c r="I231" s="1236"/>
      <c r="J231" s="1236"/>
      <c r="K231" s="1236"/>
      <c r="L231" s="1236"/>
      <c r="M231" s="1236"/>
      <c r="N231" s="1236"/>
      <c r="O231" s="1236"/>
      <c r="P231" s="1236"/>
      <c r="Q231" s="1235"/>
      <c r="R231" s="1235"/>
      <c r="S231" s="1235"/>
      <c r="T231" s="1235"/>
      <c r="U231" s="1235"/>
      <c r="V231" s="1235"/>
      <c r="W231" s="1235"/>
    </row>
    <row r="232" spans="1:23" ht="18.75" customHeight="1">
      <c r="A232" s="2236">
        <v>2023</v>
      </c>
      <c r="B232" s="2237"/>
      <c r="C232" s="2237"/>
      <c r="D232" s="2237"/>
      <c r="E232" s="2237"/>
      <c r="F232" s="2237"/>
      <c r="G232" s="2237"/>
      <c r="H232" s="2237"/>
      <c r="I232" s="2237"/>
      <c r="J232" s="2237"/>
      <c r="K232" s="2237"/>
      <c r="L232" s="2237"/>
      <c r="M232" s="2237"/>
      <c r="N232" s="2237"/>
      <c r="O232" s="2237"/>
      <c r="P232" s="2238"/>
      <c r="Q232" s="1235"/>
      <c r="R232" s="1235"/>
      <c r="S232" s="1235"/>
      <c r="T232" s="1235"/>
      <c r="U232" s="1235"/>
      <c r="V232" s="1235"/>
      <c r="W232" s="1235"/>
    </row>
    <row r="233" spans="1:23" ht="12.75">
      <c r="A233" s="1286" t="s">
        <v>388</v>
      </c>
      <c r="B233" s="1287"/>
      <c r="C233" s="1288" t="s">
        <v>309</v>
      </c>
      <c r="D233" s="1288" t="s">
        <v>311</v>
      </c>
      <c r="E233" s="1288" t="s">
        <v>312</v>
      </c>
      <c r="F233" s="1288" t="s">
        <v>313</v>
      </c>
      <c r="G233" s="1288" t="s">
        <v>314</v>
      </c>
      <c r="H233" s="1288" t="s">
        <v>315</v>
      </c>
      <c r="I233" s="1288" t="s">
        <v>316</v>
      </c>
      <c r="J233" s="1288" t="s">
        <v>317</v>
      </c>
      <c r="K233" s="1288" t="s">
        <v>318</v>
      </c>
      <c r="L233" s="1288" t="s">
        <v>319</v>
      </c>
      <c r="M233" s="1288" t="s">
        <v>320</v>
      </c>
      <c r="N233" s="1288" t="s">
        <v>321</v>
      </c>
      <c r="O233" s="1289" t="s">
        <v>660</v>
      </c>
      <c r="P233" s="1290" t="s">
        <v>661</v>
      </c>
      <c r="Q233" s="1235"/>
      <c r="R233" s="1235"/>
      <c r="S233" s="1235"/>
      <c r="T233" s="1235"/>
      <c r="U233" s="1235"/>
      <c r="V233" s="1235"/>
      <c r="W233" s="1235"/>
    </row>
    <row r="234" spans="1:23">
      <c r="A234" s="2213" t="s">
        <v>56</v>
      </c>
      <c r="B234" s="2214"/>
      <c r="C234" s="2211">
        <f t="shared" ref="C234:I234" ca="1" si="63">C236+ SUM(C242:C247)</f>
        <v>12873.633436802909</v>
      </c>
      <c r="D234" s="2211">
        <f t="shared" ca="1" si="63"/>
        <v>12873.633436802909</v>
      </c>
      <c r="E234" s="2211">
        <f t="shared" ca="1" si="63"/>
        <v>12876.633436802909</v>
      </c>
      <c r="F234" s="2211">
        <f t="shared" ca="1" si="63"/>
        <v>12876.633436802909</v>
      </c>
      <c r="G234" s="2211">
        <f t="shared" ca="1" si="63"/>
        <v>12876.633436802909</v>
      </c>
      <c r="H234" s="2211">
        <f t="shared" ca="1" si="63"/>
        <v>12876.633436802909</v>
      </c>
      <c r="I234" s="2211">
        <f t="shared" ca="1" si="63"/>
        <v>12890.633436802909</v>
      </c>
      <c r="J234" s="2211">
        <f t="shared" ref="J234:O234" ca="1" si="64">J236+ SUM(J242:J247)</f>
        <v>12876.633436802909</v>
      </c>
      <c r="K234" s="2211">
        <f t="shared" ca="1" si="64"/>
        <v>13273.633436802909</v>
      </c>
      <c r="L234" s="2211">
        <f t="shared" ca="1" si="64"/>
        <v>12973.633436802909</v>
      </c>
      <c r="M234" s="2211">
        <f t="shared" ca="1" si="64"/>
        <v>12973.633436802909</v>
      </c>
      <c r="N234" s="2211">
        <f t="shared" ca="1" si="64"/>
        <v>12973.633436802909</v>
      </c>
      <c r="O234" s="2211">
        <f t="shared" ca="1" si="64"/>
        <v>12934.633436802907</v>
      </c>
      <c r="P234" s="2207">
        <f ca="1">O234/M!$Q$14</f>
        <v>1.159896436155202</v>
      </c>
      <c r="Q234" s="1235"/>
      <c r="R234" s="1235"/>
      <c r="S234" s="1235"/>
      <c r="T234" s="1235"/>
      <c r="U234" s="1235"/>
      <c r="V234" s="1235"/>
      <c r="W234" s="1235"/>
    </row>
    <row r="235" spans="1:23">
      <c r="A235" s="2215"/>
      <c r="B235" s="2216"/>
      <c r="C235" s="2235"/>
      <c r="D235" s="2235"/>
      <c r="E235" s="2235"/>
      <c r="F235" s="2235"/>
      <c r="G235" s="2235"/>
      <c r="H235" s="2235"/>
      <c r="I235" s="2235"/>
      <c r="J235" s="2235"/>
      <c r="K235" s="2235"/>
      <c r="L235" s="2235"/>
      <c r="M235" s="2235"/>
      <c r="N235" s="2235"/>
      <c r="O235" s="2212"/>
      <c r="P235" s="2208"/>
      <c r="Q235" s="1235"/>
      <c r="R235" s="1235"/>
      <c r="S235" s="1235"/>
      <c r="T235" s="1235"/>
      <c r="U235" s="1235"/>
      <c r="V235" s="1235"/>
      <c r="W235" s="1235"/>
    </row>
    <row r="236" spans="1:23" ht="12.75">
      <c r="A236" s="2209"/>
      <c r="B236" s="1291" t="s">
        <v>662</v>
      </c>
      <c r="C236" s="1292">
        <f ca="1">SUM(C237:C241)</f>
        <v>9423.6334368029093</v>
      </c>
      <c r="D236" s="1292">
        <f t="shared" ref="D236:N236" ca="1" si="65">SUM(D237:D241)</f>
        <v>9423.6334368029093</v>
      </c>
      <c r="E236" s="1292">
        <f t="shared" ca="1" si="65"/>
        <v>9423.6334368029093</v>
      </c>
      <c r="F236" s="1292">
        <f t="shared" ca="1" si="65"/>
        <v>9423.6334368029093</v>
      </c>
      <c r="G236" s="1292">
        <f t="shared" ca="1" si="65"/>
        <v>9423.6334368029093</v>
      </c>
      <c r="H236" s="1292">
        <f t="shared" ca="1" si="65"/>
        <v>9423.6334368029093</v>
      </c>
      <c r="I236" s="1292">
        <f t="shared" ca="1" si="65"/>
        <v>9423.6334368029093</v>
      </c>
      <c r="J236" s="1292">
        <f t="shared" ca="1" si="65"/>
        <v>9423.6334368029093</v>
      </c>
      <c r="K236" s="1292">
        <f t="shared" ca="1" si="65"/>
        <v>9423.6334368029093</v>
      </c>
      <c r="L236" s="1292">
        <f t="shared" ca="1" si="65"/>
        <v>9423.6334368029093</v>
      </c>
      <c r="M236" s="1292">
        <f t="shared" ca="1" si="65"/>
        <v>9423.6334368029093</v>
      </c>
      <c r="N236" s="1292">
        <f t="shared" ca="1" si="65"/>
        <v>9423.6334368029093</v>
      </c>
      <c r="O236" s="1293">
        <f t="shared" ref="O236:O247" ca="1" si="66">SUM(C236:N236)/12</f>
        <v>9423.6334368029075</v>
      </c>
      <c r="P236" s="1294">
        <f ca="1">O236/M!$Q$14</f>
        <v>0.84505207607046029</v>
      </c>
      <c r="Q236" s="1235"/>
      <c r="R236" s="1235"/>
      <c r="S236" s="1235"/>
      <c r="T236" s="1235"/>
      <c r="U236" s="1235"/>
      <c r="V236" s="1235"/>
      <c r="W236" s="1235"/>
    </row>
    <row r="237" spans="1:23" ht="12.75">
      <c r="A237" s="2210"/>
      <c r="B237" s="1291" t="s">
        <v>663</v>
      </c>
      <c r="C237" s="1371">
        <f ca="1">Mortgage!I$42</f>
        <v>4671.8640635377087</v>
      </c>
      <c r="D237" s="1371">
        <f ca="1">Mortgage!I$43</f>
        <v>4661.964544010073</v>
      </c>
      <c r="E237" s="1371">
        <f ca="1">Mortgage!I$44</f>
        <v>4652.0444004834208</v>
      </c>
      <c r="F237" s="1371">
        <f ca="1">Mortgage!I$45</f>
        <v>4642.1035899910894</v>
      </c>
      <c r="G237" s="1371">
        <f ca="1">Mortgage!I$46</f>
        <v>4632.1420694768985</v>
      </c>
      <c r="H237" s="1371">
        <f ca="1">Mortgage!I$47</f>
        <v>4622.1597957949689</v>
      </c>
      <c r="I237" s="1371">
        <f ca="1">Mortgage!I$48</f>
        <v>4612.1567257095348</v>
      </c>
      <c r="J237" s="1371">
        <f ca="1">Mortgage!I$49</f>
        <v>4602.1328158947572</v>
      </c>
      <c r="K237" s="1371">
        <f ca="1">Mortgage!I$50</f>
        <v>4592.0880229345321</v>
      </c>
      <c r="L237" s="1371">
        <f ca="1">Mortgage!I$51</f>
        <v>4582.0223033223056</v>
      </c>
      <c r="M237" s="1371">
        <f ca="1">Mortgage!I$52</f>
        <v>4571.9356134608879</v>
      </c>
      <c r="N237" s="1371">
        <f ca="1">Mortgage!I$53</f>
        <v>4561.8279096622591</v>
      </c>
      <c r="O237" s="1293">
        <f t="shared" ca="1" si="66"/>
        <v>4617.0368211898704</v>
      </c>
      <c r="P237" s="1294">
        <f ca="1">O237/M!$Q$14</f>
        <v>0.41402677398325677</v>
      </c>
      <c r="Q237" s="1235"/>
      <c r="R237" s="1235"/>
      <c r="S237" s="1235"/>
      <c r="T237" s="1235"/>
      <c r="U237" s="1235"/>
      <c r="V237" s="1235"/>
      <c r="W237" s="1235"/>
    </row>
    <row r="238" spans="1:23" ht="12.75">
      <c r="A238" s="2210"/>
      <c r="B238" s="1291" t="s">
        <v>664</v>
      </c>
      <c r="C238" s="1371">
        <f ca="1">Mortgage!H$42</f>
        <v>4751.7693732652006</v>
      </c>
      <c r="D238" s="1371">
        <f ca="1">Mortgage!H$43</f>
        <v>4761.6688927928362</v>
      </c>
      <c r="E238" s="1371">
        <f ca="1">Mortgage!H$44</f>
        <v>4771.5890363194885</v>
      </c>
      <c r="F238" s="1371">
        <f ca="1">Mortgage!H$45</f>
        <v>4781.5298468118199</v>
      </c>
      <c r="G238" s="1371">
        <f ca="1">Mortgage!H$46</f>
        <v>4791.4913673260107</v>
      </c>
      <c r="H238" s="1371">
        <f ca="1">Mortgage!H$47</f>
        <v>4801.4736410079404</v>
      </c>
      <c r="I238" s="1371">
        <f ca="1">Mortgage!H$48</f>
        <v>4811.4767110933744</v>
      </c>
      <c r="J238" s="1371">
        <f ca="1">Mortgage!H$49</f>
        <v>4821.5006209081521</v>
      </c>
      <c r="K238" s="1371">
        <f ca="1">Mortgage!H$50</f>
        <v>4831.5454138683772</v>
      </c>
      <c r="L238" s="1371">
        <f ca="1">Mortgage!H$51</f>
        <v>4841.6111334806037</v>
      </c>
      <c r="M238" s="1371">
        <f ca="1">Mortgage!H$52</f>
        <v>4851.6978233420214</v>
      </c>
      <c r="N238" s="1371">
        <f ca="1">Mortgage!H$53</f>
        <v>4861.8055271406502</v>
      </c>
      <c r="O238" s="1293">
        <f t="shared" ca="1" si="66"/>
        <v>4806.5966156130407</v>
      </c>
      <c r="P238" s="1294">
        <f ca="1">O238/M!$Q$14</f>
        <v>0.43102530208720385</v>
      </c>
      <c r="Q238" s="1235"/>
      <c r="R238" s="1235"/>
      <c r="S238" s="1235"/>
      <c r="T238" s="1235"/>
      <c r="U238" s="1235"/>
      <c r="V238" s="1235"/>
      <c r="W238" s="1235"/>
    </row>
    <row r="239" spans="1:23" ht="12.75">
      <c r="A239" s="2210"/>
      <c r="B239" s="1291" t="s">
        <v>450</v>
      </c>
      <c r="C239" s="1371">
        <v>0</v>
      </c>
      <c r="D239" s="1371">
        <v>0</v>
      </c>
      <c r="E239" s="1371">
        <v>0</v>
      </c>
      <c r="F239" s="1371">
        <v>0</v>
      </c>
      <c r="G239" s="1371">
        <v>0</v>
      </c>
      <c r="H239" s="1371">
        <v>0</v>
      </c>
      <c r="I239" s="1371">
        <v>0</v>
      </c>
      <c r="J239" s="1371">
        <v>0</v>
      </c>
      <c r="K239" s="1371">
        <v>0</v>
      </c>
      <c r="L239" s="1371">
        <v>0</v>
      </c>
      <c r="M239" s="1371">
        <v>0</v>
      </c>
      <c r="N239" s="1371">
        <v>0</v>
      </c>
      <c r="O239" s="1293">
        <f t="shared" si="66"/>
        <v>0</v>
      </c>
      <c r="P239" s="1294">
        <f>O239/M!$Q$14</f>
        <v>0</v>
      </c>
      <c r="Q239" s="1235"/>
      <c r="R239" s="1235"/>
      <c r="S239" s="1235"/>
      <c r="T239" s="1235"/>
      <c r="U239" s="1235"/>
      <c r="V239" s="1235"/>
      <c r="W239" s="1235"/>
    </row>
    <row r="240" spans="1:23" ht="12.75">
      <c r="A240" s="2210"/>
      <c r="B240" s="1291" t="s">
        <v>665</v>
      </c>
      <c r="C240" s="1371">
        <v>0</v>
      </c>
      <c r="D240" s="1371">
        <v>0</v>
      </c>
      <c r="E240" s="1371">
        <v>0</v>
      </c>
      <c r="F240" s="1371">
        <v>0</v>
      </c>
      <c r="G240" s="1371">
        <v>0</v>
      </c>
      <c r="H240" s="1371">
        <v>0</v>
      </c>
      <c r="I240" s="1371">
        <v>0</v>
      </c>
      <c r="J240" s="1371">
        <v>0</v>
      </c>
      <c r="K240" s="1371">
        <v>0</v>
      </c>
      <c r="L240" s="1371">
        <v>0</v>
      </c>
      <c r="M240" s="1371">
        <v>0</v>
      </c>
      <c r="N240" s="1371">
        <v>0</v>
      </c>
      <c r="O240" s="1293">
        <f t="shared" si="66"/>
        <v>0</v>
      </c>
      <c r="P240" s="1294">
        <f>O240/M!$Q$14</f>
        <v>0</v>
      </c>
      <c r="Q240" s="1235"/>
      <c r="R240" s="1235"/>
      <c r="S240" s="1235"/>
      <c r="T240" s="1235"/>
      <c r="U240" s="1235"/>
      <c r="V240" s="1235"/>
      <c r="W240" s="1235"/>
    </row>
    <row r="241" spans="1:23" ht="12.75">
      <c r="A241" s="2210"/>
      <c r="B241" s="1291" t="s">
        <v>664</v>
      </c>
      <c r="C241" s="1371">
        <v>0</v>
      </c>
      <c r="D241" s="1371">
        <v>0</v>
      </c>
      <c r="E241" s="1371">
        <v>0</v>
      </c>
      <c r="F241" s="1371">
        <v>0</v>
      </c>
      <c r="G241" s="1371">
        <v>0</v>
      </c>
      <c r="H241" s="1371">
        <v>0</v>
      </c>
      <c r="I241" s="1371">
        <v>0</v>
      </c>
      <c r="J241" s="1371">
        <v>0</v>
      </c>
      <c r="K241" s="1371">
        <v>0</v>
      </c>
      <c r="L241" s="1371">
        <v>0</v>
      </c>
      <c r="M241" s="1371">
        <v>0</v>
      </c>
      <c r="N241" s="1371">
        <v>0</v>
      </c>
      <c r="O241" s="1293">
        <f t="shared" si="66"/>
        <v>0</v>
      </c>
      <c r="P241" s="1294">
        <f>O241/M!$Q$14</f>
        <v>0</v>
      </c>
      <c r="Q241" s="1235"/>
      <c r="R241" s="1235"/>
      <c r="S241" s="1235"/>
      <c r="T241" s="1235"/>
      <c r="U241" s="1235"/>
      <c r="V241" s="1235"/>
      <c r="W241" s="1235"/>
    </row>
    <row r="242" spans="1:23" ht="12.75">
      <c r="A242" s="2210"/>
      <c r="B242" s="1291" t="s">
        <v>287</v>
      </c>
      <c r="C242" s="1371">
        <f>39000/12</f>
        <v>3250</v>
      </c>
      <c r="D242" s="1371">
        <f t="shared" ref="D242:N242" si="67">39000/12</f>
        <v>3250</v>
      </c>
      <c r="E242" s="1371">
        <f t="shared" si="67"/>
        <v>3250</v>
      </c>
      <c r="F242" s="1371">
        <f t="shared" si="67"/>
        <v>3250</v>
      </c>
      <c r="G242" s="1371">
        <f t="shared" si="67"/>
        <v>3250</v>
      </c>
      <c r="H242" s="1371">
        <f t="shared" si="67"/>
        <v>3250</v>
      </c>
      <c r="I242" s="1371">
        <f t="shared" si="67"/>
        <v>3250</v>
      </c>
      <c r="J242" s="1371">
        <f t="shared" si="67"/>
        <v>3250</v>
      </c>
      <c r="K242" s="1371">
        <f t="shared" si="67"/>
        <v>3250</v>
      </c>
      <c r="L242" s="1371">
        <f t="shared" si="67"/>
        <v>3250</v>
      </c>
      <c r="M242" s="1371">
        <f t="shared" si="67"/>
        <v>3250</v>
      </c>
      <c r="N242" s="1371">
        <f t="shared" si="67"/>
        <v>3250</v>
      </c>
      <c r="O242" s="1293">
        <f t="shared" si="66"/>
        <v>3250</v>
      </c>
      <c r="P242" s="1294">
        <f>O242/M!$Q$14</f>
        <v>0.2914395244304786</v>
      </c>
      <c r="Q242" s="1235"/>
      <c r="R242" s="1235"/>
      <c r="S242" s="1235"/>
      <c r="T242" s="1235"/>
      <c r="U242" s="1235"/>
      <c r="V242" s="1235"/>
      <c r="W242" s="1235"/>
    </row>
    <row r="243" spans="1:23" ht="12.75">
      <c r="A243" s="2210"/>
      <c r="B243" s="1291" t="s">
        <v>453</v>
      </c>
      <c r="C243" s="1371">
        <v>0</v>
      </c>
      <c r="D243" s="1371">
        <v>0</v>
      </c>
      <c r="E243" s="1371">
        <v>0</v>
      </c>
      <c r="F243" s="1371">
        <v>0</v>
      </c>
      <c r="G243" s="1371">
        <v>0</v>
      </c>
      <c r="H243" s="1371">
        <v>0</v>
      </c>
      <c r="I243" s="1371">
        <v>0</v>
      </c>
      <c r="J243" s="1371">
        <v>0</v>
      </c>
      <c r="K243" s="1371">
        <v>0</v>
      </c>
      <c r="L243" s="1371">
        <v>0</v>
      </c>
      <c r="M243" s="1371">
        <v>0</v>
      </c>
      <c r="N243" s="1371">
        <v>0</v>
      </c>
      <c r="O243" s="1293">
        <f t="shared" si="66"/>
        <v>0</v>
      </c>
      <c r="P243" s="1294">
        <f>O243/M!$Q$14</f>
        <v>0</v>
      </c>
      <c r="Q243" s="1235"/>
      <c r="R243" s="1235"/>
      <c r="S243" s="1235"/>
      <c r="T243" s="1235"/>
      <c r="U243" s="1235"/>
      <c r="V243" s="1235"/>
      <c r="W243" s="1235"/>
    </row>
    <row r="244" spans="1:23" ht="12.75">
      <c r="A244" s="2210"/>
      <c r="B244" s="1291" t="s">
        <v>400</v>
      </c>
      <c r="C244" s="1371">
        <v>200</v>
      </c>
      <c r="D244" s="1371">
        <v>200</v>
      </c>
      <c r="E244" s="1371">
        <v>200</v>
      </c>
      <c r="F244" s="1371">
        <v>200</v>
      </c>
      <c r="G244" s="1371">
        <v>200</v>
      </c>
      <c r="H244" s="1371">
        <v>200</v>
      </c>
      <c r="I244" s="1371">
        <v>200</v>
      </c>
      <c r="J244" s="1371">
        <v>200</v>
      </c>
      <c r="K244" s="1371">
        <v>200</v>
      </c>
      <c r="L244" s="1371">
        <v>200</v>
      </c>
      <c r="M244" s="1371">
        <v>200</v>
      </c>
      <c r="N244" s="1371">
        <v>200</v>
      </c>
      <c r="O244" s="1293">
        <f t="shared" si="66"/>
        <v>200</v>
      </c>
      <c r="P244" s="1294">
        <f>O244/M!$Q$14</f>
        <v>1.7934739964952529E-2</v>
      </c>
      <c r="Q244" s="1235"/>
      <c r="R244" s="1235"/>
      <c r="S244" s="1235"/>
      <c r="T244" s="1235"/>
      <c r="U244" s="1235"/>
      <c r="V244" s="1235"/>
      <c r="W244" s="1235"/>
    </row>
    <row r="245" spans="1:23" ht="12.75">
      <c r="A245" s="2210"/>
      <c r="B245" s="1291" t="s">
        <v>401</v>
      </c>
      <c r="C245" s="1371">
        <v>0</v>
      </c>
      <c r="D245" s="1371">
        <v>0</v>
      </c>
      <c r="E245" s="1371">
        <v>0</v>
      </c>
      <c r="F245" s="1371">
        <v>0</v>
      </c>
      <c r="G245" s="1371">
        <v>0</v>
      </c>
      <c r="H245" s="1371">
        <v>0</v>
      </c>
      <c r="I245" s="1371">
        <v>0</v>
      </c>
      <c r="J245" s="1371">
        <v>0</v>
      </c>
      <c r="K245" s="1371">
        <v>0</v>
      </c>
      <c r="L245" s="1371">
        <v>0</v>
      </c>
      <c r="M245" s="1371">
        <v>0</v>
      </c>
      <c r="N245" s="1371">
        <v>0</v>
      </c>
      <c r="O245" s="1293">
        <f t="shared" si="66"/>
        <v>0</v>
      </c>
      <c r="P245" s="1294">
        <f>O245/M!$Q$14</f>
        <v>0</v>
      </c>
      <c r="Q245" s="1235"/>
      <c r="R245" s="1235"/>
      <c r="S245" s="1235"/>
      <c r="T245" s="1235"/>
      <c r="U245" s="1235"/>
      <c r="V245" s="1235"/>
      <c r="W245" s="1235"/>
    </row>
    <row r="246" spans="1:23" ht="12.75">
      <c r="A246" s="2210"/>
      <c r="B246" s="1291" t="s">
        <v>402</v>
      </c>
      <c r="C246" s="1371">
        <v>0</v>
      </c>
      <c r="D246" s="1371">
        <v>0</v>
      </c>
      <c r="E246" s="1371">
        <v>0</v>
      </c>
      <c r="F246" s="1371">
        <v>0</v>
      </c>
      <c r="G246" s="1371">
        <v>0</v>
      </c>
      <c r="H246" s="1371">
        <v>0</v>
      </c>
      <c r="I246" s="1371">
        <v>0</v>
      </c>
      <c r="J246" s="1371">
        <v>0</v>
      </c>
      <c r="K246" s="1371">
        <v>0</v>
      </c>
      <c r="L246" s="1371">
        <v>0</v>
      </c>
      <c r="M246" s="1371">
        <v>0</v>
      </c>
      <c r="N246" s="1371">
        <v>0</v>
      </c>
      <c r="O246" s="1293">
        <f t="shared" si="66"/>
        <v>0</v>
      </c>
      <c r="P246" s="1294">
        <f>O246/M!$Q$14</f>
        <v>0</v>
      </c>
      <c r="Q246" s="1235"/>
      <c r="R246" s="1235"/>
      <c r="S246" s="1235"/>
      <c r="T246" s="1235"/>
      <c r="U246" s="1235"/>
      <c r="V246" s="1235"/>
      <c r="W246" s="1235"/>
    </row>
    <row r="247" spans="1:23" ht="12.75">
      <c r="A247" s="2234"/>
      <c r="B247" s="1176" t="s">
        <v>674</v>
      </c>
      <c r="C247" s="1372">
        <f>SUMIF(Jan!$CJ$1:$CJ$186,$B247,Jan!$CI$1:$CI$186)</f>
        <v>0</v>
      </c>
      <c r="D247" s="1372">
        <f>SUMIF(Feb!$CJ$1:$CJ$171,$B247,Feb!$CI$1:$CI$171)</f>
        <v>0</v>
      </c>
      <c r="E247" s="1372">
        <v>3</v>
      </c>
      <c r="F247" s="1372">
        <v>3</v>
      </c>
      <c r="G247" s="1372">
        <v>3</v>
      </c>
      <c r="H247" s="1372">
        <v>3</v>
      </c>
      <c r="I247" s="1372">
        <v>17</v>
      </c>
      <c r="J247" s="1372">
        <v>3</v>
      </c>
      <c r="K247" s="1373">
        <f>SUMIF(Sep!$CJ$1:$CJ$186,$B247,Sep!$CI$1:$CI$186)</f>
        <v>400</v>
      </c>
      <c r="L247" s="1372">
        <v>100</v>
      </c>
      <c r="M247" s="1372">
        <v>100</v>
      </c>
      <c r="N247" s="1372">
        <v>100</v>
      </c>
      <c r="O247" s="1296">
        <f t="shared" si="66"/>
        <v>61</v>
      </c>
      <c r="P247" s="1294">
        <f>O247/M!$Q$14</f>
        <v>5.4700956893105213E-3</v>
      </c>
      <c r="Q247" s="1235"/>
      <c r="R247" s="1235"/>
      <c r="S247" s="1235"/>
      <c r="T247" s="1235"/>
      <c r="U247" s="1235"/>
      <c r="V247" s="1235"/>
      <c r="W247" s="1235"/>
    </row>
    <row r="248" spans="1:23">
      <c r="A248" s="2213" t="s">
        <v>276</v>
      </c>
      <c r="B248" s="2214"/>
      <c r="C248" s="2211">
        <f t="shared" ref="C248:N248" si="68">SUM(C250:C255)</f>
        <v>90</v>
      </c>
      <c r="D248" s="2211">
        <f t="shared" si="68"/>
        <v>90</v>
      </c>
      <c r="E248" s="2211">
        <f t="shared" si="68"/>
        <v>90</v>
      </c>
      <c r="F248" s="2211">
        <f t="shared" si="68"/>
        <v>4333</v>
      </c>
      <c r="G248" s="2211">
        <f t="shared" si="68"/>
        <v>488</v>
      </c>
      <c r="H248" s="2211">
        <f t="shared" si="68"/>
        <v>490</v>
      </c>
      <c r="I248" s="2211">
        <f t="shared" si="68"/>
        <v>401</v>
      </c>
      <c r="J248" s="2211">
        <f t="shared" si="68"/>
        <v>90</v>
      </c>
      <c r="K248" s="2211">
        <f t="shared" si="68"/>
        <v>90</v>
      </c>
      <c r="L248" s="2211">
        <f t="shared" si="68"/>
        <v>1040</v>
      </c>
      <c r="M248" s="2211">
        <f t="shared" si="68"/>
        <v>90</v>
      </c>
      <c r="N248" s="2211">
        <f t="shared" si="68"/>
        <v>140</v>
      </c>
      <c r="O248" s="2211">
        <f>SUM(O250:O255)</f>
        <v>619.33333333333326</v>
      </c>
      <c r="P248" s="2207">
        <f>O248/M!$Q$14</f>
        <v>5.5537911424802994E-2</v>
      </c>
      <c r="Q248" s="1235"/>
      <c r="R248" s="1235"/>
      <c r="S248" s="1235"/>
      <c r="T248" s="1235"/>
      <c r="U248" s="1235"/>
      <c r="V248" s="1235"/>
      <c r="W248" s="1235"/>
    </row>
    <row r="249" spans="1:23">
      <c r="A249" s="2215"/>
      <c r="B249" s="2216"/>
      <c r="C249" s="2212"/>
      <c r="D249" s="2212"/>
      <c r="E249" s="2212"/>
      <c r="F249" s="2212"/>
      <c r="G249" s="2212"/>
      <c r="H249" s="2212"/>
      <c r="I249" s="2212"/>
      <c r="J249" s="2212"/>
      <c r="K249" s="2212"/>
      <c r="L249" s="2212"/>
      <c r="M249" s="2212"/>
      <c r="N249" s="2212"/>
      <c r="O249" s="2212"/>
      <c r="P249" s="2208"/>
      <c r="Q249" s="1235"/>
      <c r="R249" s="1235"/>
      <c r="S249" s="1235"/>
      <c r="T249" s="1235"/>
      <c r="U249" s="1235"/>
      <c r="V249" s="1235"/>
      <c r="W249" s="1235"/>
    </row>
    <row r="250" spans="1:23" ht="12.75">
      <c r="A250" s="2209"/>
      <c r="B250" s="1295" t="s">
        <v>666</v>
      </c>
      <c r="C250" s="1374">
        <v>0</v>
      </c>
      <c r="D250" s="1374">
        <v>0</v>
      </c>
      <c r="E250" s="1374">
        <v>0</v>
      </c>
      <c r="F250" s="1374">
        <v>0</v>
      </c>
      <c r="G250" s="1374">
        <v>0</v>
      </c>
      <c r="H250" s="1374">
        <v>0</v>
      </c>
      <c r="I250" s="1374">
        <v>0</v>
      </c>
      <c r="J250" s="1374">
        <v>0</v>
      </c>
      <c r="K250" s="1374">
        <v>0</v>
      </c>
      <c r="L250" s="1374">
        <v>0</v>
      </c>
      <c r="M250" s="1374">
        <v>0</v>
      </c>
      <c r="N250" s="1374">
        <v>0</v>
      </c>
      <c r="O250" s="1296">
        <f t="shared" ref="O250:O255" si="69">SUM(C250:N250)/12</f>
        <v>0</v>
      </c>
      <c r="P250" s="1294">
        <f>O250/M!$Q$14</f>
        <v>0</v>
      </c>
      <c r="Q250" s="1235"/>
      <c r="R250" s="1235"/>
      <c r="S250" s="1235"/>
      <c r="T250" s="1235"/>
      <c r="U250" s="1235"/>
      <c r="V250" s="1235"/>
      <c r="W250" s="1235"/>
    </row>
    <row r="251" spans="1:23" ht="12.75">
      <c r="A251" s="2210"/>
      <c r="B251" s="1295" t="s">
        <v>400</v>
      </c>
      <c r="C251" s="1375">
        <v>90</v>
      </c>
      <c r="D251" s="1375">
        <v>90</v>
      </c>
      <c r="E251" s="1375">
        <v>90</v>
      </c>
      <c r="F251" s="1375">
        <v>90</v>
      </c>
      <c r="G251" s="1375">
        <v>90</v>
      </c>
      <c r="H251" s="1375">
        <v>90</v>
      </c>
      <c r="I251" s="1375">
        <v>90</v>
      </c>
      <c r="J251" s="1375">
        <v>90</v>
      </c>
      <c r="K251" s="1375">
        <v>90</v>
      </c>
      <c r="L251" s="1375">
        <v>90</v>
      </c>
      <c r="M251" s="1375">
        <v>90</v>
      </c>
      <c r="N251" s="1375">
        <v>90</v>
      </c>
      <c r="O251" s="1296">
        <f t="shared" si="69"/>
        <v>90</v>
      </c>
      <c r="P251" s="1294">
        <f>O251/M!$Q$14</f>
        <v>8.070632984228639E-3</v>
      </c>
      <c r="Q251" s="1235"/>
      <c r="R251" s="1235"/>
      <c r="S251" s="1235"/>
      <c r="T251" s="1235"/>
      <c r="U251" s="1235"/>
      <c r="V251" s="1235"/>
      <c r="W251" s="1235"/>
    </row>
    <row r="252" spans="1:23" ht="12.75">
      <c r="A252" s="2210"/>
      <c r="B252" s="1295" t="s">
        <v>454</v>
      </c>
      <c r="C252" s="1374">
        <v>0</v>
      </c>
      <c r="D252" s="1374">
        <v>0</v>
      </c>
      <c r="E252" s="1374">
        <v>0</v>
      </c>
      <c r="F252" s="1374">
        <v>293</v>
      </c>
      <c r="G252" s="1374">
        <v>178</v>
      </c>
      <c r="H252" s="1374">
        <v>0</v>
      </c>
      <c r="I252" s="1374">
        <v>221</v>
      </c>
      <c r="J252" s="1374">
        <v>0</v>
      </c>
      <c r="K252" s="1374">
        <v>0</v>
      </c>
      <c r="L252" s="1374">
        <v>0</v>
      </c>
      <c r="M252" s="1374">
        <v>0</v>
      </c>
      <c r="N252" s="1374">
        <v>50</v>
      </c>
      <c r="O252" s="1296">
        <f t="shared" si="69"/>
        <v>61.833333333333336</v>
      </c>
      <c r="P252" s="1294">
        <f>O252/M!$Q$14</f>
        <v>5.5448237724978243E-3</v>
      </c>
      <c r="Q252" s="1235"/>
      <c r="R252" s="1235"/>
      <c r="S252" s="1235"/>
      <c r="T252" s="1235"/>
      <c r="U252" s="1235"/>
      <c r="V252" s="1235"/>
      <c r="W252" s="1235"/>
    </row>
    <row r="253" spans="1:23" ht="12.75">
      <c r="A253" s="2210"/>
      <c r="B253" s="1295" t="s">
        <v>407</v>
      </c>
      <c r="C253" s="1376">
        <f>SUMIF(Jan!$CJ$1:$CJ$186,$B253,Jan!$CI$1:$CI$186)</f>
        <v>0</v>
      </c>
      <c r="D253" s="1374">
        <v>0</v>
      </c>
      <c r="E253" s="1374">
        <v>0</v>
      </c>
      <c r="F253" s="1374">
        <v>50</v>
      </c>
      <c r="G253" s="1374">
        <v>220</v>
      </c>
      <c r="H253" s="1374">
        <v>0</v>
      </c>
      <c r="I253" s="1374">
        <v>90</v>
      </c>
      <c r="J253" s="1374">
        <v>0</v>
      </c>
      <c r="K253" s="1374">
        <v>0</v>
      </c>
      <c r="L253" s="1374">
        <v>0</v>
      </c>
      <c r="M253" s="1374">
        <v>0</v>
      </c>
      <c r="N253" s="1374">
        <v>0</v>
      </c>
      <c r="O253" s="1296">
        <f t="shared" si="69"/>
        <v>30</v>
      </c>
      <c r="P253" s="1294">
        <f>O253/M!$Q$14</f>
        <v>2.6902109947428794E-3</v>
      </c>
      <c r="Q253" s="1235"/>
      <c r="R253" s="1235"/>
      <c r="S253" s="1235"/>
      <c r="T253" s="1235"/>
      <c r="U253" s="1235"/>
      <c r="V253" s="1235"/>
      <c r="W253" s="1235"/>
    </row>
    <row r="254" spans="1:23" ht="12.75">
      <c r="A254" s="2210"/>
      <c r="B254" s="1295" t="s">
        <v>408</v>
      </c>
      <c r="C254" s="1373">
        <f>SUMIF(Jan!$CJ$1:$CJ$186,$B254,Jan!$CI$1:$CI$186)</f>
        <v>0</v>
      </c>
      <c r="D254" s="1373">
        <f>SUMIF(Feb!$CJ$1:$CJ$171,$B254,Feb!$CI$1:$CI$171)</f>
        <v>0</v>
      </c>
      <c r="E254" s="1373">
        <f>SUMIF(Mar!$CJ$1:$CJ$176,$B254,Mar!$CI$1:$CI$176)</f>
        <v>0</v>
      </c>
      <c r="F254" s="1373">
        <v>3900</v>
      </c>
      <c r="G254" s="1373">
        <f>SUMIF(May!$CJ$1:$CJ$177,$B254,May!$CI$1:$CI$177)</f>
        <v>0</v>
      </c>
      <c r="H254" s="1373">
        <v>400</v>
      </c>
      <c r="I254" s="1373">
        <f>SUMIF(Jul!$CJ$1:$CJ$177,$B254,Jul!$CI$1:$CI$177)</f>
        <v>0</v>
      </c>
      <c r="J254" s="1373">
        <f>SUMIF(Jan!$CJ$1:$CJ$186,$B254,Jan!$CI$1:$CI$186)</f>
        <v>0</v>
      </c>
      <c r="K254" s="1373">
        <f>SUMIF(Sep!$CJ$1:$CJ$186,$B254,Sep!$CI$1:$CI$186)</f>
        <v>0</v>
      </c>
      <c r="L254" s="1373">
        <v>0</v>
      </c>
      <c r="M254" s="1373">
        <f>SUMIF(Nov!$CJ$1:$CJ$186,$B254,Nov!$CI$1:$CI$186)</f>
        <v>0</v>
      </c>
      <c r="N254" s="1373">
        <f>SUMIF(Dec!$CJ$1:$CJ$186,$B254,Dec!$CI$1:$CI$186)</f>
        <v>0</v>
      </c>
      <c r="O254" s="1296">
        <f t="shared" si="69"/>
        <v>358.33333333333331</v>
      </c>
      <c r="P254" s="1294">
        <f>O254/M!$Q$14</f>
        <v>3.2133075770539948E-2</v>
      </c>
      <c r="Q254" s="1235"/>
      <c r="R254" s="1235"/>
      <c r="S254" s="1235"/>
      <c r="T254" s="1235"/>
      <c r="U254" s="1235"/>
      <c r="V254" s="1235"/>
      <c r="W254" s="1235"/>
    </row>
    <row r="255" spans="1:23" ht="12.75">
      <c r="A255" s="2234"/>
      <c r="B255" s="1295" t="s">
        <v>409</v>
      </c>
      <c r="C255" s="1373">
        <f>SUMIF(Jan!$CJ$1:$CJ$186,$B255,Jan!$CI$1:$CI$186)</f>
        <v>0</v>
      </c>
      <c r="D255" s="1373">
        <f>SUMIF(Feb!$CJ$1:$CJ$171,$B255,Feb!$CI$1:$CI$171)</f>
        <v>0</v>
      </c>
      <c r="E255" s="1373">
        <f>SUMIF(Mar!$CJ$1:$CJ$176,$B255,Mar!$CI$1:$CI$176)</f>
        <v>0</v>
      </c>
      <c r="F255" s="1373">
        <f>SUMIF(Apr!$CJ$1:$CJ$203,$B255,Apr!$CI$1:$CI$203)</f>
        <v>0</v>
      </c>
      <c r="G255" s="1373">
        <f>SUMIF(May!$CJ$1:$CJ$177,$B255,May!$CI$1:$CI$177)</f>
        <v>0</v>
      </c>
      <c r="H255" s="1373">
        <f>SUMIF(Jun!$CJ$1:$CJ$186,$B255,Jun!$CI$1:$CI$186)</f>
        <v>0</v>
      </c>
      <c r="I255" s="1373">
        <f>SUMIF(Jul!$CJ$1:$CJ$177,$B255,Jul!$CI$1:$CI$177)</f>
        <v>0</v>
      </c>
      <c r="J255" s="1373">
        <v>0</v>
      </c>
      <c r="K255" s="1373">
        <f>SUMIF(Sep!$CJ$1:$CJ$186,$B255,Sep!$CI$1:$CI$186)</f>
        <v>0</v>
      </c>
      <c r="L255" s="1373">
        <v>950</v>
      </c>
      <c r="M255" s="1373">
        <f>SUMIF(Nov!$CJ$1:$CJ$186,$B255,Nov!$CI$1:$CI$186)</f>
        <v>0</v>
      </c>
      <c r="N255" s="1373">
        <f>SUMIF(Dec!$CJ$1:$CJ$186,$B255,Dec!$CI$1:$CI$186)</f>
        <v>0</v>
      </c>
      <c r="O255" s="1296">
        <f t="shared" si="69"/>
        <v>79.166666666666671</v>
      </c>
      <c r="P255" s="1294">
        <f>O255/M!$Q$14</f>
        <v>7.0991679027937104E-3</v>
      </c>
      <c r="Q255" s="1235"/>
      <c r="R255" s="1235"/>
      <c r="S255" s="1235"/>
      <c r="T255" s="1235"/>
      <c r="U255" s="1235"/>
      <c r="V255" s="1235"/>
      <c r="W255" s="1235"/>
    </row>
    <row r="256" spans="1:23">
      <c r="A256" s="2213" t="s">
        <v>277</v>
      </c>
      <c r="B256" s="2214"/>
      <c r="C256" s="2211">
        <f t="shared" ref="C256:N256" si="70">SUM(C258:C261)</f>
        <v>169</v>
      </c>
      <c r="D256" s="2211">
        <f t="shared" si="70"/>
        <v>474</v>
      </c>
      <c r="E256" s="2211">
        <f t="shared" si="70"/>
        <v>345</v>
      </c>
      <c r="F256" s="2211">
        <f t="shared" si="70"/>
        <v>408</v>
      </c>
      <c r="G256" s="2211">
        <f t="shared" si="70"/>
        <v>369</v>
      </c>
      <c r="H256" s="2211">
        <f t="shared" si="70"/>
        <v>390</v>
      </c>
      <c r="I256" s="2211">
        <f t="shared" si="70"/>
        <v>206</v>
      </c>
      <c r="J256" s="2211">
        <f t="shared" si="70"/>
        <v>346</v>
      </c>
      <c r="K256" s="2211">
        <f t="shared" si="70"/>
        <v>160</v>
      </c>
      <c r="L256" s="2211">
        <f t="shared" si="70"/>
        <v>289</v>
      </c>
      <c r="M256" s="2211">
        <f t="shared" si="70"/>
        <v>369</v>
      </c>
      <c r="N256" s="2211">
        <f t="shared" si="70"/>
        <v>221</v>
      </c>
      <c r="O256" s="2211">
        <f>SUM(O258:O261)</f>
        <v>312.16666666666669</v>
      </c>
      <c r="P256" s="2207">
        <f>O256/M!$Q$14</f>
        <v>2.7993139961963408E-2</v>
      </c>
      <c r="Q256" s="1235"/>
      <c r="R256" s="1235"/>
      <c r="S256" s="1235"/>
      <c r="T256" s="1235"/>
      <c r="U256" s="1235"/>
      <c r="V256" s="1235"/>
      <c r="W256" s="1235"/>
    </row>
    <row r="257" spans="1:23">
      <c r="A257" s="2215"/>
      <c r="B257" s="2216"/>
      <c r="C257" s="2212"/>
      <c r="D257" s="2212"/>
      <c r="E257" s="2212"/>
      <c r="F257" s="2212"/>
      <c r="G257" s="2212"/>
      <c r="H257" s="2212"/>
      <c r="I257" s="2212"/>
      <c r="J257" s="2212"/>
      <c r="K257" s="2212"/>
      <c r="L257" s="2212"/>
      <c r="M257" s="2212"/>
      <c r="N257" s="2212"/>
      <c r="O257" s="2212"/>
      <c r="P257" s="2208"/>
      <c r="Q257" s="1235"/>
      <c r="R257" s="1235"/>
      <c r="S257" s="1235"/>
      <c r="T257" s="1235"/>
      <c r="U257" s="1235"/>
      <c r="V257" s="1235"/>
      <c r="W257" s="1235"/>
    </row>
    <row r="258" spans="1:23" ht="12.75">
      <c r="A258" s="2209"/>
      <c r="B258" s="1295" t="s">
        <v>410</v>
      </c>
      <c r="C258" s="1373">
        <f>SUMIF(Jan!$CJ$1:$CJ$186,$B258,Jan!$CI$1:$CI$186)</f>
        <v>169</v>
      </c>
      <c r="D258" s="1373">
        <f>SUMIF(Feb!$CJ$1:$CJ$171,$B258,Feb!$CI$1:$CI$171)</f>
        <v>474</v>
      </c>
      <c r="E258" s="1373">
        <f>SUMIF(Mar!$CJ$1:$CJ$176,$B258,Mar!$CI$1:$CI$176)</f>
        <v>345</v>
      </c>
      <c r="F258" s="1373">
        <f>SUMIF(Apr!$CJ$1:$CJ$203,$B258,Apr!$CI$1:$CI$203)</f>
        <v>408</v>
      </c>
      <c r="G258" s="1373">
        <f>SUMIF(May!$CJ$1:$CJ$177,$B258,May!$CI$1:$CI$177)</f>
        <v>369</v>
      </c>
      <c r="H258" s="1373">
        <f>SUMIF(Jun!$CJ$1:$CJ$186,$B258,Jun!$CI$1:$CI$186)</f>
        <v>390</v>
      </c>
      <c r="I258" s="1373">
        <f>SUMIF(Jul!$CJ$1:$CJ$177,$B258,Jul!$CI$1:$CI$177)</f>
        <v>206</v>
      </c>
      <c r="J258" s="1373">
        <f>SUMIF(Aug!$CJ$1:$CJ$184,$B258,Aug!$CI$1:$CI$184)</f>
        <v>346</v>
      </c>
      <c r="K258" s="1373">
        <f>SUMIF(Sep!$CJ$1:$CJ$186,$B258,Sep!$CI$1:$CI$186)</f>
        <v>160</v>
      </c>
      <c r="L258" s="1373">
        <f>SUMIF(Oct!$CJ$1:$CJ$187,$B258,Oct!$CI$1:$CI$187)</f>
        <v>289</v>
      </c>
      <c r="M258" s="1373">
        <f>SUMIF(Nov!$CJ$1:$CJ$186,$B258,Nov!$CI$1:$CI$186)</f>
        <v>219</v>
      </c>
      <c r="N258" s="1373">
        <f>SUMIF(Dec!$CJ$1:$CJ$186,$B258,Dec!$CI$1:$CI$186)</f>
        <v>221</v>
      </c>
      <c r="O258" s="1296">
        <f>SUM(C258:N258)/12</f>
        <v>299.66666666666669</v>
      </c>
      <c r="P258" s="1294">
        <f>O258/M!$Q$14</f>
        <v>2.6872218714153875E-2</v>
      </c>
      <c r="Q258" s="1235"/>
      <c r="R258" s="1235"/>
      <c r="S258" s="1235"/>
      <c r="T258" s="1235"/>
      <c r="U258" s="1235"/>
      <c r="V258" s="1235"/>
      <c r="W258" s="1235"/>
    </row>
    <row r="259" spans="1:23" ht="12.75">
      <c r="A259" s="2210"/>
      <c r="B259" s="1295" t="s">
        <v>690</v>
      </c>
      <c r="C259" s="1373">
        <v>0</v>
      </c>
      <c r="D259" s="1373">
        <f>SUMIF(Feb!$CJ$1:$CJ$171,$B259,Feb!$CI$1:$CI$171)</f>
        <v>0</v>
      </c>
      <c r="E259" s="1373">
        <f>SUMIF(Mar!$CJ$1:$CJ$176,$B259,Mar!$CI$1:$CI$176)</f>
        <v>0</v>
      </c>
      <c r="F259" s="1373">
        <f>SUMIF(Apr!$CJ$1:$CJ$203,$B259,Apr!$CI$1:$CI$203)</f>
        <v>0</v>
      </c>
      <c r="G259" s="1373">
        <f>SUMIF(May!$CJ$1:$CJ$177,$B259,May!$CI$1:$CI$177)</f>
        <v>0</v>
      </c>
      <c r="H259" s="1373">
        <f>SUMIF(Jun!$CJ$1:$CJ$186,$B259,Jun!$CI$1:$CI$186)</f>
        <v>0</v>
      </c>
      <c r="I259" s="1373">
        <f>SUMIF(Jul!$CJ$1:$CJ$177,$B259,Jul!$CI$1:$CI$177)</f>
        <v>0</v>
      </c>
      <c r="J259" s="1373">
        <f>SUMIF(Aug!$CJ$1:$CJ$184,$B259,Aug!$CI$1:$CI$184)</f>
        <v>0</v>
      </c>
      <c r="K259" s="1373">
        <f>SUMIF(Sep!$CJ$1:$CJ$186,$B259,Sep!$CI$1:$CI$186)</f>
        <v>0</v>
      </c>
      <c r="L259" s="1373">
        <f>SUMIF(Oct!$CJ$1:$CJ$187,$B259,Oct!$CI$1:$CI$187)</f>
        <v>0</v>
      </c>
      <c r="M259" s="1373">
        <f>SUMIF(Nov!$CJ$1:$CJ$186,$B259,Nov!$CI$1:$CI$186)</f>
        <v>150</v>
      </c>
      <c r="N259" s="1373">
        <f>SUMIF(Dec!$CJ$1:$CJ$186,$B259,Dec!$CI$1:$CI$186)</f>
        <v>0</v>
      </c>
      <c r="O259" s="1296">
        <f>SUM(C259:N259)/12</f>
        <v>12.5</v>
      </c>
      <c r="P259" s="1294">
        <f>O259/M!$Q$14</f>
        <v>1.1209212478095331E-3</v>
      </c>
      <c r="Q259" s="1235"/>
      <c r="R259" s="1235"/>
      <c r="S259" s="1235"/>
      <c r="T259" s="1235"/>
      <c r="U259" s="1235"/>
      <c r="V259" s="1235"/>
      <c r="W259" s="1235"/>
    </row>
    <row r="260" spans="1:23" ht="12.75">
      <c r="A260" s="2210"/>
      <c r="B260" s="1295" t="s">
        <v>458</v>
      </c>
      <c r="C260" s="1373">
        <v>0</v>
      </c>
      <c r="D260" s="1373">
        <f>SUMIF(Feb!$CJ$1:$CJ$171,$B260,Feb!$CI$1:$CI$171)</f>
        <v>0</v>
      </c>
      <c r="E260" s="1373">
        <f>SUMIF(Mar!$CJ$1:$CJ$176,$B260,Mar!$CI$1:$CI$176)</f>
        <v>0</v>
      </c>
      <c r="F260" s="1373">
        <f>SUMIF(Apr!$CJ$1:$CJ$203,$B260,Apr!$CI$1:$CI$203)</f>
        <v>0</v>
      </c>
      <c r="G260" s="1373">
        <f>SUMIF(May!$CJ$1:$CJ$177,$B260,May!$CI$1:$CI$177)</f>
        <v>0</v>
      </c>
      <c r="H260" s="1373">
        <f>SUMIF(Jun!$CJ$1:$CJ$186,$B260,Jun!$CI$1:$CI$186)</f>
        <v>0</v>
      </c>
      <c r="I260" s="1373">
        <f>SUMIF(Jul!$CJ$1:$CJ$177,$B260,Jul!$CI$1:$CI$177)</f>
        <v>0</v>
      </c>
      <c r="J260" s="1373">
        <f>SUMIF(Aug!$CJ$1:$CJ$184,$B260,Aug!$CI$1:$CI$184)</f>
        <v>0</v>
      </c>
      <c r="K260" s="1373">
        <f>SUMIF(Sep!$CJ$1:$CJ$186,$B260,Sep!$CI$1:$CI$186)</f>
        <v>0</v>
      </c>
      <c r="L260" s="1373">
        <f>SUMIF(Oct!$CJ$1:$CJ$187,$B260,Oct!$CI$1:$CI$187)</f>
        <v>0</v>
      </c>
      <c r="M260" s="1373">
        <f>SUMIF(Nov!$CJ$1:$CJ$186,$B260,Nov!$CI$1:$CI$186)</f>
        <v>0</v>
      </c>
      <c r="N260" s="1373">
        <f>SUMIF(Dec!$CJ$1:$CJ$186,$B260,Dec!$CI$1:$CI$186)</f>
        <v>0</v>
      </c>
      <c r="O260" s="1296">
        <f>SUM(C260:N260)/12</f>
        <v>0</v>
      </c>
      <c r="P260" s="1294">
        <f>O260/M!$Q$14</f>
        <v>0</v>
      </c>
      <c r="Q260" s="1235"/>
      <c r="R260" s="1235"/>
      <c r="S260" s="1235"/>
      <c r="T260" s="1235"/>
      <c r="U260" s="1235"/>
      <c r="V260" s="1235"/>
      <c r="W260" s="1235"/>
    </row>
    <row r="261" spans="1:23" ht="12.75">
      <c r="A261" s="2234"/>
      <c r="B261" s="1295" t="s">
        <v>459</v>
      </c>
      <c r="C261" s="1373">
        <f>SUMIF(Jan!$CJ$1:$CJ$186,$B261,Jan!$CI$1:$CI$186)</f>
        <v>0</v>
      </c>
      <c r="D261" s="1373">
        <f>SUMIF(Feb!$CJ$1:$CJ$171,$B261,Feb!$CI$1:$CI$171)</f>
        <v>0</v>
      </c>
      <c r="E261" s="1373">
        <f>SUMIF(Mar!$CJ$1:$CJ$176,$B261,Mar!$CI$1:$CI$176)</f>
        <v>0</v>
      </c>
      <c r="F261" s="1373">
        <f>SUMIF(Apr!$CJ$1:$CJ$203,$B261,Apr!$CI$1:$CI$203)</f>
        <v>0</v>
      </c>
      <c r="G261" s="1373">
        <f>SUMIF(May!$CJ$1:$CJ$177,$B261,May!$CI$1:$CI$177)</f>
        <v>0</v>
      </c>
      <c r="H261" s="1373">
        <f>SUMIF(Jun!$CJ$1:$CJ$186,$B261,Jun!$CI$1:$CI$186)</f>
        <v>0</v>
      </c>
      <c r="I261" s="1373">
        <f>SUMIF(Jul!$CJ$1:$CJ$177,$B261,Jul!$CI$1:$CI$177)</f>
        <v>0</v>
      </c>
      <c r="J261" s="1373">
        <f>SUMIF(Aug!$CJ$1:$CJ$184,$B261,Aug!$CI$1:$CI$184)</f>
        <v>0</v>
      </c>
      <c r="K261" s="1373">
        <f>SUMIF(Sep!$CJ$1:$CJ$186,$B261,Sep!$CI$1:$CI$186)</f>
        <v>0</v>
      </c>
      <c r="L261" s="1373">
        <f>SUMIF(Oct!$CJ$1:$CJ$187,$B261,Oct!$CI$1:$CI$187)</f>
        <v>0</v>
      </c>
      <c r="M261" s="1373">
        <f>SUMIF(Nov!$CJ$1:$CJ$186,$B261,Nov!$CI$1:$CI$186)</f>
        <v>0</v>
      </c>
      <c r="N261" s="1373">
        <f>SUMIF(Dec!$CJ$1:$CJ$186,$B261,Dec!$CI$1:$CI$186)</f>
        <v>0</v>
      </c>
      <c r="O261" s="1296">
        <f>SUM(C261:N261)/12</f>
        <v>0</v>
      </c>
      <c r="P261" s="1294">
        <f>O261/M!$Q$14</f>
        <v>0</v>
      </c>
      <c r="Q261" s="1235"/>
      <c r="R261" s="1235"/>
      <c r="S261" s="1235"/>
      <c r="T261" s="1235"/>
      <c r="U261" s="1235"/>
      <c r="V261" s="1235"/>
      <c r="W261" s="1235"/>
    </row>
    <row r="262" spans="1:23">
      <c r="A262" s="2213" t="s">
        <v>278</v>
      </c>
      <c r="B262" s="2214"/>
      <c r="C262" s="2211">
        <f t="shared" ref="C262:J262" si="71">SUM(C264:C265)</f>
        <v>1609</v>
      </c>
      <c r="D262" s="2211">
        <f t="shared" si="71"/>
        <v>724</v>
      </c>
      <c r="E262" s="2211">
        <f t="shared" si="71"/>
        <v>1208</v>
      </c>
      <c r="F262" s="2211">
        <f t="shared" si="71"/>
        <v>2191</v>
      </c>
      <c r="G262" s="2211">
        <f t="shared" si="71"/>
        <v>987</v>
      </c>
      <c r="H262" s="2211">
        <f t="shared" si="71"/>
        <v>1463</v>
      </c>
      <c r="I262" s="2211">
        <f t="shared" si="71"/>
        <v>1321</v>
      </c>
      <c r="J262" s="2211">
        <f t="shared" si="71"/>
        <v>1350</v>
      </c>
      <c r="K262" s="2211">
        <f>SUM(K264:K265)</f>
        <v>1248</v>
      </c>
      <c r="L262" s="2211">
        <f>SUM(L264:L265)</f>
        <v>1784</v>
      </c>
      <c r="M262" s="2211">
        <f>SUM(M264:M265)</f>
        <v>1265</v>
      </c>
      <c r="N262" s="2211">
        <f>SUM(N264:N265)</f>
        <v>2326</v>
      </c>
      <c r="O262" s="2211">
        <f>SUM(O264:O265)</f>
        <v>1456.3333333333333</v>
      </c>
      <c r="P262" s="2207">
        <f>O262/M!$Q$14</f>
        <v>0.13059479817812933</v>
      </c>
      <c r="Q262" s="1235"/>
      <c r="R262" s="1235"/>
      <c r="S262" s="1235"/>
      <c r="T262" s="1235"/>
      <c r="U262" s="1235"/>
      <c r="V262" s="1235"/>
      <c r="W262" s="1235"/>
    </row>
    <row r="263" spans="1:23">
      <c r="A263" s="2215"/>
      <c r="B263" s="2216"/>
      <c r="C263" s="2212"/>
      <c r="D263" s="2212"/>
      <c r="E263" s="2212"/>
      <c r="F263" s="2212"/>
      <c r="G263" s="2212"/>
      <c r="H263" s="2212"/>
      <c r="I263" s="2212"/>
      <c r="J263" s="2212"/>
      <c r="K263" s="2212"/>
      <c r="L263" s="2212"/>
      <c r="M263" s="2212"/>
      <c r="N263" s="2212"/>
      <c r="O263" s="2212"/>
      <c r="P263" s="2208"/>
      <c r="Q263" s="1235"/>
      <c r="R263" s="1235"/>
      <c r="S263" s="1235"/>
      <c r="T263" s="1235"/>
      <c r="U263" s="1235"/>
      <c r="V263" s="1235"/>
      <c r="W263" s="1235"/>
    </row>
    <row r="264" spans="1:23" ht="12.75">
      <c r="A264" s="2209"/>
      <c r="B264" s="1295" t="s">
        <v>414</v>
      </c>
      <c r="C264" s="1373">
        <f>SUMIF(Jan!$CJ$1:$CJ$186,$B264,Jan!$CI$1:$CI$186)</f>
        <v>987</v>
      </c>
      <c r="D264" s="1373">
        <f>SUMIF(Feb!$CJ$1:$CJ$171,$B264,Feb!$CI$1:$CI$171)</f>
        <v>657</v>
      </c>
      <c r="E264" s="1373">
        <f>SUMIF(Mar!$CJ$1:$CJ$176,$B264,Mar!$CI$1:$CI$176)</f>
        <v>1183</v>
      </c>
      <c r="F264" s="1373">
        <f>SUMIF(Apr!$CJ$1:$CJ$203,$B264,Apr!$CI$1:$CI$203)</f>
        <v>1674</v>
      </c>
      <c r="G264" s="1373">
        <f>SUMIF(May!$CJ$1:$CJ$177,$B264,May!$CI$1:$CI$177)</f>
        <v>707</v>
      </c>
      <c r="H264" s="1373">
        <f>SUMIF(Jun!$CJ$1:$CJ$186,$B264,Jun!$CI$1:$CI$186)</f>
        <v>819</v>
      </c>
      <c r="I264" s="1373">
        <f>SUMIF(Jul!$CJ$1:$CJ$177,$B264,Jul!$CI$1:$CI$177)</f>
        <v>1236</v>
      </c>
      <c r="J264" s="1373">
        <f>SUMIF(Aug!$CJ$1:$CJ$184,$B264,Aug!$CI$1:$CI$184)</f>
        <v>754</v>
      </c>
      <c r="K264" s="1373">
        <f>SUMIF(Sep!$CJ$1:$CJ$186,$B264,Sep!$CI$1:$CI$186)</f>
        <v>1179</v>
      </c>
      <c r="L264" s="1373">
        <f>SUMIF(Oct!$CJ$1:$CJ$187,$B264,Oct!$CI$1:$CI$187)</f>
        <v>1416</v>
      </c>
      <c r="M264" s="1373">
        <f>SUMIF(Nov!$CJ$1:$CJ$186,$B264,Nov!$CI$1:$CI$186)</f>
        <v>959</v>
      </c>
      <c r="N264" s="1373">
        <f>SUMIF(Dec!$CJ$1:$CJ$186,$B264,Dec!$CI$1:$CI$186)</f>
        <v>1471</v>
      </c>
      <c r="O264" s="1296">
        <f>SUM(C264:N264)/12</f>
        <v>1086.8333333333333</v>
      </c>
      <c r="P264" s="1294">
        <f>O264/M!$Q$14</f>
        <v>9.746036609287953E-2</v>
      </c>
      <c r="Q264" s="1235"/>
      <c r="R264" s="1235"/>
      <c r="S264" s="1235"/>
      <c r="T264" s="1235"/>
      <c r="U264" s="1235"/>
      <c r="V264" s="1235"/>
      <c r="W264" s="1235"/>
    </row>
    <row r="265" spans="1:23" ht="12.75">
      <c r="A265" s="2234"/>
      <c r="B265" s="1295" t="s">
        <v>278</v>
      </c>
      <c r="C265" s="1373">
        <f>SUMIF(Jan!$CJ$1:$CJ$186,$B265,Jan!$CI$1:$CI$186)</f>
        <v>622</v>
      </c>
      <c r="D265" s="1373">
        <f>SUMIF(Feb!$CJ$1:$CJ$171,$B265,Feb!$CI$1:$CI$171)</f>
        <v>67</v>
      </c>
      <c r="E265" s="1373">
        <f>SUMIF(Mar!$CJ$1:$CJ$176,$B265,Mar!$CI$1:$CI$176)</f>
        <v>25</v>
      </c>
      <c r="F265" s="1373">
        <f>SUMIF(Apr!$CJ$1:$CJ$203,$B265,Apr!$CI$1:$CI$203)</f>
        <v>517</v>
      </c>
      <c r="G265" s="1373">
        <f>SUMIF(May!$CJ$1:$CJ$177,$B265,May!$CI$1:$CI$177)</f>
        <v>280</v>
      </c>
      <c r="H265" s="1373">
        <f>SUMIF(Jun!$CJ$1:$CJ$186,$B265,Jun!$CI$1:$CI$186)</f>
        <v>644</v>
      </c>
      <c r="I265" s="1373">
        <f>SUMIF(Jul!$CJ$1:$CJ$177,$B265,Jul!$CI$1:$CI$177)</f>
        <v>85</v>
      </c>
      <c r="J265" s="1373">
        <f>SUMIF(Aug!$CJ$1:$CJ$184,$B265,Aug!$CI$1:$CI$184)</f>
        <v>596</v>
      </c>
      <c r="K265" s="1373">
        <f>SUMIF(Sep!$CJ$1:$CJ$186,$B265,Sep!$CI$1:$CI$186)</f>
        <v>69</v>
      </c>
      <c r="L265" s="1373">
        <f>SUMIF(Oct!$CJ$1:$CJ$187,$B265,Oct!$CI$1:$CI$187)</f>
        <v>368</v>
      </c>
      <c r="M265" s="1373">
        <f>SUMIF(Nov!$CJ$1:$CJ$186,$B265,Nov!$CI$1:$CI$186)</f>
        <v>306</v>
      </c>
      <c r="N265" s="1373">
        <f>SUMIF(Dec!$CJ$1:$CJ$186,$B265,Dec!$CI$1:$CI$186)</f>
        <v>855</v>
      </c>
      <c r="O265" s="1296">
        <f>SUM(C265:N265)/12</f>
        <v>369.5</v>
      </c>
      <c r="P265" s="1294">
        <f>O265/M!$Q$14</f>
        <v>3.3134432085249799E-2</v>
      </c>
      <c r="Q265" s="1235"/>
      <c r="R265" s="1235"/>
      <c r="S265" s="1235"/>
      <c r="T265" s="1235"/>
      <c r="U265" s="1235"/>
      <c r="V265" s="1235"/>
      <c r="W265" s="1235"/>
    </row>
    <row r="266" spans="1:23">
      <c r="A266" s="2213" t="s">
        <v>279</v>
      </c>
      <c r="B266" s="2214"/>
      <c r="C266" s="2211">
        <f t="shared" ref="C266:N266" si="72">SUM(C268:C275)</f>
        <v>1750</v>
      </c>
      <c r="D266" s="2211">
        <f t="shared" si="72"/>
        <v>1760</v>
      </c>
      <c r="E266" s="2211">
        <f t="shared" si="72"/>
        <v>1750</v>
      </c>
      <c r="F266" s="2211">
        <f t="shared" si="72"/>
        <v>2025</v>
      </c>
      <c r="G266" s="2211">
        <f t="shared" si="72"/>
        <v>1810</v>
      </c>
      <c r="H266" s="2211">
        <f t="shared" si="72"/>
        <v>1370</v>
      </c>
      <c r="I266" s="2211">
        <f t="shared" si="72"/>
        <v>1370</v>
      </c>
      <c r="J266" s="2211">
        <f t="shared" si="72"/>
        <v>1332</v>
      </c>
      <c r="K266" s="2211">
        <f t="shared" si="72"/>
        <v>1362</v>
      </c>
      <c r="L266" s="2211">
        <f t="shared" si="72"/>
        <v>1338</v>
      </c>
      <c r="M266" s="2211">
        <f t="shared" si="72"/>
        <v>1339</v>
      </c>
      <c r="N266" s="2211">
        <f t="shared" si="72"/>
        <v>1380</v>
      </c>
      <c r="O266" s="2211">
        <f>SUM(O268:O275)</f>
        <v>1548.8333333333335</v>
      </c>
      <c r="P266" s="2207">
        <f>O266/M!$Q$14</f>
        <v>0.13888961541191991</v>
      </c>
      <c r="Q266" s="1235"/>
      <c r="R266" s="1235"/>
      <c r="S266" s="1235"/>
      <c r="T266" s="1235"/>
      <c r="U266" s="1235"/>
      <c r="V266" s="1235"/>
      <c r="W266" s="1235"/>
    </row>
    <row r="267" spans="1:23">
      <c r="A267" s="2215"/>
      <c r="B267" s="2216"/>
      <c r="C267" s="2212"/>
      <c r="D267" s="2212"/>
      <c r="E267" s="2212"/>
      <c r="F267" s="2212"/>
      <c r="G267" s="2212"/>
      <c r="H267" s="2212"/>
      <c r="I267" s="2212"/>
      <c r="J267" s="2212"/>
      <c r="K267" s="2212"/>
      <c r="L267" s="2212"/>
      <c r="M267" s="2212"/>
      <c r="N267" s="2212"/>
      <c r="O267" s="2212"/>
      <c r="P267" s="2208"/>
      <c r="Q267" s="1235"/>
      <c r="R267" s="1235"/>
      <c r="S267" s="1235"/>
      <c r="T267" s="1235"/>
      <c r="U267" s="1235"/>
      <c r="V267" s="1235"/>
      <c r="W267" s="1235"/>
    </row>
    <row r="268" spans="1:23" ht="12.75">
      <c r="A268" s="2209"/>
      <c r="B268" s="1295" t="s">
        <v>415</v>
      </c>
      <c r="C268" s="1375">
        <v>700</v>
      </c>
      <c r="D268" s="1375">
        <v>700</v>
      </c>
      <c r="E268" s="1375">
        <v>700</v>
      </c>
      <c r="F268" s="1375">
        <v>700</v>
      </c>
      <c r="G268" s="1375">
        <v>700</v>
      </c>
      <c r="H268" s="1375">
        <v>700</v>
      </c>
      <c r="I268" s="1375">
        <v>700</v>
      </c>
      <c r="J268" s="1375">
        <v>700</v>
      </c>
      <c r="K268" s="1375">
        <v>700</v>
      </c>
      <c r="L268" s="1375">
        <v>700</v>
      </c>
      <c r="M268" s="1375">
        <v>700</v>
      </c>
      <c r="N268" s="1375">
        <v>700</v>
      </c>
      <c r="O268" s="1296">
        <f t="shared" ref="O268:O275" si="73">SUM(C268:N268)/12</f>
        <v>700</v>
      </c>
      <c r="P268" s="1294">
        <f>O268/M!$Q$14</f>
        <v>6.2771589877333861E-2</v>
      </c>
      <c r="Q268" s="1235"/>
      <c r="R268" s="1235"/>
      <c r="S268" s="1235"/>
      <c r="T268" s="1235"/>
      <c r="U268" s="1235"/>
      <c r="V268" s="1235"/>
      <c r="W268" s="1235"/>
    </row>
    <row r="269" spans="1:23" ht="12.75">
      <c r="A269" s="2210"/>
      <c r="B269" s="1295" t="s">
        <v>416</v>
      </c>
      <c r="C269" s="1375">
        <v>150</v>
      </c>
      <c r="D269" s="1375">
        <v>150</v>
      </c>
      <c r="E269" s="1375">
        <v>150</v>
      </c>
      <c r="F269" s="1375">
        <v>150</v>
      </c>
      <c r="G269" s="1375">
        <v>150</v>
      </c>
      <c r="H269" s="1375">
        <v>150</v>
      </c>
      <c r="I269" s="1375">
        <v>150</v>
      </c>
      <c r="J269" s="1375">
        <v>150</v>
      </c>
      <c r="K269" s="1375">
        <v>150</v>
      </c>
      <c r="L269" s="1375">
        <v>150</v>
      </c>
      <c r="M269" s="1375">
        <v>150</v>
      </c>
      <c r="N269" s="1375">
        <v>150</v>
      </c>
      <c r="O269" s="1296">
        <f t="shared" si="73"/>
        <v>150</v>
      </c>
      <c r="P269" s="1294">
        <f>O269/M!$Q$14</f>
        <v>1.3451054973714398E-2</v>
      </c>
      <c r="Q269" s="1235"/>
      <c r="R269" s="1235"/>
      <c r="S269" s="1235"/>
      <c r="T269" s="1235"/>
      <c r="U269" s="1235"/>
      <c r="V269" s="1235"/>
      <c r="W269" s="1235"/>
    </row>
    <row r="270" spans="1:23" ht="12.75">
      <c r="A270" s="2210"/>
      <c r="B270" s="1295" t="s">
        <v>417</v>
      </c>
      <c r="C270" s="1375">
        <v>100</v>
      </c>
      <c r="D270" s="1375">
        <v>100</v>
      </c>
      <c r="E270" s="1375">
        <v>100</v>
      </c>
      <c r="F270" s="1375">
        <v>100</v>
      </c>
      <c r="G270" s="1375">
        <v>100</v>
      </c>
      <c r="H270" s="1375">
        <v>100</v>
      </c>
      <c r="I270" s="1375">
        <v>100</v>
      </c>
      <c r="J270" s="1375">
        <v>100</v>
      </c>
      <c r="K270" s="1375">
        <v>100</v>
      </c>
      <c r="L270" s="1375">
        <v>100</v>
      </c>
      <c r="M270" s="1375">
        <v>100</v>
      </c>
      <c r="N270" s="1375">
        <v>100</v>
      </c>
      <c r="O270" s="1296">
        <f t="shared" si="73"/>
        <v>100</v>
      </c>
      <c r="P270" s="1294">
        <f>O270/M!$Q$14</f>
        <v>8.9673699824762646E-3</v>
      </c>
      <c r="Q270" s="1235"/>
      <c r="R270" s="1235"/>
      <c r="S270" s="1235"/>
      <c r="T270" s="1235"/>
      <c r="U270" s="1235"/>
      <c r="V270" s="1235"/>
      <c r="W270" s="1235"/>
    </row>
    <row r="271" spans="1:23" ht="12.75">
      <c r="A271" s="2210"/>
      <c r="B271" s="1295" t="s">
        <v>410</v>
      </c>
      <c r="C271" s="1375">
        <v>500</v>
      </c>
      <c r="D271" s="1375">
        <v>500</v>
      </c>
      <c r="E271" s="1375">
        <v>500</v>
      </c>
      <c r="F271" s="1375">
        <v>500</v>
      </c>
      <c r="G271" s="1375">
        <v>500</v>
      </c>
      <c r="H271" s="1375">
        <v>60</v>
      </c>
      <c r="I271" s="1375">
        <v>60</v>
      </c>
      <c r="J271" s="1375">
        <v>22</v>
      </c>
      <c r="K271" s="1375">
        <v>52</v>
      </c>
      <c r="L271" s="1375">
        <v>28</v>
      </c>
      <c r="M271" s="1375">
        <v>29</v>
      </c>
      <c r="N271" s="1375">
        <v>60</v>
      </c>
      <c r="O271" s="1296">
        <f t="shared" si="73"/>
        <v>234.25</v>
      </c>
      <c r="P271" s="1294">
        <f>O271/M!$Q$14</f>
        <v>2.1006064183950651E-2</v>
      </c>
      <c r="Q271" s="1235"/>
      <c r="R271" s="1235"/>
      <c r="S271" s="1235"/>
      <c r="T271" s="1235"/>
      <c r="U271" s="1235"/>
      <c r="V271" s="1235"/>
      <c r="W271" s="1235"/>
    </row>
    <row r="272" spans="1:23" ht="12.75">
      <c r="A272" s="2210"/>
      <c r="B272" s="1295" t="s">
        <v>418</v>
      </c>
      <c r="C272" s="1375">
        <v>110</v>
      </c>
      <c r="D272" s="1375">
        <v>110</v>
      </c>
      <c r="E272" s="1375">
        <v>110</v>
      </c>
      <c r="F272" s="1375">
        <v>110</v>
      </c>
      <c r="G272" s="1375">
        <v>110</v>
      </c>
      <c r="H272" s="1375">
        <v>110</v>
      </c>
      <c r="I272" s="1375">
        <v>110</v>
      </c>
      <c r="J272" s="1375">
        <v>110</v>
      </c>
      <c r="K272" s="1375">
        <v>110</v>
      </c>
      <c r="L272" s="1375">
        <v>110</v>
      </c>
      <c r="M272" s="1375">
        <v>110</v>
      </c>
      <c r="N272" s="1375">
        <v>110</v>
      </c>
      <c r="O272" s="1296">
        <f t="shared" si="73"/>
        <v>110</v>
      </c>
      <c r="P272" s="1294">
        <f>O272/M!$Q$14</f>
        <v>9.8641069807238919E-3</v>
      </c>
      <c r="Q272" s="1235"/>
      <c r="R272" s="1235"/>
      <c r="S272" s="1235"/>
      <c r="T272" s="1235"/>
      <c r="U272" s="1235"/>
      <c r="V272" s="1235"/>
      <c r="W272" s="1235"/>
    </row>
    <row r="273" spans="1:23" ht="12.75">
      <c r="A273" s="2210"/>
      <c r="B273" s="1295" t="s">
        <v>419</v>
      </c>
      <c r="C273" s="1375">
        <v>0</v>
      </c>
      <c r="D273" s="1375">
        <v>0</v>
      </c>
      <c r="E273" s="1375">
        <v>0</v>
      </c>
      <c r="F273" s="1375">
        <v>0</v>
      </c>
      <c r="G273" s="1375">
        <v>0</v>
      </c>
      <c r="H273" s="1375">
        <v>0</v>
      </c>
      <c r="I273" s="1375">
        <v>0</v>
      </c>
      <c r="J273" s="1375">
        <v>0</v>
      </c>
      <c r="K273" s="1375">
        <v>0</v>
      </c>
      <c r="L273" s="1375">
        <v>0</v>
      </c>
      <c r="M273" s="1375">
        <v>0</v>
      </c>
      <c r="N273" s="1375">
        <v>0</v>
      </c>
      <c r="O273" s="1296">
        <f t="shared" si="73"/>
        <v>0</v>
      </c>
      <c r="P273" s="1294">
        <f>O273/M!$Q$14</f>
        <v>0</v>
      </c>
      <c r="Q273" s="1235"/>
      <c r="R273" s="1235"/>
      <c r="S273" s="1235"/>
      <c r="T273" s="1235"/>
      <c r="U273" s="1235"/>
      <c r="V273" s="1235"/>
      <c r="W273" s="1235"/>
    </row>
    <row r="274" spans="1:23" ht="12.75">
      <c r="A274" s="2210"/>
      <c r="B274" s="1295" t="s">
        <v>460</v>
      </c>
      <c r="C274" s="1375">
        <v>0</v>
      </c>
      <c r="D274" s="1375">
        <v>10</v>
      </c>
      <c r="E274" s="1375">
        <v>0</v>
      </c>
      <c r="F274" s="1375">
        <v>0</v>
      </c>
      <c r="G274" s="1375">
        <v>0</v>
      </c>
      <c r="H274" s="1375">
        <v>0</v>
      </c>
      <c r="I274" s="1375">
        <v>0</v>
      </c>
      <c r="J274" s="1375">
        <v>0</v>
      </c>
      <c r="K274" s="1375">
        <v>0</v>
      </c>
      <c r="L274" s="1375">
        <v>0</v>
      </c>
      <c r="M274" s="1375">
        <v>0</v>
      </c>
      <c r="N274" s="1375">
        <v>10</v>
      </c>
      <c r="O274" s="1296">
        <f t="shared" si="73"/>
        <v>1.6666666666666667</v>
      </c>
      <c r="P274" s="1294">
        <f>O274/M!$Q$14</f>
        <v>1.4945616637460443E-4</v>
      </c>
      <c r="Q274" s="1235"/>
      <c r="R274" s="1235"/>
      <c r="S274" s="1235"/>
      <c r="T274" s="1235"/>
      <c r="U274" s="1235"/>
      <c r="V274" s="1235"/>
      <c r="W274" s="1235"/>
    </row>
    <row r="275" spans="1:23" ht="12.75">
      <c r="A275" s="2234"/>
      <c r="B275" s="1295" t="s">
        <v>421</v>
      </c>
      <c r="C275" s="1375">
        <v>190</v>
      </c>
      <c r="D275" s="1375">
        <v>190</v>
      </c>
      <c r="E275" s="1375">
        <v>190</v>
      </c>
      <c r="F275" s="1375">
        <f xml:space="preserve"> 190 + 100 + 175</f>
        <v>465</v>
      </c>
      <c r="G275" s="1375">
        <v>250</v>
      </c>
      <c r="H275" s="1375">
        <v>250</v>
      </c>
      <c r="I275" s="1375">
        <v>250</v>
      </c>
      <c r="J275" s="1375">
        <v>250</v>
      </c>
      <c r="K275" s="1375">
        <v>250</v>
      </c>
      <c r="L275" s="1375">
        <v>250</v>
      </c>
      <c r="M275" s="1375">
        <v>250</v>
      </c>
      <c r="N275" s="1375">
        <v>250</v>
      </c>
      <c r="O275" s="1296">
        <f t="shared" si="73"/>
        <v>252.91666666666666</v>
      </c>
      <c r="P275" s="1294">
        <f>O275/M!$Q$14</f>
        <v>2.2679973247346219E-2</v>
      </c>
      <c r="Q275" s="1235"/>
      <c r="R275" s="1235"/>
      <c r="S275" s="1235"/>
      <c r="T275" s="1235"/>
      <c r="U275" s="1235"/>
      <c r="V275" s="1235"/>
      <c r="W275" s="1235"/>
    </row>
    <row r="276" spans="1:23">
      <c r="A276" s="2213" t="s">
        <v>280</v>
      </c>
      <c r="B276" s="2214"/>
      <c r="C276" s="2211">
        <f t="shared" ref="C276:O276" si="74">SUM(C278:C284)</f>
        <v>3999</v>
      </c>
      <c r="D276" s="2211">
        <f t="shared" si="74"/>
        <v>672</v>
      </c>
      <c r="E276" s="2211">
        <f t="shared" si="74"/>
        <v>242</v>
      </c>
      <c r="F276" s="2211">
        <f t="shared" si="74"/>
        <v>2054</v>
      </c>
      <c r="G276" s="2211">
        <f t="shared" si="74"/>
        <v>1931</v>
      </c>
      <c r="H276" s="2211">
        <f t="shared" si="74"/>
        <v>2962</v>
      </c>
      <c r="I276" s="2211">
        <f t="shared" si="74"/>
        <v>1710</v>
      </c>
      <c r="J276" s="2211">
        <f t="shared" si="74"/>
        <v>5579</v>
      </c>
      <c r="K276" s="2211">
        <f t="shared" si="74"/>
        <v>488</v>
      </c>
      <c r="L276" s="2211">
        <f t="shared" si="74"/>
        <v>976</v>
      </c>
      <c r="M276" s="2211">
        <f t="shared" si="74"/>
        <v>3221</v>
      </c>
      <c r="N276" s="2211">
        <f t="shared" si="74"/>
        <v>308</v>
      </c>
      <c r="O276" s="2211">
        <f t="shared" si="74"/>
        <v>2011.8333333333333</v>
      </c>
      <c r="P276" s="2207">
        <f>O276/M!$Q$14</f>
        <v>0.18040853843078497</v>
      </c>
      <c r="Q276" s="1235"/>
      <c r="R276" s="1235"/>
      <c r="S276" s="1235"/>
      <c r="T276" s="1235"/>
      <c r="U276" s="1235"/>
      <c r="V276" s="1235"/>
      <c r="W276" s="1235"/>
    </row>
    <row r="277" spans="1:23">
      <c r="A277" s="2215"/>
      <c r="B277" s="2216"/>
      <c r="C277" s="2212"/>
      <c r="D277" s="2212"/>
      <c r="E277" s="2212"/>
      <c r="F277" s="2212"/>
      <c r="G277" s="2212"/>
      <c r="H277" s="2212"/>
      <c r="I277" s="2212"/>
      <c r="J277" s="2212"/>
      <c r="K277" s="2212"/>
      <c r="L277" s="2212"/>
      <c r="M277" s="2212"/>
      <c r="N277" s="2212"/>
      <c r="O277" s="2212"/>
      <c r="P277" s="2208"/>
      <c r="Q277" s="1235"/>
      <c r="R277" s="1235"/>
      <c r="S277" s="1235"/>
      <c r="T277" s="1235"/>
      <c r="U277" s="1235"/>
      <c r="V277" s="1235"/>
      <c r="W277" s="1235"/>
    </row>
    <row r="278" spans="1:23" ht="12.75">
      <c r="A278" s="2209"/>
      <c r="B278" s="1295" t="s">
        <v>280</v>
      </c>
      <c r="C278" s="1373">
        <f>SUMIF(Jan!$CJ$1:$CJ$186,$B278,Jan!$CI$1:$CI$186)</f>
        <v>157</v>
      </c>
      <c r="D278" s="1373">
        <f>SUMIF(Feb!$CJ$1:$CJ$171,$B278,Feb!$CI$1:$CI$171)</f>
        <v>118</v>
      </c>
      <c r="E278" s="1373">
        <f>SUMIF(Mar!$CJ$1:$CJ$176,$B278,Mar!$CI$1:$CI$176)</f>
        <v>132</v>
      </c>
      <c r="F278" s="1373">
        <f>SUMIF(Apr!$CJ$1:$CJ$203,$B278,Apr!$CI$1:$CI$203)</f>
        <v>1619</v>
      </c>
      <c r="G278" s="1373">
        <f>SUMIF(May!$CJ$1:$CJ$177,$B278,May!$CI$1:$CI$177)</f>
        <v>760</v>
      </c>
      <c r="H278" s="1373">
        <f>SUMIF(Jun!$CJ$1:$CJ$186,$B278,Jun!$CI$1:$CI$186)</f>
        <v>511</v>
      </c>
      <c r="I278" s="1373">
        <f>SUMIF(Jul!$CJ$1:$CJ$177,$B278,Jul!$CI$1:$CI$177)</f>
        <v>1692</v>
      </c>
      <c r="J278" s="1373">
        <f>SUMIF(Aug!$CJ$1:$CJ$184,$B278,Aug!$CI$1:$CI$184)</f>
        <v>621</v>
      </c>
      <c r="K278" s="1373">
        <f>SUMIF(Sep!$CJ$1:$CJ$186,$B278,Sep!$CI$1:$CI$186)</f>
        <v>488</v>
      </c>
      <c r="L278" s="1373">
        <f>SUMIF(Oct!$CJ$1:$CJ$187,$B278,Oct!$CI$1:$CI$187)</f>
        <v>276</v>
      </c>
      <c r="M278" s="1373">
        <f>SUMIF(Nov!$CJ$1:$CJ$186,$B278,Nov!$CI$1:$CI$186)</f>
        <v>422</v>
      </c>
      <c r="N278" s="1373">
        <f>SUMIF(Dec!$CJ$1:$CJ$186,$B278,Dec!$CI$1:$CI$186)</f>
        <v>296</v>
      </c>
      <c r="O278" s="1296">
        <f t="shared" ref="O278:O284" si="75">SUM(C278:N278)/12</f>
        <v>591</v>
      </c>
      <c r="P278" s="1294">
        <f>O278/M!$Q$14</f>
        <v>5.2997156596434725E-2</v>
      </c>
      <c r="Q278" s="1235"/>
      <c r="R278" s="1235"/>
      <c r="S278" s="1235"/>
      <c r="T278" s="1235"/>
      <c r="U278" s="1235"/>
      <c r="V278" s="1235"/>
      <c r="W278" s="1235"/>
    </row>
    <row r="279" spans="1:23" ht="12.75">
      <c r="A279" s="2210"/>
      <c r="B279" s="1295" t="s">
        <v>423</v>
      </c>
      <c r="C279" s="1373">
        <f>SUMIF(Jan!$CJ$1:$CJ$186,$B279,Jan!$CI$1:$CI$186)</f>
        <v>0</v>
      </c>
      <c r="D279" s="1373">
        <f>SUMIF(Feb!$CJ$1:$CJ$171,$B279,Feb!$CI$1:$CI$171)</f>
        <v>0</v>
      </c>
      <c r="E279" s="1373">
        <f>SUMIF(Mar!$CJ$1:$CJ$176,$B279,Mar!$CI$1:$CI$176)</f>
        <v>0</v>
      </c>
      <c r="F279" s="1373">
        <f>SUMIF(Apr!$CJ$1:$CJ$203,$B279,Apr!$CI$1:$CI$203)</f>
        <v>0</v>
      </c>
      <c r="G279" s="1373">
        <f>SUMIF(May!$CJ$1:$CJ$177,$B279,May!$CI$1:$CI$177)</f>
        <v>0</v>
      </c>
      <c r="H279" s="1373">
        <f>SUMIF(Jun!$CJ$1:$CJ$186,$B279,Jun!$CI$1:$CI$186)</f>
        <v>0</v>
      </c>
      <c r="I279" s="1373">
        <f>SUMIF(Jul!$CJ$1:$CJ$177,$B279,Jul!$CI$1:$CI$177)</f>
        <v>0</v>
      </c>
      <c r="J279" s="1373">
        <f>SUMIF(Aug!$CJ$1:$CJ$184,$B279,Aug!$CI$1:$CI$184)</f>
        <v>0</v>
      </c>
      <c r="K279" s="1373">
        <f>SUMIF(Sep!$CJ$1:$CJ$186,$B279,Sep!$CI$1:$CI$186)</f>
        <v>0</v>
      </c>
      <c r="L279" s="1373">
        <f>SUMIF(Oct!$CJ$1:$CJ$187,$B279,Oct!$CI$1:$CI$187)</f>
        <v>0</v>
      </c>
      <c r="M279" s="1373">
        <f>SUMIF(Nov!$CJ$1:$CJ$186,$B279,Nov!$CI$1:$CI$186)</f>
        <v>0</v>
      </c>
      <c r="N279" s="1373">
        <f>SUMIF(Dec!$CJ$1:$CJ$186,$B279,Dec!$CI$1:$CI$186)</f>
        <v>0</v>
      </c>
      <c r="O279" s="1296">
        <f t="shared" si="75"/>
        <v>0</v>
      </c>
      <c r="P279" s="1294">
        <f>O279/M!$Q$14</f>
        <v>0</v>
      </c>
      <c r="Q279" s="1235"/>
      <c r="R279" s="1235"/>
      <c r="S279" s="1235"/>
      <c r="T279" s="1235"/>
      <c r="U279" s="1235"/>
      <c r="V279" s="1235"/>
      <c r="W279" s="1235"/>
    </row>
    <row r="280" spans="1:23" ht="12.75">
      <c r="A280" s="2210"/>
      <c r="B280" s="1295" t="s">
        <v>424</v>
      </c>
      <c r="C280" s="1373">
        <f>SUMIF(Jan!$CJ$1:$CJ$186,$B280,Jan!$CI$1:$CI$186)</f>
        <v>0</v>
      </c>
      <c r="D280" s="1373">
        <f>SUMIF(Feb!$CJ$1:$CJ$171,$B280,Feb!$CI$1:$CI$171)</f>
        <v>0</v>
      </c>
      <c r="E280" s="1373">
        <f>SUMIF(Mar!$CJ$1:$CJ$176,$B280,Mar!$CI$1:$CI$176)</f>
        <v>0</v>
      </c>
      <c r="F280" s="1373">
        <f>SUMIF(Apr!$CJ$1:$CJ$203,$B280,Apr!$CI$1:$CI$203)</f>
        <v>0</v>
      </c>
      <c r="G280" s="1373">
        <f>SUMIF(May!$CJ$1:$CJ$177,$B280,May!$CI$1:$CI$177)</f>
        <v>0</v>
      </c>
      <c r="H280" s="1373">
        <f>SUMIF(Jun!$CJ$1:$CJ$186,$B280,Jun!$CI$1:$CI$186)</f>
        <v>0</v>
      </c>
      <c r="I280" s="1373">
        <f>SUMIF(Jul!$CJ$1:$CJ$177,$B280,Jul!$CI$1:$CI$177)</f>
        <v>0</v>
      </c>
      <c r="J280" s="1373">
        <f>SUMIF(Aug!$CJ$1:$CJ$184,$B280,Aug!$CI$1:$CI$184)</f>
        <v>0</v>
      </c>
      <c r="K280" s="1373">
        <f>SUMIF(Sep!$CJ$1:$CJ$186,$B280,Sep!$CI$1:$CI$186)</f>
        <v>0</v>
      </c>
      <c r="L280" s="1373">
        <f>SUMIF(Oct!$CJ$1:$CJ$187,$B280,Oct!$CI$1:$CI$187)</f>
        <v>0</v>
      </c>
      <c r="M280" s="1373">
        <f>SUMIF(Nov!$CJ$1:$CJ$186,$B280,Nov!$CI$1:$CI$186)</f>
        <v>0</v>
      </c>
      <c r="N280" s="1373">
        <f>SUMIF(Dec!$CJ$1:$CJ$186,$B280,Dec!$CI$1:$CI$186)</f>
        <v>0</v>
      </c>
      <c r="O280" s="1296">
        <f t="shared" si="75"/>
        <v>0</v>
      </c>
      <c r="P280" s="1294">
        <f>O280/M!$Q$14</f>
        <v>0</v>
      </c>
      <c r="Q280" s="1235"/>
      <c r="R280" s="1235"/>
      <c r="S280" s="1235"/>
      <c r="T280" s="1235"/>
      <c r="U280" s="1235"/>
      <c r="V280" s="1235"/>
      <c r="W280" s="1235"/>
    </row>
    <row r="281" spans="1:23" ht="12.75">
      <c r="A281" s="2210"/>
      <c r="B281" s="1295" t="s">
        <v>425</v>
      </c>
      <c r="C281" s="1373">
        <f>SUMIF(Jan!$CJ$1:$CJ$186,$B281,Jan!$CI$1:$CI$186)</f>
        <v>0</v>
      </c>
      <c r="D281" s="1373">
        <f>SUMIF(Feb!$CJ$1:$CJ$171,$B281,Feb!$CI$1:$CI$171)</f>
        <v>0</v>
      </c>
      <c r="E281" s="1373">
        <f>SUMIF(Mar!$CJ$1:$CJ$176,$B281,Mar!$CI$1:$CI$176)</f>
        <v>0</v>
      </c>
      <c r="F281" s="1373">
        <f>SUMIF(Apr!$CJ$1:$CJ$203,$B281,Apr!$CI$1:$CI$203)</f>
        <v>0</v>
      </c>
      <c r="G281" s="1373">
        <f>SUMIF(May!$CJ$1:$CJ$177,$B281,May!$CI$1:$CI$177)</f>
        <v>0</v>
      </c>
      <c r="H281" s="1373">
        <f>SUMIF(Jun!$CJ$1:$CJ$186,$B281,Jun!$CI$1:$CI$186)</f>
        <v>0</v>
      </c>
      <c r="I281" s="1373">
        <f>SUMIF(Jul!$CJ$1:$CJ$177,$B281,Jul!$CI$1:$CI$177)</f>
        <v>0</v>
      </c>
      <c r="J281" s="1373">
        <f>SUMIF(Aug!$CJ$1:$CJ$184,$B281,Aug!$CI$1:$CI$184)</f>
        <v>0</v>
      </c>
      <c r="K281" s="1373">
        <f>SUMIF(Sep!$CJ$1:$CJ$186,$B281,Sep!$CI$1:$CI$186)</f>
        <v>0</v>
      </c>
      <c r="L281" s="1373">
        <f>SUMIF(Oct!$CJ$1:$CJ$187,$B281,Oct!$CI$1:$CI$187)</f>
        <v>0</v>
      </c>
      <c r="M281" s="1373">
        <f>SUMIF(Nov!$CJ$1:$CJ$186,$B281,Nov!$CI$1:$CI$186)</f>
        <v>0</v>
      </c>
      <c r="N281" s="1373">
        <f>SUMIF(Dec!$CJ$1:$CJ$186,$B281,Dec!$CI$1:$CI$186)</f>
        <v>0</v>
      </c>
      <c r="O281" s="1296">
        <f t="shared" si="75"/>
        <v>0</v>
      </c>
      <c r="P281" s="1294">
        <f>O281/M!$Q$14</f>
        <v>0</v>
      </c>
      <c r="Q281" s="1235"/>
      <c r="R281" s="1235"/>
      <c r="S281" s="1235"/>
      <c r="T281" s="1235"/>
      <c r="U281" s="1235"/>
      <c r="V281" s="1235"/>
      <c r="W281" s="1235"/>
    </row>
    <row r="282" spans="1:23" ht="12.75">
      <c r="A282" s="2210"/>
      <c r="B282" s="1295" t="s">
        <v>667</v>
      </c>
      <c r="C282" s="1373">
        <f>SUMIF(Jan!$CJ$1:$CJ$186,$B282,Jan!$CI$1:$CI$186)</f>
        <v>0</v>
      </c>
      <c r="D282" s="1373">
        <f>SUMIF(Feb!$CJ$1:$CJ$171,$B282,Feb!$CI$1:$CI$171)</f>
        <v>0</v>
      </c>
      <c r="E282" s="1373">
        <f>SUMIF(Mar!$CJ$1:$CJ$176,$B282,Mar!$CI$1:$CI$176)</f>
        <v>0</v>
      </c>
      <c r="F282" s="1373">
        <f>SUMIF(Apr!$CJ$1:$CJ$203,$B282,Apr!$CI$1:$CI$203)</f>
        <v>290</v>
      </c>
      <c r="G282" s="1373">
        <f>SUMIF(May!$CJ$1:$CJ$177,$B282,May!$CI$1:$CI$177)</f>
        <v>169</v>
      </c>
      <c r="H282" s="1373">
        <f>SUMIF(Jun!$CJ$1:$CJ$186,$B282,Jun!$CI$1:$CI$186)</f>
        <v>0</v>
      </c>
      <c r="I282" s="1373">
        <f>SUMIF(Jul!$CJ$1:$CJ$177,$B282,Jul!$CI$1:$CI$177)</f>
        <v>0</v>
      </c>
      <c r="J282" s="1373">
        <f>SUMIF(Aug!$CJ$1:$CJ$184,$B282,Aug!$CI$1:$CI$184)</f>
        <v>0</v>
      </c>
      <c r="K282" s="1373">
        <f>SUMIF(Sep!$CJ$1:$CJ$186,$B282,Sep!$CI$1:$CI$186)</f>
        <v>0</v>
      </c>
      <c r="L282" s="1373">
        <f>SUMIF(Oct!$CJ$1:$CJ$187,$B282,Oct!$CI$1:$CI$187)</f>
        <v>0</v>
      </c>
      <c r="M282" s="1373">
        <f>SUMIF(Nov!$CJ$1:$CJ$186,$B282,Nov!$CI$1:$CI$186)</f>
        <v>0</v>
      </c>
      <c r="N282" s="1373">
        <f>SUMIF(Dec!$CJ$1:$CJ$186,$B282,Dec!$CI$1:$CI$186)</f>
        <v>0</v>
      </c>
      <c r="O282" s="1296">
        <f t="shared" si="75"/>
        <v>38.25</v>
      </c>
      <c r="P282" s="1294">
        <f>O282/M!$Q$14</f>
        <v>3.4300190182971714E-3</v>
      </c>
      <c r="Q282" s="1235"/>
      <c r="R282" s="1235"/>
      <c r="S282" s="1235"/>
      <c r="T282" s="1235"/>
      <c r="U282" s="1235"/>
      <c r="V282" s="1235"/>
      <c r="W282" s="1235"/>
    </row>
    <row r="283" spans="1:23" ht="12.75">
      <c r="A283" s="2210"/>
      <c r="B283" s="1295" t="s">
        <v>427</v>
      </c>
      <c r="C283" s="1373">
        <v>110</v>
      </c>
      <c r="D283" s="1373">
        <v>110</v>
      </c>
      <c r="E283" s="1373">
        <v>110</v>
      </c>
      <c r="F283" s="1373">
        <v>110</v>
      </c>
      <c r="G283" s="1373">
        <v>110</v>
      </c>
      <c r="H283" s="1373">
        <v>110</v>
      </c>
      <c r="I283" s="1373">
        <f>SUMIF(Jul!$CJ$1:$CJ$177,$B283,Jul!$CI$1:$CI$177)</f>
        <v>0</v>
      </c>
      <c r="J283" s="1373">
        <f>SUMIF(Aug!$CJ$1:$CJ$184,$B283,Aug!$CI$1:$CI$184)</f>
        <v>0</v>
      </c>
      <c r="K283" s="1373">
        <f>SUMIF(Sep!$CJ$1:$CJ$186,$B283,Sep!$CI$1:$CI$186)</f>
        <v>0</v>
      </c>
      <c r="L283" s="1373">
        <f>SUMIF(Oct!$CJ$1:$CJ$187,$B283,Oct!$CI$1:$CI$187)</f>
        <v>0</v>
      </c>
      <c r="M283" s="1373">
        <f>SUMIF(Nov!$CJ$1:$CJ$186,$B283,Nov!$CI$1:$CI$186)</f>
        <v>0</v>
      </c>
      <c r="N283" s="1373">
        <f>SUMIF(Dec!$CJ$1:$CJ$186,$B283,Dec!$CI$1:$CI$186)</f>
        <v>0</v>
      </c>
      <c r="O283" s="1296">
        <f t="shared" si="75"/>
        <v>55</v>
      </c>
      <c r="P283" s="1294">
        <f>O283/M!$Q$14</f>
        <v>4.932053490361946E-3</v>
      </c>
      <c r="Q283" s="1235"/>
      <c r="R283" s="1235"/>
      <c r="S283" s="1235"/>
      <c r="T283" s="1235"/>
      <c r="U283" s="1235"/>
      <c r="V283" s="1235"/>
      <c r="W283" s="1235"/>
    </row>
    <row r="284" spans="1:23" ht="12.75">
      <c r="A284" s="2234"/>
      <c r="B284" s="1295" t="s">
        <v>381</v>
      </c>
      <c r="C284" s="1373">
        <f>SUMIF(Jan!$CJ$1:$CJ$186,$B284,Jan!$CI$1:$CI$186)</f>
        <v>3732</v>
      </c>
      <c r="D284" s="1373">
        <f>SUMIF(Feb!$CJ$1:$CJ$171,$B284,Feb!$CI$1:$CI$171)</f>
        <v>444</v>
      </c>
      <c r="E284" s="1373">
        <f>SUMIF(Mar!$CJ$1:$CJ$176,$B284,Mar!$CI$1:$CI$176)</f>
        <v>0</v>
      </c>
      <c r="F284" s="1373">
        <f>SUMIF(Apr!$CJ$1:$CJ$203,$B284,Apr!$CI$1:$CI$203)</f>
        <v>35</v>
      </c>
      <c r="G284" s="1373">
        <f>SUMIF(May!$CJ$1:$CJ$177,$B284,May!$CI$1:$CI$177)</f>
        <v>892</v>
      </c>
      <c r="H284" s="1373">
        <f>SUMIF(Jun!$CJ$1:$CJ$186,$B284,Jun!$CI$1:$CI$186)</f>
        <v>2341</v>
      </c>
      <c r="I284" s="1373">
        <f>SUMIF(Jul!$CJ$1:$CJ$177,$B284,Jul!$CI$1:$CI$177)</f>
        <v>18</v>
      </c>
      <c r="J284" s="1373">
        <f>SUMIF(Aug!$CJ$1:$CJ$184,$B284,Aug!$CI$1:$CI$184)</f>
        <v>4958</v>
      </c>
      <c r="K284" s="1373">
        <f>SUMIF(Sep!$CJ$1:$CJ$186,$B284,Sep!$CI$1:$CI$186)</f>
        <v>0</v>
      </c>
      <c r="L284" s="1373">
        <f>SUMIF(Oct!$CJ$1:$CJ$187,$B284,Oct!$CI$1:$CI$187)</f>
        <v>700</v>
      </c>
      <c r="M284" s="1373">
        <f>SUMIF(Nov!$CJ$1:$CJ$186,$B284,Nov!$CI$1:$CI$186)</f>
        <v>2799</v>
      </c>
      <c r="N284" s="1373">
        <f>SUMIF(Dec!$CJ$1:$CJ$186,$B284,Dec!$CI$1:$CI$186)</f>
        <v>12</v>
      </c>
      <c r="O284" s="1296">
        <f t="shared" si="75"/>
        <v>1327.5833333333333</v>
      </c>
      <c r="P284" s="1294">
        <f>O284/M!$Q$14</f>
        <v>0.11904930932569115</v>
      </c>
      <c r="Q284" s="1235"/>
      <c r="R284" s="1235"/>
      <c r="S284" s="1235"/>
      <c r="T284" s="1235"/>
      <c r="U284" s="1235"/>
      <c r="V284" s="1235"/>
      <c r="W284" s="1235"/>
    </row>
    <row r="285" spans="1:23">
      <c r="A285" s="2199" t="s">
        <v>691</v>
      </c>
      <c r="B285" s="2200"/>
      <c r="C285" s="2203">
        <f t="shared" ref="C285:O285" si="76">SUM(C287:C292)</f>
        <v>204</v>
      </c>
      <c r="D285" s="2203">
        <f t="shared" si="76"/>
        <v>481</v>
      </c>
      <c r="E285" s="2203">
        <f t="shared" si="76"/>
        <v>112</v>
      </c>
      <c r="F285" s="2203">
        <f t="shared" si="76"/>
        <v>125</v>
      </c>
      <c r="G285" s="2203">
        <f t="shared" si="76"/>
        <v>275</v>
      </c>
      <c r="H285" s="2203">
        <f t="shared" si="76"/>
        <v>259</v>
      </c>
      <c r="I285" s="2203">
        <f t="shared" si="76"/>
        <v>154</v>
      </c>
      <c r="J285" s="2203">
        <f t="shared" si="76"/>
        <v>165</v>
      </c>
      <c r="K285" s="2203">
        <f t="shared" si="76"/>
        <v>75</v>
      </c>
      <c r="L285" s="2203">
        <f t="shared" si="76"/>
        <v>75</v>
      </c>
      <c r="M285" s="2203">
        <f t="shared" si="76"/>
        <v>1276</v>
      </c>
      <c r="N285" s="2203">
        <f t="shared" si="76"/>
        <v>75</v>
      </c>
      <c r="O285" s="2203">
        <f t="shared" si="76"/>
        <v>273</v>
      </c>
      <c r="P285" s="2205">
        <f>O285/M!$Q$14</f>
        <v>2.4480920052160203E-2</v>
      </c>
      <c r="Q285" s="1235"/>
      <c r="R285" s="1235"/>
      <c r="S285" s="1235"/>
      <c r="T285" s="1235"/>
      <c r="U285" s="1235"/>
      <c r="V285" s="1235"/>
      <c r="W285" s="1235"/>
    </row>
    <row r="286" spans="1:23">
      <c r="A286" s="2201"/>
      <c r="B286" s="2202"/>
      <c r="C286" s="2204"/>
      <c r="D286" s="2204"/>
      <c r="E286" s="2204"/>
      <c r="F286" s="2204"/>
      <c r="G286" s="2204"/>
      <c r="H286" s="2204"/>
      <c r="I286" s="2204"/>
      <c r="J286" s="2204"/>
      <c r="K286" s="2204"/>
      <c r="L286" s="2204"/>
      <c r="M286" s="2204"/>
      <c r="N286" s="2204"/>
      <c r="O286" s="2204"/>
      <c r="P286" s="2206"/>
      <c r="Q286" s="1235"/>
      <c r="R286" s="1235"/>
      <c r="S286" s="1235"/>
      <c r="T286" s="1235"/>
      <c r="U286" s="1235"/>
      <c r="V286" s="1235"/>
      <c r="W286" s="1235"/>
    </row>
    <row r="287" spans="1:23" ht="12.75">
      <c r="A287" s="2217"/>
      <c r="B287" s="1176" t="s">
        <v>692</v>
      </c>
      <c r="C287" s="1373">
        <f>SUMIF(Jan!$CJ$1:$CJ$186,$B287,Jan!$CI$1:$CI$186)</f>
        <v>77</v>
      </c>
      <c r="D287" s="1373">
        <f>SUMIF(Feb!$CJ$1:$CJ$171,$B287,Feb!$CI$1:$CI$171)</f>
        <v>130</v>
      </c>
      <c r="E287" s="1373">
        <f>SUMIF(Mar!$CJ$1:$CJ$176,$B287,Mar!$CI$1:$CI$176)</f>
        <v>0</v>
      </c>
      <c r="F287" s="1373">
        <f>SUMIF(Apr!$CJ$1:$CJ$203,$B287,Apr!$CI$1:$CI$203)</f>
        <v>0</v>
      </c>
      <c r="G287" s="1373">
        <f>SUMIF(May!$CJ$1:$CJ$177,$B287,May!$CI$1:$CI$177)</f>
        <v>0</v>
      </c>
      <c r="H287" s="1373">
        <f>SUMIF(Jun!$CJ$1:$CJ$186,$B287,Jun!$CI$1:$CI$186)</f>
        <v>29</v>
      </c>
      <c r="I287" s="1373">
        <f>SUMIF(Jul!$CJ$1:$CJ$177,$B287,Jul!$CI$1:$CI$177)</f>
        <v>79</v>
      </c>
      <c r="J287" s="1373">
        <f>SUMIF(Aug!$CJ$1:$CJ$184,$B287,Aug!$CI$1:$CI$184)</f>
        <v>30</v>
      </c>
      <c r="K287" s="1373">
        <f>SUMIF(Sep!$CJ$1:$CJ$186,$B287,Sep!$CI$1:$CI$186)</f>
        <v>0</v>
      </c>
      <c r="L287" s="1373">
        <f>SUMIF(Oct!$CJ$1:$CJ$187,$B287,Oct!$CI$1:$CI$187)</f>
        <v>0</v>
      </c>
      <c r="M287" s="1373">
        <f>SUMIF(Nov!$CJ$1:$CJ$186,$B287,Nov!$CI$1:$CI$186)</f>
        <v>231</v>
      </c>
      <c r="N287" s="1373">
        <f>SUMIF(Dec!$CJ$1:$CJ$186,$B287,Dec!$CI$1:$CI$186)</f>
        <v>0</v>
      </c>
      <c r="O287" s="1179">
        <f t="shared" ref="O287:O292" si="77">SUM(C287:N287)/12</f>
        <v>48</v>
      </c>
      <c r="P287" s="1180">
        <f>O287/M!$Q$14</f>
        <v>4.3043375915886072E-3</v>
      </c>
      <c r="Q287" s="1235"/>
      <c r="R287" s="1235"/>
      <c r="S287" s="1235"/>
      <c r="T287" s="1235"/>
      <c r="U287" s="1235"/>
      <c r="V287" s="1235"/>
      <c r="W287" s="1235"/>
    </row>
    <row r="288" spans="1:23" ht="12.75">
      <c r="A288" s="2218"/>
      <c r="B288" s="1176" t="s">
        <v>693</v>
      </c>
      <c r="C288" s="1373">
        <f>SUMIF(Jan!$CJ$1:$CJ$186,$B288,Jan!$CI$1:$CI$186)</f>
        <v>52</v>
      </c>
      <c r="D288" s="1373">
        <f>SUMIF(Feb!$CJ$1:$CJ$171,$B288,Feb!$CI$1:$CI$171)</f>
        <v>96</v>
      </c>
      <c r="E288" s="1373">
        <f>SUMIF(Mar!$CJ$1:$CJ$176,$B288,Mar!$CI$1:$CI$176)</f>
        <v>37</v>
      </c>
      <c r="F288" s="1373">
        <f>SUMIF(Apr!$CJ$1:$CJ$203,$B288,Apr!$CI$1:$CI$203)</f>
        <v>50</v>
      </c>
      <c r="G288" s="1373">
        <f>SUMIF(May!$CJ$1:$CJ$177,$B288,May!$CI$1:$CI$177)</f>
        <v>25</v>
      </c>
      <c r="H288" s="1373">
        <f>SUMIF(Jun!$CJ$1:$CJ$186,$B288,Jun!$CI$1:$CI$186)</f>
        <v>0</v>
      </c>
      <c r="I288" s="1373">
        <f>SUMIF(Jul!$CJ$1:$CJ$177,$B288,Jul!$CI$1:$CI$177)</f>
        <v>0</v>
      </c>
      <c r="J288" s="1373">
        <f>SUMIF(Aug!$CJ$1:$CJ$184,$B288,Aug!$CI$1:$CI$184)</f>
        <v>60</v>
      </c>
      <c r="K288" s="1373">
        <f>SUMIF(Sep!$CJ$1:$CJ$186,$B288,Sep!$CI$1:$CI$186)</f>
        <v>0</v>
      </c>
      <c r="L288" s="1373">
        <f>SUMIF(Oct!$CJ$1:$CJ$187,$B288,Oct!$CI$1:$CI$187)</f>
        <v>0</v>
      </c>
      <c r="M288" s="1373">
        <f>SUMIF(Nov!$CJ$1:$CJ$186,$B288,Nov!$CI$1:$CI$186)</f>
        <v>25</v>
      </c>
      <c r="N288" s="1373">
        <f>SUMIF(Dec!$CJ$1:$CJ$186,$B288,Dec!$CI$1:$CI$186)</f>
        <v>0</v>
      </c>
      <c r="O288" s="1179">
        <f t="shared" si="77"/>
        <v>28.75</v>
      </c>
      <c r="P288" s="1180">
        <f>O288/M!$Q$14</f>
        <v>2.5781188699619262E-3</v>
      </c>
      <c r="Q288" s="1235"/>
      <c r="R288" s="1235"/>
      <c r="S288" s="1235"/>
      <c r="T288" s="1235"/>
      <c r="U288" s="1235"/>
      <c r="V288" s="1235"/>
      <c r="W288" s="1235"/>
    </row>
    <row r="289" spans="1:23" ht="12.75">
      <c r="A289" s="2218"/>
      <c r="B289" s="1176" t="s">
        <v>694</v>
      </c>
      <c r="C289" s="1373">
        <v>75</v>
      </c>
      <c r="D289" s="1373">
        <v>75</v>
      </c>
      <c r="E289" s="1373">
        <v>75</v>
      </c>
      <c r="F289" s="1373">
        <v>75</v>
      </c>
      <c r="G289" s="1373">
        <v>75</v>
      </c>
      <c r="H289" s="1373">
        <v>75</v>
      </c>
      <c r="I289" s="1373">
        <v>75</v>
      </c>
      <c r="J289" s="1373">
        <v>75</v>
      </c>
      <c r="K289" s="1373">
        <v>75</v>
      </c>
      <c r="L289" s="1373">
        <v>75</v>
      </c>
      <c r="M289" s="1373">
        <v>75</v>
      </c>
      <c r="N289" s="1373">
        <v>75</v>
      </c>
      <c r="O289" s="1341">
        <f t="shared" si="77"/>
        <v>75</v>
      </c>
      <c r="P289" s="1180">
        <f>O289/M!$Q$14</f>
        <v>6.7255274868571989E-3</v>
      </c>
      <c r="Q289" s="1235"/>
      <c r="R289" s="1235"/>
      <c r="S289" s="1235"/>
      <c r="T289" s="1235"/>
      <c r="U289" s="1235"/>
      <c r="V289" s="1235"/>
      <c r="W289" s="1235"/>
    </row>
    <row r="290" spans="1:23" ht="12.75">
      <c r="A290" s="2218"/>
      <c r="B290" s="1176" t="s">
        <v>695</v>
      </c>
      <c r="C290" s="1373">
        <f>SUMIF(Jan!$CJ$1:$CJ$186,$B290,Jan!$CI$1:$CI$186)</f>
        <v>0</v>
      </c>
      <c r="D290" s="1373">
        <f>SUMIF(Feb!$CJ$1:$CJ$171,$B290,Feb!$CI$1:$CI$171)</f>
        <v>180</v>
      </c>
      <c r="E290" s="1373">
        <f>SUMIF(Mar!$CJ$1:$CJ$176,$B290,Mar!$CI$1:$CI$176)</f>
        <v>0</v>
      </c>
      <c r="F290" s="1373">
        <f>SUMIF(Apr!$CJ$1:$CJ$203,$B290,Apr!$CI$1:$CI$203)</f>
        <v>0</v>
      </c>
      <c r="G290" s="1373">
        <f>SUMIF(May!$CJ$1:$CJ$177,$B290,May!$CI$1:$CI$177)</f>
        <v>175</v>
      </c>
      <c r="H290" s="1373">
        <f>SUMIF(Jun!$CJ$1:$CJ$186,$B290,Jun!$CI$1:$CI$186)</f>
        <v>0</v>
      </c>
      <c r="I290" s="1373">
        <f>SUMIF(Jul!$CJ$1:$CJ$177,$B290,Jul!$CI$1:$CI$177)</f>
        <v>0</v>
      </c>
      <c r="J290" s="1373">
        <f>SUMIF(Aug!$CJ$1:$CJ$184,$B290,Aug!$CI$1:$CI$184)</f>
        <v>0</v>
      </c>
      <c r="K290" s="1373">
        <f>SUMIF(Sep!$CJ$1:$CJ$186,$B290,Sep!$CI$1:$CI$186)</f>
        <v>0</v>
      </c>
      <c r="L290" s="1373">
        <f>SUMIF(Oct!$CJ$1:$CJ$187,$B290,Oct!$CI$1:$CI$187)</f>
        <v>0</v>
      </c>
      <c r="M290" s="1373">
        <f>SUMIF(Nov!$CJ$1:$CJ$186,$B290,Nov!$CI$1:$CI$186)</f>
        <v>445</v>
      </c>
      <c r="N290" s="1373">
        <f>SUMIF(Dec!$CJ$1:$CJ$186,$B290,Dec!$CI$1:$CI$186)</f>
        <v>0</v>
      </c>
      <c r="O290" s="1179">
        <f t="shared" si="77"/>
        <v>66.666666666666671</v>
      </c>
      <c r="P290" s="1180">
        <f>O290/M!$Q$14</f>
        <v>5.9782466549841767E-3</v>
      </c>
      <c r="Q290" s="1235"/>
      <c r="R290" s="1235"/>
      <c r="S290" s="1235"/>
      <c r="T290" s="1235"/>
      <c r="U290" s="1235"/>
      <c r="V290" s="1235"/>
      <c r="W290" s="1235"/>
    </row>
    <row r="291" spans="1:23" ht="12.75">
      <c r="A291" s="2218"/>
      <c r="B291" s="1176" t="s">
        <v>696</v>
      </c>
      <c r="C291" s="1373">
        <f>SUMIF(Jan!$CJ$1:$CJ$186,$B291,Jan!$CI$1:$CI$186)</f>
        <v>0</v>
      </c>
      <c r="D291" s="1373">
        <f>SUMIF(Feb!$CJ$1:$CJ$171,$B291,Feb!$CI$1:$CI$171)</f>
        <v>0</v>
      </c>
      <c r="E291" s="1373">
        <f>SUMIF(Mar!$CJ$1:$CJ$176,$B291,Mar!$CI$1:$CI$176)</f>
        <v>0</v>
      </c>
      <c r="F291" s="1373">
        <f>SUMIF(Apr!$CJ$1:$CJ$203,$B291,Apr!$CI$1:$CI$203)</f>
        <v>0</v>
      </c>
      <c r="G291" s="1373">
        <f>SUMIF(May!$CJ$1:$CJ$177,$B291,May!$CI$1:$CI$177)</f>
        <v>0</v>
      </c>
      <c r="H291" s="1373">
        <f>SUMIF(Jun!$CJ$1:$CJ$186,$B291,Jun!$CI$1:$CI$186)</f>
        <v>155</v>
      </c>
      <c r="I291" s="1373">
        <f>SUMIF(Jul!$CJ$1:$CJ$177,$B291,Jul!$CI$1:$CI$177)</f>
        <v>0</v>
      </c>
      <c r="J291" s="1373">
        <f>SUMIF(Aug!$CJ$1:$CJ$184,$B291,Aug!$CI$1:$CI$184)</f>
        <v>0</v>
      </c>
      <c r="K291" s="1373">
        <f>SUMIF(Sep!$CJ$1:$CJ$186,$B291,Sep!$CI$1:$CI$186)</f>
        <v>0</v>
      </c>
      <c r="L291" s="1373">
        <f>SUMIF(Oct!$CJ$1:$CJ$187,$B291,Oct!$CI$1:$CI$187)</f>
        <v>0</v>
      </c>
      <c r="M291" s="1373">
        <f>SUMIF(Nov!$CJ$1:$CJ$186,$B291,Nov!$CI$1:$CI$186)</f>
        <v>500</v>
      </c>
      <c r="N291" s="1373">
        <f>SUMIF(Dec!$CJ$1:$CJ$186,$B291,Dec!$CI$1:$CI$186)</f>
        <v>0</v>
      </c>
      <c r="O291" s="1179">
        <f t="shared" si="77"/>
        <v>54.583333333333336</v>
      </c>
      <c r="P291" s="1180">
        <f>O291/M!$Q$14</f>
        <v>4.8946894487682949E-3</v>
      </c>
      <c r="Q291" s="1235"/>
      <c r="R291" s="1235"/>
      <c r="S291" s="1235"/>
      <c r="T291" s="1235"/>
      <c r="U291" s="1235"/>
      <c r="V291" s="1235"/>
      <c r="W291" s="1235"/>
    </row>
    <row r="292" spans="1:23" ht="12.75">
      <c r="A292" s="2218"/>
      <c r="B292" s="1176" t="s">
        <v>697</v>
      </c>
      <c r="C292" s="1373">
        <f>SUMIF(Jan!$CJ$1:$CJ$186,$B292,Jan!$CI$1:$CI$186)</f>
        <v>0</v>
      </c>
      <c r="D292" s="1373">
        <f>SUMIF(Feb!$CJ$1:$CJ$171,$B292,Feb!$CI$1:$CI$171)</f>
        <v>0</v>
      </c>
      <c r="E292" s="1373">
        <f>SUMIF(Mar!$CJ$1:$CJ$176,$B292,Mar!$CI$1:$CI$176)</f>
        <v>0</v>
      </c>
      <c r="F292" s="1373">
        <f>SUMIF(Apr!$CJ$1:$CJ$203,$B292,Apr!$CI$1:$CI$203)</f>
        <v>0</v>
      </c>
      <c r="G292" s="1373">
        <f>SUMIF(May!$CJ$1:$CJ$177,$B292,May!$CI$1:$CI$177)</f>
        <v>0</v>
      </c>
      <c r="H292" s="1373">
        <f>SUMIF(Jun!$CJ$1:$CJ$186,$B292,Jun!$CI$1:$CI$186)</f>
        <v>0</v>
      </c>
      <c r="I292" s="1373">
        <f>SUMIF(Jul!$CJ$1:$CJ$177,$B292,Jul!$CI$1:$CI$177)</f>
        <v>0</v>
      </c>
      <c r="J292" s="1373">
        <f>SUMIF(Aug!$CJ$1:$CJ$184,$B292,Aug!$CI$1:$CI$184)</f>
        <v>0</v>
      </c>
      <c r="K292" s="1373">
        <f>SUMIF(Sep!$CJ$1:$CJ$186,$B292,Sep!$CI$1:$CI$186)</f>
        <v>0</v>
      </c>
      <c r="L292" s="1373">
        <f>SUMIF(Oct!$CJ$1:$CJ$187,$B292,Oct!$CI$1:$CI$187)</f>
        <v>0</v>
      </c>
      <c r="M292" s="1373">
        <f>SUMIF(Nov!$CJ$1:$CJ$186,$B292,Nov!$CI$1:$CI$186)</f>
        <v>0</v>
      </c>
      <c r="N292" s="1373">
        <f>SUMIF(Dec!$CJ$1:$CJ$186,$B292,Dec!$CI$1:$CI$186)</f>
        <v>0</v>
      </c>
      <c r="O292" s="1179">
        <f t="shared" si="77"/>
        <v>0</v>
      </c>
      <c r="P292" s="1180">
        <f>O292/M!$Q$14</f>
        <v>0</v>
      </c>
      <c r="Q292" s="1235"/>
      <c r="R292" s="1235"/>
      <c r="S292" s="1235"/>
      <c r="T292" s="1235"/>
      <c r="U292" s="1235"/>
      <c r="V292" s="1235"/>
      <c r="W292" s="1235"/>
    </row>
    <row r="293" spans="1:23">
      <c r="A293" s="2213" t="s">
        <v>428</v>
      </c>
      <c r="B293" s="2214"/>
      <c r="C293" s="2211">
        <f>SUM(C295:C296)</f>
        <v>500</v>
      </c>
      <c r="D293" s="2211">
        <f t="shared" ref="D293:N293" si="78">SUM(D295:D296)</f>
        <v>0</v>
      </c>
      <c r="E293" s="2211">
        <f t="shared" si="78"/>
        <v>481</v>
      </c>
      <c r="F293" s="2211">
        <f t="shared" si="78"/>
        <v>352</v>
      </c>
      <c r="G293" s="2211">
        <f t="shared" si="78"/>
        <v>636</v>
      </c>
      <c r="H293" s="2211">
        <f t="shared" si="78"/>
        <v>3269</v>
      </c>
      <c r="I293" s="2211">
        <f t="shared" si="78"/>
        <v>2262</v>
      </c>
      <c r="J293" s="2211">
        <f t="shared" si="78"/>
        <v>2484</v>
      </c>
      <c r="K293" s="2211">
        <f t="shared" si="78"/>
        <v>3925</v>
      </c>
      <c r="L293" s="2211">
        <f t="shared" si="78"/>
        <v>4115</v>
      </c>
      <c r="M293" s="2211">
        <f t="shared" si="78"/>
        <v>2819</v>
      </c>
      <c r="N293" s="2211">
        <f t="shared" si="78"/>
        <v>1429</v>
      </c>
      <c r="O293" s="2211">
        <f>SUM(O295:O296)</f>
        <v>1856</v>
      </c>
      <c r="P293" s="2207">
        <f>O293/M!$Q$14</f>
        <v>0.16643438687475948</v>
      </c>
      <c r="Q293" s="1235"/>
      <c r="R293" s="1235"/>
      <c r="S293" s="1235"/>
      <c r="T293" s="1235"/>
      <c r="U293" s="1235"/>
      <c r="V293" s="1235"/>
      <c r="W293" s="1235"/>
    </row>
    <row r="294" spans="1:23">
      <c r="A294" s="2215"/>
      <c r="B294" s="2216"/>
      <c r="C294" s="2212"/>
      <c r="D294" s="2212"/>
      <c r="E294" s="2212"/>
      <c r="F294" s="2212"/>
      <c r="G294" s="2212"/>
      <c r="H294" s="2212"/>
      <c r="I294" s="2212"/>
      <c r="J294" s="2212"/>
      <c r="K294" s="2212"/>
      <c r="L294" s="2212"/>
      <c r="M294" s="2212"/>
      <c r="N294" s="2212"/>
      <c r="O294" s="2212"/>
      <c r="P294" s="2208"/>
      <c r="Q294" s="1235"/>
      <c r="R294" s="1235"/>
      <c r="S294" s="1235"/>
      <c r="T294" s="1235"/>
      <c r="U294" s="1235"/>
      <c r="V294" s="1235"/>
      <c r="W294" s="1235"/>
    </row>
    <row r="295" spans="1:23" ht="12.75">
      <c r="A295" s="2209"/>
      <c r="B295" s="1295" t="s">
        <v>689</v>
      </c>
      <c r="C295" s="1373">
        <f>SUMIF(Jan!$CJ$1:$CJ$186,$B295,Jan!$CI$1:$CI$186)</f>
        <v>500</v>
      </c>
      <c r="D295" s="1373">
        <f>SUMIF(Feb!$CJ$1:$CJ$171,$B295,Feb!$CI$1:$CI$171)</f>
        <v>0</v>
      </c>
      <c r="E295" s="1373">
        <f>SUMIF(Mar!$CJ$1:$CJ$176,$B295,Mar!$CI$1:$CI$176)</f>
        <v>481</v>
      </c>
      <c r="F295" s="1373">
        <f>SUMIF(Apr!$CJ$1:$CJ$203,$B295,Apr!$CI$1:$CI$203)</f>
        <v>352</v>
      </c>
      <c r="G295" s="1373">
        <f>SUMIF(May!$CJ$1:$CJ$177,$B295,May!$CI$1:$CI$177)</f>
        <v>636</v>
      </c>
      <c r="H295" s="1373">
        <f>SUMIF(Jun!$CJ$1:$CJ$186,$B295,Jun!$CI$1:$CI$186)</f>
        <v>3269</v>
      </c>
      <c r="I295" s="1373">
        <f>SUMIF(Jul!$CJ$1:$CJ$177,$B295,Jul!$CI$1:$CI$177)</f>
        <v>2262</v>
      </c>
      <c r="J295" s="1373">
        <f>SUMIF(Aug!$CJ$1:$CJ$184,$B295,Aug!$CI$1:$CI$184)</f>
        <v>2484</v>
      </c>
      <c r="K295" s="1373">
        <f>SUMIF(Sep!$CJ$1:$CJ$186,$B295,Sep!$CI$1:$CI$186)</f>
        <v>3925</v>
      </c>
      <c r="L295" s="1373">
        <f>SUMIF(Oct!$CJ$1:$CJ$187,$B295,Oct!$CI$1:$CI$187)</f>
        <v>4115</v>
      </c>
      <c r="M295" s="1373">
        <f>SUMIF(Nov!$CJ$1:$CJ$186,$B295,Nov!$CI$1:$CI$186)</f>
        <v>2819</v>
      </c>
      <c r="N295" s="1373">
        <f>SUMIF(Dec!$CJ$1:$CJ$186,$B295,Dec!$CI$1:$CI$186)</f>
        <v>1429</v>
      </c>
      <c r="O295" s="1296">
        <f>SUM(C295:N295)/12</f>
        <v>1856</v>
      </c>
      <c r="P295" s="1294">
        <f>O295/M!$Q$14</f>
        <v>0.16643438687475948</v>
      </c>
      <c r="Q295" s="1235"/>
      <c r="R295" s="1235"/>
      <c r="S295" s="1235"/>
      <c r="T295" s="1235"/>
      <c r="U295" s="1235"/>
      <c r="V295" s="1235"/>
      <c r="W295" s="1235"/>
    </row>
    <row r="296" spans="1:23" ht="12.75">
      <c r="A296" s="2210"/>
      <c r="B296" s="1295" t="s">
        <v>430</v>
      </c>
      <c r="C296" s="1373">
        <f>SUMIF(Jan!$CJ$1:$CJ$186,$B296,Jan!$CI$1:$CI$186)</f>
        <v>0</v>
      </c>
      <c r="D296" s="1373">
        <f>SUMIF(Feb!$CJ$1:$CJ$171,$B296,Feb!$CI$1:$CI$171)</f>
        <v>0</v>
      </c>
      <c r="E296" s="1373">
        <f>SUMIF(Mar!$CJ$1:$CJ$176,$B296,Mar!$CI$1:$CI$176)</f>
        <v>0</v>
      </c>
      <c r="F296" s="1373">
        <f>SUMIF(Apr!$CJ$1:$CJ$203,$B296,Apr!$CI$1:$CI$203)</f>
        <v>0</v>
      </c>
      <c r="G296" s="1373">
        <f>SUMIF(May!$CJ$1:$CJ$177,$B296,May!$CI$1:$CI$177)</f>
        <v>0</v>
      </c>
      <c r="H296" s="1373">
        <f>SUMIF(Jun!$CJ$1:$CJ$186,$B296,Jun!$CI$1:$CI$186)</f>
        <v>0</v>
      </c>
      <c r="I296" s="1373">
        <f>SUMIF(Jul!$CJ$1:$CJ$177,$B296,Jul!$CI$1:$CI$177)</f>
        <v>0</v>
      </c>
      <c r="J296" s="1373">
        <f>SUMIF(Aug!$CJ$1:$CJ$184,$B296,Aug!$CI$1:$CI$184)</f>
        <v>0</v>
      </c>
      <c r="K296" s="1373">
        <f>SUMIF(Sep!$CJ$1:$CJ$186,$B296,Sep!$CI$1:$CI$186)</f>
        <v>0</v>
      </c>
      <c r="L296" s="1373">
        <f>SUMIF(Oct!$CJ$1:$CJ$187,$B296,Oct!$CI$1:$CI$187)</f>
        <v>0</v>
      </c>
      <c r="M296" s="1373">
        <f>SUMIF(Nov!$CJ$1:$CJ$186,$B296,Nov!$CI$1:$CI$186)</f>
        <v>0</v>
      </c>
      <c r="N296" s="1373">
        <f>SUMIF(Dec!$CJ$1:$CJ$186,$B296,Dec!$CI$1:$CI$186)</f>
        <v>0</v>
      </c>
      <c r="O296" s="1296">
        <f>SUM(C296:N296)/12</f>
        <v>0</v>
      </c>
      <c r="P296" s="1294">
        <f>O296/M!$Q$14</f>
        <v>0</v>
      </c>
      <c r="Q296" s="1235"/>
      <c r="R296" s="1235"/>
      <c r="S296" s="1235"/>
      <c r="T296" s="1235"/>
      <c r="U296" s="1235"/>
      <c r="V296" s="1235"/>
      <c r="W296" s="1235"/>
    </row>
    <row r="297" spans="1:23">
      <c r="A297" s="2213" t="s">
        <v>668</v>
      </c>
      <c r="B297" s="2214"/>
      <c r="C297" s="2211">
        <f>SUM(C299:C302)</f>
        <v>643.16666666666674</v>
      </c>
      <c r="D297" s="2211">
        <f t="shared" ref="D297:N297" si="79">SUM(D299:D302)</f>
        <v>313.16666666666669</v>
      </c>
      <c r="E297" s="2211">
        <f t="shared" si="79"/>
        <v>1071.1666666666665</v>
      </c>
      <c r="F297" s="2211">
        <f t="shared" si="79"/>
        <v>1097.1666666666665</v>
      </c>
      <c r="G297" s="2211">
        <f t="shared" si="79"/>
        <v>349.16666666666669</v>
      </c>
      <c r="H297" s="2211">
        <f t="shared" si="79"/>
        <v>387.16666666666669</v>
      </c>
      <c r="I297" s="2211">
        <f t="shared" si="79"/>
        <v>390.16666666666669</v>
      </c>
      <c r="J297" s="2211">
        <f t="shared" si="79"/>
        <v>353.16666666666669</v>
      </c>
      <c r="K297" s="2211">
        <f t="shared" si="79"/>
        <v>313.16666666666669</v>
      </c>
      <c r="L297" s="2211">
        <f t="shared" si="79"/>
        <v>338.16666666666669</v>
      </c>
      <c r="M297" s="2211">
        <f t="shared" si="79"/>
        <v>388.16666666666669</v>
      </c>
      <c r="N297" s="2211">
        <f t="shared" si="79"/>
        <v>443.16666666666669</v>
      </c>
      <c r="O297" s="2211">
        <f>SUM(O299:O307)</f>
        <v>921.58333333333326</v>
      </c>
      <c r="P297" s="2207">
        <f>O297/M!$Q$14</f>
        <v>8.2641787196837499E-2</v>
      </c>
      <c r="Q297" s="1235"/>
      <c r="R297" s="1235"/>
      <c r="S297" s="1235"/>
      <c r="T297" s="1235"/>
      <c r="U297" s="1235"/>
      <c r="V297" s="1235"/>
      <c r="W297" s="1235"/>
    </row>
    <row r="298" spans="1:23">
      <c r="A298" s="2215"/>
      <c r="B298" s="2216"/>
      <c r="C298" s="2212"/>
      <c r="D298" s="2212"/>
      <c r="E298" s="2212"/>
      <c r="F298" s="2212"/>
      <c r="G298" s="2212"/>
      <c r="H298" s="2212"/>
      <c r="I298" s="2212"/>
      <c r="J298" s="2212"/>
      <c r="K298" s="2212"/>
      <c r="L298" s="2212"/>
      <c r="M298" s="2212"/>
      <c r="N298" s="2212"/>
      <c r="O298" s="2212"/>
      <c r="P298" s="2208"/>
      <c r="Q298" s="1235"/>
      <c r="R298" s="1235"/>
      <c r="S298" s="1235"/>
      <c r="T298" s="1235"/>
      <c r="U298" s="1235"/>
      <c r="V298" s="1235"/>
      <c r="W298" s="1235"/>
    </row>
    <row r="299" spans="1:23" ht="12.75">
      <c r="A299" s="1297"/>
      <c r="B299" s="1295" t="s">
        <v>432</v>
      </c>
      <c r="C299" s="1377">
        <f>(FinSnapshot!$Q$94+FinSnapshot!$Q$102)/12</f>
        <v>78.166666666666671</v>
      </c>
      <c r="D299" s="1377">
        <f>(FinSnapshot!$Q$94+FinSnapshot!$Q$102)/12</f>
        <v>78.166666666666671</v>
      </c>
      <c r="E299" s="1377">
        <f>(FinSnapshot!$Q$94+FinSnapshot!$Q$102)/12</f>
        <v>78.166666666666671</v>
      </c>
      <c r="F299" s="1377">
        <f>(FinSnapshot!$Q$94+FinSnapshot!$Q$102)/12</f>
        <v>78.166666666666671</v>
      </c>
      <c r="G299" s="1377">
        <f>(FinSnapshot!$Q$94+FinSnapshot!$Q$102)/12</f>
        <v>78.166666666666671</v>
      </c>
      <c r="H299" s="1377">
        <f>(FinSnapshot!$Q$94+FinSnapshot!$Q$102)/12</f>
        <v>78.166666666666671</v>
      </c>
      <c r="I299" s="1377">
        <f>(FinSnapshot!$Q$94+FinSnapshot!$Q$102)/12</f>
        <v>78.166666666666671</v>
      </c>
      <c r="J299" s="1377">
        <f>(FinSnapshot!$Q$94+FinSnapshot!$Q$102)/12</f>
        <v>78.166666666666671</v>
      </c>
      <c r="K299" s="1377">
        <f>(FinSnapshot!$Q$94+FinSnapshot!$Q$102)/12</f>
        <v>78.166666666666671</v>
      </c>
      <c r="L299" s="1377">
        <f>(FinSnapshot!$Q$94+FinSnapshot!$Q$102)/12</f>
        <v>78.166666666666671</v>
      </c>
      <c r="M299" s="1377">
        <f>(FinSnapshot!$Q$94+FinSnapshot!$Q$102)/12</f>
        <v>78.166666666666671</v>
      </c>
      <c r="N299" s="1377">
        <f>(FinSnapshot!$Q$94+FinSnapshot!$Q$102)/12</f>
        <v>78.166666666666671</v>
      </c>
      <c r="O299" s="1298"/>
      <c r="P299" s="1299"/>
      <c r="Q299" s="1235"/>
      <c r="R299" s="1235"/>
      <c r="S299" s="1235"/>
      <c r="T299" s="1235"/>
      <c r="U299" s="1235"/>
      <c r="V299" s="1235"/>
      <c r="W299" s="1235"/>
    </row>
    <row r="300" spans="1:23" ht="12.75">
      <c r="A300" s="1297"/>
      <c r="B300" s="1295" t="s">
        <v>284</v>
      </c>
      <c r="C300" s="1373">
        <f>SUMIF(Jan!$CJ$1:$CJ$186,$B300,Jan!$CI$1:$CI$186)</f>
        <v>280</v>
      </c>
      <c r="D300" s="1373">
        <f>SUMIF(Feb!$CJ$1:$CJ$171,$B300,Feb!$CI$1:$CI$171)</f>
        <v>0</v>
      </c>
      <c r="E300" s="1373">
        <f>SUMIF(Mar!$CJ$1:$CJ$176,$B300,Mar!$CI$1:$CI$176)</f>
        <v>758</v>
      </c>
      <c r="F300" s="1373">
        <f>SUMIF(Apr!$CJ$1:$CJ$203,$B300,Apr!$CI$1:$CI$203)</f>
        <v>686</v>
      </c>
      <c r="G300" s="1373">
        <f>SUMIF(May!$CJ$1:$CJ$177,$B300,May!$CI$1:$CI$177)</f>
        <v>0</v>
      </c>
      <c r="H300" s="1373">
        <f>SUMIF(Jun!$CJ$1:$CJ$186,$B300,Jun!$CI$1:$CI$186)</f>
        <v>34</v>
      </c>
      <c r="I300" s="1373">
        <f>SUMIF(Jul!$CJ$1:$CJ$177,$B300,Jul!$CI$1:$CI$177)</f>
        <v>77</v>
      </c>
      <c r="J300" s="1373">
        <f>SUMIF(Aug!$CJ$1:$CJ$184,$B300,Aug!$CI$1:$CI$184)</f>
        <v>40</v>
      </c>
      <c r="K300" s="1373">
        <f>SUMIF(Sep!$CJ$1:$CJ$186,$B300,Sep!$CI$1:$CI$186)</f>
        <v>0</v>
      </c>
      <c r="L300" s="1373">
        <f>SUMIF(Oct!$CJ$1:$CJ$187,$B300,Oct!$CI$1:$CI$187)</f>
        <v>25</v>
      </c>
      <c r="M300" s="1373">
        <f>SUMIF(Nov!$CJ$1:$CJ$186,$B300,Nov!$CI$1:$CI$186)</f>
        <v>45</v>
      </c>
      <c r="N300" s="1373">
        <f>SUMIF(Dec!$CJ$1:$CJ$186,$B300,Dec!$CI$1:$CI$186)</f>
        <v>10</v>
      </c>
      <c r="O300" s="1296">
        <f>SUM(C300:N300)/12</f>
        <v>162.91666666666666</v>
      </c>
      <c r="P300" s="1294">
        <f>O300/M!$Q$14</f>
        <v>1.460934026311758E-2</v>
      </c>
      <c r="Q300" s="1235"/>
      <c r="R300" s="1235"/>
      <c r="S300" s="1235"/>
      <c r="T300" s="1235"/>
      <c r="U300" s="1235"/>
      <c r="V300" s="1235"/>
      <c r="W300" s="1235"/>
    </row>
    <row r="301" spans="1:23" ht="12.75">
      <c r="A301" s="1297"/>
      <c r="B301" s="1295" t="s">
        <v>433</v>
      </c>
      <c r="C301" s="1376">
        <v>50</v>
      </c>
      <c r="D301" s="1376">
        <v>0</v>
      </c>
      <c r="E301" s="1376">
        <v>0</v>
      </c>
      <c r="F301" s="1376">
        <v>98</v>
      </c>
      <c r="G301" s="1376">
        <v>36</v>
      </c>
      <c r="H301" s="1376">
        <v>40</v>
      </c>
      <c r="I301" s="1374">
        <v>0</v>
      </c>
      <c r="J301" s="1374">
        <v>0</v>
      </c>
      <c r="K301" s="1376">
        <v>0</v>
      </c>
      <c r="L301" s="1375">
        <v>0</v>
      </c>
      <c r="M301" s="1375">
        <v>30</v>
      </c>
      <c r="N301" s="1375">
        <v>120</v>
      </c>
      <c r="O301" s="1296">
        <f>SUM(C301:N301)/12</f>
        <v>31.166666666666668</v>
      </c>
      <c r="P301" s="1294">
        <f>O301/M!$Q$14</f>
        <v>2.7948303112051028E-3</v>
      </c>
      <c r="Q301" s="1235"/>
      <c r="R301" s="1235"/>
      <c r="S301" s="1235"/>
      <c r="T301" s="1235"/>
      <c r="U301" s="1235"/>
      <c r="V301" s="1235"/>
      <c r="W301" s="1235"/>
    </row>
    <row r="302" spans="1:23" ht="12.75">
      <c r="A302" s="1297"/>
      <c r="B302" s="1295" t="s">
        <v>434</v>
      </c>
      <c r="C302" s="1377">
        <f>ROUNDUP((((382+2430))/12),0)</f>
        <v>235</v>
      </c>
      <c r="D302" s="1377">
        <f t="shared" ref="D302:N302" si="80">ROUNDUP((((382+2430))/12),0)</f>
        <v>235</v>
      </c>
      <c r="E302" s="1377">
        <f t="shared" si="80"/>
        <v>235</v>
      </c>
      <c r="F302" s="1377">
        <f t="shared" si="80"/>
        <v>235</v>
      </c>
      <c r="G302" s="1377">
        <f t="shared" si="80"/>
        <v>235</v>
      </c>
      <c r="H302" s="1377">
        <f t="shared" si="80"/>
        <v>235</v>
      </c>
      <c r="I302" s="1377">
        <f t="shared" si="80"/>
        <v>235</v>
      </c>
      <c r="J302" s="1377">
        <f t="shared" si="80"/>
        <v>235</v>
      </c>
      <c r="K302" s="1377">
        <f t="shared" si="80"/>
        <v>235</v>
      </c>
      <c r="L302" s="1377">
        <f t="shared" si="80"/>
        <v>235</v>
      </c>
      <c r="M302" s="1377">
        <f t="shared" si="80"/>
        <v>235</v>
      </c>
      <c r="N302" s="1377">
        <f t="shared" si="80"/>
        <v>235</v>
      </c>
      <c r="O302" s="1298"/>
      <c r="P302" s="1299"/>
      <c r="Q302" s="1235"/>
      <c r="R302" s="1235"/>
      <c r="S302" s="1235"/>
      <c r="T302" s="1235"/>
      <c r="U302" s="1235"/>
      <c r="V302" s="1235"/>
      <c r="W302" s="1235"/>
    </row>
    <row r="303" spans="1:23">
      <c r="A303" s="2213" t="s">
        <v>435</v>
      </c>
      <c r="B303" s="2214"/>
      <c r="C303" s="2211">
        <f>SUM(C305:C307)</f>
        <v>50</v>
      </c>
      <c r="D303" s="2211">
        <f t="shared" ref="D303:O303" si="81">SUM(D308:D310)</f>
        <v>0</v>
      </c>
      <c r="E303" s="2211">
        <f t="shared" si="81"/>
        <v>0</v>
      </c>
      <c r="F303" s="2211">
        <f t="shared" si="81"/>
        <v>0</v>
      </c>
      <c r="G303" s="2211">
        <f t="shared" si="81"/>
        <v>0</v>
      </c>
      <c r="H303" s="2211">
        <f t="shared" si="81"/>
        <v>0</v>
      </c>
      <c r="I303" s="2211">
        <f t="shared" si="81"/>
        <v>6000</v>
      </c>
      <c r="J303" s="2211">
        <f t="shared" si="81"/>
        <v>0</v>
      </c>
      <c r="K303" s="2211">
        <f t="shared" si="81"/>
        <v>0</v>
      </c>
      <c r="L303" s="2211">
        <f t="shared" si="81"/>
        <v>0</v>
      </c>
      <c r="M303" s="2211">
        <f t="shared" si="81"/>
        <v>0</v>
      </c>
      <c r="N303" s="2211">
        <f t="shared" si="81"/>
        <v>0</v>
      </c>
      <c r="O303" s="2211">
        <f t="shared" si="81"/>
        <v>500</v>
      </c>
      <c r="P303" s="2207">
        <f>O303/M!$Q$14</f>
        <v>4.4836849912381328E-2</v>
      </c>
      <c r="Q303" s="1235"/>
      <c r="R303" s="1235"/>
      <c r="S303" s="1235"/>
      <c r="T303" s="1235"/>
      <c r="U303" s="1235"/>
      <c r="V303" s="1235"/>
      <c r="W303" s="1235"/>
    </row>
    <row r="304" spans="1:23">
      <c r="A304" s="2215"/>
      <c r="B304" s="2216"/>
      <c r="C304" s="2212"/>
      <c r="D304" s="2212"/>
      <c r="E304" s="2212"/>
      <c r="F304" s="2212"/>
      <c r="G304" s="2212"/>
      <c r="H304" s="2212"/>
      <c r="I304" s="2212"/>
      <c r="J304" s="2212"/>
      <c r="K304" s="2212"/>
      <c r="L304" s="2212"/>
      <c r="M304" s="2212"/>
      <c r="N304" s="2212"/>
      <c r="O304" s="2212"/>
      <c r="P304" s="2208"/>
      <c r="Q304" s="1235"/>
      <c r="R304" s="1235"/>
      <c r="S304" s="1235"/>
      <c r="T304" s="1235"/>
      <c r="U304" s="1235"/>
      <c r="V304" s="1235"/>
      <c r="W304" s="1235"/>
    </row>
    <row r="305" spans="1:23" ht="12.75">
      <c r="A305" s="1297"/>
      <c r="B305" s="1295" t="s">
        <v>405</v>
      </c>
      <c r="C305" s="1376">
        <v>0</v>
      </c>
      <c r="D305" s="1376">
        <v>0</v>
      </c>
      <c r="E305" s="1376">
        <v>0</v>
      </c>
      <c r="F305" s="1376">
        <v>0</v>
      </c>
      <c r="G305" s="1376">
        <v>0</v>
      </c>
      <c r="H305" s="1376">
        <v>0</v>
      </c>
      <c r="I305" s="1376">
        <v>0</v>
      </c>
      <c r="J305" s="1376">
        <v>0</v>
      </c>
      <c r="K305" s="1376">
        <v>0</v>
      </c>
      <c r="L305" s="1376">
        <v>0</v>
      </c>
      <c r="M305" s="1376">
        <v>0</v>
      </c>
      <c r="N305" s="1376">
        <v>0</v>
      </c>
      <c r="O305" s="1296">
        <f>SUM(C305:N305)/12</f>
        <v>0</v>
      </c>
      <c r="P305" s="1294">
        <f>O305/M!$Q$14</f>
        <v>0</v>
      </c>
      <c r="Q305" s="1235"/>
      <c r="R305" s="1235"/>
      <c r="S305" s="1235"/>
      <c r="T305" s="1235"/>
      <c r="U305" s="1235"/>
      <c r="V305" s="1235"/>
      <c r="W305" s="1235"/>
    </row>
    <row r="306" spans="1:23" ht="12.75">
      <c r="A306" s="1297"/>
      <c r="B306" s="1295" t="s">
        <v>436</v>
      </c>
      <c r="C306" s="1376">
        <v>0</v>
      </c>
      <c r="D306" s="1376">
        <v>0</v>
      </c>
      <c r="E306" s="1376">
        <v>0</v>
      </c>
      <c r="F306" s="1376">
        <v>85</v>
      </c>
      <c r="G306" s="1376">
        <v>350</v>
      </c>
      <c r="H306" s="1376">
        <v>765</v>
      </c>
      <c r="I306" s="1375">
        <v>150</v>
      </c>
      <c r="J306" s="1374">
        <v>4</v>
      </c>
      <c r="K306" s="1375">
        <v>200</v>
      </c>
      <c r="L306" s="1375">
        <v>99</v>
      </c>
      <c r="M306" s="1375">
        <v>0</v>
      </c>
      <c r="N306" s="1375">
        <v>15</v>
      </c>
      <c r="O306" s="1296">
        <f>SUM(C306:N306)/12</f>
        <v>139</v>
      </c>
      <c r="P306" s="1294">
        <f>O306/M!$Q$14</f>
        <v>1.2464644275642008E-2</v>
      </c>
      <c r="Q306" s="1235"/>
      <c r="R306" s="1235"/>
      <c r="S306" s="1235"/>
      <c r="T306" s="1235"/>
      <c r="U306" s="1235"/>
      <c r="V306" s="1235"/>
      <c r="W306" s="1235"/>
    </row>
    <row r="307" spans="1:23" ht="12.75">
      <c r="A307" s="1297"/>
      <c r="B307" s="1295" t="s">
        <v>130</v>
      </c>
      <c r="C307" s="1375">
        <v>50</v>
      </c>
      <c r="D307" s="1375">
        <v>0</v>
      </c>
      <c r="E307" s="1376">
        <v>0</v>
      </c>
      <c r="F307" s="1376">
        <v>641</v>
      </c>
      <c r="G307" s="1376">
        <v>0</v>
      </c>
      <c r="H307" s="1376">
        <v>371</v>
      </c>
      <c r="I307" s="1375">
        <v>0</v>
      </c>
      <c r="J307" s="1374">
        <v>0</v>
      </c>
      <c r="K307" s="1375">
        <v>0</v>
      </c>
      <c r="L307" s="1375">
        <v>0</v>
      </c>
      <c r="M307" s="1375">
        <v>0</v>
      </c>
      <c r="N307" s="1375">
        <v>0</v>
      </c>
      <c r="O307" s="1296">
        <f>SUM(C307:N307)/12</f>
        <v>88.5</v>
      </c>
      <c r="P307" s="1294">
        <f>O307/M!$Q$14</f>
        <v>7.9361224344914952E-3</v>
      </c>
      <c r="Q307" s="1235"/>
      <c r="R307" s="1235"/>
      <c r="S307" s="1235"/>
      <c r="T307" s="1235"/>
      <c r="U307" s="1235"/>
      <c r="V307" s="1235"/>
      <c r="W307" s="1235"/>
    </row>
    <row r="308" spans="1:23">
      <c r="A308" s="2213" t="s">
        <v>286</v>
      </c>
      <c r="B308" s="2214"/>
      <c r="C308" s="2211">
        <f t="shared" ref="C308:N308" si="82">SUM(C310:C311)</f>
        <v>0</v>
      </c>
      <c r="D308" s="2211">
        <f t="shared" si="82"/>
        <v>0</v>
      </c>
      <c r="E308" s="2211">
        <f t="shared" si="82"/>
        <v>0</v>
      </c>
      <c r="F308" s="2211">
        <f t="shared" si="82"/>
        <v>0</v>
      </c>
      <c r="G308" s="2211">
        <f t="shared" si="82"/>
        <v>0</v>
      </c>
      <c r="H308" s="2211">
        <f t="shared" si="82"/>
        <v>0</v>
      </c>
      <c r="I308" s="2211">
        <f t="shared" si="82"/>
        <v>3000</v>
      </c>
      <c r="J308" s="2211">
        <f t="shared" si="82"/>
        <v>0</v>
      </c>
      <c r="K308" s="2211">
        <f t="shared" si="82"/>
        <v>0</v>
      </c>
      <c r="L308" s="2211">
        <f t="shared" si="82"/>
        <v>0</v>
      </c>
      <c r="M308" s="2211">
        <f t="shared" si="82"/>
        <v>0</v>
      </c>
      <c r="N308" s="2211">
        <f t="shared" si="82"/>
        <v>0</v>
      </c>
      <c r="O308" s="2211">
        <f>SUM(O310:O311)</f>
        <v>250</v>
      </c>
      <c r="P308" s="2207">
        <f>O308/M!$Q$14</f>
        <v>2.2418424956190664E-2</v>
      </c>
      <c r="Q308" s="1235"/>
      <c r="R308" s="1235"/>
      <c r="S308" s="1235"/>
      <c r="T308" s="1235"/>
      <c r="U308" s="1235"/>
      <c r="V308" s="1235"/>
      <c r="W308" s="1235"/>
    </row>
    <row r="309" spans="1:23">
      <c r="A309" s="2215"/>
      <c r="B309" s="2216"/>
      <c r="C309" s="2212"/>
      <c r="D309" s="2212"/>
      <c r="E309" s="2212"/>
      <c r="F309" s="2212"/>
      <c r="G309" s="2212"/>
      <c r="H309" s="2212"/>
      <c r="I309" s="2212"/>
      <c r="J309" s="2212"/>
      <c r="K309" s="2212"/>
      <c r="L309" s="2212"/>
      <c r="M309" s="2212"/>
      <c r="N309" s="2212"/>
      <c r="O309" s="2212"/>
      <c r="P309" s="2208"/>
      <c r="Q309" s="1235"/>
      <c r="R309" s="1235"/>
      <c r="S309" s="1235"/>
      <c r="T309" s="1235"/>
      <c r="U309" s="1235"/>
      <c r="V309" s="1235"/>
      <c r="W309" s="1235"/>
    </row>
    <row r="310" spans="1:23" ht="12.75">
      <c r="A310" s="2209"/>
      <c r="B310" s="1295" t="s">
        <v>82</v>
      </c>
      <c r="C310" s="1376">
        <v>0</v>
      </c>
      <c r="D310" s="1376">
        <v>0</v>
      </c>
      <c r="E310" s="1376">
        <v>0</v>
      </c>
      <c r="F310" s="1376">
        <v>0</v>
      </c>
      <c r="G310" s="1376">
        <v>0</v>
      </c>
      <c r="H310" s="1376">
        <v>0</v>
      </c>
      <c r="I310" s="1374">
        <v>3000</v>
      </c>
      <c r="J310" s="1374">
        <v>0</v>
      </c>
      <c r="K310" s="1374">
        <v>0</v>
      </c>
      <c r="L310" s="1374">
        <v>0</v>
      </c>
      <c r="M310" s="1374">
        <v>0</v>
      </c>
      <c r="N310" s="1374">
        <v>0</v>
      </c>
      <c r="O310" s="1296">
        <f>SUM(C310:N310)/12</f>
        <v>250</v>
      </c>
      <c r="P310" s="1294">
        <f>O310/M!$Q$14</f>
        <v>2.2418424956190664E-2</v>
      </c>
      <c r="Q310" s="1235"/>
      <c r="R310" s="1235"/>
      <c r="S310" s="1235"/>
      <c r="T310" s="1235"/>
      <c r="U310" s="1235"/>
      <c r="V310" s="1235"/>
      <c r="W310" s="1235"/>
    </row>
    <row r="311" spans="1:23" ht="12.75">
      <c r="A311" s="2234"/>
      <c r="B311" s="1295" t="s">
        <v>83</v>
      </c>
      <c r="C311" s="1376">
        <v>0</v>
      </c>
      <c r="D311" s="1376">
        <v>0</v>
      </c>
      <c r="E311" s="1376">
        <v>0</v>
      </c>
      <c r="F311" s="1376">
        <v>0</v>
      </c>
      <c r="G311" s="1376">
        <v>0</v>
      </c>
      <c r="H311" s="1376">
        <v>0</v>
      </c>
      <c r="I311" s="1374">
        <v>0</v>
      </c>
      <c r="J311" s="1374">
        <v>0</v>
      </c>
      <c r="K311" s="1374">
        <v>0</v>
      </c>
      <c r="L311" s="1374">
        <v>0</v>
      </c>
      <c r="M311" s="1374">
        <v>0</v>
      </c>
      <c r="N311" s="1374">
        <v>0</v>
      </c>
      <c r="O311" s="1296">
        <f>SUM(C311:N311)/12</f>
        <v>0</v>
      </c>
      <c r="P311" s="1294">
        <f>O311/M!$Q$14</f>
        <v>0</v>
      </c>
      <c r="Q311" s="1235"/>
      <c r="R311" s="1235"/>
      <c r="S311" s="1235"/>
      <c r="T311" s="1235"/>
      <c r="U311" s="1235"/>
      <c r="V311" s="1235"/>
      <c r="W311" s="1235"/>
    </row>
    <row r="312" spans="1:23" ht="12.75" customHeight="1">
      <c r="A312" s="1300" t="s">
        <v>437</v>
      </c>
      <c r="B312" s="1301"/>
      <c r="C312" s="1302">
        <f ca="1">C234+C248+C256+C262+C276+C266+ C293+C308+C303</f>
        <v>21040.633436802909</v>
      </c>
      <c r="D312" s="1302">
        <f t="shared" ref="D312:N312" ca="1" si="83">D234+D248+D256+D262+D276+D266+ D293+D308+D303</f>
        <v>16593.633436802909</v>
      </c>
      <c r="E312" s="1302">
        <f t="shared" ca="1" si="83"/>
        <v>16992.633436802909</v>
      </c>
      <c r="F312" s="1302">
        <f t="shared" ca="1" si="83"/>
        <v>24239.633436802909</v>
      </c>
      <c r="G312" s="1302">
        <f t="shared" ca="1" si="83"/>
        <v>19097.633436802909</v>
      </c>
      <c r="H312" s="1302">
        <f t="shared" ca="1" si="83"/>
        <v>22820.633436802909</v>
      </c>
      <c r="I312" s="1302">
        <f t="shared" ca="1" si="83"/>
        <v>29160.633436802909</v>
      </c>
      <c r="J312" s="1302">
        <f t="shared" ca="1" si="83"/>
        <v>24057.633436802909</v>
      </c>
      <c r="K312" s="1302">
        <f t="shared" ca="1" si="83"/>
        <v>20546.633436802909</v>
      </c>
      <c r="L312" s="1302">
        <f t="shared" ca="1" si="83"/>
        <v>22515.633436802909</v>
      </c>
      <c r="M312" s="1302">
        <f t="shared" ca="1" si="83"/>
        <v>22076.633436802909</v>
      </c>
      <c r="N312" s="1302">
        <f t="shared" ca="1" si="83"/>
        <v>18777.633436802909</v>
      </c>
      <c r="O312" s="1302">
        <f ca="1">SUM(C312:N312)/12</f>
        <v>21493.300103469581</v>
      </c>
      <c r="P312" s="1303">
        <f ca="1">O312/M!$Q$14</f>
        <v>1.9273837417220712</v>
      </c>
      <c r="Q312" s="1235"/>
      <c r="R312" s="1235"/>
      <c r="S312" s="1235"/>
      <c r="T312" s="1235"/>
      <c r="U312" s="1235"/>
      <c r="V312" s="1235"/>
      <c r="W312" s="1235"/>
    </row>
    <row r="313" spans="1:23" ht="15" customHeight="1">
      <c r="A313" s="1304" t="s">
        <v>658</v>
      </c>
      <c r="B313" s="1305"/>
      <c r="C313" s="1306">
        <f ca="1">C312/M!$Q$14</f>
        <v>1.8867914469347282</v>
      </c>
      <c r="D313" s="1306">
        <f ca="1">D312/M!$Q$14</f>
        <v>1.4880125038140086</v>
      </c>
      <c r="E313" s="1306">
        <f ca="1">E312/M!$Q$14</f>
        <v>1.5237923100440889</v>
      </c>
      <c r="F313" s="1306">
        <f ca="1">F312/M!$Q$14</f>
        <v>2.1736576126741438</v>
      </c>
      <c r="G313" s="1306">
        <f ca="1">G312/M!$Q$14</f>
        <v>1.7125554481752143</v>
      </c>
      <c r="H313" s="1306">
        <f ca="1">H312/M!$Q$14</f>
        <v>2.0464106326228055</v>
      </c>
      <c r="I313" s="1306">
        <f ca="1">I312/M!$Q$14</f>
        <v>2.6149418895118011</v>
      </c>
      <c r="J313" s="1306">
        <f ca="1">J312/M!$Q$14</f>
        <v>2.157336999306037</v>
      </c>
      <c r="K313" s="1306">
        <f ca="1">K312/M!$Q$14</f>
        <v>1.8424926392212955</v>
      </c>
      <c r="L313" s="1306">
        <f ca="1">L312/M!$Q$14</f>
        <v>2.0190601541762532</v>
      </c>
      <c r="M313" s="1306">
        <f ca="1">M312/M!$Q$14</f>
        <v>1.9796933999531823</v>
      </c>
      <c r="N313" s="1306">
        <f ca="1">N312/M!$Q$14</f>
        <v>1.6838598642312903</v>
      </c>
      <c r="O313" s="1306">
        <f ca="1">O312/M!$Q$14</f>
        <v>1.9273837417220712</v>
      </c>
      <c r="P313" s="1307"/>
      <c r="Q313" s="1235"/>
      <c r="R313" s="1235"/>
      <c r="S313" s="1235"/>
      <c r="T313" s="1235"/>
      <c r="U313" s="1235"/>
      <c r="V313" s="1235"/>
      <c r="W313" s="1235"/>
    </row>
    <row r="314" spans="1:23">
      <c r="A314" s="1235"/>
      <c r="B314" s="1235"/>
      <c r="C314" s="1235"/>
      <c r="D314" s="1235"/>
      <c r="E314" s="1235"/>
      <c r="F314" s="1235"/>
      <c r="G314" s="1235"/>
      <c r="H314" s="1235"/>
      <c r="I314" s="1235"/>
      <c r="J314" s="1235"/>
      <c r="K314" s="1235"/>
      <c r="L314" s="1235"/>
      <c r="M314" s="1235"/>
      <c r="N314" s="1235"/>
      <c r="O314" s="1235"/>
      <c r="P314" s="1235"/>
      <c r="Q314" s="1235"/>
      <c r="R314" s="1235"/>
      <c r="S314" s="1235"/>
      <c r="T314" s="1235"/>
      <c r="U314" s="1235"/>
      <c r="V314" s="1235"/>
      <c r="W314" s="1235"/>
    </row>
    <row r="315" spans="1:23">
      <c r="A315" s="1235"/>
      <c r="B315" s="1235"/>
      <c r="C315" s="1235"/>
      <c r="D315" s="1235"/>
      <c r="E315" s="1235"/>
      <c r="F315" s="1235"/>
      <c r="G315" s="1235"/>
      <c r="H315" s="1235"/>
      <c r="I315" s="1235"/>
      <c r="J315" s="1235"/>
      <c r="K315" s="1235"/>
      <c r="L315" s="1235"/>
      <c r="M315" s="1235"/>
      <c r="N315" s="1235"/>
      <c r="O315" s="1235"/>
      <c r="P315" s="1235"/>
      <c r="Q315" s="1235"/>
      <c r="R315" s="1235"/>
      <c r="S315" s="1235"/>
      <c r="T315" s="1235"/>
      <c r="U315" s="1235"/>
      <c r="V315" s="1235"/>
      <c r="W315" s="1235"/>
    </row>
    <row r="316" spans="1:23">
      <c r="A316" s="2220">
        <v>2022</v>
      </c>
      <c r="B316" s="2221"/>
      <c r="C316" s="2221"/>
      <c r="D316" s="2221"/>
      <c r="E316" s="2221"/>
      <c r="F316" s="2221"/>
      <c r="G316" s="2221"/>
      <c r="H316" s="2221"/>
      <c r="I316" s="2221"/>
      <c r="J316" s="2221"/>
      <c r="K316" s="2221"/>
      <c r="L316" s="2221"/>
      <c r="M316" s="2221"/>
      <c r="N316" s="2221"/>
      <c r="O316" s="2221"/>
      <c r="P316" s="2222"/>
      <c r="Q316" s="1235"/>
      <c r="R316" s="1235"/>
      <c r="S316" s="1235"/>
      <c r="T316" s="1235"/>
      <c r="U316" s="1235"/>
      <c r="V316" s="1235"/>
      <c r="W316" s="1235"/>
    </row>
    <row r="317" spans="1:23">
      <c r="A317" s="1171" t="s">
        <v>388</v>
      </c>
      <c r="B317" s="1172"/>
      <c r="C317" s="1173" t="s">
        <v>309</v>
      </c>
      <c r="D317" s="1173" t="s">
        <v>311</v>
      </c>
      <c r="E317" s="1173" t="s">
        <v>312</v>
      </c>
      <c r="F317" s="1173" t="s">
        <v>313</v>
      </c>
      <c r="G317" s="1173" t="s">
        <v>314</v>
      </c>
      <c r="H317" s="1173" t="s">
        <v>315</v>
      </c>
      <c r="I317" s="1173" t="s">
        <v>316</v>
      </c>
      <c r="J317" s="1173" t="s">
        <v>317</v>
      </c>
      <c r="K317" s="1173" t="s">
        <v>318</v>
      </c>
      <c r="L317" s="1173" t="s">
        <v>319</v>
      </c>
      <c r="M317" s="1173" t="s">
        <v>320</v>
      </c>
      <c r="N317" s="1173" t="s">
        <v>321</v>
      </c>
      <c r="O317" s="1174" t="s">
        <v>660</v>
      </c>
      <c r="P317" s="1175" t="s">
        <v>661</v>
      </c>
      <c r="Q317" s="1235"/>
      <c r="R317" s="1235"/>
      <c r="S317" s="1235"/>
      <c r="T317" s="1235"/>
      <c r="U317" s="1235"/>
      <c r="V317" s="1235"/>
      <c r="W317" s="1235"/>
    </row>
    <row r="318" spans="1:23">
      <c r="A318" s="2199" t="s">
        <v>56</v>
      </c>
      <c r="B318" s="2200"/>
      <c r="C318" s="2203">
        <f t="shared" ref="C318:I318" ca="1" si="84">C320+ SUM(C326:C331)</f>
        <v>25548.633436802909</v>
      </c>
      <c r="D318" s="2203">
        <f t="shared" ca="1" si="84"/>
        <v>12663.957970880041</v>
      </c>
      <c r="E318" s="2203">
        <f t="shared" ca="1" si="84"/>
        <v>18793.633436802909</v>
      </c>
      <c r="F318" s="2203">
        <f t="shared" ca="1" si="84"/>
        <v>12673.633436802909</v>
      </c>
      <c r="G318" s="2203">
        <f t="shared" ca="1" si="84"/>
        <v>12673.633436802909</v>
      </c>
      <c r="H318" s="2203">
        <f t="shared" ca="1" si="84"/>
        <v>12673.633436802909</v>
      </c>
      <c r="I318" s="2203">
        <f t="shared" ca="1" si="84"/>
        <v>12673.633436802909</v>
      </c>
      <c r="J318" s="2203">
        <f t="shared" ref="J318:O318" ca="1" si="85">J320+ SUM(J326:J331)</f>
        <v>12673.633436802909</v>
      </c>
      <c r="K318" s="2203">
        <f t="shared" ca="1" si="85"/>
        <v>12943.633436802909</v>
      </c>
      <c r="L318" s="2203">
        <f t="shared" ca="1" si="85"/>
        <v>12673.633436802909</v>
      </c>
      <c r="M318" s="2203">
        <f t="shared" ca="1" si="85"/>
        <v>12673.633436802909</v>
      </c>
      <c r="N318" s="2203">
        <f t="shared" ca="1" si="85"/>
        <v>12673.633436802909</v>
      </c>
      <c r="O318" s="2203">
        <f t="shared" ca="1" si="85"/>
        <v>14278.243814642668</v>
      </c>
      <c r="P318" s="2205">
        <f ca="1">O318/M!$Q$14</f>
        <v>1.2803829498590407</v>
      </c>
      <c r="Q318" s="1235"/>
      <c r="R318" s="1235"/>
      <c r="S318" s="1235"/>
      <c r="T318" s="1235"/>
      <c r="U318" s="1235"/>
      <c r="V318" s="1235"/>
      <c r="W318" s="1235"/>
    </row>
    <row r="319" spans="1:23">
      <c r="A319" s="2201"/>
      <c r="B319" s="2202"/>
      <c r="C319" s="2204"/>
      <c r="D319" s="2204"/>
      <c r="E319" s="2204"/>
      <c r="F319" s="2204"/>
      <c r="G319" s="2204"/>
      <c r="H319" s="2204"/>
      <c r="I319" s="2204"/>
      <c r="J319" s="2204"/>
      <c r="K319" s="2204"/>
      <c r="L319" s="2204"/>
      <c r="M319" s="2204"/>
      <c r="N319" s="2204"/>
      <c r="O319" s="2204"/>
      <c r="P319" s="2206"/>
      <c r="Q319" s="1235"/>
      <c r="R319" s="1235"/>
      <c r="S319" s="1235"/>
      <c r="T319" s="1235"/>
      <c r="U319" s="1235"/>
      <c r="V319" s="1235"/>
      <c r="W319" s="1235"/>
    </row>
    <row r="320" spans="1:23">
      <c r="A320" s="2217"/>
      <c r="B320" s="1176" t="s">
        <v>662</v>
      </c>
      <c r="C320" s="1177">
        <f ca="1">SUM(C321:C322)</f>
        <v>9423.6334368029093</v>
      </c>
      <c r="D320" s="1177">
        <f t="shared" ref="D320:N320" ca="1" si="86">SUM(D321:D322)</f>
        <v>9413.9579708800411</v>
      </c>
      <c r="E320" s="1177">
        <f t="shared" ca="1" si="86"/>
        <v>9423.6334368029093</v>
      </c>
      <c r="F320" s="1177">
        <f t="shared" ca="1" si="86"/>
        <v>9423.6334368029093</v>
      </c>
      <c r="G320" s="1177">
        <f t="shared" ca="1" si="86"/>
        <v>9423.6334368029093</v>
      </c>
      <c r="H320" s="1177">
        <f t="shared" ca="1" si="86"/>
        <v>9423.6334368029093</v>
      </c>
      <c r="I320" s="1177">
        <f t="shared" ca="1" si="86"/>
        <v>9423.6334368029093</v>
      </c>
      <c r="J320" s="1177">
        <f t="shared" ca="1" si="86"/>
        <v>9423.6334368029093</v>
      </c>
      <c r="K320" s="1177">
        <f t="shared" ca="1" si="86"/>
        <v>9423.6334368029093</v>
      </c>
      <c r="L320" s="1177">
        <f t="shared" ca="1" si="86"/>
        <v>9423.6334368029093</v>
      </c>
      <c r="M320" s="1177">
        <f t="shared" ca="1" si="86"/>
        <v>9423.6334368029093</v>
      </c>
      <c r="N320" s="1177">
        <f t="shared" ca="1" si="86"/>
        <v>9423.6334368029093</v>
      </c>
      <c r="O320" s="1179">
        <f t="shared" ref="O320:O331" ca="1" si="87">SUM(C320:N320)/12</f>
        <v>9422.8271479760024</v>
      </c>
      <c r="P320" s="1180">
        <f ca="1">O320/M!$Q$14</f>
        <v>0.84497977316822437</v>
      </c>
      <c r="Q320" s="1235"/>
      <c r="R320" s="1235"/>
      <c r="S320" s="1235"/>
      <c r="T320" s="1235"/>
      <c r="U320" s="1235"/>
      <c r="V320" s="1235"/>
      <c r="W320" s="1235"/>
    </row>
    <row r="321" spans="1:23">
      <c r="A321" s="2218"/>
      <c r="B321" s="1195" t="s">
        <v>663</v>
      </c>
      <c r="C321" s="1178">
        <f ca="1">Mortgage!I$31</f>
        <v>4779.4097938262594</v>
      </c>
      <c r="D321" s="1178">
        <f ca="1">Mortgage!I$32</f>
        <v>4769.7343279033921</v>
      </c>
      <c r="E321" s="1178">
        <f ca="1">Mortgage!I$32</f>
        <v>4769.7343279033921</v>
      </c>
      <c r="F321" s="1178">
        <f ca="1">Mortgage!I$33</f>
        <v>4760.0387047598515</v>
      </c>
      <c r="G321" s="1178">
        <f ca="1">Mortgage!I$34</f>
        <v>4750.3228824014286</v>
      </c>
      <c r="H321" s="1178">
        <f ca="1">Mortgage!I$35</f>
        <v>4740.5868187464257</v>
      </c>
      <c r="I321" s="1178">
        <f ca="1">Mortgage!I$36</f>
        <v>4730.8304716254752</v>
      </c>
      <c r="J321" s="1178">
        <f ca="1">Mortgage!I$37</f>
        <v>4721.0537987813559</v>
      </c>
      <c r="K321" s="1178">
        <f ca="1">Mortgage!I$38</f>
        <v>4711.2567578688104</v>
      </c>
      <c r="L321" s="1178">
        <f ca="1">Mortgage!I$39</f>
        <v>4701.4393064543647</v>
      </c>
      <c r="M321" s="1178">
        <f ca="1">Mortgage!I$40</f>
        <v>4691.6014020161383</v>
      </c>
      <c r="N321" s="1178">
        <f ca="1">Mortgage!I$41</f>
        <v>4681.7430019436651</v>
      </c>
      <c r="O321" s="1179">
        <f t="shared" ca="1" si="87"/>
        <v>4733.9792995192138</v>
      </c>
      <c r="P321" s="1180">
        <f ca="1">O321/M!$Q$14</f>
        <v>0.42451343868172614</v>
      </c>
      <c r="Q321" s="1235"/>
      <c r="R321" s="1235"/>
      <c r="S321" s="1235"/>
      <c r="T321" s="1235"/>
      <c r="U321" s="1235"/>
      <c r="V321" s="1235"/>
      <c r="W321" s="1235"/>
    </row>
    <row r="322" spans="1:23">
      <c r="A322" s="2218"/>
      <c r="B322" s="1195" t="s">
        <v>664</v>
      </c>
      <c r="C322" s="1178">
        <f ca="1">Mortgage!H31</f>
        <v>4644.2236429766499</v>
      </c>
      <c r="D322" s="1178">
        <f ca="1">Mortgage!H31</f>
        <v>4644.2236429766499</v>
      </c>
      <c r="E322" s="1178">
        <f ca="1">Mortgage!H32</f>
        <v>4653.8991088995172</v>
      </c>
      <c r="F322" s="1178">
        <f ca="1">Mortgage!H33</f>
        <v>4663.5947320430578</v>
      </c>
      <c r="G322" s="1178">
        <f ca="1">Mortgage!H34</f>
        <v>4673.3105544014807</v>
      </c>
      <c r="H322" s="1178">
        <f ca="1">Mortgage!H35</f>
        <v>4683.0466180564836</v>
      </c>
      <c r="I322" s="1178">
        <f ca="1">Mortgage!H36</f>
        <v>4692.8029651774341</v>
      </c>
      <c r="J322" s="1178">
        <f ca="1">Mortgage!H37</f>
        <v>4702.5796380215534</v>
      </c>
      <c r="K322" s="1178">
        <f ca="1">Mortgage!H38</f>
        <v>4712.3766789340989</v>
      </c>
      <c r="L322" s="1178">
        <f ca="1">Mortgage!H39</f>
        <v>4722.1941303485446</v>
      </c>
      <c r="M322" s="1178">
        <f ca="1">Mortgage!H40</f>
        <v>4732.032034786771</v>
      </c>
      <c r="N322" s="1178">
        <f ca="1">Mortgage!H41</f>
        <v>4741.8904348592441</v>
      </c>
      <c r="O322" s="1179">
        <f t="shared" ca="1" si="87"/>
        <v>4688.8478484567904</v>
      </c>
      <c r="P322" s="1180">
        <f ca="1">O322/M!$Q$14</f>
        <v>0.42046633448649839</v>
      </c>
      <c r="Q322" s="1235"/>
      <c r="R322" s="1235"/>
      <c r="S322" s="1235"/>
      <c r="T322" s="1235"/>
      <c r="U322" s="1235"/>
      <c r="V322" s="1235"/>
      <c r="W322" s="1235"/>
    </row>
    <row r="323" spans="1:23">
      <c r="A323" s="2218"/>
      <c r="B323" s="1176" t="s">
        <v>450</v>
      </c>
      <c r="C323" s="1178">
        <v>0</v>
      </c>
      <c r="D323" s="1178">
        <v>0</v>
      </c>
      <c r="E323" s="1178">
        <v>0</v>
      </c>
      <c r="F323" s="1178">
        <v>0</v>
      </c>
      <c r="G323" s="1178">
        <v>0</v>
      </c>
      <c r="H323" s="1178">
        <v>0</v>
      </c>
      <c r="I323" s="1178">
        <v>0</v>
      </c>
      <c r="J323" s="1178">
        <v>0</v>
      </c>
      <c r="K323" s="1178">
        <v>0</v>
      </c>
      <c r="L323" s="1178">
        <v>0</v>
      </c>
      <c r="M323" s="1178">
        <v>0</v>
      </c>
      <c r="N323" s="1178">
        <v>0</v>
      </c>
      <c r="O323" s="1179">
        <f t="shared" si="87"/>
        <v>0</v>
      </c>
      <c r="P323" s="1180">
        <f>O323/M!$Q$14</f>
        <v>0</v>
      </c>
      <c r="Q323" s="1235"/>
      <c r="R323" s="1235"/>
      <c r="S323" s="1235"/>
      <c r="T323" s="1235"/>
      <c r="U323" s="1235"/>
      <c r="V323" s="1235"/>
      <c r="W323" s="1235"/>
    </row>
    <row r="324" spans="1:23">
      <c r="A324" s="2218"/>
      <c r="B324" s="1195" t="s">
        <v>665</v>
      </c>
      <c r="C324" s="1178">
        <v>0</v>
      </c>
      <c r="D324" s="1178">
        <v>0</v>
      </c>
      <c r="E324" s="1178">
        <v>0</v>
      </c>
      <c r="F324" s="1178">
        <v>0</v>
      </c>
      <c r="G324" s="1178">
        <v>0</v>
      </c>
      <c r="H324" s="1178">
        <v>0</v>
      </c>
      <c r="I324" s="1178">
        <v>0</v>
      </c>
      <c r="J324" s="1178">
        <v>0</v>
      </c>
      <c r="K324" s="1178">
        <v>0</v>
      </c>
      <c r="L324" s="1178">
        <v>0</v>
      </c>
      <c r="M324" s="1178">
        <v>0</v>
      </c>
      <c r="N324" s="1178">
        <v>0</v>
      </c>
      <c r="O324" s="1179">
        <f t="shared" si="87"/>
        <v>0</v>
      </c>
      <c r="P324" s="1180">
        <f>O324/M!$Q$14</f>
        <v>0</v>
      </c>
      <c r="Q324" s="1235"/>
      <c r="R324" s="1235"/>
      <c r="S324" s="1235"/>
      <c r="T324" s="1235"/>
      <c r="U324" s="1235"/>
      <c r="V324" s="1235"/>
      <c r="W324" s="1235"/>
    </row>
    <row r="325" spans="1:23">
      <c r="A325" s="2218"/>
      <c r="B325" s="1195" t="s">
        <v>664</v>
      </c>
      <c r="C325" s="1178">
        <v>0</v>
      </c>
      <c r="D325" s="1178">
        <v>0</v>
      </c>
      <c r="E325" s="1178">
        <v>0</v>
      </c>
      <c r="F325" s="1178">
        <v>0</v>
      </c>
      <c r="G325" s="1178">
        <v>0</v>
      </c>
      <c r="H325" s="1178">
        <v>0</v>
      </c>
      <c r="I325" s="1178">
        <v>0</v>
      </c>
      <c r="J325" s="1178">
        <v>0</v>
      </c>
      <c r="K325" s="1178">
        <v>0</v>
      </c>
      <c r="L325" s="1178">
        <v>0</v>
      </c>
      <c r="M325" s="1178">
        <v>0</v>
      </c>
      <c r="N325" s="1178">
        <v>0</v>
      </c>
      <c r="O325" s="1179">
        <f t="shared" si="87"/>
        <v>0</v>
      </c>
      <c r="P325" s="1180">
        <f>O325/M!$Q$14</f>
        <v>0</v>
      </c>
      <c r="Q325" s="1235"/>
      <c r="R325" s="1235"/>
      <c r="S325" s="1235"/>
      <c r="T325" s="1235"/>
      <c r="U325" s="1235"/>
      <c r="V325" s="1235"/>
      <c r="W325" s="1235"/>
    </row>
    <row r="326" spans="1:23">
      <c r="A326" s="2218"/>
      <c r="B326" s="1176" t="s">
        <v>287</v>
      </c>
      <c r="C326" s="1178">
        <f>39000/12</f>
        <v>3250</v>
      </c>
      <c r="D326" s="1178">
        <f t="shared" ref="D326:N326" si="88">39000/12</f>
        <v>3250</v>
      </c>
      <c r="E326" s="1178">
        <f t="shared" si="88"/>
        <v>3250</v>
      </c>
      <c r="F326" s="1178">
        <f t="shared" si="88"/>
        <v>3250</v>
      </c>
      <c r="G326" s="1178">
        <f t="shared" si="88"/>
        <v>3250</v>
      </c>
      <c r="H326" s="1178">
        <f t="shared" si="88"/>
        <v>3250</v>
      </c>
      <c r="I326" s="1178">
        <f t="shared" si="88"/>
        <v>3250</v>
      </c>
      <c r="J326" s="1178">
        <f t="shared" si="88"/>
        <v>3250</v>
      </c>
      <c r="K326" s="1178">
        <f t="shared" si="88"/>
        <v>3250</v>
      </c>
      <c r="L326" s="1178">
        <f t="shared" si="88"/>
        <v>3250</v>
      </c>
      <c r="M326" s="1178">
        <f t="shared" si="88"/>
        <v>3250</v>
      </c>
      <c r="N326" s="1178">
        <f t="shared" si="88"/>
        <v>3250</v>
      </c>
      <c r="O326" s="1179">
        <f t="shared" si="87"/>
        <v>3250</v>
      </c>
      <c r="P326" s="1180">
        <f>O326/M!$Q$14</f>
        <v>0.2914395244304786</v>
      </c>
      <c r="Q326" s="1235"/>
      <c r="R326" s="1235"/>
      <c r="S326" s="1235"/>
      <c r="T326" s="1235"/>
      <c r="U326" s="1235"/>
      <c r="V326" s="1235"/>
      <c r="W326" s="1235"/>
    </row>
    <row r="327" spans="1:23">
      <c r="A327" s="2218"/>
      <c r="B327" s="1176" t="s">
        <v>453</v>
      </c>
      <c r="C327" s="1178">
        <v>0</v>
      </c>
      <c r="D327" s="1178">
        <v>0</v>
      </c>
      <c r="E327" s="1178">
        <v>0</v>
      </c>
      <c r="F327" s="1178">
        <v>0</v>
      </c>
      <c r="G327" s="1178">
        <v>0</v>
      </c>
      <c r="H327" s="1178">
        <v>0</v>
      </c>
      <c r="I327" s="1178">
        <v>0</v>
      </c>
      <c r="J327" s="1178">
        <v>0</v>
      </c>
      <c r="K327" s="1178">
        <v>0</v>
      </c>
      <c r="L327" s="1178">
        <v>0</v>
      </c>
      <c r="M327" s="1178">
        <v>0</v>
      </c>
      <c r="N327" s="1178">
        <v>0</v>
      </c>
      <c r="O327" s="1179">
        <f t="shared" si="87"/>
        <v>0</v>
      </c>
      <c r="P327" s="1180">
        <f>O327/M!$Q$14</f>
        <v>0</v>
      </c>
      <c r="Q327" s="1235"/>
      <c r="R327" s="1235"/>
      <c r="S327" s="1235"/>
      <c r="T327" s="1235"/>
      <c r="U327" s="1235"/>
      <c r="V327" s="1235"/>
      <c r="W327" s="1235"/>
    </row>
    <row r="328" spans="1:23">
      <c r="A328" s="2218"/>
      <c r="B328" s="1176" t="s">
        <v>400</v>
      </c>
      <c r="C328" s="1178">
        <v>0</v>
      </c>
      <c r="D328" s="1178">
        <v>0</v>
      </c>
      <c r="E328" s="1178">
        <v>0</v>
      </c>
      <c r="F328" s="1178">
        <v>0</v>
      </c>
      <c r="G328" s="1178">
        <v>0</v>
      </c>
      <c r="H328" s="1178">
        <v>0</v>
      </c>
      <c r="I328" s="1178">
        <v>0</v>
      </c>
      <c r="J328" s="1178">
        <v>0</v>
      </c>
      <c r="K328" s="1178">
        <v>0</v>
      </c>
      <c r="L328" s="1178">
        <v>0</v>
      </c>
      <c r="M328" s="1178">
        <v>0</v>
      </c>
      <c r="N328" s="1178">
        <v>0</v>
      </c>
      <c r="O328" s="1179">
        <f t="shared" si="87"/>
        <v>0</v>
      </c>
      <c r="P328" s="1180">
        <f>O328/M!$Q$14</f>
        <v>0</v>
      </c>
      <c r="Q328" s="1235"/>
      <c r="R328" s="1235"/>
      <c r="S328" s="1235"/>
      <c r="T328" s="1235"/>
      <c r="U328" s="1235"/>
      <c r="V328" s="1235"/>
      <c r="W328" s="1235"/>
    </row>
    <row r="329" spans="1:23">
      <c r="A329" s="2218"/>
      <c r="B329" s="1176" t="s">
        <v>401</v>
      </c>
      <c r="C329" s="1178">
        <v>0</v>
      </c>
      <c r="D329" s="1178">
        <v>0</v>
      </c>
      <c r="E329" s="1178">
        <v>0</v>
      </c>
      <c r="F329" s="1178">
        <v>0</v>
      </c>
      <c r="G329" s="1178">
        <v>0</v>
      </c>
      <c r="H329" s="1178">
        <v>0</v>
      </c>
      <c r="I329" s="1178">
        <v>0</v>
      </c>
      <c r="J329" s="1178">
        <v>0</v>
      </c>
      <c r="K329" s="1178">
        <v>0</v>
      </c>
      <c r="L329" s="1178">
        <v>0</v>
      </c>
      <c r="M329" s="1178">
        <v>0</v>
      </c>
      <c r="N329" s="1178">
        <v>0</v>
      </c>
      <c r="O329" s="1179">
        <f t="shared" si="87"/>
        <v>0</v>
      </c>
      <c r="P329" s="1180">
        <f>O329/M!$Q$14</f>
        <v>0</v>
      </c>
      <c r="Q329" s="1235"/>
      <c r="R329" s="1235"/>
      <c r="S329" s="1235"/>
      <c r="T329" s="1235"/>
      <c r="U329" s="1235"/>
      <c r="V329" s="1235"/>
      <c r="W329" s="1235"/>
    </row>
    <row r="330" spans="1:23">
      <c r="A330" s="2218"/>
      <c r="B330" s="1176" t="s">
        <v>402</v>
      </c>
      <c r="C330" s="1178">
        <v>0</v>
      </c>
      <c r="D330" s="1178">
        <v>0</v>
      </c>
      <c r="E330" s="1178">
        <v>0</v>
      </c>
      <c r="F330" s="1178">
        <v>0</v>
      </c>
      <c r="G330" s="1178">
        <v>0</v>
      </c>
      <c r="H330" s="1178">
        <v>0</v>
      </c>
      <c r="I330" s="1178">
        <v>0</v>
      </c>
      <c r="J330" s="1178">
        <v>0</v>
      </c>
      <c r="K330" s="1178">
        <v>0</v>
      </c>
      <c r="L330" s="1178">
        <v>0</v>
      </c>
      <c r="M330" s="1178">
        <v>0</v>
      </c>
      <c r="N330" s="1178">
        <v>0</v>
      </c>
      <c r="O330" s="1179">
        <f t="shared" si="87"/>
        <v>0</v>
      </c>
      <c r="P330" s="1180">
        <f>O330/M!$Q$14</f>
        <v>0</v>
      </c>
      <c r="Q330" s="1235"/>
      <c r="R330" s="1235"/>
      <c r="S330" s="1235"/>
      <c r="T330" s="1235"/>
      <c r="U330" s="1235"/>
      <c r="V330" s="1235"/>
      <c r="W330" s="1235"/>
    </row>
    <row r="331" spans="1:23">
      <c r="A331" s="2219"/>
      <c r="B331" s="1176" t="s">
        <v>674</v>
      </c>
      <c r="C331" s="1196">
        <f>SUMIF(Jan!$CF$1:$CF$186,$B331,Jan!$CE$1:$CE$186)</f>
        <v>12875</v>
      </c>
      <c r="D331" s="1196">
        <f>SUMIF(Feb!$CF$1:$CF$171,$B331,Feb!$CE$1:$CE$171)</f>
        <v>0</v>
      </c>
      <c r="E331" s="1196">
        <f>SUMIF(Mar!$CF$1:$CF$201,$B331,Mar!$CE$1:$CE$201)</f>
        <v>6120</v>
      </c>
      <c r="F331" s="1196">
        <f>SUMIF(Apr!$CF$1:$CF$170,$B331,Apr!$CE$1:$CE$170)</f>
        <v>0</v>
      </c>
      <c r="G331" s="1197">
        <f>SUMIF(May!$CF$1:$CF$176,$B331,May!$CE$1:$CE$176)</f>
        <v>0</v>
      </c>
      <c r="H331" s="1196">
        <f>SUMIF(Jun!$CF$1:$CF$182,$B331,Jun!$CE$1:$CE$182)</f>
        <v>0</v>
      </c>
      <c r="I331" s="1196">
        <f>SUMIF(Jul!$CF$1:$CF$189,$B331,Jul!$CE$1:$CE$189)</f>
        <v>0</v>
      </c>
      <c r="J331" s="1197">
        <f>SUMIF(Aug!$CF$1:$CF$196,$B331,Aug!$CE$1:$CE$196)</f>
        <v>0</v>
      </c>
      <c r="K331" s="1197">
        <f>SUMIF(Sep!$CF$1:$CF$196,$B331,Sep!$CE$1:$CE$196)</f>
        <v>270</v>
      </c>
      <c r="L331" s="1197">
        <f>SUMIF(Oct!$CF$1:$CF$215,$B331,Oct!$CE$1:$CE$215)</f>
        <v>0</v>
      </c>
      <c r="M331" s="1197">
        <f>SUMIF(Nov!$CF$1:$CF$214,$B331,Nov!$CE$1:$CE$214)</f>
        <v>0</v>
      </c>
      <c r="N331" s="1197">
        <f>SUMIF(Dec!$CF$1:$CF$214,$B331,Dec!$CE$1:$CE$214)</f>
        <v>0</v>
      </c>
      <c r="O331" s="1179">
        <f t="shared" si="87"/>
        <v>1605.4166666666667</v>
      </c>
      <c r="P331" s="1180">
        <f>O331/M!$Q$14</f>
        <v>0.14396365226033772</v>
      </c>
      <c r="Q331" s="1235"/>
      <c r="R331" s="1235"/>
      <c r="S331" s="1235"/>
      <c r="T331" s="1235"/>
      <c r="U331" s="1235"/>
      <c r="V331" s="1235"/>
      <c r="W331" s="1235"/>
    </row>
    <row r="332" spans="1:23">
      <c r="A332" s="2199" t="s">
        <v>276</v>
      </c>
      <c r="B332" s="2200"/>
      <c r="C332" s="2203">
        <f t="shared" ref="C332:N332" si="89">SUM(C334:C339)</f>
        <v>124</v>
      </c>
      <c r="D332" s="2203">
        <f t="shared" si="89"/>
        <v>90</v>
      </c>
      <c r="E332" s="2203">
        <f t="shared" si="89"/>
        <v>90</v>
      </c>
      <c r="F332" s="2203">
        <f t="shared" si="89"/>
        <v>90</v>
      </c>
      <c r="G332" s="2203">
        <f t="shared" si="89"/>
        <v>90</v>
      </c>
      <c r="H332" s="2203">
        <f t="shared" si="89"/>
        <v>1681</v>
      </c>
      <c r="I332" s="2203">
        <f t="shared" si="89"/>
        <v>311</v>
      </c>
      <c r="J332" s="2203">
        <f t="shared" si="89"/>
        <v>90</v>
      </c>
      <c r="K332" s="2203">
        <f t="shared" si="89"/>
        <v>90</v>
      </c>
      <c r="L332" s="2203">
        <f t="shared" si="89"/>
        <v>124</v>
      </c>
      <c r="M332" s="2203">
        <f t="shared" si="89"/>
        <v>90</v>
      </c>
      <c r="N332" s="2203">
        <f t="shared" si="89"/>
        <v>150</v>
      </c>
      <c r="O332" s="2203">
        <f>SUM(O334:O339)</f>
        <v>251.66666666666666</v>
      </c>
      <c r="P332" s="2205">
        <f>O332/M!$Q$14</f>
        <v>2.2567881122565265E-2</v>
      </c>
      <c r="Q332" s="1235"/>
      <c r="R332" s="1235"/>
      <c r="S332" s="1235"/>
      <c r="T332" s="1235"/>
      <c r="U332" s="1235"/>
      <c r="V332" s="1235"/>
      <c r="W332" s="1235"/>
    </row>
    <row r="333" spans="1:23">
      <c r="A333" s="2201"/>
      <c r="B333" s="2202"/>
      <c r="C333" s="2204"/>
      <c r="D333" s="2204"/>
      <c r="E333" s="2204"/>
      <c r="F333" s="2204"/>
      <c r="G333" s="2204"/>
      <c r="H333" s="2204"/>
      <c r="I333" s="2204"/>
      <c r="J333" s="2204"/>
      <c r="K333" s="2204"/>
      <c r="L333" s="2204"/>
      <c r="M333" s="2204"/>
      <c r="N333" s="2204"/>
      <c r="O333" s="2204"/>
      <c r="P333" s="2206"/>
      <c r="Q333" s="1235"/>
      <c r="R333" s="1235"/>
      <c r="S333" s="1235"/>
      <c r="T333" s="1235"/>
      <c r="U333" s="1235"/>
      <c r="V333" s="1235"/>
      <c r="W333" s="1235"/>
    </row>
    <row r="334" spans="1:23">
      <c r="A334" s="2217"/>
      <c r="B334" s="1176" t="s">
        <v>666</v>
      </c>
      <c r="C334" s="1178">
        <v>0</v>
      </c>
      <c r="D334" s="1178">
        <v>0</v>
      </c>
      <c r="E334" s="1178">
        <v>0</v>
      </c>
      <c r="F334" s="1178">
        <v>0</v>
      </c>
      <c r="G334" s="1178">
        <v>0</v>
      </c>
      <c r="H334" s="1178">
        <v>0</v>
      </c>
      <c r="I334" s="1178">
        <v>0</v>
      </c>
      <c r="J334" s="1178">
        <v>0</v>
      </c>
      <c r="K334" s="1178">
        <v>0</v>
      </c>
      <c r="L334" s="1178">
        <v>0</v>
      </c>
      <c r="M334" s="1178">
        <v>0</v>
      </c>
      <c r="N334" s="1178">
        <v>0</v>
      </c>
      <c r="O334" s="1179">
        <f t="shared" ref="O334:O339" si="90">SUM(C334:N334)/12</f>
        <v>0</v>
      </c>
      <c r="P334" s="1180">
        <f>O334/M!$Q$14</f>
        <v>0</v>
      </c>
      <c r="Q334" s="1235"/>
      <c r="R334" s="1235"/>
      <c r="S334" s="1235"/>
      <c r="T334" s="1235"/>
      <c r="U334" s="1235"/>
      <c r="V334" s="1235"/>
      <c r="W334" s="1235"/>
    </row>
    <row r="335" spans="1:23">
      <c r="A335" s="2218"/>
      <c r="B335" s="1176" t="s">
        <v>400</v>
      </c>
      <c r="C335" s="1182">
        <v>90</v>
      </c>
      <c r="D335" s="1182">
        <v>90</v>
      </c>
      <c r="E335" s="1182">
        <v>90</v>
      </c>
      <c r="F335" s="1182">
        <v>90</v>
      </c>
      <c r="G335" s="1182">
        <v>90</v>
      </c>
      <c r="H335" s="1182">
        <v>90</v>
      </c>
      <c r="I335" s="1182">
        <v>90</v>
      </c>
      <c r="J335" s="1182">
        <v>90</v>
      </c>
      <c r="K335" s="1182">
        <v>90</v>
      </c>
      <c r="L335" s="1182">
        <v>90</v>
      </c>
      <c r="M335" s="1182">
        <v>90</v>
      </c>
      <c r="N335" s="1182">
        <v>90</v>
      </c>
      <c r="O335" s="1179">
        <f t="shared" si="90"/>
        <v>90</v>
      </c>
      <c r="P335" s="1180">
        <f>O335/M!$Q$14</f>
        <v>8.070632984228639E-3</v>
      </c>
      <c r="Q335" s="1235"/>
      <c r="R335" s="1235"/>
      <c r="S335" s="1235"/>
      <c r="T335" s="1235"/>
      <c r="U335" s="1235"/>
      <c r="V335" s="1235"/>
      <c r="W335" s="1235"/>
    </row>
    <row r="336" spans="1:23">
      <c r="A336" s="2218"/>
      <c r="B336" s="1176" t="s">
        <v>454</v>
      </c>
      <c r="C336" s="1178">
        <v>0</v>
      </c>
      <c r="D336" s="1178">
        <v>0</v>
      </c>
      <c r="E336" s="1178">
        <v>0</v>
      </c>
      <c r="F336" s="1178">
        <v>0</v>
      </c>
      <c r="G336" s="1178">
        <v>0</v>
      </c>
      <c r="H336" s="1178">
        <f>51 + 281</f>
        <v>332</v>
      </c>
      <c r="I336" s="1178">
        <v>221</v>
      </c>
      <c r="J336" s="1178">
        <v>0</v>
      </c>
      <c r="K336" s="1178">
        <v>0</v>
      </c>
      <c r="L336" s="1178">
        <v>0</v>
      </c>
      <c r="M336" s="1178">
        <v>0</v>
      </c>
      <c r="N336" s="1178">
        <v>50</v>
      </c>
      <c r="O336" s="1179">
        <f t="shared" si="90"/>
        <v>50.25</v>
      </c>
      <c r="P336" s="1180">
        <f>O336/M!$Q$14</f>
        <v>4.5061034161943229E-3</v>
      </c>
      <c r="Q336" s="1235"/>
      <c r="R336" s="1235"/>
      <c r="S336" s="1235"/>
      <c r="T336" s="1235"/>
      <c r="U336" s="1235"/>
      <c r="V336" s="1235"/>
      <c r="W336" s="1235"/>
    </row>
    <row r="337" spans="1:23">
      <c r="A337" s="2218"/>
      <c r="B337" s="1176" t="s">
        <v>407</v>
      </c>
      <c r="C337" s="1178">
        <v>0</v>
      </c>
      <c r="D337" s="1178">
        <v>0</v>
      </c>
      <c r="E337" s="1178">
        <v>0</v>
      </c>
      <c r="F337" s="1178">
        <v>0</v>
      </c>
      <c r="G337" s="1178">
        <v>0</v>
      </c>
      <c r="H337" s="1178">
        <v>0</v>
      </c>
      <c r="I337" s="1178">
        <v>0</v>
      </c>
      <c r="J337" s="1178">
        <v>0</v>
      </c>
      <c r="K337" s="1178">
        <v>0</v>
      </c>
      <c r="L337" s="1178">
        <v>0</v>
      </c>
      <c r="M337" s="1178">
        <v>0</v>
      </c>
      <c r="N337" s="1178">
        <v>0</v>
      </c>
      <c r="O337" s="1179">
        <f t="shared" si="90"/>
        <v>0</v>
      </c>
      <c r="P337" s="1180">
        <f>O337/M!$Q$14</f>
        <v>0</v>
      </c>
      <c r="Q337" s="1235"/>
      <c r="R337" s="1235"/>
      <c r="S337" s="1235"/>
      <c r="T337" s="1235"/>
      <c r="U337" s="1235"/>
      <c r="V337" s="1235"/>
      <c r="W337" s="1235"/>
    </row>
    <row r="338" spans="1:23">
      <c r="A338" s="2218"/>
      <c r="B338" s="1176" t="s">
        <v>408</v>
      </c>
      <c r="C338" s="1178">
        <v>34</v>
      </c>
      <c r="D338" s="1178">
        <v>0</v>
      </c>
      <c r="E338" s="1178">
        <v>0</v>
      </c>
      <c r="F338" s="1178">
        <v>0</v>
      </c>
      <c r="G338" s="1178">
        <v>0</v>
      </c>
      <c r="H338" s="1178">
        <v>1259</v>
      </c>
      <c r="I338" s="1178">
        <v>0</v>
      </c>
      <c r="J338" s="1178">
        <v>0</v>
      </c>
      <c r="K338" s="1178">
        <v>0</v>
      </c>
      <c r="L338" s="1178">
        <v>0</v>
      </c>
      <c r="M338" s="1178">
        <v>0</v>
      </c>
      <c r="N338" s="1178">
        <v>0</v>
      </c>
      <c r="O338" s="1179">
        <f t="shared" si="90"/>
        <v>107.75</v>
      </c>
      <c r="P338" s="1180">
        <f>O338/M!$Q$14</f>
        <v>9.6623411561181753E-3</v>
      </c>
      <c r="Q338" s="1235"/>
      <c r="R338" s="1235"/>
      <c r="S338" s="1235"/>
      <c r="T338" s="1235"/>
      <c r="U338" s="1235"/>
      <c r="V338" s="1235"/>
      <c r="W338" s="1235"/>
    </row>
    <row r="339" spans="1:23">
      <c r="A339" s="2219"/>
      <c r="B339" s="1176" t="s">
        <v>409</v>
      </c>
      <c r="C339" s="1178">
        <v>0</v>
      </c>
      <c r="D339" s="1178">
        <v>0</v>
      </c>
      <c r="E339" s="1178">
        <v>0</v>
      </c>
      <c r="F339" s="1178">
        <v>0</v>
      </c>
      <c r="G339" s="1178">
        <v>0</v>
      </c>
      <c r="H339" s="1178">
        <v>0</v>
      </c>
      <c r="I339" s="1178">
        <v>0</v>
      </c>
      <c r="J339" s="1178">
        <v>0</v>
      </c>
      <c r="K339" s="1178">
        <v>0</v>
      </c>
      <c r="L339" s="1178">
        <v>34</v>
      </c>
      <c r="M339" s="1178">
        <v>0</v>
      </c>
      <c r="N339" s="1178">
        <v>10</v>
      </c>
      <c r="O339" s="1179">
        <f t="shared" si="90"/>
        <v>3.6666666666666665</v>
      </c>
      <c r="P339" s="1180">
        <f>O339/M!$Q$14</f>
        <v>3.2880356602412971E-4</v>
      </c>
      <c r="Q339" s="1235"/>
      <c r="R339" s="1235"/>
      <c r="S339" s="1235"/>
      <c r="T339" s="1235"/>
      <c r="U339" s="1235"/>
      <c r="V339" s="1235"/>
      <c r="W339" s="1235"/>
    </row>
    <row r="340" spans="1:23">
      <c r="A340" s="2199" t="s">
        <v>277</v>
      </c>
      <c r="B340" s="2200"/>
      <c r="C340" s="2203">
        <f t="shared" ref="C340:N340" si="91">SUM(C342:C345)</f>
        <v>334</v>
      </c>
      <c r="D340" s="2203">
        <f t="shared" si="91"/>
        <v>207</v>
      </c>
      <c r="E340" s="2203">
        <f t="shared" si="91"/>
        <v>283</v>
      </c>
      <c r="F340" s="2203">
        <f t="shared" si="91"/>
        <v>445</v>
      </c>
      <c r="G340" s="2203">
        <f t="shared" si="91"/>
        <v>305</v>
      </c>
      <c r="H340" s="2203">
        <f t="shared" si="91"/>
        <v>471</v>
      </c>
      <c r="I340" s="2203">
        <f t="shared" si="91"/>
        <v>304</v>
      </c>
      <c r="J340" s="2203">
        <f t="shared" si="91"/>
        <v>203</v>
      </c>
      <c r="K340" s="2203">
        <f t="shared" si="91"/>
        <v>397</v>
      </c>
      <c r="L340" s="2203">
        <f t="shared" si="91"/>
        <v>305</v>
      </c>
      <c r="M340" s="2203">
        <f t="shared" si="91"/>
        <v>168</v>
      </c>
      <c r="N340" s="2203">
        <f t="shared" si="91"/>
        <v>284</v>
      </c>
      <c r="O340" s="2203">
        <f>SUM(O342:O345)</f>
        <v>308.83333333333331</v>
      </c>
      <c r="P340" s="2205">
        <f>O340/M!$Q$14</f>
        <v>2.7694227629214196E-2</v>
      </c>
      <c r="Q340" s="1235"/>
      <c r="R340" s="1235"/>
      <c r="S340" s="1235"/>
      <c r="T340" s="1235"/>
      <c r="U340" s="1235"/>
      <c r="V340" s="1235"/>
      <c r="W340" s="1235"/>
    </row>
    <row r="341" spans="1:23">
      <c r="A341" s="2201"/>
      <c r="B341" s="2202"/>
      <c r="C341" s="2204"/>
      <c r="D341" s="2204"/>
      <c r="E341" s="2204"/>
      <c r="F341" s="2204"/>
      <c r="G341" s="2204"/>
      <c r="H341" s="2204"/>
      <c r="I341" s="2204"/>
      <c r="J341" s="2204"/>
      <c r="K341" s="2204"/>
      <c r="L341" s="2204"/>
      <c r="M341" s="2204"/>
      <c r="N341" s="2204"/>
      <c r="O341" s="2204"/>
      <c r="P341" s="2206"/>
      <c r="Q341" s="1235"/>
      <c r="R341" s="1235"/>
      <c r="S341" s="1235"/>
      <c r="T341" s="1235"/>
      <c r="U341" s="1235"/>
      <c r="V341" s="1235"/>
      <c r="W341" s="1235"/>
    </row>
    <row r="342" spans="1:23">
      <c r="A342" s="2217"/>
      <c r="B342" s="1176" t="s">
        <v>410</v>
      </c>
      <c r="C342" s="1196">
        <f>SUMIF(Jan!$CF$1:$CF$186,$B342,Jan!$CE$1:$CE$186)</f>
        <v>334</v>
      </c>
      <c r="D342" s="1196">
        <f>SUMIF(Feb!$CF$1:$CF$171,$B342,Feb!$CE$1:$CE$171)</f>
        <v>207</v>
      </c>
      <c r="E342" s="1196">
        <f>SUMIF(Mar!$CF$1:$CF$201,$B342,Mar!$CE$1:$CE$201)</f>
        <v>283</v>
      </c>
      <c r="F342" s="1196">
        <f>SUMIF(Apr!$CF$1:$CF$170,$B342,Apr!$CE$1:$CE$170)</f>
        <v>425</v>
      </c>
      <c r="G342" s="1197">
        <f>SUMIF(May!$CF$1:$CF$176,$B342,May!$CE$1:$CE$176)</f>
        <v>305</v>
      </c>
      <c r="H342" s="1196">
        <f>SUMIF(Jun!$CF$1:$CF$182,$B342,Jun!$CE$1:$CE$182)</f>
        <v>471</v>
      </c>
      <c r="I342" s="1196">
        <f>SUMIF(Jul!$CF$1:$CF$189,$B342,Jul!$CE$1:$CE$189)</f>
        <v>284</v>
      </c>
      <c r="J342" s="1197">
        <f>SUMIF(Aug!$CF$1:$CF$196,$B342,Aug!$CE$1:$CE$196)</f>
        <v>203</v>
      </c>
      <c r="K342" s="1197">
        <f>SUMIF(Sep!$CF$1:$CF$196,$B342,Sep!$CE$1:$CE$196)</f>
        <v>391</v>
      </c>
      <c r="L342" s="1197">
        <f>SUMIF(Oct!$CF$1:$CF$215,$B342,Oct!$CE$1:$CE$215)</f>
        <v>305</v>
      </c>
      <c r="M342" s="1197">
        <f>SUMIF(Nov!$CF$1:$CF$214,$B342,Nov!$CE$1:$CE$214)</f>
        <v>168</v>
      </c>
      <c r="N342" s="1197">
        <f>SUMIF(Dec!$CF$1:$CF$214,$B342,Dec!$CE$1:$CE$214)</f>
        <v>284</v>
      </c>
      <c r="O342" s="1179">
        <f>SUM(C342:N342)/12</f>
        <v>305</v>
      </c>
      <c r="P342" s="1180">
        <f>O342/M!$Q$14</f>
        <v>2.7350478446552608E-2</v>
      </c>
      <c r="Q342" s="1235"/>
      <c r="R342" s="1235"/>
      <c r="S342" s="1235"/>
      <c r="T342" s="1235"/>
      <c r="U342" s="1235"/>
      <c r="V342" s="1235"/>
      <c r="W342" s="1235"/>
    </row>
    <row r="343" spans="1:23">
      <c r="A343" s="2218"/>
      <c r="B343" s="1176" t="s">
        <v>690</v>
      </c>
      <c r="C343" s="1196">
        <f>SUMIF(Jan!$CF$1:$CF$186,$B343,Jan!$CE$1:$CE$186)</f>
        <v>0</v>
      </c>
      <c r="D343" s="1196">
        <f>SUMIF(Feb!$CF$1:$CF$171,$B343,Feb!$CE$1:$CE$171)</f>
        <v>0</v>
      </c>
      <c r="E343" s="1196">
        <f>SUMIF(Mar!$CF$1:$CF$201,$B343,Mar!$CE$1:$CE$201)</f>
        <v>0</v>
      </c>
      <c r="F343" s="1196">
        <f>SUMIF(Apr!$CF$1:$CF$170,$B343,Apr!$CE$1:$CE$170)</f>
        <v>0</v>
      </c>
      <c r="G343" s="1197">
        <f>SUMIF(May!$CF$1:$CF$176,$B343,May!$CE$1:$CE$176)</f>
        <v>0</v>
      </c>
      <c r="H343" s="1196">
        <f>SUMIF(Jun!$CF$1:$CF$182,$B343,Jun!$CE$1:$CE$182)</f>
        <v>0</v>
      </c>
      <c r="I343" s="1196">
        <f>SUMIF(Jul!$CF$1:$CF$189,$B343,Jul!$CE$1:$CE$189)</f>
        <v>0</v>
      </c>
      <c r="J343" s="1197">
        <f>SUMIF(Aug!$CF$1:$CF$196,$B343,Aug!$CE$1:$CE$196)</f>
        <v>0</v>
      </c>
      <c r="K343" s="1197">
        <f>SUMIF(Sep!$CF$1:$CF$196,$B343,Sep!$CE$1:$CE$196)</f>
        <v>0</v>
      </c>
      <c r="L343" s="1197">
        <f>SUMIF(Oct!$CF$1:$CF$215,$B343,Oct!$CE$1:$CE$215)</f>
        <v>0</v>
      </c>
      <c r="M343" s="1197">
        <f>SUMIF(Nov!$CF$1:$CF$214,$B343,Nov!$CE$1:$CE$214)</f>
        <v>0</v>
      </c>
      <c r="N343" s="1197">
        <f>SUMIF(Dec!$CF$1:$CF$214,$B343,Dec!$CE$1:$CE$214)</f>
        <v>0</v>
      </c>
      <c r="O343" s="1179">
        <f>SUM(C343:N343)/12</f>
        <v>0</v>
      </c>
      <c r="P343" s="1180">
        <f>O343/M!$Q$14</f>
        <v>0</v>
      </c>
      <c r="Q343" s="1235"/>
      <c r="R343" s="1235"/>
      <c r="S343" s="1235"/>
      <c r="T343" s="1235"/>
      <c r="U343" s="1235"/>
      <c r="V343" s="1235"/>
      <c r="W343" s="1235"/>
    </row>
    <row r="344" spans="1:23">
      <c r="A344" s="2218"/>
      <c r="B344" s="1176" t="s">
        <v>698</v>
      </c>
      <c r="C344" s="1196">
        <f>SUMIF(Jan!$CF$1:$CF$186,$B344,Jan!$CE$1:$CE$186)</f>
        <v>0</v>
      </c>
      <c r="D344" s="1196">
        <f>SUMIF(Feb!$CF$1:$CF$171,$B344,Feb!$CE$1:$CE$171)</f>
        <v>0</v>
      </c>
      <c r="E344" s="1196">
        <f>SUMIF(Mar!$CF$1:$CF$201,$B344,Mar!$CE$1:$CE$201)</f>
        <v>0</v>
      </c>
      <c r="F344" s="1196">
        <f>SUMIF(Apr!$CF$1:$CF$170,$B344,Apr!$CE$1:$CE$170)</f>
        <v>20</v>
      </c>
      <c r="G344" s="1197">
        <f>SUMIF(May!$CF$1:$CF$176,$B344,May!$CE$1:$CE$176)</f>
        <v>0</v>
      </c>
      <c r="H344" s="1196">
        <f>SUMIF(Jun!$CF$1:$CF$182,$B344,Jun!$CE$1:$CE$182)</f>
        <v>0</v>
      </c>
      <c r="I344" s="1196">
        <f>SUMIF(Jul!$CF$1:$CF$189,$B344,Jul!$CE$1:$CE$189)</f>
        <v>20</v>
      </c>
      <c r="J344" s="1197">
        <f>SUMIF(Aug!$CF$1:$CF$196,$B344,Aug!$CE$1:$CE$196)</f>
        <v>0</v>
      </c>
      <c r="K344" s="1197">
        <f>SUMIF(Sep!$CF$1:$CF$196,$B344,Sep!$CE$1:$CE$196)</f>
        <v>6</v>
      </c>
      <c r="L344" s="1197">
        <f>SUMIF(Oct!$CF$1:$CF$215,$B344,Oct!$CE$1:$CE$215)</f>
        <v>0</v>
      </c>
      <c r="M344" s="1197">
        <f>SUMIF(Nov!$CF$1:$CF$214,$B344,Nov!$CE$1:$CE$214)</f>
        <v>0</v>
      </c>
      <c r="N344" s="1197">
        <f>SUMIF(Dec!$CF$1:$CF$214,$B344,Dec!$CE$1:$CE$214)</f>
        <v>0</v>
      </c>
      <c r="O344" s="1179">
        <f>SUM(C344:N344)/12</f>
        <v>3.8333333333333335</v>
      </c>
      <c r="P344" s="1180">
        <f>O344/M!$Q$14</f>
        <v>3.4374918266159019E-4</v>
      </c>
      <c r="Q344" s="1235"/>
      <c r="R344" s="1235"/>
      <c r="S344" s="1235"/>
      <c r="T344" s="1235"/>
      <c r="U344" s="1235"/>
      <c r="V344" s="1235"/>
      <c r="W344" s="1235"/>
    </row>
    <row r="345" spans="1:23">
      <c r="A345" s="2219"/>
      <c r="B345" s="1176" t="s">
        <v>699</v>
      </c>
      <c r="C345" s="1196">
        <f>SUMIF(Jan!$CF$1:$CF$186,$B345,Jan!$CE$1:$CE$186)</f>
        <v>0</v>
      </c>
      <c r="D345" s="1196">
        <f>SUMIF(Feb!$CF$1:$CF$171,$B345,Feb!$CE$1:$CE$171)</f>
        <v>0</v>
      </c>
      <c r="E345" s="1196">
        <f>SUMIF(Mar!$CF$1:$CF$201,$B345,Mar!$CE$1:$CE$201)</f>
        <v>0</v>
      </c>
      <c r="F345" s="1196">
        <f>SUMIF(Apr!$CF$1:$CF$170,$B345,Apr!$CE$1:$CE$170)</f>
        <v>0</v>
      </c>
      <c r="G345" s="1197">
        <f>SUMIF(May!$CF$1:$CF$176,$B345,May!$CE$1:$CE$176)</f>
        <v>0</v>
      </c>
      <c r="H345" s="1196">
        <f>SUMIF(Jun!$CF$1:$CF$182,$B345,Jun!$CE$1:$CE$182)</f>
        <v>0</v>
      </c>
      <c r="I345" s="1196">
        <f>SUMIF(Jul!$CF$1:$CF$189,$B345,Jul!$CE$1:$CE$189)</f>
        <v>0</v>
      </c>
      <c r="J345" s="1197">
        <f>SUMIF(Aug!$CF$1:$CF$196,$B345,Aug!$CE$1:$CE$196)</f>
        <v>0</v>
      </c>
      <c r="K345" s="1197">
        <f>SUMIF(Sep!$CF$1:$CF$196,$B345,Sep!$CE$1:$CE$196)</f>
        <v>0</v>
      </c>
      <c r="L345" s="1197">
        <f>SUMIF(Oct!$CF$1:$CF$215,$B345,Oct!$CE$1:$CE$215)</f>
        <v>0</v>
      </c>
      <c r="M345" s="1197">
        <f>SUMIF(Nov!$CF$1:$CF$214,$B345,Nov!$CE$1:$CE$214)</f>
        <v>0</v>
      </c>
      <c r="N345" s="1197">
        <f>SUMIF(Dec!$CF$1:$CF$214,$B345,Dec!$CE$1:$CE$214)</f>
        <v>0</v>
      </c>
      <c r="O345" s="1179">
        <f>SUM(C345:N345)/12</f>
        <v>0</v>
      </c>
      <c r="P345" s="1180">
        <f>O345/M!$Q$14</f>
        <v>0</v>
      </c>
      <c r="Q345" s="1235"/>
      <c r="R345" s="1235"/>
      <c r="S345" s="1235"/>
      <c r="T345" s="1235"/>
      <c r="U345" s="1235"/>
      <c r="V345" s="1235"/>
      <c r="W345" s="1235"/>
    </row>
    <row r="346" spans="1:23">
      <c r="A346" s="2199" t="s">
        <v>278</v>
      </c>
      <c r="B346" s="2200"/>
      <c r="C346" s="2203">
        <f t="shared" ref="C346:J346" si="92">SUM(C348:C349)</f>
        <v>809</v>
      </c>
      <c r="D346" s="2203">
        <f t="shared" si="92"/>
        <v>638</v>
      </c>
      <c r="E346" s="2203">
        <f t="shared" si="92"/>
        <v>1075</v>
      </c>
      <c r="F346" s="2203">
        <f t="shared" si="92"/>
        <v>1217</v>
      </c>
      <c r="G346" s="2203">
        <f t="shared" si="92"/>
        <v>1139</v>
      </c>
      <c r="H346" s="2203">
        <f t="shared" si="92"/>
        <v>1418</v>
      </c>
      <c r="I346" s="2203">
        <f t="shared" si="92"/>
        <v>1241</v>
      </c>
      <c r="J346" s="2203">
        <f t="shared" si="92"/>
        <v>1540</v>
      </c>
      <c r="K346" s="2203">
        <f>SUM(K348:K349)</f>
        <v>1372</v>
      </c>
      <c r="L346" s="2203">
        <f>SUM(L348:L349)</f>
        <v>1344</v>
      </c>
      <c r="M346" s="2203">
        <f>SUM(M348:M349)</f>
        <v>1408</v>
      </c>
      <c r="N346" s="2203">
        <f>SUM(N348:N349)</f>
        <v>1457</v>
      </c>
      <c r="O346" s="2203">
        <f>SUM(O348:O349)</f>
        <v>1221.5</v>
      </c>
      <c r="P346" s="2205">
        <f>O346/M!$Q$14</f>
        <v>0.10953642433594758</v>
      </c>
      <c r="Q346" s="1235"/>
      <c r="R346" s="1235"/>
      <c r="S346" s="1235"/>
      <c r="T346" s="1235"/>
      <c r="U346" s="1235"/>
      <c r="V346" s="1235"/>
      <c r="W346" s="1235"/>
    </row>
    <row r="347" spans="1:23">
      <c r="A347" s="2201"/>
      <c r="B347" s="2202"/>
      <c r="C347" s="2204"/>
      <c r="D347" s="2204"/>
      <c r="E347" s="2204"/>
      <c r="F347" s="2204"/>
      <c r="G347" s="2204"/>
      <c r="H347" s="2204"/>
      <c r="I347" s="2204"/>
      <c r="J347" s="2204"/>
      <c r="K347" s="2204"/>
      <c r="L347" s="2204"/>
      <c r="M347" s="2204"/>
      <c r="N347" s="2204"/>
      <c r="O347" s="2204"/>
      <c r="P347" s="2206"/>
      <c r="Q347" s="1235"/>
      <c r="R347" s="1235"/>
      <c r="S347" s="1235"/>
      <c r="T347" s="1235"/>
      <c r="U347" s="1235"/>
      <c r="V347" s="1235"/>
      <c r="W347" s="1235"/>
    </row>
    <row r="348" spans="1:23">
      <c r="A348" s="2217"/>
      <c r="B348" s="1176" t="s">
        <v>414</v>
      </c>
      <c r="C348" s="1196">
        <f>SUMIF(Jan!$CF$1:$CF$186,$B348,Jan!$CE$1:$CE$186)</f>
        <v>784</v>
      </c>
      <c r="D348" s="1196">
        <f>SUMIF(Feb!$CF$1:$CF$171,$B348,Feb!$CE$1:$CE$171)</f>
        <v>550</v>
      </c>
      <c r="E348" s="1196">
        <f>SUMIF(Mar!$CF$1:$CF$201,$B348,Mar!$CE$1:$CE$201)</f>
        <v>1075</v>
      </c>
      <c r="F348" s="1196">
        <f>SUMIF(Apr!$CF$1:$CF$170,$B348,Apr!$CE$1:$CE$170)</f>
        <v>914</v>
      </c>
      <c r="G348" s="1197">
        <f>SUMIF(May!$CF$1:$CF$176,$B348,May!$CE$1:$CE$176)</f>
        <v>1126</v>
      </c>
      <c r="H348" s="1196">
        <f>SUMIF(Jun!$CF$1:$CF$182,$B348,Jun!$CE$1:$CE$182)</f>
        <v>952</v>
      </c>
      <c r="I348" s="1196">
        <f>SUMIF(Jul!$CF$1:$CF$189,$B348,Jul!$CE$1:$CE$189)</f>
        <v>1141</v>
      </c>
      <c r="J348" s="1197">
        <f>SUMIF(Aug!$CF$1:$CF$196,$B348,Aug!$CE$1:$CE$196)</f>
        <v>516</v>
      </c>
      <c r="K348" s="1197">
        <f>SUMIF(Sep!$CF$1:$CF$196,$B348,Sep!$CE$1:$CE$196)</f>
        <v>1195</v>
      </c>
      <c r="L348" s="1197">
        <f>SUMIF(Oct!$CF$1:$CF$215,$B348,Oct!$CE$1:$CE$215)</f>
        <v>1219</v>
      </c>
      <c r="M348" s="1197">
        <f>SUMIF(Nov!$CF$1:$CF$214,$B348,Nov!$CE$1:$CE$214)</f>
        <v>1361</v>
      </c>
      <c r="N348" s="1197">
        <f>SUMIF(Dec!$CF$1:$CF$214,$B348,Dec!$CE$1:$CE$214)</f>
        <v>1394</v>
      </c>
      <c r="O348" s="1179">
        <f>SUM(C348:N348)/12</f>
        <v>1018.9166666666666</v>
      </c>
      <c r="P348" s="1180">
        <f>O348/M!$Q$14</f>
        <v>9.1370027313114402E-2</v>
      </c>
      <c r="Q348" s="1235"/>
      <c r="R348" s="1235"/>
      <c r="S348" s="1235"/>
      <c r="T348" s="1235"/>
      <c r="U348" s="1235"/>
      <c r="V348" s="1235"/>
      <c r="W348" s="1235"/>
    </row>
    <row r="349" spans="1:23">
      <c r="A349" s="2219"/>
      <c r="B349" s="1176" t="s">
        <v>278</v>
      </c>
      <c r="C349" s="1196">
        <f>SUMIF(Jan!$CF$1:$CF$186,$B349,Jan!$CE$1:$CE$186)</f>
        <v>25</v>
      </c>
      <c r="D349" s="1196">
        <f>SUMIF(Feb!$CF$1:$CF$171,$B349,Feb!$CE$1:$CE$171)</f>
        <v>88</v>
      </c>
      <c r="E349" s="1196">
        <f>SUMIF(Mar!$CF$1:$CF$201,$B349,Mar!$CE$1:$CE$201)</f>
        <v>0</v>
      </c>
      <c r="F349" s="1196">
        <f>SUMIF(Apr!$CF$1:$CF$170,$B349,Apr!$CE$1:$CE$170)</f>
        <v>303</v>
      </c>
      <c r="G349" s="1197">
        <f>SUMIF(May!$CF$1:$CF$176,$B349,May!$CE$1:$CE$176)</f>
        <v>13</v>
      </c>
      <c r="H349" s="1196">
        <f>SUMIF(Jun!$CF$1:$CF$182,$B349,Jun!$CE$1:$CE$182)</f>
        <v>466</v>
      </c>
      <c r="I349" s="1196">
        <f>SUMIF(Jul!$CF$1:$CF$189,$B349,Jul!$CE$1:$CE$189)</f>
        <v>100</v>
      </c>
      <c r="J349" s="1197">
        <f>SUMIF(Aug!$CF$1:$CF$196,$B349,Aug!$CE$1:$CE$196)</f>
        <v>1024</v>
      </c>
      <c r="K349" s="1197">
        <f>SUMIF(Sep!$CF$1:$CF$196,$B349,Sep!$CE$1:$CE$196)</f>
        <v>177</v>
      </c>
      <c r="L349" s="1197">
        <f>SUMIF(Oct!$CF$1:$CF$215,$B349,Oct!$CE$1:$CE$215)</f>
        <v>125</v>
      </c>
      <c r="M349" s="1197">
        <f>SUMIF(Nov!$CF$1:$CF$214,$B349,Nov!$CE$1:$CE$214)</f>
        <v>47</v>
      </c>
      <c r="N349" s="1197">
        <f>SUMIF(Dec!$CF$1:$CF$214,$B349,Dec!$CE$1:$CE$214)</f>
        <v>63</v>
      </c>
      <c r="O349" s="1179">
        <f>SUM(C349:N349)/12</f>
        <v>202.58333333333334</v>
      </c>
      <c r="P349" s="1180">
        <f>O349/M!$Q$14</f>
        <v>1.8166397022833167E-2</v>
      </c>
      <c r="Q349" s="1235"/>
      <c r="R349" s="1235"/>
      <c r="S349" s="1235"/>
      <c r="T349" s="1235"/>
      <c r="U349" s="1235"/>
      <c r="V349" s="1235"/>
      <c r="W349" s="1235"/>
    </row>
    <row r="350" spans="1:23">
      <c r="A350" s="2199" t="s">
        <v>279</v>
      </c>
      <c r="B350" s="2200"/>
      <c r="C350" s="2203">
        <f t="shared" ref="C350:N350" si="93">SUM(C352:C359)</f>
        <v>963</v>
      </c>
      <c r="D350" s="2203">
        <f t="shared" si="93"/>
        <v>967</v>
      </c>
      <c r="E350" s="2203">
        <f t="shared" si="93"/>
        <v>1596</v>
      </c>
      <c r="F350" s="2203">
        <f t="shared" si="93"/>
        <v>1069</v>
      </c>
      <c r="G350" s="2203">
        <f t="shared" si="93"/>
        <v>715</v>
      </c>
      <c r="H350" s="2203">
        <f t="shared" si="93"/>
        <v>693</v>
      </c>
      <c r="I350" s="2203">
        <f t="shared" si="93"/>
        <v>1098</v>
      </c>
      <c r="J350" s="2203">
        <f t="shared" si="93"/>
        <v>1060</v>
      </c>
      <c r="K350" s="2203">
        <f t="shared" si="93"/>
        <v>1060</v>
      </c>
      <c r="L350" s="2203">
        <f t="shared" si="93"/>
        <v>1066</v>
      </c>
      <c r="M350" s="2203">
        <f t="shared" si="93"/>
        <v>1067</v>
      </c>
      <c r="N350" s="2203">
        <f t="shared" si="93"/>
        <v>1108</v>
      </c>
      <c r="O350" s="2203">
        <f>SUM(O352:O359)</f>
        <v>1038.5</v>
      </c>
      <c r="P350" s="2205">
        <f>O350/M!$Q$14</f>
        <v>9.312613726801601E-2</v>
      </c>
      <c r="Q350" s="1235"/>
      <c r="R350" s="1235"/>
      <c r="S350" s="1235"/>
      <c r="T350" s="1235"/>
      <c r="U350" s="1235"/>
      <c r="V350" s="1235"/>
      <c r="W350" s="1235"/>
    </row>
    <row r="351" spans="1:23">
      <c r="A351" s="2201"/>
      <c r="B351" s="2202"/>
      <c r="C351" s="2204"/>
      <c r="D351" s="2204"/>
      <c r="E351" s="2204"/>
      <c r="F351" s="2204"/>
      <c r="G351" s="2204"/>
      <c r="H351" s="2204"/>
      <c r="I351" s="2204"/>
      <c r="J351" s="2204"/>
      <c r="K351" s="2204"/>
      <c r="L351" s="2204"/>
      <c r="M351" s="2204"/>
      <c r="N351" s="2204"/>
      <c r="O351" s="2204"/>
      <c r="P351" s="2206"/>
      <c r="Q351" s="1235"/>
      <c r="R351" s="1235"/>
      <c r="S351" s="1235"/>
      <c r="T351" s="1235"/>
      <c r="U351" s="1235"/>
      <c r="V351" s="1235"/>
      <c r="W351" s="1235"/>
    </row>
    <row r="352" spans="1:23">
      <c r="A352" s="2217"/>
      <c r="B352" s="1176" t="s">
        <v>415</v>
      </c>
      <c r="C352" s="1182">
        <v>212</v>
      </c>
      <c r="D352" s="1182">
        <v>216</v>
      </c>
      <c r="E352" s="1182">
        <v>508</v>
      </c>
      <c r="F352" s="1182">
        <v>265</v>
      </c>
      <c r="G352" s="1182">
        <v>177</v>
      </c>
      <c r="H352" s="1182">
        <v>202</v>
      </c>
      <c r="I352" s="1182">
        <v>588</v>
      </c>
      <c r="J352" s="1182">
        <v>588</v>
      </c>
      <c r="K352" s="1182">
        <v>588</v>
      </c>
      <c r="L352" s="1182">
        <v>588</v>
      </c>
      <c r="M352" s="1182">
        <v>588</v>
      </c>
      <c r="N352" s="1182">
        <v>588</v>
      </c>
      <c r="O352" s="1179">
        <f t="shared" ref="O352:O359" si="94">SUM(C352:N352)/12</f>
        <v>425.66666666666669</v>
      </c>
      <c r="P352" s="1180">
        <f>O352/M!$Q$14</f>
        <v>3.8171104892073968E-2</v>
      </c>
      <c r="Q352" s="1235"/>
      <c r="R352" s="1235"/>
      <c r="S352" s="1235"/>
      <c r="T352" s="1235"/>
      <c r="U352" s="1235"/>
      <c r="V352" s="1235"/>
      <c r="W352" s="1235"/>
    </row>
    <row r="353" spans="1:23">
      <c r="A353" s="2218"/>
      <c r="B353" s="1176" t="s">
        <v>416</v>
      </c>
      <c r="C353" s="1182">
        <v>90</v>
      </c>
      <c r="D353" s="1182">
        <v>90</v>
      </c>
      <c r="E353" s="1182">
        <v>398</v>
      </c>
      <c r="F353" s="1182">
        <v>90</v>
      </c>
      <c r="G353" s="1182">
        <v>90</v>
      </c>
      <c r="H353" s="1182">
        <v>90</v>
      </c>
      <c r="I353" s="1182">
        <v>90</v>
      </c>
      <c r="J353" s="1182">
        <v>90</v>
      </c>
      <c r="K353" s="1182">
        <v>90</v>
      </c>
      <c r="L353" s="1182">
        <v>90</v>
      </c>
      <c r="M353" s="1182">
        <v>90</v>
      </c>
      <c r="N353" s="1182">
        <v>90</v>
      </c>
      <c r="O353" s="1179">
        <f t="shared" si="94"/>
        <v>115.66666666666667</v>
      </c>
      <c r="P353" s="1180">
        <f>O353/M!$Q$14</f>
        <v>1.0372257946397546E-2</v>
      </c>
      <c r="Q353" s="1235"/>
      <c r="R353" s="1235"/>
      <c r="S353" s="1235"/>
      <c r="T353" s="1235"/>
      <c r="U353" s="1235"/>
      <c r="V353" s="1235"/>
      <c r="W353" s="1235"/>
    </row>
    <row r="354" spans="1:23">
      <c r="A354" s="2218"/>
      <c r="B354" s="1176" t="s">
        <v>417</v>
      </c>
      <c r="C354" s="1182">
        <v>75</v>
      </c>
      <c r="D354" s="1182">
        <v>75</v>
      </c>
      <c r="E354" s="1182">
        <v>75</v>
      </c>
      <c r="F354" s="1182">
        <v>75</v>
      </c>
      <c r="G354" s="1182">
        <v>75</v>
      </c>
      <c r="H354" s="1182">
        <v>75</v>
      </c>
      <c r="I354" s="1182">
        <v>75</v>
      </c>
      <c r="J354" s="1182">
        <v>75</v>
      </c>
      <c r="K354" s="1182">
        <v>75</v>
      </c>
      <c r="L354" s="1182">
        <v>75</v>
      </c>
      <c r="M354" s="1182">
        <v>75</v>
      </c>
      <c r="N354" s="1182">
        <v>75</v>
      </c>
      <c r="O354" s="1179">
        <f t="shared" si="94"/>
        <v>75</v>
      </c>
      <c r="P354" s="1180">
        <f>O354/M!$Q$14</f>
        <v>6.7255274868571989E-3</v>
      </c>
      <c r="Q354" s="1235"/>
      <c r="R354" s="1235"/>
      <c r="S354" s="1235"/>
      <c r="T354" s="1235"/>
      <c r="U354" s="1235"/>
      <c r="V354" s="1235"/>
      <c r="W354" s="1235"/>
    </row>
    <row r="355" spans="1:23">
      <c r="A355" s="2218"/>
      <c r="B355" s="1176" t="s">
        <v>410</v>
      </c>
      <c r="C355" s="1182">
        <v>301</v>
      </c>
      <c r="D355" s="1182">
        <v>301</v>
      </c>
      <c r="E355" s="1182">
        <v>330</v>
      </c>
      <c r="F355" s="1182">
        <v>354</v>
      </c>
      <c r="G355" s="1182">
        <v>88</v>
      </c>
      <c r="H355" s="1182">
        <v>41</v>
      </c>
      <c r="I355" s="1182">
        <v>60</v>
      </c>
      <c r="J355" s="1182">
        <v>22</v>
      </c>
      <c r="K355" s="1182">
        <v>22</v>
      </c>
      <c r="L355" s="1182">
        <v>28</v>
      </c>
      <c r="M355" s="1182">
        <v>29</v>
      </c>
      <c r="N355" s="1182">
        <v>60</v>
      </c>
      <c r="O355" s="1179">
        <f t="shared" si="94"/>
        <v>136.33333333333334</v>
      </c>
      <c r="P355" s="1180">
        <f>O355/M!$Q$14</f>
        <v>1.2225514409442643E-2</v>
      </c>
      <c r="Q355" s="1235"/>
      <c r="R355" s="1235"/>
      <c r="S355" s="1235"/>
      <c r="T355" s="1235"/>
      <c r="U355" s="1235"/>
      <c r="V355" s="1235"/>
      <c r="W355" s="1235"/>
    </row>
    <row r="356" spans="1:23">
      <c r="A356" s="2218"/>
      <c r="B356" s="1176" t="s">
        <v>418</v>
      </c>
      <c r="C356" s="1182">
        <v>85</v>
      </c>
      <c r="D356" s="1182">
        <v>85</v>
      </c>
      <c r="E356" s="1182">
        <v>85</v>
      </c>
      <c r="F356" s="1182">
        <v>85</v>
      </c>
      <c r="G356" s="1182">
        <v>85</v>
      </c>
      <c r="H356" s="1182">
        <v>85</v>
      </c>
      <c r="I356" s="1182">
        <v>85</v>
      </c>
      <c r="J356" s="1182">
        <v>85</v>
      </c>
      <c r="K356" s="1182">
        <v>85</v>
      </c>
      <c r="L356" s="1182">
        <v>85</v>
      </c>
      <c r="M356" s="1182">
        <v>85</v>
      </c>
      <c r="N356" s="1182">
        <v>85</v>
      </c>
      <c r="O356" s="1179">
        <f t="shared" si="94"/>
        <v>85</v>
      </c>
      <c r="P356" s="1180">
        <f>O356/M!$Q$14</f>
        <v>7.6222644851048254E-3</v>
      </c>
      <c r="Q356" s="1235"/>
      <c r="R356" s="1235"/>
      <c r="S356" s="1235"/>
      <c r="T356" s="1235"/>
      <c r="U356" s="1235"/>
      <c r="V356" s="1235"/>
      <c r="W356" s="1235"/>
    </row>
    <row r="357" spans="1:23">
      <c r="A357" s="2218"/>
      <c r="B357" s="1176" t="s">
        <v>419</v>
      </c>
      <c r="C357" s="1182">
        <v>0</v>
      </c>
      <c r="D357" s="1182">
        <v>0</v>
      </c>
      <c r="E357" s="1182">
        <v>0</v>
      </c>
      <c r="F357" s="1182">
        <v>0</v>
      </c>
      <c r="G357" s="1182">
        <v>0</v>
      </c>
      <c r="H357" s="1182">
        <v>0</v>
      </c>
      <c r="I357" s="1182">
        <v>0</v>
      </c>
      <c r="J357" s="1182">
        <v>0</v>
      </c>
      <c r="K357" s="1182">
        <v>0</v>
      </c>
      <c r="L357" s="1182">
        <v>0</v>
      </c>
      <c r="M357" s="1182">
        <v>0</v>
      </c>
      <c r="N357" s="1182">
        <v>0</v>
      </c>
      <c r="O357" s="1179">
        <f t="shared" si="94"/>
        <v>0</v>
      </c>
      <c r="P357" s="1180">
        <f>O357/M!$Q$14</f>
        <v>0</v>
      </c>
      <c r="Q357" s="1235"/>
      <c r="R357" s="1235"/>
      <c r="S357" s="1235"/>
      <c r="T357" s="1235"/>
      <c r="U357" s="1235"/>
      <c r="V357" s="1235"/>
      <c r="W357" s="1235"/>
    </row>
    <row r="358" spans="1:23">
      <c r="A358" s="2218"/>
      <c r="B358" s="1176" t="s">
        <v>460</v>
      </c>
      <c r="C358" s="1182">
        <v>0</v>
      </c>
      <c r="D358" s="1182">
        <v>0</v>
      </c>
      <c r="E358" s="1182">
        <v>0</v>
      </c>
      <c r="F358" s="1182">
        <v>0</v>
      </c>
      <c r="G358" s="1182">
        <v>0</v>
      </c>
      <c r="H358" s="1182">
        <v>0</v>
      </c>
      <c r="I358" s="1182">
        <v>0</v>
      </c>
      <c r="J358" s="1182">
        <v>0</v>
      </c>
      <c r="K358" s="1182">
        <v>0</v>
      </c>
      <c r="L358" s="1182">
        <v>0</v>
      </c>
      <c r="M358" s="1182">
        <v>0</v>
      </c>
      <c r="N358" s="1182">
        <v>10</v>
      </c>
      <c r="O358" s="1179">
        <f t="shared" si="94"/>
        <v>0.83333333333333337</v>
      </c>
      <c r="P358" s="1180">
        <f>O358/M!$Q$14</f>
        <v>7.4728083187302214E-5</v>
      </c>
      <c r="Q358" s="1235"/>
      <c r="R358" s="1235"/>
      <c r="S358" s="1235"/>
      <c r="T358" s="1235"/>
      <c r="U358" s="1235"/>
      <c r="V358" s="1235"/>
      <c r="W358" s="1235"/>
    </row>
    <row r="359" spans="1:23">
      <c r="A359" s="2219"/>
      <c r="B359" s="1176" t="s">
        <v>421</v>
      </c>
      <c r="C359" s="1182">
        <v>200</v>
      </c>
      <c r="D359" s="1182">
        <v>200</v>
      </c>
      <c r="E359" s="1182">
        <v>200</v>
      </c>
      <c r="F359" s="1182">
        <v>200</v>
      </c>
      <c r="G359" s="1182">
        <v>200</v>
      </c>
      <c r="H359" s="1182">
        <v>200</v>
      </c>
      <c r="I359" s="1182">
        <v>200</v>
      </c>
      <c r="J359" s="1182">
        <v>200</v>
      </c>
      <c r="K359" s="1182">
        <v>200</v>
      </c>
      <c r="L359" s="1182">
        <v>200</v>
      </c>
      <c r="M359" s="1182">
        <v>200</v>
      </c>
      <c r="N359" s="1182">
        <v>200</v>
      </c>
      <c r="O359" s="1179">
        <f t="shared" si="94"/>
        <v>200</v>
      </c>
      <c r="P359" s="1180">
        <f>O359/M!$Q$14</f>
        <v>1.7934739964952529E-2</v>
      </c>
      <c r="Q359" s="1235"/>
      <c r="R359" s="1235"/>
      <c r="S359" s="1235"/>
      <c r="T359" s="1235"/>
      <c r="U359" s="1235"/>
      <c r="V359" s="1235"/>
      <c r="W359" s="1235"/>
    </row>
    <row r="360" spans="1:23">
      <c r="A360" s="2199" t="s">
        <v>280</v>
      </c>
      <c r="B360" s="2200"/>
      <c r="C360" s="2203">
        <f t="shared" ref="C360:O360" si="95">SUM(C362:C368)</f>
        <v>3238</v>
      </c>
      <c r="D360" s="2203">
        <f t="shared" si="95"/>
        <v>3960</v>
      </c>
      <c r="E360" s="2203">
        <f t="shared" si="95"/>
        <v>1222</v>
      </c>
      <c r="F360" s="2203">
        <f t="shared" si="95"/>
        <v>3357</v>
      </c>
      <c r="G360" s="2203">
        <f t="shared" si="95"/>
        <v>1192</v>
      </c>
      <c r="H360" s="2203">
        <f t="shared" si="95"/>
        <v>5155</v>
      </c>
      <c r="I360" s="2203">
        <f t="shared" si="95"/>
        <v>1145</v>
      </c>
      <c r="J360" s="2203">
        <f t="shared" si="95"/>
        <v>28611</v>
      </c>
      <c r="K360" s="2203">
        <f t="shared" si="95"/>
        <v>694</v>
      </c>
      <c r="L360" s="2203">
        <f t="shared" si="95"/>
        <v>1579</v>
      </c>
      <c r="M360" s="2203">
        <f t="shared" si="95"/>
        <v>2402</v>
      </c>
      <c r="N360" s="2203">
        <f t="shared" si="95"/>
        <v>1012</v>
      </c>
      <c r="O360" s="2203">
        <f t="shared" si="95"/>
        <v>4463.9166666666661</v>
      </c>
      <c r="P360" s="2205">
        <f>O360/M!$Q$14</f>
        <v>0.4002959232094217</v>
      </c>
      <c r="Q360" s="1235"/>
      <c r="R360" s="1235"/>
      <c r="S360" s="1235"/>
      <c r="T360" s="1235"/>
      <c r="U360" s="1235"/>
      <c r="V360" s="1235"/>
      <c r="W360" s="1235"/>
    </row>
    <row r="361" spans="1:23">
      <c r="A361" s="2201"/>
      <c r="B361" s="2202"/>
      <c r="C361" s="2204"/>
      <c r="D361" s="2204"/>
      <c r="E361" s="2204"/>
      <c r="F361" s="2204"/>
      <c r="G361" s="2204"/>
      <c r="H361" s="2204"/>
      <c r="I361" s="2204"/>
      <c r="J361" s="2204"/>
      <c r="K361" s="2204"/>
      <c r="L361" s="2204"/>
      <c r="M361" s="2204"/>
      <c r="N361" s="2204"/>
      <c r="O361" s="2204"/>
      <c r="P361" s="2206"/>
      <c r="Q361" s="1235"/>
      <c r="R361" s="1235"/>
      <c r="S361" s="1235"/>
      <c r="T361" s="1235"/>
      <c r="U361" s="1235"/>
      <c r="V361" s="1235"/>
      <c r="W361" s="1235"/>
    </row>
    <row r="362" spans="1:23">
      <c r="A362" s="2217"/>
      <c r="B362" s="1176" t="s">
        <v>280</v>
      </c>
      <c r="C362" s="1196">
        <f>SUMIF(Jan!$CF$1:$CF$186,$B362,Jan!$CE$1:$CE$186)</f>
        <v>240</v>
      </c>
      <c r="D362" s="1196">
        <f>SUMIF(Feb!$CF$1:$CF$171,$B362,Feb!$CE$1:$CE$171)</f>
        <v>2082</v>
      </c>
      <c r="E362" s="1196">
        <f>SUMIF(Mar!$CF$1:$CF$201,$B362,Mar!$CE$1:$CE$201)</f>
        <v>521</v>
      </c>
      <c r="F362" s="1196">
        <f>SUMIF(Apr!$CF$1:$CF$170,$B362,Apr!$CE$1:$CE$170)</f>
        <v>1748</v>
      </c>
      <c r="G362" s="1197">
        <f>SUMIF(May!$CF$1:$CF$176,$B362,May!$CE$1:$CE$176)</f>
        <v>219</v>
      </c>
      <c r="H362" s="1196">
        <f>SUMIF(Jun!$CF$1:$CF$182,$B362,Jun!$CE$1:$CE$182)</f>
        <v>1646</v>
      </c>
      <c r="I362" s="1196">
        <f>SUMIF(Jul!$CF$1:$CF$189,$B362,Jul!$CE$1:$CE$189)</f>
        <v>223</v>
      </c>
      <c r="J362" s="1197">
        <f>SUMIF(Aug!$CF$1:$CF$196,$B362,Aug!$CE$1:$CE$196)</f>
        <v>423</v>
      </c>
      <c r="K362" s="1197">
        <f>SUMIF(Sep!$CF$1:$CF$196,$B362,Sep!$CE$1:$CE$196)</f>
        <v>281</v>
      </c>
      <c r="L362" s="1197">
        <f>SUMIF(Oct!$CF$1:$CF$215,$B362,Oct!$CE$1:$CE$215)</f>
        <v>598</v>
      </c>
      <c r="M362" s="1197">
        <f>SUMIF(Nov!$CF$1:$CF$214,$B362,Nov!$CE$1:$CE$214)</f>
        <v>290</v>
      </c>
      <c r="N362" s="1197">
        <f>SUMIF(Dec!$CF$1:$CF$214,$B362,Dec!$CE$1:$CE$214)</f>
        <v>353</v>
      </c>
      <c r="O362" s="1179">
        <f t="shared" ref="O362:O368" si="96">SUM(C362:N362)/12</f>
        <v>718.66666666666663</v>
      </c>
      <c r="P362" s="1180">
        <f>O362/M!$Q$14</f>
        <v>6.4445498940729415E-2</v>
      </c>
      <c r="Q362" s="1235"/>
      <c r="R362" s="1235"/>
      <c r="S362" s="1235"/>
      <c r="T362" s="1235"/>
      <c r="U362" s="1235"/>
      <c r="V362" s="1235"/>
      <c r="W362" s="1235"/>
    </row>
    <row r="363" spans="1:23">
      <c r="A363" s="2218"/>
      <c r="B363" s="1176" t="s">
        <v>700</v>
      </c>
      <c r="C363" s="1196">
        <f>SUMIF(Jan!$CF$1:$CF$186,$B363,Jan!$CE$1:$CE$186)</f>
        <v>101</v>
      </c>
      <c r="D363" s="1196">
        <f>SUMIF(Feb!$CF$1:$CF$171,$B363,Feb!$CE$1:$CE$171)</f>
        <v>309</v>
      </c>
      <c r="E363" s="1196">
        <f>SUMIF(Mar!$CF$1:$CF$201,$B363,Mar!$CE$1:$CE$201)</f>
        <v>0</v>
      </c>
      <c r="F363" s="1196">
        <f>SUMIF(Apr!$CF$1:$CF$170,$B363,Apr!$CE$1:$CE$170)</f>
        <v>193</v>
      </c>
      <c r="G363" s="1197">
        <f>SUMIF(May!$CF$1:$CF$176,$B363,May!$CE$1:$CE$176)</f>
        <v>326</v>
      </c>
      <c r="H363" s="1196">
        <f>SUMIF(Jun!$CF$1:$CF$182,$B363,Jun!$CE$1:$CE$182)</f>
        <v>388</v>
      </c>
      <c r="I363" s="1196">
        <f>SUMIF(Jul!$CF$1:$CF$189,$B363,Jul!$CE$1:$CE$189)</f>
        <v>759</v>
      </c>
      <c r="J363" s="1197">
        <f>SUMIF(Aug!$CF$1:$CF$196,$B363,Aug!$CE$1:$CE$196)</f>
        <v>106</v>
      </c>
      <c r="K363" s="1197">
        <f>SUMIF(Sep!$CF$1:$CF$196,$B363,Sep!$CE$1:$CE$196)</f>
        <v>303</v>
      </c>
      <c r="L363" s="1197">
        <f>SUMIF(Oct!$CF$1:$CF$215,$B363,Oct!$CE$1:$CE$215)</f>
        <v>871</v>
      </c>
      <c r="M363" s="1197">
        <f>SUMIF(Nov!$CF$1:$CF$214,$B363,Nov!$CE$1:$CE$214)</f>
        <v>536</v>
      </c>
      <c r="N363" s="1197">
        <f>SUMIF(Dec!$CF$1:$CF$214,$B363,Dec!$CE$1:$CE$214)</f>
        <v>353</v>
      </c>
      <c r="O363" s="1179">
        <f t="shared" si="96"/>
        <v>353.75</v>
      </c>
      <c r="P363" s="1180">
        <f>O363/M!$Q$14</f>
        <v>3.1722071313009789E-2</v>
      </c>
      <c r="Q363" s="1235"/>
      <c r="R363" s="1235"/>
      <c r="S363" s="1235"/>
      <c r="T363" s="1235"/>
      <c r="U363" s="1235"/>
      <c r="V363" s="1235"/>
      <c r="W363" s="1235"/>
    </row>
    <row r="364" spans="1:23">
      <c r="A364" s="2218"/>
      <c r="B364" s="1176" t="s">
        <v>701</v>
      </c>
      <c r="C364" s="1196">
        <f>SUMIF(Jan!$CF$1:$CF$186,$B364,Jan!$CE$1:$CE$186)</f>
        <v>2787</v>
      </c>
      <c r="D364" s="1196">
        <f>SUMIF(Feb!$CF$1:$CF$171,$B364,Feb!$CE$1:$CE$171)</f>
        <v>1459</v>
      </c>
      <c r="E364" s="1196">
        <f>SUMIF(Mar!$CF$1:$CF$201,$B364,Mar!$CE$1:$CE$201)</f>
        <v>525</v>
      </c>
      <c r="F364" s="1196">
        <f>SUMIF(Apr!$CF$1:$CF$170,$B364,Apr!$CE$1:$CE$170)</f>
        <v>258</v>
      </c>
      <c r="G364" s="1197">
        <f>SUMIF(May!$CF$1:$CF$176,$B364,May!$CE$1:$CE$176)</f>
        <v>316</v>
      </c>
      <c r="H364" s="1196">
        <f>SUMIF(Jun!$CF$1:$CF$182,$B364,Jun!$CE$1:$CE$182)</f>
        <v>785</v>
      </c>
      <c r="I364" s="1196">
        <f>SUMIF(Jul!$CF$1:$CF$189,$B364,Jul!$CE$1:$CE$189)</f>
        <v>0</v>
      </c>
      <c r="J364" s="1197">
        <f>SUMIF(Aug!$CF$1:$CF$196,$B364,Aug!$CE$1:$CE$196)</f>
        <v>5335</v>
      </c>
      <c r="K364" s="1197">
        <f>SUMIF(Sep!$CF$1:$CF$196,$B364,Sep!$CE$1:$CE$196)</f>
        <v>0</v>
      </c>
      <c r="L364" s="1197">
        <f>SUMIF(Oct!$CF$1:$CF$215,$B364,Oct!$CE$1:$CE$215)</f>
        <v>0</v>
      </c>
      <c r="M364" s="1197">
        <f>SUMIF(Nov!$CF$1:$CF$214,$B364,Nov!$CE$1:$CE$214)</f>
        <v>1356</v>
      </c>
      <c r="N364" s="1197">
        <f>SUMIF(Dec!$CF$1:$CF$214,$B364,Dec!$CE$1:$CE$214)</f>
        <v>132</v>
      </c>
      <c r="O364" s="1179">
        <f t="shared" si="96"/>
        <v>1079.4166666666667</v>
      </c>
      <c r="P364" s="1180">
        <f>O364/M!$Q$14</f>
        <v>9.6795286152512552E-2</v>
      </c>
      <c r="Q364" s="1235"/>
      <c r="R364" s="1235"/>
      <c r="S364" s="1235"/>
      <c r="T364" s="1235"/>
      <c r="U364" s="1235"/>
      <c r="V364" s="1235"/>
      <c r="W364" s="1235"/>
    </row>
    <row r="365" spans="1:23">
      <c r="A365" s="2218"/>
      <c r="B365" s="1176" t="s">
        <v>702</v>
      </c>
      <c r="C365" s="1196">
        <f>SUMIF(Jan!$CF$1:$CF$186,$B365,Jan!$CE$1:$CE$186)</f>
        <v>0</v>
      </c>
      <c r="D365" s="1196">
        <f>SUMIF(Feb!$CF$1:$CF$171,$B365,Feb!$CE$1:$CE$171)</f>
        <v>0</v>
      </c>
      <c r="E365" s="1196">
        <f>SUMIF(Mar!$CF$1:$CF$201,$B365,Mar!$CE$1:$CE$201)</f>
        <v>66</v>
      </c>
      <c r="F365" s="1196">
        <f>SUMIF(Apr!$CF$1:$CF$170,$B365,Apr!$CE$1:$CE$170)</f>
        <v>0</v>
      </c>
      <c r="G365" s="1197">
        <f>SUMIF(May!$CF$1:$CF$176,$B365,May!$CE$1:$CE$176)</f>
        <v>0</v>
      </c>
      <c r="H365" s="1196">
        <f>SUMIF(Jun!$CF$1:$CF$182,$B365,Jun!$CE$1:$CE$182)</f>
        <v>0</v>
      </c>
      <c r="I365" s="1196">
        <f>SUMIF(Jul!$CF$1:$CF$189,$B365,Jul!$CE$1:$CE$189)</f>
        <v>0</v>
      </c>
      <c r="J365" s="1197">
        <f>SUMIF(Aug!$CF$1:$CF$196,$B365,Aug!$CE$1:$CE$196)</f>
        <v>16000</v>
      </c>
      <c r="K365" s="1197">
        <f>SUMIF(Sep!$CF$1:$CF$196,$B365,Sep!$CE$1:$CE$196)</f>
        <v>0</v>
      </c>
      <c r="L365" s="1197">
        <f>SUMIF(Oct!$CF$1:$CF$215,$B365,Oct!$CE$1:$CE$215)</f>
        <v>0</v>
      </c>
      <c r="M365" s="1197">
        <f>SUMIF(Nov!$CF$1:$CF$214,$B365,Nov!$CE$1:$CE$214)</f>
        <v>50</v>
      </c>
      <c r="N365" s="1197">
        <f>SUMIF(Dec!$CF$1:$CF$214,$B365,Dec!$CE$1:$CE$214)</f>
        <v>0</v>
      </c>
      <c r="O365" s="1179">
        <f t="shared" si="96"/>
        <v>1343</v>
      </c>
      <c r="P365" s="1180">
        <f>O365/M!$Q$14</f>
        <v>0.12043177886465624</v>
      </c>
      <c r="Q365" s="1235"/>
      <c r="R365" s="1235"/>
      <c r="S365" s="1235"/>
      <c r="T365" s="1235"/>
      <c r="U365" s="1235"/>
      <c r="V365" s="1235"/>
      <c r="W365" s="1235"/>
    </row>
    <row r="366" spans="1:23">
      <c r="A366" s="2218"/>
      <c r="B366" s="1176" t="s">
        <v>667</v>
      </c>
      <c r="C366" s="1196">
        <f>SUMIF(Jan!$CF$1:$CF$186,$B366,Jan!$CE$1:$CE$186)</f>
        <v>0</v>
      </c>
      <c r="D366" s="1196">
        <f>SUMIF(Feb!$CF$1:$CF$171,$B366,Feb!$CE$1:$CE$171)</f>
        <v>0</v>
      </c>
      <c r="E366" s="1196">
        <f>SUMIF(Mar!$CF$1:$CF$201,$B366,Mar!$CE$1:$CE$201)</f>
        <v>0</v>
      </c>
      <c r="F366" s="1196">
        <f>SUMIF(Apr!$CF$1:$CF$170,$B366,Apr!$CE$1:$CE$170)</f>
        <v>13</v>
      </c>
      <c r="G366" s="1197">
        <f>SUMIF(May!$CF$1:$CF$176,$B366,May!$CE$1:$CE$176)</f>
        <v>85</v>
      </c>
      <c r="H366" s="1196">
        <f>SUMIF(Jun!$CF$1:$CF$182,$B366,Jun!$CE$1:$CE$182)</f>
        <v>0</v>
      </c>
      <c r="I366" s="1196">
        <f>SUMIF(Jul!$CF$1:$CF$189,$B366,Jul!$CE$1:$CE$189)</f>
        <v>0</v>
      </c>
      <c r="J366" s="1197">
        <f>SUMIF(Aug!$CF$1:$CF$196,$B366,Aug!$CE$1:$CE$196)</f>
        <v>0</v>
      </c>
      <c r="K366" s="1197">
        <f>SUMIF(Sep!$CF$1:$CF$196,$B366,Sep!$CE$1:$CE$196)</f>
        <v>0</v>
      </c>
      <c r="L366" s="1197">
        <f>SUMIF(Oct!$CF$1:$CF$215,$B366,Oct!$CE$1:$CE$215)</f>
        <v>0</v>
      </c>
      <c r="M366" s="1197">
        <f>SUMIF(Nov!$CF$1:$CF$214,$B366,Nov!$CE$1:$CE$214)</f>
        <v>25</v>
      </c>
      <c r="N366" s="1197">
        <f>SUMIF(Dec!$CF$1:$CF$214,$B366,Dec!$CE$1:$CE$214)</f>
        <v>0</v>
      </c>
      <c r="O366" s="1179">
        <f t="shared" si="96"/>
        <v>10.25</v>
      </c>
      <c r="P366" s="1180">
        <f>O366/M!$Q$14</f>
        <v>9.1915542320381721E-4</v>
      </c>
      <c r="Q366" s="1235"/>
      <c r="R366" s="1235"/>
      <c r="S366" s="1235"/>
      <c r="T366" s="1235"/>
      <c r="U366" s="1235"/>
      <c r="V366" s="1235"/>
      <c r="W366" s="1235"/>
    </row>
    <row r="367" spans="1:23">
      <c r="A367" s="2218"/>
      <c r="B367" s="1176" t="s">
        <v>427</v>
      </c>
      <c r="C367" s="1177">
        <v>110</v>
      </c>
      <c r="D367" s="1177">
        <v>110</v>
      </c>
      <c r="E367" s="1177">
        <v>110</v>
      </c>
      <c r="F367" s="1177">
        <v>110</v>
      </c>
      <c r="G367" s="1177">
        <v>110</v>
      </c>
      <c r="H367" s="1177">
        <v>110</v>
      </c>
      <c r="I367" s="1177">
        <v>110</v>
      </c>
      <c r="J367" s="1177">
        <v>110</v>
      </c>
      <c r="K367" s="1177">
        <v>110</v>
      </c>
      <c r="L367" s="1177">
        <v>110</v>
      </c>
      <c r="M367" s="1177">
        <v>110</v>
      </c>
      <c r="N367" s="1177">
        <v>110</v>
      </c>
      <c r="O367" s="1179">
        <f t="shared" si="96"/>
        <v>110</v>
      </c>
      <c r="P367" s="1180">
        <f>O367/M!$Q$14</f>
        <v>9.8641069807238919E-3</v>
      </c>
      <c r="Q367" s="1235"/>
      <c r="R367" s="1235"/>
      <c r="S367" s="1235"/>
      <c r="T367" s="1235"/>
      <c r="U367" s="1235"/>
      <c r="V367" s="1235"/>
      <c r="W367" s="1235"/>
    </row>
    <row r="368" spans="1:23">
      <c r="A368" s="2219"/>
      <c r="B368" s="1176" t="s">
        <v>381</v>
      </c>
      <c r="C368" s="1196">
        <f>SUMIF(Jan!$CF$1:$CF$186,$B368,Jan!$CE$1:$CE$186)</f>
        <v>0</v>
      </c>
      <c r="D368" s="1196">
        <f>SUMIF(Feb!$CF$1:$CF$171,$B368,Feb!$CE$1:$CE$171)</f>
        <v>0</v>
      </c>
      <c r="E368" s="1196">
        <f>SUMIF(Mar!$CF$1:$CF$201,$B368,Mar!$CE$1:$CE$201)</f>
        <v>0</v>
      </c>
      <c r="F368" s="1196">
        <f>SUMIF(Apr!$CF$1:$CF$170,$B368,Apr!$CE$1:$CE$170)</f>
        <v>1035</v>
      </c>
      <c r="G368" s="1197">
        <f>SUMIF(May!$CF$1:$CF$176,$B368,May!$CE$1:$CE$176)</f>
        <v>136</v>
      </c>
      <c r="H368" s="1196">
        <f>SUMIF(Jun!$CF$1:$CF$182,$B368,Jun!$CE$1:$CE$182)</f>
        <v>2226</v>
      </c>
      <c r="I368" s="1196">
        <f>SUMIF(Jul!$CF$1:$CF$189,$B368,Jul!$CE$1:$CE$189)</f>
        <v>53</v>
      </c>
      <c r="J368" s="1197">
        <f>SUMIF(Aug!$CF$1:$CF$196,$B368,Aug!$CE$1:$CE$196) + Aug!CE11 +Aug!CE15</f>
        <v>6637</v>
      </c>
      <c r="K368" s="1197">
        <f>SUMIF(Sep!$CF$1:$CF$196,$B368,Sep!$CE$1:$CE$196)</f>
        <v>0</v>
      </c>
      <c r="L368" s="1197">
        <f>SUMIF(Oct!$CF$1:$CF$215,$B368,Oct!$CE$1:$CE$215)</f>
        <v>0</v>
      </c>
      <c r="M368" s="1197">
        <f>SUMIF(Nov!$CF$1:$CF$214,$B368,Nov!$CE$1:$CE$214)</f>
        <v>35</v>
      </c>
      <c r="N368" s="1197">
        <f>SUMIF(Dec!$CF$1:$CF$214,$B368,Dec!$CE$1:$CE$214)</f>
        <v>64</v>
      </c>
      <c r="O368" s="1179">
        <f t="shared" si="96"/>
        <v>848.83333333333337</v>
      </c>
      <c r="P368" s="1180">
        <f>O368/M!$Q$14</f>
        <v>7.6118025534586034E-2</v>
      </c>
      <c r="Q368" s="1235"/>
      <c r="R368" s="1235"/>
      <c r="S368" s="1235"/>
      <c r="T368" s="1235"/>
      <c r="U368" s="1235"/>
      <c r="V368" s="1235"/>
      <c r="W368" s="1235"/>
    </row>
    <row r="369" spans="1:23">
      <c r="A369" s="2199" t="s">
        <v>691</v>
      </c>
      <c r="B369" s="2200"/>
      <c r="C369" s="2203">
        <f t="shared" ref="C369:O369" si="97">SUM(C371:C376)</f>
        <v>3705</v>
      </c>
      <c r="D369" s="2203">
        <f t="shared" si="97"/>
        <v>761</v>
      </c>
      <c r="E369" s="2203">
        <f t="shared" si="97"/>
        <v>510</v>
      </c>
      <c r="F369" s="2203">
        <f t="shared" si="97"/>
        <v>125</v>
      </c>
      <c r="G369" s="2203">
        <f t="shared" si="97"/>
        <v>454</v>
      </c>
      <c r="H369" s="2203">
        <f t="shared" si="97"/>
        <v>770</v>
      </c>
      <c r="I369" s="2203">
        <f t="shared" si="97"/>
        <v>215</v>
      </c>
      <c r="J369" s="2203">
        <f t="shared" si="97"/>
        <v>652</v>
      </c>
      <c r="K369" s="2203">
        <f t="shared" si="97"/>
        <v>74</v>
      </c>
      <c r="L369" s="2203">
        <f t="shared" si="97"/>
        <v>223</v>
      </c>
      <c r="M369" s="2203">
        <f t="shared" si="97"/>
        <v>86</v>
      </c>
      <c r="N369" s="2203">
        <f t="shared" si="97"/>
        <v>2556</v>
      </c>
      <c r="O369" s="2203">
        <f t="shared" si="97"/>
        <v>844.25</v>
      </c>
      <c r="P369" s="2205">
        <f>O369/M!$Q$14</f>
        <v>7.5707021077055861E-2</v>
      </c>
      <c r="Q369" s="1235"/>
      <c r="R369" s="1235"/>
      <c r="S369" s="1235"/>
      <c r="T369" s="1235"/>
      <c r="U369" s="1235"/>
      <c r="V369" s="1235"/>
      <c r="W369" s="1235"/>
    </row>
    <row r="370" spans="1:23">
      <c r="A370" s="2201"/>
      <c r="B370" s="2202"/>
      <c r="C370" s="2204"/>
      <c r="D370" s="2204"/>
      <c r="E370" s="2204"/>
      <c r="F370" s="2204"/>
      <c r="G370" s="2204"/>
      <c r="H370" s="2204"/>
      <c r="I370" s="2204"/>
      <c r="J370" s="2204"/>
      <c r="K370" s="2204"/>
      <c r="L370" s="2204"/>
      <c r="M370" s="2204"/>
      <c r="N370" s="2204"/>
      <c r="O370" s="2204"/>
      <c r="P370" s="2206"/>
      <c r="Q370" s="1235"/>
      <c r="R370" s="1235"/>
      <c r="S370" s="1235"/>
      <c r="T370" s="1235"/>
      <c r="U370" s="1235"/>
      <c r="V370" s="1235"/>
      <c r="W370" s="1235"/>
    </row>
    <row r="371" spans="1:23">
      <c r="A371" s="2217"/>
      <c r="B371" s="1176" t="s">
        <v>692</v>
      </c>
      <c r="C371" s="1198">
        <f>SUMIF(Jan!$CF$1:$CF$186,$B371,Jan!$CE$1:$CE$186)</f>
        <v>25</v>
      </c>
      <c r="D371" s="1196">
        <f>SUMIF(Feb!$CF$1:$CF$171,$B371,Feb!$CE$1:$CE$171)</f>
        <v>41</v>
      </c>
      <c r="E371" s="1196">
        <f>SUMIF(Mar!$CF$1:$CF$201,$B371,Mar!$CE$1:$CE$201)</f>
        <v>56</v>
      </c>
      <c r="F371" s="1196">
        <f>SUMIF(Apr!$CF$1:$CF$170,$B371,Apr!$CE$1:$CE$170)</f>
        <v>60</v>
      </c>
      <c r="G371" s="1197">
        <f>SUMIF(May!$CF$1:$CF$176,$B371,May!$CE$1:$CE$176)</f>
        <v>81</v>
      </c>
      <c r="H371" s="1196">
        <f>SUMIF(Jun!$CF$1:$CF$182,$B371,Jun!$CE$1:$CE$182)</f>
        <v>7</v>
      </c>
      <c r="I371" s="1196">
        <f>SUMIF(Jul!$CF$1:$CF$189,$B371,Jul!$CE$1:$CE$189)</f>
        <v>107</v>
      </c>
      <c r="J371" s="1197">
        <f>SUMIF(Aug!$CF$1:$CF$196,$B371,Aug!$CE$1:$CE$196)</f>
        <v>137</v>
      </c>
      <c r="K371" s="1197">
        <f>SUMIF(Sep!$CF$1:$CF$196,$B371,Sep!$CE$1:$CE$196)</f>
        <v>9</v>
      </c>
      <c r="L371" s="1197">
        <f>SUMIF(Oct!$CF$1:$CF$215,$B371,Oct!$CE$1:$CE$215)</f>
        <v>10</v>
      </c>
      <c r="M371" s="1197">
        <f>SUMIF(Nov!$CF$1:$CF$214,$B371,Nov!$CE$1:$CE$214)</f>
        <v>0</v>
      </c>
      <c r="N371" s="1197">
        <f>SUMIF(Dec!$CF$1:$CF$214,$B371,Dec!$CE$1:$CE$214)</f>
        <v>120</v>
      </c>
      <c r="O371" s="1179">
        <f t="shared" ref="O371:O376" si="98">SUM(C371:N371)/12</f>
        <v>54.416666666666664</v>
      </c>
      <c r="P371" s="1180">
        <f>O371/M!$Q$14</f>
        <v>4.8797438321308336E-3</v>
      </c>
      <c r="Q371" s="1235"/>
      <c r="R371" s="1235"/>
      <c r="S371" s="1235"/>
      <c r="T371" s="1235"/>
      <c r="U371" s="1235"/>
      <c r="V371" s="1235"/>
      <c r="W371" s="1235"/>
    </row>
    <row r="372" spans="1:23">
      <c r="A372" s="2218"/>
      <c r="B372" s="1176" t="s">
        <v>693</v>
      </c>
      <c r="C372" s="1198">
        <f>SUMIF(Jan!$CF$1:$CF$186,$B372,Jan!$CE$1:$CE$186)</f>
        <v>635</v>
      </c>
      <c r="D372" s="1196">
        <f>SUMIF(Feb!$CF$1:$CF$171,$B372,Feb!$CE$1:$CE$171)</f>
        <v>84</v>
      </c>
      <c r="E372" s="1196">
        <f>SUMIF(Mar!$CF$1:$CF$201,$B372,Mar!$CE$1:$CE$201)</f>
        <v>389</v>
      </c>
      <c r="F372" s="1196">
        <f>SUMIF(Apr!$CF$1:$CF$170,$B372,Apr!$CE$1:$CE$170)</f>
        <v>0</v>
      </c>
      <c r="G372" s="1197">
        <f>SUMIF(May!$CF$1:$CF$176,$B372,May!$CE$1:$CE$176)</f>
        <v>138</v>
      </c>
      <c r="H372" s="1196">
        <f>SUMIF(Jun!$CF$1:$CF$182,$B372,Jun!$CE$1:$CE$182)</f>
        <v>170</v>
      </c>
      <c r="I372" s="1196">
        <f>SUMIF(Jul!$CF$1:$CF$189,$B372,Jul!$CE$1:$CE$189)</f>
        <v>43</v>
      </c>
      <c r="J372" s="1197">
        <f>SUMIF(Aug!$CF$1:$CF$196,$B372,Aug!$CE$1:$CE$196)</f>
        <v>0</v>
      </c>
      <c r="K372" s="1197">
        <f>SUMIF(Sep!$CF$1:$CF$196,$B372,Sep!$CE$1:$CE$196)</f>
        <v>0</v>
      </c>
      <c r="L372" s="1197">
        <f>SUMIF(Oct!$CF$1:$CF$215,$B372,Oct!$CE$1:$CE$215)</f>
        <v>68</v>
      </c>
      <c r="M372" s="1197">
        <f>SUMIF(Nov!$CF$1:$CF$214,$B372,Nov!$CE$1:$CE$214)</f>
        <v>21</v>
      </c>
      <c r="N372" s="1197">
        <f>SUMIF(Dec!$CF$1:$CF$214,$B372,Dec!$CE$1:$CE$214)</f>
        <v>92</v>
      </c>
      <c r="O372" s="1179">
        <f t="shared" si="98"/>
        <v>136.66666666666666</v>
      </c>
      <c r="P372" s="1180">
        <f>O372/M!$Q$14</f>
        <v>1.2255405642717562E-2</v>
      </c>
      <c r="Q372" s="1235"/>
      <c r="R372" s="1235"/>
      <c r="S372" s="1235"/>
      <c r="T372" s="1235"/>
      <c r="U372" s="1235"/>
      <c r="V372" s="1235"/>
      <c r="W372" s="1235"/>
    </row>
    <row r="373" spans="1:23">
      <c r="A373" s="2218"/>
      <c r="B373" s="1176" t="s">
        <v>694</v>
      </c>
      <c r="C373" s="1177">
        <v>65</v>
      </c>
      <c r="D373" s="1177">
        <v>65</v>
      </c>
      <c r="E373" s="1177">
        <v>65</v>
      </c>
      <c r="F373" s="1177">
        <v>65</v>
      </c>
      <c r="G373" s="1177">
        <v>65</v>
      </c>
      <c r="H373" s="1177">
        <v>65</v>
      </c>
      <c r="I373" s="1177">
        <v>65</v>
      </c>
      <c r="J373" s="1177">
        <v>65</v>
      </c>
      <c r="K373" s="1177">
        <v>65</v>
      </c>
      <c r="L373" s="1177">
        <v>65</v>
      </c>
      <c r="M373" s="1177">
        <v>65</v>
      </c>
      <c r="N373" s="1177">
        <v>65</v>
      </c>
      <c r="O373" s="1179">
        <f t="shared" si="98"/>
        <v>65</v>
      </c>
      <c r="P373" s="1180">
        <f>O373/M!$Q$14</f>
        <v>5.8287904886095724E-3</v>
      </c>
      <c r="Q373" s="1235"/>
      <c r="R373" s="1235"/>
      <c r="S373" s="1235"/>
      <c r="T373" s="1235"/>
      <c r="U373" s="1235"/>
      <c r="V373" s="1235"/>
      <c r="W373" s="1235"/>
    </row>
    <row r="374" spans="1:23">
      <c r="A374" s="2218"/>
      <c r="B374" s="1176" t="s">
        <v>695</v>
      </c>
      <c r="C374" s="1198">
        <f>SUMIF(Jan!$CF$1:$CF$186,$B374,Jan!$CE$1:$CE$186)</f>
        <v>480</v>
      </c>
      <c r="D374" s="1196">
        <f>SUMIF(Feb!$CF$1:$CF$171,$B374,Feb!$CE$1:$CE$171)</f>
        <v>571</v>
      </c>
      <c r="E374" s="1196">
        <f>SUMIF(Mar!$CF$1:$CF$201,$B374,Mar!$CE$1:$CE$201)</f>
        <v>0</v>
      </c>
      <c r="F374" s="1196">
        <f>SUMIF(Apr!$CF$1:$CF$170,$B374,Apr!$CE$1:$CE$170)</f>
        <v>0</v>
      </c>
      <c r="G374" s="1197">
        <f>SUMIF(May!$CF$1:$CF$176,$B374,May!$CE$1:$CE$176)</f>
        <v>170</v>
      </c>
      <c r="H374" s="1196">
        <f>SUMIF(Jun!$CF$1:$CF$182,$B374,Jun!$CE$1:$CE$182)</f>
        <v>528</v>
      </c>
      <c r="I374" s="1196">
        <f>SUMIF(Jul!$CF$1:$CF$189,$B374,Jul!$CE$1:$CE$189)</f>
        <v>0</v>
      </c>
      <c r="J374" s="1197">
        <f>SUMIF(Aug!$CF$1:$CF$196,$B374,Aug!$CE$1:$CE$196)</f>
        <v>0</v>
      </c>
      <c r="K374" s="1197">
        <f>SUMIF(Sep!$CF$1:$CF$196,$B374,Sep!$CE$1:$CE$196)</f>
        <v>0</v>
      </c>
      <c r="L374" s="1197">
        <f>SUMIF(Oct!$CF$1:$CF$215,$B374,Oct!$CE$1:$CE$215)</f>
        <v>80</v>
      </c>
      <c r="M374" s="1197">
        <f>SUMIF(Nov!$CF$1:$CF$214,$B374,Nov!$CE$1:$CE$214)</f>
        <v>0</v>
      </c>
      <c r="N374" s="1197">
        <f>SUMIF(Dec!$CF$1:$CF$214,$B374,Dec!$CE$1:$CE$214)</f>
        <v>2279</v>
      </c>
      <c r="O374" s="1179">
        <f t="shared" si="98"/>
        <v>342.33333333333331</v>
      </c>
      <c r="P374" s="1180">
        <f>O374/M!$Q$14</f>
        <v>3.0698296573343744E-2</v>
      </c>
      <c r="Q374" s="1235"/>
      <c r="R374" s="1235"/>
      <c r="S374" s="1235"/>
      <c r="T374" s="1235"/>
      <c r="U374" s="1235"/>
      <c r="V374" s="1235"/>
      <c r="W374" s="1235"/>
    </row>
    <row r="375" spans="1:23">
      <c r="A375" s="2218"/>
      <c r="B375" s="1176" t="s">
        <v>696</v>
      </c>
      <c r="C375" s="1198">
        <f>SUMIF(Jan!$CF$1:$CF$186,$B375,Jan!$CE$1:$CE$186)</f>
        <v>0</v>
      </c>
      <c r="D375" s="1196">
        <f>SUMIF(Feb!$CF$1:$CF$171,$B375,Feb!$CE$1:$CE$171)</f>
        <v>0</v>
      </c>
      <c r="E375" s="1196">
        <f>SUMIF(Mar!$CF$1:$CF$201,$B375,Mar!$CE$1:$CE$201)</f>
        <v>0</v>
      </c>
      <c r="F375" s="1196">
        <f>SUMIF(Apr!$CF$1:$CF$170,$B375,Apr!$CE$1:$CE$170)</f>
        <v>0</v>
      </c>
      <c r="G375" s="1197">
        <f>SUMIF(May!$CF$1:$CF$176,$B375,May!$CE$1:$CE$176)</f>
        <v>0</v>
      </c>
      <c r="H375" s="1196">
        <f>SUMIF(Jun!$CF$1:$CF$182,$B375,Jun!$CE$1:$CE$182)</f>
        <v>0</v>
      </c>
      <c r="I375" s="1196">
        <f>SUMIF(Jul!$CF$1:$CF$189,$B375,Jul!$CE$1:$CE$189)</f>
        <v>0</v>
      </c>
      <c r="J375" s="1197">
        <f>SUMIF(Aug!$CF$1:$CF$196,$B375,Aug!$CE$1:$CE$196)</f>
        <v>450</v>
      </c>
      <c r="K375" s="1197">
        <f>SUMIF(Sep!$CF$1:$CF$196,$B375,Sep!$CE$1:$CE$196)</f>
        <v>0</v>
      </c>
      <c r="L375" s="1197">
        <f>SUMIF(Oct!$CF$1:$CF$215,$B375,Oct!$CE$1:$CE$215)</f>
        <v>0</v>
      </c>
      <c r="M375" s="1197">
        <f>SUMIF(Nov!$CF$1:$CF$214,$B375,Nov!$CE$1:$CE$214)</f>
        <v>0</v>
      </c>
      <c r="N375" s="1197">
        <f>SUMIF(Dec!$CF$1:$CF$214,$B375,Dec!$CE$1:$CE$214)</f>
        <v>0</v>
      </c>
      <c r="O375" s="1179">
        <f t="shared" si="98"/>
        <v>37.5</v>
      </c>
      <c r="P375" s="1180">
        <f>O375/M!$Q$14</f>
        <v>3.3627637434285994E-3</v>
      </c>
      <c r="Q375" s="1235"/>
      <c r="R375" s="1235"/>
      <c r="S375" s="1235"/>
      <c r="T375" s="1235"/>
      <c r="U375" s="1235"/>
      <c r="V375" s="1235"/>
      <c r="W375" s="1235"/>
    </row>
    <row r="376" spans="1:23">
      <c r="A376" s="2218"/>
      <c r="B376" s="1176" t="s">
        <v>697</v>
      </c>
      <c r="C376" s="1198">
        <f>SUMIF(Jan!$CF$1:$CF$186,$B376,Jan!$CE$1:$CE$186)</f>
        <v>2500</v>
      </c>
      <c r="D376" s="1196">
        <f>SUMIF(Feb!$CF$1:$CF$171,$B376,Feb!$CE$1:$CE$171)</f>
        <v>0</v>
      </c>
      <c r="E376" s="1196">
        <f>SUMIF(Mar!$CF$1:$CF$201,$B376,Mar!$CE$1:$CE$201)</f>
        <v>0</v>
      </c>
      <c r="F376" s="1196">
        <f>SUMIF(Apr!$CF$1:$CF$170,$B376,Apr!$CE$1:$CE$170)</f>
        <v>0</v>
      </c>
      <c r="G376" s="1197">
        <f>SUMIF(May!$CF$1:$CF$176,$B376,May!$CE$1:$CE$176)</f>
        <v>0</v>
      </c>
      <c r="H376" s="1196">
        <f>SUMIF(Jun!$CF$1:$CF$182,$B376,Jun!$CE$1:$CE$182)</f>
        <v>0</v>
      </c>
      <c r="I376" s="1196">
        <f>SUMIF(Jul!$CF$1:$CF$189,$B376,Jul!$CE$1:$CE$189)</f>
        <v>0</v>
      </c>
      <c r="J376" s="1197">
        <f>SUMIF(Aug!$CF$1:$CF$196,$B376,Aug!$CE$1:$CE$196)</f>
        <v>0</v>
      </c>
      <c r="K376" s="1197">
        <f>SUMIF(Sep!$CF$1:$CF$196,$B376,Sep!$CE$1:$CE$196)</f>
        <v>0</v>
      </c>
      <c r="L376" s="1197">
        <f>SUMIF(Oct!$CF$1:$CF$215,$B376,Oct!$CE$1:$CE$215)</f>
        <v>0</v>
      </c>
      <c r="M376" s="1197">
        <f>SUMIF(Nov!$CF$1:$CF$214,$B376,Nov!$CE$1:$CE$214)</f>
        <v>0</v>
      </c>
      <c r="N376" s="1197">
        <f>SUMIF(Dec!$CF$1:$CF$214,$B376,Dec!$CE$1:$CE$214)</f>
        <v>0</v>
      </c>
      <c r="O376" s="1179">
        <f t="shared" si="98"/>
        <v>208.33333333333334</v>
      </c>
      <c r="P376" s="1180">
        <f>O376/M!$Q$14</f>
        <v>1.8682020796825554E-2</v>
      </c>
      <c r="Q376" s="1235"/>
      <c r="R376" s="1235"/>
      <c r="S376" s="1235"/>
      <c r="T376" s="1235"/>
      <c r="U376" s="1235"/>
      <c r="V376" s="1235"/>
      <c r="W376" s="1235"/>
    </row>
    <row r="377" spans="1:23">
      <c r="A377" s="2199" t="s">
        <v>428</v>
      </c>
      <c r="B377" s="2200"/>
      <c r="C377" s="2203">
        <f>SUM(C379:C380)</f>
        <v>2042</v>
      </c>
      <c r="D377" s="2203">
        <f t="shared" ref="D377:N377" si="99">SUM(D379:D380)</f>
        <v>2735</v>
      </c>
      <c r="E377" s="2203">
        <f t="shared" si="99"/>
        <v>3210</v>
      </c>
      <c r="F377" s="2203">
        <f t="shared" si="99"/>
        <v>1670</v>
      </c>
      <c r="G377" s="2203">
        <f t="shared" si="99"/>
        <v>1182</v>
      </c>
      <c r="H377" s="2203">
        <f t="shared" si="99"/>
        <v>3121</v>
      </c>
      <c r="I377" s="2203">
        <f t="shared" si="99"/>
        <v>3003</v>
      </c>
      <c r="J377" s="2203">
        <f t="shared" si="99"/>
        <v>2672</v>
      </c>
      <c r="K377" s="2203">
        <f t="shared" si="99"/>
        <v>2357</v>
      </c>
      <c r="L377" s="2203">
        <f t="shared" si="99"/>
        <v>662</v>
      </c>
      <c r="M377" s="2203">
        <f t="shared" si="99"/>
        <v>720</v>
      </c>
      <c r="N377" s="2203">
        <f t="shared" si="99"/>
        <v>30</v>
      </c>
      <c r="O377" s="2203">
        <f>SUM(O379:O380)</f>
        <v>1950.3333333333333</v>
      </c>
      <c r="P377" s="2205">
        <f>O377/M!$Q$14</f>
        <v>0.17489360589156208</v>
      </c>
      <c r="Q377" s="1235"/>
      <c r="R377" s="1235"/>
      <c r="S377" s="1235"/>
      <c r="T377" s="1235"/>
      <c r="U377" s="1235"/>
      <c r="V377" s="1235"/>
      <c r="W377" s="1235"/>
    </row>
    <row r="378" spans="1:23">
      <c r="A378" s="2201"/>
      <c r="B378" s="2202"/>
      <c r="C378" s="2204"/>
      <c r="D378" s="2204"/>
      <c r="E378" s="2204"/>
      <c r="F378" s="2204"/>
      <c r="G378" s="2204"/>
      <c r="H378" s="2204"/>
      <c r="I378" s="2204"/>
      <c r="J378" s="2204"/>
      <c r="K378" s="2204"/>
      <c r="L378" s="2204"/>
      <c r="M378" s="2204"/>
      <c r="N378" s="2204"/>
      <c r="O378" s="2204"/>
      <c r="P378" s="2206"/>
      <c r="Q378" s="1235"/>
      <c r="R378" s="1235"/>
      <c r="S378" s="1235"/>
      <c r="T378" s="1235"/>
      <c r="U378" s="1235"/>
      <c r="V378" s="1235"/>
      <c r="W378" s="1235"/>
    </row>
    <row r="379" spans="1:23">
      <c r="A379" s="2217"/>
      <c r="B379" s="1176" t="s">
        <v>689</v>
      </c>
      <c r="C379" s="1196">
        <f>SUMIF(Jan!$CF$1:$CF$186,$B379,Jan!$CE$1:$CE$186)</f>
        <v>2042</v>
      </c>
      <c r="D379" s="1196">
        <f>SUMIF(Feb!$CF$1:$CF$171,$B379,Feb!$CE$1:$CE$171)</f>
        <v>2735</v>
      </c>
      <c r="E379" s="1196">
        <f>SUMIF(Mar!$CF$1:$CF$201,$B379,Mar!$CE$1:$CE$201)</f>
        <v>3210</v>
      </c>
      <c r="F379" s="1196">
        <f>SUMIF(Apr!$CF$1:$CF$170,$B379,Apr!$CE$1:$CE$170)</f>
        <v>1670</v>
      </c>
      <c r="G379" s="1197">
        <f>SUMIF(May!$CF$1:$CF$176,$B379,May!$CE$1:$CE$176)</f>
        <v>1182</v>
      </c>
      <c r="H379" s="1196">
        <f>SUMIF(Jun!$CF$1:$CF$182,$B379,Jun!$CE$1:$CE$182)</f>
        <v>3121</v>
      </c>
      <c r="I379" s="1196">
        <f>SUMIF(Jul!$CF$1:$CF$189,$B379,Jul!$CE$1:$CE$189)</f>
        <v>3003</v>
      </c>
      <c r="J379" s="1197">
        <f>SUMIF(Aug!$CF$1:$CF$196,$B379,Aug!$CE$1:$CE$196)</f>
        <v>2672</v>
      </c>
      <c r="K379" s="1197">
        <f>SUMIF(Sep!$CF$1:$CF$196,$B379,Sep!$CE$1:$CE$196)</f>
        <v>2357</v>
      </c>
      <c r="L379" s="1197">
        <f>SUMIF(Oct!$CF$1:$CF$215,$B379,Oct!$CE$1:$CE$215)</f>
        <v>662</v>
      </c>
      <c r="M379" s="1197">
        <f>SUMIF(Nov!$CF$1:$CF$214,$B379,Nov!$CE$1:$CE$214)</f>
        <v>720</v>
      </c>
      <c r="N379" s="1197">
        <f>SUMIF(Dec!$CF$1:$CF$214,$B379,Dec!$CE$1:$CE$214)</f>
        <v>30</v>
      </c>
      <c r="O379" s="1179">
        <f>SUM(C379:N379)/12</f>
        <v>1950.3333333333333</v>
      </c>
      <c r="P379" s="1180">
        <f>O379/M!$Q$14</f>
        <v>0.17489360589156208</v>
      </c>
      <c r="Q379" s="1235"/>
      <c r="R379" s="1235"/>
      <c r="S379" s="1235"/>
      <c r="T379" s="1235"/>
      <c r="U379" s="1235"/>
      <c r="V379" s="1235"/>
      <c r="W379" s="1235"/>
    </row>
    <row r="380" spans="1:23">
      <c r="A380" s="2218"/>
      <c r="B380" s="1176" t="s">
        <v>703</v>
      </c>
      <c r="C380" s="1196">
        <f>SUMIF(Jan!$CF$1:$CF$186,$B380,Jan!$CE$1:$CE$186)</f>
        <v>0</v>
      </c>
      <c r="D380" s="1196">
        <f>SUMIF(Feb!$CF$1:$CF$171,$B380,Feb!$CE$1:$CE$171)</f>
        <v>0</v>
      </c>
      <c r="E380" s="1196">
        <f>SUMIF(Mar!$CF$1:$CF$201,$B380,Mar!$CE$1:$CE$201)</f>
        <v>0</v>
      </c>
      <c r="F380" s="1196">
        <f>SUMIF(Apr!$CF$1:$CF$170,$B380,Apr!$CE$1:$CE$170)</f>
        <v>0</v>
      </c>
      <c r="G380" s="1197">
        <f>SUMIF(May!$CF$1:$CF$176,$B380,May!$CE$1:$CE$176)</f>
        <v>0</v>
      </c>
      <c r="H380" s="1196">
        <f>SUMIF(Jun!$CF$1:$CF$182,$B380,Jun!$CE$1:$CE$182)</f>
        <v>0</v>
      </c>
      <c r="I380" s="1196">
        <f>SUMIF(Jul!$CF$1:$CF$189,$B380,Jul!$CE$1:$CE$189)</f>
        <v>0</v>
      </c>
      <c r="J380" s="1197">
        <f>SUMIF(Aug!$CF$1:$CF$196,$B380,Aug!$CE$1:$CE$196)</f>
        <v>0</v>
      </c>
      <c r="K380" s="1197">
        <f>SUMIF(Sep!$CF$1:$CF$196,$B380,Sep!$CE$1:$CE$196)</f>
        <v>0</v>
      </c>
      <c r="L380" s="1197">
        <f>SUMIF(Oct!$CF$1:$CF$215,$B380,Oct!$CE$1:$CE$215)</f>
        <v>0</v>
      </c>
      <c r="M380" s="1197">
        <f>SUMIF(Nov!$CF$1:$CF$214,$B380,Nov!$CE$1:$CE$214)</f>
        <v>0</v>
      </c>
      <c r="N380" s="1197">
        <f>SUMIF(Dec!$CF$1:$CF$214,$B380,Dec!$CE$1:$CE$214)</f>
        <v>0</v>
      </c>
      <c r="O380" s="1179">
        <f>SUM(C380:N380)/12</f>
        <v>0</v>
      </c>
      <c r="P380" s="1180">
        <f>O380/M!$Q$14</f>
        <v>0</v>
      </c>
      <c r="Q380" s="1235"/>
      <c r="R380" s="1235"/>
      <c r="S380" s="1235"/>
      <c r="T380" s="1235"/>
      <c r="U380" s="1235"/>
      <c r="V380" s="1235"/>
      <c r="W380" s="1235"/>
    </row>
    <row r="381" spans="1:23">
      <c r="A381" s="2199" t="s">
        <v>668</v>
      </c>
      <c r="B381" s="2200"/>
      <c r="C381" s="2203">
        <f>SUM(C383:C386)</f>
        <v>413.16666666666669</v>
      </c>
      <c r="D381" s="2203">
        <f t="shared" ref="D381:N381" si="100">SUM(D383:D386)</f>
        <v>313.16666666666669</v>
      </c>
      <c r="E381" s="2203">
        <f t="shared" si="100"/>
        <v>313.16666666666669</v>
      </c>
      <c r="F381" s="2203">
        <f t="shared" si="100"/>
        <v>509.16666666666669</v>
      </c>
      <c r="G381" s="2203">
        <f t="shared" si="100"/>
        <v>385.16666666666669</v>
      </c>
      <c r="H381" s="2203">
        <f t="shared" si="100"/>
        <v>393.16666666666669</v>
      </c>
      <c r="I381" s="2203">
        <f t="shared" si="100"/>
        <v>313.16666666666669</v>
      </c>
      <c r="J381" s="2203">
        <f t="shared" si="100"/>
        <v>313.16666666666669</v>
      </c>
      <c r="K381" s="2203">
        <f t="shared" si="100"/>
        <v>313.16666666666669</v>
      </c>
      <c r="L381" s="2203">
        <f t="shared" si="100"/>
        <v>313.16666666666669</v>
      </c>
      <c r="M381" s="2203">
        <f t="shared" si="100"/>
        <v>373.16666666666669</v>
      </c>
      <c r="N381" s="2203">
        <f t="shared" si="100"/>
        <v>553.16666666666674</v>
      </c>
      <c r="O381" s="2203">
        <f>SUM(O383:O391)</f>
        <v>835.16666666666674</v>
      </c>
      <c r="P381" s="2205">
        <f>O381/M!$Q$14</f>
        <v>7.4892484970314283E-2</v>
      </c>
      <c r="Q381" s="1235"/>
      <c r="R381" s="1235"/>
      <c r="S381" s="1235"/>
      <c r="T381" s="1235"/>
      <c r="U381" s="1235"/>
      <c r="V381" s="1235"/>
      <c r="W381" s="1235"/>
    </row>
    <row r="382" spans="1:23">
      <c r="A382" s="2201"/>
      <c r="B382" s="2202"/>
      <c r="C382" s="2204"/>
      <c r="D382" s="2204"/>
      <c r="E382" s="2204"/>
      <c r="F382" s="2204"/>
      <c r="G382" s="2204"/>
      <c r="H382" s="2204"/>
      <c r="I382" s="2204"/>
      <c r="J382" s="2204"/>
      <c r="K382" s="2204"/>
      <c r="L382" s="2204"/>
      <c r="M382" s="2204"/>
      <c r="N382" s="2204"/>
      <c r="O382" s="2204"/>
      <c r="P382" s="2206"/>
      <c r="Q382" s="1235"/>
      <c r="R382" s="1235"/>
      <c r="S382" s="1235"/>
      <c r="T382" s="1235"/>
      <c r="U382" s="1235"/>
      <c r="V382" s="1235"/>
      <c r="W382" s="1235"/>
    </row>
    <row r="383" spans="1:23">
      <c r="A383" s="1183"/>
      <c r="B383" s="1176" t="s">
        <v>432</v>
      </c>
      <c r="C383" s="1184">
        <f>(FinSnapshot!$Q$94+FinSnapshot!$Q$102)/12</f>
        <v>78.166666666666671</v>
      </c>
      <c r="D383" s="1184">
        <f>(FinSnapshot!$Q$94+FinSnapshot!$Q$102)/12</f>
        <v>78.166666666666671</v>
      </c>
      <c r="E383" s="1184">
        <f>(FinSnapshot!$Q$94+FinSnapshot!$Q$102)/12</f>
        <v>78.166666666666671</v>
      </c>
      <c r="F383" s="1184">
        <f>(FinSnapshot!$Q$94+FinSnapshot!$Q$102)/12</f>
        <v>78.166666666666671</v>
      </c>
      <c r="G383" s="1184">
        <f>(FinSnapshot!$Q$94+FinSnapshot!$Q$102)/12</f>
        <v>78.166666666666671</v>
      </c>
      <c r="H383" s="1184">
        <f>(FinSnapshot!$Q$94+FinSnapshot!$Q$102)/12</f>
        <v>78.166666666666671</v>
      </c>
      <c r="I383" s="1184">
        <f>(FinSnapshot!$Q$94+FinSnapshot!$Q$102)/12</f>
        <v>78.166666666666671</v>
      </c>
      <c r="J383" s="1184">
        <f>(FinSnapshot!$Q$94+FinSnapshot!$Q$102)/12</f>
        <v>78.166666666666671</v>
      </c>
      <c r="K383" s="1184">
        <f>(FinSnapshot!$Q$94+FinSnapshot!$Q$102)/12</f>
        <v>78.166666666666671</v>
      </c>
      <c r="L383" s="1184">
        <f>(FinSnapshot!$Q$94+FinSnapshot!$Q$102)/12</f>
        <v>78.166666666666671</v>
      </c>
      <c r="M383" s="1184">
        <f>(FinSnapshot!$Q$94+FinSnapshot!$Q$102)/12</f>
        <v>78.166666666666671</v>
      </c>
      <c r="N383" s="1184">
        <f>(FinSnapshot!$Q$94+FinSnapshot!$Q$102)/12</f>
        <v>78.166666666666671</v>
      </c>
      <c r="O383" s="1179">
        <f>SUM(C383:N383)/12</f>
        <v>78.166666666666657</v>
      </c>
      <c r="P383" s="1186"/>
      <c r="Q383" s="1235"/>
      <c r="R383" s="1235"/>
      <c r="S383" s="1235"/>
      <c r="T383" s="1235"/>
      <c r="U383" s="1235"/>
      <c r="V383" s="1235"/>
      <c r="W383" s="1235"/>
    </row>
    <row r="384" spans="1:23">
      <c r="A384" s="1183"/>
      <c r="B384" s="1176" t="s">
        <v>284</v>
      </c>
      <c r="C384" s="1177">
        <v>50</v>
      </c>
      <c r="D384" s="1177">
        <v>0</v>
      </c>
      <c r="E384" s="1177">
        <v>0</v>
      </c>
      <c r="F384" s="1177">
        <v>98</v>
      </c>
      <c r="G384" s="1177">
        <v>36</v>
      </c>
      <c r="H384" s="1177">
        <v>40</v>
      </c>
      <c r="I384" s="1178">
        <v>0</v>
      </c>
      <c r="J384" s="1178">
        <v>0</v>
      </c>
      <c r="K384" s="1177">
        <v>0</v>
      </c>
      <c r="L384" s="1182">
        <v>0</v>
      </c>
      <c r="M384" s="1182">
        <v>30</v>
      </c>
      <c r="N384" s="1182">
        <v>120</v>
      </c>
      <c r="O384" s="1179">
        <f>SUM(C384:N384)/12</f>
        <v>31.166666666666668</v>
      </c>
      <c r="P384" s="1180">
        <f>O384/M!$Q$14</f>
        <v>2.7948303112051028E-3</v>
      </c>
      <c r="Q384" s="1235"/>
      <c r="R384" s="1235"/>
      <c r="S384" s="1235"/>
      <c r="T384" s="1235"/>
      <c r="U384" s="1235"/>
      <c r="V384" s="1235"/>
      <c r="W384" s="1235"/>
    </row>
    <row r="385" spans="1:23">
      <c r="A385" s="1183"/>
      <c r="B385" s="1176" t="s">
        <v>433</v>
      </c>
      <c r="C385" s="1177">
        <v>50</v>
      </c>
      <c r="D385" s="1177">
        <v>0</v>
      </c>
      <c r="E385" s="1177">
        <v>0</v>
      </c>
      <c r="F385" s="1177">
        <v>98</v>
      </c>
      <c r="G385" s="1177">
        <v>36</v>
      </c>
      <c r="H385" s="1177">
        <v>40</v>
      </c>
      <c r="I385" s="1178">
        <v>0</v>
      </c>
      <c r="J385" s="1178">
        <v>0</v>
      </c>
      <c r="K385" s="1177">
        <v>0</v>
      </c>
      <c r="L385" s="1182">
        <v>0</v>
      </c>
      <c r="M385" s="1182">
        <v>30</v>
      </c>
      <c r="N385" s="1182">
        <v>120</v>
      </c>
      <c r="O385" s="1179">
        <f>SUM(C385:N385)/12</f>
        <v>31.166666666666668</v>
      </c>
      <c r="P385" s="1180">
        <f>O385/M!$Q$14</f>
        <v>2.7948303112051028E-3</v>
      </c>
      <c r="Q385" s="1235"/>
      <c r="R385" s="1235"/>
      <c r="S385" s="1235"/>
      <c r="T385" s="1235"/>
      <c r="U385" s="1235"/>
      <c r="V385" s="1235"/>
      <c r="W385" s="1235"/>
    </row>
    <row r="386" spans="1:23">
      <c r="A386" s="1183"/>
      <c r="B386" s="1176" t="s">
        <v>434</v>
      </c>
      <c r="C386" s="1184">
        <f>ROUNDUP((((382+2430))/12),0)</f>
        <v>235</v>
      </c>
      <c r="D386" s="1184">
        <f t="shared" ref="D386:N386" si="101">ROUNDUP((((382+2430))/12),0)</f>
        <v>235</v>
      </c>
      <c r="E386" s="1184">
        <f t="shared" si="101"/>
        <v>235</v>
      </c>
      <c r="F386" s="1184">
        <f t="shared" si="101"/>
        <v>235</v>
      </c>
      <c r="G386" s="1184">
        <f t="shared" si="101"/>
        <v>235</v>
      </c>
      <c r="H386" s="1184">
        <f t="shared" si="101"/>
        <v>235</v>
      </c>
      <c r="I386" s="1184">
        <f t="shared" si="101"/>
        <v>235</v>
      </c>
      <c r="J386" s="1184">
        <f t="shared" si="101"/>
        <v>235</v>
      </c>
      <c r="K386" s="1184">
        <f t="shared" si="101"/>
        <v>235</v>
      </c>
      <c r="L386" s="1184">
        <f t="shared" si="101"/>
        <v>235</v>
      </c>
      <c r="M386" s="1184">
        <f t="shared" si="101"/>
        <v>235</v>
      </c>
      <c r="N386" s="1184">
        <f t="shared" si="101"/>
        <v>235</v>
      </c>
      <c r="O386" s="1179">
        <f>SUM(C386:N386)/12</f>
        <v>235</v>
      </c>
      <c r="P386" s="1186"/>
      <c r="Q386" s="1235"/>
      <c r="R386" s="1235"/>
      <c r="S386" s="1235"/>
      <c r="T386" s="1235"/>
      <c r="U386" s="1235"/>
      <c r="V386" s="1235"/>
      <c r="W386" s="1235"/>
    </row>
    <row r="387" spans="1:23">
      <c r="A387" s="2199" t="s">
        <v>435</v>
      </c>
      <c r="B387" s="2200"/>
      <c r="C387" s="2203">
        <f t="shared" ref="C387:H387" si="102">SUM(C389:C391)</f>
        <v>50</v>
      </c>
      <c r="D387" s="2203">
        <f t="shared" si="102"/>
        <v>0</v>
      </c>
      <c r="E387" s="2203">
        <f t="shared" si="102"/>
        <v>95</v>
      </c>
      <c r="F387" s="2203">
        <f t="shared" si="102"/>
        <v>0</v>
      </c>
      <c r="G387" s="2203">
        <f t="shared" si="102"/>
        <v>0</v>
      </c>
      <c r="H387" s="2203">
        <f t="shared" si="102"/>
        <v>371</v>
      </c>
      <c r="I387" s="2203">
        <f>SUM(I389:I391)</f>
        <v>0</v>
      </c>
      <c r="J387" s="2203">
        <f t="shared" ref="J387:N387" si="103">SUM(J389:J391)</f>
        <v>0</v>
      </c>
      <c r="K387" s="2203">
        <f t="shared" si="103"/>
        <v>0</v>
      </c>
      <c r="L387" s="2203">
        <f t="shared" si="103"/>
        <v>0</v>
      </c>
      <c r="M387" s="2203">
        <f t="shared" si="103"/>
        <v>0</v>
      </c>
      <c r="N387" s="2203">
        <f t="shared" si="103"/>
        <v>0</v>
      </c>
      <c r="O387" s="2203">
        <f t="shared" ref="O387" si="104">SUM(O392:O394)</f>
        <v>416.66666666666669</v>
      </c>
      <c r="P387" s="2205">
        <f>O387/M!$Q$14</f>
        <v>3.7364041593651108E-2</v>
      </c>
      <c r="Q387" s="1235"/>
      <c r="R387" s="1235"/>
      <c r="S387" s="1235"/>
      <c r="T387" s="1235"/>
      <c r="U387" s="1235"/>
      <c r="V387" s="1235"/>
      <c r="W387" s="1235"/>
    </row>
    <row r="388" spans="1:23">
      <c r="A388" s="2201"/>
      <c r="B388" s="2202"/>
      <c r="C388" s="2204"/>
      <c r="D388" s="2204"/>
      <c r="E388" s="2204"/>
      <c r="F388" s="2204"/>
      <c r="G388" s="2204"/>
      <c r="H388" s="2204"/>
      <c r="I388" s="2204"/>
      <c r="J388" s="2204"/>
      <c r="K388" s="2204"/>
      <c r="L388" s="2204"/>
      <c r="M388" s="2204"/>
      <c r="N388" s="2204"/>
      <c r="O388" s="2204"/>
      <c r="P388" s="2206"/>
      <c r="Q388" s="1235"/>
      <c r="R388" s="1235"/>
      <c r="S388" s="1235"/>
      <c r="T388" s="1235"/>
      <c r="U388" s="1235"/>
      <c r="V388" s="1235"/>
      <c r="W388" s="1235"/>
    </row>
    <row r="389" spans="1:23">
      <c r="A389" s="1183"/>
      <c r="B389" s="1176" t="s">
        <v>405</v>
      </c>
      <c r="C389" s="1177">
        <v>0</v>
      </c>
      <c r="D389" s="1177">
        <v>0</v>
      </c>
      <c r="E389" s="1177">
        <v>0</v>
      </c>
      <c r="F389" s="1177">
        <v>0</v>
      </c>
      <c r="G389" s="1177">
        <v>0</v>
      </c>
      <c r="H389" s="1177">
        <v>0</v>
      </c>
      <c r="I389" s="1177">
        <v>0</v>
      </c>
      <c r="J389" s="1177">
        <v>0</v>
      </c>
      <c r="K389" s="1177">
        <v>0</v>
      </c>
      <c r="L389" s="1177">
        <v>0</v>
      </c>
      <c r="M389" s="1177">
        <v>0</v>
      </c>
      <c r="N389" s="1177">
        <v>0</v>
      </c>
      <c r="O389" s="1179">
        <f>SUM(C389:N389)/12</f>
        <v>0</v>
      </c>
      <c r="P389" s="1180">
        <f>O389/M!$Q$14</f>
        <v>0</v>
      </c>
      <c r="Q389" s="1235"/>
      <c r="R389" s="1235"/>
      <c r="S389" s="1235"/>
      <c r="T389" s="1235"/>
      <c r="U389" s="1235"/>
      <c r="V389" s="1235"/>
      <c r="W389" s="1235"/>
    </row>
    <row r="390" spans="1:23">
      <c r="A390" s="1183"/>
      <c r="B390" s="1176" t="s">
        <v>436</v>
      </c>
      <c r="C390" s="1177">
        <v>0</v>
      </c>
      <c r="D390" s="1177">
        <v>0</v>
      </c>
      <c r="E390" s="1177">
        <v>95</v>
      </c>
      <c r="F390" s="1177">
        <v>0</v>
      </c>
      <c r="G390" s="1177">
        <v>0</v>
      </c>
      <c r="H390" s="1177">
        <v>0</v>
      </c>
      <c r="I390" s="1182">
        <v>0</v>
      </c>
      <c r="J390" s="1178">
        <v>0</v>
      </c>
      <c r="K390" s="1182">
        <v>0</v>
      </c>
      <c r="L390" s="1182">
        <v>0</v>
      </c>
      <c r="M390" s="1182">
        <v>0</v>
      </c>
      <c r="N390" s="1182">
        <v>0</v>
      </c>
      <c r="O390" s="1179">
        <f>SUM(C390:N390)/12</f>
        <v>7.916666666666667</v>
      </c>
      <c r="P390" s="1180">
        <f>O390/M!$Q$14</f>
        <v>7.0991679027937102E-4</v>
      </c>
      <c r="Q390" s="1235"/>
      <c r="R390" s="1235"/>
      <c r="S390" s="1235"/>
      <c r="T390" s="1235"/>
      <c r="U390" s="1235"/>
      <c r="V390" s="1235"/>
      <c r="W390" s="1235"/>
    </row>
    <row r="391" spans="1:23">
      <c r="A391" s="1183"/>
      <c r="B391" s="1176" t="s">
        <v>130</v>
      </c>
      <c r="C391" s="1182">
        <v>50</v>
      </c>
      <c r="D391" s="1182">
        <v>0</v>
      </c>
      <c r="E391" s="1177">
        <v>0</v>
      </c>
      <c r="F391" s="1177">
        <v>0</v>
      </c>
      <c r="G391" s="1177">
        <v>0</v>
      </c>
      <c r="H391" s="1177">
        <v>371</v>
      </c>
      <c r="I391" s="1182">
        <v>0</v>
      </c>
      <c r="J391" s="1178">
        <v>0</v>
      </c>
      <c r="K391" s="1182">
        <v>0</v>
      </c>
      <c r="L391" s="1182">
        <v>0</v>
      </c>
      <c r="M391" s="1182">
        <v>0</v>
      </c>
      <c r="N391" s="1182">
        <v>0</v>
      </c>
      <c r="O391" s="1179">
        <f>SUM(C391:N391)/12</f>
        <v>35.083333333333336</v>
      </c>
      <c r="P391" s="1180">
        <f>O391/M!$Q$14</f>
        <v>3.1460523021854233E-3</v>
      </c>
      <c r="Q391" s="1235"/>
      <c r="R391" s="1235"/>
      <c r="S391" s="1235"/>
      <c r="T391" s="1235"/>
      <c r="U391" s="1235"/>
      <c r="V391" s="1235"/>
      <c r="W391" s="1235"/>
    </row>
    <row r="392" spans="1:23">
      <c r="A392" s="2199" t="s">
        <v>286</v>
      </c>
      <c r="B392" s="2200"/>
      <c r="C392" s="2203">
        <f t="shared" ref="C392:N392" si="105">SUM(C394:C395)</f>
        <v>0</v>
      </c>
      <c r="D392" s="2203">
        <f t="shared" si="105"/>
        <v>0</v>
      </c>
      <c r="E392" s="2203">
        <f t="shared" si="105"/>
        <v>0</v>
      </c>
      <c r="F392" s="2203">
        <f t="shared" si="105"/>
        <v>0</v>
      </c>
      <c r="G392" s="2203">
        <f t="shared" si="105"/>
        <v>0</v>
      </c>
      <c r="H392" s="2203">
        <f t="shared" si="105"/>
        <v>0</v>
      </c>
      <c r="I392" s="2203">
        <f t="shared" si="105"/>
        <v>0</v>
      </c>
      <c r="J392" s="2203">
        <f t="shared" si="105"/>
        <v>2500</v>
      </c>
      <c r="K392" s="2203">
        <f t="shared" si="105"/>
        <v>0</v>
      </c>
      <c r="L392" s="2203">
        <f t="shared" si="105"/>
        <v>0</v>
      </c>
      <c r="M392" s="2203">
        <f t="shared" si="105"/>
        <v>0</v>
      </c>
      <c r="N392" s="2203">
        <f t="shared" si="105"/>
        <v>0</v>
      </c>
      <c r="O392" s="2203">
        <f>SUM(O394:O395)</f>
        <v>208.33333333333334</v>
      </c>
      <c r="P392" s="2205">
        <f>O392/M!$Q$14</f>
        <v>1.8682020796825554E-2</v>
      </c>
      <c r="Q392" s="1235"/>
      <c r="R392" s="1235"/>
      <c r="S392" s="1235"/>
      <c r="T392" s="1235"/>
      <c r="U392" s="1235"/>
      <c r="V392" s="1235"/>
      <c r="W392" s="1235"/>
    </row>
    <row r="393" spans="1:23">
      <c r="A393" s="2201"/>
      <c r="B393" s="2202"/>
      <c r="C393" s="2204"/>
      <c r="D393" s="2204"/>
      <c r="E393" s="2204"/>
      <c r="F393" s="2204"/>
      <c r="G393" s="2204"/>
      <c r="H393" s="2204"/>
      <c r="I393" s="2204"/>
      <c r="J393" s="2204"/>
      <c r="K393" s="2204"/>
      <c r="L393" s="2204"/>
      <c r="M393" s="2204"/>
      <c r="N393" s="2204"/>
      <c r="O393" s="2204"/>
      <c r="P393" s="2206"/>
      <c r="Q393" s="1235"/>
      <c r="R393" s="1235"/>
      <c r="S393" s="1235"/>
      <c r="T393" s="1235"/>
      <c r="U393" s="1235"/>
      <c r="V393" s="1235"/>
      <c r="W393" s="1235"/>
    </row>
    <row r="394" spans="1:23">
      <c r="A394" s="2217"/>
      <c r="B394" s="1176" t="s">
        <v>82</v>
      </c>
      <c r="C394" s="1177">
        <v>0</v>
      </c>
      <c r="D394" s="1177">
        <v>0</v>
      </c>
      <c r="E394" s="1177">
        <v>0</v>
      </c>
      <c r="F394" s="1177">
        <v>0</v>
      </c>
      <c r="G394" s="1177">
        <v>0</v>
      </c>
      <c r="H394" s="1177">
        <v>0</v>
      </c>
      <c r="I394" s="1178">
        <v>0</v>
      </c>
      <c r="J394" s="1178">
        <v>2500</v>
      </c>
      <c r="K394" s="1178">
        <v>0</v>
      </c>
      <c r="L394" s="1178">
        <v>0</v>
      </c>
      <c r="M394" s="1178">
        <v>0</v>
      </c>
      <c r="N394" s="1178">
        <v>0</v>
      </c>
      <c r="O394" s="1179">
        <f>SUM(C394:N394)/12</f>
        <v>208.33333333333334</v>
      </c>
      <c r="P394" s="1180">
        <f>O394/M!$Q$14</f>
        <v>1.8682020796825554E-2</v>
      </c>
      <c r="Q394" s="1235"/>
      <c r="R394" s="1235"/>
      <c r="S394" s="1235"/>
      <c r="T394" s="1235"/>
      <c r="U394" s="1235"/>
      <c r="V394" s="1235"/>
      <c r="W394" s="1235"/>
    </row>
    <row r="395" spans="1:23">
      <c r="A395" s="2219"/>
      <c r="B395" s="1176" t="s">
        <v>83</v>
      </c>
      <c r="C395" s="1177">
        <v>0</v>
      </c>
      <c r="D395" s="1177">
        <v>0</v>
      </c>
      <c r="E395" s="1177">
        <v>0</v>
      </c>
      <c r="F395" s="1177">
        <v>0</v>
      </c>
      <c r="G395" s="1177">
        <v>0</v>
      </c>
      <c r="H395" s="1177">
        <v>0</v>
      </c>
      <c r="I395" s="1178">
        <v>0</v>
      </c>
      <c r="J395" s="1178">
        <v>0</v>
      </c>
      <c r="K395" s="1178">
        <v>0</v>
      </c>
      <c r="L395" s="1178">
        <v>0</v>
      </c>
      <c r="M395" s="1178">
        <v>0</v>
      </c>
      <c r="N395" s="1178">
        <v>0</v>
      </c>
      <c r="O395" s="1179">
        <f>SUM(C395:N395)/12</f>
        <v>0</v>
      </c>
      <c r="P395" s="1180">
        <f>O395/M!$Q$14</f>
        <v>0</v>
      </c>
      <c r="Q395" s="1235"/>
      <c r="R395" s="1235"/>
      <c r="S395" s="1235"/>
      <c r="T395" s="1235"/>
      <c r="U395" s="1235"/>
      <c r="V395" s="1235"/>
      <c r="W395" s="1235"/>
    </row>
    <row r="396" spans="1:23">
      <c r="A396" s="1187" t="s">
        <v>437</v>
      </c>
      <c r="B396" s="1188"/>
      <c r="C396" s="1189">
        <f ca="1">C392+C387+C381+C377+C369+C360+C350+C346+C340+C332+C318</f>
        <v>37226.800103469577</v>
      </c>
      <c r="D396" s="1189">
        <f t="shared" ref="D396:O396" ca="1" si="106">D392+D387+D381+D377+D369+D360+D350+D346+D340+D332+D318</f>
        <v>22335.124637546709</v>
      </c>
      <c r="E396" s="1189">
        <f t="shared" ca="1" si="106"/>
        <v>27187.800103469577</v>
      </c>
      <c r="F396" s="1189">
        <f t="shared" ca="1" si="106"/>
        <v>21155.800103469577</v>
      </c>
      <c r="G396" s="1189">
        <f t="shared" ca="1" si="106"/>
        <v>18135.800103469577</v>
      </c>
      <c r="H396" s="1189">
        <f t="shared" ca="1" si="106"/>
        <v>26746.800103469577</v>
      </c>
      <c r="I396" s="1189">
        <f t="shared" ca="1" si="106"/>
        <v>20303.800103469577</v>
      </c>
      <c r="J396" s="1189">
        <f t="shared" ca="1" si="106"/>
        <v>50314.800103469577</v>
      </c>
      <c r="K396" s="1189">
        <f t="shared" ca="1" si="106"/>
        <v>19300.800103469577</v>
      </c>
      <c r="L396" s="1189">
        <f t="shared" ca="1" si="106"/>
        <v>18289.800103469577</v>
      </c>
      <c r="M396" s="1189">
        <f t="shared" ca="1" si="106"/>
        <v>18987.800103469577</v>
      </c>
      <c r="N396" s="1189">
        <f t="shared" ca="1" si="106"/>
        <v>19823.800103469577</v>
      </c>
      <c r="O396" s="1189">
        <f t="shared" ca="1" si="106"/>
        <v>25817.410481309336</v>
      </c>
      <c r="P396" s="1190">
        <f ca="1">O396/M!$Q$14</f>
        <v>2.3151427177536146</v>
      </c>
      <c r="Q396" s="1235"/>
      <c r="R396" s="1235"/>
      <c r="S396" s="1235"/>
      <c r="T396" s="1235"/>
      <c r="U396" s="1235"/>
      <c r="V396" s="1235"/>
      <c r="W396" s="1235"/>
    </row>
    <row r="397" spans="1:23">
      <c r="A397" s="1191" t="s">
        <v>658</v>
      </c>
      <c r="B397" s="1192"/>
      <c r="C397" s="1193">
        <f ca="1">C396/M!$Q$14</f>
        <v>3.338264897914974</v>
      </c>
      <c r="D397" s="1193">
        <f ca="1">D396/M!$Q$14</f>
        <v>2.0028732622960241</v>
      </c>
      <c r="E397" s="1193">
        <f ca="1">E396/M!$Q$14</f>
        <v>2.4380306253741817</v>
      </c>
      <c r="F397" s="1193">
        <f ca="1">F396/M!$Q$14</f>
        <v>1.8971188680312134</v>
      </c>
      <c r="G397" s="1193">
        <f ca="1">G396/M!$Q$14</f>
        <v>1.6263042945604302</v>
      </c>
      <c r="H397" s="1193">
        <f ca="1">H396/M!$Q$14</f>
        <v>2.3984845237514616</v>
      </c>
      <c r="I397" s="1193">
        <f ca="1">I396/M!$Q$14</f>
        <v>1.8207168757805157</v>
      </c>
      <c r="J397" s="1193">
        <f ca="1">J396/M!$Q$14</f>
        <v>4.5119142812214674</v>
      </c>
      <c r="K397" s="1193">
        <f ca="1">K396/M!$Q$14</f>
        <v>1.7307741548562787</v>
      </c>
      <c r="L397" s="1193">
        <f ca="1">L396/M!$Q$14</f>
        <v>1.6401140443334437</v>
      </c>
      <c r="M397" s="1193">
        <f ca="1">M396/M!$Q$14</f>
        <v>1.702706286811128</v>
      </c>
      <c r="N397" s="1193">
        <f ca="1">N396/M!$Q$14</f>
        <v>1.7776734998646295</v>
      </c>
      <c r="O397" s="1193">
        <f ca="1">O396/M!$Q$14</f>
        <v>2.3151427177536146</v>
      </c>
      <c r="P397" s="1194"/>
      <c r="Q397" s="1235"/>
      <c r="R397" s="1235"/>
      <c r="S397" s="1235"/>
      <c r="T397" s="1235"/>
      <c r="U397" s="1235"/>
      <c r="V397" s="1235"/>
      <c r="W397" s="1235"/>
    </row>
    <row r="398" spans="1:23">
      <c r="A398" s="1235"/>
      <c r="B398" s="1235"/>
      <c r="C398" s="1235"/>
      <c r="D398" s="1235"/>
      <c r="E398" s="1235"/>
      <c r="F398" s="1235"/>
      <c r="G398" s="1235"/>
      <c r="H398" s="1235"/>
      <c r="I398" s="1235"/>
      <c r="J398" s="1235"/>
      <c r="K398" s="1235"/>
      <c r="L398" s="1235"/>
      <c r="M398" s="1235"/>
      <c r="N398" s="1235"/>
      <c r="O398" s="1235"/>
      <c r="P398" s="1235"/>
      <c r="Q398" s="1235"/>
      <c r="R398" s="1235"/>
      <c r="S398" s="1235"/>
      <c r="T398" s="1235"/>
      <c r="U398" s="1235"/>
      <c r="V398" s="1235"/>
      <c r="W398" s="1235"/>
    </row>
    <row r="399" spans="1:23">
      <c r="A399" s="1235"/>
      <c r="B399" s="1235"/>
      <c r="C399" s="1235"/>
      <c r="D399" s="1235"/>
      <c r="E399" s="1235"/>
      <c r="F399" s="1235"/>
      <c r="G399" s="1235"/>
      <c r="H399" s="1235"/>
      <c r="I399" s="1235"/>
      <c r="J399" s="1235"/>
      <c r="K399" s="1235"/>
      <c r="L399" s="1235"/>
      <c r="M399" s="1235"/>
      <c r="N399" s="1235"/>
      <c r="O399" s="1235"/>
      <c r="P399" s="1235"/>
      <c r="Q399" s="1235"/>
      <c r="R399" s="1235"/>
      <c r="S399" s="1235"/>
      <c r="T399" s="1235"/>
      <c r="U399" s="1235"/>
      <c r="V399" s="1235"/>
      <c r="W399" s="1235"/>
    </row>
    <row r="400" spans="1:23">
      <c r="A400" s="1235"/>
      <c r="B400" s="1235"/>
      <c r="C400" s="1235"/>
      <c r="D400" s="1235"/>
      <c r="E400" s="1235"/>
      <c r="F400" s="1235"/>
      <c r="G400" s="1235"/>
      <c r="H400" s="1235"/>
      <c r="I400" s="1235"/>
      <c r="J400" s="1235"/>
      <c r="K400" s="1235"/>
      <c r="L400" s="1235"/>
      <c r="M400" s="1235"/>
      <c r="N400" s="1235"/>
      <c r="O400" s="1235"/>
      <c r="P400" s="1235"/>
      <c r="Q400" s="1235"/>
      <c r="R400" s="1235"/>
      <c r="S400" s="1235"/>
      <c r="T400" s="1235"/>
      <c r="U400" s="1235"/>
      <c r="V400" s="1235"/>
      <c r="W400" s="1235"/>
    </row>
    <row r="401" spans="1:23">
      <c r="A401" s="2239">
        <v>2021</v>
      </c>
      <c r="B401" s="2240"/>
      <c r="C401" s="2240"/>
      <c r="D401" s="2240"/>
      <c r="E401" s="2240"/>
      <c r="F401" s="2240"/>
      <c r="G401" s="2240"/>
      <c r="H401" s="2240"/>
      <c r="I401" s="2240"/>
      <c r="J401" s="2240"/>
      <c r="K401" s="2240"/>
      <c r="L401" s="2240"/>
      <c r="M401" s="2240"/>
      <c r="N401" s="2240"/>
      <c r="O401" s="2240"/>
      <c r="P401" s="2241"/>
      <c r="Q401" s="1235"/>
      <c r="R401" s="1235"/>
      <c r="S401" s="1235"/>
      <c r="T401" s="1235"/>
      <c r="U401" s="1235"/>
      <c r="V401" s="1235"/>
      <c r="W401" s="1235"/>
    </row>
    <row r="402" spans="1:23">
      <c r="A402" s="1199" t="s">
        <v>388</v>
      </c>
      <c r="B402" s="1200"/>
      <c r="C402" s="1201" t="s">
        <v>309</v>
      </c>
      <c r="D402" s="1201" t="s">
        <v>311</v>
      </c>
      <c r="E402" s="1201" t="s">
        <v>312</v>
      </c>
      <c r="F402" s="1201" t="s">
        <v>313</v>
      </c>
      <c r="G402" s="1201" t="s">
        <v>314</v>
      </c>
      <c r="H402" s="1201" t="s">
        <v>315</v>
      </c>
      <c r="I402" s="1201" t="s">
        <v>316</v>
      </c>
      <c r="J402" s="1201" t="s">
        <v>317</v>
      </c>
      <c r="K402" s="1201" t="s">
        <v>318</v>
      </c>
      <c r="L402" s="1201" t="s">
        <v>319</v>
      </c>
      <c r="M402" s="1201" t="s">
        <v>320</v>
      </c>
      <c r="N402" s="1201" t="s">
        <v>321</v>
      </c>
      <c r="O402" s="1202" t="s">
        <v>660</v>
      </c>
      <c r="P402" s="1203" t="s">
        <v>661</v>
      </c>
      <c r="Q402" s="1235"/>
      <c r="R402" s="1235"/>
      <c r="S402" s="1235"/>
      <c r="T402" s="1235"/>
      <c r="U402" s="1235"/>
      <c r="V402" s="1235"/>
      <c r="W402" s="1235"/>
    </row>
    <row r="403" spans="1:23">
      <c r="A403" s="2242" t="s">
        <v>56</v>
      </c>
      <c r="B403" s="2243"/>
      <c r="C403" s="2246">
        <f ca="1">C405+ SUM(C408:C416)</f>
        <v>12673.633436802909</v>
      </c>
      <c r="D403" s="2246">
        <f t="shared" ref="D403:O403" ca="1" si="107">D405+ SUM(D408:D416)</f>
        <v>12748.633436802909</v>
      </c>
      <c r="E403" s="2246">
        <f t="shared" ca="1" si="107"/>
        <v>12673.633436802909</v>
      </c>
      <c r="F403" s="2246">
        <f t="shared" ca="1" si="107"/>
        <v>12673.633436802909</v>
      </c>
      <c r="G403" s="2246">
        <f t="shared" ca="1" si="107"/>
        <v>12676.633436802909</v>
      </c>
      <c r="H403" s="2246">
        <f t="shared" ca="1" si="107"/>
        <v>12676.633436802909</v>
      </c>
      <c r="I403" s="2246">
        <f t="shared" ca="1" si="107"/>
        <v>12673.633436802909</v>
      </c>
      <c r="J403" s="2246">
        <f t="shared" ca="1" si="107"/>
        <v>12667.058130119625</v>
      </c>
      <c r="K403" s="2246">
        <f t="shared" ca="1" si="107"/>
        <v>14140.038181564036</v>
      </c>
      <c r="L403" s="2246">
        <f t="shared" ca="1" si="107"/>
        <v>12963.018191448955</v>
      </c>
      <c r="M403" s="2246">
        <f t="shared" ca="1" si="107"/>
        <v>12666.998159687799</v>
      </c>
      <c r="N403" s="2246">
        <f t="shared" ca="1" si="107"/>
        <v>12666.978086193809</v>
      </c>
      <c r="O403" s="2246">
        <f t="shared" ca="1" si="107"/>
        <v>12825.043733886214</v>
      </c>
      <c r="P403" s="2248">
        <f ca="1">O403/M!$Q$14</f>
        <v>1.1500691220319654</v>
      </c>
      <c r="Q403" s="1235"/>
      <c r="R403" s="1235"/>
      <c r="S403" s="1235"/>
      <c r="T403" s="1235"/>
      <c r="U403" s="1235"/>
      <c r="V403" s="1235"/>
      <c r="W403" s="1235"/>
    </row>
    <row r="404" spans="1:23">
      <c r="A404" s="2244"/>
      <c r="B404" s="2245"/>
      <c r="C404" s="2247"/>
      <c r="D404" s="2247"/>
      <c r="E404" s="2247"/>
      <c r="F404" s="2247"/>
      <c r="G404" s="2247"/>
      <c r="H404" s="2247"/>
      <c r="I404" s="2247"/>
      <c r="J404" s="2247"/>
      <c r="K404" s="2247"/>
      <c r="L404" s="2247"/>
      <c r="M404" s="2247"/>
      <c r="N404" s="2247"/>
      <c r="O404" s="2247"/>
      <c r="P404" s="2249"/>
      <c r="Q404" s="1235"/>
      <c r="R404" s="1235"/>
      <c r="S404" s="1235"/>
      <c r="T404" s="1235"/>
      <c r="U404" s="1235"/>
      <c r="V404" s="1235"/>
      <c r="W404" s="1235"/>
    </row>
    <row r="405" spans="1:23">
      <c r="A405" s="2250"/>
      <c r="B405" s="1204" t="s">
        <v>662</v>
      </c>
      <c r="C405" s="1205">
        <f ca="1">SUM(C406:C407)</f>
        <v>9423.6334368029093</v>
      </c>
      <c r="D405" s="1205">
        <f t="shared" ref="D405:N405" ca="1" si="108">SUM(D406:D407)</f>
        <v>9423.6334368029093</v>
      </c>
      <c r="E405" s="1205">
        <f t="shared" ca="1" si="108"/>
        <v>9423.6334368029093</v>
      </c>
      <c r="F405" s="1205">
        <f t="shared" ca="1" si="108"/>
        <v>9423.6334368029093</v>
      </c>
      <c r="G405" s="1205">
        <f t="shared" ca="1" si="108"/>
        <v>9423.6334368029093</v>
      </c>
      <c r="H405" s="1205">
        <f t="shared" ca="1" si="108"/>
        <v>9423.6334368029093</v>
      </c>
      <c r="I405" s="1205">
        <f t="shared" ca="1" si="108"/>
        <v>9423.6334368029093</v>
      </c>
      <c r="J405" s="1205">
        <f t="shared" ca="1" si="108"/>
        <v>9414.0581301196253</v>
      </c>
      <c r="K405" s="1205">
        <f t="shared" ca="1" si="108"/>
        <v>9414.0381815640358</v>
      </c>
      <c r="L405" s="1205">
        <f t="shared" ca="1" si="108"/>
        <v>9414.0181914489549</v>
      </c>
      <c r="M405" s="1205">
        <f t="shared" ca="1" si="108"/>
        <v>9413.9981596877988</v>
      </c>
      <c r="N405" s="1205">
        <f t="shared" ca="1" si="108"/>
        <v>9413.9780861938088</v>
      </c>
      <c r="O405" s="1206">
        <f t="shared" ref="O405:O416" ca="1" si="109">SUM(C405:N405)/12</f>
        <v>9419.6270672195478</v>
      </c>
      <c r="P405" s="1207">
        <f ca="1">O405/M!$Q$14</f>
        <v>0.8446928100870551</v>
      </c>
      <c r="Q405" s="1235"/>
      <c r="R405" s="1235"/>
      <c r="S405" s="1235"/>
      <c r="T405" s="1235"/>
      <c r="U405" s="1235"/>
      <c r="V405" s="1235"/>
      <c r="W405" s="1235"/>
    </row>
    <row r="406" spans="1:23">
      <c r="A406" s="2251"/>
      <c r="B406" s="1208" t="s">
        <v>663</v>
      </c>
      <c r="C406" s="1209">
        <f ca="1">Mortgage!I$19</f>
        <v>4893.9582889509857</v>
      </c>
      <c r="D406" s="1209">
        <f ca="1">Mortgage!I$20</f>
        <v>4884.5214657262941</v>
      </c>
      <c r="E406" s="1209">
        <f ca="1">Mortgage!I21</f>
        <v>4875.0649824532175</v>
      </c>
      <c r="F406" s="1209">
        <f ca="1">Mortgage!I$22</f>
        <v>4865.5887981733222</v>
      </c>
      <c r="G406" s="1209">
        <f ca="1">Mortgage!I$23</f>
        <v>4856.092871842844</v>
      </c>
      <c r="H406" s="1209">
        <f ca="1">Mortgage!I$24</f>
        <v>4846.5771623325109</v>
      </c>
      <c r="I406" s="1209">
        <f ca="1">Mortgage!I$25</f>
        <v>4837.0416284273642</v>
      </c>
      <c r="J406" s="1209">
        <f ca="1">Mortgage!I$27</f>
        <v>4817.9109221432982</v>
      </c>
      <c r="K406" s="1209">
        <f ca="1">Mortgage!I$28</f>
        <v>4808.3156669044238</v>
      </c>
      <c r="L406" s="1209">
        <f ca="1">Mortgage!I$29</f>
        <v>4798.7004215504685</v>
      </c>
      <c r="M406" s="1209">
        <f ca="1">Mortgage!I$30</f>
        <v>4789.0651444353589</v>
      </c>
      <c r="N406" s="1209">
        <f ca="1">Mortgage!I$31</f>
        <v>4779.4097938262594</v>
      </c>
      <c r="O406" s="1206">
        <f t="shared" ca="1" si="109"/>
        <v>4837.6872622305291</v>
      </c>
      <c r="P406" s="1207">
        <f ca="1">O406/M!$Q$14</f>
        <v>0.43381331539933832</v>
      </c>
      <c r="Q406" s="1235"/>
      <c r="R406" s="1235"/>
      <c r="S406" s="1235"/>
      <c r="T406" s="1235"/>
      <c r="U406" s="1235"/>
      <c r="V406" s="1235"/>
      <c r="W406" s="1235"/>
    </row>
    <row r="407" spans="1:23">
      <c r="A407" s="2251"/>
      <c r="B407" s="1208" t="s">
        <v>664</v>
      </c>
      <c r="C407" s="1209">
        <f ca="1">Mortgage!H19</f>
        <v>4529.6751478519236</v>
      </c>
      <c r="D407" s="1209">
        <f ca="1">Mortgage!H20</f>
        <v>4539.1119710766152</v>
      </c>
      <c r="E407" s="1209">
        <f ca="1">Mortgage!H21</f>
        <v>4548.5684543496918</v>
      </c>
      <c r="F407" s="1209">
        <f ca="1">Mortgage!H22</f>
        <v>4558.0446386295871</v>
      </c>
      <c r="G407" s="1209">
        <f ca="1">Mortgage!H23</f>
        <v>4567.5405649600652</v>
      </c>
      <c r="H407" s="1209">
        <f ca="1">Mortgage!H24</f>
        <v>4577.0562744703984</v>
      </c>
      <c r="I407" s="1209">
        <f ca="1">Mortgage!H25</f>
        <v>4586.591808375545</v>
      </c>
      <c r="J407" s="1209">
        <f ca="1">Mortgage!H26</f>
        <v>4596.1472079763271</v>
      </c>
      <c r="K407" s="1209">
        <f ca="1">Mortgage!H27</f>
        <v>4605.7225146596111</v>
      </c>
      <c r="L407" s="1209">
        <f ca="1">Mortgage!H28</f>
        <v>4615.3177698984855</v>
      </c>
      <c r="M407" s="1209">
        <f ca="1">Mortgage!H29</f>
        <v>4624.9330152524408</v>
      </c>
      <c r="N407" s="1209">
        <f ca="1">Mortgage!H30</f>
        <v>4634.5682923675504</v>
      </c>
      <c r="O407" s="1206">
        <f t="shared" ca="1" si="109"/>
        <v>4581.9398049890196</v>
      </c>
      <c r="P407" s="1207">
        <f ca="1">O407/M!$Q$14</f>
        <v>0.41087949468771684</v>
      </c>
      <c r="Q407" s="1235"/>
      <c r="R407" s="1235"/>
      <c r="S407" s="1235"/>
      <c r="T407" s="1235"/>
      <c r="U407" s="1235"/>
      <c r="V407" s="1235"/>
      <c r="W407" s="1235"/>
    </row>
    <row r="408" spans="1:23">
      <c r="A408" s="2251"/>
      <c r="B408" s="1204" t="s">
        <v>450</v>
      </c>
      <c r="C408" s="1209">
        <v>0</v>
      </c>
      <c r="D408" s="1209">
        <v>0</v>
      </c>
      <c r="E408" s="1209">
        <v>0</v>
      </c>
      <c r="F408" s="1209">
        <v>0</v>
      </c>
      <c r="G408" s="1209">
        <v>0</v>
      </c>
      <c r="H408" s="1209">
        <v>0</v>
      </c>
      <c r="I408" s="1209">
        <v>0</v>
      </c>
      <c r="J408" s="1209">
        <v>0</v>
      </c>
      <c r="K408" s="1209">
        <v>0</v>
      </c>
      <c r="L408" s="1209">
        <v>0</v>
      </c>
      <c r="M408" s="1209">
        <v>0</v>
      </c>
      <c r="N408" s="1209">
        <v>0</v>
      </c>
      <c r="O408" s="1206">
        <f t="shared" si="109"/>
        <v>0</v>
      </c>
      <c r="P408" s="1207">
        <f>O408/M!$Q$14</f>
        <v>0</v>
      </c>
      <c r="Q408" s="1235"/>
      <c r="R408" s="1235"/>
      <c r="S408" s="1235"/>
      <c r="T408" s="1235"/>
      <c r="U408" s="1235"/>
      <c r="V408" s="1235"/>
      <c r="W408" s="1235"/>
    </row>
    <row r="409" spans="1:23">
      <c r="A409" s="2251"/>
      <c r="B409" s="1208" t="s">
        <v>665</v>
      </c>
      <c r="C409" s="1209">
        <v>0</v>
      </c>
      <c r="D409" s="1209">
        <v>0</v>
      </c>
      <c r="E409" s="1209">
        <v>0</v>
      </c>
      <c r="F409" s="1209">
        <v>0</v>
      </c>
      <c r="G409" s="1209">
        <v>0</v>
      </c>
      <c r="H409" s="1209">
        <v>0</v>
      </c>
      <c r="I409" s="1209">
        <v>0</v>
      </c>
      <c r="J409" s="1209">
        <v>0</v>
      </c>
      <c r="K409" s="1209">
        <v>0</v>
      </c>
      <c r="L409" s="1209">
        <v>0</v>
      </c>
      <c r="M409" s="1209">
        <v>0</v>
      </c>
      <c r="N409" s="1209">
        <v>0</v>
      </c>
      <c r="O409" s="1206">
        <f t="shared" si="109"/>
        <v>0</v>
      </c>
      <c r="P409" s="1207">
        <f>O409/M!$Q$14</f>
        <v>0</v>
      </c>
      <c r="Q409" s="1235"/>
      <c r="R409" s="1235"/>
      <c r="S409" s="1235"/>
      <c r="T409" s="1235"/>
      <c r="U409" s="1235"/>
      <c r="V409" s="1235"/>
      <c r="W409" s="1235"/>
    </row>
    <row r="410" spans="1:23">
      <c r="A410" s="2251"/>
      <c r="B410" s="1208" t="s">
        <v>664</v>
      </c>
      <c r="C410" s="1209">
        <v>0</v>
      </c>
      <c r="D410" s="1209">
        <v>0</v>
      </c>
      <c r="E410" s="1209">
        <v>0</v>
      </c>
      <c r="F410" s="1209">
        <v>0</v>
      </c>
      <c r="G410" s="1209">
        <v>0</v>
      </c>
      <c r="H410" s="1209">
        <v>0</v>
      </c>
      <c r="I410" s="1209">
        <v>0</v>
      </c>
      <c r="J410" s="1209">
        <v>0</v>
      </c>
      <c r="K410" s="1209">
        <v>0</v>
      </c>
      <c r="L410" s="1209">
        <v>0</v>
      </c>
      <c r="M410" s="1209">
        <v>0</v>
      </c>
      <c r="N410" s="1209">
        <v>0</v>
      </c>
      <c r="O410" s="1206">
        <f t="shared" si="109"/>
        <v>0</v>
      </c>
      <c r="P410" s="1207">
        <f>O410/M!$Q$14</f>
        <v>0</v>
      </c>
      <c r="Q410" s="1235"/>
      <c r="R410" s="1235"/>
      <c r="S410" s="1235"/>
      <c r="T410" s="1235"/>
      <c r="U410" s="1235"/>
      <c r="V410" s="1235"/>
      <c r="W410" s="1235"/>
    </row>
    <row r="411" spans="1:23">
      <c r="A411" s="2251"/>
      <c r="B411" s="1204" t="s">
        <v>287</v>
      </c>
      <c r="C411" s="1209">
        <f>39000/12</f>
        <v>3250</v>
      </c>
      <c r="D411" s="1209">
        <f t="shared" ref="D411:N411" si="110">39000/12</f>
        <v>3250</v>
      </c>
      <c r="E411" s="1209">
        <f t="shared" si="110"/>
        <v>3250</v>
      </c>
      <c r="F411" s="1209">
        <f t="shared" si="110"/>
        <v>3250</v>
      </c>
      <c r="G411" s="1209">
        <f t="shared" si="110"/>
        <v>3250</v>
      </c>
      <c r="H411" s="1209">
        <f t="shared" si="110"/>
        <v>3250</v>
      </c>
      <c r="I411" s="1209">
        <f t="shared" si="110"/>
        <v>3250</v>
      </c>
      <c r="J411" s="1209">
        <f t="shared" si="110"/>
        <v>3250</v>
      </c>
      <c r="K411" s="1209">
        <f t="shared" si="110"/>
        <v>3250</v>
      </c>
      <c r="L411" s="1209">
        <f t="shared" si="110"/>
        <v>3250</v>
      </c>
      <c r="M411" s="1209">
        <f t="shared" si="110"/>
        <v>3250</v>
      </c>
      <c r="N411" s="1209">
        <f t="shared" si="110"/>
        <v>3250</v>
      </c>
      <c r="O411" s="1206">
        <f t="shared" si="109"/>
        <v>3250</v>
      </c>
      <c r="P411" s="1207">
        <f>O411/M!$Q$14</f>
        <v>0.2914395244304786</v>
      </c>
      <c r="Q411" s="1235"/>
      <c r="R411" s="1235"/>
      <c r="S411" s="1235"/>
      <c r="T411" s="1235"/>
      <c r="U411" s="1235"/>
      <c r="V411" s="1235"/>
      <c r="W411" s="1235"/>
    </row>
    <row r="412" spans="1:23">
      <c r="A412" s="2251"/>
      <c r="B412" s="1204" t="s">
        <v>453</v>
      </c>
      <c r="C412" s="1209">
        <v>0</v>
      </c>
      <c r="D412" s="1209">
        <v>0</v>
      </c>
      <c r="E412" s="1209">
        <v>0</v>
      </c>
      <c r="F412" s="1209">
        <v>0</v>
      </c>
      <c r="G412" s="1209">
        <v>0</v>
      </c>
      <c r="H412" s="1209">
        <v>0</v>
      </c>
      <c r="I412" s="1209">
        <v>0</v>
      </c>
      <c r="J412" s="1209">
        <v>0</v>
      </c>
      <c r="K412" s="1209">
        <v>0</v>
      </c>
      <c r="L412" s="1209">
        <v>0</v>
      </c>
      <c r="M412" s="1209">
        <v>0</v>
      </c>
      <c r="N412" s="1209">
        <v>0</v>
      </c>
      <c r="O412" s="1206">
        <f t="shared" si="109"/>
        <v>0</v>
      </c>
      <c r="P412" s="1207">
        <f>O412/M!$Q$14</f>
        <v>0</v>
      </c>
      <c r="Q412" s="1235"/>
      <c r="R412" s="1235"/>
      <c r="S412" s="1235"/>
      <c r="T412" s="1235"/>
      <c r="U412" s="1235"/>
      <c r="V412" s="1235"/>
      <c r="W412" s="1235"/>
    </row>
    <row r="413" spans="1:23">
      <c r="A413" s="2251"/>
      <c r="B413" s="1204" t="s">
        <v>400</v>
      </c>
      <c r="C413" s="1209">
        <v>0</v>
      </c>
      <c r="D413" s="1209">
        <v>0</v>
      </c>
      <c r="E413" s="1209">
        <v>0</v>
      </c>
      <c r="F413" s="1209">
        <v>0</v>
      </c>
      <c r="G413" s="1209">
        <v>0</v>
      </c>
      <c r="H413" s="1209">
        <v>0</v>
      </c>
      <c r="I413" s="1209">
        <v>0</v>
      </c>
      <c r="J413" s="1209">
        <v>0</v>
      </c>
      <c r="K413" s="1209">
        <v>1476</v>
      </c>
      <c r="L413" s="1209">
        <v>296</v>
      </c>
      <c r="M413" s="1209">
        <v>0</v>
      </c>
      <c r="N413" s="1209">
        <v>0</v>
      </c>
      <c r="O413" s="1206">
        <f t="shared" si="109"/>
        <v>147.66666666666666</v>
      </c>
      <c r="P413" s="1207">
        <f>O413/M!$Q$14</f>
        <v>1.324181634078995E-2</v>
      </c>
      <c r="Q413" s="1235"/>
      <c r="R413" s="1235"/>
      <c r="S413" s="1235"/>
      <c r="T413" s="1235"/>
      <c r="U413" s="1235"/>
      <c r="V413" s="1235"/>
      <c r="W413" s="1235"/>
    </row>
    <row r="414" spans="1:23">
      <c r="A414" s="2251"/>
      <c r="B414" s="1204" t="s">
        <v>401</v>
      </c>
      <c r="C414" s="1209">
        <v>0</v>
      </c>
      <c r="D414" s="1209">
        <v>0</v>
      </c>
      <c r="E414" s="1209">
        <v>0</v>
      </c>
      <c r="F414" s="1209">
        <v>0</v>
      </c>
      <c r="G414" s="1209">
        <v>0</v>
      </c>
      <c r="H414" s="1209">
        <v>0</v>
      </c>
      <c r="I414" s="1209">
        <v>0</v>
      </c>
      <c r="J414" s="1209">
        <v>0</v>
      </c>
      <c r="K414" s="1209">
        <v>0</v>
      </c>
      <c r="L414" s="1209">
        <v>0</v>
      </c>
      <c r="M414" s="1209">
        <v>0</v>
      </c>
      <c r="N414" s="1209">
        <v>0</v>
      </c>
      <c r="O414" s="1206">
        <f t="shared" si="109"/>
        <v>0</v>
      </c>
      <c r="P414" s="1207">
        <f>O414/M!$Q$14</f>
        <v>0</v>
      </c>
      <c r="Q414" s="1235"/>
      <c r="R414" s="1235"/>
      <c r="S414" s="1237">
        <f>10700 * 2</f>
        <v>21400</v>
      </c>
      <c r="T414" s="1235"/>
      <c r="U414" s="1235"/>
      <c r="V414" s="1235"/>
      <c r="W414" s="1235"/>
    </row>
    <row r="415" spans="1:23">
      <c r="A415" s="2251"/>
      <c r="B415" s="1204" t="s">
        <v>402</v>
      </c>
      <c r="C415" s="1209">
        <v>0</v>
      </c>
      <c r="D415" s="1209">
        <v>0</v>
      </c>
      <c r="E415" s="1209">
        <v>0</v>
      </c>
      <c r="F415" s="1209">
        <v>0</v>
      </c>
      <c r="G415" s="1209">
        <v>0</v>
      </c>
      <c r="H415" s="1209">
        <v>0</v>
      </c>
      <c r="I415" s="1209">
        <v>0</v>
      </c>
      <c r="J415" s="1209">
        <v>0</v>
      </c>
      <c r="K415" s="1209">
        <v>0</v>
      </c>
      <c r="L415" s="1209">
        <v>0</v>
      </c>
      <c r="M415" s="1209">
        <v>0</v>
      </c>
      <c r="N415" s="1209">
        <v>0</v>
      </c>
      <c r="O415" s="1206">
        <f t="shared" si="109"/>
        <v>0</v>
      </c>
      <c r="P415" s="1207">
        <f>O415/M!$Q$14</f>
        <v>0</v>
      </c>
      <c r="Q415" s="1235"/>
      <c r="R415" s="1235"/>
      <c r="S415" s="1237">
        <f>5900 * 2</f>
        <v>11800</v>
      </c>
      <c r="T415" s="1235"/>
      <c r="U415" s="1235"/>
      <c r="V415" s="1235"/>
      <c r="W415" s="1235"/>
    </row>
    <row r="416" spans="1:23">
      <c r="A416" s="2252"/>
      <c r="B416" s="1204" t="s">
        <v>674</v>
      </c>
      <c r="C416" s="1210">
        <f>SUMIF(Jan!$CB$1:$CB$173,$B416,Jan!$CA$1:$CA$173)</f>
        <v>0</v>
      </c>
      <c r="D416" s="1210">
        <f>SUMIF(Feb!$CB$1:$CB$173,$B416,Feb!$CA$1:$CA$173)</f>
        <v>75</v>
      </c>
      <c r="E416" s="1210">
        <f>SUMIF(Mar!$CB$1:$CB$181,$B416,Mar!$CA$1:$CA$181)</f>
        <v>0</v>
      </c>
      <c r="F416" s="1210">
        <f>SUMIF(Apr!$CB$1:$CB$182,$B416,Apr!$CA$1:$CA$182)</f>
        <v>0</v>
      </c>
      <c r="G416" s="1210">
        <v>3</v>
      </c>
      <c r="H416" s="1210">
        <v>3</v>
      </c>
      <c r="I416" s="1210">
        <f>SUMIF(Jul!$CB$1:$CB$187,$B416,Jul!$CA$1:$CA$187)</f>
        <v>0</v>
      </c>
      <c r="J416" s="1210">
        <v>3</v>
      </c>
      <c r="K416" s="1210">
        <f>SUMIF(Sep!$CB$1:$CB$211,$B416,Sep!$CA$1:$CA$211)</f>
        <v>0</v>
      </c>
      <c r="L416" s="1210">
        <v>3</v>
      </c>
      <c r="M416" s="1210">
        <v>3</v>
      </c>
      <c r="N416" s="1210">
        <v>3</v>
      </c>
      <c r="O416" s="1206">
        <f t="shared" si="109"/>
        <v>7.75</v>
      </c>
      <c r="P416" s="1207">
        <f>O416/M!$Q$14</f>
        <v>6.9497117364191049E-4</v>
      </c>
      <c r="Q416" s="1235"/>
      <c r="R416" s="1235"/>
      <c r="S416" s="1237">
        <f>SUM(S414:S415)</f>
        <v>33200</v>
      </c>
      <c r="T416" s="1235"/>
      <c r="U416" s="1235"/>
      <c r="V416" s="1235"/>
      <c r="W416" s="1235"/>
    </row>
    <row r="417" spans="1:23">
      <c r="A417" s="2242" t="s">
        <v>276</v>
      </c>
      <c r="B417" s="2243"/>
      <c r="C417" s="2246">
        <f t="shared" ref="C417:N417" si="111">SUM(C419:C424)</f>
        <v>1051.8333333333335</v>
      </c>
      <c r="D417" s="2246">
        <f t="shared" si="111"/>
        <v>1051.8333333333335</v>
      </c>
      <c r="E417" s="2246">
        <f t="shared" si="111"/>
        <v>1697.8333333333335</v>
      </c>
      <c r="F417" s="2246">
        <f t="shared" si="111"/>
        <v>1051.8333333333335</v>
      </c>
      <c r="G417" s="2246">
        <f t="shared" si="111"/>
        <v>1051.8333333333335</v>
      </c>
      <c r="H417" s="2246">
        <f t="shared" si="111"/>
        <v>1051.8333333333335</v>
      </c>
      <c r="I417" s="2246">
        <f t="shared" si="111"/>
        <v>1385.8333333333335</v>
      </c>
      <c r="J417" s="2246">
        <f t="shared" si="111"/>
        <v>176.5</v>
      </c>
      <c r="K417" s="2246">
        <f t="shared" si="111"/>
        <v>129.33333333333334</v>
      </c>
      <c r="L417" s="2246">
        <f t="shared" si="111"/>
        <v>163.33333333333334</v>
      </c>
      <c r="M417" s="2246">
        <f t="shared" si="111"/>
        <v>129.33333333333334</v>
      </c>
      <c r="N417" s="2246">
        <f t="shared" si="111"/>
        <v>189.33333333333334</v>
      </c>
      <c r="O417" s="2246">
        <f>SUM(O419:O424)</f>
        <v>760.88888888888891</v>
      </c>
      <c r="P417" s="2248">
        <f>O417/M!$Q$14</f>
        <v>6.8231721822219399E-2</v>
      </c>
      <c r="Q417" s="1235"/>
      <c r="R417" s="1235"/>
      <c r="S417" s="1237">
        <f>S416/12</f>
        <v>2766.6666666666665</v>
      </c>
      <c r="T417" s="1235"/>
      <c r="U417" s="1235"/>
      <c r="V417" s="1235"/>
      <c r="W417" s="1235"/>
    </row>
    <row r="418" spans="1:23">
      <c r="A418" s="2244"/>
      <c r="B418" s="2245"/>
      <c r="C418" s="2247"/>
      <c r="D418" s="2247"/>
      <c r="E418" s="2247"/>
      <c r="F418" s="2247"/>
      <c r="G418" s="2247"/>
      <c r="H418" s="2247"/>
      <c r="I418" s="2247"/>
      <c r="J418" s="2247"/>
      <c r="K418" s="2247"/>
      <c r="L418" s="2247"/>
      <c r="M418" s="2247"/>
      <c r="N418" s="2247"/>
      <c r="O418" s="2247"/>
      <c r="P418" s="2249"/>
      <c r="Q418" s="1235"/>
      <c r="R418" s="1235"/>
      <c r="S418" s="1237"/>
      <c r="T418" s="1235"/>
      <c r="U418" s="1235"/>
      <c r="V418" s="1235"/>
      <c r="W418" s="1235"/>
    </row>
    <row r="419" spans="1:23">
      <c r="A419" s="2250"/>
      <c r="B419" s="1204" t="s">
        <v>666</v>
      </c>
      <c r="C419" s="1209">
        <f t="shared" ref="C419:H419" si="112">46700/60</f>
        <v>778.33333333333337</v>
      </c>
      <c r="D419" s="1209">
        <f t="shared" si="112"/>
        <v>778.33333333333337</v>
      </c>
      <c r="E419" s="1209">
        <f t="shared" si="112"/>
        <v>778.33333333333337</v>
      </c>
      <c r="F419" s="1209">
        <f t="shared" si="112"/>
        <v>778.33333333333337</v>
      </c>
      <c r="G419" s="1209">
        <f t="shared" si="112"/>
        <v>778.33333333333337</v>
      </c>
      <c r="H419" s="1209">
        <f t="shared" si="112"/>
        <v>778.33333333333337</v>
      </c>
      <c r="I419" s="1209">
        <f>46700/60</f>
        <v>778.33333333333337</v>
      </c>
      <c r="J419" s="1209">
        <v>0</v>
      </c>
      <c r="K419" s="1209">
        <v>0</v>
      </c>
      <c r="L419" s="1209">
        <v>0</v>
      </c>
      <c r="M419" s="1209">
        <v>0</v>
      </c>
      <c r="N419" s="1209">
        <v>0</v>
      </c>
      <c r="O419" s="1206">
        <f t="shared" ref="O419:O424" si="113">SUM(C419:N419)/12</f>
        <v>454.02777777777777</v>
      </c>
      <c r="P419" s="1207">
        <f>O419/M!$Q$14</f>
        <v>4.0714350656548486E-2</v>
      </c>
      <c r="Q419" s="1235"/>
      <c r="R419" s="1235"/>
      <c r="S419" s="1237"/>
      <c r="T419" s="1235"/>
      <c r="U419" s="1235"/>
      <c r="V419" s="1235"/>
      <c r="W419" s="1235"/>
    </row>
    <row r="420" spans="1:23">
      <c r="A420" s="2251"/>
      <c r="B420" s="1204" t="s">
        <v>400</v>
      </c>
      <c r="C420" s="1211">
        <f>(1059*2)/12</f>
        <v>176.5</v>
      </c>
      <c r="D420" s="1211">
        <f t="shared" ref="D420:J420" si="114">(1059*2)/12</f>
        <v>176.5</v>
      </c>
      <c r="E420" s="1211">
        <f t="shared" si="114"/>
        <v>176.5</v>
      </c>
      <c r="F420" s="1211">
        <f t="shared" si="114"/>
        <v>176.5</v>
      </c>
      <c r="G420" s="1211">
        <f t="shared" si="114"/>
        <v>176.5</v>
      </c>
      <c r="H420" s="1211">
        <f t="shared" si="114"/>
        <v>176.5</v>
      </c>
      <c r="I420" s="1211">
        <f t="shared" si="114"/>
        <v>176.5</v>
      </c>
      <c r="J420" s="1211">
        <f t="shared" si="114"/>
        <v>176.5</v>
      </c>
      <c r="K420" s="1211">
        <f>776/6</f>
        <v>129.33333333333334</v>
      </c>
      <c r="L420" s="1211">
        <f>776/6</f>
        <v>129.33333333333334</v>
      </c>
      <c r="M420" s="1211">
        <f>776/6</f>
        <v>129.33333333333334</v>
      </c>
      <c r="N420" s="1211">
        <f>776/6</f>
        <v>129.33333333333334</v>
      </c>
      <c r="O420" s="1206">
        <f t="shared" si="113"/>
        <v>160.77777777777774</v>
      </c>
      <c r="P420" s="1207">
        <f>O420/M!$Q$14</f>
        <v>1.4417538182936836E-2</v>
      </c>
      <c r="Q420" s="1235"/>
      <c r="R420" s="1235"/>
      <c r="S420" s="1237"/>
      <c r="T420" s="1235"/>
      <c r="U420" s="1235"/>
      <c r="V420" s="1235"/>
      <c r="W420" s="1235"/>
    </row>
    <row r="421" spans="1:23">
      <c r="A421" s="2251"/>
      <c r="B421" s="1204" t="s">
        <v>454</v>
      </c>
      <c r="C421" s="1209">
        <v>0</v>
      </c>
      <c r="D421" s="1209">
        <v>0</v>
      </c>
      <c r="E421" s="1209">
        <v>75</v>
      </c>
      <c r="F421" s="1209">
        <v>0</v>
      </c>
      <c r="G421" s="1209">
        <v>0</v>
      </c>
      <c r="H421" s="1209">
        <v>0</v>
      </c>
      <c r="I421" s="1209">
        <v>221</v>
      </c>
      <c r="J421" s="1209">
        <v>0</v>
      </c>
      <c r="K421" s="1209">
        <v>0</v>
      </c>
      <c r="L421" s="1209">
        <v>0</v>
      </c>
      <c r="M421" s="1209">
        <v>0</v>
      </c>
      <c r="N421" s="1209">
        <v>50</v>
      </c>
      <c r="O421" s="1206">
        <f t="shared" si="113"/>
        <v>28.833333333333332</v>
      </c>
      <c r="P421" s="1207">
        <f>O421/M!$Q$14</f>
        <v>2.5855916782806564E-3</v>
      </c>
      <c r="Q421" s="1235"/>
      <c r="R421" s="1235"/>
      <c r="S421" s="1237"/>
      <c r="T421" s="1235"/>
      <c r="U421" s="1235"/>
      <c r="V421" s="1235"/>
      <c r="W421" s="1235"/>
    </row>
    <row r="422" spans="1:23">
      <c r="A422" s="2251"/>
      <c r="B422" s="1204" t="s">
        <v>407</v>
      </c>
      <c r="C422" s="1209">
        <v>0</v>
      </c>
      <c r="D422" s="1209">
        <v>0</v>
      </c>
      <c r="E422" s="1209">
        <v>0</v>
      </c>
      <c r="F422" s="1209">
        <v>0</v>
      </c>
      <c r="G422" s="1209">
        <v>0</v>
      </c>
      <c r="H422" s="1209">
        <v>0</v>
      </c>
      <c r="I422" s="1209">
        <v>0</v>
      </c>
      <c r="J422" s="1209">
        <v>0</v>
      </c>
      <c r="K422" s="1209">
        <v>0</v>
      </c>
      <c r="L422" s="1209">
        <v>0</v>
      </c>
      <c r="M422" s="1209">
        <v>0</v>
      </c>
      <c r="N422" s="1209">
        <v>0</v>
      </c>
      <c r="O422" s="1206">
        <f t="shared" si="113"/>
        <v>0</v>
      </c>
      <c r="P422" s="1207">
        <f>O422/M!$Q$14</f>
        <v>0</v>
      </c>
      <c r="Q422" s="1235"/>
      <c r="R422" s="1235"/>
      <c r="S422" s="1237">
        <v>3200001</v>
      </c>
      <c r="T422" s="1235"/>
      <c r="U422" s="1235"/>
      <c r="V422" s="1235"/>
      <c r="W422" s="1235"/>
    </row>
    <row r="423" spans="1:23">
      <c r="A423" s="2251"/>
      <c r="B423" s="1204" t="s">
        <v>408</v>
      </c>
      <c r="C423" s="1209">
        <v>97</v>
      </c>
      <c r="D423" s="1209">
        <v>97</v>
      </c>
      <c r="E423" s="1209">
        <f>97+ 571</f>
        <v>668</v>
      </c>
      <c r="F423" s="1209">
        <v>97</v>
      </c>
      <c r="G423" s="1209">
        <v>97</v>
      </c>
      <c r="H423" s="1209">
        <v>97</v>
      </c>
      <c r="I423" s="1209">
        <v>97</v>
      </c>
      <c r="J423" s="1209">
        <v>0</v>
      </c>
      <c r="K423" s="1209">
        <v>0</v>
      </c>
      <c r="L423" s="1209">
        <v>0</v>
      </c>
      <c r="M423" s="1209">
        <v>0</v>
      </c>
      <c r="N423" s="1209">
        <v>0</v>
      </c>
      <c r="O423" s="1206">
        <f t="shared" si="113"/>
        <v>104.16666666666667</v>
      </c>
      <c r="P423" s="1207">
        <f>O423/M!$Q$14</f>
        <v>9.341010398412777E-3</v>
      </c>
      <c r="Q423" s="1235"/>
      <c r="R423" s="1235"/>
      <c r="S423" s="1235"/>
      <c r="T423" s="1235"/>
      <c r="U423" s="1235"/>
      <c r="V423" s="1235"/>
      <c r="W423" s="1235"/>
    </row>
    <row r="424" spans="1:23">
      <c r="A424" s="2252"/>
      <c r="B424" s="1204" t="s">
        <v>409</v>
      </c>
      <c r="C424" s="1209">
        <v>0</v>
      </c>
      <c r="D424" s="1209">
        <v>0</v>
      </c>
      <c r="E424" s="1209">
        <v>0</v>
      </c>
      <c r="F424" s="1209">
        <v>0</v>
      </c>
      <c r="G424" s="1209">
        <v>0</v>
      </c>
      <c r="H424" s="1209">
        <v>0</v>
      </c>
      <c r="I424" s="1209">
        <v>113</v>
      </c>
      <c r="J424" s="1209">
        <v>0</v>
      </c>
      <c r="K424" s="1209">
        <v>0</v>
      </c>
      <c r="L424" s="1209">
        <v>34</v>
      </c>
      <c r="M424" s="1209">
        <v>0</v>
      </c>
      <c r="N424" s="1209">
        <v>10</v>
      </c>
      <c r="O424" s="1206">
        <f t="shared" si="113"/>
        <v>13.083333333333334</v>
      </c>
      <c r="P424" s="1207">
        <f>O424/M!$Q$14</f>
        <v>1.1732309060406448E-3</v>
      </c>
      <c r="Q424" s="1235"/>
      <c r="R424" s="1235"/>
      <c r="S424" s="1239">
        <f>S422*T424</f>
        <v>38720.0121</v>
      </c>
      <c r="T424" s="1238">
        <v>1.21E-2</v>
      </c>
      <c r="U424" s="1239">
        <f>S422*T424</f>
        <v>38720.0121</v>
      </c>
      <c r="V424" s="1235"/>
      <c r="W424" s="1235"/>
    </row>
    <row r="425" spans="1:23">
      <c r="A425" s="2242" t="s">
        <v>277</v>
      </c>
      <c r="B425" s="2243"/>
      <c r="C425" s="2246">
        <f t="shared" ref="C425:N425" si="115">SUM(C427:C430)</f>
        <v>136</v>
      </c>
      <c r="D425" s="2246">
        <f t="shared" si="115"/>
        <v>0</v>
      </c>
      <c r="E425" s="2246">
        <f t="shared" si="115"/>
        <v>61</v>
      </c>
      <c r="F425" s="2246">
        <f t="shared" si="115"/>
        <v>90</v>
      </c>
      <c r="G425" s="2246">
        <f t="shared" si="115"/>
        <v>65</v>
      </c>
      <c r="H425" s="2246">
        <f t="shared" si="115"/>
        <v>301</v>
      </c>
      <c r="I425" s="2246">
        <f t="shared" si="115"/>
        <v>0</v>
      </c>
      <c r="J425" s="2246">
        <f t="shared" si="115"/>
        <v>335</v>
      </c>
      <c r="K425" s="2246">
        <f t="shared" si="115"/>
        <v>260</v>
      </c>
      <c r="L425" s="2246">
        <f t="shared" si="115"/>
        <v>291</v>
      </c>
      <c r="M425" s="2246">
        <f t="shared" si="115"/>
        <v>119</v>
      </c>
      <c r="N425" s="2246">
        <f t="shared" si="115"/>
        <v>485</v>
      </c>
      <c r="O425" s="2246">
        <f>SUM(O427:O430)</f>
        <v>178.58333333333334</v>
      </c>
      <c r="P425" s="2248">
        <f>O425/M!$Q$14</f>
        <v>1.6014228227038865E-2</v>
      </c>
      <c r="Q425" s="1235"/>
      <c r="R425" s="1235"/>
      <c r="S425" s="1239">
        <f>S424/12</f>
        <v>3226.6676750000001</v>
      </c>
      <c r="T425" s="1235"/>
      <c r="U425" s="1235"/>
      <c r="V425" s="1235"/>
      <c r="W425" s="1235"/>
    </row>
    <row r="426" spans="1:23">
      <c r="A426" s="2244"/>
      <c r="B426" s="2245"/>
      <c r="C426" s="2247"/>
      <c r="D426" s="2247"/>
      <c r="E426" s="2247"/>
      <c r="F426" s="2247"/>
      <c r="G426" s="2247"/>
      <c r="H426" s="2247"/>
      <c r="I426" s="2247"/>
      <c r="J426" s="2247"/>
      <c r="K426" s="2247"/>
      <c r="L426" s="2247"/>
      <c r="M426" s="2247"/>
      <c r="N426" s="2247"/>
      <c r="O426" s="2247"/>
      <c r="P426" s="2249"/>
      <c r="Q426" s="1235"/>
      <c r="R426" s="1235"/>
      <c r="S426" s="1235">
        <v>2350745</v>
      </c>
      <c r="T426" s="1240">
        <v>0.75</v>
      </c>
      <c r="U426" s="1239">
        <f>S424/T426</f>
        <v>51626.682800000002</v>
      </c>
      <c r="V426" s="1235"/>
      <c r="W426" s="1235"/>
    </row>
    <row r="427" spans="1:23">
      <c r="A427" s="2250"/>
      <c r="B427" s="1204" t="s">
        <v>410</v>
      </c>
      <c r="C427" s="1210">
        <f>SUMIF(Jan!$CB$1:$CB$173,$B427,Jan!$CA$1:$CA$173)</f>
        <v>136</v>
      </c>
      <c r="D427" s="1210">
        <f>SUMIF(Feb!$CB$1:$CB$173,$B427,Feb!$CA$1:$CA$173)</f>
        <v>0</v>
      </c>
      <c r="E427" s="1210">
        <f>SUMIF(Mar!$CB$1:$CB$181,$B427,Mar!$CA$1:$CA$181)</f>
        <v>61</v>
      </c>
      <c r="F427" s="1210">
        <f>SUMIF(Apr!$CB$1:$CB$182,$B427,Apr!$CA$1:$CA$182)</f>
        <v>90</v>
      </c>
      <c r="G427" s="1210">
        <f>SUMIF(May!$CB$1:$CB$185,$B427,May!$CA$1:$CA$185)</f>
        <v>65</v>
      </c>
      <c r="H427" s="1210">
        <f>SUMIF(Jun!$CB$1:$CB$183,$B427,Jun!$CA$1:$CA$183)</f>
        <v>301</v>
      </c>
      <c r="I427" s="1210">
        <f>SUMIF(Jul!$CB$1:$CB$187,$B427,Jul!$CA$1:$CA$187)</f>
        <v>0</v>
      </c>
      <c r="J427" s="1210">
        <f>SUMIF(Aug!$CB$1:$CB$214,$B427,Aug!$CA$1:$CA$214)</f>
        <v>302</v>
      </c>
      <c r="K427" s="1210">
        <f>SUMIF(Sep!$CB$1:$CB$211,$B427,Sep!$CA$1:$CA$211)</f>
        <v>260</v>
      </c>
      <c r="L427" s="1212">
        <f>SUMIF(Oct!$CB$1:$CB$210,$B427,Oct!$CA$1:$CA$210)</f>
        <v>266</v>
      </c>
      <c r="M427" s="1212">
        <f>SUMIF(Nov!$CB$1:$CB$209,$B427,Nov!$CA$1:$CA$209)</f>
        <v>117</v>
      </c>
      <c r="N427" s="1210">
        <f>SUMIF(Dec!$CB$1:$CB$218,$B427,Dec!$CA$1:$CA$218)</f>
        <v>463</v>
      </c>
      <c r="O427" s="1206">
        <f>SUM(C427:N427)/12</f>
        <v>171.75</v>
      </c>
      <c r="P427" s="1207">
        <f>O427/M!$Q$14</f>
        <v>1.5401457944902984E-2</v>
      </c>
      <c r="Q427" s="1235"/>
      <c r="R427" s="1235"/>
      <c r="S427" s="1235"/>
      <c r="T427" s="1235"/>
      <c r="U427" s="1235"/>
      <c r="V427" s="1235"/>
      <c r="W427" s="1235"/>
    </row>
    <row r="428" spans="1:23">
      <c r="A428" s="2251"/>
      <c r="B428" s="1204" t="s">
        <v>690</v>
      </c>
      <c r="C428" s="1210">
        <f>SUMIF(Jan!$CB$1:$CB$173,$B428,Jan!$CA$1:$CA$173)</f>
        <v>0</v>
      </c>
      <c r="D428" s="1210">
        <f>SUMIF(Feb!$CB$1:$CB$173,$B428,Feb!$CA$1:$CA$173)</f>
        <v>0</v>
      </c>
      <c r="E428" s="1210">
        <f>SUMIF(Mar!$CB$1:$CB$181,$B428,Mar!$CA$1:$CA$181)</f>
        <v>0</v>
      </c>
      <c r="F428" s="1210">
        <f>SUMIF(Apr!$CB$1:$CB$182,$B428,Apr!$CA$1:$CA$182)</f>
        <v>0</v>
      </c>
      <c r="G428" s="1210">
        <f>SUMIF(May!$CB$1:$CB$185,$B428,May!$CA$1:$CA$185)</f>
        <v>0</v>
      </c>
      <c r="H428" s="1210">
        <f>SUMIF(Jun!$CB$1:$CB$183,$B428,Jun!$CA$1:$CA$183)</f>
        <v>0</v>
      </c>
      <c r="I428" s="1210">
        <f>SUMIF(Jul!$CB$1:$CB$187,$B428,Jul!$CA$1:$CA$187)</f>
        <v>0</v>
      </c>
      <c r="J428" s="1210">
        <f>SUMIF(Aug!$CB$1:$CB$214,$B428,Aug!$CA$1:$CA$214)</f>
        <v>0</v>
      </c>
      <c r="K428" s="1210">
        <f>SUMIF(Sep!$CB$1:$CB$211,$B428,Sep!$CA$1:$CA$211)</f>
        <v>0</v>
      </c>
      <c r="L428" s="1212">
        <f>SUMIF(Oct!$CB$1:$CB$210,$B428,Oct!$CA$1:$CA$210)</f>
        <v>0</v>
      </c>
      <c r="M428" s="1212">
        <f>SUMIF(Nov!$CB$1:$CB$209,$B428,Nov!$CA$1:$CA$209)</f>
        <v>0</v>
      </c>
      <c r="N428" s="1210">
        <f>SUMIF(Dec!$CB$1:$CB$218,$B428,Dec!$CA$1:$CA$218)</f>
        <v>0</v>
      </c>
      <c r="O428" s="1206">
        <f>SUM(C428:N428)/12</f>
        <v>0</v>
      </c>
      <c r="P428" s="1207">
        <f>O428/M!$Q$14</f>
        <v>0</v>
      </c>
      <c r="Q428" s="1235"/>
      <c r="R428" s="1235"/>
      <c r="S428" s="1235"/>
      <c r="T428" s="1235"/>
      <c r="U428" s="1237">
        <f>S426/(T426*100)</f>
        <v>31343.266666666666</v>
      </c>
      <c r="V428" s="1235"/>
      <c r="W428" s="1235"/>
    </row>
    <row r="429" spans="1:23">
      <c r="A429" s="2251"/>
      <c r="B429" s="1204" t="s">
        <v>698</v>
      </c>
      <c r="C429" s="1210">
        <f>SUMIF(Jan!$CB$1:$CB$173,$B429,Jan!$CA$1:$CA$173)</f>
        <v>0</v>
      </c>
      <c r="D429" s="1210">
        <f>SUMIF(Feb!$CB$1:$CB$173,$B429,Feb!$CA$1:$CA$173)</f>
        <v>0</v>
      </c>
      <c r="E429" s="1210">
        <f>SUMIF(Mar!$CB$1:$CB$181,$B429,Mar!$CA$1:$CA$181)</f>
        <v>0</v>
      </c>
      <c r="F429" s="1210">
        <f>SUMIF(Apr!$CB$1:$CB$182,$B429,Apr!$CA$1:$CA$182)</f>
        <v>0</v>
      </c>
      <c r="G429" s="1210">
        <f>SUMIF(May!$CB$1:$CB$185,$B429,May!$CA$1:$CA$185)</f>
        <v>0</v>
      </c>
      <c r="H429" s="1210">
        <f>SUMIF(Jun!$CB$1:$CB$183,$B429,Jun!$CA$1:$CA$183)</f>
        <v>0</v>
      </c>
      <c r="I429" s="1210">
        <f>SUMIF(Jul!$CB$1:$CB$187,$B429,Jul!$CA$1:$CA$187)</f>
        <v>0</v>
      </c>
      <c r="J429" s="1210">
        <f>SUMIF(Aug!$CB$1:$CB$214,$B429,Aug!$CA$1:$CA$214)</f>
        <v>33</v>
      </c>
      <c r="K429" s="1210">
        <f>SUMIF(Sep!$CB$1:$CB$211,$B429,Sep!$CA$1:$CA$211)</f>
        <v>0</v>
      </c>
      <c r="L429" s="1212">
        <f>SUMIF(Oct!$CB$1:$CB$210,$B429,Oct!$CA$1:$CA$210)</f>
        <v>25</v>
      </c>
      <c r="M429" s="1212">
        <f>SUMIF(Nov!$CB$1:$CB$209,$B429,Nov!$CA$1:$CA$209)</f>
        <v>2</v>
      </c>
      <c r="N429" s="1210">
        <f>SUMIF(Dec!$CB$1:$CB$218,$B429,Dec!$CA$1:$CA$218)</f>
        <v>22</v>
      </c>
      <c r="O429" s="1206">
        <f>SUM(C429:N429)/12</f>
        <v>6.833333333333333</v>
      </c>
      <c r="P429" s="1207">
        <f>O429/M!$Q$14</f>
        <v>6.1277028213587803E-4</v>
      </c>
      <c r="Q429" s="1235"/>
      <c r="R429" s="1235"/>
      <c r="S429" s="1235"/>
      <c r="T429" s="1235"/>
      <c r="U429" s="1235">
        <f>5900 * 2</f>
        <v>11800</v>
      </c>
      <c r="V429" s="1235"/>
      <c r="W429" s="1235"/>
    </row>
    <row r="430" spans="1:23">
      <c r="A430" s="2252"/>
      <c r="B430" s="1204" t="s">
        <v>699</v>
      </c>
      <c r="C430" s="1210">
        <f>SUMIF(Jan!$CB$1:$CB$173,$B430,Jan!$CA$1:$CA$173)</f>
        <v>0</v>
      </c>
      <c r="D430" s="1210">
        <f>SUMIF(Feb!$CB$1:$CB$173,$B430,Feb!$CA$1:$CA$173)</f>
        <v>0</v>
      </c>
      <c r="E430" s="1210">
        <f>SUMIF(Mar!$CB$1:$CB$181,$B430,Mar!$CA$1:$CA$181)</f>
        <v>0</v>
      </c>
      <c r="F430" s="1210">
        <f>SUMIF(Apr!$CB$1:$CB$182,$B430,Apr!$CA$1:$CA$182)</f>
        <v>0</v>
      </c>
      <c r="G430" s="1210">
        <f>SUMIF(May!$CB$1:$CB$185,$B430,May!$CA$1:$CA$185)</f>
        <v>0</v>
      </c>
      <c r="H430" s="1210">
        <f>SUMIF(Jun!$CB$1:$CB$183,$B430,Jun!$CA$1:$CA$183)</f>
        <v>0</v>
      </c>
      <c r="I430" s="1210">
        <f>SUMIF(Jul!$CB$1:$CB$187,$B430,Jul!$CA$1:$CA$187)</f>
        <v>0</v>
      </c>
      <c r="J430" s="1210">
        <f>SUMIF(Aug!$CB$1:$CB$214,$B430,Aug!$CA$1:$CA$214)</f>
        <v>0</v>
      </c>
      <c r="K430" s="1210">
        <f>SUMIF(Sep!$CB$1:$CB$211,$B430,Sep!$CA$1:$CA$211)</f>
        <v>0</v>
      </c>
      <c r="L430" s="1212">
        <f>SUMIF(Oct!$CB$1:$CB$210,$B430,Oct!$CA$1:$CA$210)</f>
        <v>0</v>
      </c>
      <c r="M430" s="1212">
        <f>SUMIF(Nov!$CB$1:$CB$209,$B430,Nov!$CA$1:$CA$209)</f>
        <v>0</v>
      </c>
      <c r="N430" s="1210">
        <f>SUMIF(Dec!$CB$1:$CB$218,$B430,Dec!$CA$1:$CA$218)</f>
        <v>0</v>
      </c>
      <c r="O430" s="1206">
        <f>SUM(C430:N430)/12</f>
        <v>0</v>
      </c>
      <c r="P430" s="1207">
        <f>O430/M!$Q$14</f>
        <v>0</v>
      </c>
      <c r="Q430" s="1235"/>
      <c r="R430" s="1235"/>
      <c r="S430" s="1235"/>
      <c r="T430" s="1235"/>
      <c r="U430" s="1239">
        <f>U428+ U429</f>
        <v>43143.266666666663</v>
      </c>
      <c r="V430" s="1235"/>
      <c r="W430" s="1235"/>
    </row>
    <row r="431" spans="1:23">
      <c r="A431" s="2242" t="s">
        <v>278</v>
      </c>
      <c r="B431" s="2243"/>
      <c r="C431" s="2246">
        <f>SUM(C433:C434)</f>
        <v>1128</v>
      </c>
      <c r="D431" s="2246">
        <f>SUM(D433:D434)</f>
        <v>655</v>
      </c>
      <c r="E431" s="2246">
        <f>SUM(E433:E434)</f>
        <v>958</v>
      </c>
      <c r="F431" s="2246">
        <f t="shared" ref="F431:N431" si="116">SUM(F433:F434)</f>
        <v>1153</v>
      </c>
      <c r="G431" s="2246">
        <f t="shared" si="116"/>
        <v>1158</v>
      </c>
      <c r="H431" s="2246">
        <f t="shared" si="116"/>
        <v>1082</v>
      </c>
      <c r="I431" s="2246">
        <f t="shared" si="116"/>
        <v>838</v>
      </c>
      <c r="J431" s="2246">
        <f t="shared" si="116"/>
        <v>1183</v>
      </c>
      <c r="K431" s="2246">
        <f t="shared" si="116"/>
        <v>1094</v>
      </c>
      <c r="L431" s="2246">
        <f t="shared" si="116"/>
        <v>1475</v>
      </c>
      <c r="M431" s="2246">
        <f t="shared" si="116"/>
        <v>970</v>
      </c>
      <c r="N431" s="2246">
        <f t="shared" si="116"/>
        <v>1048</v>
      </c>
      <c r="O431" s="2246">
        <f>SUM(O433:O434)</f>
        <v>1061.8333333333333</v>
      </c>
      <c r="P431" s="2248">
        <f>O431/M!$Q$14</f>
        <v>9.5218523597260463E-2</v>
      </c>
      <c r="Q431" s="1235"/>
      <c r="R431" s="1235"/>
      <c r="S431" s="1235"/>
      <c r="T431" s="1235"/>
      <c r="U431" s="1239">
        <f>U430/12</f>
        <v>3595.2722222222219</v>
      </c>
      <c r="V431" s="1235"/>
      <c r="W431" s="1235"/>
    </row>
    <row r="432" spans="1:23">
      <c r="A432" s="2244"/>
      <c r="B432" s="2245"/>
      <c r="C432" s="2247"/>
      <c r="D432" s="2247"/>
      <c r="E432" s="2247"/>
      <c r="F432" s="2247"/>
      <c r="G432" s="2247"/>
      <c r="H432" s="2247"/>
      <c r="I432" s="2247"/>
      <c r="J432" s="2247"/>
      <c r="K432" s="2247"/>
      <c r="L432" s="2247"/>
      <c r="M432" s="2247"/>
      <c r="N432" s="2247"/>
      <c r="O432" s="2247"/>
      <c r="P432" s="2249"/>
      <c r="Q432" s="1235"/>
      <c r="R432" s="1235"/>
      <c r="S432" s="1235"/>
      <c r="T432" s="1235"/>
      <c r="U432" s="1235"/>
      <c r="V432" s="1235"/>
      <c r="W432" s="1235"/>
    </row>
    <row r="433" spans="1:23">
      <c r="A433" s="2250"/>
      <c r="B433" s="1204" t="s">
        <v>414</v>
      </c>
      <c r="C433" s="1210">
        <f>SUMIF(Jan!$CB$1:$CB$173,$B433,Jan!$CA$1:$CA$173)</f>
        <v>1128</v>
      </c>
      <c r="D433" s="1210">
        <f>SUMIF(Feb!$CB$1:$CB$173,$B433,Feb!$CA$1:$CA$173)</f>
        <v>655</v>
      </c>
      <c r="E433" s="1210">
        <f>SUMIF(Mar!$CB$1:$CB$181,$B433,Mar!$CA$1:$CA$181)</f>
        <v>948</v>
      </c>
      <c r="F433" s="1210">
        <f>SUMIF(Apr!$CB$1:$CB$182,$B433,Apr!$CA$1:$CA$182)</f>
        <v>1060</v>
      </c>
      <c r="G433" s="1210">
        <f>SUMIF(May!$CB$1:$CB$185,$B433,May!$CA$1:$CA$185)</f>
        <v>1158</v>
      </c>
      <c r="H433" s="1210">
        <f>SUMIF(Jun!$CB$1:$CB$183,$B433,Jun!$CA$1:$CA$183)</f>
        <v>945</v>
      </c>
      <c r="I433" s="1210">
        <f>SUMIF(Jul!$CB$1:$CB$187,$B433,Jul!$CA$1:$CA$187)</f>
        <v>790</v>
      </c>
      <c r="J433" s="1210">
        <f>SUMIF(Aug!$CB$1:$CB$214,$B433,Aug!$CA$1:$CA$214)</f>
        <v>1119</v>
      </c>
      <c r="K433" s="1210">
        <f>SUMIF(Sep!$CB$1:$CB$211,$B433,Sep!$CA$1:$CA$211)</f>
        <v>1036</v>
      </c>
      <c r="L433" s="1212">
        <f>SUMIF(Oct!$CB$1:$CB$210,$B433,Oct!$CA$1:$CA$210)</f>
        <v>1343</v>
      </c>
      <c r="M433" s="1212">
        <f>SUMIF(Nov!$CB$1:$CB$209,$B433,Nov!$CA$1:$CA$209)</f>
        <v>970</v>
      </c>
      <c r="N433" s="1210">
        <f>SUMIF(Dec!$CB$1:$CB$218,$B433,Dec!$CA$1:$CA$218)</f>
        <v>680</v>
      </c>
      <c r="O433" s="1206">
        <f>SUM(C433:N433)/12</f>
        <v>986</v>
      </c>
      <c r="P433" s="1207">
        <f>O433/M!$Q$14</f>
        <v>8.8418268027215974E-2</v>
      </c>
      <c r="Q433" s="1235"/>
      <c r="R433" s="1235"/>
      <c r="S433" s="1235"/>
      <c r="T433" s="1235"/>
      <c r="U433" s="1235"/>
      <c r="V433" s="1235"/>
      <c r="W433" s="1235"/>
    </row>
    <row r="434" spans="1:23">
      <c r="A434" s="2252"/>
      <c r="B434" s="1204" t="s">
        <v>278</v>
      </c>
      <c r="C434" s="1210">
        <f>SUMIF(Jan!$CB$1:$CB$173,$B434,Jan!$CA$1:$CA$173)</f>
        <v>0</v>
      </c>
      <c r="D434" s="1210">
        <f>SUMIF(Feb!$CB$1:$CB$173,$B434,Feb!$CA$1:$CA$173)</f>
        <v>0</v>
      </c>
      <c r="E434" s="1210">
        <f>SUMIF(Mar!$CB$1:$CB$181,$B434,Mar!$CA$1:$CA$181)</f>
        <v>10</v>
      </c>
      <c r="F434" s="1210">
        <f>SUMIF(Apr!$CB$1:$CB$182,$B434,Apr!$CA$1:$CA$182)</f>
        <v>93</v>
      </c>
      <c r="G434" s="1210">
        <f>SUMIF(May!$CB$1:$CB$185,$B434,May!$CA$1:$CA$185)</f>
        <v>0</v>
      </c>
      <c r="H434" s="1210">
        <f>SUMIF(Jun!$CB$1:$CB$183,$B434,Jun!$CA$1:$CA$183)</f>
        <v>137</v>
      </c>
      <c r="I434" s="1210">
        <f>SUMIF(Jul!$CB$1:$CB$187,$B434,Jul!$CA$1:$CA$187)</f>
        <v>48</v>
      </c>
      <c r="J434" s="1210">
        <f>SUMIF(Aug!$CB$1:$CB$214,$B434,Aug!$CA$1:$CA$214)</f>
        <v>64</v>
      </c>
      <c r="K434" s="1210">
        <f>SUMIF(Sep!$CB$1:$CB$211,$B434,Sep!$CA$1:$CA$211)</f>
        <v>58</v>
      </c>
      <c r="L434" s="1212">
        <f>SUMIF(Oct!$CB$1:$CB$210,$B434,Oct!$CA$1:$CA$210)</f>
        <v>132</v>
      </c>
      <c r="M434" s="1212">
        <f>SUMIF(Nov!$CB$1:$CB$209,$B434,Nov!$CA$1:$CA$209)</f>
        <v>0</v>
      </c>
      <c r="N434" s="1210">
        <f>SUMIF(Dec!$CB$1:$CB$218,$B434,Dec!$CA$1:$CA$218)</f>
        <v>368</v>
      </c>
      <c r="O434" s="1206">
        <f>SUM(C434:N434)/12</f>
        <v>75.833333333333329</v>
      </c>
      <c r="P434" s="1207">
        <f>O434/M!$Q$14</f>
        <v>6.8002555700445002E-3</v>
      </c>
      <c r="Q434" s="1235"/>
      <c r="R434" s="1235"/>
      <c r="S434" s="1235"/>
      <c r="T434" s="1235"/>
      <c r="U434" s="1235"/>
      <c r="V434" s="1235"/>
      <c r="W434" s="1235"/>
    </row>
    <row r="435" spans="1:23">
      <c r="A435" s="2242" t="s">
        <v>279</v>
      </c>
      <c r="B435" s="2243"/>
      <c r="C435" s="2246">
        <f t="shared" ref="C435:N435" si="117">SUM(C437:C444)</f>
        <v>1030.3333333333333</v>
      </c>
      <c r="D435" s="2246">
        <f t="shared" si="117"/>
        <v>1030.3333333333333</v>
      </c>
      <c r="E435" s="2246">
        <f t="shared" si="117"/>
        <v>1240.3333333333335</v>
      </c>
      <c r="F435" s="2246">
        <f t="shared" si="117"/>
        <v>934.33333333333337</v>
      </c>
      <c r="G435" s="2246">
        <f t="shared" si="117"/>
        <v>648.33333333333326</v>
      </c>
      <c r="H435" s="2246">
        <f t="shared" si="117"/>
        <v>1056.3333333333333</v>
      </c>
      <c r="I435" s="2246">
        <f t="shared" si="117"/>
        <v>1062.3333333333333</v>
      </c>
      <c r="J435" s="2246">
        <f t="shared" si="117"/>
        <v>1075.3333333333333</v>
      </c>
      <c r="K435" s="2246">
        <f t="shared" si="117"/>
        <v>1075.3333333333333</v>
      </c>
      <c r="L435" s="2246">
        <f t="shared" si="117"/>
        <v>974.33333333333326</v>
      </c>
      <c r="M435" s="2246">
        <f t="shared" si="117"/>
        <v>973.33333333333326</v>
      </c>
      <c r="N435" s="2246">
        <f t="shared" si="117"/>
        <v>977.33333333333326</v>
      </c>
      <c r="O435" s="2246">
        <f>SUM(O437:O444)</f>
        <v>1006.5</v>
      </c>
      <c r="P435" s="2248">
        <f>O435/M!$Q$14</f>
        <v>9.0256578873623608E-2</v>
      </c>
      <c r="Q435" s="1235"/>
      <c r="R435" s="1235"/>
      <c r="S435" s="1235"/>
      <c r="T435" s="1235" t="s">
        <v>704</v>
      </c>
      <c r="U435" s="1235"/>
      <c r="V435" s="1235"/>
      <c r="W435" s="1235"/>
    </row>
    <row r="436" spans="1:23">
      <c r="A436" s="2244"/>
      <c r="B436" s="2245"/>
      <c r="C436" s="2247"/>
      <c r="D436" s="2247"/>
      <c r="E436" s="2247"/>
      <c r="F436" s="2247"/>
      <c r="G436" s="2247"/>
      <c r="H436" s="2247"/>
      <c r="I436" s="2247"/>
      <c r="J436" s="2247"/>
      <c r="K436" s="2247"/>
      <c r="L436" s="2247"/>
      <c r="M436" s="2247"/>
      <c r="N436" s="2247"/>
      <c r="O436" s="2247"/>
      <c r="P436" s="2249"/>
      <c r="Q436" s="1235"/>
      <c r="R436" s="1235"/>
      <c r="S436" s="1235"/>
      <c r="T436" s="1235"/>
      <c r="U436" s="1235"/>
      <c r="V436" s="1235"/>
      <c r="W436" s="1235"/>
    </row>
    <row r="437" spans="1:23">
      <c r="A437" s="2250"/>
      <c r="B437" s="1204" t="s">
        <v>415</v>
      </c>
      <c r="C437" s="1211">
        <v>225</v>
      </c>
      <c r="D437" s="1211">
        <v>225</v>
      </c>
      <c r="E437" s="1211">
        <v>225</v>
      </c>
      <c r="F437" s="1211">
        <v>364</v>
      </c>
      <c r="G437" s="1211">
        <v>158</v>
      </c>
      <c r="H437" s="1211">
        <v>225</v>
      </c>
      <c r="I437" s="1211">
        <v>225</v>
      </c>
      <c r="J437" s="1211">
        <v>225</v>
      </c>
      <c r="K437" s="1211">
        <v>225</v>
      </c>
      <c r="L437" s="1211">
        <v>225</v>
      </c>
      <c r="M437" s="1211">
        <v>225</v>
      </c>
      <c r="N437" s="1211">
        <v>225</v>
      </c>
      <c r="O437" s="1206">
        <f t="shared" ref="O437:O444" si="118">SUM(C437:N437)/12</f>
        <v>231</v>
      </c>
      <c r="P437" s="1207">
        <f>O437/M!$Q$14</f>
        <v>2.0714624659520172E-2</v>
      </c>
      <c r="Q437" s="1235"/>
      <c r="R437" s="1235"/>
      <c r="S437" s="1235"/>
      <c r="T437" s="1235"/>
      <c r="U437" s="1235"/>
      <c r="V437" s="1235"/>
      <c r="W437" s="1235"/>
    </row>
    <row r="438" spans="1:23">
      <c r="A438" s="2251"/>
      <c r="B438" s="1204" t="s">
        <v>416</v>
      </c>
      <c r="C438" s="1211">
        <v>140</v>
      </c>
      <c r="D438" s="1211">
        <v>140</v>
      </c>
      <c r="E438" s="1211">
        <v>350</v>
      </c>
      <c r="F438" s="1211">
        <v>75</v>
      </c>
      <c r="G438" s="1211">
        <v>96</v>
      </c>
      <c r="H438" s="1211">
        <v>166</v>
      </c>
      <c r="I438" s="1211">
        <v>172</v>
      </c>
      <c r="J438" s="1211">
        <v>185</v>
      </c>
      <c r="K438" s="1211">
        <v>185</v>
      </c>
      <c r="L438" s="1211">
        <v>84</v>
      </c>
      <c r="M438" s="1211">
        <v>73</v>
      </c>
      <c r="N438" s="1211">
        <v>77</v>
      </c>
      <c r="O438" s="1206">
        <f t="shared" si="118"/>
        <v>145.25</v>
      </c>
      <c r="P438" s="1207">
        <f>O438/M!$Q$14</f>
        <v>1.3025104899546775E-2</v>
      </c>
      <c r="Q438" s="1235"/>
      <c r="R438" s="1235"/>
      <c r="S438" s="1235"/>
      <c r="T438" s="1235"/>
      <c r="U438" s="1235"/>
      <c r="V438" s="1235"/>
      <c r="W438" s="1235"/>
    </row>
    <row r="439" spans="1:23">
      <c r="A439" s="2251"/>
      <c r="B439" s="1204" t="s">
        <v>417</v>
      </c>
      <c r="C439" s="1211">
        <f>235/3</f>
        <v>78.333333333333329</v>
      </c>
      <c r="D439" s="1211">
        <f t="shared" ref="D439:N439" si="119">235/3</f>
        <v>78.333333333333329</v>
      </c>
      <c r="E439" s="1211">
        <f t="shared" si="119"/>
        <v>78.333333333333329</v>
      </c>
      <c r="F439" s="1211">
        <f t="shared" si="119"/>
        <v>78.333333333333329</v>
      </c>
      <c r="G439" s="1211">
        <f t="shared" si="119"/>
        <v>78.333333333333329</v>
      </c>
      <c r="H439" s="1211">
        <f t="shared" si="119"/>
        <v>78.333333333333329</v>
      </c>
      <c r="I439" s="1211">
        <f t="shared" si="119"/>
        <v>78.333333333333329</v>
      </c>
      <c r="J439" s="1211">
        <f t="shared" si="119"/>
        <v>78.333333333333329</v>
      </c>
      <c r="K439" s="1211">
        <f t="shared" si="119"/>
        <v>78.333333333333329</v>
      </c>
      <c r="L439" s="1211">
        <f t="shared" si="119"/>
        <v>78.333333333333329</v>
      </c>
      <c r="M439" s="1211">
        <f t="shared" si="119"/>
        <v>78.333333333333329</v>
      </c>
      <c r="N439" s="1211">
        <f t="shared" si="119"/>
        <v>78.333333333333329</v>
      </c>
      <c r="O439" s="1206">
        <f t="shared" si="118"/>
        <v>78.333333333333343</v>
      </c>
      <c r="P439" s="1207">
        <f>O439/M!$Q$14</f>
        <v>7.0244398196064083E-3</v>
      </c>
      <c r="Q439" s="1235"/>
      <c r="R439" s="1235"/>
      <c r="S439" s="1235"/>
      <c r="T439" s="1235"/>
      <c r="U439" s="1235"/>
      <c r="V439" s="1235"/>
      <c r="W439" s="1235"/>
    </row>
    <row r="440" spans="1:23">
      <c r="A440" s="2251"/>
      <c r="B440" s="1204" t="s">
        <v>410</v>
      </c>
      <c r="C440" s="1211">
        <v>329</v>
      </c>
      <c r="D440" s="1211">
        <v>329</v>
      </c>
      <c r="E440" s="1211">
        <v>329</v>
      </c>
      <c r="F440" s="1211">
        <v>159</v>
      </c>
      <c r="G440" s="1211">
        <v>58</v>
      </c>
      <c r="H440" s="1211">
        <v>329</v>
      </c>
      <c r="I440" s="1211">
        <v>329</v>
      </c>
      <c r="J440" s="1211">
        <v>329</v>
      </c>
      <c r="K440" s="1211">
        <v>329</v>
      </c>
      <c r="L440" s="1211">
        <v>329</v>
      </c>
      <c r="M440" s="1211">
        <v>329</v>
      </c>
      <c r="N440" s="1211">
        <v>329</v>
      </c>
      <c r="O440" s="1206">
        <f t="shared" si="118"/>
        <v>292.25</v>
      </c>
      <c r="P440" s="1207">
        <f>O440/M!$Q$14</f>
        <v>2.6207138773786883E-2</v>
      </c>
      <c r="Q440" s="1235"/>
      <c r="R440" s="1235"/>
      <c r="S440" s="1235"/>
      <c r="T440" s="1235"/>
      <c r="U440" s="1235"/>
      <c r="V440" s="1235"/>
      <c r="W440" s="1235"/>
    </row>
    <row r="441" spans="1:23">
      <c r="A441" s="2251"/>
      <c r="B441" s="1204" t="s">
        <v>418</v>
      </c>
      <c r="C441" s="1211">
        <f>85+14+14</f>
        <v>113</v>
      </c>
      <c r="D441" s="1211">
        <f t="shared" ref="D441:N441" si="120">85+14+14</f>
        <v>113</v>
      </c>
      <c r="E441" s="1211">
        <f t="shared" si="120"/>
        <v>113</v>
      </c>
      <c r="F441" s="1213">
        <f t="shared" si="120"/>
        <v>113</v>
      </c>
      <c r="G441" s="1211">
        <f t="shared" si="120"/>
        <v>113</v>
      </c>
      <c r="H441" s="1211">
        <f t="shared" si="120"/>
        <v>113</v>
      </c>
      <c r="I441" s="1211">
        <f t="shared" si="120"/>
        <v>113</v>
      </c>
      <c r="J441" s="1211">
        <f t="shared" si="120"/>
        <v>113</v>
      </c>
      <c r="K441" s="1211">
        <f t="shared" si="120"/>
        <v>113</v>
      </c>
      <c r="L441" s="1211">
        <f t="shared" si="120"/>
        <v>113</v>
      </c>
      <c r="M441" s="1211">
        <f t="shared" si="120"/>
        <v>113</v>
      </c>
      <c r="N441" s="1211">
        <f t="shared" si="120"/>
        <v>113</v>
      </c>
      <c r="O441" s="1206">
        <f t="shared" si="118"/>
        <v>113</v>
      </c>
      <c r="P441" s="1207">
        <f>O441/M!$Q$14</f>
        <v>1.013312808019818E-2</v>
      </c>
      <c r="Q441" s="1235"/>
      <c r="R441" s="1235"/>
      <c r="S441" s="1235"/>
      <c r="T441" s="1235"/>
      <c r="U441" s="1235"/>
      <c r="V441" s="1235"/>
      <c r="W441" s="1235"/>
    </row>
    <row r="442" spans="1:23">
      <c r="A442" s="2251"/>
      <c r="B442" s="1204" t="s">
        <v>419</v>
      </c>
      <c r="C442" s="1211">
        <v>0</v>
      </c>
      <c r="D442" s="1211">
        <v>0</v>
      </c>
      <c r="E442" s="1211">
        <v>0</v>
      </c>
      <c r="F442" s="1211">
        <v>0</v>
      </c>
      <c r="G442" s="1211">
        <v>0</v>
      </c>
      <c r="H442" s="1211">
        <v>0</v>
      </c>
      <c r="I442" s="1211">
        <v>0</v>
      </c>
      <c r="J442" s="1211">
        <v>0</v>
      </c>
      <c r="K442" s="1211">
        <v>0</v>
      </c>
      <c r="L442" s="1211">
        <v>0</v>
      </c>
      <c r="M442" s="1211">
        <v>0</v>
      </c>
      <c r="N442" s="1211">
        <v>0</v>
      </c>
      <c r="O442" s="1206">
        <f t="shared" si="118"/>
        <v>0</v>
      </c>
      <c r="P442" s="1207">
        <f>O442/M!$Q$14</f>
        <v>0</v>
      </c>
      <c r="Q442" s="1235"/>
      <c r="R442" s="1235"/>
      <c r="S442" s="1235"/>
      <c r="T442" s="1235"/>
      <c r="U442" s="1235"/>
      <c r="V442" s="1235"/>
      <c r="W442" s="1235"/>
    </row>
    <row r="443" spans="1:23">
      <c r="A443" s="2251"/>
      <c r="B443" s="1204" t="s">
        <v>460</v>
      </c>
      <c r="C443" s="1211">
        <v>0</v>
      </c>
      <c r="D443" s="1211">
        <v>0</v>
      </c>
      <c r="E443" s="1211">
        <v>0</v>
      </c>
      <c r="F443" s="1211">
        <v>0</v>
      </c>
      <c r="G443" s="1211">
        <v>0</v>
      </c>
      <c r="H443" s="1211">
        <v>0</v>
      </c>
      <c r="I443" s="1211">
        <v>0</v>
      </c>
      <c r="J443" s="1211">
        <v>0</v>
      </c>
      <c r="K443" s="1211">
        <v>0</v>
      </c>
      <c r="L443" s="1211">
        <v>0</v>
      </c>
      <c r="M443" s="1211">
        <v>0</v>
      </c>
      <c r="N443" s="1211">
        <v>0</v>
      </c>
      <c r="O443" s="1206">
        <f t="shared" si="118"/>
        <v>0</v>
      </c>
      <c r="P443" s="1207">
        <f>O443/M!$Q$14</f>
        <v>0</v>
      </c>
      <c r="Q443" s="1235"/>
      <c r="R443" s="1235"/>
      <c r="S443" s="1235"/>
      <c r="T443" s="1235"/>
      <c r="U443" s="1235"/>
      <c r="V443" s="1235"/>
      <c r="W443" s="1235"/>
    </row>
    <row r="444" spans="1:23">
      <c r="A444" s="2252"/>
      <c r="B444" s="1204" t="s">
        <v>421</v>
      </c>
      <c r="C444" s="1211">
        <v>145</v>
      </c>
      <c r="D444" s="1211">
        <v>145</v>
      </c>
      <c r="E444" s="1211">
        <v>145</v>
      </c>
      <c r="F444" s="1211">
        <v>145</v>
      </c>
      <c r="G444" s="1211">
        <v>145</v>
      </c>
      <c r="H444" s="1211">
        <v>145</v>
      </c>
      <c r="I444" s="1211">
        <v>145</v>
      </c>
      <c r="J444" s="1211">
        <v>145</v>
      </c>
      <c r="K444" s="1211">
        <v>145</v>
      </c>
      <c r="L444" s="1211">
        <v>145</v>
      </c>
      <c r="M444" s="1211">
        <v>155</v>
      </c>
      <c r="N444" s="1211">
        <v>155</v>
      </c>
      <c r="O444" s="1206">
        <f t="shared" si="118"/>
        <v>146.66666666666666</v>
      </c>
      <c r="P444" s="1207">
        <f>O444/M!$Q$14</f>
        <v>1.3152142640965188E-2</v>
      </c>
      <c r="Q444" s="1235"/>
      <c r="R444" s="1235"/>
      <c r="S444" s="1235"/>
      <c r="T444" s="1235"/>
      <c r="U444" s="1235"/>
      <c r="V444" s="1235"/>
      <c r="W444" s="1235"/>
    </row>
    <row r="445" spans="1:23">
      <c r="A445" s="2242" t="s">
        <v>280</v>
      </c>
      <c r="B445" s="2243"/>
      <c r="C445" s="2246">
        <f t="shared" ref="C445:O445" si="121">SUM(C447:C453)</f>
        <v>1636</v>
      </c>
      <c r="D445" s="2246">
        <f t="shared" si="121"/>
        <v>866</v>
      </c>
      <c r="E445" s="2246">
        <f t="shared" si="121"/>
        <v>2291</v>
      </c>
      <c r="F445" s="2246">
        <f t="shared" si="121"/>
        <v>1178</v>
      </c>
      <c r="G445" s="2246">
        <f t="shared" si="121"/>
        <v>844</v>
      </c>
      <c r="H445" s="2246">
        <f t="shared" si="121"/>
        <v>964</v>
      </c>
      <c r="I445" s="2246">
        <f t="shared" si="121"/>
        <v>2057</v>
      </c>
      <c r="J445" s="2246">
        <f t="shared" si="121"/>
        <v>1688</v>
      </c>
      <c r="K445" s="2246">
        <f t="shared" si="121"/>
        <v>876</v>
      </c>
      <c r="L445" s="2246">
        <f t="shared" si="121"/>
        <v>1697</v>
      </c>
      <c r="M445" s="2246">
        <f t="shared" si="121"/>
        <v>1818</v>
      </c>
      <c r="N445" s="2246">
        <f t="shared" si="121"/>
        <v>4920</v>
      </c>
      <c r="O445" s="2246">
        <f t="shared" si="121"/>
        <v>1736.2500000000002</v>
      </c>
      <c r="P445" s="2248">
        <f>O445/M!$Q$14</f>
        <v>0.15569596132074418</v>
      </c>
      <c r="Q445" s="1235"/>
      <c r="R445" s="1235"/>
      <c r="S445" s="1235"/>
      <c r="T445" s="1235"/>
      <c r="U445" s="1235"/>
      <c r="V445" s="1235"/>
      <c r="W445" s="1235"/>
    </row>
    <row r="446" spans="1:23">
      <c r="A446" s="2244"/>
      <c r="B446" s="2245"/>
      <c r="C446" s="2247"/>
      <c r="D446" s="2247"/>
      <c r="E446" s="2247"/>
      <c r="F446" s="2247"/>
      <c r="G446" s="2247"/>
      <c r="H446" s="2247"/>
      <c r="I446" s="2247"/>
      <c r="J446" s="2247"/>
      <c r="K446" s="2247"/>
      <c r="L446" s="2247"/>
      <c r="M446" s="2247"/>
      <c r="N446" s="2247"/>
      <c r="O446" s="2247"/>
      <c r="P446" s="2249"/>
      <c r="Q446" s="1235"/>
      <c r="R446" s="1235"/>
      <c r="S446" s="1235"/>
      <c r="T446" s="1235"/>
      <c r="U446" s="1235"/>
      <c r="V446" s="1235"/>
      <c r="W446" s="1235"/>
    </row>
    <row r="447" spans="1:23">
      <c r="A447" s="2250"/>
      <c r="B447" s="1204" t="s">
        <v>280</v>
      </c>
      <c r="C447" s="1210">
        <f>SUMIF(Jan!$CB$1:$CB$173,$B447,Jan!$CA$1:$CA$173)</f>
        <v>185</v>
      </c>
      <c r="D447" s="1210">
        <f>SUMIF(Feb!$CB$1:$CB$173,$B447,Feb!$CA$1:$CA$173)</f>
        <v>97</v>
      </c>
      <c r="E447" s="1210">
        <f>SUMIF(Mar!$CB$1:$CB$181,$B447,Mar!$CA$1:$CA$181)</f>
        <v>64</v>
      </c>
      <c r="F447" s="1210">
        <f>SUMIF(Apr!$CB$1:$CB$182,$B447,Apr!$CA$1:$CA$182)</f>
        <v>226</v>
      </c>
      <c r="G447" s="1210">
        <f>SUMIF(May!$CB$1:$CB$185,$B447,May!$CA$1:$CA$185)</f>
        <v>304</v>
      </c>
      <c r="H447" s="1210">
        <f>SUMIF(Jun!$CB$1:$CB$183,$B447,Jun!$CA$1:$CA$183)</f>
        <v>305</v>
      </c>
      <c r="I447" s="1210">
        <f>SUMIF(Jul!$CB$1:$CB$187,$B447,Jul!$CA$1:$CA$187)</f>
        <v>137</v>
      </c>
      <c r="J447" s="1210">
        <f>SUMIF(Aug!$CB$1:$CB$214,$B447,Aug!$CA$1:$CA$214)</f>
        <v>562</v>
      </c>
      <c r="K447" s="1210">
        <f>SUMIF(Sep!$CB$1:$CB$211,$B447,Sep!$CA$1:$CA$211)</f>
        <v>355</v>
      </c>
      <c r="L447" s="1212">
        <f>SUMIF(Oct!$CB$1:$CB$210,$B447,Oct!$CA$1:$CA$210)</f>
        <v>1229</v>
      </c>
      <c r="M447" s="1212">
        <f>SUMIF(Nov!$CB$1:$CB$209,$B447,Nov!$CA$1:$CA$209)</f>
        <v>1037</v>
      </c>
      <c r="N447" s="1210">
        <f>SUMIF(Dec!$CB$1:$CB$218,$B447,Dec!$CA$1:$CA$218)</f>
        <v>2438</v>
      </c>
      <c r="O447" s="1206">
        <f t="shared" ref="O447:O453" si="122">SUM(C447:N447)/12</f>
        <v>578.25</v>
      </c>
      <c r="P447" s="1207">
        <f>O447/M!$Q$14</f>
        <v>5.1853816923668999E-2</v>
      </c>
      <c r="Q447" s="1235"/>
      <c r="R447" s="1235"/>
      <c r="S447" s="1235"/>
      <c r="T447" s="1235"/>
      <c r="U447" s="1235"/>
      <c r="V447" s="1235"/>
      <c r="W447" s="1235"/>
    </row>
    <row r="448" spans="1:23">
      <c r="A448" s="2251"/>
      <c r="B448" s="1204" t="s">
        <v>700</v>
      </c>
      <c r="C448" s="1210">
        <f>SUMIF(Jan!$CB$1:$CB$173,$B448,Jan!$CA$1:$CA$173)</f>
        <v>0</v>
      </c>
      <c r="D448" s="1210">
        <f>SUMIF(Feb!$CB$1:$CB$173,$B448,Feb!$CA$1:$CA$173)</f>
        <v>0</v>
      </c>
      <c r="E448" s="1210">
        <f>SUMIF(Mar!$CB$1:$CB$181,$B448,Mar!$CA$1:$CA$181)</f>
        <v>12</v>
      </c>
      <c r="F448" s="1210">
        <f>SUMIF(Apr!$CB$1:$CB$182,$B448,Apr!$CA$1:$CA$182)</f>
        <v>268</v>
      </c>
      <c r="G448" s="1210">
        <f>SUMIF(May!$CB$1:$CB$185,$B448,May!$CA$1:$CA$185)</f>
        <v>70</v>
      </c>
      <c r="H448" s="1210">
        <f>SUMIF(Jun!$CB$1:$CB$183,$B448,Jun!$CA$1:$CA$183)</f>
        <v>63</v>
      </c>
      <c r="I448" s="1210">
        <f>SUMIF(Jul!$CB$1:$CB$187,$B448,Jul!$CA$1:$CA$187)</f>
        <v>611</v>
      </c>
      <c r="J448" s="1210">
        <f>SUMIF(Aug!$CB$1:$CB$214,$B448,Aug!$CA$1:$CA$214)</f>
        <v>464</v>
      </c>
      <c r="K448" s="1210">
        <f>SUMIF(Sep!$CB$1:$CB$211,$B448,Sep!$CA$1:$CA$211)</f>
        <v>162</v>
      </c>
      <c r="L448" s="1212">
        <f>SUMIF(Oct!$CB$1:$CB$210,$B448,Oct!$CA$1:$CA$210)</f>
        <v>240</v>
      </c>
      <c r="M448" s="1212">
        <f>SUMIF(Nov!$CB$1:$CB$209,$B448,Nov!$CA$1:$CA$209)</f>
        <v>476</v>
      </c>
      <c r="N448" s="1210">
        <f>SUMIF(Dec!$CB$1:$CB$218,$B448,Dec!$CA$1:$CA$218)</f>
        <v>460</v>
      </c>
      <c r="O448" s="1206">
        <f t="shared" si="122"/>
        <v>235.5</v>
      </c>
      <c r="P448" s="1207">
        <f>O448/M!$Q$14</f>
        <v>2.1118156308731605E-2</v>
      </c>
      <c r="Q448" s="1235"/>
      <c r="R448" s="1235"/>
      <c r="S448" s="1235"/>
      <c r="T448" s="1235"/>
      <c r="U448" s="1235"/>
      <c r="V448" s="1235"/>
      <c r="W448" s="1235"/>
    </row>
    <row r="449" spans="1:23">
      <c r="A449" s="2251"/>
      <c r="B449" s="1204" t="s">
        <v>701</v>
      </c>
      <c r="C449" s="1210">
        <f>SUMIF(Jan!$CB$1:$CB$173,$B449,Jan!$CA$1:$CA$173)</f>
        <v>1451</v>
      </c>
      <c r="D449" s="1210">
        <f>SUMIF(Feb!$CB$1:$CB$173,$B449,Feb!$CA$1:$CA$173)</f>
        <v>769</v>
      </c>
      <c r="E449" s="1210">
        <f>SUMIF(Mar!$CB$1:$CB$181,$B449,Mar!$CA$1:$CA$181)</f>
        <v>2215</v>
      </c>
      <c r="F449" s="1210">
        <f>SUMIF(Apr!$CB$1:$CB$182,$B449,Apr!$CA$1:$CA$182)</f>
        <v>574</v>
      </c>
      <c r="G449" s="1210">
        <f>SUMIF(May!$CB$1:$CB$185,$B449,May!$CA$1:$CA$185)</f>
        <v>305</v>
      </c>
      <c r="H449" s="1210">
        <f>SUMIF(Jun!$CB$1:$CB$183,$B449,Jun!$CA$1:$CA$183)</f>
        <v>255</v>
      </c>
      <c r="I449" s="1210">
        <f>SUMIF(Jul!$CB$1:$CB$187,$B449,Jul!$CA$1:$CA$187)</f>
        <v>33</v>
      </c>
      <c r="J449" s="1210">
        <f>SUMIF(Aug!$CB$1:$CB$214,$B449,Aug!$CA$1:$CA$214)</f>
        <v>0</v>
      </c>
      <c r="K449" s="1210">
        <f>SUMIF(Sep!$CB$1:$CB$211,$B449,Sep!$CA$1:$CA$211)</f>
        <v>31</v>
      </c>
      <c r="L449" s="1212">
        <f>SUMIF(Oct!$CB$1:$CB$210,$B449,Oct!$CA$1:$CA$210)</f>
        <v>118</v>
      </c>
      <c r="M449" s="1212">
        <f>SUMIF(Nov!$CB$1:$CB$209,$B449,Nov!$CA$1:$CA$209)</f>
        <v>170</v>
      </c>
      <c r="N449" s="1210">
        <f>SUMIF(Dec!$CB$1:$CB$218,$B449,Dec!$CA$1:$CA$218)</f>
        <v>0</v>
      </c>
      <c r="O449" s="1206">
        <f t="shared" si="122"/>
        <v>493.41666666666669</v>
      </c>
      <c r="P449" s="1207">
        <f>O449/M!$Q$14</f>
        <v>4.4246498055201637E-2</v>
      </c>
      <c r="Q449" s="1235"/>
      <c r="R449" s="1235"/>
      <c r="S449" s="1235"/>
      <c r="T449" s="1235"/>
      <c r="U449" s="1235"/>
      <c r="V449" s="1235"/>
      <c r="W449" s="1235"/>
    </row>
    <row r="450" spans="1:23">
      <c r="A450" s="2251"/>
      <c r="B450" s="1204" t="s">
        <v>702</v>
      </c>
      <c r="C450" s="1210">
        <f>SUMIF(Jan!$CB$1:$CB$173,$B450,Jan!$CA$1:$CA$173)</f>
        <v>0</v>
      </c>
      <c r="D450" s="1210">
        <f>SUMIF(Feb!$CB$1:$CB$173,$B450,Feb!$CA$1:$CA$173)</f>
        <v>0</v>
      </c>
      <c r="E450" s="1210">
        <f>SUMIF(Mar!$CB$1:$CB$181,$B450,Mar!$CA$1:$CA$181)</f>
        <v>0</v>
      </c>
      <c r="F450" s="1210">
        <f>SUMIF(Apr!$CB$1:$CB$182,$B450,Apr!$CA$1:$CA$182)</f>
        <v>0</v>
      </c>
      <c r="G450" s="1210">
        <f>SUMIF(May!$CB$1:$CB$185,$B450,May!$CA$1:$CA$185)</f>
        <v>0</v>
      </c>
      <c r="H450" s="1210">
        <f>SUMIF(Jun!$CB$1:$CB$183,$B450,Jun!$CA$1:$CA$183)</f>
        <v>0</v>
      </c>
      <c r="I450" s="1210">
        <f>SUMIF(Jul!$CB$1:$CB$187,$B450,Jul!$CA$1:$CA$187)</f>
        <v>931</v>
      </c>
      <c r="J450" s="1210">
        <f>SUMIF(Aug!$CB$1:$CB$214,$B450,Aug!$CA$1:$CA$214)</f>
        <v>0</v>
      </c>
      <c r="K450" s="1210">
        <f>SUMIF(Sep!$CB$1:$CB$211,$B450,Sep!$CA$1:$CA$211)</f>
        <v>218</v>
      </c>
      <c r="L450" s="1212">
        <f>SUMIF(Oct!$CB$1:$CB$210,$B450,Oct!$CA$1:$CA$210)</f>
        <v>0</v>
      </c>
      <c r="M450" s="1212">
        <f>SUMIF(Nov!$CB$1:$CB$209,$B450,Nov!$CA$1:$CA$209)</f>
        <v>0</v>
      </c>
      <c r="N450" s="1210">
        <f>SUMIF(Dec!$CB$1:$CB$218,$B450,Dec!$CA$1:$CA$218)</f>
        <v>0</v>
      </c>
      <c r="O450" s="1206">
        <f t="shared" si="122"/>
        <v>95.75</v>
      </c>
      <c r="P450" s="1207">
        <f>O450/M!$Q$14</f>
        <v>8.5862567582210229E-3</v>
      </c>
      <c r="Q450" s="1235"/>
      <c r="R450" s="1235"/>
      <c r="S450" s="1235"/>
      <c r="T450" s="1235"/>
      <c r="U450" s="1235"/>
      <c r="V450" s="1235"/>
      <c r="W450" s="1235"/>
    </row>
    <row r="451" spans="1:23">
      <c r="A451" s="2251"/>
      <c r="B451" s="1204" t="s">
        <v>667</v>
      </c>
      <c r="C451" s="1210">
        <f>SUMIF(Jan!$CB$1:$CB$173,$B451,Jan!$CA$1:$CA$173)</f>
        <v>0</v>
      </c>
      <c r="D451" s="1210">
        <f>SUMIF(Feb!$CB$1:$CB$173,$B451,Feb!$CA$1:$CA$173)</f>
        <v>0</v>
      </c>
      <c r="E451" s="1210">
        <f>SUMIF(Mar!$CB$1:$CB$181,$B451,Mar!$CA$1:$CA$181)</f>
        <v>0</v>
      </c>
      <c r="F451" s="1210">
        <f>SUMIF(Apr!$CB$1:$CB$182,$B451,Apr!$CA$1:$CA$182)</f>
        <v>0</v>
      </c>
      <c r="G451" s="1210">
        <f>SUMIF(May!$CB$1:$CB$185,$B451,May!$CA$1:$CA$185)</f>
        <v>55</v>
      </c>
      <c r="H451" s="1210">
        <f>SUMIF(Jun!$CB$1:$CB$183,$B451,Jun!$CA$1:$CA$183)</f>
        <v>0</v>
      </c>
      <c r="I451" s="1210">
        <f>SUMIF(Jul!$CB$1:$CB$187,$B451,Jul!$CA$1:$CA$187)</f>
        <v>0</v>
      </c>
      <c r="J451" s="1210">
        <f>SUMIF(Aug!$CB$1:$CB$214,$B451,Aug!$CA$1:$CA$214)</f>
        <v>0</v>
      </c>
      <c r="K451" s="1210">
        <f>SUMIF(Sep!$CB$1:$CB$211,$B451,Sep!$CA$1:$CA$211)</f>
        <v>0</v>
      </c>
      <c r="L451" s="1212">
        <f>SUMIF(Oct!$CB$1:$CB$210,$B451,Oct!$CA$1:$CA$210)</f>
        <v>0</v>
      </c>
      <c r="M451" s="1212">
        <f>SUMIF(Nov!$CB$1:$CB$209,$B451,Nov!$CA$1:$CA$209)</f>
        <v>25</v>
      </c>
      <c r="N451" s="1210">
        <f>SUMIF(Dec!$CB$1:$CB$218,$B451,Dec!$CA$1:$CA$218)</f>
        <v>0</v>
      </c>
      <c r="O451" s="1206">
        <f t="shared" si="122"/>
        <v>6.666666666666667</v>
      </c>
      <c r="P451" s="1207">
        <f>O451/M!$Q$14</f>
        <v>5.9782466549841771E-4</v>
      </c>
      <c r="Q451" s="1235"/>
      <c r="R451" s="1235"/>
      <c r="S451" s="1235"/>
      <c r="T451" s="1235"/>
      <c r="U451" s="1235"/>
      <c r="V451" s="1235"/>
      <c r="W451" s="1235"/>
    </row>
    <row r="452" spans="1:23">
      <c r="A452" s="2251"/>
      <c r="B452" s="1204" t="s">
        <v>427</v>
      </c>
      <c r="C452" s="1210">
        <f>SUMIF(Jan!$CB$1:$CB$173,$B452,Jan!$CA$1:$CA$173)</f>
        <v>0</v>
      </c>
      <c r="D452" s="1210">
        <f>SUMIF(Feb!$CB$1:$CB$173,$B452,Feb!$CA$1:$CA$173)</f>
        <v>0</v>
      </c>
      <c r="E452" s="1210">
        <f>SUMIF(Mar!$CB$1:$CB$181,$B452,Mar!$CA$1:$CA$181)</f>
        <v>0</v>
      </c>
      <c r="F452" s="1210">
        <v>110</v>
      </c>
      <c r="G452" s="1210">
        <v>110</v>
      </c>
      <c r="H452" s="1210">
        <v>110</v>
      </c>
      <c r="I452" s="1210">
        <v>110</v>
      </c>
      <c r="J452" s="1210">
        <v>110</v>
      </c>
      <c r="K452" s="1210">
        <v>110</v>
      </c>
      <c r="L452" s="1210">
        <v>110</v>
      </c>
      <c r="M452" s="1210">
        <v>110</v>
      </c>
      <c r="N452" s="1210">
        <v>110</v>
      </c>
      <c r="O452" s="1206">
        <f t="shared" si="122"/>
        <v>82.5</v>
      </c>
      <c r="P452" s="1207">
        <f>O452/M!$Q$14</f>
        <v>7.398080235542919E-3</v>
      </c>
      <c r="Q452" s="1235"/>
      <c r="R452" s="1235"/>
      <c r="S452" s="1235"/>
      <c r="T452" s="1235"/>
      <c r="U452" s="1235"/>
      <c r="V452" s="1235"/>
      <c r="W452" s="1235"/>
    </row>
    <row r="453" spans="1:23">
      <c r="A453" s="2252"/>
      <c r="B453" s="1204" t="s">
        <v>381</v>
      </c>
      <c r="C453" s="1210">
        <f>SUMIF(Jan!$CB$1:$CB$173,$B453,Jan!$CA$1:$CA$173)</f>
        <v>0</v>
      </c>
      <c r="D453" s="1210">
        <f>SUMIF(Feb!$CB$1:$CB$173,$B453,Feb!$CA$1:$CA$173)</f>
        <v>0</v>
      </c>
      <c r="E453" s="1210">
        <f>SUMIF(Mar!$CB$1:$CB$181,$B453,Mar!$CA$1:$CA$181)</f>
        <v>0</v>
      </c>
      <c r="F453" s="1210">
        <f>SUMIF(Apr!$CB$1:$CB$182,$B453,Apr!$CA$1:$CA$182)</f>
        <v>0</v>
      </c>
      <c r="G453" s="1210">
        <f>SUMIF(May!$CB$1:$CB$185,$B453,May!$CA$1:$CA$185)</f>
        <v>0</v>
      </c>
      <c r="H453" s="1210">
        <f>SUMIF(Jun!$CB$1:$CB$183,$B453,Jun!$CA$1:$CA$183)</f>
        <v>231</v>
      </c>
      <c r="I453" s="1210">
        <f>SUMIF(Jul!$CB$1:$CB$187,$B453,Jul!$CA$1:$CA$187)</f>
        <v>235</v>
      </c>
      <c r="J453" s="1210">
        <f>SUMIF(Aug!$CB$1:$CB$214,$B453,Aug!$CA$1:$CA$214)</f>
        <v>552</v>
      </c>
      <c r="K453" s="1210">
        <f>SUMIF(Sep!$CB$1:$CB$211,$B453,Sep!$CA$1:$CA$211)</f>
        <v>0</v>
      </c>
      <c r="L453" s="1212">
        <f>SUMIF(Oct!$CB$1:$CB$210,$B453,Oct!$CA$1:$CA$210)</f>
        <v>0</v>
      </c>
      <c r="M453" s="1212">
        <f>SUMIF(Nov!$CB$1:$CB$209,$B453,Nov!$CA$1:$CA$209)</f>
        <v>0</v>
      </c>
      <c r="N453" s="1210">
        <f>SUMIF(Dec!$CB$1:$CB$218,$B453,Dec!$CA$1:$CA$218)</f>
        <v>1912</v>
      </c>
      <c r="O453" s="1206">
        <f t="shared" si="122"/>
        <v>244.16666666666666</v>
      </c>
      <c r="P453" s="1207">
        <f>O453/M!$Q$14</f>
        <v>2.1895328373879547E-2</v>
      </c>
      <c r="Q453" s="1235"/>
      <c r="R453" s="1235"/>
      <c r="S453" s="1235"/>
      <c r="T453" s="1235"/>
      <c r="U453" s="1235"/>
      <c r="V453" s="1235"/>
      <c r="W453" s="1235"/>
    </row>
    <row r="454" spans="1:23">
      <c r="A454" s="2242" t="s">
        <v>428</v>
      </c>
      <c r="B454" s="2243"/>
      <c r="C454" s="2246">
        <f>SUM(C456:C457)</f>
        <v>1231</v>
      </c>
      <c r="D454" s="2246">
        <f t="shared" ref="D454:N454" si="123">SUM(D456:D457)</f>
        <v>734</v>
      </c>
      <c r="E454" s="2246">
        <f t="shared" si="123"/>
        <v>789</v>
      </c>
      <c r="F454" s="2246">
        <f t="shared" si="123"/>
        <v>789</v>
      </c>
      <c r="G454" s="2246">
        <f t="shared" si="123"/>
        <v>1936</v>
      </c>
      <c r="H454" s="2246">
        <f t="shared" si="123"/>
        <v>734</v>
      </c>
      <c r="I454" s="2246">
        <f t="shared" si="123"/>
        <v>706</v>
      </c>
      <c r="J454" s="2246">
        <f t="shared" si="123"/>
        <v>1556</v>
      </c>
      <c r="K454" s="2246">
        <f t="shared" si="123"/>
        <v>2182</v>
      </c>
      <c r="L454" s="2246">
        <f t="shared" si="123"/>
        <v>2308</v>
      </c>
      <c r="M454" s="2246">
        <f t="shared" si="123"/>
        <v>1032</v>
      </c>
      <c r="N454" s="2246">
        <f t="shared" si="123"/>
        <v>1032</v>
      </c>
      <c r="O454" s="2246">
        <f>SUM(O456:O457)</f>
        <v>1252.4166666666667</v>
      </c>
      <c r="P454" s="2248">
        <f>O454/M!$Q$14</f>
        <v>0.11230883622219649</v>
      </c>
      <c r="Q454" s="1235"/>
      <c r="R454" s="1235"/>
      <c r="S454" s="1235"/>
      <c r="T454" s="1235"/>
      <c r="U454" s="1235"/>
      <c r="V454" s="1235"/>
      <c r="W454" s="1235"/>
    </row>
    <row r="455" spans="1:23">
      <c r="A455" s="2244"/>
      <c r="B455" s="2245"/>
      <c r="C455" s="2247"/>
      <c r="D455" s="2247"/>
      <c r="E455" s="2247"/>
      <c r="F455" s="2247"/>
      <c r="G455" s="2247"/>
      <c r="H455" s="2247"/>
      <c r="I455" s="2247"/>
      <c r="J455" s="2247"/>
      <c r="K455" s="2247"/>
      <c r="L455" s="2247"/>
      <c r="M455" s="2247"/>
      <c r="N455" s="2247"/>
      <c r="O455" s="2247"/>
      <c r="P455" s="2249"/>
      <c r="Q455" s="1235"/>
      <c r="R455" s="1235"/>
      <c r="S455" s="1235"/>
      <c r="T455" s="1235"/>
      <c r="U455" s="1235"/>
      <c r="V455" s="1235"/>
      <c r="W455" s="1235"/>
    </row>
    <row r="456" spans="1:23">
      <c r="A456" s="2250"/>
      <c r="B456" s="1204" t="s">
        <v>689</v>
      </c>
      <c r="C456" s="1210">
        <f>SUMIF(Jan!$CB$1:$CB$173,$B456,Jan!$CA$1:$CA$173)</f>
        <v>1231</v>
      </c>
      <c r="D456" s="1210">
        <f>SUMIF(Feb!$CB$1:$CB$173,$B456,Feb!$CA$1:$CA$173)</f>
        <v>734</v>
      </c>
      <c r="E456" s="1210">
        <f>SUMIF(Mar!$CB$1:$CB$181,$B456,Mar!$CA$1:$CA$181)</f>
        <v>789</v>
      </c>
      <c r="F456" s="1210">
        <f>SUMIF(Apr!$CB$1:$CB$182,$B456,Apr!$CA$1:$CA$182)</f>
        <v>789</v>
      </c>
      <c r="G456" s="1210">
        <f>SUMIF(May!$CB$1:$CB$185,$B456,May!$CA$1:$CA$185)</f>
        <v>1936</v>
      </c>
      <c r="H456" s="1210">
        <f>SUMIF(Feb!$CB$1:$CB$173,$B456,Feb!$CA$1:$CA$173)</f>
        <v>734</v>
      </c>
      <c r="I456" s="1210">
        <f>SUMIF(Jul!$CB$1:$CB$187,$B456,Jul!$CA$1:$CA$187)</f>
        <v>706</v>
      </c>
      <c r="J456" s="1210">
        <f>SUMIF(Aug!$CB$1:$CB$214,$B456,Aug!$CA$1:$CA$214)</f>
        <v>1556</v>
      </c>
      <c r="K456" s="1210">
        <f>SUMIF(Sep!$CB$1:$CB$211,$B456,Sep!$CA$1:$CA$211)</f>
        <v>2182</v>
      </c>
      <c r="L456" s="1212">
        <f>SUMIF(Oct!$CB$1:$CB$210,$B456,Oct!$CA$1:$CA$210)</f>
        <v>2308</v>
      </c>
      <c r="M456" s="1212">
        <f>SUMIF(Nov!$CB$1:$CB$209,$B456,Nov!$CA$1:$CA$209)</f>
        <v>1032</v>
      </c>
      <c r="N456" s="1210">
        <f>SUMIF(Dec!$CB$1:$CB$218,$B456,Dec!$CA$1:$CA$218)</f>
        <v>1032</v>
      </c>
      <c r="O456" s="1206">
        <f>SUM(C456:N456)/12</f>
        <v>1252.4166666666667</v>
      </c>
      <c r="P456" s="1207">
        <f>O456/M!$Q$14</f>
        <v>0.11230883622219649</v>
      </c>
      <c r="Q456" s="1235"/>
      <c r="R456" s="1235"/>
      <c r="S456" s="1235"/>
      <c r="T456" s="1235"/>
      <c r="U456" s="1235"/>
      <c r="V456" s="1235"/>
      <c r="W456" s="1235"/>
    </row>
    <row r="457" spans="1:23">
      <c r="A457" s="2251"/>
      <c r="B457" s="1204" t="s">
        <v>703</v>
      </c>
      <c r="C457" s="1210">
        <f>SUMIF(Jan!$CB$1:$CB$173,$B457,Jan!$CA$1:$CA$173)</f>
        <v>0</v>
      </c>
      <c r="D457" s="1210">
        <f>SUMIF(Feb!$CB$1:$CB$173,$B457,Feb!$CA$1:$CA$173)</f>
        <v>0</v>
      </c>
      <c r="E457" s="1210">
        <f>SUMIF(Mar!$CB$1:$CB$181,$B457,Mar!$CA$1:$CA$181)</f>
        <v>0</v>
      </c>
      <c r="F457" s="1210">
        <f>SUMIF(Apr!$CB$1:$CB$182,$B457,Apr!$CA$1:$CA$182)</f>
        <v>0</v>
      </c>
      <c r="G457" s="1210">
        <f>SUMIF(May!$CB$1:$CB$185,$B457,May!$CA$1:$CA$185)</f>
        <v>0</v>
      </c>
      <c r="H457" s="1210">
        <v>0</v>
      </c>
      <c r="I457" s="1210">
        <f>SUMIF(Jul!$CB$1:$CB$187,$B457,Jul!$CA$1:$CA$187)</f>
        <v>0</v>
      </c>
      <c r="J457" s="1210">
        <f>SUMIF(Aug!$CB$1:$CB$214,$B457,Aug!$CA$1:$CA$214)</f>
        <v>0</v>
      </c>
      <c r="K457" s="1210">
        <f>SUMIF(Sep!$CB$1:$CB$211,$B457,Sep!$CA$1:$CA$211)</f>
        <v>0</v>
      </c>
      <c r="L457" s="1212">
        <f>SUMIF(Oct!$CB$1:$CB$210,$B457,Oct!$CA$1:$CA$210)</f>
        <v>0</v>
      </c>
      <c r="M457" s="1212">
        <f>SUMIF(Nov!$CB$1:$CB$209,$B457,Nov!$CA$1:$CA$209)</f>
        <v>0</v>
      </c>
      <c r="N457" s="1210">
        <f>SUMIF(Dec!$CB$1:$CB$218,$B457,Dec!$CA$1:$CA$218)</f>
        <v>0</v>
      </c>
      <c r="O457" s="1206">
        <f>SUM(C457:N457)/12</f>
        <v>0</v>
      </c>
      <c r="P457" s="1207">
        <f>O457/M!$Q$14</f>
        <v>0</v>
      </c>
      <c r="Q457" s="1235"/>
      <c r="R457" s="1235"/>
      <c r="S457" s="1235"/>
      <c r="T457" s="1235"/>
      <c r="U457" s="1235"/>
      <c r="V457" s="1235"/>
      <c r="W457" s="1235"/>
    </row>
    <row r="458" spans="1:23">
      <c r="A458" s="2242" t="s">
        <v>668</v>
      </c>
      <c r="B458" s="2243"/>
      <c r="C458" s="2246">
        <f>SUM(C460:C463)</f>
        <v>363.16666666666669</v>
      </c>
      <c r="D458" s="2246">
        <f t="shared" ref="D458:N458" si="124">SUM(D460:D463)</f>
        <v>313.16666666666669</v>
      </c>
      <c r="E458" s="2246">
        <f t="shared" si="124"/>
        <v>313.16666666666669</v>
      </c>
      <c r="F458" s="2246">
        <f t="shared" si="124"/>
        <v>411.16666666666669</v>
      </c>
      <c r="G458" s="2246">
        <f t="shared" si="124"/>
        <v>313.16666666666669</v>
      </c>
      <c r="H458" s="2246">
        <f t="shared" si="124"/>
        <v>2360.1666666666665</v>
      </c>
      <c r="I458" s="2246">
        <f t="shared" si="124"/>
        <v>313.16666666666669</v>
      </c>
      <c r="J458" s="2246">
        <f t="shared" si="124"/>
        <v>313.16666666666669</v>
      </c>
      <c r="K458" s="2246">
        <f t="shared" si="124"/>
        <v>1355.1666666666667</v>
      </c>
      <c r="L458" s="2246">
        <f t="shared" si="124"/>
        <v>313.16666666666669</v>
      </c>
      <c r="M458" s="2246">
        <f t="shared" si="124"/>
        <v>343.16666666666669</v>
      </c>
      <c r="N458" s="2246">
        <f t="shared" si="124"/>
        <v>433.16666666666669</v>
      </c>
      <c r="O458" s="2246">
        <f>SUM(O460:O468)</f>
        <v>322.91666666666663</v>
      </c>
      <c r="P458" s="2248">
        <f>O458/M!$Q$14</f>
        <v>2.8957132235079602E-2</v>
      </c>
      <c r="Q458" s="1235"/>
      <c r="R458" s="1235"/>
      <c r="S458" s="1235"/>
      <c r="T458" s="1235"/>
      <c r="U458" s="1235"/>
      <c r="V458" s="1235"/>
      <c r="W458" s="1235"/>
    </row>
    <row r="459" spans="1:23">
      <c r="A459" s="2244"/>
      <c r="B459" s="2245"/>
      <c r="C459" s="2247"/>
      <c r="D459" s="2247"/>
      <c r="E459" s="2247"/>
      <c r="F459" s="2247"/>
      <c r="G459" s="2247"/>
      <c r="H459" s="2247"/>
      <c r="I459" s="2247"/>
      <c r="J459" s="2247"/>
      <c r="K459" s="2247"/>
      <c r="L459" s="2247"/>
      <c r="M459" s="2247"/>
      <c r="N459" s="2247"/>
      <c r="O459" s="2247"/>
      <c r="P459" s="2249"/>
      <c r="Q459" s="1235"/>
      <c r="R459" s="1235"/>
      <c r="S459" s="1235"/>
      <c r="T459" s="1235"/>
      <c r="U459" s="1235"/>
      <c r="V459" s="1235"/>
      <c r="W459" s="1235"/>
    </row>
    <row r="460" spans="1:23">
      <c r="A460" s="1214"/>
      <c r="B460" s="1204" t="s">
        <v>432</v>
      </c>
      <c r="C460" s="1215">
        <f>(FinSnapshot!$Q$94+FinSnapshot!$Q$102)/12</f>
        <v>78.166666666666671</v>
      </c>
      <c r="D460" s="1215">
        <f>(FinSnapshot!$Q$94+FinSnapshot!$Q$102)/12</f>
        <v>78.166666666666671</v>
      </c>
      <c r="E460" s="1215">
        <f>(FinSnapshot!$Q$94+FinSnapshot!$Q$102)/12</f>
        <v>78.166666666666671</v>
      </c>
      <c r="F460" s="1215">
        <f>(FinSnapshot!$Q$94+FinSnapshot!$Q$102)/12</f>
        <v>78.166666666666671</v>
      </c>
      <c r="G460" s="1215">
        <f>(FinSnapshot!$Q$94+FinSnapshot!$Q$102)/12</f>
        <v>78.166666666666671</v>
      </c>
      <c r="H460" s="1215">
        <f>(FinSnapshot!$Q$94+FinSnapshot!$Q$102)/12</f>
        <v>78.166666666666671</v>
      </c>
      <c r="I460" s="1215">
        <f>(FinSnapshot!$Q$94+FinSnapshot!$Q$102)/12</f>
        <v>78.166666666666671</v>
      </c>
      <c r="J460" s="1215">
        <f>(FinSnapshot!$Q$94+FinSnapshot!$Q$102)/12</f>
        <v>78.166666666666671</v>
      </c>
      <c r="K460" s="1215">
        <f>(FinSnapshot!$Q$94+FinSnapshot!$Q$102)/12</f>
        <v>78.166666666666671</v>
      </c>
      <c r="L460" s="1215">
        <f>(FinSnapshot!$Q$94+FinSnapshot!$Q$102)/12</f>
        <v>78.166666666666671</v>
      </c>
      <c r="M460" s="1215">
        <f>(FinSnapshot!$Q$94+FinSnapshot!$Q$102)/12</f>
        <v>78.166666666666671</v>
      </c>
      <c r="N460" s="1215">
        <f>(FinSnapshot!$Q$94+FinSnapshot!$Q$102)/12</f>
        <v>78.166666666666671</v>
      </c>
      <c r="O460" s="1216"/>
      <c r="P460" s="1217"/>
      <c r="Q460" s="1235"/>
      <c r="R460" s="1235"/>
      <c r="S460" s="1235"/>
      <c r="T460" s="1235"/>
      <c r="U460" s="1235"/>
      <c r="V460" s="1235"/>
      <c r="W460" s="1235"/>
    </row>
    <row r="461" spans="1:23">
      <c r="A461" s="1214"/>
      <c r="B461" s="1204" t="s">
        <v>284</v>
      </c>
      <c r="C461" s="1210">
        <f>SUMIF(Jan!$CB$1:$CB$173,$B461,Jan!$CA$1:$CA$173)</f>
        <v>0</v>
      </c>
      <c r="D461" s="1210">
        <f>SUMIF(Feb!$CB$1:$CB$173,$B461,Feb!$CA$1:$CA$173)</f>
        <v>0</v>
      </c>
      <c r="E461" s="1210">
        <f>SUMIF(Mar!$CB$1:$CB$181,$B461,Mar!$CA$1:$CA$181)</f>
        <v>0</v>
      </c>
      <c r="F461" s="1210">
        <f>SUMIF(Apr!$CB$1:$CB$182,$B461,Apr!$CA$1:$CA$182)</f>
        <v>0</v>
      </c>
      <c r="G461" s="1210">
        <f>SUMIF(May!$CB$1:$CB$185,$B461,May!$CA$1:$CA$185)</f>
        <v>0</v>
      </c>
      <c r="H461" s="1210">
        <f>SUMIF(Jun!$BX$1:$BX$195,$B461,Jun!$BW$1:$BW$195)</f>
        <v>2007</v>
      </c>
      <c r="I461" s="1210">
        <f>SUMIF(Jul!$CB$1:$CB$187,$B461,Jul!$CA$1:$CA$187)</f>
        <v>0</v>
      </c>
      <c r="J461" s="1210">
        <f>SUMIF(Aug!$CB$1:$CB$214,$B461,Aug!$CA$1:$CA$214)</f>
        <v>0</v>
      </c>
      <c r="K461" s="1210">
        <f>SUMIF(Sep!$CB$1:$CB$211,$B461,Sep!$CA$1:$CA$211)</f>
        <v>1042</v>
      </c>
      <c r="L461" s="1212">
        <f>SUMIF(Oct!$CB$1:$CB$210,$B461,Oct!$CA$1:$CA$210)</f>
        <v>0</v>
      </c>
      <c r="M461" s="1212">
        <f>SUMIF(Nov!$CB$1:$CB$209,$B461,Nov!$CA$1:$CA$209)</f>
        <v>0</v>
      </c>
      <c r="N461" s="1210">
        <f>SUMIF(Dec!$CB$1:$CB$218,$B461,Dec!$CA$1:$CA$218)</f>
        <v>0</v>
      </c>
      <c r="O461" s="1206">
        <f>SUM(C461:N461)/12</f>
        <v>254.08333333333334</v>
      </c>
      <c r="P461" s="1207">
        <f>O461/M!$Q$14</f>
        <v>2.2784592563808444E-2</v>
      </c>
      <c r="Q461" s="1235"/>
      <c r="R461" s="1235"/>
      <c r="S461" s="1235"/>
      <c r="T461" s="1235"/>
      <c r="U461" s="1235"/>
      <c r="V461" s="1235"/>
      <c r="W461" s="1235"/>
    </row>
    <row r="462" spans="1:23">
      <c r="A462" s="1214"/>
      <c r="B462" s="1204" t="s">
        <v>433</v>
      </c>
      <c r="C462" s="1205">
        <v>50</v>
      </c>
      <c r="D462" s="1205">
        <v>0</v>
      </c>
      <c r="E462" s="1205">
        <v>0</v>
      </c>
      <c r="F462" s="1205">
        <v>98</v>
      </c>
      <c r="G462" s="1205">
        <v>0</v>
      </c>
      <c r="H462" s="1205">
        <v>40</v>
      </c>
      <c r="I462" s="1209">
        <v>0</v>
      </c>
      <c r="J462" s="1209">
        <v>0</v>
      </c>
      <c r="K462" s="1205">
        <v>0</v>
      </c>
      <c r="L462" s="1211">
        <v>0</v>
      </c>
      <c r="M462" s="1211">
        <v>30</v>
      </c>
      <c r="N462" s="1211">
        <v>120</v>
      </c>
      <c r="O462" s="1206">
        <f>SUM(C462:N462)/12</f>
        <v>28.166666666666668</v>
      </c>
      <c r="P462" s="1207">
        <f>O462/M!$Q$14</f>
        <v>2.5258092117308147E-3</v>
      </c>
      <c r="Q462" s="1235"/>
      <c r="R462" s="1235"/>
      <c r="S462" s="1235"/>
      <c r="T462" s="1235"/>
      <c r="U462" s="1235"/>
      <c r="V462" s="1235"/>
      <c r="W462" s="1235"/>
    </row>
    <row r="463" spans="1:23">
      <c r="A463" s="1214"/>
      <c r="B463" s="1204" t="s">
        <v>434</v>
      </c>
      <c r="C463" s="1215">
        <f>ROUNDUP((((382+2430))/12),0)</f>
        <v>235</v>
      </c>
      <c r="D463" s="1215">
        <f t="shared" ref="D463:N463" si="125">ROUNDUP((((382+2430))/12),0)</f>
        <v>235</v>
      </c>
      <c r="E463" s="1215">
        <f t="shared" si="125"/>
        <v>235</v>
      </c>
      <c r="F463" s="1215">
        <f t="shared" si="125"/>
        <v>235</v>
      </c>
      <c r="G463" s="1215">
        <f t="shared" si="125"/>
        <v>235</v>
      </c>
      <c r="H463" s="1215">
        <f t="shared" si="125"/>
        <v>235</v>
      </c>
      <c r="I463" s="1215">
        <f t="shared" si="125"/>
        <v>235</v>
      </c>
      <c r="J463" s="1215">
        <f t="shared" si="125"/>
        <v>235</v>
      </c>
      <c r="K463" s="1215">
        <f t="shared" si="125"/>
        <v>235</v>
      </c>
      <c r="L463" s="1215">
        <f t="shared" si="125"/>
        <v>235</v>
      </c>
      <c r="M463" s="1215">
        <f t="shared" si="125"/>
        <v>235</v>
      </c>
      <c r="N463" s="1215">
        <f t="shared" si="125"/>
        <v>235</v>
      </c>
      <c r="O463" s="1216"/>
      <c r="P463" s="1217"/>
      <c r="Q463" s="1235"/>
      <c r="R463" s="1235"/>
      <c r="S463" s="1235"/>
      <c r="T463" s="1235"/>
      <c r="U463" s="1235"/>
      <c r="V463" s="1235"/>
      <c r="W463" s="1235"/>
    </row>
    <row r="464" spans="1:23">
      <c r="A464" s="2242" t="s">
        <v>435</v>
      </c>
      <c r="B464" s="2243"/>
      <c r="C464" s="2246">
        <f>SUM(C466:C468)</f>
        <v>0</v>
      </c>
      <c r="D464" s="2246">
        <f t="shared" ref="D464:O464" si="126">SUM(D466:D468)</f>
        <v>0</v>
      </c>
      <c r="E464" s="2246">
        <f t="shared" si="126"/>
        <v>0</v>
      </c>
      <c r="F464" s="2246">
        <f t="shared" si="126"/>
        <v>120</v>
      </c>
      <c r="G464" s="2246">
        <f t="shared" si="126"/>
        <v>0</v>
      </c>
      <c r="H464" s="2246">
        <f t="shared" si="126"/>
        <v>0</v>
      </c>
      <c r="I464" s="2246">
        <f t="shared" si="126"/>
        <v>0</v>
      </c>
      <c r="J464" s="2246">
        <f t="shared" si="126"/>
        <v>0</v>
      </c>
      <c r="K464" s="2246">
        <f t="shared" si="126"/>
        <v>0</v>
      </c>
      <c r="L464" s="2246">
        <f t="shared" si="126"/>
        <v>65</v>
      </c>
      <c r="M464" s="2246">
        <f t="shared" si="126"/>
        <v>10</v>
      </c>
      <c r="N464" s="2246">
        <f t="shared" si="126"/>
        <v>49</v>
      </c>
      <c r="O464" s="2246">
        <f t="shared" si="126"/>
        <v>20.333333333333332</v>
      </c>
      <c r="P464" s="2248">
        <f>O464/M!$Q$14</f>
        <v>1.8233652297701738E-3</v>
      </c>
      <c r="Q464" s="1235"/>
      <c r="R464" s="1235"/>
      <c r="S464" s="1235"/>
      <c r="T464" s="1235"/>
      <c r="U464" s="1235"/>
      <c r="V464" s="1235"/>
      <c r="W464" s="1235"/>
    </row>
    <row r="465" spans="1:23">
      <c r="A465" s="2244"/>
      <c r="B465" s="2245"/>
      <c r="C465" s="2247"/>
      <c r="D465" s="2247"/>
      <c r="E465" s="2247"/>
      <c r="F465" s="2247"/>
      <c r="G465" s="2247"/>
      <c r="H465" s="2247"/>
      <c r="I465" s="2247"/>
      <c r="J465" s="2247"/>
      <c r="K465" s="2247"/>
      <c r="L465" s="2247"/>
      <c r="M465" s="2247"/>
      <c r="N465" s="2247"/>
      <c r="O465" s="2247"/>
      <c r="P465" s="2249"/>
      <c r="Q465" s="1235"/>
      <c r="R465" s="1235"/>
      <c r="S465" s="1235"/>
      <c r="T465" s="1235"/>
      <c r="U465" s="1235"/>
      <c r="V465" s="1235"/>
      <c r="W465" s="1235"/>
    </row>
    <row r="466" spans="1:23">
      <c r="A466" s="1214"/>
      <c r="B466" s="1204" t="s">
        <v>405</v>
      </c>
      <c r="C466" s="1210">
        <f>SUMIF(Jan!$CB$1:$CB$173,$B466,Jan!$CA$1:$CA$173)</f>
        <v>0</v>
      </c>
      <c r="D466" s="1210">
        <f>SUMIF(Feb!$CB$1:$CB$173,$B466,Feb!$CA$1:$CA$173)</f>
        <v>0</v>
      </c>
      <c r="E466" s="1210">
        <f>SUMIF(Mar!$CB$1:$CB$181,$B466,Mar!$CA$1:$CA$181)</f>
        <v>0</v>
      </c>
      <c r="F466" s="1210">
        <f>SUMIF(Apr!$CB$1:$CB$182,$B466,Apr!$CA$1:$CA$182)</f>
        <v>0</v>
      </c>
      <c r="G466" s="1210">
        <f>SUMIF(May!$CB$1:$CB$185,$B466,May!$CA$1:$CA$185)</f>
        <v>0</v>
      </c>
      <c r="H466" s="1210">
        <f>SUMIF(Jun!$BX$1:$BX$195,$B466,Jun!$BW$1:$BW$195)</f>
        <v>0</v>
      </c>
      <c r="I466" s="1210">
        <f>SUMIF(Jul!$CB$1:$CB$187,$B466,Jul!$CA$1:$CA$187)</f>
        <v>0</v>
      </c>
      <c r="J466" s="1210">
        <f>SUMIF(Aug!$CB$1:$CB$214,$B466,Aug!$CA$1:$CA$214)</f>
        <v>0</v>
      </c>
      <c r="K466" s="1210">
        <f>SUMIF(Sep!$BX$1:$BX$200,$B466,Sep!$BW$1:$BW$200)</f>
        <v>0</v>
      </c>
      <c r="L466" s="1212">
        <f>SUMIF(Oct!$CB$1:$CB$210,$B466,Oct!$CA$1:$CA$210)</f>
        <v>0</v>
      </c>
      <c r="M466" s="1212">
        <f>SUMIF(Nov!$CB$1:$CB$209,$B466,Nov!$CA$1:$CA$209)</f>
        <v>0</v>
      </c>
      <c r="N466" s="1210">
        <f>SUMIF(Dec!$CB$1:$CB$218,$B466,Dec!$CA$1:$CA$218)</f>
        <v>0</v>
      </c>
      <c r="O466" s="1206">
        <f>SUM(C466:N466)/12</f>
        <v>0</v>
      </c>
      <c r="P466" s="1207">
        <f>O466/M!$Q$14</f>
        <v>0</v>
      </c>
      <c r="Q466" s="1235"/>
      <c r="R466" s="1235"/>
      <c r="S466" s="1235"/>
      <c r="T466" s="1235"/>
      <c r="U466" s="1235"/>
      <c r="V466" s="1235"/>
      <c r="W466" s="1235"/>
    </row>
    <row r="467" spans="1:23">
      <c r="A467" s="1214"/>
      <c r="B467" s="1204" t="s">
        <v>436</v>
      </c>
      <c r="C467" s="1210">
        <f>SUMIF(Jan!$CB$1:$CB$173,$B467,Jan!$CA$1:$CA$173)</f>
        <v>0</v>
      </c>
      <c r="D467" s="1210">
        <f>SUMIF(Feb!$CB$1:$CB$173,$B467,Feb!$CA$1:$CA$173)</f>
        <v>0</v>
      </c>
      <c r="E467" s="1210">
        <f>SUMIF(Mar!$CB$1:$CB$181,$B467,Mar!$CA$1:$CA$181)</f>
        <v>0</v>
      </c>
      <c r="F467" s="1210">
        <f>SUMIF(Apr!$CB$1:$CB$182,$B467,Apr!$CA$1:$CA$182)</f>
        <v>120</v>
      </c>
      <c r="G467" s="1210">
        <f>SUMIF(May!$CB$1:$CB$185,$B467,May!$CA$1:$CA$185)</f>
        <v>0</v>
      </c>
      <c r="H467" s="1210">
        <f>SUMIF(Jun!$BX$1:$BX$195,$B467,Jun!$BW$1:$BW$195)</f>
        <v>0</v>
      </c>
      <c r="I467" s="1210">
        <f>SUMIF(Jul!$CB$1:$CB$187,$B467,Jul!$CA$1:$CA$187)</f>
        <v>0</v>
      </c>
      <c r="J467" s="1210">
        <f>SUMIF(Aug!$CB$1:$CB$214,$B467,Aug!$CA$1:$CA$214)</f>
        <v>0</v>
      </c>
      <c r="K467" s="1210">
        <f>SUMIF(Sep!$BX$1:$BX$200,$B467,Sep!$BW$1:$BW$200)</f>
        <v>0</v>
      </c>
      <c r="L467" s="1212">
        <f>SUMIF(Oct!$CB$1:$CB$210,$B467,Oct!$CA$1:$CA$210)</f>
        <v>65</v>
      </c>
      <c r="M467" s="1212">
        <f>SUMIF(Nov!$CB$1:$CB$209,$B467,Nov!$CA$1:$CA$209)</f>
        <v>10</v>
      </c>
      <c r="N467" s="1210">
        <f>SUMIF(Dec!$CB$1:$CB$218,$B467,Dec!$CA$1:$CA$218)</f>
        <v>49</v>
      </c>
      <c r="O467" s="1206">
        <f>SUM(C467:N467)/12</f>
        <v>20.333333333333332</v>
      </c>
      <c r="P467" s="1207">
        <f>O467/M!$Q$14</f>
        <v>1.8233652297701738E-3</v>
      </c>
      <c r="Q467" s="1235"/>
      <c r="R467" s="1235"/>
      <c r="S467" s="1235"/>
      <c r="T467" s="1235"/>
      <c r="U467" s="1235"/>
      <c r="V467" s="1235"/>
      <c r="W467" s="1235"/>
    </row>
    <row r="468" spans="1:23">
      <c r="A468" s="1214"/>
      <c r="B468" s="1204" t="s">
        <v>130</v>
      </c>
      <c r="C468" s="1210">
        <f>SUMIF(Jan!$CB$1:$CB$173,$B468,Jan!$CA$1:$CA$173)</f>
        <v>0</v>
      </c>
      <c r="D468" s="1210">
        <f>SUMIF(Feb!$CB$1:$CB$173,$B468,Feb!$CA$1:$CA$173)</f>
        <v>0</v>
      </c>
      <c r="E468" s="1210">
        <f>SUMIF(Mar!$CB$1:$CB$181,$B468,Mar!$CA$1:$CA$181)</f>
        <v>0</v>
      </c>
      <c r="F468" s="1210">
        <f>SUMIF(Apr!$CB$1:$CB$182,$B468,Apr!$CA$1:$CA$182)</f>
        <v>0</v>
      </c>
      <c r="G468" s="1210">
        <f>SUMIF(May!$CB$1:$CB$185,$B468,May!$CA$1:$CA$185)</f>
        <v>0</v>
      </c>
      <c r="H468" s="1210">
        <f>SUMIF(Jun!$BX$1:$BX$195,$B468,Jun!$BW$1:$BW$195)</f>
        <v>0</v>
      </c>
      <c r="I468" s="1210">
        <f>SUMIF(Jul!$CB$1:$CB$187,$B468,Jul!$CA$1:$CA$187)</f>
        <v>0</v>
      </c>
      <c r="J468" s="1210">
        <f>SUMIF(Aug!$CB$1:$CB$214,$B468,Aug!$CA$1:$CA$214)</f>
        <v>0</v>
      </c>
      <c r="K468" s="1210">
        <f>SUMIF(Sep!$BX$1:$BX$200,$B468,Sep!$BW$1:$BW$200)</f>
        <v>0</v>
      </c>
      <c r="L468" s="1212">
        <f>SUMIF(Oct!$CB$1:$CB$210,$B468,Oct!$CA$1:$CA$210)</f>
        <v>0</v>
      </c>
      <c r="M468" s="1212">
        <f>SUMIF(Nov!$CB$1:$CB$209,$B468,Nov!$CA$1:$CA$209)</f>
        <v>0</v>
      </c>
      <c r="N468" s="1210">
        <f>SUMIF(Dec!$CB$1:$CB$218,$B468,Dec!$CA$1:$CA$218)</f>
        <v>0</v>
      </c>
      <c r="O468" s="1206">
        <f>SUM(C468:N468)/12</f>
        <v>0</v>
      </c>
      <c r="P468" s="1207">
        <f>O468/M!$Q$14</f>
        <v>0</v>
      </c>
      <c r="Q468" s="1235"/>
      <c r="R468" s="1235"/>
      <c r="S468" s="1235"/>
      <c r="T468" s="1235"/>
      <c r="U468" s="1235"/>
      <c r="V468" s="1235"/>
      <c r="W468" s="1235"/>
    </row>
    <row r="469" spans="1:23">
      <c r="A469" s="2242" t="s">
        <v>286</v>
      </c>
      <c r="B469" s="2243"/>
      <c r="C469" s="2246">
        <f t="shared" ref="C469:N469" si="127">SUM(C471:C472)</f>
        <v>0</v>
      </c>
      <c r="D469" s="2246">
        <f t="shared" si="127"/>
        <v>0</v>
      </c>
      <c r="E469" s="2246">
        <f t="shared" si="127"/>
        <v>0</v>
      </c>
      <c r="F469" s="2246">
        <f t="shared" si="127"/>
        <v>0</v>
      </c>
      <c r="G469" s="2246">
        <f t="shared" si="127"/>
        <v>0</v>
      </c>
      <c r="H469" s="2246">
        <f t="shared" si="127"/>
        <v>0</v>
      </c>
      <c r="I469" s="2246">
        <f t="shared" si="127"/>
        <v>0</v>
      </c>
      <c r="J469" s="2246">
        <f t="shared" si="127"/>
        <v>0</v>
      </c>
      <c r="K469" s="2246">
        <f t="shared" si="127"/>
        <v>0</v>
      </c>
      <c r="L469" s="2246">
        <f t="shared" si="127"/>
        <v>3000</v>
      </c>
      <c r="M469" s="2246">
        <f t="shared" si="127"/>
        <v>0</v>
      </c>
      <c r="N469" s="2246">
        <f t="shared" si="127"/>
        <v>0</v>
      </c>
      <c r="O469" s="2246">
        <f>SUM(O471:O472)</f>
        <v>250</v>
      </c>
      <c r="P469" s="2248">
        <f>O469/M!$Q$14</f>
        <v>2.2418424956190664E-2</v>
      </c>
      <c r="Q469" s="1235"/>
      <c r="R469" s="1235"/>
      <c r="S469" s="1235"/>
      <c r="T469" s="1235"/>
      <c r="U469" s="1235"/>
      <c r="V469" s="1235"/>
      <c r="W469" s="1235"/>
    </row>
    <row r="470" spans="1:23">
      <c r="A470" s="2244"/>
      <c r="B470" s="2245"/>
      <c r="C470" s="2247"/>
      <c r="D470" s="2247"/>
      <c r="E470" s="2247"/>
      <c r="F470" s="2247"/>
      <c r="G470" s="2247"/>
      <c r="H470" s="2247"/>
      <c r="I470" s="2247"/>
      <c r="J470" s="2247"/>
      <c r="K470" s="2247"/>
      <c r="L470" s="2247"/>
      <c r="M470" s="2247"/>
      <c r="N470" s="2247"/>
      <c r="O470" s="2247"/>
      <c r="P470" s="2249"/>
      <c r="Q470" s="1235"/>
      <c r="R470" s="1235"/>
      <c r="S470" s="1235"/>
      <c r="T470" s="1235"/>
      <c r="U470" s="1235"/>
      <c r="V470" s="1235"/>
      <c r="W470" s="1235"/>
    </row>
    <row r="471" spans="1:23">
      <c r="A471" s="2250"/>
      <c r="B471" s="1204" t="s">
        <v>82</v>
      </c>
      <c r="C471" s="1205">
        <v>0</v>
      </c>
      <c r="D471" s="1205">
        <v>0</v>
      </c>
      <c r="E471" s="1205">
        <v>0</v>
      </c>
      <c r="F471" s="1205">
        <v>0</v>
      </c>
      <c r="G471" s="1205">
        <v>0</v>
      </c>
      <c r="H471" s="1205">
        <v>0</v>
      </c>
      <c r="I471" s="1209">
        <v>0</v>
      </c>
      <c r="J471" s="1209">
        <v>0</v>
      </c>
      <c r="K471" s="1209">
        <v>0</v>
      </c>
      <c r="L471" s="1209">
        <v>3000</v>
      </c>
      <c r="M471" s="1209">
        <v>0</v>
      </c>
      <c r="N471" s="1209">
        <v>0</v>
      </c>
      <c r="O471" s="1206">
        <f>SUM(C471:N471)/12</f>
        <v>250</v>
      </c>
      <c r="P471" s="1207">
        <f>O471/M!$Q$14</f>
        <v>2.2418424956190664E-2</v>
      </c>
      <c r="Q471" s="1235"/>
      <c r="R471" s="1235"/>
      <c r="S471" s="1235"/>
      <c r="T471" s="1235"/>
      <c r="U471" s="1235"/>
      <c r="V471" s="1235"/>
      <c r="W471" s="1235"/>
    </row>
    <row r="472" spans="1:23">
      <c r="A472" s="2252"/>
      <c r="B472" s="1204" t="s">
        <v>83</v>
      </c>
      <c r="C472" s="1205">
        <v>0</v>
      </c>
      <c r="D472" s="1205">
        <v>0</v>
      </c>
      <c r="E472" s="1205">
        <v>0</v>
      </c>
      <c r="F472" s="1205">
        <v>0</v>
      </c>
      <c r="G472" s="1205">
        <v>0</v>
      </c>
      <c r="H472" s="1205">
        <v>0</v>
      </c>
      <c r="I472" s="1209">
        <v>0</v>
      </c>
      <c r="J472" s="1209">
        <v>0</v>
      </c>
      <c r="K472" s="1209">
        <v>0</v>
      </c>
      <c r="L472" s="1209">
        <v>0</v>
      </c>
      <c r="M472" s="1209">
        <v>0</v>
      </c>
      <c r="N472" s="1209">
        <v>0</v>
      </c>
      <c r="O472" s="1206">
        <f>SUM(C472:N472)/12</f>
        <v>0</v>
      </c>
      <c r="P472" s="1207">
        <f>O472/M!$Q$14</f>
        <v>0</v>
      </c>
      <c r="Q472" s="1235"/>
      <c r="R472" s="1235"/>
      <c r="S472" s="1235"/>
      <c r="T472" s="1235"/>
      <c r="U472" s="1235"/>
      <c r="V472" s="1235"/>
      <c r="W472" s="1235"/>
    </row>
    <row r="473" spans="1:23">
      <c r="A473" s="1218" t="s">
        <v>437</v>
      </c>
      <c r="B473" s="1219"/>
      <c r="C473" s="1220">
        <f ca="1">C403+C417+C425+C431+C445+C435+ C454+C469+C458</f>
        <v>19249.966770136241</v>
      </c>
      <c r="D473" s="1220">
        <f ca="1">D403+D417+D425+D431+D445+D435+ D454+D469+D458</f>
        <v>17398.966770136245</v>
      </c>
      <c r="E473" s="1220">
        <f t="shared" ref="E473:M473" ca="1" si="128">E403+E417+E425+E431+E445+E435+ E454+E469+E458</f>
        <v>20023.966770136241</v>
      </c>
      <c r="F473" s="1220">
        <f t="shared" ca="1" si="128"/>
        <v>18280.966770136245</v>
      </c>
      <c r="G473" s="1220">
        <f t="shared" ca="1" si="128"/>
        <v>18692.966770136245</v>
      </c>
      <c r="H473" s="1220">
        <f t="shared" ca="1" si="128"/>
        <v>20225.966770136245</v>
      </c>
      <c r="I473" s="1220">
        <f t="shared" ca="1" si="128"/>
        <v>19035.966770136241</v>
      </c>
      <c r="J473" s="1220">
        <f t="shared" ca="1" si="128"/>
        <v>18994.058130119625</v>
      </c>
      <c r="K473" s="1220">
        <f t="shared" ca="1" si="128"/>
        <v>21111.871514897372</v>
      </c>
      <c r="L473" s="1220">
        <f t="shared" ca="1" si="128"/>
        <v>23184.851524782287</v>
      </c>
      <c r="M473" s="1220">
        <f t="shared" ca="1" si="128"/>
        <v>18051.831493021135</v>
      </c>
      <c r="N473" s="1220">
        <f ca="1">N403+N417+N425+N431+N445+N435+ N454+N469+N458+N464</f>
        <v>21800.811419527141</v>
      </c>
      <c r="O473" s="1220">
        <f ca="1">SUM(C473:N473)/12</f>
        <v>19671.015956108437</v>
      </c>
      <c r="P473" s="1221">
        <f ca="1">O473/M!$Q$14</f>
        <v>1.7639727800961844</v>
      </c>
      <c r="Q473" s="1235"/>
      <c r="R473" s="1235"/>
      <c r="S473" s="1235"/>
      <c r="T473" s="1235"/>
      <c r="U473" s="1235"/>
      <c r="V473" s="1235"/>
      <c r="W473" s="1235"/>
    </row>
    <row r="474" spans="1:23">
      <c r="A474" s="1222" t="s">
        <v>658</v>
      </c>
      <c r="B474" s="1223"/>
      <c r="C474" s="1224">
        <f ca="1">C473/M!$Q$14</f>
        <v>1.7262157417818531</v>
      </c>
      <c r="D474" s="1224">
        <f ca="1">D473/M!$Q$14</f>
        <v>1.5602297234062177</v>
      </c>
      <c r="E474" s="1224">
        <f ca="1">E473/M!$Q$14</f>
        <v>1.7956231854462195</v>
      </c>
      <c r="F474" s="1224">
        <f ca="1">F473/M!$Q$14</f>
        <v>1.6393219266516583</v>
      </c>
      <c r="G474" s="1224">
        <f ca="1">G473/M!$Q$14</f>
        <v>1.6762674909794606</v>
      </c>
      <c r="H474" s="1224">
        <f ca="1">H473/M!$Q$14</f>
        <v>1.8137372728108219</v>
      </c>
      <c r="I474" s="1224">
        <f ca="1">I473/M!$Q$14</f>
        <v>1.707025570019354</v>
      </c>
      <c r="J474" s="1224">
        <f ca="1">J473/M!$Q$14</f>
        <v>1.7032674672144399</v>
      </c>
      <c r="K474" s="1224">
        <f ca="1">K473/M!$Q$14</f>
        <v>1.893179628965864</v>
      </c>
      <c r="L474" s="1224">
        <f ca="1">L473/M!$Q$14</f>
        <v>2.0790714161150174</v>
      </c>
      <c r="M474" s="1224">
        <f ca="1">M473/M!$Q$14</f>
        <v>1.6187745185923741</v>
      </c>
      <c r="N474" s="1224">
        <f ca="1">N473/M!$Q$14</f>
        <v>1.9549594191709345</v>
      </c>
      <c r="O474" s="1224">
        <f ca="1">O473/M!$Q$14</f>
        <v>1.7639727800961844</v>
      </c>
      <c r="P474" s="1225"/>
      <c r="Q474" s="1235"/>
      <c r="R474" s="1235"/>
      <c r="S474" s="1235"/>
      <c r="T474" s="1235"/>
      <c r="U474" s="1235"/>
      <c r="V474" s="1235"/>
      <c r="W474" s="1235"/>
    </row>
    <row r="475" spans="1:23">
      <c r="A475" s="1235"/>
      <c r="B475" s="1235"/>
      <c r="C475" s="1235"/>
      <c r="D475" s="1235"/>
      <c r="E475" s="1235"/>
      <c r="F475" s="1235"/>
      <c r="G475" s="1235"/>
      <c r="H475" s="1235"/>
      <c r="I475" s="1235"/>
      <c r="J475" s="1235"/>
      <c r="K475" s="1235"/>
      <c r="L475" s="1235"/>
      <c r="M475" s="1235"/>
      <c r="N475" s="1235"/>
      <c r="O475" s="1235"/>
      <c r="P475" s="1235"/>
      <c r="Q475" s="1235"/>
      <c r="R475" s="1235"/>
      <c r="S475" s="1235"/>
      <c r="T475" s="1235"/>
      <c r="U475" s="1235"/>
      <c r="V475" s="1235"/>
      <c r="W475" s="1235"/>
    </row>
    <row r="476" spans="1:23">
      <c r="A476" s="1235"/>
      <c r="B476" s="1235"/>
      <c r="C476" s="1241"/>
      <c r="D476" s="1235"/>
      <c r="E476" s="1235"/>
      <c r="F476" s="1235"/>
      <c r="G476" s="1235"/>
      <c r="H476" s="1235"/>
      <c r="I476" s="1235"/>
      <c r="J476" s="1235"/>
      <c r="K476" s="1235"/>
      <c r="L476" s="1235"/>
      <c r="M476" s="1235"/>
      <c r="N476" s="1235"/>
      <c r="O476" s="1235"/>
      <c r="P476" s="1235"/>
      <c r="Q476" s="1235"/>
      <c r="R476" s="1235"/>
      <c r="S476" s="1235"/>
      <c r="T476" s="1235"/>
      <c r="U476" s="1235"/>
      <c r="V476" s="1235"/>
      <c r="W476" s="1235"/>
    </row>
    <row r="477" spans="1:23">
      <c r="A477" s="1235"/>
      <c r="B477" s="1235"/>
      <c r="C477" s="1235"/>
      <c r="D477" s="1235"/>
      <c r="E477" s="1235"/>
      <c r="F477" s="1235"/>
      <c r="G477" s="1235"/>
      <c r="H477" s="1235"/>
      <c r="I477" s="1235"/>
      <c r="J477" s="1235"/>
      <c r="K477" s="1235"/>
      <c r="L477" s="1235"/>
      <c r="M477" s="1235"/>
      <c r="N477" s="1235"/>
      <c r="O477" s="1235"/>
      <c r="P477" s="1235"/>
      <c r="Q477" s="1235"/>
      <c r="R477" s="1235"/>
      <c r="S477" s="1235"/>
      <c r="T477" s="1235"/>
      <c r="U477" s="1235"/>
      <c r="V477" s="1235"/>
      <c r="W477" s="1235"/>
    </row>
    <row r="478" spans="1:23">
      <c r="A478" s="2220">
        <v>2020</v>
      </c>
      <c r="B478" s="2221"/>
      <c r="C478" s="2221"/>
      <c r="D478" s="2221"/>
      <c r="E478" s="2221"/>
      <c r="F478" s="2221"/>
      <c r="G478" s="2221"/>
      <c r="H478" s="2221"/>
      <c r="I478" s="2221"/>
      <c r="J478" s="2221"/>
      <c r="K478" s="2221"/>
      <c r="L478" s="2221"/>
      <c r="M478" s="2221"/>
      <c r="N478" s="2221"/>
      <c r="O478" s="2221"/>
      <c r="P478" s="2222"/>
      <c r="Q478" s="1235"/>
      <c r="R478" s="1235"/>
      <c r="S478" s="1235"/>
      <c r="T478" s="1235"/>
      <c r="U478" s="1235"/>
      <c r="V478" s="1235"/>
      <c r="W478" s="1235"/>
    </row>
    <row r="479" spans="1:23">
      <c r="A479" s="1171" t="s">
        <v>388</v>
      </c>
      <c r="B479" s="1172"/>
      <c r="C479" s="1173" t="s">
        <v>309</v>
      </c>
      <c r="D479" s="1173" t="s">
        <v>311</v>
      </c>
      <c r="E479" s="1173" t="s">
        <v>312</v>
      </c>
      <c r="F479" s="1173" t="s">
        <v>313</v>
      </c>
      <c r="G479" s="1173" t="s">
        <v>314</v>
      </c>
      <c r="H479" s="1173" t="s">
        <v>315</v>
      </c>
      <c r="I479" s="1173" t="s">
        <v>316</v>
      </c>
      <c r="J479" s="1173" t="s">
        <v>317</v>
      </c>
      <c r="K479" s="1173" t="s">
        <v>318</v>
      </c>
      <c r="L479" s="1173" t="s">
        <v>319</v>
      </c>
      <c r="M479" s="1173" t="s">
        <v>320</v>
      </c>
      <c r="N479" s="1173" t="s">
        <v>321</v>
      </c>
      <c r="O479" s="1174" t="s">
        <v>660</v>
      </c>
      <c r="P479" s="1175" t="s">
        <v>661</v>
      </c>
      <c r="Q479" s="1235"/>
      <c r="R479" s="1235"/>
      <c r="S479" s="1235"/>
      <c r="T479" s="1235"/>
      <c r="U479" s="1235"/>
      <c r="V479" s="1235"/>
      <c r="W479" s="1235"/>
    </row>
    <row r="480" spans="1:23">
      <c r="A480" s="2199" t="s">
        <v>56</v>
      </c>
      <c r="B480" s="2200"/>
      <c r="C480" s="2203">
        <f t="shared" ref="C480:I480" si="129">C482+ SUM(C488:C493)</f>
        <v>4897</v>
      </c>
      <c r="D480" s="2203">
        <f t="shared" si="129"/>
        <v>4897</v>
      </c>
      <c r="E480" s="2203">
        <f t="shared" si="129"/>
        <v>4897</v>
      </c>
      <c r="F480" s="2203">
        <f t="shared" si="129"/>
        <v>4897</v>
      </c>
      <c r="G480" s="2203">
        <f t="shared" si="129"/>
        <v>4897</v>
      </c>
      <c r="H480" s="2203">
        <f t="shared" si="129"/>
        <v>5049</v>
      </c>
      <c r="I480" s="2203">
        <f t="shared" si="129"/>
        <v>4897</v>
      </c>
      <c r="J480" s="2203">
        <f t="shared" ref="J480:O480" si="130">J482+ SUM(J488:J493)</f>
        <v>4897</v>
      </c>
      <c r="K480" s="2203">
        <f t="shared" si="130"/>
        <v>60300</v>
      </c>
      <c r="L480" s="2203">
        <f t="shared" si="130"/>
        <v>22071</v>
      </c>
      <c r="M480" s="2203">
        <f t="shared" ca="1" si="130"/>
        <v>12673.633436802909</v>
      </c>
      <c r="N480" s="2203">
        <f t="shared" ca="1" si="130"/>
        <v>12683.050640852496</v>
      </c>
      <c r="O480" s="2203">
        <f t="shared" ca="1" si="130"/>
        <v>12254.640339804617</v>
      </c>
      <c r="P480" s="2205">
        <f ca="1">O480/M!$Q$14</f>
        <v>1.0989189392920666</v>
      </c>
      <c r="Q480" s="1235"/>
      <c r="R480" s="1235"/>
      <c r="S480" s="1235"/>
      <c r="T480" s="1235"/>
      <c r="U480" s="1235"/>
      <c r="V480" s="1235"/>
      <c r="W480" s="1235"/>
    </row>
    <row r="481" spans="1:23">
      <c r="A481" s="2201"/>
      <c r="B481" s="2202"/>
      <c r="C481" s="2204"/>
      <c r="D481" s="2204"/>
      <c r="E481" s="2204"/>
      <c r="F481" s="2204"/>
      <c r="G481" s="2204"/>
      <c r="H481" s="2204"/>
      <c r="I481" s="2204"/>
      <c r="J481" s="2204"/>
      <c r="K481" s="2204"/>
      <c r="L481" s="2204"/>
      <c r="M481" s="2204"/>
      <c r="N481" s="2204"/>
      <c r="O481" s="2204"/>
      <c r="P481" s="2206"/>
      <c r="Q481" s="1235"/>
      <c r="R481" s="1235"/>
      <c r="S481" s="1235"/>
      <c r="T481" s="1235"/>
      <c r="U481" s="1235"/>
      <c r="V481" s="1235"/>
      <c r="W481" s="1235"/>
    </row>
    <row r="482" spans="1:23">
      <c r="A482" s="2217"/>
      <c r="B482" s="1176" t="s">
        <v>662</v>
      </c>
      <c r="C482" s="1177">
        <v>4894</v>
      </c>
      <c r="D482" s="1177">
        <v>4894</v>
      </c>
      <c r="E482" s="1177">
        <v>4894</v>
      </c>
      <c r="F482" s="1177">
        <v>4894</v>
      </c>
      <c r="G482" s="1177">
        <v>4894</v>
      </c>
      <c r="H482" s="1177">
        <v>4894</v>
      </c>
      <c r="I482" s="1177">
        <v>4894</v>
      </c>
      <c r="J482" s="1177">
        <v>4894</v>
      </c>
      <c r="K482" s="1177">
        <f xml:space="preserve"> 4894 + 9900</f>
        <v>14794</v>
      </c>
      <c r="L482" s="1177">
        <f>9242+941+550+288</f>
        <v>11021</v>
      </c>
      <c r="M482" s="1177">
        <f ca="1">SUM(M483:M484)</f>
        <v>9423.6334368029093</v>
      </c>
      <c r="N482" s="1177">
        <f ca="1">SUM(N483:N484)</f>
        <v>9433.0506408524961</v>
      </c>
      <c r="O482" s="1179">
        <f t="shared" ref="O482:O493" ca="1" si="131">SUM(C482:N482)/12</f>
        <v>6985.3070064712838</v>
      </c>
      <c r="P482" s="1180">
        <f ca="1">O482/M!$Q$14</f>
        <v>0.62639832368211723</v>
      </c>
      <c r="Q482" s="1235"/>
      <c r="R482" s="1235"/>
      <c r="S482" s="1235"/>
      <c r="T482" s="1235"/>
      <c r="U482" s="1235"/>
      <c r="V482" s="1235"/>
      <c r="W482" s="1235"/>
    </row>
    <row r="483" spans="1:23">
      <c r="A483" s="2218"/>
      <c r="B483" s="1176" t="s">
        <v>663</v>
      </c>
      <c r="C483" s="1178">
        <v>0</v>
      </c>
      <c r="D483" s="1178">
        <v>0</v>
      </c>
      <c r="E483" s="1178">
        <v>0</v>
      </c>
      <c r="F483" s="1178">
        <v>0</v>
      </c>
      <c r="G483" s="1178">
        <v>0</v>
      </c>
      <c r="H483" s="1178">
        <v>0</v>
      </c>
      <c r="I483" s="1178">
        <v>0</v>
      </c>
      <c r="J483" s="1178">
        <v>0</v>
      </c>
      <c r="K483" s="1178">
        <v>0</v>
      </c>
      <c r="L483" s="1178">
        <v>0</v>
      </c>
      <c r="M483" s="1178">
        <f ca="1">Mortgage!I17</f>
        <v>4912.7731186633646</v>
      </c>
      <c r="N483" s="1178">
        <f ca="1">Mortgage!I18</f>
        <v>4903.3754930005734</v>
      </c>
      <c r="O483" s="1179">
        <f t="shared" ca="1" si="131"/>
        <v>818.01238430532828</v>
      </c>
      <c r="P483" s="1180">
        <f ca="1">O483/M!$Q$14</f>
        <v>7.3354197003134392E-2</v>
      </c>
      <c r="Q483" s="1235"/>
      <c r="R483" s="1235"/>
      <c r="S483" s="1235"/>
      <c r="T483" s="1235"/>
      <c r="U483" s="1235"/>
      <c r="V483" s="1235"/>
      <c r="W483" s="1235"/>
    </row>
    <row r="484" spans="1:23">
      <c r="A484" s="2218"/>
      <c r="B484" s="1176" t="s">
        <v>664</v>
      </c>
      <c r="C484" s="1178">
        <v>0</v>
      </c>
      <c r="D484" s="1178">
        <v>0</v>
      </c>
      <c r="E484" s="1178">
        <v>0</v>
      </c>
      <c r="F484" s="1178">
        <v>0</v>
      </c>
      <c r="G484" s="1178">
        <v>0</v>
      </c>
      <c r="H484" s="1178">
        <v>0</v>
      </c>
      <c r="I484" s="1178">
        <v>0</v>
      </c>
      <c r="J484" s="1178">
        <v>0</v>
      </c>
      <c r="K484" s="1178">
        <v>0</v>
      </c>
      <c r="L484" s="1178">
        <v>0</v>
      </c>
      <c r="M484" s="1178">
        <f ca="1">Mortgage!H17</f>
        <v>4510.8603181395447</v>
      </c>
      <c r="N484" s="1178">
        <f ca="1">Mortgage!H19</f>
        <v>4529.6751478519236</v>
      </c>
      <c r="O484" s="1179">
        <f t="shared" ca="1" si="131"/>
        <v>753.37795549928899</v>
      </c>
      <c r="P484" s="1180">
        <f ca="1">O484/M!$Q$14</f>
        <v>6.7558188636036631E-2</v>
      </c>
      <c r="Q484" s="1235"/>
      <c r="R484" s="1235"/>
      <c r="S484" s="1235"/>
      <c r="T484" s="1235"/>
      <c r="U484" s="1235"/>
      <c r="V484" s="1235"/>
      <c r="W484" s="1235"/>
    </row>
    <row r="485" spans="1:23">
      <c r="A485" s="2218"/>
      <c r="B485" s="1176" t="s">
        <v>450</v>
      </c>
      <c r="C485" s="1178">
        <v>0</v>
      </c>
      <c r="D485" s="1178">
        <v>0</v>
      </c>
      <c r="E485" s="1178">
        <v>0</v>
      </c>
      <c r="F485" s="1178">
        <v>0</v>
      </c>
      <c r="G485" s="1178">
        <v>0</v>
      </c>
      <c r="H485" s="1178">
        <v>0</v>
      </c>
      <c r="I485" s="1178">
        <v>0</v>
      </c>
      <c r="J485" s="1178">
        <v>0</v>
      </c>
      <c r="K485" s="1178">
        <v>0</v>
      </c>
      <c r="L485" s="1178">
        <v>0</v>
      </c>
      <c r="M485" s="1178">
        <v>0</v>
      </c>
      <c r="N485" s="1178">
        <v>0</v>
      </c>
      <c r="O485" s="1179">
        <f t="shared" si="131"/>
        <v>0</v>
      </c>
      <c r="P485" s="1180">
        <f>O485/M!$Q$14</f>
        <v>0</v>
      </c>
      <c r="Q485" s="1235"/>
      <c r="R485" s="1235"/>
      <c r="S485" s="1235" t="s">
        <v>701</v>
      </c>
      <c r="T485" s="1235"/>
      <c r="U485" s="1235"/>
      <c r="V485" s="1235"/>
      <c r="W485" s="1235"/>
    </row>
    <row r="486" spans="1:23">
      <c r="A486" s="2218"/>
      <c r="B486" s="1176" t="s">
        <v>665</v>
      </c>
      <c r="C486" s="1178">
        <v>0</v>
      </c>
      <c r="D486" s="1178">
        <v>0</v>
      </c>
      <c r="E486" s="1178">
        <v>0</v>
      </c>
      <c r="F486" s="1178">
        <v>0</v>
      </c>
      <c r="G486" s="1178">
        <v>0</v>
      </c>
      <c r="H486" s="1178">
        <v>0</v>
      </c>
      <c r="I486" s="1178">
        <v>0</v>
      </c>
      <c r="J486" s="1178">
        <v>0</v>
      </c>
      <c r="K486" s="1178">
        <v>0</v>
      </c>
      <c r="L486" s="1178">
        <v>0</v>
      </c>
      <c r="M486" s="1178">
        <v>0</v>
      </c>
      <c r="N486" s="1178">
        <v>0</v>
      </c>
      <c r="O486" s="1179">
        <f t="shared" si="131"/>
        <v>0</v>
      </c>
      <c r="P486" s="1180">
        <f>O486/M!$Q$14</f>
        <v>0</v>
      </c>
      <c r="Q486" s="1235"/>
      <c r="R486" s="1235"/>
      <c r="S486" s="1235" t="s">
        <v>705</v>
      </c>
      <c r="T486" s="1235"/>
      <c r="U486" s="1235"/>
      <c r="V486" s="1235"/>
      <c r="W486" s="1235"/>
    </row>
    <row r="487" spans="1:23">
      <c r="A487" s="2218"/>
      <c r="B487" s="1176" t="s">
        <v>664</v>
      </c>
      <c r="C487" s="1178">
        <v>0</v>
      </c>
      <c r="D487" s="1178">
        <v>0</v>
      </c>
      <c r="E487" s="1178">
        <v>0</v>
      </c>
      <c r="F487" s="1178">
        <v>0</v>
      </c>
      <c r="G487" s="1178">
        <v>0</v>
      </c>
      <c r="H487" s="1178">
        <v>0</v>
      </c>
      <c r="I487" s="1178">
        <v>0</v>
      </c>
      <c r="J487" s="1178">
        <v>0</v>
      </c>
      <c r="K487" s="1178">
        <v>0</v>
      </c>
      <c r="L487" s="1178">
        <v>0</v>
      </c>
      <c r="M487" s="1178">
        <v>0</v>
      </c>
      <c r="N487" s="1178">
        <v>0</v>
      </c>
      <c r="O487" s="1179">
        <f t="shared" si="131"/>
        <v>0</v>
      </c>
      <c r="P487" s="1180">
        <f>O487/M!$Q$14</f>
        <v>0</v>
      </c>
      <c r="Q487" s="1235"/>
      <c r="R487" s="1235"/>
      <c r="S487" s="1235"/>
      <c r="T487" s="1235"/>
      <c r="U487" s="1235"/>
      <c r="V487" s="1235"/>
      <c r="W487" s="1235"/>
    </row>
    <row r="488" spans="1:23">
      <c r="A488" s="2218"/>
      <c r="B488" s="1176" t="s">
        <v>287</v>
      </c>
      <c r="C488" s="1178">
        <v>0</v>
      </c>
      <c r="D488" s="1178">
        <v>0</v>
      </c>
      <c r="E488" s="1178">
        <v>0</v>
      </c>
      <c r="F488" s="1178">
        <v>0</v>
      </c>
      <c r="G488" s="1178">
        <v>0</v>
      </c>
      <c r="H488" s="1178">
        <v>0</v>
      </c>
      <c r="I488" s="1178">
        <v>0</v>
      </c>
      <c r="J488" s="1178">
        <v>0</v>
      </c>
      <c r="K488" s="1178">
        <v>0</v>
      </c>
      <c r="L488" s="1178">
        <f>L411</f>
        <v>3250</v>
      </c>
      <c r="M488" s="1178">
        <f>M411</f>
        <v>3250</v>
      </c>
      <c r="N488" s="1178">
        <f>N411</f>
        <v>3250</v>
      </c>
      <c r="O488" s="1179">
        <f t="shared" si="131"/>
        <v>812.5</v>
      </c>
      <c r="P488" s="1180">
        <f>O488/M!$Q$14</f>
        <v>7.2859881107619651E-2</v>
      </c>
      <c r="Q488" s="1235"/>
      <c r="R488" s="1235"/>
      <c r="S488" s="1235" t="s">
        <v>487</v>
      </c>
      <c r="T488" s="1241">
        <f>SUM(O493)*12+ O526*12 + O449*12+ C364+C331</f>
        <v>85854</v>
      </c>
      <c r="U488" s="1235"/>
      <c r="V488" s="1235"/>
      <c r="W488" s="1235"/>
    </row>
    <row r="489" spans="1:23">
      <c r="A489" s="2218"/>
      <c r="B489" s="1176" t="s">
        <v>453</v>
      </c>
      <c r="C489" s="1178">
        <v>0</v>
      </c>
      <c r="D489" s="1178">
        <v>0</v>
      </c>
      <c r="E489" s="1178">
        <v>0</v>
      </c>
      <c r="F489" s="1178">
        <v>0</v>
      </c>
      <c r="G489" s="1178">
        <v>0</v>
      </c>
      <c r="H489" s="1178">
        <v>0</v>
      </c>
      <c r="I489" s="1178">
        <v>0</v>
      </c>
      <c r="J489" s="1178">
        <v>0</v>
      </c>
      <c r="K489" s="1178">
        <v>0</v>
      </c>
      <c r="L489" s="1178">
        <v>0</v>
      </c>
      <c r="M489" s="1178">
        <v>0</v>
      </c>
      <c r="N489" s="1178">
        <v>0</v>
      </c>
      <c r="O489" s="1179">
        <f t="shared" si="131"/>
        <v>0</v>
      </c>
      <c r="P489" s="1180">
        <f>O489/M!$Q$14</f>
        <v>0</v>
      </c>
      <c r="Q489" s="1235"/>
      <c r="R489" s="1235"/>
      <c r="S489" s="1235"/>
      <c r="T489" s="1235"/>
      <c r="U489" s="1235"/>
      <c r="V489" s="1235"/>
      <c r="W489" s="1235"/>
    </row>
    <row r="490" spans="1:23">
      <c r="A490" s="2218"/>
      <c r="B490" s="1176" t="s">
        <v>400</v>
      </c>
      <c r="C490" s="1178">
        <v>0</v>
      </c>
      <c r="D490" s="1178">
        <v>0</v>
      </c>
      <c r="E490" s="1178">
        <v>0</v>
      </c>
      <c r="F490" s="1178">
        <v>0</v>
      </c>
      <c r="G490" s="1178">
        <v>0</v>
      </c>
      <c r="H490" s="1178">
        <v>152</v>
      </c>
      <c r="I490" s="1178">
        <v>0</v>
      </c>
      <c r="J490" s="1178">
        <v>0</v>
      </c>
      <c r="K490" s="1178">
        <v>0</v>
      </c>
      <c r="L490" s="1178">
        <v>1200</v>
      </c>
      <c r="M490" s="1178">
        <v>0</v>
      </c>
      <c r="N490" s="1178">
        <v>0</v>
      </c>
      <c r="O490" s="1179">
        <f t="shared" si="131"/>
        <v>112.66666666666667</v>
      </c>
      <c r="P490" s="1180">
        <f>O490/M!$Q$14</f>
        <v>1.0103236846923259E-2</v>
      </c>
      <c r="Q490" s="1235"/>
      <c r="R490" s="1235"/>
      <c r="S490" s="1235"/>
      <c r="T490" s="1235">
        <v>100000</v>
      </c>
      <c r="U490" s="1235"/>
      <c r="V490" s="1235"/>
      <c r="W490" s="1235"/>
    </row>
    <row r="491" spans="1:23">
      <c r="A491" s="2218"/>
      <c r="B491" s="1176" t="s">
        <v>401</v>
      </c>
      <c r="C491" s="1178">
        <v>0</v>
      </c>
      <c r="D491" s="1178">
        <v>0</v>
      </c>
      <c r="E491" s="1178">
        <v>0</v>
      </c>
      <c r="F491" s="1178">
        <v>0</v>
      </c>
      <c r="G491" s="1178">
        <v>0</v>
      </c>
      <c r="H491" s="1178">
        <v>0</v>
      </c>
      <c r="I491" s="1178">
        <v>0</v>
      </c>
      <c r="J491" s="1178">
        <v>0</v>
      </c>
      <c r="K491" s="1178">
        <v>0</v>
      </c>
      <c r="L491" s="1178">
        <v>0</v>
      </c>
      <c r="M491" s="1178">
        <v>0</v>
      </c>
      <c r="N491" s="1178">
        <v>0</v>
      </c>
      <c r="O491" s="1179">
        <f t="shared" si="131"/>
        <v>0</v>
      </c>
      <c r="P491" s="1180">
        <f>O491/M!$Q$14</f>
        <v>0</v>
      </c>
      <c r="Q491" s="1235"/>
      <c r="R491" s="1235"/>
      <c r="S491" s="1235"/>
      <c r="T491" s="1235"/>
      <c r="U491" s="1235"/>
      <c r="V491" s="1235"/>
      <c r="W491" s="1235"/>
    </row>
    <row r="492" spans="1:23">
      <c r="A492" s="2218"/>
      <c r="B492" s="1176" t="s">
        <v>402</v>
      </c>
      <c r="C492" s="1178">
        <v>0</v>
      </c>
      <c r="D492" s="1178">
        <v>0</v>
      </c>
      <c r="E492" s="1178">
        <v>0</v>
      </c>
      <c r="F492" s="1178">
        <v>0</v>
      </c>
      <c r="G492" s="1178">
        <v>0</v>
      </c>
      <c r="H492" s="1178">
        <v>0</v>
      </c>
      <c r="I492" s="1178">
        <v>0</v>
      </c>
      <c r="J492" s="1178">
        <v>0</v>
      </c>
      <c r="K492" s="1178">
        <v>0</v>
      </c>
      <c r="L492" s="1178">
        <v>0</v>
      </c>
      <c r="M492" s="1178">
        <v>0</v>
      </c>
      <c r="N492" s="1178">
        <v>0</v>
      </c>
      <c r="O492" s="1179">
        <f t="shared" si="131"/>
        <v>0</v>
      </c>
      <c r="P492" s="1180">
        <f>O492/M!$Q$14</f>
        <v>0</v>
      </c>
      <c r="Q492" s="1235"/>
      <c r="R492" s="1235"/>
      <c r="S492" s="1235"/>
      <c r="T492" s="1235"/>
      <c r="U492" s="1235"/>
      <c r="V492" s="1235"/>
      <c r="W492" s="1235"/>
    </row>
    <row r="493" spans="1:23">
      <c r="A493" s="2219"/>
      <c r="B493" s="1176" t="s">
        <v>674</v>
      </c>
      <c r="C493" s="1177">
        <v>3</v>
      </c>
      <c r="D493" s="1178">
        <v>3</v>
      </c>
      <c r="E493" s="1178">
        <v>3</v>
      </c>
      <c r="F493" s="1178">
        <v>3</v>
      </c>
      <c r="G493" s="1178">
        <v>3</v>
      </c>
      <c r="H493" s="1178">
        <v>3</v>
      </c>
      <c r="I493" s="1178">
        <v>3</v>
      </c>
      <c r="J493" s="1178">
        <v>3</v>
      </c>
      <c r="K493" s="1196">
        <f>SUMIF(Sep!$BX$1:$BX$200,$B493,Sep!$BW$1:$BW$200)</f>
        <v>45506</v>
      </c>
      <c r="L493" s="1196">
        <f>SUMIF(Oct!$BX$1:$BX$215,$B493,Oct!$BW$1:$BW$215)</f>
        <v>6600</v>
      </c>
      <c r="M493" s="1196">
        <f>SUMIF(Nov!$BX$1:$BX$222,$B493,Nov!$BW$1:$BW$222)</f>
        <v>0</v>
      </c>
      <c r="N493" s="1196">
        <f>SUMIF(Dec!$BX$1:$BX$221,$B493,Dec!$BW$1:$BW$221)</f>
        <v>0</v>
      </c>
      <c r="O493" s="1179">
        <f t="shared" si="131"/>
        <v>4344.166666666667</v>
      </c>
      <c r="P493" s="1180">
        <f>O493/M!$Q$14</f>
        <v>0.38955749765540643</v>
      </c>
      <c r="Q493" s="1235"/>
      <c r="R493" s="1235"/>
      <c r="S493" s="1235"/>
      <c r="T493" s="1235"/>
      <c r="U493" s="1235"/>
      <c r="V493" s="1235"/>
      <c r="W493" s="1235"/>
    </row>
    <row r="494" spans="1:23">
      <c r="A494" s="2199" t="s">
        <v>276</v>
      </c>
      <c r="B494" s="2200"/>
      <c r="C494" s="2203">
        <f t="shared" ref="C494:N494" si="132">SUM(C496:C501)</f>
        <v>1438.3333333333335</v>
      </c>
      <c r="D494" s="2203">
        <f t="shared" si="132"/>
        <v>1055.3333333333335</v>
      </c>
      <c r="E494" s="2203">
        <f t="shared" si="132"/>
        <v>1055.3333333333335</v>
      </c>
      <c r="F494" s="2203">
        <f t="shared" si="132"/>
        <v>1055.3333333333335</v>
      </c>
      <c r="G494" s="2203">
        <f t="shared" si="132"/>
        <v>1055.3333333333335</v>
      </c>
      <c r="H494" s="2203">
        <f t="shared" si="132"/>
        <v>1664.3333333333335</v>
      </c>
      <c r="I494" s="2203">
        <f t="shared" si="132"/>
        <v>1055.3333333333335</v>
      </c>
      <c r="J494" s="2203">
        <f t="shared" si="132"/>
        <v>1005.3333333333334</v>
      </c>
      <c r="K494" s="2203">
        <f t="shared" si="132"/>
        <v>1005.3333333333334</v>
      </c>
      <c r="L494" s="2203">
        <f t="shared" si="132"/>
        <v>1089.3333333333335</v>
      </c>
      <c r="M494" s="2203">
        <f t="shared" si="132"/>
        <v>1055.3333333333335</v>
      </c>
      <c r="N494" s="2203">
        <f t="shared" si="132"/>
        <v>1126.3333333333335</v>
      </c>
      <c r="O494" s="2203">
        <f>SUM(O496:O501)</f>
        <v>1138.4166666666667</v>
      </c>
      <c r="P494" s="2205">
        <f>O494/M!$Q$14</f>
        <v>0.10208603444217355</v>
      </c>
      <c r="Q494" s="1235"/>
      <c r="R494" s="1235"/>
      <c r="S494" s="1235"/>
      <c r="T494" s="1235"/>
      <c r="U494" s="1235"/>
      <c r="V494" s="1235"/>
      <c r="W494" s="1235"/>
    </row>
    <row r="495" spans="1:23">
      <c r="A495" s="2201"/>
      <c r="B495" s="2202"/>
      <c r="C495" s="2204"/>
      <c r="D495" s="2204"/>
      <c r="E495" s="2204"/>
      <c r="F495" s="2204"/>
      <c r="G495" s="2204"/>
      <c r="H495" s="2204"/>
      <c r="I495" s="2204"/>
      <c r="J495" s="2204"/>
      <c r="K495" s="2204"/>
      <c r="L495" s="2204"/>
      <c r="M495" s="2204"/>
      <c r="N495" s="2204"/>
      <c r="O495" s="2204"/>
      <c r="P495" s="2206"/>
      <c r="Q495" s="1235"/>
      <c r="R495" s="1235"/>
      <c r="S495" s="1235"/>
      <c r="T495" s="1235"/>
      <c r="U495" s="1235"/>
      <c r="V495" s="1235"/>
      <c r="W495" s="1235"/>
    </row>
    <row r="496" spans="1:23">
      <c r="A496" s="2217"/>
      <c r="B496" s="1176" t="s">
        <v>666</v>
      </c>
      <c r="C496" s="1178">
        <f t="shared" ref="C496:H496" si="133">46700/60</f>
        <v>778.33333333333337</v>
      </c>
      <c r="D496" s="1178">
        <f t="shared" si="133"/>
        <v>778.33333333333337</v>
      </c>
      <c r="E496" s="1178">
        <f t="shared" si="133"/>
        <v>778.33333333333337</v>
      </c>
      <c r="F496" s="1178">
        <f t="shared" si="133"/>
        <v>778.33333333333337</v>
      </c>
      <c r="G496" s="1178">
        <f t="shared" si="133"/>
        <v>778.33333333333337</v>
      </c>
      <c r="H496" s="1178">
        <f t="shared" si="133"/>
        <v>778.33333333333337</v>
      </c>
      <c r="I496" s="1178">
        <f t="shared" ref="I496:N496" si="134">46700/60</f>
        <v>778.33333333333337</v>
      </c>
      <c r="J496" s="1178">
        <f t="shared" si="134"/>
        <v>778.33333333333337</v>
      </c>
      <c r="K496" s="1178">
        <f t="shared" si="134"/>
        <v>778.33333333333337</v>
      </c>
      <c r="L496" s="1178">
        <f t="shared" si="134"/>
        <v>778.33333333333337</v>
      </c>
      <c r="M496" s="1178">
        <f t="shared" si="134"/>
        <v>778.33333333333337</v>
      </c>
      <c r="N496" s="1178">
        <f t="shared" si="134"/>
        <v>778.33333333333337</v>
      </c>
      <c r="O496" s="1179">
        <f t="shared" ref="O496:O501" si="135">SUM(C496:N496)/12</f>
        <v>778.33333333333337</v>
      </c>
      <c r="P496" s="1180">
        <f>O496/M!$Q$14</f>
        <v>6.9796029696940265E-2</v>
      </c>
      <c r="Q496" s="1235"/>
      <c r="R496" s="1235"/>
      <c r="S496" s="1235"/>
      <c r="T496" s="1235"/>
      <c r="U496" s="1235"/>
      <c r="V496" s="1235"/>
      <c r="W496" s="1235"/>
    </row>
    <row r="497" spans="1:23">
      <c r="A497" s="2218"/>
      <c r="B497" s="1176" t="s">
        <v>400</v>
      </c>
      <c r="C497" s="1181">
        <v>179</v>
      </c>
      <c r="D497" s="1182">
        <v>180</v>
      </c>
      <c r="E497" s="1182">
        <v>180</v>
      </c>
      <c r="F497" s="1182">
        <v>180</v>
      </c>
      <c r="G497" s="1182">
        <v>180</v>
      </c>
      <c r="H497" s="1182">
        <v>180</v>
      </c>
      <c r="I497" s="1182">
        <v>180</v>
      </c>
      <c r="J497" s="1182">
        <f>780/6</f>
        <v>130</v>
      </c>
      <c r="K497" s="1182">
        <f>780/6</f>
        <v>130</v>
      </c>
      <c r="L497" s="1182">
        <v>180</v>
      </c>
      <c r="M497" s="1182">
        <v>180</v>
      </c>
      <c r="N497" s="1182">
        <v>180</v>
      </c>
      <c r="O497" s="1179">
        <f t="shared" si="135"/>
        <v>171.58333333333334</v>
      </c>
      <c r="P497" s="1180">
        <f>O497/M!$Q$14</f>
        <v>1.5386512328265526E-2</v>
      </c>
      <c r="Q497" s="1235"/>
      <c r="R497" s="1235"/>
      <c r="S497" s="1235"/>
      <c r="T497" s="1235"/>
      <c r="U497" s="1235"/>
      <c r="V497" s="1235"/>
      <c r="W497" s="1235"/>
    </row>
    <row r="498" spans="1:23">
      <c r="A498" s="2218"/>
      <c r="B498" s="1176" t="s">
        <v>454</v>
      </c>
      <c r="C498" s="1178">
        <v>384</v>
      </c>
      <c r="D498" s="1178">
        <v>0</v>
      </c>
      <c r="E498" s="1178">
        <v>0</v>
      </c>
      <c r="F498" s="1178">
        <v>0</v>
      </c>
      <c r="G498" s="1178">
        <v>0</v>
      </c>
      <c r="H498" s="1178">
        <f>407+164</f>
        <v>571</v>
      </c>
      <c r="I498" s="1178">
        <v>0</v>
      </c>
      <c r="J498" s="1178">
        <v>0</v>
      </c>
      <c r="K498" s="1178">
        <v>0</v>
      </c>
      <c r="L498" s="1178">
        <v>0</v>
      </c>
      <c r="M498" s="1178">
        <v>0</v>
      </c>
      <c r="N498" s="1178">
        <v>50</v>
      </c>
      <c r="O498" s="1179">
        <f t="shared" si="135"/>
        <v>83.75</v>
      </c>
      <c r="P498" s="1180">
        <f>O498/M!$Q$14</f>
        <v>7.5101723603238722E-3</v>
      </c>
      <c r="Q498" s="1235"/>
      <c r="R498" s="1235"/>
      <c r="S498" s="1235"/>
      <c r="T498" s="1235"/>
      <c r="U498" s="1235"/>
      <c r="V498" s="1235"/>
      <c r="W498" s="1235"/>
    </row>
    <row r="499" spans="1:23">
      <c r="A499" s="2218"/>
      <c r="B499" s="1176" t="s">
        <v>407</v>
      </c>
      <c r="C499" s="1178">
        <v>0</v>
      </c>
      <c r="D499" s="1178">
        <v>0</v>
      </c>
      <c r="E499" s="1178">
        <v>0</v>
      </c>
      <c r="F499" s="1178">
        <v>0</v>
      </c>
      <c r="G499" s="1178">
        <v>0</v>
      </c>
      <c r="H499" s="1178">
        <v>0</v>
      </c>
      <c r="I499" s="1178">
        <v>0</v>
      </c>
      <c r="J499" s="1178">
        <v>0</v>
      </c>
      <c r="K499" s="1178">
        <v>0</v>
      </c>
      <c r="L499" s="1178">
        <v>0</v>
      </c>
      <c r="M499" s="1178">
        <v>0</v>
      </c>
      <c r="N499" s="1178">
        <v>0</v>
      </c>
      <c r="O499" s="1179">
        <f t="shared" si="135"/>
        <v>0</v>
      </c>
      <c r="P499" s="1180">
        <f>O499/M!$Q$14</f>
        <v>0</v>
      </c>
      <c r="Q499" s="1235"/>
      <c r="R499" s="1235"/>
      <c r="S499" s="1235"/>
      <c r="T499" s="1235"/>
      <c r="U499" s="1235"/>
      <c r="V499" s="1235"/>
      <c r="W499" s="1235"/>
    </row>
    <row r="500" spans="1:23">
      <c r="A500" s="2218"/>
      <c r="B500" s="1176" t="s">
        <v>408</v>
      </c>
      <c r="C500" s="1178">
        <v>97</v>
      </c>
      <c r="D500" s="1178">
        <v>97</v>
      </c>
      <c r="E500" s="1178">
        <v>97</v>
      </c>
      <c r="F500" s="1178">
        <v>97</v>
      </c>
      <c r="G500" s="1178">
        <v>97</v>
      </c>
      <c r="H500" s="1178">
        <v>97</v>
      </c>
      <c r="I500" s="1178">
        <v>97</v>
      </c>
      <c r="J500" s="1178">
        <v>97</v>
      </c>
      <c r="K500" s="1178">
        <v>97</v>
      </c>
      <c r="L500" s="1178">
        <v>97</v>
      </c>
      <c r="M500" s="1178">
        <v>97</v>
      </c>
      <c r="N500" s="1178">
        <v>108</v>
      </c>
      <c r="O500" s="1179">
        <f t="shared" si="135"/>
        <v>97.916666666666671</v>
      </c>
      <c r="P500" s="1180">
        <f>O500/M!$Q$14</f>
        <v>8.7805497745080101E-3</v>
      </c>
      <c r="Q500" s="1235"/>
      <c r="R500" s="1235"/>
      <c r="S500" s="1235"/>
      <c r="T500" s="1235"/>
      <c r="U500" s="1235"/>
      <c r="V500" s="1235"/>
      <c r="W500" s="1235"/>
    </row>
    <row r="501" spans="1:23">
      <c r="A501" s="2219"/>
      <c r="B501" s="1176" t="s">
        <v>409</v>
      </c>
      <c r="C501" s="1178">
        <v>0</v>
      </c>
      <c r="D501" s="1178">
        <v>0</v>
      </c>
      <c r="E501" s="1178">
        <v>0</v>
      </c>
      <c r="F501" s="1178">
        <v>0</v>
      </c>
      <c r="G501" s="1178">
        <v>0</v>
      </c>
      <c r="H501" s="1178">
        <v>38</v>
      </c>
      <c r="I501" s="1178">
        <v>0</v>
      </c>
      <c r="J501" s="1178">
        <v>0</v>
      </c>
      <c r="K501" s="1178">
        <v>0</v>
      </c>
      <c r="L501" s="1178">
        <v>34</v>
      </c>
      <c r="M501" s="1178">
        <v>0</v>
      </c>
      <c r="N501" s="1178">
        <v>10</v>
      </c>
      <c r="O501" s="1179">
        <f t="shared" si="135"/>
        <v>6.833333333333333</v>
      </c>
      <c r="P501" s="1180">
        <f>O501/M!$Q$14</f>
        <v>6.1277028213587803E-4</v>
      </c>
      <c r="Q501" s="1235"/>
      <c r="R501" s="1235"/>
      <c r="S501" s="1235"/>
      <c r="T501" s="1235"/>
      <c r="U501" s="1235"/>
      <c r="V501" s="1235"/>
      <c r="W501" s="1235"/>
    </row>
    <row r="502" spans="1:23">
      <c r="A502" s="2199" t="s">
        <v>277</v>
      </c>
      <c r="B502" s="2200"/>
      <c r="C502" s="2203">
        <f t="shared" ref="C502:N502" si="136">SUM(C504:C507)</f>
        <v>189</v>
      </c>
      <c r="D502" s="2203">
        <f t="shared" si="136"/>
        <v>18</v>
      </c>
      <c r="E502" s="2203">
        <f t="shared" si="136"/>
        <v>30</v>
      </c>
      <c r="F502" s="2203">
        <f t="shared" si="136"/>
        <v>0</v>
      </c>
      <c r="G502" s="2203">
        <f t="shared" si="136"/>
        <v>50</v>
      </c>
      <c r="H502" s="2203">
        <f t="shared" si="136"/>
        <v>52</v>
      </c>
      <c r="I502" s="2203">
        <f t="shared" si="136"/>
        <v>85</v>
      </c>
      <c r="J502" s="2203">
        <f t="shared" si="136"/>
        <v>57</v>
      </c>
      <c r="K502" s="2203">
        <f t="shared" si="136"/>
        <v>49</v>
      </c>
      <c r="L502" s="2203">
        <f t="shared" si="136"/>
        <v>118</v>
      </c>
      <c r="M502" s="2203">
        <f t="shared" si="136"/>
        <v>0</v>
      </c>
      <c r="N502" s="2203">
        <f t="shared" si="136"/>
        <v>55</v>
      </c>
      <c r="O502" s="2203">
        <f>SUM(O504:O507)</f>
        <v>58.583333333333336</v>
      </c>
      <c r="P502" s="2205">
        <f>O502/M!$Q$14</f>
        <v>5.2533842480673451E-3</v>
      </c>
      <c r="Q502" s="1235"/>
      <c r="R502" s="1235"/>
      <c r="S502" s="1235"/>
      <c r="T502" s="1235"/>
      <c r="U502" s="1235"/>
      <c r="V502" s="1235"/>
      <c r="W502" s="1235"/>
    </row>
    <row r="503" spans="1:23">
      <c r="A503" s="2201"/>
      <c r="B503" s="2202"/>
      <c r="C503" s="2204"/>
      <c r="D503" s="2204"/>
      <c r="E503" s="2204"/>
      <c r="F503" s="2204"/>
      <c r="G503" s="2204"/>
      <c r="H503" s="2204"/>
      <c r="I503" s="2204"/>
      <c r="J503" s="2204"/>
      <c r="K503" s="2204"/>
      <c r="L503" s="2204"/>
      <c r="M503" s="2204"/>
      <c r="N503" s="2204"/>
      <c r="O503" s="2204"/>
      <c r="P503" s="2206"/>
      <c r="Q503" s="1235"/>
      <c r="R503" s="1235"/>
      <c r="S503" s="1235"/>
      <c r="T503" s="1235"/>
      <c r="U503" s="1235"/>
      <c r="V503" s="1235"/>
      <c r="W503" s="1235"/>
    </row>
    <row r="504" spans="1:23">
      <c r="A504" s="2217"/>
      <c r="B504" s="1176" t="s">
        <v>410</v>
      </c>
      <c r="C504" s="1196">
        <f>SUMIF(Jan!$BX$1:$BX$173,$B504,Jan!$BW$1:$BW$173)</f>
        <v>189</v>
      </c>
      <c r="D504" s="1196">
        <f>SUMIF(Feb!$BT$1:$BT$185,$B504, Feb!$BS$1:$BS$185)</f>
        <v>0</v>
      </c>
      <c r="E504" s="1196">
        <f>SUMIF(Mar!$BX$1:$BX$155,$B504, Mar!$BW$1:$BW$180)</f>
        <v>30</v>
      </c>
      <c r="F504" s="1196">
        <f>SUMIF(Apr!$BX$1:$BX$159,$B504,Apr!$BW$1:$BW$184)</f>
        <v>0</v>
      </c>
      <c r="G504" s="1196">
        <f>SUMIF(May!$BX$1:$BX$200,$B504,May!$BW$1:$BW$200)</f>
        <v>50</v>
      </c>
      <c r="H504" s="1196">
        <f>SUMIF(Jun!$BX$1:$BX$195,$B504,Jun!$BW$1:$BW$195)</f>
        <v>52</v>
      </c>
      <c r="I504" s="1196">
        <f>SUMIF(Jul!$BX$1:$BX$186,$B504,Jul!$BW$1:$BW$186)</f>
        <v>85</v>
      </c>
      <c r="J504" s="1196">
        <f>SUMIF(Aug!$BX$1:$BX$198,$B504,Aug!$BW$1:$BW$198)</f>
        <v>57</v>
      </c>
      <c r="K504" s="1196">
        <f>SUMIF(Sep!$BX$1:$BX$200,$B504,Sep!$BW$1:$BW$200)</f>
        <v>49</v>
      </c>
      <c r="L504" s="1196">
        <f>SUMIF(Oct!$BX$1:$BX$215,$B504,Oct!$BW$1:$BW$215)</f>
        <v>118</v>
      </c>
      <c r="M504" s="1196">
        <f>SUMIF(Nov!$BX$1:$BX$222,$B504,Nov!$BW$1:$BW$222)</f>
        <v>0</v>
      </c>
      <c r="N504" s="1196">
        <f>SUMIF(Dec!$BX$1:$BX$221,$B504,Dec!$BW$1:$BW$221)</f>
        <v>55</v>
      </c>
      <c r="O504" s="1179">
        <f>SUM(C504:N504)/12</f>
        <v>57.083333333333336</v>
      </c>
      <c r="P504" s="1180">
        <f>O504/M!$Q$14</f>
        <v>5.1188736983302013E-3</v>
      </c>
      <c r="Q504" s="1235"/>
      <c r="R504" s="1235"/>
      <c r="S504" s="1235"/>
      <c r="T504" s="1235"/>
      <c r="U504" s="1235"/>
      <c r="V504" s="1235"/>
      <c r="W504" s="1235"/>
    </row>
    <row r="505" spans="1:23">
      <c r="A505" s="2218"/>
      <c r="B505" s="1176" t="s">
        <v>690</v>
      </c>
      <c r="C505" s="1196">
        <f>SUMIF(Jan!$BT$1:$BT$173,$B505,Jan!$BS$1:$BS$173)</f>
        <v>0</v>
      </c>
      <c r="D505" s="1196">
        <f>SUMIF(Feb!$BT$1:$BT$185,$B505, Feb!$BS$1:$BS$185)</f>
        <v>0</v>
      </c>
      <c r="E505" s="1196">
        <f>SUMIF(Mar!$BT$1:$BT$155,$B505, Mar!$BS$1:$BS$180)</f>
        <v>0</v>
      </c>
      <c r="F505" s="1196">
        <f>SUMIF(Apr!$BX$1:$BX$159,$B505,Apr!$BW$1:$BW$184)</f>
        <v>0</v>
      </c>
      <c r="G505" s="1196">
        <f>SUMIF(May!$BX$1:$BX$200,$B505,May!$BW$1:$BW$200)</f>
        <v>0</v>
      </c>
      <c r="H505" s="1196">
        <f>SUMIF(Jun!$BX$1:$BX$195,$B505,Jun!$BW$1:$BW$195)</f>
        <v>0</v>
      </c>
      <c r="I505" s="1196">
        <f>SUMIF(Jul!$BX$1:$BX$186,$B505,Jul!$BW$1:$BW$186)</f>
        <v>0</v>
      </c>
      <c r="J505" s="1196">
        <f>SUMIF(Aug!$BX$1:$BX$198,$B505,Aug!$BW$1:$BW$198)</f>
        <v>0</v>
      </c>
      <c r="K505" s="1196">
        <f>SUMIF(Sep!$BX$1:$BX$200,$B505,Sep!$BW$1:$BW$200)</f>
        <v>0</v>
      </c>
      <c r="L505" s="1196">
        <f>SUMIF(Oct!$BX$1:$BX$215,$B505,Oct!$BW$1:$BW$215)</f>
        <v>0</v>
      </c>
      <c r="M505" s="1196">
        <f>SUMIF(Nov!$BX$1:$BX$222,$B505,Nov!$BW$1:$BW$222)</f>
        <v>0</v>
      </c>
      <c r="N505" s="1196">
        <f>SUMIF(Dec!$BX$1:$BX$221,$B505,Dec!$BW$1:$BW$221)</f>
        <v>0</v>
      </c>
      <c r="O505" s="1179">
        <f>SUM(C505:N505)/12</f>
        <v>0</v>
      </c>
      <c r="P505" s="1180">
        <f>O505/M!$Q$14</f>
        <v>0</v>
      </c>
      <c r="Q505" s="1235"/>
      <c r="R505" s="1235"/>
      <c r="S505" s="1235"/>
      <c r="T505" s="1235"/>
      <c r="U505" s="1235"/>
      <c r="V505" s="1235"/>
      <c r="W505" s="1235"/>
    </row>
    <row r="506" spans="1:23">
      <c r="A506" s="2218"/>
      <c r="B506" s="1176" t="s">
        <v>458</v>
      </c>
      <c r="C506" s="1196">
        <f>SUMIF(Jan!$BT$1:$BT$173,$B506,Jan!$BS$1:$BS$173)</f>
        <v>0</v>
      </c>
      <c r="D506" s="1196">
        <f>SUMIF(Feb!$BT$1:$BT$185,$B506, Feb!$BS$1:$BS$185)</f>
        <v>18</v>
      </c>
      <c r="E506" s="1196">
        <f>SUMIF(Mar!$BT$1:$BT$155,$B506, Mar!$BS$1:$BS$180)</f>
        <v>0</v>
      </c>
      <c r="F506" s="1196">
        <f>SUMIF(Apr!$BX$1:$BX$159,$B506,Apr!$BW$1:$BW$184)</f>
        <v>0</v>
      </c>
      <c r="G506" s="1196">
        <f>SUMIF(May!$BX$1:$BX$200,$B506,May!$BW$1:$BW$200)</f>
        <v>0</v>
      </c>
      <c r="H506" s="1196">
        <f>SUMIF(Jun!$BX$1:$BX$195,$B506,Jun!$BW$1:$BW$195)</f>
        <v>0</v>
      </c>
      <c r="I506" s="1196">
        <f>SUMIF(Jul!$BX$1:$BX$186,$B506,Jul!$BW$1:$BW$186)</f>
        <v>0</v>
      </c>
      <c r="J506" s="1196">
        <f>SUMIF(Aug!$BX$1:$BX$198,$B506,Aug!$BW$1:$BW$198)</f>
        <v>0</v>
      </c>
      <c r="K506" s="1196">
        <f>SUMIF(Sep!$BX$1:$BX$200,$B506,Sep!$BW$1:$BW$200)</f>
        <v>0</v>
      </c>
      <c r="L506" s="1196">
        <f>SUMIF(Oct!$BX$1:$BX$215,$B506,Oct!$BW$1:$BW$215)</f>
        <v>0</v>
      </c>
      <c r="M506" s="1196">
        <f>SUMIF(Nov!$BX$1:$BX$222,$B506,Nov!$BW$1:$BW$222)</f>
        <v>0</v>
      </c>
      <c r="N506" s="1196">
        <f>SUMIF(Dec!$BX$1:$BX$221,$B506,Dec!$BW$1:$BW$221)</f>
        <v>0</v>
      </c>
      <c r="O506" s="1179">
        <f>SUM(C506:N506)/12</f>
        <v>1.5</v>
      </c>
      <c r="P506" s="1180">
        <f>O506/M!$Q$14</f>
        <v>1.3451054973714397E-4</v>
      </c>
      <c r="Q506" s="1235"/>
      <c r="R506" s="1235"/>
      <c r="S506" s="1235"/>
      <c r="T506" s="1235"/>
      <c r="U506" s="1235"/>
      <c r="V506" s="1235"/>
      <c r="W506" s="1235"/>
    </row>
    <row r="507" spans="1:23">
      <c r="A507" s="2219"/>
      <c r="B507" s="1176" t="s">
        <v>459</v>
      </c>
      <c r="C507" s="1196">
        <f>SUMIF(Jan!$BT$1:$BT$173,$B507,Jan!$BS$1:$BS$173)</f>
        <v>0</v>
      </c>
      <c r="D507" s="1196">
        <f>SUMIF(Feb!$BT$1:$BT$185,$B507, Feb!$BS$1:$BS$185)</f>
        <v>0</v>
      </c>
      <c r="E507" s="1196">
        <f>SUMIF(Mar!$BT$1:$BT$155,$B507, Mar!$BS$1:$BS$180)</f>
        <v>0</v>
      </c>
      <c r="F507" s="1196">
        <f>SUMIF(Apr!$BX$1:$BX$159,$B507,Apr!$BW$1:$BW$184)</f>
        <v>0</v>
      </c>
      <c r="G507" s="1196">
        <f>SUMIF(May!$BX$1:$BX$200,$B507,May!$BW$1:$BW$200)</f>
        <v>0</v>
      </c>
      <c r="H507" s="1196">
        <f>SUMIF(Jun!$BX$1:$BX$195,$B507,Jun!$BW$1:$BW$195)</f>
        <v>0</v>
      </c>
      <c r="I507" s="1196">
        <f>SUMIF(Jul!$BX$1:$BX$186,$B507,Jul!$BW$1:$BW$186)</f>
        <v>0</v>
      </c>
      <c r="J507" s="1196">
        <f>SUMIF(Aug!$BX$1:$BX$198,$B507,Aug!$BW$1:$BW$198)</f>
        <v>0</v>
      </c>
      <c r="K507" s="1196">
        <f>SUMIF(Sep!$BX$1:$BX$200,$B507,Sep!$BW$1:$BW$200)</f>
        <v>0</v>
      </c>
      <c r="L507" s="1196">
        <f>SUMIF(Oct!$BX$1:$BX$215,$B507,Oct!$BW$1:$BW$215)</f>
        <v>0</v>
      </c>
      <c r="M507" s="1196">
        <f>SUMIF(Nov!$BX$1:$BX$222,$B507,Nov!$BW$1:$BW$222)</f>
        <v>0</v>
      </c>
      <c r="N507" s="1196">
        <f>SUMIF(Dec!$BX$1:$BX$221,$B507,Dec!$BW$1:$BW$221)</f>
        <v>0</v>
      </c>
      <c r="O507" s="1179">
        <f>SUM(C507:N507)/12</f>
        <v>0</v>
      </c>
      <c r="P507" s="1180">
        <f>O507/M!$Q$14</f>
        <v>0</v>
      </c>
      <c r="Q507" s="1235"/>
      <c r="R507" s="1235"/>
      <c r="S507" s="1235"/>
      <c r="T507" s="1235"/>
      <c r="U507" s="1235"/>
      <c r="V507" s="1235"/>
      <c r="W507" s="1235"/>
    </row>
    <row r="508" spans="1:23">
      <c r="A508" s="2199" t="s">
        <v>278</v>
      </c>
      <c r="B508" s="2200"/>
      <c r="C508" s="2203">
        <f t="shared" ref="C508:J508" si="137">SUM(C510:C511)</f>
        <v>769</v>
      </c>
      <c r="D508" s="2203">
        <f t="shared" si="137"/>
        <v>456</v>
      </c>
      <c r="E508" s="2203">
        <f t="shared" si="137"/>
        <v>676</v>
      </c>
      <c r="F508" s="2203">
        <f t="shared" si="137"/>
        <v>1022</v>
      </c>
      <c r="G508" s="2203">
        <f t="shared" si="137"/>
        <v>1034</v>
      </c>
      <c r="H508" s="2203">
        <f t="shared" si="137"/>
        <v>1006</v>
      </c>
      <c r="I508" s="2203">
        <f t="shared" si="137"/>
        <v>776</v>
      </c>
      <c r="J508" s="2203">
        <f t="shared" si="137"/>
        <v>1257</v>
      </c>
      <c r="K508" s="2203">
        <f>SUM(K510:K511)</f>
        <v>1055</v>
      </c>
      <c r="L508" s="2203">
        <f>SUM(L510:L511)</f>
        <v>1459</v>
      </c>
      <c r="M508" s="2203">
        <f>SUM(M510:M511)</f>
        <v>1537</v>
      </c>
      <c r="N508" s="2203">
        <f>SUM(N510:N511)</f>
        <v>1741</v>
      </c>
      <c r="O508" s="2203">
        <f>SUM(O510:O511)</f>
        <v>1065.6666666666665</v>
      </c>
      <c r="P508" s="2205">
        <f>O508/M!$Q$14</f>
        <v>9.5562272779922047E-2</v>
      </c>
      <c r="Q508" s="1235"/>
      <c r="R508" s="1235"/>
      <c r="S508" s="1235"/>
      <c r="T508" s="1235"/>
      <c r="U508" s="1235"/>
      <c r="V508" s="1235"/>
      <c r="W508" s="1235"/>
    </row>
    <row r="509" spans="1:23">
      <c r="A509" s="2201"/>
      <c r="B509" s="2202"/>
      <c r="C509" s="2204"/>
      <c r="D509" s="2204"/>
      <c r="E509" s="2204"/>
      <c r="F509" s="2204"/>
      <c r="G509" s="2204"/>
      <c r="H509" s="2204"/>
      <c r="I509" s="2204"/>
      <c r="J509" s="2204"/>
      <c r="K509" s="2204"/>
      <c r="L509" s="2204"/>
      <c r="M509" s="2204"/>
      <c r="N509" s="2204"/>
      <c r="O509" s="2204"/>
      <c r="P509" s="2206"/>
      <c r="Q509" s="1235"/>
      <c r="R509" s="1235"/>
      <c r="S509" s="1235"/>
      <c r="T509" s="1235"/>
      <c r="U509" s="1235"/>
      <c r="V509" s="1235"/>
      <c r="W509" s="1235"/>
    </row>
    <row r="510" spans="1:23">
      <c r="A510" s="2217"/>
      <c r="B510" s="1176" t="s">
        <v>414</v>
      </c>
      <c r="C510" s="1196">
        <f>SUMIF(Jan!$BX$1:$BX$173,$B510,Jan!$BW$1:$BW$173)</f>
        <v>769</v>
      </c>
      <c r="D510" s="1196">
        <f>SUMIF(Feb!$BT$1:$BT$185,$B510, Feb!$BS$1:$BS$185)</f>
        <v>436</v>
      </c>
      <c r="E510" s="1196">
        <f>SUMIF(Mar!$BX$1:$BX$155,$B510, Mar!$BW$1:$BW$180)</f>
        <v>649</v>
      </c>
      <c r="F510" s="1196">
        <f>SUMIF(Apr!$BX$1:$BX$159,$B510,Apr!$BW$1:$BW$184)</f>
        <v>1022</v>
      </c>
      <c r="G510" s="1196">
        <f>SUMIF(May!$BX$1:$BX$200,$B510,May!$BW$1:$BW$200)</f>
        <v>1034</v>
      </c>
      <c r="H510" s="1196">
        <f>SUMIF(Jun!$BX$1:$BX$195,$B510,Jun!$BW$1:$BW$195)</f>
        <v>1006</v>
      </c>
      <c r="I510" s="1196">
        <f>SUMIF(Jul!$BX$1:$BX$186,$B510,Jul!$BW$1:$BW$186)</f>
        <v>776</v>
      </c>
      <c r="J510" s="1196">
        <f>SUMIF(Aug!$BX$1:$BX$198,$B510,Aug!$BW$1:$BW$198)</f>
        <v>1257</v>
      </c>
      <c r="K510" s="1196">
        <f>SUMIF(Sep!$BX$1:$BX$200,$B510,Sep!$BW$1:$BW$200)</f>
        <v>1002</v>
      </c>
      <c r="L510" s="1196">
        <f>SUMIF(Oct!$BX$1:$BX$215,$B510,Oct!$BW$1:$BW$215)</f>
        <v>1383</v>
      </c>
      <c r="M510" s="1196">
        <f>SUMIF(Nov!$BX$1:$BX$222,$B510,Nov!$BW$1:$BW$222)</f>
        <v>1524</v>
      </c>
      <c r="N510" s="1196">
        <f>SUMIF(Dec!$BX$1:$BX$221,$B510,Dec!$BW$1:$BW$221)</f>
        <v>1680</v>
      </c>
      <c r="O510" s="1179">
        <f>SUM(C510:N510)/12</f>
        <v>1044.8333333333333</v>
      </c>
      <c r="P510" s="1180">
        <f>O510/M!$Q$14</f>
        <v>9.3694070700239496E-2</v>
      </c>
      <c r="Q510" s="1235"/>
      <c r="R510" s="1235"/>
      <c r="S510" s="1235"/>
      <c r="T510" s="1235"/>
      <c r="U510" s="1235"/>
      <c r="V510" s="1235"/>
      <c r="W510" s="1235"/>
    </row>
    <row r="511" spans="1:23">
      <c r="A511" s="2219"/>
      <c r="B511" s="1176" t="s">
        <v>278</v>
      </c>
      <c r="C511" s="1196">
        <f>SUMIF(Jan!$BX$1:$BX$173,$B511,Jan!$BW$1:$BW$173)</f>
        <v>0</v>
      </c>
      <c r="D511" s="1196">
        <f>SUMIF(Feb!$BT$1:$BT$185,$B511, Feb!$BS$1:$BS$185)</f>
        <v>20</v>
      </c>
      <c r="E511" s="1196">
        <f>SUMIF(Mar!$BX$1:$BX$155,$B511, Mar!$BW$1:$BW$180)</f>
        <v>27</v>
      </c>
      <c r="F511" s="1196">
        <f>SUMIF(Apr!$BX$1:$BX$159,$B511,Apr!$BW$1:$BW$184)</f>
        <v>0</v>
      </c>
      <c r="G511" s="1196">
        <f>SUMIF(May!$BX$1:$BX$200,$B511,May!$BW$1:$BW$200)</f>
        <v>0</v>
      </c>
      <c r="H511" s="1196">
        <f>SUMIF(Jun!$BX$1:$BX$195,$B511,Jun!$BW$1:$BW$195)</f>
        <v>0</v>
      </c>
      <c r="I511" s="1196">
        <f>SUMIF(Jul!$BX$1:$BX$186,$B511,Jul!$BW$1:$BW$186)</f>
        <v>0</v>
      </c>
      <c r="J511" s="1196">
        <f>SUMIF(Aug!$BX$1:$BX$198,$B511,Aug!$BW$1:$BW$198)</f>
        <v>0</v>
      </c>
      <c r="K511" s="1196">
        <f>SUMIF(Sep!$BX$1:$BX$200,$B511,Sep!$BW$1:$BW$200)</f>
        <v>53</v>
      </c>
      <c r="L511" s="1196">
        <f>SUMIF(Oct!$BX$1:$BX$215,$B511,Oct!$BW$1:$BW$215)</f>
        <v>76</v>
      </c>
      <c r="M511" s="1196">
        <f>SUMIF(Nov!$BX$1:$BX$222,$B511,Nov!$BW$1:$BW$222)</f>
        <v>13</v>
      </c>
      <c r="N511" s="1196">
        <f>SUMIF(Dec!$BX$1:$BX$221,$B511,Dec!$BW$1:$BW$221)</f>
        <v>61</v>
      </c>
      <c r="O511" s="1179">
        <f>SUM(C511:N511)/12</f>
        <v>20.833333333333332</v>
      </c>
      <c r="P511" s="1180">
        <f>O511/M!$Q$14</f>
        <v>1.8682020796825551E-3</v>
      </c>
      <c r="Q511" s="1235"/>
      <c r="R511" s="1235"/>
      <c r="S511" s="1235"/>
      <c r="T511" s="1235"/>
      <c r="U511" s="1235"/>
      <c r="V511" s="1235"/>
      <c r="W511" s="1235"/>
    </row>
    <row r="512" spans="1:23">
      <c r="A512" s="2199" t="s">
        <v>279</v>
      </c>
      <c r="B512" s="2200"/>
      <c r="C512" s="2203">
        <f t="shared" ref="C512:N512" si="138">SUM(C514:C521)</f>
        <v>869</v>
      </c>
      <c r="D512" s="2203">
        <f t="shared" si="138"/>
        <v>731</v>
      </c>
      <c r="E512" s="2203">
        <f t="shared" si="138"/>
        <v>509</v>
      </c>
      <c r="F512" s="2203">
        <f t="shared" si="138"/>
        <v>659</v>
      </c>
      <c r="G512" s="2203">
        <f t="shared" si="138"/>
        <v>672</v>
      </c>
      <c r="H512" s="2203">
        <f t="shared" si="138"/>
        <v>683</v>
      </c>
      <c r="I512" s="2203">
        <f t="shared" si="138"/>
        <v>685</v>
      </c>
      <c r="J512" s="2203">
        <f t="shared" si="138"/>
        <v>685</v>
      </c>
      <c r="K512" s="2203">
        <f t="shared" si="138"/>
        <v>917</v>
      </c>
      <c r="L512" s="2203">
        <f t="shared" si="138"/>
        <v>1059.6666666666665</v>
      </c>
      <c r="M512" s="2203">
        <f t="shared" si="138"/>
        <v>1702.6666666666667</v>
      </c>
      <c r="N512" s="2203">
        <f t="shared" si="138"/>
        <v>1087.6666666666667</v>
      </c>
      <c r="O512" s="2203">
        <f>SUM(O514:O521)</f>
        <v>855.00000000000011</v>
      </c>
      <c r="P512" s="2205">
        <f>O512/M!$Q$14</f>
        <v>7.6671013350172082E-2</v>
      </c>
      <c r="Q512" s="1235"/>
      <c r="R512" s="1235"/>
      <c r="S512" s="1235"/>
      <c r="T512" s="1235"/>
      <c r="U512" s="1235"/>
      <c r="V512" s="1235"/>
      <c r="W512" s="1235"/>
    </row>
    <row r="513" spans="1:23">
      <c r="A513" s="2201"/>
      <c r="B513" s="2202"/>
      <c r="C513" s="2204"/>
      <c r="D513" s="2204"/>
      <c r="E513" s="2204"/>
      <c r="F513" s="2204"/>
      <c r="G513" s="2204"/>
      <c r="H513" s="2204"/>
      <c r="I513" s="2204"/>
      <c r="J513" s="2204"/>
      <c r="K513" s="2204"/>
      <c r="L513" s="2204"/>
      <c r="M513" s="2204"/>
      <c r="N513" s="2204"/>
      <c r="O513" s="2204"/>
      <c r="P513" s="2206"/>
      <c r="Q513" s="1235"/>
      <c r="R513" s="1235"/>
      <c r="S513" s="1235"/>
      <c r="T513" s="1235"/>
      <c r="U513" s="1235"/>
      <c r="V513" s="1235"/>
      <c r="W513" s="1235"/>
    </row>
    <row r="514" spans="1:23">
      <c r="A514" s="2217"/>
      <c r="B514" s="1176" t="s">
        <v>415</v>
      </c>
      <c r="C514" s="1182">
        <v>310</v>
      </c>
      <c r="D514" s="1182">
        <v>345</v>
      </c>
      <c r="E514" s="1182">
        <v>123</v>
      </c>
      <c r="F514" s="1182">
        <v>95</v>
      </c>
      <c r="G514" s="1182">
        <v>105</v>
      </c>
      <c r="H514" s="1182">
        <v>116</v>
      </c>
      <c r="I514" s="1182">
        <v>118</v>
      </c>
      <c r="J514" s="1182">
        <v>118</v>
      </c>
      <c r="K514" s="1182">
        <v>350</v>
      </c>
      <c r="L514" s="1182">
        <v>231</v>
      </c>
      <c r="M514" s="1182">
        <v>145</v>
      </c>
      <c r="N514" s="1182">
        <v>135</v>
      </c>
      <c r="O514" s="1179">
        <f t="shared" ref="O514:O521" si="139">SUM(C514:N514)/12</f>
        <v>182.58333333333334</v>
      </c>
      <c r="P514" s="1180">
        <f>O514/M!$Q$14</f>
        <v>1.6372923026337916E-2</v>
      </c>
      <c r="Q514" s="1235"/>
      <c r="R514" s="1235"/>
      <c r="S514" s="1235"/>
      <c r="T514" s="1235"/>
      <c r="U514" s="1235"/>
      <c r="V514" s="1235"/>
      <c r="W514" s="1235"/>
    </row>
    <row r="515" spans="1:23">
      <c r="A515" s="2218"/>
      <c r="B515" s="1176" t="s">
        <v>416</v>
      </c>
      <c r="C515" s="1182">
        <v>47</v>
      </c>
      <c r="D515" s="1182">
        <v>47</v>
      </c>
      <c r="E515" s="1182">
        <v>47</v>
      </c>
      <c r="F515" s="1182">
        <v>57</v>
      </c>
      <c r="G515" s="1182">
        <v>57</v>
      </c>
      <c r="H515" s="1182">
        <v>57</v>
      </c>
      <c r="I515" s="1182">
        <v>57</v>
      </c>
      <c r="J515" s="1182">
        <v>57</v>
      </c>
      <c r="K515" s="1182">
        <v>57</v>
      </c>
      <c r="L515" s="1182">
        <f>57+ 200</f>
        <v>257</v>
      </c>
      <c r="M515" s="1182">
        <v>1007</v>
      </c>
      <c r="N515" s="1182">
        <v>255</v>
      </c>
      <c r="O515" s="1179">
        <f t="shared" si="139"/>
        <v>166.83333333333334</v>
      </c>
      <c r="P515" s="1180">
        <f>O515/M!$Q$14</f>
        <v>1.4960562254097903E-2</v>
      </c>
      <c r="Q515" s="1235"/>
      <c r="R515" s="1235"/>
      <c r="S515" s="1235"/>
      <c r="T515" s="1235"/>
      <c r="U515" s="1235"/>
      <c r="V515" s="1235"/>
      <c r="W515" s="1235"/>
    </row>
    <row r="516" spans="1:23">
      <c r="A516" s="2218"/>
      <c r="B516" s="1176" t="s">
        <v>417</v>
      </c>
      <c r="C516" s="1182">
        <v>58</v>
      </c>
      <c r="D516" s="1182">
        <v>55</v>
      </c>
      <c r="E516" s="1182">
        <v>55</v>
      </c>
      <c r="F516" s="1182">
        <v>52</v>
      </c>
      <c r="G516" s="1182">
        <v>55</v>
      </c>
      <c r="H516" s="1182">
        <v>55</v>
      </c>
      <c r="I516" s="1182">
        <v>55</v>
      </c>
      <c r="J516" s="1182">
        <v>55</v>
      </c>
      <c r="K516" s="1182">
        <v>55</v>
      </c>
      <c r="L516" s="1182">
        <f>233/3</f>
        <v>77.666666666666671</v>
      </c>
      <c r="M516" s="1182">
        <f>233/3</f>
        <v>77.666666666666671</v>
      </c>
      <c r="N516" s="1182">
        <f>233/3</f>
        <v>77.666666666666671</v>
      </c>
      <c r="O516" s="1179">
        <f t="shared" si="139"/>
        <v>60.666666666666657</v>
      </c>
      <c r="P516" s="1180">
        <f>O516/M!$Q$14</f>
        <v>5.4402044560355996E-3</v>
      </c>
      <c r="Q516" s="1235"/>
      <c r="R516" s="1235"/>
      <c r="S516" s="1235"/>
      <c r="T516" s="1235"/>
      <c r="U516" s="1235"/>
      <c r="V516" s="1235"/>
      <c r="W516" s="1235"/>
    </row>
    <row r="517" spans="1:23">
      <c r="A517" s="2218"/>
      <c r="B517" s="1176" t="s">
        <v>410</v>
      </c>
      <c r="C517" s="1177">
        <f>SUMIF(Jan!$BX$1:$BX$173,$B517,Jan!$BW$1:$BW$173)</f>
        <v>189</v>
      </c>
      <c r="D517" s="1182">
        <v>29</v>
      </c>
      <c r="E517" s="1182">
        <v>29</v>
      </c>
      <c r="F517" s="1182">
        <v>200</v>
      </c>
      <c r="G517" s="1182">
        <v>200</v>
      </c>
      <c r="H517" s="1182">
        <v>200</v>
      </c>
      <c r="I517" s="1182">
        <v>200</v>
      </c>
      <c r="J517" s="1182">
        <v>200</v>
      </c>
      <c r="K517" s="1182">
        <v>200</v>
      </c>
      <c r="L517" s="1182">
        <v>0</v>
      </c>
      <c r="M517" s="1182">
        <v>167</v>
      </c>
      <c r="N517" s="1182">
        <v>310</v>
      </c>
      <c r="O517" s="1179">
        <f t="shared" si="139"/>
        <v>160.33333333333334</v>
      </c>
      <c r="P517" s="1180">
        <f>O517/M!$Q$14</f>
        <v>1.4377683205236946E-2</v>
      </c>
      <c r="Q517" s="1235"/>
      <c r="R517" s="1235"/>
      <c r="S517" s="1235"/>
      <c r="T517" s="1235"/>
      <c r="U517" s="1235"/>
      <c r="V517" s="1235"/>
      <c r="W517" s="1235"/>
    </row>
    <row r="518" spans="1:23">
      <c r="A518" s="2218"/>
      <c r="B518" s="1176" t="s">
        <v>418</v>
      </c>
      <c r="C518" s="1182">
        <v>75</v>
      </c>
      <c r="D518" s="1182">
        <v>55</v>
      </c>
      <c r="E518" s="1182">
        <v>55</v>
      </c>
      <c r="F518" s="1182">
        <v>65</v>
      </c>
      <c r="G518" s="1182">
        <v>65</v>
      </c>
      <c r="H518" s="1182">
        <v>65</v>
      </c>
      <c r="I518" s="1182">
        <v>65</v>
      </c>
      <c r="J518" s="1182">
        <v>65</v>
      </c>
      <c r="K518" s="1182">
        <v>65</v>
      </c>
      <c r="L518" s="1182">
        <f>95+ 194 + 15</f>
        <v>304</v>
      </c>
      <c r="M518" s="1182">
        <f>95+ 15</f>
        <v>110</v>
      </c>
      <c r="N518" s="1182">
        <f>95+ 15</f>
        <v>110</v>
      </c>
      <c r="O518" s="1179">
        <f t="shared" si="139"/>
        <v>91.583333333333329</v>
      </c>
      <c r="P518" s="1180">
        <f>O518/M!$Q$14</f>
        <v>8.2126163422845122E-3</v>
      </c>
      <c r="Q518" s="1235"/>
      <c r="R518" s="1235"/>
      <c r="S518" s="1235"/>
      <c r="T518" s="1235"/>
      <c r="U518" s="1235"/>
      <c r="V518" s="1235"/>
      <c r="W518" s="1235"/>
    </row>
    <row r="519" spans="1:23">
      <c r="A519" s="2218"/>
      <c r="B519" s="1176" t="s">
        <v>419</v>
      </c>
      <c r="C519" s="1182">
        <v>0</v>
      </c>
      <c r="D519" s="1182">
        <v>0</v>
      </c>
      <c r="E519" s="1182">
        <v>0</v>
      </c>
      <c r="F519" s="1182">
        <v>0</v>
      </c>
      <c r="G519" s="1182">
        <v>0</v>
      </c>
      <c r="H519" s="1182">
        <v>0</v>
      </c>
      <c r="I519" s="1182">
        <v>0</v>
      </c>
      <c r="J519" s="1182">
        <v>0</v>
      </c>
      <c r="K519" s="1182">
        <v>0</v>
      </c>
      <c r="L519" s="1182">
        <v>0</v>
      </c>
      <c r="M519" s="1182">
        <v>0</v>
      </c>
      <c r="N519" s="1182">
        <v>0</v>
      </c>
      <c r="O519" s="1179">
        <f t="shared" si="139"/>
        <v>0</v>
      </c>
      <c r="P519" s="1180">
        <f>O519/M!$Q$14</f>
        <v>0</v>
      </c>
      <c r="Q519" s="1235"/>
      <c r="R519" s="1235"/>
      <c r="S519" s="1235"/>
      <c r="T519" s="1235"/>
      <c r="U519" s="1235"/>
      <c r="V519" s="1235"/>
      <c r="W519" s="1235"/>
    </row>
    <row r="520" spans="1:23">
      <c r="A520" s="2218"/>
      <c r="B520" s="1176" t="s">
        <v>460</v>
      </c>
      <c r="C520" s="1182">
        <v>0</v>
      </c>
      <c r="D520" s="1182">
        <v>10</v>
      </c>
      <c r="E520" s="1182">
        <v>10</v>
      </c>
      <c r="F520" s="1182">
        <v>0</v>
      </c>
      <c r="G520" s="1182">
        <v>0</v>
      </c>
      <c r="H520" s="1182">
        <v>0</v>
      </c>
      <c r="I520" s="1182">
        <v>0</v>
      </c>
      <c r="J520" s="1182">
        <v>0</v>
      </c>
      <c r="K520" s="1182">
        <v>0</v>
      </c>
      <c r="L520" s="1182">
        <v>0</v>
      </c>
      <c r="M520" s="1182">
        <v>0</v>
      </c>
      <c r="N520" s="1182">
        <v>10</v>
      </c>
      <c r="O520" s="1179">
        <f t="shared" si="139"/>
        <v>2.5</v>
      </c>
      <c r="P520" s="1180">
        <f>O520/M!$Q$14</f>
        <v>2.2418424956190662E-4</v>
      </c>
      <c r="Q520" s="1235"/>
      <c r="R520" s="1235"/>
      <c r="S520" s="1235"/>
      <c r="T520" s="1235"/>
      <c r="U520" s="1235"/>
      <c r="V520" s="1235"/>
      <c r="W520" s="1235"/>
    </row>
    <row r="521" spans="1:23">
      <c r="A521" s="2219"/>
      <c r="B521" s="1176" t="s">
        <v>421</v>
      </c>
      <c r="C521" s="1182">
        <v>190</v>
      </c>
      <c r="D521" s="1182">
        <v>190</v>
      </c>
      <c r="E521" s="1182">
        <v>190</v>
      </c>
      <c r="F521" s="1182">
        <v>190</v>
      </c>
      <c r="G521" s="1182">
        <v>190</v>
      </c>
      <c r="H521" s="1182">
        <v>190</v>
      </c>
      <c r="I521" s="1182">
        <v>190</v>
      </c>
      <c r="J521" s="1182">
        <v>190</v>
      </c>
      <c r="K521" s="1182">
        <v>190</v>
      </c>
      <c r="L521" s="1182">
        <v>190</v>
      </c>
      <c r="M521" s="1182">
        <v>196</v>
      </c>
      <c r="N521" s="1182">
        <v>190</v>
      </c>
      <c r="O521" s="1179">
        <f t="shared" si="139"/>
        <v>190.5</v>
      </c>
      <c r="P521" s="1180">
        <f>O521/M!$Q$14</f>
        <v>1.7082839816617283E-2</v>
      </c>
      <c r="Q521" s="1235"/>
      <c r="R521" s="1235"/>
      <c r="S521" s="1235"/>
      <c r="T521" s="1235"/>
      <c r="U521" s="1235"/>
      <c r="V521" s="1235"/>
      <c r="W521" s="1235"/>
    </row>
    <row r="522" spans="1:23">
      <c r="A522" s="2199" t="s">
        <v>280</v>
      </c>
      <c r="B522" s="2200"/>
      <c r="C522" s="2203">
        <f t="shared" ref="C522:O522" si="140">SUM(C524:C530)</f>
        <v>167</v>
      </c>
      <c r="D522" s="2203">
        <f t="shared" si="140"/>
        <v>2812</v>
      </c>
      <c r="E522" s="2203">
        <f t="shared" si="140"/>
        <v>201</v>
      </c>
      <c r="F522" s="2203">
        <f t="shared" si="140"/>
        <v>756</v>
      </c>
      <c r="G522" s="2203">
        <f t="shared" si="140"/>
        <v>183</v>
      </c>
      <c r="H522" s="2203">
        <f t="shared" si="140"/>
        <v>965</v>
      </c>
      <c r="I522" s="2203">
        <f t="shared" si="140"/>
        <v>372</v>
      </c>
      <c r="J522" s="2203">
        <f t="shared" si="140"/>
        <v>700</v>
      </c>
      <c r="K522" s="2203">
        <f t="shared" si="140"/>
        <v>3783</v>
      </c>
      <c r="L522" s="2203">
        <f t="shared" si="140"/>
        <v>6780</v>
      </c>
      <c r="M522" s="2203">
        <f t="shared" si="140"/>
        <v>2134</v>
      </c>
      <c r="N522" s="2203">
        <f t="shared" si="140"/>
        <v>2927</v>
      </c>
      <c r="O522" s="2203">
        <f t="shared" si="140"/>
        <v>1815</v>
      </c>
      <c r="P522" s="2205">
        <f>O522/M!$Q$14</f>
        <v>0.16275776518194421</v>
      </c>
      <c r="Q522" s="1235"/>
      <c r="R522" s="1235"/>
      <c r="S522" s="1235"/>
      <c r="T522" s="1235"/>
      <c r="U522" s="1235"/>
      <c r="V522" s="1235"/>
      <c r="W522" s="1235"/>
    </row>
    <row r="523" spans="1:23">
      <c r="A523" s="2201"/>
      <c r="B523" s="2202"/>
      <c r="C523" s="2204"/>
      <c r="D523" s="2204"/>
      <c r="E523" s="2204"/>
      <c r="F523" s="2204"/>
      <c r="G523" s="2204"/>
      <c r="H523" s="2204"/>
      <c r="I523" s="2204"/>
      <c r="J523" s="2204"/>
      <c r="K523" s="2204"/>
      <c r="L523" s="2204"/>
      <c r="M523" s="2204"/>
      <c r="N523" s="2204"/>
      <c r="O523" s="2204"/>
      <c r="P523" s="2206"/>
      <c r="Q523" s="1235"/>
      <c r="R523" s="1235"/>
      <c r="S523" s="1235"/>
      <c r="T523" s="1235"/>
      <c r="U523" s="1235"/>
      <c r="V523" s="1235"/>
      <c r="W523" s="1235"/>
    </row>
    <row r="524" spans="1:23">
      <c r="A524" s="2217"/>
      <c r="B524" s="1176" t="s">
        <v>280</v>
      </c>
      <c r="C524" s="1196">
        <f>SUMIF(Jan!$BX$1:$BX$173,$B524,Jan!$BW$1:$BW$173)</f>
        <v>167</v>
      </c>
      <c r="D524" s="1196">
        <f>SUMIF(Feb!$BT$1:$BT$185,$B524, Feb!$BS$1:$BS$185)</f>
        <v>2</v>
      </c>
      <c r="E524" s="1196">
        <f>SUMIF(Mar!$BX$1:$BX$155,$B524, Mar!$BW$1:$BW$180)</f>
        <v>201</v>
      </c>
      <c r="F524" s="1196">
        <f>SUMIF(Apr!$BX$1:$BX$159,$B524,Apr!$BW$1:$BW$184)</f>
        <v>627</v>
      </c>
      <c r="G524" s="1196">
        <f>SUMIF(May!$BX$1:$BX$200,$B524,May!$BW$1:$BW$200)</f>
        <v>153</v>
      </c>
      <c r="H524" s="1196">
        <f>SUMIF(Jun!$BX$1:$BX$195,$B524,Jun!$BW$1:$BW$195)</f>
        <v>923</v>
      </c>
      <c r="I524" s="1196">
        <f>SUMIF(Jul!$BX$1:$BX$186,$B524,Jul!$BW$1:$BW$186)</f>
        <v>313</v>
      </c>
      <c r="J524" s="1196">
        <f>SUMIF(Aug!$BX$1:$BX$198,$B524,Aug!$BW$1:$BW$198)</f>
        <v>580</v>
      </c>
      <c r="K524" s="1196">
        <f>SUMIF(Sep!$BX$1:$BX$200,$B524,Sep!$BW$1:$BW$200)</f>
        <v>96</v>
      </c>
      <c r="L524" s="1196">
        <f>SUMIF(Oct!$BX$1:$BX$215,$B524,Oct!$BW$1:$BW$215)</f>
        <v>192</v>
      </c>
      <c r="M524" s="1196">
        <f>SUMIF(Nov!$BX$1:$BX$222,$B524,Nov!$BW$1:$BW$222)</f>
        <v>1057</v>
      </c>
      <c r="N524" s="1196">
        <f>SUMIF(Dec!$BX$1:$BX$221,$B524,Dec!$BW$1:$BW$221)</f>
        <v>1439</v>
      </c>
      <c r="O524" s="1179">
        <f t="shared" ref="O524:O530" si="141">SUM(C524:N524)/12</f>
        <v>479.16666666666669</v>
      </c>
      <c r="P524" s="1180">
        <f>O524/M!$Q$14</f>
        <v>4.296864783269877E-2</v>
      </c>
      <c r="Q524" s="1235"/>
      <c r="R524" s="1235"/>
      <c r="S524" s="1235"/>
      <c r="T524" s="1235"/>
      <c r="U524" s="1235"/>
      <c r="V524" s="1235"/>
      <c r="W524" s="1235"/>
    </row>
    <row r="525" spans="1:23">
      <c r="A525" s="2218"/>
      <c r="B525" s="1176" t="s">
        <v>700</v>
      </c>
      <c r="C525" s="1196">
        <f>SUMIF(Jan!$BX$1:$BX$173,$B525,Jan!$BW$1:$BW$173)</f>
        <v>0</v>
      </c>
      <c r="D525" s="1196">
        <f>SUMIF(Feb!$BT$1:$BT$185,$B525, Feb!$BS$1:$BS$185)</f>
        <v>195</v>
      </c>
      <c r="E525" s="1196">
        <f>SUMIF(Mar!$BX$1:$BX$155,$B525, Mar!$BW$1:$BW$180)</f>
        <v>0</v>
      </c>
      <c r="F525" s="1196">
        <f>SUMIF(Apr!$BX$1:$BX$159,$B525,Apr!$BW$1:$BW$184)</f>
        <v>129</v>
      </c>
      <c r="G525" s="1196">
        <f>SUMIF(May!$BX$1:$BX$200,$B525,May!$BW$1:$BW$200)</f>
        <v>0</v>
      </c>
      <c r="H525" s="1196">
        <f>SUMIF(Jun!$BX$1:$BX$195,$B525,Jun!$BW$1:$BW$195)</f>
        <v>32</v>
      </c>
      <c r="I525" s="1196">
        <f>SUMIF(Jul!$BX$1:$BX$186,$B525,Jul!$BW$1:$BW$186)</f>
        <v>59</v>
      </c>
      <c r="J525" s="1196">
        <f>SUMIF(Aug!$BX$1:$BX$198,$B525,Aug!$BW$1:$BW$198)</f>
        <v>120</v>
      </c>
      <c r="K525" s="1196">
        <f>SUMIF(Sep!$BX$1:$BX$200,$B525,Sep!$BW$1:$BW$200)</f>
        <v>118</v>
      </c>
      <c r="L525" s="1196">
        <f>SUMIF(Oct!$BX$1:$BX$215,$B525,Oct!$BW$1:$BW$215)</f>
        <v>205</v>
      </c>
      <c r="M525" s="1196">
        <f>SUMIF(Nov!$BX$1:$BX$222,$B525,Nov!$BW$1:$BW$222)</f>
        <v>210</v>
      </c>
      <c r="N525" s="1196">
        <f>SUMIF(Dec!$BX$1:$BX$221,$B525,Dec!$BW$1:$BW$221)</f>
        <v>133</v>
      </c>
      <c r="O525" s="1179">
        <f t="shared" si="141"/>
        <v>100.08333333333333</v>
      </c>
      <c r="P525" s="1180">
        <f>O525/M!$Q$14</f>
        <v>8.974842790794994E-3</v>
      </c>
      <c r="Q525" s="1235"/>
      <c r="R525" s="1235"/>
      <c r="S525" s="1235"/>
      <c r="T525" s="1235"/>
      <c r="U525" s="1235"/>
      <c r="V525" s="1235"/>
      <c r="W525" s="1235"/>
    </row>
    <row r="526" spans="1:23">
      <c r="A526" s="2218"/>
      <c r="B526" s="1176" t="s">
        <v>701</v>
      </c>
      <c r="C526" s="1196">
        <f>SUMIF(Jan!$BX$1:$BX$173,$B526,Jan!$BW$1:$BW$173)</f>
        <v>0</v>
      </c>
      <c r="D526" s="1196">
        <f>SUMIF(Feb!$BT$1:$BT$185,$B526, Feb!$BS$1:$BS$185)</f>
        <v>0</v>
      </c>
      <c r="E526" s="1196">
        <f>SUMIF(Mar!$BX$1:$BX$155,$B526, Mar!$BW$1:$BW$180)</f>
        <v>0</v>
      </c>
      <c r="F526" s="1196">
        <f>SUMIF(Apr!$BX$1:$BX$159,$B526,Apr!$BW$1:$BW$184)</f>
        <v>0</v>
      </c>
      <c r="G526" s="1196">
        <f>SUMIF(May!$BX$1:$BX$200,$B526,May!$BW$1:$BW$200)</f>
        <v>0</v>
      </c>
      <c r="H526" s="1196">
        <f>SUMIF(Jun!$BX$1:$BX$195,$B526,Jun!$BW$1:$BW$195)</f>
        <v>0</v>
      </c>
      <c r="I526" s="1196">
        <f>SUMIF(Jul!$BX$1:$BX$186,$B526,Jul!$BW$1:$BW$186)</f>
        <v>0</v>
      </c>
      <c r="J526" s="1196">
        <f>SUMIF(Aug!$BX$1:$BX$198,$B526,Aug!$BW$1:$BW$198)</f>
        <v>0</v>
      </c>
      <c r="K526" s="1196">
        <f>SUMIF(Sep!$BX$1:$BX$200,$B526,Sep!$BW$1:$BW$200)</f>
        <v>3569</v>
      </c>
      <c r="L526" s="1196">
        <f>SUMIF(Oct!$BX$1:$BX$215,$B526,Oct!$BW$1:$BW$215)</f>
        <v>6383</v>
      </c>
      <c r="M526" s="1196">
        <f>SUMIF(Nov!$BX$1:$BX$222,$B526,Nov!$BW$1:$BW$222)</f>
        <v>834</v>
      </c>
      <c r="N526" s="1196">
        <f>SUMIF(Dec!$BX$1:$BX$221,$B526,Dec!$BW$1:$BW$221)</f>
        <v>1355</v>
      </c>
      <c r="O526" s="1179">
        <f t="shared" si="141"/>
        <v>1011.75</v>
      </c>
      <c r="P526" s="1180">
        <f>O526/M!$Q$14</f>
        <v>9.0727365797703616E-2</v>
      </c>
      <c r="Q526" s="1235"/>
      <c r="R526" s="1235"/>
      <c r="S526" s="1235"/>
      <c r="T526" s="1235"/>
      <c r="U526" s="1235"/>
      <c r="V526" s="1235"/>
      <c r="W526" s="1235"/>
    </row>
    <row r="527" spans="1:23">
      <c r="A527" s="2218"/>
      <c r="B527" s="1176" t="s">
        <v>702</v>
      </c>
      <c r="C527" s="1196">
        <f>SUMIF(Jan!$BX$1:$BX$173,$B527,Jan!$BW$1:$BW$173)</f>
        <v>0</v>
      </c>
      <c r="D527" s="1196">
        <f>SUMIF(Feb!$BT$1:$BT$185,$B527, Feb!$BS$1:$BS$185)</f>
        <v>3</v>
      </c>
      <c r="E527" s="1196">
        <f>SUMIF(Mar!$BX$1:$BX$155,$B527, Mar!$BW$1:$BW$180)</f>
        <v>0</v>
      </c>
      <c r="F527" s="1196">
        <f>SUMIF(Apr!$BX$1:$BX$159,$B527,Apr!$BW$1:$BW$184)</f>
        <v>0</v>
      </c>
      <c r="G527" s="1196">
        <v>30</v>
      </c>
      <c r="H527" s="1196">
        <f>SUMIF(Jun!$BX$1:$BX$195,$B527,Jun!$BW$1:$BW$195)</f>
        <v>0</v>
      </c>
      <c r="I527" s="1196">
        <f>SUMIF(Jul!$BX$1:$BX$186,$B527,Jul!$BW$1:$BW$186)</f>
        <v>0</v>
      </c>
      <c r="J527" s="1196">
        <f>SUMIF(Aug!$BX$1:$BX$198,$B527,Aug!$BW$1:$BW$198)</f>
        <v>0</v>
      </c>
      <c r="K527" s="1196">
        <f>SUMIF(Sep!$BX$1:$BX$200,$B527,Sep!$BW$1:$BW$200)</f>
        <v>0</v>
      </c>
      <c r="L527" s="1196">
        <f>SUMIF(Oct!$BX$1:$BX$215,$B527,Oct!$BW$1:$BW$215)</f>
        <v>0</v>
      </c>
      <c r="M527" s="1196">
        <f>SUMIF(Nov!$BX$1:$BX$222,$B527,Nov!$BW$1:$BW$222)</f>
        <v>23</v>
      </c>
      <c r="N527" s="1196">
        <f>SUMIF(Dec!$BX$1:$BX$221,$B527,Dec!$BW$1:$BW$221)</f>
        <v>0</v>
      </c>
      <c r="O527" s="1179">
        <f t="shared" si="141"/>
        <v>4.666666666666667</v>
      </c>
      <c r="P527" s="1180">
        <f>O527/M!$Q$14</f>
        <v>4.1847726584889238E-4</v>
      </c>
      <c r="Q527" s="1235"/>
      <c r="R527" s="1235"/>
      <c r="S527" s="1235"/>
      <c r="T527" s="1235"/>
      <c r="U527" s="1235"/>
      <c r="V527" s="1235"/>
      <c r="W527" s="1235"/>
    </row>
    <row r="528" spans="1:23">
      <c r="A528" s="2218"/>
      <c r="B528" s="1176" t="s">
        <v>667</v>
      </c>
      <c r="C528" s="1196">
        <f>SUMIF(Jan!$BX$1:$BX$173,$B528,Jan!$BW$1:$BW$173)</f>
        <v>0</v>
      </c>
      <c r="D528" s="1196">
        <f>SUMIF(Feb!$BT$1:$BT$185,$B528, Feb!$BS$1:$BS$185)</f>
        <v>0</v>
      </c>
      <c r="E528" s="1196">
        <f>SUMIF(Mar!$BX$1:$BX$155,$B528, Mar!$BW$1:$BW$180)</f>
        <v>0</v>
      </c>
      <c r="F528" s="1196">
        <f>SUMIF(Apr!$BX$1:$BX$159,$B528,Apr!$BW$1:$BW$184)</f>
        <v>0</v>
      </c>
      <c r="G528" s="1196">
        <f>SUMIF(May!$BX$1:$BX$200,$B528,May!$BW$1:$BW$200)</f>
        <v>0</v>
      </c>
      <c r="H528" s="1196">
        <f>SUMIF(Jun!$BX$1:$BX$195,$B528,Jun!$BW$1:$BW$195)</f>
        <v>0</v>
      </c>
      <c r="I528" s="1196">
        <f>SUMIF(Jul!$BX$1:$BX$186,$B528,Jul!$BW$1:$BW$186)</f>
        <v>0</v>
      </c>
      <c r="J528" s="1196">
        <f>SUMIF(Aug!$BX$1:$BX$198,$B528,Aug!$BW$1:$BW$198)</f>
        <v>0</v>
      </c>
      <c r="K528" s="1196">
        <f>SUMIF(Sep!$BX$1:$BX$200,$B528,Sep!$BW$1:$BW$200)</f>
        <v>0</v>
      </c>
      <c r="L528" s="1196">
        <f>SUMIF(Oct!$BX$1:$BX$215,$B528,Oct!$BW$1:$BW$215)</f>
        <v>0</v>
      </c>
      <c r="M528" s="1196">
        <f>SUMIF(Nov!$BX$1:$BX$222,$B528,Nov!$BW$1:$BW$222)</f>
        <v>10</v>
      </c>
      <c r="N528" s="1196">
        <f>SUMIF(Dec!$BX$1:$BX$221,$B528,Dec!$BW$1:$BW$221)</f>
        <v>0</v>
      </c>
      <c r="O528" s="1179">
        <f t="shared" si="141"/>
        <v>0.83333333333333337</v>
      </c>
      <c r="P528" s="1180">
        <f>O528/M!$Q$14</f>
        <v>7.4728083187302214E-5</v>
      </c>
      <c r="Q528" s="1235"/>
      <c r="R528" s="1235"/>
      <c r="S528" s="1235"/>
      <c r="T528" s="1235"/>
      <c r="U528" s="1235"/>
      <c r="V528" s="1235"/>
      <c r="W528" s="1235"/>
    </row>
    <row r="529" spans="1:23">
      <c r="A529" s="2218"/>
      <c r="B529" s="1176" t="s">
        <v>427</v>
      </c>
      <c r="C529" s="1196">
        <f>SUMIF(Jan!$BX$1:$BX$173,$B529,Jan!$BW$1:$BW$173)</f>
        <v>0</v>
      </c>
      <c r="D529" s="1196">
        <f>SUMIF(Feb!$BT$1:$BT$185,$B529, Feb!$BS$1:$BS$185)</f>
        <v>0</v>
      </c>
      <c r="E529" s="1196">
        <f>SUMIF(Mar!$BX$1:$BX$155,$B529, Mar!$BW$1:$BW$180)</f>
        <v>0</v>
      </c>
      <c r="F529" s="1196">
        <f>SUMIF(Apr!$BX$1:$BX$159,$B529,Apr!$BW$1:$BW$184)</f>
        <v>0</v>
      </c>
      <c r="G529" s="1196">
        <f>SUMIF(May!$BX$1:$BX$200,$B529,May!$BW$1:$BW$200)</f>
        <v>0</v>
      </c>
      <c r="H529" s="1196">
        <f>SUMIF(Jun!$BX$1:$BX$195,$B529,Jun!$BW$1:$BW$195)</f>
        <v>0</v>
      </c>
      <c r="I529" s="1196">
        <f>SUMIF(Jul!$BX$1:$BX$186,$B529,Jul!$BW$1:$BW$186)</f>
        <v>0</v>
      </c>
      <c r="J529" s="1196">
        <f>SUMIF(Aug!$BX$1:$BX$198,$B529,Aug!$BW$1:$BW$198)</f>
        <v>0</v>
      </c>
      <c r="K529" s="1196">
        <f>SUMIF(Sep!$BX$1:$BX$200,$B529,Sep!$BW$1:$BW$200)</f>
        <v>0</v>
      </c>
      <c r="L529" s="1196">
        <f>SUMIF(Oct!$BX$1:$BX$215,$B529,Oct!$BW$1:$BW$215)</f>
        <v>0</v>
      </c>
      <c r="M529" s="1196">
        <f>SUMIF(Nov!$BX$1:$BX$222,$B529,Nov!$BW$1:$BW$222)</f>
        <v>0</v>
      </c>
      <c r="N529" s="1196">
        <f>SUMIF(Dec!$BX$1:$BX$221,$B529,Dec!$BW$1:$BW$221)</f>
        <v>0</v>
      </c>
      <c r="O529" s="1179">
        <f t="shared" si="141"/>
        <v>0</v>
      </c>
      <c r="P529" s="1180">
        <f>O529/M!$Q$14</f>
        <v>0</v>
      </c>
      <c r="Q529" s="1235"/>
      <c r="R529" s="1235"/>
      <c r="S529" s="1235"/>
      <c r="T529" s="1235"/>
      <c r="U529" s="1235"/>
      <c r="V529" s="1235"/>
      <c r="W529" s="1235"/>
    </row>
    <row r="530" spans="1:23">
      <c r="A530" s="2219"/>
      <c r="B530" s="1176" t="s">
        <v>381</v>
      </c>
      <c r="C530" s="1196">
        <f>SUMIF(Jan!$BX$1:$BX$173,$B530,Jan!$BW$1:$BW$173)</f>
        <v>0</v>
      </c>
      <c r="D530" s="1196">
        <f>SUMIF(Feb!$BT$1:$BT$185,$B530, Feb!$BS$1:$BS$185)</f>
        <v>2612</v>
      </c>
      <c r="E530" s="1196">
        <f>SUMIF(Mar!$BX$1:$BX$155,$B530, Mar!$BW$1:$BW$180)</f>
        <v>0</v>
      </c>
      <c r="F530" s="1196">
        <f>SUMIF(Apr!$BX$1:$BX$159,$B530,Apr!$BW$1:$BW$184)</f>
        <v>0</v>
      </c>
      <c r="G530" s="1196">
        <f>SUMIF(May!$BX$1:$BX$200,$B530,May!$BW$1:$BW$200)</f>
        <v>0</v>
      </c>
      <c r="H530" s="1196">
        <f>SUMIF(Jun!$BX$1:$BX$195,$B530,Jun!$BW$1:$BW$195)</f>
        <v>10</v>
      </c>
      <c r="I530" s="1196">
        <f>SUMIF(Jul!$BX$1:$BX$186,$B530,Jul!$BW$1:$BW$186)</f>
        <v>0</v>
      </c>
      <c r="J530" s="1196">
        <f>SUMIF(Aug!$BX$1:$BX$198,$B530,Aug!$BW$1:$BW$198)</f>
        <v>0</v>
      </c>
      <c r="K530" s="1196">
        <f>SUMIF(Sep!$BX$1:$BX$200,$B530,Sep!$BW$1:$BW$200)</f>
        <v>0</v>
      </c>
      <c r="L530" s="1196">
        <f>SUMIF(Oct!$BX$1:$BX$215,$B530,Oct!$BW$1:$BW$215)</f>
        <v>0</v>
      </c>
      <c r="M530" s="1196">
        <f>SUMIF(Nov!$BX$1:$BX$222,$B530,Nov!$BW$1:$BW$222)</f>
        <v>0</v>
      </c>
      <c r="N530" s="1196">
        <f>SUMIF(Dec!$BX$1:$BX$221,$B530,Dec!$BW$1:$BW$221)</f>
        <v>0</v>
      </c>
      <c r="O530" s="1179">
        <f t="shared" si="141"/>
        <v>218.5</v>
      </c>
      <c r="P530" s="1180">
        <f>O530/M!$Q$14</f>
        <v>1.9593703411710638E-2</v>
      </c>
      <c r="Q530" s="1235"/>
      <c r="R530" s="1235"/>
      <c r="S530" s="1235"/>
      <c r="T530" s="1235"/>
      <c r="U530" s="1235"/>
      <c r="V530" s="1235"/>
      <c r="W530" s="1235"/>
    </row>
    <row r="531" spans="1:23">
      <c r="A531" s="2199" t="s">
        <v>428</v>
      </c>
      <c r="B531" s="2200"/>
      <c r="C531" s="2203">
        <f>SUM(C533:C534)</f>
        <v>4178</v>
      </c>
      <c r="D531" s="2203">
        <f t="shared" ref="D531:N531" si="142">SUM(D533:D534)</f>
        <v>1790</v>
      </c>
      <c r="E531" s="2203">
        <f t="shared" si="142"/>
        <v>2814</v>
      </c>
      <c r="F531" s="2203">
        <f t="shared" si="142"/>
        <v>620</v>
      </c>
      <c r="G531" s="2203">
        <f t="shared" si="142"/>
        <v>621</v>
      </c>
      <c r="H531" s="2203">
        <f t="shared" si="142"/>
        <v>3011</v>
      </c>
      <c r="I531" s="2203">
        <f t="shared" si="142"/>
        <v>1145</v>
      </c>
      <c r="J531" s="2203">
        <f t="shared" si="142"/>
        <v>1027</v>
      </c>
      <c r="K531" s="2203">
        <f t="shared" si="142"/>
        <v>1045</v>
      </c>
      <c r="L531" s="2203">
        <f t="shared" si="142"/>
        <v>1129</v>
      </c>
      <c r="M531" s="2203">
        <f t="shared" si="142"/>
        <v>1011</v>
      </c>
      <c r="N531" s="2203">
        <f t="shared" si="142"/>
        <v>1231</v>
      </c>
      <c r="O531" s="2203">
        <f>SUM(O533:O534)</f>
        <v>1635.1666666666665</v>
      </c>
      <c r="P531" s="2205">
        <f>O531/M!$Q$14</f>
        <v>0.14663144483012439</v>
      </c>
      <c r="Q531" s="1235"/>
      <c r="R531" s="1235"/>
      <c r="S531" s="1235"/>
      <c r="T531" s="1235"/>
      <c r="U531" s="1235"/>
      <c r="V531" s="1235"/>
      <c r="W531" s="1235"/>
    </row>
    <row r="532" spans="1:23">
      <c r="A532" s="2201"/>
      <c r="B532" s="2202"/>
      <c r="C532" s="2204"/>
      <c r="D532" s="2204"/>
      <c r="E532" s="2204"/>
      <c r="F532" s="2204"/>
      <c r="G532" s="2204"/>
      <c r="H532" s="2204"/>
      <c r="I532" s="2204"/>
      <c r="J532" s="2204"/>
      <c r="K532" s="2204"/>
      <c r="L532" s="2204"/>
      <c r="M532" s="2204"/>
      <c r="N532" s="2204"/>
      <c r="O532" s="2204"/>
      <c r="P532" s="2206"/>
      <c r="Q532" s="1235"/>
      <c r="R532" s="1235"/>
      <c r="S532" s="1235"/>
      <c r="T532" s="1235"/>
      <c r="U532" s="1235"/>
      <c r="V532" s="1235"/>
      <c r="W532" s="1235"/>
    </row>
    <row r="533" spans="1:23">
      <c r="A533" s="2217"/>
      <c r="B533" s="1176" t="s">
        <v>689</v>
      </c>
      <c r="C533" s="1196">
        <f>SUMIF(Jan!$BX$1:$BX$173,$B533,Jan!$BW$1:$BW$173)</f>
        <v>2683</v>
      </c>
      <c r="D533" s="1196">
        <f>SUMIF(Feb!$BT$1:$BT$185,$B533, Feb!$BS$1:$BS$185)</f>
        <v>295</v>
      </c>
      <c r="E533" s="1196">
        <f>SUMIF(Mar!$BX$1:$BX$155,$B533, Mar!$BW$1:$BW$180)</f>
        <v>1319</v>
      </c>
      <c r="F533" s="1196">
        <f>SUMIF(Apr!$BX$1:$BX$159,$B533,Apr!$BW$1:$BW$184)</f>
        <v>620</v>
      </c>
      <c r="G533" s="1196">
        <f>SUMIF(May!$BX$1:$BX$200,$B533,May!$BW$1:$BW$200)</f>
        <v>621</v>
      </c>
      <c r="H533" s="1196">
        <f>SUMIF(Jun!$BX$1:$BX$195,$B533,Jun!$BW$1:$BW$195)</f>
        <v>1011</v>
      </c>
      <c r="I533" s="1196">
        <f>SUMIF(Jul!$BX$1:$BX$186,$B533,Jul!$BW$1:$BW$186)</f>
        <v>1145</v>
      </c>
      <c r="J533" s="1196">
        <f>SUMIF(Aug!$BX$1:$BX$198,$B533,Aug!$BW$1:$BW$198)</f>
        <v>1027</v>
      </c>
      <c r="K533" s="1196">
        <f>SUMIF(Sep!$BX$1:$BX$200,$B533,Sep!$BW$1:$BW$200)</f>
        <v>1045</v>
      </c>
      <c r="L533" s="1196">
        <f>SUMIF(Oct!$BX$1:$BX$215,$B533,Oct!$BW$1:$BW$215)</f>
        <v>1129</v>
      </c>
      <c r="M533" s="1196">
        <f>SUMIF(Nov!$BX$1:$BX$222,$B533,Nov!$BW$1:$BW$222)</f>
        <v>1011</v>
      </c>
      <c r="N533" s="1196">
        <f>SUMIF(Dec!$BX$1:$BX$221,$B533,Dec!$BW$1:$BW$221)</f>
        <v>1231</v>
      </c>
      <c r="O533" s="1179">
        <f>SUM(C533:N533)/12</f>
        <v>1094.75</v>
      </c>
      <c r="P533" s="1180">
        <f>O533/M!$Q$14</f>
        <v>9.8170282883158905E-2</v>
      </c>
      <c r="Q533" s="1235"/>
      <c r="R533" s="1235"/>
      <c r="S533" s="1235"/>
      <c r="T533" s="1235"/>
      <c r="U533" s="1235"/>
      <c r="V533" s="1235"/>
      <c r="W533" s="1235"/>
    </row>
    <row r="534" spans="1:23">
      <c r="A534" s="2218"/>
      <c r="B534" s="1176" t="s">
        <v>706</v>
      </c>
      <c r="C534" s="1196">
        <f>SUMIF(Jan!$BX$1:$BX$173,$B534,Jan!$BW$1:$BW$173)</f>
        <v>1495</v>
      </c>
      <c r="D534" s="1196">
        <f>SUMIF(Feb!$BT$1:$BT$185,$B534, Feb!$BS$1:$BS$185)</f>
        <v>1495</v>
      </c>
      <c r="E534" s="1196">
        <f>SUMIF(Mar!$BX$1:$BX$155,$B534, Mar!$BW$1:$BW$180)</f>
        <v>1495</v>
      </c>
      <c r="F534" s="1196">
        <f>SUMIF(Apr!$BX$1:$BX$159,$B534,Apr!$BW$1:$BW$184)</f>
        <v>0</v>
      </c>
      <c r="G534" s="1196">
        <f>SUMIF(May!$BX$1:$BX$200,$B534,May!$BW$1:$BW$200)</f>
        <v>0</v>
      </c>
      <c r="H534" s="1196">
        <f>SUMIF(Jun!$BX$1:$BX$195,$B534,Jun!$BW$1:$BW$195)</f>
        <v>2000</v>
      </c>
      <c r="I534" s="1196">
        <f>SUMIF(Jul!$BX$1:$BX$186,$B534,Jul!$BW$1:$BW$186)</f>
        <v>0</v>
      </c>
      <c r="J534" s="1196">
        <f>SUMIF(Aug!$BX$1:$BX$198,$B534,Aug!$BW$1:$BW$198)</f>
        <v>0</v>
      </c>
      <c r="K534" s="1196">
        <f>SUMIF(Sep!$BX$1:$BX$200,$B534,Sep!$BW$1:$BW$200)</f>
        <v>0</v>
      </c>
      <c r="L534" s="1196">
        <f>SUMIF(Sep!$BX$1:$BX$200,$B534,Sep!$BW$1:$BW$200)</f>
        <v>0</v>
      </c>
      <c r="M534" s="1196">
        <f>SUMIF(Nov!$BX$1:$BX$222,$B534,Nov!$BW$1:$BW$222)</f>
        <v>0</v>
      </c>
      <c r="N534" s="1196">
        <f>SUMIF(Dec!$BX$1:$BX$221,$B534,Dec!$BW$1:$BW$221)</f>
        <v>0</v>
      </c>
      <c r="O534" s="1179">
        <f>SUM(C534:N534)/12</f>
        <v>540.41666666666663</v>
      </c>
      <c r="P534" s="1180">
        <f>O534/M!$Q$14</f>
        <v>4.8461161946965481E-2</v>
      </c>
      <c r="Q534" s="1235"/>
      <c r="R534" s="1235"/>
      <c r="S534" s="1235"/>
      <c r="T534" s="1235"/>
      <c r="U534" s="1235"/>
      <c r="V534" s="1235"/>
      <c r="W534" s="1235"/>
    </row>
    <row r="535" spans="1:23">
      <c r="A535" s="2199" t="s">
        <v>668</v>
      </c>
      <c r="B535" s="2200"/>
      <c r="C535" s="2203">
        <f>SUM(C537:C540)</f>
        <v>396.16666666666669</v>
      </c>
      <c r="D535" s="2203">
        <f t="shared" ref="D535:N535" si="143">SUM(D537:D540)</f>
        <v>313.16666666666669</v>
      </c>
      <c r="E535" s="2203">
        <f t="shared" si="143"/>
        <v>313.16666666666669</v>
      </c>
      <c r="F535" s="2203">
        <f t="shared" si="143"/>
        <v>452.16666666666669</v>
      </c>
      <c r="G535" s="2203">
        <f t="shared" si="143"/>
        <v>255</v>
      </c>
      <c r="H535" s="2203">
        <f t="shared" si="143"/>
        <v>2360.1666666666665</v>
      </c>
      <c r="I535" s="2203">
        <f t="shared" si="143"/>
        <v>313.16666666666669</v>
      </c>
      <c r="J535" s="2203">
        <f t="shared" si="143"/>
        <v>1321.1666666666667</v>
      </c>
      <c r="K535" s="2203">
        <f t="shared" si="143"/>
        <v>1553.1666666666667</v>
      </c>
      <c r="L535" s="2203">
        <f t="shared" si="143"/>
        <v>313.16666666666669</v>
      </c>
      <c r="M535" s="2203">
        <f t="shared" si="143"/>
        <v>343.16666666666669</v>
      </c>
      <c r="N535" s="2203">
        <f t="shared" si="143"/>
        <v>433.16666666666669</v>
      </c>
      <c r="O535" s="2203">
        <f>SUM(O537:O545)</f>
        <v>17173.236111111109</v>
      </c>
      <c r="P535" s="2205">
        <f>O535/M!$Q$14</f>
        <v>1.539987620047552</v>
      </c>
      <c r="Q535" s="1235"/>
      <c r="R535" s="1235"/>
      <c r="S535" s="1235"/>
      <c r="T535" s="1235"/>
      <c r="U535" s="1235"/>
      <c r="V535" s="1235"/>
      <c r="W535" s="1235"/>
    </row>
    <row r="536" spans="1:23">
      <c r="A536" s="2201"/>
      <c r="B536" s="2202"/>
      <c r="C536" s="2204"/>
      <c r="D536" s="2204"/>
      <c r="E536" s="2204"/>
      <c r="F536" s="2204"/>
      <c r="G536" s="2204"/>
      <c r="H536" s="2204"/>
      <c r="I536" s="2204"/>
      <c r="J536" s="2204"/>
      <c r="K536" s="2204"/>
      <c r="L536" s="2204"/>
      <c r="M536" s="2204"/>
      <c r="N536" s="2204"/>
      <c r="O536" s="2204"/>
      <c r="P536" s="2206"/>
      <c r="Q536" s="1235"/>
      <c r="R536" s="1235"/>
      <c r="S536" s="1235"/>
      <c r="T536" s="1235"/>
      <c r="U536" s="1235"/>
      <c r="V536" s="1235"/>
      <c r="W536" s="1235"/>
    </row>
    <row r="537" spans="1:23">
      <c r="A537" s="1183"/>
      <c r="B537" s="1176" t="s">
        <v>432</v>
      </c>
      <c r="C537" s="1184">
        <f>(FinSnapshot!$Q$94+FinSnapshot!$Q$102)/12</f>
        <v>78.166666666666671</v>
      </c>
      <c r="D537" s="1184">
        <f>(FinSnapshot!$Q$94+FinSnapshot!$Q$102)/12</f>
        <v>78.166666666666671</v>
      </c>
      <c r="E537" s="1184">
        <f>(FinSnapshot!$Q$94+FinSnapshot!$Q$102)/12</f>
        <v>78.166666666666671</v>
      </c>
      <c r="F537" s="1184">
        <f>(FinSnapshot!$Q$94+FinSnapshot!$Q$102)/12</f>
        <v>78.166666666666671</v>
      </c>
      <c r="G537" s="1196">
        <f>SUMIF(May!$BX$1:$BX$200,$B537,May!$BW$1:$BW$200)</f>
        <v>0</v>
      </c>
      <c r="H537" s="1184">
        <f>(FinSnapshot!$Q$94+FinSnapshot!$Q$102)/12</f>
        <v>78.166666666666671</v>
      </c>
      <c r="I537" s="1184">
        <f>(FinSnapshot!$Q$94+FinSnapshot!$Q$102)/12</f>
        <v>78.166666666666671</v>
      </c>
      <c r="J537" s="1184">
        <f>(FinSnapshot!$Q$94+FinSnapshot!$Q$102)/12</f>
        <v>78.166666666666671</v>
      </c>
      <c r="K537" s="1184">
        <f>(FinSnapshot!$Q$94+FinSnapshot!$Q$102)/12</f>
        <v>78.166666666666671</v>
      </c>
      <c r="L537" s="1184">
        <f>(FinSnapshot!$Q$94+FinSnapshot!$Q$102)/12</f>
        <v>78.166666666666671</v>
      </c>
      <c r="M537" s="1184">
        <f>(FinSnapshot!$Q$94+FinSnapshot!$Q$102)/12</f>
        <v>78.166666666666671</v>
      </c>
      <c r="N537" s="1184">
        <f>(FinSnapshot!$Q$94+FinSnapshot!$Q$102)/12</f>
        <v>78.166666666666671</v>
      </c>
      <c r="O537" s="1179">
        <f>SUM(C537:N537)/12</f>
        <v>71.652777777777771</v>
      </c>
      <c r="P537" s="1186"/>
      <c r="Q537" s="1235"/>
      <c r="R537" s="1235"/>
      <c r="S537" s="1235"/>
      <c r="T537" s="1235"/>
      <c r="U537" s="1235"/>
      <c r="V537" s="1235"/>
      <c r="W537" s="1235"/>
    </row>
    <row r="538" spans="1:23">
      <c r="A538" s="1183"/>
      <c r="B538" s="1176" t="s">
        <v>284</v>
      </c>
      <c r="C538" s="1196">
        <f>SUMIF(Jan!$BX$1:$BX$173,$B538,Jan!$BW$1:$BW$173)</f>
        <v>33</v>
      </c>
      <c r="D538" s="1196">
        <f>SUMIF(Feb!$BT$1:$BT$185,$B538, Feb!$BS$1:$BS$185)</f>
        <v>0</v>
      </c>
      <c r="E538" s="1196">
        <f>SUMIF(Mar!$BX$1:$BX$155,$B538, Mar!$BW$1:$BW$180)</f>
        <v>0</v>
      </c>
      <c r="F538" s="1196">
        <f>SUMIF(Apr!$BT$1:$BT$194,$B538,Apr!$BS$1:$BS$194)</f>
        <v>41</v>
      </c>
      <c r="G538" s="1196">
        <f>SUMIF(May!$BX$1:$BX$200,$B538,May!$BW$1:$BW$200)</f>
        <v>20</v>
      </c>
      <c r="H538" s="1196">
        <f>SUMIF(Jun!$BX$1:$BX$195,$B538,Jun!$BW$1:$BW$195)</f>
        <v>2007</v>
      </c>
      <c r="I538" s="1196">
        <f>SUMIF(Jul!$BX$1:$BX$186,$B538,Jul!$BW$1:$BW$186)</f>
        <v>0</v>
      </c>
      <c r="J538" s="1196">
        <f>SUMIF(Aug!$BX$1:$BX$198,$B538,Aug!$BW$1:$BW$198)</f>
        <v>1008</v>
      </c>
      <c r="K538" s="1196">
        <f>SUMIF(Sep!$BX$1:$BX$200,$B538,Sep!$BW$1:$BW$200)</f>
        <v>1240</v>
      </c>
      <c r="L538" s="1196">
        <f>SUMIF(Oct!$BX$1:$BX$215,$B538,Oct!$BW$1:$BW$215)</f>
        <v>0</v>
      </c>
      <c r="M538" s="1196">
        <f>SUMIF(Nov!$BX$1:$BX$222,$B538,Nov!$BW$1:$BW$222)</f>
        <v>0</v>
      </c>
      <c r="N538" s="1196">
        <f>SUMIF(Dec!$BX$1:$BX$221,$B538,Dec!$BW$1:$BW$221)</f>
        <v>0</v>
      </c>
      <c r="O538" s="1179">
        <f>SUM(C538:N538)/12</f>
        <v>362.41666666666669</v>
      </c>
      <c r="P538" s="1180">
        <f>O538/M!$Q$14</f>
        <v>3.2499243378157731E-2</v>
      </c>
      <c r="Q538" s="1235"/>
      <c r="R538" s="1235"/>
      <c r="S538" s="1235"/>
      <c r="T538" s="1235"/>
      <c r="U538" s="1235"/>
      <c r="V538" s="1235"/>
      <c r="W538" s="1235"/>
    </row>
    <row r="539" spans="1:23">
      <c r="A539" s="1183"/>
      <c r="B539" s="1176" t="s">
        <v>433</v>
      </c>
      <c r="C539" s="1177">
        <v>50</v>
      </c>
      <c r="D539" s="1177">
        <v>0</v>
      </c>
      <c r="E539" s="1177">
        <v>0</v>
      </c>
      <c r="F539" s="1177">
        <v>98</v>
      </c>
      <c r="G539" s="1177">
        <v>0</v>
      </c>
      <c r="H539" s="1177">
        <v>40</v>
      </c>
      <c r="I539" s="1178">
        <v>0</v>
      </c>
      <c r="J539" s="1178">
        <v>0</v>
      </c>
      <c r="K539" s="1177">
        <v>0</v>
      </c>
      <c r="L539" s="1182">
        <v>0</v>
      </c>
      <c r="M539" s="1182">
        <v>30</v>
      </c>
      <c r="N539" s="1182">
        <v>120</v>
      </c>
      <c r="O539" s="1179">
        <f>SUM(C539:N539)/12</f>
        <v>28.166666666666668</v>
      </c>
      <c r="P539" s="1180">
        <f>O539/M!$Q$14</f>
        <v>2.5258092117308147E-3</v>
      </c>
      <c r="Q539" s="1235"/>
      <c r="R539" s="1235"/>
      <c r="S539" s="1235"/>
      <c r="T539" s="1235"/>
      <c r="U539" s="1235"/>
      <c r="V539" s="1235"/>
      <c r="W539" s="1235"/>
    </row>
    <row r="540" spans="1:23">
      <c r="A540" s="1183"/>
      <c r="B540" s="1176" t="s">
        <v>434</v>
      </c>
      <c r="C540" s="1184">
        <f>ROUNDUP((((382+2430))/12),0)</f>
        <v>235</v>
      </c>
      <c r="D540" s="1184">
        <f t="shared" ref="D540:N540" si="144">ROUNDUP((((382+2430))/12),0)</f>
        <v>235</v>
      </c>
      <c r="E540" s="1184">
        <f t="shared" si="144"/>
        <v>235</v>
      </c>
      <c r="F540" s="1184">
        <f t="shared" si="144"/>
        <v>235</v>
      </c>
      <c r="G540" s="1184">
        <f t="shared" si="144"/>
        <v>235</v>
      </c>
      <c r="H540" s="1184">
        <f t="shared" si="144"/>
        <v>235</v>
      </c>
      <c r="I540" s="1184">
        <f t="shared" si="144"/>
        <v>235</v>
      </c>
      <c r="J540" s="1184">
        <f t="shared" si="144"/>
        <v>235</v>
      </c>
      <c r="K540" s="1184">
        <f t="shared" si="144"/>
        <v>235</v>
      </c>
      <c r="L540" s="1184">
        <f t="shared" si="144"/>
        <v>235</v>
      </c>
      <c r="M540" s="1184">
        <f t="shared" si="144"/>
        <v>235</v>
      </c>
      <c r="N540" s="1184">
        <f t="shared" si="144"/>
        <v>235</v>
      </c>
      <c r="O540" s="1179">
        <f>SUM(C540:N540)/12</f>
        <v>235</v>
      </c>
      <c r="P540" s="1186"/>
      <c r="Q540" s="1235"/>
      <c r="R540" s="1235"/>
      <c r="S540" s="1235"/>
      <c r="T540" s="1235"/>
      <c r="U540" s="1235"/>
      <c r="V540" s="1235"/>
      <c r="W540" s="1235"/>
    </row>
    <row r="541" spans="1:23">
      <c r="A541" s="2199" t="s">
        <v>435</v>
      </c>
      <c r="B541" s="2200"/>
      <c r="C541" s="2203">
        <f>SUM(C543:C545)</f>
        <v>0</v>
      </c>
      <c r="D541" s="2203">
        <f t="shared" ref="D541:O541" si="145">SUM(D543:D545)</f>
        <v>0</v>
      </c>
      <c r="E541" s="2203">
        <f t="shared" si="145"/>
        <v>55</v>
      </c>
      <c r="F541" s="2203">
        <f t="shared" si="145"/>
        <v>698</v>
      </c>
      <c r="G541" s="2203">
        <f t="shared" si="145"/>
        <v>98000</v>
      </c>
      <c r="H541" s="2203">
        <f t="shared" si="145"/>
        <v>0</v>
      </c>
      <c r="I541" s="2203">
        <f t="shared" si="145"/>
        <v>0</v>
      </c>
      <c r="J541" s="2203">
        <f t="shared" si="145"/>
        <v>3</v>
      </c>
      <c r="K541" s="2203">
        <f t="shared" si="145"/>
        <v>0</v>
      </c>
      <c r="L541" s="2203">
        <f t="shared" si="145"/>
        <v>100</v>
      </c>
      <c r="M541" s="2203">
        <f t="shared" si="145"/>
        <v>0</v>
      </c>
      <c r="N541" s="2203">
        <f t="shared" si="145"/>
        <v>0</v>
      </c>
      <c r="O541" s="2203">
        <f t="shared" si="145"/>
        <v>8238</v>
      </c>
      <c r="P541" s="2205">
        <f>O541/M!$Q$14</f>
        <v>0.73873193915639468</v>
      </c>
      <c r="Q541" s="1235"/>
      <c r="R541" s="1235"/>
      <c r="S541" s="1235"/>
      <c r="T541" s="1235"/>
      <c r="U541" s="1235"/>
      <c r="V541" s="1235"/>
      <c r="W541" s="1235"/>
    </row>
    <row r="542" spans="1:23">
      <c r="A542" s="2201"/>
      <c r="B542" s="2202"/>
      <c r="C542" s="2204"/>
      <c r="D542" s="2204"/>
      <c r="E542" s="2204"/>
      <c r="F542" s="2204"/>
      <c r="G542" s="2204"/>
      <c r="H542" s="2204"/>
      <c r="I542" s="2204"/>
      <c r="J542" s="2204"/>
      <c r="K542" s="2204"/>
      <c r="L542" s="2204"/>
      <c r="M542" s="2204"/>
      <c r="N542" s="2204"/>
      <c r="O542" s="2204"/>
      <c r="P542" s="2206"/>
      <c r="Q542" s="1235"/>
      <c r="R542" s="1235"/>
      <c r="S542" s="1235"/>
      <c r="T542" s="1235"/>
      <c r="U542" s="1235"/>
      <c r="V542" s="1235"/>
      <c r="W542" s="1235"/>
    </row>
    <row r="543" spans="1:23">
      <c r="A543" s="1183"/>
      <c r="B543" s="1176" t="s">
        <v>405</v>
      </c>
      <c r="C543" s="1196">
        <f>SUMIF(Jan!$BX$1:$BX$173,$B543,Jan!$BW$1:$BW$173)</f>
        <v>0</v>
      </c>
      <c r="D543" s="1196">
        <f>SUMIF(Feb!$BT$1:$BT$185,$B543, Feb!$BS$1:$BS$185)</f>
        <v>0</v>
      </c>
      <c r="E543" s="1196">
        <f>SUMIF(Mar!$BX$1:$BX$155,$B543, Mar!$BW$1:$BW$180)</f>
        <v>0</v>
      </c>
      <c r="F543" s="1196">
        <f>SUMIF(Apr!$BT$1:$BT$194,$B543,Apr!$BS$1:$BS$194)</f>
        <v>0</v>
      </c>
      <c r="G543" s="1196">
        <f>SUMIF(May!$BX$1:$BX$200,$B543,May!$BW$1:$BW$200)</f>
        <v>0</v>
      </c>
      <c r="H543" s="1196">
        <f>SUMIF(Jun!$BX$1:$BX$195,$B543,Jun!$BW$1:$BW$195)</f>
        <v>0</v>
      </c>
      <c r="I543" s="1196">
        <f>SUMIF(Jul!$BX$1:$BX$186,$B543,Jul!$BW$1:$BW$186)</f>
        <v>0</v>
      </c>
      <c r="J543" s="1196">
        <f>SUMIF(Aug!$BT$1:$BT$205,$B543,Aug!$BS$1:$BS$205)</f>
        <v>0</v>
      </c>
      <c r="K543" s="1196">
        <f>SUMIF(Sep!$BX$1:$BX$200,$B543,Sep!$BW$1:$BW$200)</f>
        <v>0</v>
      </c>
      <c r="L543" s="1196">
        <f>SUMIF(Oct!$BX$1:$BX$215,$B543,Oct!$BW$1:$BW$215)</f>
        <v>0</v>
      </c>
      <c r="M543" s="1196">
        <f>SUMIF(Nov!$BX$1:$BX$222,$B543,Nov!$BW$1:$BW$222)</f>
        <v>0</v>
      </c>
      <c r="N543" s="1196">
        <f>SUMIF(Dec!$BX$1:$BX$221,$B543,Dec!$BW$1:$BW$221)</f>
        <v>0</v>
      </c>
      <c r="O543" s="1179">
        <f>SUM(C543:N543)/12</f>
        <v>0</v>
      </c>
      <c r="P543" s="1180">
        <f>O543/M!$Q$14</f>
        <v>0</v>
      </c>
      <c r="Q543" s="1235"/>
      <c r="R543" s="1235"/>
      <c r="S543" s="1235"/>
      <c r="T543" s="1235"/>
      <c r="U543" s="1235"/>
      <c r="V543" s="1235"/>
      <c r="W543" s="1235"/>
    </row>
    <row r="544" spans="1:23">
      <c r="A544" s="1183"/>
      <c r="B544" s="1176" t="s">
        <v>436</v>
      </c>
      <c r="C544" s="1196">
        <f>SUMIF(Jan!$BX$1:$BX$173,$B544,Jan!$BW$1:$BW$173)</f>
        <v>0</v>
      </c>
      <c r="D544" s="1196">
        <f>SUMIF(Feb!$BT$1:$BT$185,$B544, Feb!$BS$1:$BS$185)</f>
        <v>0</v>
      </c>
      <c r="E544" s="1196">
        <f>SUMIF(Mar!$BX$1:$BX$155,$B544, Mar!$BW$1:$BW$180)</f>
        <v>55</v>
      </c>
      <c r="F544" s="1196">
        <v>0</v>
      </c>
      <c r="G544" s="1196">
        <f>SUMIF(May!$BX$1:$BX$200,$B544,May!$BW$1:$BW$200)</f>
        <v>0</v>
      </c>
      <c r="H544" s="1196">
        <f>SUMIF(Jun!$BX$1:$BX$195,$B544,Jun!$BW$1:$BW$195)</f>
        <v>0</v>
      </c>
      <c r="I544" s="1196">
        <f>SUMIF(Jul!$BX$1:$BX$186,$B544,Jul!$BW$1:$BW$186)</f>
        <v>0</v>
      </c>
      <c r="J544" s="1196">
        <f>SUMIF(Aug!$BT$1:$BT$205,$B544,Aug!$BS$1:$BS$205)</f>
        <v>3</v>
      </c>
      <c r="K544" s="1196">
        <f>SUMIF(Sep!$BX$1:$BX$200,$B544,Sep!$BW$1:$BW$200)</f>
        <v>0</v>
      </c>
      <c r="L544" s="1196">
        <f>SUMIF(Oct!$BX$1:$BX$215,$B544,Oct!$BW$1:$BW$215)</f>
        <v>0</v>
      </c>
      <c r="M544" s="1196">
        <f>SUMIF(Nov!$BX$1:$BX$222,$B544,Nov!$BW$1:$BW$222)</f>
        <v>0</v>
      </c>
      <c r="N544" s="1196">
        <f>SUMIF(Dec!$BX$1:$BX$221,$B544,Dec!$BW$1:$BW$221)</f>
        <v>0</v>
      </c>
      <c r="O544" s="1179">
        <f>SUM(C544:N544)/12</f>
        <v>4.833333333333333</v>
      </c>
      <c r="P544" s="1180">
        <f>O544/M!$Q$14</f>
        <v>4.334228824863528E-4</v>
      </c>
      <c r="Q544" s="1235"/>
      <c r="R544" s="1235"/>
      <c r="S544" s="1235"/>
      <c r="T544" s="1235"/>
      <c r="U544" s="1235"/>
      <c r="V544" s="1235"/>
      <c r="W544" s="1235"/>
    </row>
    <row r="545" spans="1:23">
      <c r="A545" s="1183"/>
      <c r="B545" s="1176" t="s">
        <v>130</v>
      </c>
      <c r="C545" s="1196">
        <f>SUMIF(Jan!$BX$1:$BX$173,$B545,Jan!$BW$1:$BW$173)</f>
        <v>0</v>
      </c>
      <c r="D545" s="1196">
        <f>SUMIF(Feb!$BT$1:$BT$185,$B545, Feb!$BS$1:$BS$185)</f>
        <v>0</v>
      </c>
      <c r="E545" s="1196">
        <f>SUMIF(Mar!$BX$1:$BX$155,$B545, Mar!$BW$1:$BW$180)</f>
        <v>0</v>
      </c>
      <c r="F545" s="1196">
        <v>698</v>
      </c>
      <c r="G545" s="1196">
        <v>98000</v>
      </c>
      <c r="H545" s="1196">
        <f>SUMIF(Jun!$BX$1:$BX$195,$B545,Jun!$BW$1:$BW$195)</f>
        <v>0</v>
      </c>
      <c r="I545" s="1196">
        <f>SUMIF(Jul!$BX$1:$BX$186,$B545,Jul!$BW$1:$BW$186)</f>
        <v>0</v>
      </c>
      <c r="J545" s="1196">
        <f>SUMIF(Aug!$BT$1:$BT$205,$B545,Aug!$BS$1:$BS$205)</f>
        <v>0</v>
      </c>
      <c r="K545" s="1196">
        <f>SUMIF(Sep!$BX$1:$BX$200,$B545,Sep!$BW$1:$BW$200)</f>
        <v>0</v>
      </c>
      <c r="L545" s="1196">
        <f>SUMIF(Oct!$BX$1:$BX$215,$B545,Oct!$BW$1:$BW$215)</f>
        <v>100</v>
      </c>
      <c r="M545" s="1196">
        <f>SUMIF(Nov!$BX$1:$BX$222,$B545,Nov!$BW$1:$BW$222)</f>
        <v>0</v>
      </c>
      <c r="N545" s="1196">
        <f>SUMIF(Dec!$BX$1:$BX$221,$B545,Dec!$BW$1:$BW$221)</f>
        <v>0</v>
      </c>
      <c r="O545" s="1179">
        <f>SUM(C545:N545)/12</f>
        <v>8233.1666666666661</v>
      </c>
      <c r="P545" s="1180">
        <f>O545/M!$Q$14</f>
        <v>0.7382985162739083</v>
      </c>
      <c r="Q545" s="1235"/>
      <c r="R545" s="1235"/>
      <c r="S545" s="1235"/>
      <c r="T545" s="1235"/>
      <c r="U545" s="1235"/>
      <c r="V545" s="1235"/>
      <c r="W545" s="1235"/>
    </row>
    <row r="546" spans="1:23">
      <c r="A546" s="2199" t="s">
        <v>286</v>
      </c>
      <c r="B546" s="2200"/>
      <c r="C546" s="2203">
        <f t="shared" ref="C546:N546" si="146">SUM(C548:C549)</f>
        <v>3500</v>
      </c>
      <c r="D546" s="2203">
        <f t="shared" si="146"/>
        <v>0</v>
      </c>
      <c r="E546" s="2203">
        <f t="shared" si="146"/>
        <v>0</v>
      </c>
      <c r="F546" s="2203">
        <f t="shared" si="146"/>
        <v>0</v>
      </c>
      <c r="G546" s="2203">
        <f t="shared" si="146"/>
        <v>0</v>
      </c>
      <c r="H546" s="2203">
        <f t="shared" si="146"/>
        <v>25</v>
      </c>
      <c r="I546" s="2203">
        <f t="shared" si="146"/>
        <v>3000</v>
      </c>
      <c r="J546" s="2203">
        <f t="shared" si="146"/>
        <v>0</v>
      </c>
      <c r="K546" s="2203">
        <f t="shared" si="146"/>
        <v>0</v>
      </c>
      <c r="L546" s="2203">
        <f t="shared" si="146"/>
        <v>0</v>
      </c>
      <c r="M546" s="2203">
        <f t="shared" si="146"/>
        <v>0</v>
      </c>
      <c r="N546" s="2203">
        <f t="shared" si="146"/>
        <v>5000</v>
      </c>
      <c r="O546" s="2203">
        <f>SUM(O548:O549)</f>
        <v>960.41666666666663</v>
      </c>
      <c r="P546" s="2205">
        <f>O546/M!$Q$14</f>
        <v>8.6124115873365797E-2</v>
      </c>
      <c r="Q546" s="1235"/>
      <c r="R546" s="1235"/>
      <c r="S546" s="1235"/>
      <c r="T546" s="1235"/>
      <c r="U546" s="1235"/>
      <c r="V546" s="1235"/>
      <c r="W546" s="1235"/>
    </row>
    <row r="547" spans="1:23">
      <c r="A547" s="2201"/>
      <c r="B547" s="2202"/>
      <c r="C547" s="2204"/>
      <c r="D547" s="2204"/>
      <c r="E547" s="2204"/>
      <c r="F547" s="2204"/>
      <c r="G547" s="2204"/>
      <c r="H547" s="2204"/>
      <c r="I547" s="2204"/>
      <c r="J547" s="2204"/>
      <c r="K547" s="2204"/>
      <c r="L547" s="2204"/>
      <c r="M547" s="2204"/>
      <c r="N547" s="2204"/>
      <c r="O547" s="2204"/>
      <c r="P547" s="2206"/>
      <c r="Q547" s="1235"/>
      <c r="R547" s="1235"/>
      <c r="S547" s="1235"/>
      <c r="T547" s="1235"/>
      <c r="U547" s="1235"/>
      <c r="V547" s="1235"/>
      <c r="W547" s="1235"/>
    </row>
    <row r="548" spans="1:23">
      <c r="A548" s="2217"/>
      <c r="B548" s="1176" t="s">
        <v>82</v>
      </c>
      <c r="C548" s="1177">
        <v>3500</v>
      </c>
      <c r="D548" s="1177">
        <v>0</v>
      </c>
      <c r="E548" s="1177">
        <v>0</v>
      </c>
      <c r="F548" s="1177">
        <v>0</v>
      </c>
      <c r="G548" s="1177">
        <v>0</v>
      </c>
      <c r="H548" s="1177">
        <v>25</v>
      </c>
      <c r="I548" s="1178">
        <v>3000</v>
      </c>
      <c r="J548" s="1178">
        <v>0</v>
      </c>
      <c r="K548" s="1178">
        <v>0</v>
      </c>
      <c r="L548" s="1178">
        <v>0</v>
      </c>
      <c r="M548" s="1178">
        <v>0</v>
      </c>
      <c r="N548" s="1178">
        <v>5000</v>
      </c>
      <c r="O548" s="1179">
        <f>SUM(C548:N548)/12</f>
        <v>960.41666666666663</v>
      </c>
      <c r="P548" s="1180">
        <f>O548/M!$Q$14</f>
        <v>8.6124115873365797E-2</v>
      </c>
      <c r="Q548" s="1235"/>
      <c r="R548" s="1235"/>
      <c r="S548" s="1235"/>
      <c r="T548" s="1235"/>
      <c r="U548" s="1235"/>
      <c r="V548" s="1235"/>
      <c r="W548" s="1235"/>
    </row>
    <row r="549" spans="1:23">
      <c r="A549" s="2219"/>
      <c r="B549" s="1176" t="s">
        <v>83</v>
      </c>
      <c r="C549" s="1177">
        <v>0</v>
      </c>
      <c r="D549" s="1177">
        <v>0</v>
      </c>
      <c r="E549" s="1177">
        <v>0</v>
      </c>
      <c r="F549" s="1177">
        <v>0</v>
      </c>
      <c r="G549" s="1177">
        <v>0</v>
      </c>
      <c r="H549" s="1177">
        <v>0</v>
      </c>
      <c r="I549" s="1178">
        <v>0</v>
      </c>
      <c r="J549" s="1178">
        <v>0</v>
      </c>
      <c r="K549" s="1178">
        <v>0</v>
      </c>
      <c r="L549" s="1178">
        <v>0</v>
      </c>
      <c r="M549" s="1178">
        <v>0</v>
      </c>
      <c r="N549" s="1178">
        <v>0</v>
      </c>
      <c r="O549" s="1179">
        <f>SUM(C549:N549)/12</f>
        <v>0</v>
      </c>
      <c r="P549" s="1180">
        <f>O549/M!$Q$14</f>
        <v>0</v>
      </c>
      <c r="Q549" s="1235"/>
      <c r="R549" s="1235"/>
      <c r="S549" s="1235"/>
      <c r="T549" s="1235"/>
      <c r="U549" s="1235"/>
      <c r="V549" s="1235"/>
      <c r="W549" s="1235"/>
    </row>
    <row r="550" spans="1:23">
      <c r="A550" s="1187" t="s">
        <v>437</v>
      </c>
      <c r="B550" s="1188"/>
      <c r="C550" s="1189">
        <f>C480+C494+C502+C508+C522+C512+ C531+C546+C541+ C535</f>
        <v>16403.5</v>
      </c>
      <c r="D550" s="1189">
        <f t="shared" ref="D550:N550" si="147">D480+D494+D502+D508+D522+D512+ D531+D546+D541+ D535</f>
        <v>12072.5</v>
      </c>
      <c r="E550" s="1189">
        <f t="shared" si="147"/>
        <v>10550.5</v>
      </c>
      <c r="F550" s="1189">
        <f t="shared" si="147"/>
        <v>10159.5</v>
      </c>
      <c r="G550" s="1189">
        <f t="shared" si="147"/>
        <v>106767.33333333333</v>
      </c>
      <c r="H550" s="1189">
        <f t="shared" si="147"/>
        <v>14815.5</v>
      </c>
      <c r="I550" s="1189">
        <f t="shared" si="147"/>
        <v>12328.5</v>
      </c>
      <c r="J550" s="1189">
        <f t="shared" si="147"/>
        <v>10952.499999999998</v>
      </c>
      <c r="K550" s="1189">
        <f t="shared" si="147"/>
        <v>69707.500000000015</v>
      </c>
      <c r="L550" s="1189">
        <f t="shared" si="147"/>
        <v>34119.166666666664</v>
      </c>
      <c r="M550" s="1189">
        <f t="shared" ca="1" si="147"/>
        <v>20456.800103469577</v>
      </c>
      <c r="N550" s="1189">
        <f t="shared" ca="1" si="147"/>
        <v>26284.217307519168</v>
      </c>
      <c r="O550" s="1189">
        <f ca="1">O480+O494+O502+O508+O522+O512+ O531+O546+O541</f>
        <v>28020.89033980462</v>
      </c>
      <c r="P550" s="1190">
        <f ca="1">O550/M!$Q$14</f>
        <v>2.5127369091542309</v>
      </c>
      <c r="Q550" s="1235"/>
      <c r="R550" s="1235"/>
      <c r="S550" s="1235"/>
      <c r="T550" s="1235"/>
      <c r="U550" s="1235"/>
      <c r="V550" s="1235"/>
      <c r="W550" s="1235"/>
    </row>
    <row r="551" spans="1:23">
      <c r="A551" s="1191" t="s">
        <v>658</v>
      </c>
      <c r="B551" s="1192"/>
      <c r="C551" s="1193">
        <f>C550/M!$Q$14</f>
        <v>1.470962535075494</v>
      </c>
      <c r="D551" s="1193">
        <f>D550/M!$Q$14</f>
        <v>1.0825857411344471</v>
      </c>
      <c r="E551" s="1193">
        <f>E550/M!$Q$14</f>
        <v>0.94610237000115838</v>
      </c>
      <c r="F551" s="1193">
        <f>F550/M!$Q$14</f>
        <v>0.91103995336967614</v>
      </c>
      <c r="G551" s="1193">
        <f>G550/M!$Q$14</f>
        <v>9.5742218004237092</v>
      </c>
      <c r="H551" s="1193">
        <f>H550/M!$Q$14</f>
        <v>1.3285606997537711</v>
      </c>
      <c r="I551" s="1193">
        <f>I550/M!$Q$14</f>
        <v>1.1055422082895863</v>
      </c>
      <c r="J551" s="1193">
        <f>J550/M!$Q$14</f>
        <v>0.98215119733071277</v>
      </c>
      <c r="K551" s="1193">
        <f>K550/M!$Q$14</f>
        <v>6.2509294305346437</v>
      </c>
      <c r="L551" s="1193">
        <f>L550/M!$Q$14</f>
        <v>3.0595919099377142</v>
      </c>
      <c r="M551" s="1193">
        <f ca="1">M550/M!$Q$14</f>
        <v>1.8344369518537045</v>
      </c>
      <c r="N551" s="1193">
        <f ca="1">N550/M!$Q$14</f>
        <v>2.3570030129633048</v>
      </c>
      <c r="O551" s="1193">
        <f ca="1">O550/M!$Q$14</f>
        <v>2.5127369091542309</v>
      </c>
      <c r="P551" s="1194"/>
      <c r="Q551" s="1235"/>
      <c r="R551" s="1235"/>
      <c r="S551" s="1235"/>
      <c r="T551" s="1235"/>
      <c r="U551" s="1235"/>
      <c r="V551" s="1235"/>
      <c r="W551" s="1235"/>
    </row>
    <row r="552" spans="1:23">
      <c r="A552" s="1235"/>
      <c r="B552" s="1235"/>
      <c r="C552" s="1235"/>
      <c r="D552" s="1235"/>
      <c r="E552" s="1235"/>
      <c r="F552" s="1235"/>
      <c r="G552" s="1235"/>
      <c r="H552" s="1235"/>
      <c r="I552" s="1235"/>
      <c r="J552" s="1235"/>
      <c r="K552" s="1235"/>
      <c r="L552" s="1235"/>
      <c r="M552" s="1235"/>
      <c r="N552" s="1235"/>
      <c r="O552" s="1235"/>
      <c r="P552" s="1235"/>
      <c r="Q552" s="1235"/>
      <c r="R552" s="1235"/>
      <c r="S552" s="1235"/>
      <c r="T552" s="1235"/>
      <c r="U552" s="1235"/>
      <c r="V552" s="1235"/>
      <c r="W552" s="1235"/>
    </row>
    <row r="553" spans="1:23">
      <c r="A553" s="1235"/>
      <c r="B553" s="1235"/>
      <c r="C553" s="1235"/>
      <c r="D553" s="1235"/>
      <c r="E553" s="1235"/>
      <c r="F553" s="1235"/>
      <c r="G553" s="1235"/>
      <c r="H553" s="1235"/>
      <c r="I553" s="1235"/>
      <c r="J553" s="1235"/>
      <c r="K553" s="1235"/>
      <c r="L553" s="1235"/>
      <c r="M553" s="1235"/>
      <c r="N553" s="1235"/>
      <c r="O553" s="1235"/>
      <c r="P553" s="1235"/>
      <c r="Q553" s="1235"/>
      <c r="R553" s="1235"/>
      <c r="S553" s="1235"/>
      <c r="T553" s="1235"/>
      <c r="U553" s="1235"/>
      <c r="V553" s="1235"/>
      <c r="W553" s="1235"/>
    </row>
    <row r="554" spans="1:23">
      <c r="A554" s="2220">
        <v>2019</v>
      </c>
      <c r="B554" s="2221"/>
      <c r="C554" s="2221"/>
      <c r="D554" s="2221"/>
      <c r="E554" s="2221"/>
      <c r="F554" s="2221"/>
      <c r="G554" s="2221"/>
      <c r="H554" s="2221"/>
      <c r="I554" s="2221"/>
      <c r="J554" s="2221"/>
      <c r="K554" s="2221"/>
      <c r="L554" s="2221"/>
      <c r="M554" s="2221"/>
      <c r="N554" s="2221"/>
      <c r="O554" s="2221"/>
      <c r="P554" s="2222"/>
      <c r="Q554" s="1235"/>
      <c r="R554" s="1235"/>
      <c r="S554" s="1235"/>
      <c r="T554" s="1235"/>
      <c r="U554" s="1235"/>
      <c r="V554" s="1235"/>
      <c r="W554" s="1235"/>
    </row>
    <row r="555" spans="1:23">
      <c r="A555" s="1171" t="s">
        <v>388</v>
      </c>
      <c r="B555" s="1172"/>
      <c r="C555" s="1173" t="s">
        <v>309</v>
      </c>
      <c r="D555" s="1173" t="s">
        <v>311</v>
      </c>
      <c r="E555" s="1173" t="s">
        <v>312</v>
      </c>
      <c r="F555" s="1173" t="s">
        <v>313</v>
      </c>
      <c r="G555" s="1173" t="s">
        <v>314</v>
      </c>
      <c r="H555" s="1173" t="s">
        <v>315</v>
      </c>
      <c r="I555" s="1173" t="s">
        <v>316</v>
      </c>
      <c r="J555" s="1173" t="s">
        <v>317</v>
      </c>
      <c r="K555" s="1173" t="s">
        <v>318</v>
      </c>
      <c r="L555" s="1173" t="s">
        <v>319</v>
      </c>
      <c r="M555" s="1173" t="s">
        <v>320</v>
      </c>
      <c r="N555" s="1173" t="s">
        <v>321</v>
      </c>
      <c r="O555" s="1174" t="s">
        <v>660</v>
      </c>
      <c r="P555" s="1175" t="s">
        <v>661</v>
      </c>
      <c r="Q555" s="1235"/>
      <c r="R555" s="1235"/>
      <c r="S555" s="1235"/>
      <c r="T555" s="1235"/>
      <c r="U555" s="1235"/>
      <c r="V555" s="2120" t="s">
        <v>388</v>
      </c>
      <c r="W555" s="1235"/>
    </row>
    <row r="556" spans="1:23">
      <c r="A556" s="2199" t="s">
        <v>56</v>
      </c>
      <c r="B556" s="2200"/>
      <c r="C556" s="2203">
        <f t="shared" ref="C556:I556" si="148">C558+ SUM(C564:C569)</f>
        <v>4593</v>
      </c>
      <c r="D556" s="2203">
        <f t="shared" si="148"/>
        <v>4593</v>
      </c>
      <c r="E556" s="2203">
        <f t="shared" si="148"/>
        <v>4593</v>
      </c>
      <c r="F556" s="2203">
        <f t="shared" si="148"/>
        <v>4593</v>
      </c>
      <c r="G556" s="2203">
        <f t="shared" si="148"/>
        <v>4593</v>
      </c>
      <c r="H556" s="2203">
        <f t="shared" si="148"/>
        <v>4593</v>
      </c>
      <c r="I556" s="2203">
        <f t="shared" si="148"/>
        <v>4911</v>
      </c>
      <c r="J556" s="2203">
        <f t="shared" ref="J556:O556" si="149">J558+ SUM(J564:J569)</f>
        <v>4897</v>
      </c>
      <c r="K556" s="2203">
        <f t="shared" si="149"/>
        <v>4897</v>
      </c>
      <c r="L556" s="2203">
        <f t="shared" si="149"/>
        <v>4897</v>
      </c>
      <c r="M556" s="2203">
        <f t="shared" si="149"/>
        <v>4897</v>
      </c>
      <c r="N556" s="2203">
        <f t="shared" si="149"/>
        <v>4897</v>
      </c>
      <c r="O556" s="2203">
        <f t="shared" si="149"/>
        <v>4746.166666666667</v>
      </c>
      <c r="P556" s="2205">
        <f>O556/M!$Q$14</f>
        <v>0.42560632498496104</v>
      </c>
      <c r="Q556" s="1235"/>
      <c r="R556" s="1235"/>
      <c r="S556" s="1235"/>
      <c r="T556" s="1235"/>
      <c r="U556" s="1235"/>
      <c r="V556" s="2120"/>
      <c r="W556" s="1235"/>
    </row>
    <row r="557" spans="1:23">
      <c r="A557" s="2201"/>
      <c r="B557" s="2202"/>
      <c r="C557" s="2204"/>
      <c r="D557" s="2204"/>
      <c r="E557" s="2204"/>
      <c r="F557" s="2204"/>
      <c r="G557" s="2204"/>
      <c r="H557" s="2204"/>
      <c r="I557" s="2204"/>
      <c r="J557" s="2204"/>
      <c r="K557" s="2204"/>
      <c r="L557" s="2204"/>
      <c r="M557" s="2204"/>
      <c r="N557" s="2204"/>
      <c r="O557" s="2204"/>
      <c r="P557" s="2206"/>
      <c r="Q557" s="1235"/>
      <c r="R557" s="1235"/>
      <c r="S557" s="1235"/>
      <c r="T557" s="1235"/>
      <c r="U557" s="1235"/>
      <c r="V557" s="2120" t="s">
        <v>410</v>
      </c>
      <c r="W557" s="1235"/>
    </row>
    <row r="558" spans="1:23">
      <c r="A558" s="2217"/>
      <c r="B558" s="1176" t="s">
        <v>662</v>
      </c>
      <c r="C558" s="1177">
        <v>4590</v>
      </c>
      <c r="D558" s="1177">
        <v>4590</v>
      </c>
      <c r="E558" s="1177">
        <v>4590</v>
      </c>
      <c r="F558" s="1177">
        <v>4590</v>
      </c>
      <c r="G558" s="1177">
        <v>4590</v>
      </c>
      <c r="H558" s="1177">
        <v>4590</v>
      </c>
      <c r="I558" s="1177">
        <v>4894</v>
      </c>
      <c r="J558" s="1177">
        <v>4894</v>
      </c>
      <c r="K558" s="1177">
        <v>4894</v>
      </c>
      <c r="L558" s="1177">
        <v>4894</v>
      </c>
      <c r="M558" s="1177">
        <v>4894</v>
      </c>
      <c r="N558" s="1177">
        <v>4894</v>
      </c>
      <c r="O558" s="1179">
        <f t="shared" ref="O558:O569" si="150">SUM(C558:N558)/12</f>
        <v>4742</v>
      </c>
      <c r="P558" s="1180">
        <f>O558/M!$Q$14</f>
        <v>0.42523268456902447</v>
      </c>
      <c r="Q558" s="1235"/>
      <c r="R558" s="1235"/>
      <c r="S558" s="1235"/>
      <c r="T558" s="1235"/>
      <c r="U558" s="1235"/>
      <c r="V558" s="2120" t="s">
        <v>707</v>
      </c>
      <c r="W558" s="1235"/>
    </row>
    <row r="559" spans="1:23">
      <c r="A559" s="2218"/>
      <c r="B559" s="1176" t="s">
        <v>663</v>
      </c>
      <c r="C559" s="1178">
        <v>0</v>
      </c>
      <c r="D559" s="1178">
        <v>0</v>
      </c>
      <c r="E559" s="1178">
        <v>0</v>
      </c>
      <c r="F559" s="1178">
        <v>0</v>
      </c>
      <c r="G559" s="1178">
        <v>0</v>
      </c>
      <c r="H559" s="1178">
        <v>0</v>
      </c>
      <c r="I559" s="1178">
        <v>0</v>
      </c>
      <c r="J559" s="1178">
        <v>0</v>
      </c>
      <c r="K559" s="1178">
        <v>0</v>
      </c>
      <c r="L559" s="1178">
        <v>0</v>
      </c>
      <c r="M559" s="1178">
        <v>0</v>
      </c>
      <c r="N559" s="1178">
        <v>0</v>
      </c>
      <c r="O559" s="1179">
        <f t="shared" si="150"/>
        <v>0</v>
      </c>
      <c r="P559" s="1180">
        <f>O559/M!$Q$14</f>
        <v>0</v>
      </c>
      <c r="Q559" s="1235"/>
      <c r="R559" s="1235"/>
      <c r="S559" s="1235"/>
      <c r="T559" s="1235"/>
      <c r="U559" s="1235"/>
      <c r="V559" s="2120" t="s">
        <v>698</v>
      </c>
      <c r="W559" s="1235"/>
    </row>
    <row r="560" spans="1:23">
      <c r="A560" s="2218"/>
      <c r="B560" s="1176" t="s">
        <v>664</v>
      </c>
      <c r="C560" s="1178">
        <v>0</v>
      </c>
      <c r="D560" s="1178">
        <v>0</v>
      </c>
      <c r="E560" s="1178">
        <v>0</v>
      </c>
      <c r="F560" s="1178">
        <v>0</v>
      </c>
      <c r="G560" s="1178">
        <v>0</v>
      </c>
      <c r="H560" s="1178">
        <v>0</v>
      </c>
      <c r="I560" s="1178">
        <v>0</v>
      </c>
      <c r="J560" s="1178">
        <v>0</v>
      </c>
      <c r="K560" s="1178">
        <v>0</v>
      </c>
      <c r="L560" s="1178">
        <v>0</v>
      </c>
      <c r="M560" s="1178">
        <v>0</v>
      </c>
      <c r="N560" s="1178">
        <v>0</v>
      </c>
      <c r="O560" s="1179">
        <f t="shared" si="150"/>
        <v>0</v>
      </c>
      <c r="P560" s="1180">
        <f>O560/M!$Q$14</f>
        <v>0</v>
      </c>
      <c r="Q560" s="1235"/>
      <c r="R560" s="1235"/>
      <c r="S560" s="1235"/>
      <c r="T560" s="1235"/>
      <c r="U560" s="1235"/>
      <c r="V560" s="2120" t="s">
        <v>699</v>
      </c>
      <c r="W560" s="1235"/>
    </row>
    <row r="561" spans="1:23">
      <c r="A561" s="2218"/>
      <c r="B561" s="1176" t="s">
        <v>450</v>
      </c>
      <c r="C561" s="1178">
        <v>0</v>
      </c>
      <c r="D561" s="1178">
        <v>0</v>
      </c>
      <c r="E561" s="1178">
        <v>0</v>
      </c>
      <c r="F561" s="1178">
        <v>0</v>
      </c>
      <c r="G561" s="1178">
        <v>0</v>
      </c>
      <c r="H561" s="1178">
        <v>0</v>
      </c>
      <c r="I561" s="1178">
        <v>0</v>
      </c>
      <c r="J561" s="1178">
        <v>0</v>
      </c>
      <c r="K561" s="1178">
        <v>0</v>
      </c>
      <c r="L561" s="1178">
        <v>0</v>
      </c>
      <c r="M561" s="1178">
        <v>0</v>
      </c>
      <c r="N561" s="1178">
        <v>0</v>
      </c>
      <c r="O561" s="1179">
        <f t="shared" si="150"/>
        <v>0</v>
      </c>
      <c r="P561" s="1180">
        <f>O561/M!$Q$14</f>
        <v>0</v>
      </c>
      <c r="Q561" s="1235"/>
      <c r="R561" s="1241"/>
      <c r="S561" s="1235"/>
      <c r="T561" s="1235"/>
      <c r="U561" s="1235"/>
      <c r="V561" s="2120" t="s">
        <v>414</v>
      </c>
      <c r="W561" s="1235"/>
    </row>
    <row r="562" spans="1:23">
      <c r="A562" s="2218"/>
      <c r="B562" s="1176" t="s">
        <v>665</v>
      </c>
      <c r="C562" s="1178">
        <v>0</v>
      </c>
      <c r="D562" s="1178">
        <v>0</v>
      </c>
      <c r="E562" s="1178">
        <v>0</v>
      </c>
      <c r="F562" s="1178">
        <v>0</v>
      </c>
      <c r="G562" s="1178">
        <v>0</v>
      </c>
      <c r="H562" s="1178">
        <v>0</v>
      </c>
      <c r="I562" s="1178">
        <v>0</v>
      </c>
      <c r="J562" s="1178">
        <v>0</v>
      </c>
      <c r="K562" s="1178">
        <v>0</v>
      </c>
      <c r="L562" s="1178">
        <v>0</v>
      </c>
      <c r="M562" s="1178">
        <v>0</v>
      </c>
      <c r="N562" s="1178">
        <v>0</v>
      </c>
      <c r="O562" s="1179">
        <f t="shared" si="150"/>
        <v>0</v>
      </c>
      <c r="P562" s="1180">
        <f>O562/M!$Q$14</f>
        <v>0</v>
      </c>
      <c r="Q562" s="1235"/>
      <c r="R562" s="1235"/>
      <c r="S562" s="1235"/>
      <c r="T562" s="1235"/>
      <c r="U562" s="1235"/>
      <c r="V562" s="2120" t="s">
        <v>278</v>
      </c>
      <c r="W562" s="1235"/>
    </row>
    <row r="563" spans="1:23">
      <c r="A563" s="2218"/>
      <c r="B563" s="1176" t="s">
        <v>664</v>
      </c>
      <c r="C563" s="1178">
        <v>0</v>
      </c>
      <c r="D563" s="1178">
        <v>0</v>
      </c>
      <c r="E563" s="1178">
        <v>0</v>
      </c>
      <c r="F563" s="1178">
        <v>0</v>
      </c>
      <c r="G563" s="1178">
        <v>0</v>
      </c>
      <c r="H563" s="1178">
        <v>0</v>
      </c>
      <c r="I563" s="1178">
        <v>0</v>
      </c>
      <c r="J563" s="1178">
        <v>0</v>
      </c>
      <c r="K563" s="1178">
        <v>0</v>
      </c>
      <c r="L563" s="1178">
        <v>0</v>
      </c>
      <c r="M563" s="1178">
        <v>0</v>
      </c>
      <c r="N563" s="1178">
        <v>0</v>
      </c>
      <c r="O563" s="1179">
        <f t="shared" si="150"/>
        <v>0</v>
      </c>
      <c r="P563" s="1180">
        <f>O563/M!$Q$14</f>
        <v>0</v>
      </c>
      <c r="Q563" s="1235"/>
      <c r="R563" s="1235"/>
      <c r="S563" s="1235"/>
      <c r="T563" s="1235"/>
      <c r="U563" s="1235"/>
      <c r="V563" s="2120" t="s">
        <v>280</v>
      </c>
      <c r="W563" s="1235"/>
    </row>
    <row r="564" spans="1:23">
      <c r="A564" s="2218"/>
      <c r="B564" s="1176" t="s">
        <v>287</v>
      </c>
      <c r="C564" s="1178">
        <v>0</v>
      </c>
      <c r="D564" s="1178">
        <v>0</v>
      </c>
      <c r="E564" s="1178">
        <v>0</v>
      </c>
      <c r="F564" s="1178">
        <v>0</v>
      </c>
      <c r="G564" s="1178">
        <v>0</v>
      </c>
      <c r="H564" s="1178">
        <v>0</v>
      </c>
      <c r="I564" s="1178">
        <v>0</v>
      </c>
      <c r="J564" s="1178">
        <v>0</v>
      </c>
      <c r="K564" s="1178">
        <v>0</v>
      </c>
      <c r="L564" s="1178">
        <v>0</v>
      </c>
      <c r="M564" s="1178">
        <v>0</v>
      </c>
      <c r="N564" s="1178">
        <v>0</v>
      </c>
      <c r="O564" s="1179">
        <f t="shared" si="150"/>
        <v>0</v>
      </c>
      <c r="P564" s="1180">
        <f>O564/M!$Q$14</f>
        <v>0</v>
      </c>
      <c r="Q564" s="1235"/>
      <c r="R564" s="1235"/>
      <c r="S564" s="1235"/>
      <c r="T564" s="1235"/>
      <c r="U564" s="1235"/>
      <c r="V564" s="2120" t="s">
        <v>708</v>
      </c>
      <c r="W564" s="1235"/>
    </row>
    <row r="565" spans="1:23">
      <c r="A565" s="2218"/>
      <c r="B565" s="1176" t="s">
        <v>453</v>
      </c>
      <c r="C565" s="1178">
        <v>0</v>
      </c>
      <c r="D565" s="1178">
        <v>0</v>
      </c>
      <c r="E565" s="1178">
        <v>0</v>
      </c>
      <c r="F565" s="1178">
        <v>0</v>
      </c>
      <c r="G565" s="1178">
        <v>0</v>
      </c>
      <c r="H565" s="1178">
        <v>0</v>
      </c>
      <c r="I565" s="1178">
        <v>0</v>
      </c>
      <c r="J565" s="1178">
        <v>0</v>
      </c>
      <c r="K565" s="1178">
        <v>0</v>
      </c>
      <c r="L565" s="1178">
        <v>0</v>
      </c>
      <c r="M565" s="1178">
        <v>0</v>
      </c>
      <c r="N565" s="1178">
        <v>0</v>
      </c>
      <c r="O565" s="1179">
        <f t="shared" si="150"/>
        <v>0</v>
      </c>
      <c r="P565" s="1180">
        <f>O565/M!$Q$14</f>
        <v>0</v>
      </c>
      <c r="Q565" s="1235"/>
      <c r="R565" s="1235"/>
      <c r="S565" s="1235"/>
      <c r="T565" s="1235"/>
      <c r="U565" s="1235"/>
      <c r="V565" s="2120" t="s">
        <v>709</v>
      </c>
      <c r="W565" s="1235"/>
    </row>
    <row r="566" spans="1:23">
      <c r="A566" s="2218"/>
      <c r="B566" s="1176" t="s">
        <v>400</v>
      </c>
      <c r="C566" s="1178">
        <v>0</v>
      </c>
      <c r="D566" s="1178">
        <v>0</v>
      </c>
      <c r="E566" s="1178">
        <v>0</v>
      </c>
      <c r="F566" s="1178">
        <v>0</v>
      </c>
      <c r="G566" s="1178">
        <v>0</v>
      </c>
      <c r="H566" s="1178">
        <v>0</v>
      </c>
      <c r="I566" s="1178">
        <v>0</v>
      </c>
      <c r="J566" s="1178">
        <v>0</v>
      </c>
      <c r="K566" s="1178">
        <v>0</v>
      </c>
      <c r="L566" s="1178">
        <v>0</v>
      </c>
      <c r="M566" s="1178">
        <v>0</v>
      </c>
      <c r="N566" s="1178">
        <v>0</v>
      </c>
      <c r="O566" s="1179">
        <f t="shared" si="150"/>
        <v>0</v>
      </c>
      <c r="P566" s="1180">
        <f>O566/M!$Q$14</f>
        <v>0</v>
      </c>
      <c r="Q566" s="1235"/>
      <c r="R566" s="1235"/>
      <c r="S566" s="1235"/>
      <c r="T566" s="1235"/>
      <c r="U566" s="1235"/>
      <c r="V566" s="2120" t="s">
        <v>702</v>
      </c>
      <c r="W566" s="1235"/>
    </row>
    <row r="567" spans="1:23">
      <c r="A567" s="2218"/>
      <c r="B567" s="1176" t="s">
        <v>401</v>
      </c>
      <c r="C567" s="1178">
        <v>0</v>
      </c>
      <c r="D567" s="1178">
        <v>0</v>
      </c>
      <c r="E567" s="1178">
        <v>0</v>
      </c>
      <c r="F567" s="1178">
        <v>0</v>
      </c>
      <c r="G567" s="1178">
        <v>0</v>
      </c>
      <c r="H567" s="1178">
        <v>0</v>
      </c>
      <c r="I567" s="1178">
        <v>0</v>
      </c>
      <c r="J567" s="1178">
        <v>0</v>
      </c>
      <c r="K567" s="1178">
        <v>0</v>
      </c>
      <c r="L567" s="1178">
        <v>0</v>
      </c>
      <c r="M567" s="1178">
        <v>0</v>
      </c>
      <c r="N567" s="1178">
        <v>0</v>
      </c>
      <c r="O567" s="1179">
        <f t="shared" si="150"/>
        <v>0</v>
      </c>
      <c r="P567" s="1180">
        <f>O567/M!$Q$14</f>
        <v>0</v>
      </c>
      <c r="Q567" s="1235"/>
      <c r="R567" s="1235"/>
      <c r="S567" s="1235"/>
      <c r="T567" s="1235"/>
      <c r="U567" s="1235"/>
      <c r="V567" s="2120" t="s">
        <v>426</v>
      </c>
      <c r="W567" s="1235"/>
    </row>
    <row r="568" spans="1:23">
      <c r="A568" s="2218"/>
      <c r="B568" s="1176" t="s">
        <v>402</v>
      </c>
      <c r="C568" s="1178">
        <v>0</v>
      </c>
      <c r="D568" s="1178">
        <v>0</v>
      </c>
      <c r="E568" s="1178">
        <v>0</v>
      </c>
      <c r="F568" s="1178">
        <v>0</v>
      </c>
      <c r="G568" s="1178">
        <v>0</v>
      </c>
      <c r="H568" s="1178">
        <v>0</v>
      </c>
      <c r="I568" s="1178">
        <v>0</v>
      </c>
      <c r="J568" s="1178">
        <v>0</v>
      </c>
      <c r="K568" s="1178">
        <v>0</v>
      </c>
      <c r="L568" s="1178">
        <v>0</v>
      </c>
      <c r="M568" s="1178">
        <v>0</v>
      </c>
      <c r="N568" s="1178">
        <v>0</v>
      </c>
      <c r="O568" s="1179">
        <f t="shared" si="150"/>
        <v>0</v>
      </c>
      <c r="P568" s="1180">
        <f>O568/M!$Q$14</f>
        <v>0</v>
      </c>
      <c r="Q568" s="1235"/>
      <c r="R568" s="1235"/>
      <c r="S568" s="1235"/>
      <c r="T568" s="1235"/>
      <c r="U568" s="1235"/>
      <c r="V568" s="2120" t="s">
        <v>427</v>
      </c>
      <c r="W568" s="1235"/>
    </row>
    <row r="569" spans="1:23">
      <c r="A569" s="2219"/>
      <c r="B569" s="1176" t="s">
        <v>403</v>
      </c>
      <c r="C569" s="1177">
        <v>3</v>
      </c>
      <c r="D569" s="1178">
        <v>3</v>
      </c>
      <c r="E569" s="1178">
        <v>3</v>
      </c>
      <c r="F569" s="1178">
        <v>3</v>
      </c>
      <c r="G569" s="1178">
        <v>3</v>
      </c>
      <c r="H569" s="1178">
        <v>3</v>
      </c>
      <c r="I569" s="1178">
        <v>17</v>
      </c>
      <c r="J569" s="1178">
        <v>3</v>
      </c>
      <c r="K569" s="1178">
        <v>3</v>
      </c>
      <c r="L569" s="1178">
        <v>3</v>
      </c>
      <c r="M569" s="1178">
        <v>3</v>
      </c>
      <c r="N569" s="1178">
        <v>3</v>
      </c>
      <c r="O569" s="1179">
        <f t="shared" si="150"/>
        <v>4.166666666666667</v>
      </c>
      <c r="P569" s="1180">
        <f>O569/M!$Q$14</f>
        <v>3.7364041593651104E-4</v>
      </c>
      <c r="Q569" s="1235"/>
      <c r="R569" s="1235"/>
      <c r="S569" s="1235"/>
      <c r="T569" s="1235"/>
      <c r="U569" s="1235"/>
      <c r="V569" s="2120" t="s">
        <v>381</v>
      </c>
      <c r="W569" s="1235"/>
    </row>
    <row r="570" spans="1:23">
      <c r="A570" s="2199" t="s">
        <v>276</v>
      </c>
      <c r="B570" s="2200"/>
      <c r="C570" s="2203">
        <f t="shared" ref="C570:O570" si="151">SUM(C572:C577)</f>
        <v>1138.3333333333335</v>
      </c>
      <c r="D570" s="2203">
        <f t="shared" si="151"/>
        <v>1056.3333333333335</v>
      </c>
      <c r="E570" s="2203">
        <f t="shared" si="151"/>
        <v>1056.3333333333335</v>
      </c>
      <c r="F570" s="2203">
        <f t="shared" si="151"/>
        <v>1307.3333333333335</v>
      </c>
      <c r="G570" s="2203">
        <f t="shared" si="151"/>
        <v>1250.3333333333335</v>
      </c>
      <c r="H570" s="2203">
        <f t="shared" si="151"/>
        <v>1475.3333333333335</v>
      </c>
      <c r="I570" s="2203">
        <f t="shared" si="151"/>
        <v>1056.3333333333335</v>
      </c>
      <c r="J570" s="2203">
        <f t="shared" si="151"/>
        <v>1037.8333333333335</v>
      </c>
      <c r="K570" s="2203">
        <f t="shared" si="151"/>
        <v>1037.8333333333335</v>
      </c>
      <c r="L570" s="2203">
        <f t="shared" si="151"/>
        <v>1129.8333333333335</v>
      </c>
      <c r="M570" s="2203">
        <f t="shared" si="151"/>
        <v>1037.8333333333335</v>
      </c>
      <c r="N570" s="2203">
        <f t="shared" si="151"/>
        <v>1524.8333333333335</v>
      </c>
      <c r="O570" s="2203">
        <f t="shared" si="151"/>
        <v>1175.7083333333333</v>
      </c>
      <c r="P570" s="2205">
        <f>O570/M!$Q$14</f>
        <v>0.10543011616480531</v>
      </c>
      <c r="Q570" s="1235"/>
      <c r="R570" s="1235"/>
      <c r="S570" s="1235"/>
      <c r="T570" s="1235"/>
      <c r="U570" s="1235"/>
      <c r="V570" s="2120" t="s">
        <v>689</v>
      </c>
      <c r="W570" s="1235"/>
    </row>
    <row r="571" spans="1:23">
      <c r="A571" s="2201"/>
      <c r="B571" s="2202"/>
      <c r="C571" s="2204"/>
      <c r="D571" s="2204"/>
      <c r="E571" s="2204"/>
      <c r="F571" s="2204"/>
      <c r="G571" s="2204"/>
      <c r="H571" s="2204"/>
      <c r="I571" s="2204"/>
      <c r="J571" s="2204"/>
      <c r="K571" s="2204"/>
      <c r="L571" s="2204"/>
      <c r="M571" s="2204"/>
      <c r="N571" s="2204"/>
      <c r="O571" s="2204"/>
      <c r="P571" s="2206"/>
      <c r="Q571" s="1235"/>
      <c r="R571" s="1235"/>
      <c r="S571" s="1235"/>
      <c r="T571" s="1235"/>
      <c r="U571" s="1235"/>
      <c r="V571" s="2120" t="s">
        <v>706</v>
      </c>
      <c r="W571" s="1235"/>
    </row>
    <row r="572" spans="1:23">
      <c r="A572" s="1226"/>
      <c r="B572" s="1176" t="s">
        <v>666</v>
      </c>
      <c r="C572" s="1178">
        <f t="shared" ref="C572:H572" si="152">46700/60</f>
        <v>778.33333333333337</v>
      </c>
      <c r="D572" s="1178">
        <f t="shared" si="152"/>
        <v>778.33333333333337</v>
      </c>
      <c r="E572" s="1178">
        <f t="shared" si="152"/>
        <v>778.33333333333337</v>
      </c>
      <c r="F572" s="1178">
        <f t="shared" si="152"/>
        <v>778.33333333333337</v>
      </c>
      <c r="G572" s="1178">
        <f t="shared" si="152"/>
        <v>778.33333333333337</v>
      </c>
      <c r="H572" s="1178">
        <f t="shared" si="152"/>
        <v>778.33333333333337</v>
      </c>
      <c r="I572" s="1178">
        <f t="shared" ref="I572:N572" si="153">46700/60</f>
        <v>778.33333333333337</v>
      </c>
      <c r="J572" s="1178">
        <f t="shared" si="153"/>
        <v>778.33333333333337</v>
      </c>
      <c r="K572" s="1178">
        <f t="shared" si="153"/>
        <v>778.33333333333337</v>
      </c>
      <c r="L572" s="1178">
        <f t="shared" si="153"/>
        <v>778.33333333333337</v>
      </c>
      <c r="M572" s="1178">
        <f t="shared" si="153"/>
        <v>778.33333333333337</v>
      </c>
      <c r="N572" s="1178">
        <f t="shared" si="153"/>
        <v>778.33333333333337</v>
      </c>
      <c r="O572" s="1179">
        <f t="shared" ref="O572:O577" si="154">SUM(C572:N572)/12</f>
        <v>778.33333333333337</v>
      </c>
      <c r="P572" s="1180">
        <f>O572/M!$Q$14</f>
        <v>6.9796029696940265E-2</v>
      </c>
      <c r="Q572" s="1235"/>
      <c r="R572" s="1235"/>
      <c r="S572" s="1235"/>
      <c r="T572" s="1235"/>
      <c r="U572" s="1235"/>
      <c r="V572" s="2120" t="s">
        <v>405</v>
      </c>
      <c r="W572" s="1235"/>
    </row>
    <row r="573" spans="1:23">
      <c r="A573" s="1226"/>
      <c r="B573" s="1176" t="s">
        <v>400</v>
      </c>
      <c r="C573" s="1181">
        <f>1086/6</f>
        <v>181</v>
      </c>
      <c r="D573" s="1181">
        <f t="shared" ref="D573:I573" si="155">1086/6</f>
        <v>181</v>
      </c>
      <c r="E573" s="1181">
        <f t="shared" si="155"/>
        <v>181</v>
      </c>
      <c r="F573" s="1181">
        <f t="shared" si="155"/>
        <v>181</v>
      </c>
      <c r="G573" s="1181">
        <f t="shared" si="155"/>
        <v>181</v>
      </c>
      <c r="H573" s="1181">
        <f t="shared" si="155"/>
        <v>181</v>
      </c>
      <c r="I573" s="1181">
        <f t="shared" si="155"/>
        <v>181</v>
      </c>
      <c r="J573" s="1181">
        <f>975/6</f>
        <v>162.5</v>
      </c>
      <c r="K573" s="1181">
        <f>975/6</f>
        <v>162.5</v>
      </c>
      <c r="L573" s="1181">
        <f>975/6</f>
        <v>162.5</v>
      </c>
      <c r="M573" s="1181">
        <f>975/6</f>
        <v>162.5</v>
      </c>
      <c r="N573" s="1181">
        <f>975/6</f>
        <v>162.5</v>
      </c>
      <c r="O573" s="1179">
        <f t="shared" si="154"/>
        <v>173.29166666666666</v>
      </c>
      <c r="P573" s="1180">
        <f>O573/M!$Q$14</f>
        <v>1.5539704898799493E-2</v>
      </c>
      <c r="Q573" s="1235"/>
      <c r="R573" s="1235"/>
      <c r="S573" s="1235"/>
      <c r="T573" s="1235"/>
      <c r="U573" s="1235"/>
      <c r="V573" s="2120" t="s">
        <v>710</v>
      </c>
      <c r="W573" s="1235"/>
    </row>
    <row r="574" spans="1:23">
      <c r="A574" s="1226"/>
      <c r="B574" s="1176" t="s">
        <v>454</v>
      </c>
      <c r="C574" s="1178">
        <v>0</v>
      </c>
      <c r="D574" s="1178">
        <v>0</v>
      </c>
      <c r="E574" s="1178">
        <v>0</v>
      </c>
      <c r="F574" s="1178">
        <v>0</v>
      </c>
      <c r="G574" s="1178">
        <v>194</v>
      </c>
      <c r="H574" s="1178">
        <v>419</v>
      </c>
      <c r="I574" s="1178">
        <v>0</v>
      </c>
      <c r="J574" s="1178">
        <v>0</v>
      </c>
      <c r="K574" s="1178">
        <v>0</v>
      </c>
      <c r="L574" s="1178">
        <v>0</v>
      </c>
      <c r="M574" s="1178">
        <v>0</v>
      </c>
      <c r="N574" s="1178">
        <v>50</v>
      </c>
      <c r="O574" s="1179">
        <f t="shared" si="154"/>
        <v>55.25</v>
      </c>
      <c r="P574" s="1180">
        <f>O574/M!$Q$14</f>
        <v>4.9544719153181366E-3</v>
      </c>
      <c r="Q574" s="1235"/>
      <c r="R574" s="1235"/>
      <c r="S574" s="1235"/>
      <c r="T574" s="1235"/>
      <c r="U574" s="1235"/>
      <c r="V574" s="2120" t="s">
        <v>130</v>
      </c>
      <c r="W574" s="1235"/>
    </row>
    <row r="575" spans="1:23">
      <c r="A575" s="1226"/>
      <c r="B575" s="1176" t="s">
        <v>407</v>
      </c>
      <c r="C575" s="1178">
        <v>37</v>
      </c>
      <c r="D575" s="1178">
        <v>0</v>
      </c>
      <c r="E575" s="1178">
        <v>0</v>
      </c>
      <c r="F575" s="1178">
        <v>206</v>
      </c>
      <c r="G575" s="1178">
        <v>0</v>
      </c>
      <c r="H575" s="1178">
        <v>0</v>
      </c>
      <c r="I575" s="1178">
        <v>0</v>
      </c>
      <c r="J575" s="1178">
        <v>0</v>
      </c>
      <c r="K575" s="1178">
        <v>0</v>
      </c>
      <c r="L575" s="1178">
        <v>0</v>
      </c>
      <c r="M575" s="1178">
        <v>0</v>
      </c>
      <c r="N575" s="1178">
        <v>0</v>
      </c>
      <c r="O575" s="1179">
        <f t="shared" si="154"/>
        <v>20.25</v>
      </c>
      <c r="P575" s="1180">
        <f>O575/M!$Q$14</f>
        <v>1.8158924214514436E-3</v>
      </c>
      <c r="Q575" s="1235"/>
      <c r="R575" s="1235"/>
      <c r="S575" s="1235"/>
      <c r="T575" s="1235"/>
      <c r="U575" s="1235"/>
      <c r="V575" s="2120" t="s">
        <v>284</v>
      </c>
      <c r="W575" s="1235"/>
    </row>
    <row r="576" spans="1:23">
      <c r="A576" s="1226"/>
      <c r="B576" s="1176" t="s">
        <v>408</v>
      </c>
      <c r="C576" s="1178">
        <v>97</v>
      </c>
      <c r="D576" s="1178">
        <v>97</v>
      </c>
      <c r="E576" s="1178">
        <v>97</v>
      </c>
      <c r="F576" s="1178">
        <v>97</v>
      </c>
      <c r="G576" s="1178">
        <v>97</v>
      </c>
      <c r="H576" s="1178">
        <v>97</v>
      </c>
      <c r="I576" s="1178">
        <v>97</v>
      </c>
      <c r="J576" s="1178">
        <v>97</v>
      </c>
      <c r="K576" s="1178">
        <v>97</v>
      </c>
      <c r="L576" s="1178">
        <v>97</v>
      </c>
      <c r="M576" s="1178">
        <v>97</v>
      </c>
      <c r="N576" s="1178">
        <v>97</v>
      </c>
      <c r="O576" s="1179">
        <f t="shared" si="154"/>
        <v>97</v>
      </c>
      <c r="P576" s="1180">
        <f>O576/M!$Q$14</f>
        <v>8.6983488830019769E-3</v>
      </c>
      <c r="Q576" s="1235"/>
      <c r="R576" s="1235"/>
      <c r="S576" s="1235"/>
      <c r="T576" s="1235"/>
      <c r="U576" s="1235"/>
      <c r="V576" s="2120" t="s">
        <v>711</v>
      </c>
      <c r="W576" s="1235"/>
    </row>
    <row r="577" spans="1:23">
      <c r="A577" s="1226"/>
      <c r="B577" s="1176" t="s">
        <v>409</v>
      </c>
      <c r="C577" s="1178">
        <v>45</v>
      </c>
      <c r="D577" s="1178">
        <v>0</v>
      </c>
      <c r="E577" s="1178">
        <v>0</v>
      </c>
      <c r="F577" s="1178">
        <v>45</v>
      </c>
      <c r="G577" s="1178">
        <v>0</v>
      </c>
      <c r="H577" s="1178">
        <v>0</v>
      </c>
      <c r="I577" s="1178">
        <v>0</v>
      </c>
      <c r="J577" s="1178">
        <v>0</v>
      </c>
      <c r="K577" s="1178">
        <v>0</v>
      </c>
      <c r="L577" s="1178">
        <v>92</v>
      </c>
      <c r="M577" s="1178">
        <v>0</v>
      </c>
      <c r="N577" s="1178">
        <v>437</v>
      </c>
      <c r="O577" s="1179">
        <f t="shared" si="154"/>
        <v>51.583333333333336</v>
      </c>
      <c r="P577" s="1180"/>
      <c r="Q577" s="1235"/>
      <c r="R577" s="1235"/>
      <c r="S577" s="1235"/>
      <c r="T577" s="1235"/>
      <c r="U577" s="1235"/>
      <c r="V577" s="2120" t="s">
        <v>692</v>
      </c>
      <c r="W577" s="1235"/>
    </row>
    <row r="578" spans="1:23">
      <c r="A578" s="2191" t="s">
        <v>277</v>
      </c>
      <c r="B578" s="2192"/>
      <c r="C578" s="2203">
        <f t="shared" ref="C578:N578" si="156">SUM(C580:C583)</f>
        <v>84</v>
      </c>
      <c r="D578" s="2203">
        <f t="shared" si="156"/>
        <v>18</v>
      </c>
      <c r="E578" s="2203">
        <f t="shared" si="156"/>
        <v>152</v>
      </c>
      <c r="F578" s="2203">
        <f t="shared" si="156"/>
        <v>500</v>
      </c>
      <c r="G578" s="2203">
        <f t="shared" si="156"/>
        <v>1008</v>
      </c>
      <c r="H578" s="2203">
        <f t="shared" si="156"/>
        <v>213</v>
      </c>
      <c r="I578" s="2203">
        <f t="shared" si="156"/>
        <v>340</v>
      </c>
      <c r="J578" s="2203">
        <f t="shared" si="156"/>
        <v>359</v>
      </c>
      <c r="K578" s="2203">
        <f t="shared" si="156"/>
        <v>217</v>
      </c>
      <c r="L578" s="2203">
        <f t="shared" si="156"/>
        <v>234</v>
      </c>
      <c r="M578" s="2203">
        <f t="shared" si="156"/>
        <v>475</v>
      </c>
      <c r="N578" s="2203">
        <f t="shared" si="156"/>
        <v>202</v>
      </c>
      <c r="O578" s="2203">
        <f>SUM(O580:O583)</f>
        <v>316.83333333333331</v>
      </c>
      <c r="P578" s="1180"/>
      <c r="Q578" s="1235"/>
      <c r="R578" s="1235"/>
      <c r="S578" s="1235"/>
      <c r="T578" s="1235"/>
      <c r="U578" s="1235"/>
      <c r="V578" s="2120" t="s">
        <v>693</v>
      </c>
      <c r="W578" s="1235"/>
    </row>
    <row r="579" spans="1:23">
      <c r="A579" s="2193"/>
      <c r="B579" s="2194"/>
      <c r="C579" s="2204"/>
      <c r="D579" s="2204"/>
      <c r="E579" s="2204"/>
      <c r="F579" s="2204"/>
      <c r="G579" s="2204"/>
      <c r="H579" s="2204"/>
      <c r="I579" s="2204"/>
      <c r="J579" s="2204"/>
      <c r="K579" s="2204"/>
      <c r="L579" s="2204"/>
      <c r="M579" s="2204"/>
      <c r="N579" s="2204"/>
      <c r="O579" s="2204"/>
      <c r="P579" s="1180"/>
      <c r="Q579" s="1235"/>
      <c r="R579" s="1235"/>
      <c r="S579" s="1235"/>
      <c r="T579" s="1235"/>
      <c r="U579" s="1235"/>
      <c r="V579" s="2120" t="s">
        <v>694</v>
      </c>
      <c r="W579" s="1235"/>
    </row>
    <row r="580" spans="1:23">
      <c r="A580" s="1226"/>
      <c r="B580" s="1176" t="s">
        <v>410</v>
      </c>
      <c r="C580" s="1196">
        <f>SUMIF(Jan!$BT$1:$BT$173,$B580,Jan!$BS$1:$BS$173)</f>
        <v>84</v>
      </c>
      <c r="D580" s="1196">
        <f>SUMIF(Feb!$BT$1:$BT$185,$B580, Feb!$BS$1:$BS$185)</f>
        <v>0</v>
      </c>
      <c r="E580" s="1196">
        <f>SUMIF(Mar!$BT$1:$BT$155,$B580, Mar!$BS$1:$BS$180)</f>
        <v>127</v>
      </c>
      <c r="F580" s="1196">
        <f>SUMIF(Apr!$BT$1:$BT$194,$B580,Apr!$BS$1:$BS$194)</f>
        <v>99</v>
      </c>
      <c r="G580" s="1196">
        <f>SUMIF(May!$BT$1:$BT$200,$B580,May!$BS$1:$BS$200)</f>
        <v>338</v>
      </c>
      <c r="H580" s="1196">
        <f>SUMIF(Jun!$BT$1:$BT$195,$B580,Jun!$BS$1:$BS$195)</f>
        <v>213</v>
      </c>
      <c r="I580" s="1196">
        <f>SUMIF(Jul!$BT$1:$BT$191,$B580,Jul!$BS$1:$BS$191)</f>
        <v>340</v>
      </c>
      <c r="J580" s="1196">
        <f>SUMIF(Aug!$BT$1:$BT$205,$B580,Aug!$BS$1:$BS$205)</f>
        <v>189</v>
      </c>
      <c r="K580" s="1196">
        <f>SUMIF(Sep!$BT$1:$BT$200,$B580,Sep!$BS$1:$BS$200)</f>
        <v>217</v>
      </c>
      <c r="L580" s="1196">
        <f>SUMIF(Oct!$BT$1:$BT$197,$B580,Oct!$BS$1:$BS$197)</f>
        <v>214</v>
      </c>
      <c r="M580" s="1196">
        <f>SUMIF(Nov!$BT$1:$BT$195,$B580,Nov!$BS$1:$BS$195)</f>
        <v>270</v>
      </c>
      <c r="N580" s="1196">
        <f>SUMIF(Dec!$BT$1:$BT$211,$B580,Dec!$BS$1:$BS$211)</f>
        <v>180</v>
      </c>
      <c r="O580" s="1179">
        <f>SUM(C580:N580)/12</f>
        <v>189.25</v>
      </c>
      <c r="P580" s="1180"/>
      <c r="Q580" s="1235"/>
      <c r="R580" s="1235"/>
      <c r="S580" s="1235"/>
      <c r="T580" s="1235"/>
      <c r="U580" s="1235"/>
      <c r="V580" s="2120" t="s">
        <v>695</v>
      </c>
      <c r="W580" s="1235"/>
    </row>
    <row r="581" spans="1:23">
      <c r="A581" s="1226"/>
      <c r="B581" s="1176" t="s">
        <v>690</v>
      </c>
      <c r="C581" s="1196">
        <f>SUMIF(Jan!$BT$1:$BT$173,$B581,Jan!$BS$1:$BS$173)</f>
        <v>0</v>
      </c>
      <c r="D581" s="1196">
        <f>SUMIF(Feb!$BT$1:$BT$185,$B581, Feb!$BS$1:$BS$185)</f>
        <v>0</v>
      </c>
      <c r="E581" s="1196">
        <f>SUMIF(Mar!$BT$1:$BT$155,$B581, Mar!$BS$1:$BS$180)</f>
        <v>0</v>
      </c>
      <c r="F581" s="1196">
        <f>SUMIF(Apr!$BT$1:$BT$194,$B581,Apr!$BS$1:$BS$194)</f>
        <v>401</v>
      </c>
      <c r="G581" s="1196">
        <f>SUMIF(May!$BT$1:$BT$200,$B581,May!$BS$1:$BS$200)</f>
        <v>670</v>
      </c>
      <c r="H581" s="1196">
        <f>SUMIF(Jun!$BT$1:$BT$195,$B581,Jun!$BS$1:$BS$195)</f>
        <v>0</v>
      </c>
      <c r="I581" s="1196">
        <f>SUMIF(Jul!$BT$1:$BT$191,$B581,Jul!$BS$1:$BS$191)</f>
        <v>0</v>
      </c>
      <c r="J581" s="1196">
        <v>170</v>
      </c>
      <c r="K581" s="1196">
        <f>SUMIF(Sep!$BT$1:$BT$200,$B581,Sep!$BS$1:$BS$200)</f>
        <v>0</v>
      </c>
      <c r="L581" s="1196">
        <f>SUMIF(Oct!$BT$1:$BT$197,$B581,Oct!$BS$1:$BS$197)</f>
        <v>0</v>
      </c>
      <c r="M581" s="1196">
        <f>SUMIF(Nov!$BT$1:$BT$195,$B581,Nov!$BS$1:$BS$195)</f>
        <v>199</v>
      </c>
      <c r="N581" s="1196">
        <f>SUMIF(Dec!$BT$1:$BT$211,$B581,Dec!$BS$1:$BS$211)</f>
        <v>0</v>
      </c>
      <c r="O581" s="1179">
        <f>SUM(C581:N581)/12</f>
        <v>120</v>
      </c>
      <c r="P581" s="1180"/>
      <c r="Q581" s="1235"/>
      <c r="R581" s="1235"/>
      <c r="S581" s="1235"/>
      <c r="T581" s="1235"/>
      <c r="U581" s="1235"/>
      <c r="V581" s="2120" t="s">
        <v>696</v>
      </c>
      <c r="W581" s="1235"/>
    </row>
    <row r="582" spans="1:23">
      <c r="A582" s="1226"/>
      <c r="B582" s="1176" t="s">
        <v>458</v>
      </c>
      <c r="C582" s="1196">
        <f>SUMIF(Jan!$BT$1:$BT$173,$B582,Jan!$BS$1:$BS$173)</f>
        <v>0</v>
      </c>
      <c r="D582" s="1196">
        <f>SUMIF(Feb!$BT$1:$BT$185,$B582, Feb!$BS$1:$BS$185)</f>
        <v>18</v>
      </c>
      <c r="E582" s="1196">
        <f>SUMIF(Mar!$BT$1:$BT$155,$B582, Mar!$BS$1:$BS$180)</f>
        <v>0</v>
      </c>
      <c r="F582" s="1196">
        <f>SUMIF(Apr!$BT$1:$BT$194,$B582,Apr!$BS$1:$BS$194)</f>
        <v>0</v>
      </c>
      <c r="G582" s="1196">
        <f>SUMIF(May!$BT$1:$BT$200,$B582,May!$BS$1:$BS$200)</f>
        <v>0</v>
      </c>
      <c r="H582" s="1196">
        <f>SUMIF(Jun!$BT$1:$BT$195,$B582,Jun!$BS$1:$BS$195)</f>
        <v>0</v>
      </c>
      <c r="I582" s="1196">
        <f>SUMIF(Jul!$BT$1:$BT$191,$B582,Jul!$BS$1:$BS$191)</f>
        <v>0</v>
      </c>
      <c r="J582" s="1196">
        <f>SUMIF(Aug!$BT$1:$BT$205,$B582,Aug!$BS$1:$BS$205)</f>
        <v>0</v>
      </c>
      <c r="K582" s="1196">
        <f>SUMIF(Sep!$BT$1:$BT$200,$B582,Sep!$BS$1:$BS$200)</f>
        <v>0</v>
      </c>
      <c r="L582" s="1196">
        <f>SUMIF(Oct!$BT$1:$BT$197,$B582,Oct!$BS$1:$BS$197)</f>
        <v>20</v>
      </c>
      <c r="M582" s="1196">
        <f>SUMIF(Nov!$BT$1:$BT$195,$B582,Nov!$BS$1:$BS$195)</f>
        <v>6</v>
      </c>
      <c r="N582" s="1196">
        <f>SUMIF(Dec!$BT$1:$BT$211,$B582,Dec!$BS$1:$BS$211)</f>
        <v>22</v>
      </c>
      <c r="O582" s="1179">
        <f>SUM(C582:N582)/12</f>
        <v>5.5</v>
      </c>
      <c r="P582" s="1180"/>
      <c r="Q582" s="1235"/>
      <c r="R582" s="1235"/>
      <c r="S582" s="1235"/>
      <c r="T582" s="1235"/>
      <c r="U582" s="1235"/>
      <c r="V582" s="2120" t="s">
        <v>697</v>
      </c>
      <c r="W582" s="1235"/>
    </row>
    <row r="583" spans="1:23">
      <c r="A583" s="1226"/>
      <c r="B583" s="1176" t="s">
        <v>699</v>
      </c>
      <c r="C583" s="1196">
        <f>SUMIF(Jan!$BT$1:$BT$173,$B583,Jan!$BS$1:$BS$173)</f>
        <v>0</v>
      </c>
      <c r="D583" s="1196">
        <f>SUMIF(Feb!$BT$1:$BT$185,$B583, Feb!$BS$1:$BS$185)</f>
        <v>0</v>
      </c>
      <c r="E583" s="1196">
        <f>SUMIF(Mar!$BT$1:$BT$155,$B583, Mar!$BS$1:$BS$180)</f>
        <v>25</v>
      </c>
      <c r="F583" s="1196">
        <f>SUMIF(Apr!$BT$1:$BT$194,$B583,Apr!$BS$1:$BS$194)</f>
        <v>0</v>
      </c>
      <c r="G583" s="1196">
        <f>SUMIF(May!$BT$1:$BT$200,$B583,May!$BS$1:$BS$200)</f>
        <v>0</v>
      </c>
      <c r="H583" s="1196">
        <f>SUMIF(Jun!$BT$1:$BT$195,$B583,Jun!$BS$1:$BS$195)</f>
        <v>0</v>
      </c>
      <c r="I583" s="1196">
        <f>SUMIF(Jul!$BT$1:$BT$191,$B583,Jul!$BS$1:$BS$191)</f>
        <v>0</v>
      </c>
      <c r="J583" s="1196">
        <f>SUMIF(Aug!$BT$1:$BT$205,$B583,Aug!$BS$1:$BS$205)</f>
        <v>0</v>
      </c>
      <c r="K583" s="1196">
        <f>SUMIF(Sep!$BT$1:$BT$200,$B583,Sep!$BS$1:$BS$200)</f>
        <v>0</v>
      </c>
      <c r="L583" s="1196">
        <f>SUMIF(Oct!$BT$1:$BT$197,$B583,Oct!$BS$1:$BS$197)</f>
        <v>0</v>
      </c>
      <c r="M583" s="1196">
        <f>SUMIF(Nov!$BT$1:$BT$195,$B583,Nov!$BS$1:$BS$195)</f>
        <v>0</v>
      </c>
      <c r="N583" s="1196">
        <f>SUMIF(Dec!$BT$1:$BT$211,$B583,Dec!$BS$1:$BS$211)</f>
        <v>0</v>
      </c>
      <c r="O583" s="1179">
        <f>SUM(C583:N583)/12</f>
        <v>2.0833333333333335</v>
      </c>
      <c r="P583" s="1180">
        <f>O577/M!$Q$14</f>
        <v>4.6256683492940072E-3</v>
      </c>
      <c r="Q583" s="1235"/>
      <c r="R583" s="1235"/>
      <c r="S583" s="1235"/>
      <c r="T583" s="1235"/>
      <c r="U583" s="1235"/>
      <c r="V583" s="2120" t="s">
        <v>712</v>
      </c>
      <c r="W583" s="1235"/>
    </row>
    <row r="584" spans="1:23">
      <c r="A584" s="2191" t="s">
        <v>278</v>
      </c>
      <c r="B584" s="2192"/>
      <c r="C584" s="2203">
        <f t="shared" ref="C584:J584" si="157">SUM(C586:C587)</f>
        <v>756</v>
      </c>
      <c r="D584" s="2203">
        <f t="shared" si="157"/>
        <v>456</v>
      </c>
      <c r="E584" s="2203">
        <f t="shared" si="157"/>
        <v>697</v>
      </c>
      <c r="F584" s="2203">
        <f t="shared" si="157"/>
        <v>756</v>
      </c>
      <c r="G584" s="2203">
        <f t="shared" si="157"/>
        <v>804</v>
      </c>
      <c r="H584" s="2203">
        <f t="shared" si="157"/>
        <v>750</v>
      </c>
      <c r="I584" s="2203">
        <f t="shared" si="157"/>
        <v>807</v>
      </c>
      <c r="J584" s="2203">
        <f t="shared" si="157"/>
        <v>680</v>
      </c>
      <c r="K584" s="2203">
        <f>SUM(K586:K587)</f>
        <v>613</v>
      </c>
      <c r="L584" s="2203">
        <f>SUM(L586:L587)</f>
        <v>989</v>
      </c>
      <c r="M584" s="2203">
        <f>SUM(M586:M587)</f>
        <v>1067</v>
      </c>
      <c r="N584" s="2203">
        <f>SUM(N586:N587)</f>
        <v>1256</v>
      </c>
      <c r="O584" s="2203" t="s">
        <v>670</v>
      </c>
      <c r="P584" s="2205">
        <f>O578/M!$Q$14</f>
        <v>2.8411617227812297E-2</v>
      </c>
      <c r="Q584" s="1235"/>
      <c r="R584" s="1235"/>
      <c r="S584" s="1235"/>
      <c r="T584" s="1235"/>
      <c r="U584" s="1235"/>
      <c r="V584" s="2120" t="s">
        <v>244</v>
      </c>
      <c r="W584" s="1235"/>
    </row>
    <row r="585" spans="1:23">
      <c r="A585" s="2193"/>
      <c r="B585" s="2194"/>
      <c r="C585" s="2204"/>
      <c r="D585" s="2204"/>
      <c r="E585" s="2204"/>
      <c r="F585" s="2204"/>
      <c r="G585" s="2204"/>
      <c r="H585" s="2204"/>
      <c r="I585" s="2204"/>
      <c r="J585" s="2204"/>
      <c r="K585" s="2204"/>
      <c r="L585" s="2204"/>
      <c r="M585" s="2204"/>
      <c r="N585" s="2204"/>
      <c r="O585" s="2204"/>
      <c r="P585" s="2206"/>
      <c r="Q585" s="1235"/>
      <c r="R585" s="1235"/>
      <c r="S585" s="1235"/>
      <c r="T585" s="1235"/>
      <c r="U585" s="1235"/>
      <c r="V585" s="1235"/>
      <c r="W585" s="1235"/>
    </row>
    <row r="586" spans="1:23">
      <c r="A586" s="2217"/>
      <c r="B586" s="1176" t="s">
        <v>414</v>
      </c>
      <c r="C586" s="1196">
        <f>SUMIF(Jan!$BT$1:$BT$173,$B586,Jan!$BS$1:$BS$173)</f>
        <v>478</v>
      </c>
      <c r="D586" s="1196">
        <f>SUMIF(Feb!$BT$1:$BT$185,$B586, Feb!$BS$1:$BS$185)</f>
        <v>436</v>
      </c>
      <c r="E586" s="1196">
        <f>SUMIF(Mar!$BT$1:$BT$155,$B586, Mar!$BS$1:$BS$180)</f>
        <v>692</v>
      </c>
      <c r="F586" s="1196">
        <f>SUMIF(Apr!$BT$1:$BT$194,$B586,Apr!$BS$1:$BS$194)</f>
        <v>511</v>
      </c>
      <c r="G586" s="1196">
        <f>SUMIF(May!$BT$1:$BT$200,$B586,May!$BS$1:$BS$200)</f>
        <v>728</v>
      </c>
      <c r="H586" s="1196">
        <f>SUMIF(Jun!$BT$1:$BT$195,$B586,Jun!$BS$1:$BS$195)</f>
        <v>662</v>
      </c>
      <c r="I586" s="1196">
        <f>SUMIF(Jul!$BT$1:$BT$191,$B586,Jul!$BS$1:$BS$191)</f>
        <v>679</v>
      </c>
      <c r="J586" s="1196">
        <f>SUMIF(Aug!$BT$1:$BT$205,$B586,Aug!$BS$1:$BS$205)</f>
        <v>588</v>
      </c>
      <c r="K586" s="1196">
        <f>SUMIF(Sep!$BT$1:$BT$200,$B586,Sep!$BS$1:$BS$200)</f>
        <v>522</v>
      </c>
      <c r="L586" s="1196">
        <f>SUMIF(Oct!$BT$1:$BT$197,$B586,Oct!$BS$1:$BS$197)</f>
        <v>877</v>
      </c>
      <c r="M586" s="1196">
        <f>SUMIF(Nov!$BT$1:$BT$195,$B586,Nov!$BS$1:$BS$195)</f>
        <v>984</v>
      </c>
      <c r="N586" s="1196">
        <f>SUMIF(Dec!$BT$1:$BT$211,$B586,Dec!$BS$1:$BS$211)</f>
        <v>1031</v>
      </c>
      <c r="O586" s="1179">
        <f>SUM(C586:N586)/12</f>
        <v>682.33333333333337</v>
      </c>
      <c r="P586" s="1180">
        <f>O580/M!$Q$14</f>
        <v>1.6970747691836333E-2</v>
      </c>
      <c r="Q586" s="1235"/>
      <c r="R586" s="1235"/>
      <c r="S586" s="1235"/>
      <c r="T586" s="1235"/>
      <c r="U586" s="1235"/>
      <c r="V586" s="1235"/>
      <c r="W586" s="1235"/>
    </row>
    <row r="587" spans="1:23">
      <c r="A587" s="2219"/>
      <c r="B587" s="1176" t="s">
        <v>278</v>
      </c>
      <c r="C587" s="1196">
        <f>SUMIF(Jan!$BT$1:$BT$173,$B587,Jan!$BS$1:$BS$173)</f>
        <v>278</v>
      </c>
      <c r="D587" s="1196">
        <f>SUMIF(Feb!$BT$1:$BT$185,$B587, Feb!$BS$1:$BS$185)</f>
        <v>20</v>
      </c>
      <c r="E587" s="1196">
        <f>SUMIF(Mar!$BT$1:$BT$155,$B587, Mar!$BS$1:$BS$180)</f>
        <v>5</v>
      </c>
      <c r="F587" s="1196">
        <f>SUMIF(Apr!$BT$1:$BT$194,$B587,Apr!$BS$1:$BS$194)</f>
        <v>245</v>
      </c>
      <c r="G587" s="1196">
        <f>SUMIF(May!$BT$1:$BT$200,$B587,May!$BS$1:$BS$200)</f>
        <v>76</v>
      </c>
      <c r="H587" s="1196">
        <f>SUMIF(Jun!$BT$1:$BT$195,$B587,Jun!$BS$1:$BS$195)</f>
        <v>88</v>
      </c>
      <c r="I587" s="1196">
        <f>SUMIF(Jul!$BT$1:$BT$191,$B587,Jul!$BS$1:$BS$191)</f>
        <v>128</v>
      </c>
      <c r="J587" s="1196">
        <f>SUMIF(Aug!$BT$1:$BT$205,$B587,Aug!$BS$1:$BS$205)</f>
        <v>92</v>
      </c>
      <c r="K587" s="1196">
        <f>SUMIF(Sep!$BT$1:$BT$200,$B587,Sep!$BS$1:$BS$200)</f>
        <v>91</v>
      </c>
      <c r="L587" s="1196">
        <f>SUMIF(Oct!$BT$1:$BT$197,$B587,Oct!$BS$1:$BS$197)</f>
        <v>112</v>
      </c>
      <c r="M587" s="1196">
        <f>SUMIF(Nov!$BT$1:$BT$195,$B587,Nov!$BS$1:$BS$195)</f>
        <v>83</v>
      </c>
      <c r="N587" s="1196">
        <f>SUMIF(Dec!$BT$1:$BT$211,$B587,Dec!$BS$1:$BS$211)</f>
        <v>225</v>
      </c>
      <c r="O587" s="1179">
        <f>SUM(C587:N587)/12</f>
        <v>120.25</v>
      </c>
      <c r="P587" s="1180">
        <f>O581/M!$Q$14</f>
        <v>1.0760843978971518E-2</v>
      </c>
      <c r="Q587" s="1235"/>
      <c r="R587" s="1235"/>
      <c r="S587" s="1235"/>
      <c r="T587" s="1235"/>
      <c r="U587" s="1235"/>
      <c r="V587" s="1235"/>
      <c r="W587" s="1235"/>
    </row>
    <row r="588" spans="1:23">
      <c r="A588" s="2191" t="s">
        <v>279</v>
      </c>
      <c r="B588" s="2192"/>
      <c r="C588" s="2203">
        <f t="shared" ref="C588:N588" si="158">SUM(C590:C597)</f>
        <v>305</v>
      </c>
      <c r="D588" s="2203">
        <f t="shared" si="158"/>
        <v>277</v>
      </c>
      <c r="E588" s="2203">
        <f t="shared" si="158"/>
        <v>255</v>
      </c>
      <c r="F588" s="2203">
        <f t="shared" si="158"/>
        <v>293</v>
      </c>
      <c r="G588" s="2203">
        <f t="shared" si="158"/>
        <v>335</v>
      </c>
      <c r="H588" s="2203">
        <f t="shared" si="158"/>
        <v>345</v>
      </c>
      <c r="I588" s="2203">
        <f t="shared" si="158"/>
        <v>497</v>
      </c>
      <c r="J588" s="2203">
        <f t="shared" si="158"/>
        <v>471</v>
      </c>
      <c r="K588" s="2203">
        <f t="shared" si="158"/>
        <v>1647</v>
      </c>
      <c r="L588" s="2203">
        <f t="shared" si="158"/>
        <v>454</v>
      </c>
      <c r="M588" s="2203">
        <f t="shared" si="158"/>
        <v>481</v>
      </c>
      <c r="N588" s="2203">
        <f t="shared" si="158"/>
        <v>772</v>
      </c>
      <c r="O588" s="2203">
        <f>SUM(O590:O597)</f>
        <v>511</v>
      </c>
      <c r="P588" s="1180">
        <f>O582/M!$Q$14</f>
        <v>4.9320534903619462E-4</v>
      </c>
      <c r="Q588" s="1235"/>
      <c r="R588" s="1235"/>
      <c r="S588" s="1235"/>
      <c r="T588" s="1235"/>
      <c r="U588" s="1235"/>
      <c r="V588" s="1235"/>
      <c r="W588" s="1235"/>
    </row>
    <row r="589" spans="1:23">
      <c r="A589" s="2193"/>
      <c r="B589" s="2194"/>
      <c r="C589" s="2204"/>
      <c r="D589" s="2204"/>
      <c r="E589" s="2204"/>
      <c r="F589" s="2204"/>
      <c r="G589" s="2204"/>
      <c r="H589" s="2204"/>
      <c r="I589" s="2204"/>
      <c r="J589" s="2204"/>
      <c r="K589" s="2204"/>
      <c r="L589" s="2204"/>
      <c r="M589" s="2204"/>
      <c r="N589" s="2204"/>
      <c r="O589" s="2204"/>
      <c r="P589" s="1180">
        <f>O583/M!$Q$14</f>
        <v>1.8682020796825552E-4</v>
      </c>
      <c r="Q589" s="1235"/>
      <c r="R589" s="1235"/>
      <c r="S589" s="1235"/>
      <c r="T589" s="1235"/>
      <c r="U589" s="1235"/>
      <c r="V589" s="1235"/>
      <c r="W589" s="1235"/>
    </row>
    <row r="590" spans="1:23">
      <c r="A590" s="2217"/>
      <c r="B590" s="1176" t="s">
        <v>415</v>
      </c>
      <c r="C590" s="1182">
        <v>119</v>
      </c>
      <c r="D590" s="1182">
        <v>84</v>
      </c>
      <c r="E590" s="1182">
        <v>62</v>
      </c>
      <c r="F590" s="1182">
        <v>29</v>
      </c>
      <c r="G590" s="1182">
        <v>71</v>
      </c>
      <c r="H590" s="1182">
        <v>81</v>
      </c>
      <c r="I590" s="1182">
        <v>63</v>
      </c>
      <c r="J590" s="1182">
        <v>98</v>
      </c>
      <c r="K590" s="1182">
        <v>79</v>
      </c>
      <c r="L590" s="1182">
        <v>70</v>
      </c>
      <c r="M590" s="1182">
        <v>96</v>
      </c>
      <c r="N590" s="1182">
        <v>310</v>
      </c>
      <c r="O590" s="1179">
        <f t="shared" ref="O590:O597" si="159">SUM(C590:N590)/12</f>
        <v>96.833333333333329</v>
      </c>
      <c r="P590" s="2205" t="e">
        <f>O584/M!$Q$14</f>
        <v>#VALUE!</v>
      </c>
      <c r="Q590" s="1235"/>
      <c r="R590" s="1235"/>
      <c r="S590" s="1235"/>
      <c r="T590" s="1235"/>
      <c r="U590" s="1235"/>
      <c r="V590" s="1235"/>
      <c r="W590" s="1235"/>
    </row>
    <row r="591" spans="1:23">
      <c r="A591" s="2218"/>
      <c r="B591" s="1176" t="s">
        <v>416</v>
      </c>
      <c r="C591" s="1182">
        <v>47</v>
      </c>
      <c r="D591" s="1182">
        <v>47</v>
      </c>
      <c r="E591" s="1182">
        <v>47</v>
      </c>
      <c r="F591" s="1182">
        <v>100</v>
      </c>
      <c r="G591" s="1182">
        <v>100</v>
      </c>
      <c r="H591" s="1182">
        <v>100</v>
      </c>
      <c r="I591" s="1182">
        <v>100</v>
      </c>
      <c r="J591" s="1182">
        <v>49</v>
      </c>
      <c r="K591" s="1182">
        <v>49</v>
      </c>
      <c r="L591" s="1182">
        <v>54</v>
      </c>
      <c r="M591" s="1182">
        <v>53</v>
      </c>
      <c r="N591" s="1182">
        <v>100</v>
      </c>
      <c r="O591" s="1179">
        <f t="shared" si="159"/>
        <v>70.5</v>
      </c>
      <c r="P591" s="2206"/>
      <c r="Q591" s="1235"/>
      <c r="R591" s="1235"/>
      <c r="S591" s="1235"/>
      <c r="T591" s="1235"/>
      <c r="U591" s="1235"/>
      <c r="V591" s="1235"/>
      <c r="W591" s="1235"/>
    </row>
    <row r="592" spans="1:23">
      <c r="A592" s="2218"/>
      <c r="B592" s="1176" t="s">
        <v>417</v>
      </c>
      <c r="C592" s="1182">
        <v>58</v>
      </c>
      <c r="D592" s="1182">
        <v>55</v>
      </c>
      <c r="E592" s="1182">
        <v>55</v>
      </c>
      <c r="F592" s="1182">
        <v>52</v>
      </c>
      <c r="G592" s="1182">
        <v>52</v>
      </c>
      <c r="H592" s="1182">
        <v>52</v>
      </c>
      <c r="I592" s="1182">
        <v>52</v>
      </c>
      <c r="J592" s="1182">
        <v>52</v>
      </c>
      <c r="K592" s="1182">
        <v>52</v>
      </c>
      <c r="L592" s="1182">
        <v>52</v>
      </c>
      <c r="M592" s="1182">
        <v>53</v>
      </c>
      <c r="N592" s="1182">
        <v>52</v>
      </c>
      <c r="O592" s="1179">
        <f t="shared" si="159"/>
        <v>53.083333333333336</v>
      </c>
      <c r="P592" s="1180">
        <f>O586/M!$Q$14</f>
        <v>6.1187354513763052E-2</v>
      </c>
      <c r="Q592" s="1235"/>
      <c r="R592" s="1235"/>
      <c r="S592" s="1235"/>
      <c r="T592" s="1235"/>
      <c r="U592" s="1235"/>
      <c r="V592" s="1235"/>
      <c r="W592" s="1235"/>
    </row>
    <row r="593" spans="1:23">
      <c r="A593" s="2218"/>
      <c r="B593" s="1176" t="s">
        <v>410</v>
      </c>
      <c r="C593" s="1182">
        <v>29</v>
      </c>
      <c r="D593" s="1182">
        <v>29</v>
      </c>
      <c r="E593" s="1182">
        <v>29</v>
      </c>
      <c r="F593" s="1182">
        <v>60</v>
      </c>
      <c r="G593" s="1182">
        <v>60</v>
      </c>
      <c r="H593" s="1182">
        <v>60</v>
      </c>
      <c r="I593" s="1182">
        <v>60</v>
      </c>
      <c r="J593" s="1182">
        <v>22</v>
      </c>
      <c r="K593" s="1182">
        <v>22</v>
      </c>
      <c r="L593" s="1182">
        <v>28</v>
      </c>
      <c r="M593" s="1182">
        <v>29</v>
      </c>
      <c r="N593" s="1182">
        <v>60</v>
      </c>
      <c r="O593" s="1179">
        <f t="shared" si="159"/>
        <v>40.666666666666664</v>
      </c>
      <c r="P593" s="1180">
        <f>O587/M!$Q$14</f>
        <v>1.0783262403927709E-2</v>
      </c>
      <c r="Q593" s="1235"/>
      <c r="R593" s="1235"/>
      <c r="S593" s="1235"/>
      <c r="T593" s="1235"/>
      <c r="U593" s="1235"/>
      <c r="V593" s="1235"/>
      <c r="W593" s="1235"/>
    </row>
    <row r="594" spans="1:23">
      <c r="A594" s="2218"/>
      <c r="B594" s="1176" t="s">
        <v>713</v>
      </c>
      <c r="C594" s="1182">
        <v>52</v>
      </c>
      <c r="D594" s="1182">
        <v>52</v>
      </c>
      <c r="E594" s="1182">
        <v>52</v>
      </c>
      <c r="F594" s="1182">
        <v>52</v>
      </c>
      <c r="G594" s="1182">
        <v>52</v>
      </c>
      <c r="H594" s="1182">
        <v>52</v>
      </c>
      <c r="I594" s="1182">
        <v>52</v>
      </c>
      <c r="J594" s="1182">
        <v>80</v>
      </c>
      <c r="K594" s="1182">
        <v>80</v>
      </c>
      <c r="L594" s="1182">
        <v>80</v>
      </c>
      <c r="M594" s="1182">
        <v>80</v>
      </c>
      <c r="N594" s="1182">
        <v>80</v>
      </c>
      <c r="O594" s="1179">
        <f t="shared" si="159"/>
        <v>63.666666666666664</v>
      </c>
      <c r="P594" s="2205">
        <f>O588/M!$Q$14</f>
        <v>4.5823260610453713E-2</v>
      </c>
      <c r="Q594" s="1235"/>
      <c r="R594" s="1235"/>
      <c r="S594" s="1235"/>
      <c r="T594" s="1235"/>
      <c r="U594" s="1235"/>
      <c r="V594" s="1235"/>
      <c r="W594" s="1235"/>
    </row>
    <row r="595" spans="1:23">
      <c r="A595" s="2218"/>
      <c r="B595" s="1176" t="s">
        <v>419</v>
      </c>
      <c r="C595" s="1182">
        <v>0</v>
      </c>
      <c r="D595" s="1182">
        <v>0</v>
      </c>
      <c r="E595" s="1182">
        <v>0</v>
      </c>
      <c r="F595" s="1182">
        <v>0</v>
      </c>
      <c r="G595" s="1182">
        <v>0</v>
      </c>
      <c r="H595" s="1182">
        <v>0</v>
      </c>
      <c r="I595" s="1182">
        <v>0</v>
      </c>
      <c r="J595" s="1182">
        <v>0</v>
      </c>
      <c r="K595" s="1182">
        <v>0</v>
      </c>
      <c r="L595" s="1182">
        <v>0</v>
      </c>
      <c r="M595" s="1182">
        <v>0</v>
      </c>
      <c r="N595" s="1182">
        <v>0</v>
      </c>
      <c r="O595" s="1179">
        <f t="shared" si="159"/>
        <v>0</v>
      </c>
      <c r="P595" s="2206"/>
      <c r="Q595" s="1235"/>
      <c r="R595" s="1235"/>
      <c r="S595" s="1235"/>
      <c r="T595" s="1235"/>
      <c r="U595" s="1235"/>
      <c r="V595" s="1235"/>
      <c r="W595" s="1235"/>
    </row>
    <row r="596" spans="1:23">
      <c r="A596" s="2218"/>
      <c r="B596" s="1176" t="s">
        <v>460</v>
      </c>
      <c r="C596" s="1182">
        <v>0</v>
      </c>
      <c r="D596" s="1182">
        <v>10</v>
      </c>
      <c r="E596" s="1182">
        <v>10</v>
      </c>
      <c r="F596" s="1182">
        <v>0</v>
      </c>
      <c r="G596" s="1182">
        <v>0</v>
      </c>
      <c r="H596" s="1182">
        <v>0</v>
      </c>
      <c r="I596" s="1182">
        <v>0</v>
      </c>
      <c r="J596" s="1182">
        <v>0</v>
      </c>
      <c r="K596" s="1182">
        <v>0</v>
      </c>
      <c r="L596" s="1182">
        <v>0</v>
      </c>
      <c r="M596" s="1182">
        <v>0</v>
      </c>
      <c r="N596" s="1182">
        <v>0</v>
      </c>
      <c r="O596" s="1179">
        <f t="shared" si="159"/>
        <v>1.6666666666666667</v>
      </c>
      <c r="P596" s="1180">
        <f>O590/M!$Q$14</f>
        <v>8.6834032663645165E-3</v>
      </c>
      <c r="Q596" s="1235"/>
      <c r="R596" s="1235"/>
      <c r="S596" s="1235"/>
      <c r="T596" s="1235"/>
      <c r="U596" s="1235"/>
      <c r="V596" s="1235"/>
      <c r="W596" s="1235"/>
    </row>
    <row r="597" spans="1:23">
      <c r="A597" s="2219"/>
      <c r="B597" s="1176" t="s">
        <v>421</v>
      </c>
      <c r="C597" s="1182">
        <v>0</v>
      </c>
      <c r="D597" s="1182">
        <v>0</v>
      </c>
      <c r="E597" s="1182">
        <v>0</v>
      </c>
      <c r="F597" s="1182">
        <v>0</v>
      </c>
      <c r="G597" s="1182">
        <v>0</v>
      </c>
      <c r="H597" s="1182">
        <v>0</v>
      </c>
      <c r="I597" s="1182">
        <v>170</v>
      </c>
      <c r="J597" s="1182">
        <v>170</v>
      </c>
      <c r="K597" s="1182">
        <f xml:space="preserve"> 165 + 1200</f>
        <v>1365</v>
      </c>
      <c r="L597" s="1182">
        <v>170</v>
      </c>
      <c r="M597" s="1182">
        <v>170</v>
      </c>
      <c r="N597" s="1182">
        <v>170</v>
      </c>
      <c r="O597" s="1179">
        <f t="shared" si="159"/>
        <v>184.58333333333334</v>
      </c>
      <c r="P597" s="1180">
        <f>O591/M!$Q$14</f>
        <v>6.3219958376457665E-3</v>
      </c>
      <c r="Q597" s="1235"/>
      <c r="R597" s="1235"/>
      <c r="S597" s="1235"/>
      <c r="T597" s="1235"/>
      <c r="U597" s="1235"/>
      <c r="V597" s="1235"/>
      <c r="W597" s="1235"/>
    </row>
    <row r="598" spans="1:23">
      <c r="A598" s="2191" t="s">
        <v>280</v>
      </c>
      <c r="B598" s="2192"/>
      <c r="C598" s="2203">
        <f t="shared" ref="C598:O598" si="160">SUM(C600:C606)</f>
        <v>520</v>
      </c>
      <c r="D598" s="2203">
        <f t="shared" si="160"/>
        <v>2922</v>
      </c>
      <c r="E598" s="2203">
        <f t="shared" si="160"/>
        <v>734</v>
      </c>
      <c r="F598" s="2203">
        <f t="shared" si="160"/>
        <v>3742</v>
      </c>
      <c r="G598" s="2203">
        <f t="shared" si="160"/>
        <v>1259</v>
      </c>
      <c r="H598" s="2203">
        <f t="shared" si="160"/>
        <v>640</v>
      </c>
      <c r="I598" s="2203">
        <f t="shared" si="160"/>
        <v>1699</v>
      </c>
      <c r="J598" s="2203">
        <f t="shared" si="160"/>
        <v>1504</v>
      </c>
      <c r="K598" s="2203">
        <f t="shared" si="160"/>
        <v>853</v>
      </c>
      <c r="L598" s="2203">
        <f t="shared" si="160"/>
        <v>713</v>
      </c>
      <c r="M598" s="2203">
        <f t="shared" si="160"/>
        <v>1302</v>
      </c>
      <c r="N598" s="2203">
        <f t="shared" si="160"/>
        <v>723</v>
      </c>
      <c r="O598" s="2203">
        <f t="shared" si="160"/>
        <v>1384.25</v>
      </c>
      <c r="P598" s="1180">
        <f>O592/M!$Q$14</f>
        <v>4.7601788990311511E-3</v>
      </c>
      <c r="Q598" s="1235"/>
      <c r="R598" s="1235"/>
      <c r="S598" s="1235"/>
      <c r="T598" s="1235"/>
      <c r="U598" s="1235"/>
      <c r="V598" s="1235"/>
      <c r="W598" s="1235"/>
    </row>
    <row r="599" spans="1:23">
      <c r="A599" s="2193"/>
      <c r="B599" s="2194"/>
      <c r="C599" s="2204"/>
      <c r="D599" s="2204"/>
      <c r="E599" s="2204"/>
      <c r="F599" s="2204"/>
      <c r="G599" s="2204"/>
      <c r="H599" s="2204"/>
      <c r="I599" s="2204"/>
      <c r="J599" s="2204"/>
      <c r="K599" s="2204"/>
      <c r="L599" s="2204"/>
      <c r="M599" s="2204"/>
      <c r="N599" s="2204"/>
      <c r="O599" s="2204"/>
      <c r="P599" s="1180">
        <f>O593/M!$Q$14</f>
        <v>3.6467304595403476E-3</v>
      </c>
      <c r="Q599" s="1235"/>
      <c r="R599" s="1235"/>
      <c r="S599" s="1235"/>
      <c r="T599" s="1235"/>
      <c r="U599" s="1235"/>
      <c r="V599" s="1235"/>
      <c r="W599" s="1235"/>
    </row>
    <row r="600" spans="1:23">
      <c r="A600" s="2217"/>
      <c r="B600" s="1176" t="s">
        <v>280</v>
      </c>
      <c r="C600" s="1196">
        <f>SUMIF(Jan!$BT$1:$BT$173,$B600,Jan!$BS$1:$BS$173)</f>
        <v>282</v>
      </c>
      <c r="D600" s="1196">
        <f>SUMIF(Feb!$BT$1:$BT$185,$B600, Feb!$BS$1:$BS$185)</f>
        <v>2</v>
      </c>
      <c r="E600" s="1196">
        <f>SUMIF(Mar!$BT$1:$BT$155,$B600, Mar!$BS$1:$BS$180)</f>
        <v>388</v>
      </c>
      <c r="F600" s="1196">
        <f>SUMIF(Apr!$BT$1:$BT$194,$B600,Apr!$BS$1:$BS$194)</f>
        <v>408</v>
      </c>
      <c r="G600" s="1196">
        <f>SUMIF(May!$BT$1:$BT$200,$B600,May!$BS$1:$BS$200)</f>
        <v>278</v>
      </c>
      <c r="H600" s="1196">
        <f>SUMIF(Jun!$BT$1:$BT$195,$B600,Jun!$BS$1:$BS$195)</f>
        <v>254</v>
      </c>
      <c r="I600" s="1196">
        <f>SUMIF(Jul!$BT$1:$BT$191,$B600,Jul!$BS$1:$BS$191)</f>
        <v>315</v>
      </c>
      <c r="J600" s="1196">
        <f>SUMIF(Aug!$BT$1:$BT$205,$B600,Aug!$BS$1:$BS$205)</f>
        <v>875</v>
      </c>
      <c r="K600" s="1196">
        <f>SUMIF(Sep!$BT$1:$BT$200,$B600,Sep!$BS$1:$BS$200)</f>
        <v>510</v>
      </c>
      <c r="L600" s="1196">
        <f>SUMIF(Oct!$BT$1:$BT$197,$B600,Oct!$BS$1:$BS$197)</f>
        <v>505</v>
      </c>
      <c r="M600" s="1196">
        <f>SUMIF(Nov!$BT$1:$BT$195,$B600,Nov!$BS$1:$BS$195)</f>
        <v>265</v>
      </c>
      <c r="N600" s="1196">
        <f>SUMIF(Dec!$BT$1:$BT$211,$B600,Dec!$BS$1:$BS$211)</f>
        <v>378</v>
      </c>
      <c r="O600" s="1179">
        <f t="shared" ref="O600:O606" si="161">SUM(C600:N600)/12</f>
        <v>371.66666666666669</v>
      </c>
      <c r="P600" s="1180">
        <f>O594/M!$Q$14</f>
        <v>5.7092255555098882E-3</v>
      </c>
      <c r="Q600" s="1235"/>
      <c r="R600" s="1235"/>
      <c r="S600" s="1235"/>
      <c r="T600" s="1235"/>
      <c r="U600" s="1235"/>
      <c r="V600" s="1235"/>
      <c r="W600" s="1235"/>
    </row>
    <row r="601" spans="1:23">
      <c r="A601" s="2218"/>
      <c r="B601" s="1176" t="s">
        <v>700</v>
      </c>
      <c r="C601" s="1196">
        <f>SUMIF(Jan!$BT$1:$BT$173,$B601,Jan!$BS$1:$BS$173)</f>
        <v>128</v>
      </c>
      <c r="D601" s="1196">
        <f>SUMIF(Feb!$BT$1:$BT$185,$B601, Feb!$BS$1:$BS$185)</f>
        <v>195</v>
      </c>
      <c r="E601" s="1196">
        <f>SUMIF(Mar!$BT$1:$BT$155,$B601, Mar!$BS$1:$BS$180)</f>
        <v>236</v>
      </c>
      <c r="F601" s="1196">
        <f>SUMIF(Apr!$BT$1:$BT$194,$B601,Apr!$BS$1:$BS$194)</f>
        <v>160</v>
      </c>
      <c r="G601" s="1196">
        <f>SUMIF(May!$BT$1:$BT$200,$B601,May!$BS$1:$BS$200)</f>
        <v>184</v>
      </c>
      <c r="H601" s="1196">
        <f>SUMIF(Jun!$BT$1:$BT$195,$B601,Jun!$BS$1:$BS$195)</f>
        <v>209</v>
      </c>
      <c r="I601" s="1196">
        <f>SUMIF(Jul!$BT$1:$BT$191,$B601,Jul!$BS$1:$BS$191)</f>
        <v>452</v>
      </c>
      <c r="J601" s="1196">
        <f>SUMIF(Aug!$BT$1:$BT$205,$B601,Aug!$BS$1:$BS$205)</f>
        <v>420</v>
      </c>
      <c r="K601" s="1196">
        <f>SUMIF(Sep!$BT$1:$BT$200,$B601,Sep!$BS$1:$BS$200)</f>
        <v>233</v>
      </c>
      <c r="L601" s="1196">
        <f>SUMIF(Oct!$BT$1:$BT$197,$B601,Oct!$BS$1:$BS$197)</f>
        <v>16</v>
      </c>
      <c r="M601" s="1196">
        <f>SUMIF(Nov!$BT$1:$BT$195,$B601,Nov!$BS$1:$BS$195)</f>
        <v>80</v>
      </c>
      <c r="N601" s="1196">
        <f>SUMIF(Dec!$BT$1:$BT$211,$B601,Dec!$BS$1:$BS$211)</f>
        <v>110</v>
      </c>
      <c r="O601" s="1179">
        <f t="shared" si="161"/>
        <v>201.91666666666666</v>
      </c>
      <c r="P601" s="1180">
        <f>O595/M!$Q$14</f>
        <v>0</v>
      </c>
      <c r="Q601" s="1235"/>
      <c r="R601" s="1235"/>
      <c r="S601" s="1235"/>
      <c r="T601" s="1235"/>
      <c r="U601" s="1235"/>
      <c r="V601" s="1235"/>
      <c r="W601" s="1235"/>
    </row>
    <row r="602" spans="1:23">
      <c r="A602" s="2218"/>
      <c r="B602" s="1176" t="s">
        <v>56</v>
      </c>
      <c r="C602" s="1196">
        <f>SUMIF(Jan!$BT$1:$BT$173,$B602,Jan!$BS$1:$BS$173)</f>
        <v>0</v>
      </c>
      <c r="D602" s="1196">
        <f>SUMIF(Feb!$BT$1:$BT$185,$B602, Feb!$BS$1:$BS$185)</f>
        <v>0</v>
      </c>
      <c r="E602" s="1196">
        <f>SUMIF(Mar!$BT$1:$BT$155,$B602, Mar!$BS$1:$BS$180)</f>
        <v>0</v>
      </c>
      <c r="F602" s="1196">
        <f>SUMIF(Apr!$BT$1:$BT$194,$B602,Apr!$BS$1:$BS$194)</f>
        <v>0</v>
      </c>
      <c r="G602" s="1196">
        <f>SUMIF(May!$BT$1:$BT$200,$B602,May!$BS$1:$BS$200)</f>
        <v>0</v>
      </c>
      <c r="H602" s="1196">
        <f>SUMIF(Jun!$BT$1:$BT$195,$B602,Jun!$BS$1:$BS$195)</f>
        <v>0</v>
      </c>
      <c r="I602" s="1196">
        <f>SUMIF(Jul!$BT$1:$BT$191,$B602,Jul!$BS$1:$BS$191)</f>
        <v>0</v>
      </c>
      <c r="J602" s="1196">
        <f>SUMIF(Aug!$BT$1:$BT$205,$B602,Aug!$BS$1:$BS$205)</f>
        <v>0</v>
      </c>
      <c r="K602" s="1196">
        <f>SUMIF(Sep!$BT$1:$BT$200,$B602,Sep!$BS$1:$BS$200)</f>
        <v>0</v>
      </c>
      <c r="L602" s="1196">
        <f>SUMIF(Oct!$BT$1:$BT$197,$B602,Oct!$BS$1:$BS$197)</f>
        <v>0</v>
      </c>
      <c r="M602" s="1196">
        <f>SUMIF(Nov!$BT$1:$BT$195,$B602,Nov!$BS$1:$BS$195)</f>
        <v>0</v>
      </c>
      <c r="N602" s="1196">
        <f>SUMIF(Dec!$BT$1:$BT$211,$B602,Dec!$BS$1:$BS$211)</f>
        <v>0</v>
      </c>
      <c r="O602" s="1179">
        <f t="shared" si="161"/>
        <v>0</v>
      </c>
      <c r="P602" s="1180">
        <f>O596/M!$Q$14</f>
        <v>1.4945616637460443E-4</v>
      </c>
      <c r="Q602" s="1235"/>
      <c r="R602" s="1235"/>
      <c r="S602" s="1235"/>
      <c r="T602" s="1235"/>
      <c r="U602" s="1235"/>
      <c r="V602" s="1235"/>
      <c r="W602" s="1235"/>
    </row>
    <row r="603" spans="1:23">
      <c r="A603" s="2218"/>
      <c r="B603" s="1176" t="s">
        <v>702</v>
      </c>
      <c r="C603" s="1196">
        <f>SUMIF(Jan!$BT$1:$BT$173,$B603,Jan!$BS$1:$BS$173)</f>
        <v>0</v>
      </c>
      <c r="D603" s="1196">
        <f>SUMIF(Feb!$BT$1:$BT$185,$B603, Feb!$BS$1:$BS$185)</f>
        <v>3</v>
      </c>
      <c r="E603" s="1196">
        <f>SUMIF(Mar!$BT$1:$BT$155,$B603, Mar!$BS$1:$BS$180)</f>
        <v>0</v>
      </c>
      <c r="F603" s="1196">
        <f>SUMIF(Apr!$BT$1:$BT$194,$B603,Apr!$BS$1:$BS$194)</f>
        <v>0</v>
      </c>
      <c r="G603" s="1196">
        <f>SUMIF(May!$BT$1:$BT$200,$B603,May!$BS$1:$BS$200)</f>
        <v>0</v>
      </c>
      <c r="H603" s="1196">
        <f>SUMIF(Jun!$BT$1:$BT$195,$B603,Jun!$BS$1:$BS$195)</f>
        <v>14</v>
      </c>
      <c r="I603" s="1196">
        <f>SUMIF(Jul!$BT$1:$BT$191,$B603,Jul!$BS$1:$BS$191)</f>
        <v>69</v>
      </c>
      <c r="J603" s="1196">
        <f>SUMIF(Aug!$BT$1:$BT$205,$B603,Aug!$BS$1:$BS$205)</f>
        <v>58</v>
      </c>
      <c r="K603" s="1196">
        <f>SUMIF(Sep!$BT$1:$BT$200,$B603,Sep!$BS$1:$BS$200)</f>
        <v>0</v>
      </c>
      <c r="L603" s="1196">
        <f>SUMIF(Oct!$BT$1:$BT$197,$B603,Oct!$BS$1:$BS$197)</f>
        <v>22</v>
      </c>
      <c r="M603" s="1196">
        <f>SUMIF(Nov!$BT$1:$BT$195,$B603,Nov!$BS$1:$BS$195)</f>
        <v>0</v>
      </c>
      <c r="N603" s="1196">
        <f>SUMIF(Dec!$BT$1:$BT$211,$B603,Dec!$BS$1:$BS$211)</f>
        <v>0</v>
      </c>
      <c r="O603" s="1179">
        <f t="shared" si="161"/>
        <v>13.833333333333334</v>
      </c>
      <c r="P603" s="1180">
        <f>O597/M!$Q$14</f>
        <v>1.6552270425987441E-2</v>
      </c>
      <c r="Q603" s="1235"/>
      <c r="R603" s="1235"/>
      <c r="S603" s="1235"/>
      <c r="T603" s="1235"/>
      <c r="U603" s="1235"/>
      <c r="V603" s="1235"/>
      <c r="W603" s="1235"/>
    </row>
    <row r="604" spans="1:23">
      <c r="A604" s="2218"/>
      <c r="B604" s="1176" t="s">
        <v>667</v>
      </c>
      <c r="C604" s="1196">
        <f>SUMIF(Jan!$BT$1:$BT$173,$B604,Jan!$BS$1:$BS$173)</f>
        <v>0</v>
      </c>
      <c r="D604" s="1196">
        <f>SUMIF(Feb!$BT$1:$BT$185,$B604, Feb!$BS$1:$BS$185)</f>
        <v>0</v>
      </c>
      <c r="E604" s="1196">
        <f>SUMIF(Mar!$BT$1:$BT$155,$B604, Mar!$BS$1:$BS$180)</f>
        <v>0</v>
      </c>
      <c r="F604" s="1196">
        <f>SUMIF(Apr!$BT$1:$BT$194,$B604,Apr!$BS$1:$BS$194)</f>
        <v>130</v>
      </c>
      <c r="G604" s="1196">
        <f>SUMIF(May!$BT$1:$BT$200,$B604,May!$BS$1:$BS$200)</f>
        <v>92</v>
      </c>
      <c r="H604" s="1196">
        <f>SUMIF(Jun!$BT$1:$BT$195,$B604,Jun!$BS$1:$BS$195)</f>
        <v>0</v>
      </c>
      <c r="I604" s="1196">
        <f>SUMIF(Jul!$BT$1:$BT$191,$B604,Jul!$BS$1:$BS$191)</f>
        <v>0</v>
      </c>
      <c r="J604" s="1196">
        <f>SUMIF(Aug!$BT$1:$BT$205,$B604,Aug!$BS$1:$BS$205)</f>
        <v>0</v>
      </c>
      <c r="K604" s="1196">
        <f>SUMIF(Sep!$BT$1:$BT$200,$B604,Sep!$BS$1:$BS$200)</f>
        <v>0</v>
      </c>
      <c r="L604" s="1196">
        <f>SUMIF(Oct!$BT$1:$BT$197,$B604,Oct!$BS$1:$BS$197)</f>
        <v>0</v>
      </c>
      <c r="M604" s="1196">
        <f>SUMIF(Nov!$BT$1:$BT$195,$B604,Nov!$BS$1:$BS$195)</f>
        <v>247</v>
      </c>
      <c r="N604" s="1196">
        <f>SUMIF(Dec!$BT$1:$BT$211,$B604,Dec!$BS$1:$BS$211)</f>
        <v>0</v>
      </c>
      <c r="O604" s="1179">
        <f t="shared" si="161"/>
        <v>39.083333333333336</v>
      </c>
      <c r="P604" s="2205">
        <f>O598/M!$Q$14</f>
        <v>0.1241308189824277</v>
      </c>
      <c r="Q604" s="1235"/>
      <c r="R604" s="1235"/>
      <c r="S604" s="1235"/>
      <c r="T604" s="1235"/>
      <c r="U604" s="1235"/>
      <c r="V604" s="1235"/>
      <c r="W604" s="1235"/>
    </row>
    <row r="605" spans="1:23">
      <c r="A605" s="2218"/>
      <c r="B605" s="1176" t="s">
        <v>427</v>
      </c>
      <c r="C605" s="1196">
        <v>110</v>
      </c>
      <c r="D605" s="1196">
        <v>110</v>
      </c>
      <c r="E605" s="1196">
        <v>110</v>
      </c>
      <c r="F605" s="1196">
        <v>110</v>
      </c>
      <c r="G605" s="1196">
        <v>110</v>
      </c>
      <c r="H605" s="1196">
        <v>110</v>
      </c>
      <c r="I605" s="1196">
        <v>110</v>
      </c>
      <c r="J605" s="1196">
        <v>110</v>
      </c>
      <c r="K605" s="1196">
        <v>110</v>
      </c>
      <c r="L605" s="1196">
        <v>110</v>
      </c>
      <c r="M605" s="1196">
        <v>110</v>
      </c>
      <c r="N605" s="1196">
        <v>110</v>
      </c>
      <c r="O605" s="1179">
        <f t="shared" si="161"/>
        <v>110</v>
      </c>
      <c r="P605" s="2206"/>
      <c r="Q605" s="1235"/>
      <c r="R605" s="1235"/>
      <c r="S605" s="1235"/>
      <c r="T605" s="1235"/>
      <c r="U605" s="1235"/>
      <c r="V605" s="1235"/>
      <c r="W605" s="1235"/>
    </row>
    <row r="606" spans="1:23">
      <c r="A606" s="2219"/>
      <c r="B606" s="1176" t="s">
        <v>381</v>
      </c>
      <c r="C606" s="1196">
        <f>SUMIF(Jan!$BT$1:$BT$173,$B606,Jan!$BS$1:$BS$173)</f>
        <v>0</v>
      </c>
      <c r="D606" s="1196">
        <f>SUMIF(Feb!$BT$1:$BT$185,$B606, Feb!$BS$1:$BS$185)</f>
        <v>2612</v>
      </c>
      <c r="E606" s="1196">
        <f>SUMIF(Mar!$BT$1:$BT$155,$B606, Mar!$BS$1:$BS$180)</f>
        <v>0</v>
      </c>
      <c r="F606" s="1196">
        <f>SUMIF(Apr!$BT$1:$BT$194,$B606,Apr!$BS$1:$BS$194)</f>
        <v>2934</v>
      </c>
      <c r="G606" s="1196">
        <f>SUMIF(May!$BT$1:$BT$200,$B606,May!$BS$1:$BS$200)</f>
        <v>595</v>
      </c>
      <c r="H606" s="1196">
        <f>SUMIF(Jun!$BT$1:$BT$195,$B606,Jun!$BS$1:$BS$195)</f>
        <v>53</v>
      </c>
      <c r="I606" s="1196">
        <f>SUMIF(Jul!$BT$1:$BT$191,$B606,Jul!$BS$1:$BS$191)</f>
        <v>753</v>
      </c>
      <c r="J606" s="1196">
        <f>SUMIF(Aug!$BT$1:$BT$205,$B606,Aug!$BS$1:$BS$205)</f>
        <v>41</v>
      </c>
      <c r="K606" s="1196">
        <f>SUMIF(Sep!$BT$1:$BT$200,$B606,Sep!$BS$1:$BS$200)</f>
        <v>0</v>
      </c>
      <c r="L606" s="1196">
        <f>SUMIF(Oct!$BT$1:$BT$197,$B606,Oct!$BS$1:$BS$197)</f>
        <v>60</v>
      </c>
      <c r="M606" s="1196">
        <f>SUMIF(Nov!$BT$1:$BT$195,$B606,Nov!$BS$1:$BS$195)</f>
        <v>600</v>
      </c>
      <c r="N606" s="1196">
        <f>SUMIF(Dec!$BT$1:$BT$211,$B606,Dec!$BS$1:$BS$211)</f>
        <v>125</v>
      </c>
      <c r="O606" s="1179">
        <f t="shared" si="161"/>
        <v>647.75</v>
      </c>
      <c r="P606" s="1180">
        <f>O600/M!$Q$14</f>
        <v>3.3328725101536789E-2</v>
      </c>
      <c r="Q606" s="1235"/>
      <c r="R606" s="1235"/>
      <c r="S606" s="1235"/>
      <c r="T606" s="1235"/>
      <c r="U606" s="1235"/>
      <c r="V606" s="1235"/>
      <c r="W606" s="1235"/>
    </row>
    <row r="607" spans="1:23">
      <c r="A607" s="2191" t="s">
        <v>428</v>
      </c>
      <c r="B607" s="2192"/>
      <c r="C607" s="2203">
        <f>SUM(C609:C610)</f>
        <v>3033</v>
      </c>
      <c r="D607" s="2203">
        <f t="shared" ref="D607:N607" si="162">SUM(D609:D610)</f>
        <v>1790</v>
      </c>
      <c r="E607" s="2203">
        <f t="shared" si="162"/>
        <v>1790</v>
      </c>
      <c r="F607" s="2203">
        <f t="shared" si="162"/>
        <v>2888</v>
      </c>
      <c r="G607" s="2203">
        <f t="shared" si="162"/>
        <v>1790</v>
      </c>
      <c r="H607" s="2203">
        <f t="shared" si="162"/>
        <v>2977.5</v>
      </c>
      <c r="I607" s="2203">
        <f t="shared" si="162"/>
        <v>3761.5</v>
      </c>
      <c r="J607" s="2203">
        <f t="shared" si="162"/>
        <v>1787</v>
      </c>
      <c r="K607" s="2203">
        <f t="shared" si="162"/>
        <v>3828</v>
      </c>
      <c r="L607" s="2203">
        <f t="shared" si="162"/>
        <v>1790</v>
      </c>
      <c r="M607" s="2203">
        <f t="shared" si="162"/>
        <v>1818</v>
      </c>
      <c r="N607" s="2203">
        <f t="shared" si="162"/>
        <v>1818</v>
      </c>
      <c r="O607" s="2203">
        <f>SUM(O609:O610)</f>
        <v>2422.5833333333335</v>
      </c>
      <c r="P607" s="1180">
        <f>O601/M!$Q$14</f>
        <v>1.8106614556283325E-2</v>
      </c>
      <c r="Q607" s="1235"/>
      <c r="R607" s="1235"/>
      <c r="S607" s="1235"/>
      <c r="T607" s="1235"/>
      <c r="U607" s="1235"/>
      <c r="V607" s="1235"/>
      <c r="W607" s="1235"/>
    </row>
    <row r="608" spans="1:23">
      <c r="A608" s="2193"/>
      <c r="B608" s="2194"/>
      <c r="C608" s="2204"/>
      <c r="D608" s="2204"/>
      <c r="E608" s="2204"/>
      <c r="F608" s="2204"/>
      <c r="G608" s="2204"/>
      <c r="H608" s="2204"/>
      <c r="I608" s="2204"/>
      <c r="J608" s="2204"/>
      <c r="K608" s="2204"/>
      <c r="L608" s="2204"/>
      <c r="M608" s="2204"/>
      <c r="N608" s="2204"/>
      <c r="O608" s="2204"/>
      <c r="P608" s="1180">
        <f>O602/M!$Q$14</f>
        <v>0</v>
      </c>
      <c r="Q608" s="1235"/>
      <c r="R608" s="1235"/>
      <c r="S608" s="1235"/>
      <c r="T608" s="1235"/>
      <c r="U608" s="1235"/>
      <c r="V608" s="1235"/>
      <c r="W608" s="1235"/>
    </row>
    <row r="609" spans="1:23">
      <c r="A609" s="2217"/>
      <c r="B609" s="1176" t="s">
        <v>689</v>
      </c>
      <c r="C609" s="1196">
        <f>SUMIF(Jan!$BT$1:$BT$92,$B609,Jan!$BS$1:$BS$92)</f>
        <v>1538</v>
      </c>
      <c r="D609" s="1196">
        <f>SUMIF(Feb!$BT$1:$BT$185,$B609, Feb!$BS$1:$BS$185)</f>
        <v>295</v>
      </c>
      <c r="E609" s="1196">
        <f>SUMIF(Mar!$BT$1:$BT$155,$B609, Mar!$BS$1:$BS$180)</f>
        <v>295</v>
      </c>
      <c r="F609" s="1196">
        <f>SUMIF(Apr!$BT$1:$BT$194,$B609,Apr!$BS$1:$BS$194)</f>
        <v>1393</v>
      </c>
      <c r="G609" s="1196">
        <f>SUMIF(May!$BT$1:$BT$200,$B609,May!$BS$1:$BS$200)</f>
        <v>295</v>
      </c>
      <c r="H609" s="1196">
        <f>SUMIF(Jun!$BT$1:$BT$195,$B609,Jun!$BS$1:$BS$195)</f>
        <v>295</v>
      </c>
      <c r="I609" s="1196">
        <f>SUMIF(Jul!$BT$1:$BT$191,$B609,Jul!$BS$1:$BS$191)</f>
        <v>415</v>
      </c>
      <c r="J609" s="1196">
        <f>SUMIF(Aug!$BT$1:$BT$205,$B609,Aug!$BS$1:$BS$205)</f>
        <v>295</v>
      </c>
      <c r="K609" s="1196">
        <f>SUMIF(Sep!$BT$1:$BT$200,$B609,Sep!$BS$1:$BS$200)</f>
        <v>2333</v>
      </c>
      <c r="L609" s="1196">
        <f>SUMIF(Oct!$BT$1:$BT$197,$B609,Oct!$BS$1:$BS$197)</f>
        <v>295</v>
      </c>
      <c r="M609" s="1196">
        <f>SUMIF(Nov!$BT$1:$BT$195,$B609,Nov!$BS$1:$BS$195)</f>
        <v>323</v>
      </c>
      <c r="N609" s="1196">
        <f>SUMIF(Nov!$BT$1:$BT$195,$B609,Nov!$BS$1:$BS$195)</f>
        <v>323</v>
      </c>
      <c r="O609" s="1179">
        <f>SUM(C609:N609)/12</f>
        <v>674.58333333333337</v>
      </c>
      <c r="P609" s="1180">
        <f>O603/M!$Q$14</f>
        <v>1.2404861809092167E-3</v>
      </c>
      <c r="Q609" s="1235"/>
      <c r="R609" s="1235"/>
      <c r="S609" s="1235"/>
      <c r="T609" s="1235"/>
      <c r="U609" s="1235"/>
      <c r="V609" s="1235"/>
      <c r="W609" s="1235"/>
    </row>
    <row r="610" spans="1:23">
      <c r="A610" s="2218"/>
      <c r="B610" s="1176" t="s">
        <v>706</v>
      </c>
      <c r="C610" s="1196">
        <f>SUMIF(Jan!$BT$1:$BT$92,$B610,Jan!$BS$1:$BS$92)</f>
        <v>1495</v>
      </c>
      <c r="D610" s="1196">
        <f>SUMIF(Feb!$BT$1:$BT$185,$B610, Feb!$BS$1:$BS$185)</f>
        <v>1495</v>
      </c>
      <c r="E610" s="1196">
        <f>SUMIF(Mar!$BT$1:$BT$155,$B610, Mar!$BS$1:$BS$180)</f>
        <v>1495</v>
      </c>
      <c r="F610" s="1196">
        <f>SUMIF(Apr!$BT$1:$BT$194,$B610,Apr!$BS$1:$BS$194)</f>
        <v>1495</v>
      </c>
      <c r="G610" s="1196">
        <f>SUMIF(Apr!$BT$1:$BT$194,$B610,Apr!$BS$1:$BS$194)</f>
        <v>1495</v>
      </c>
      <c r="H610" s="1196">
        <f>SUMIF(Jun!$BT$1:$BT$195,$B610,Jun!$BS$1:$BS$195)</f>
        <v>2682.5</v>
      </c>
      <c r="I610" s="1196">
        <f>SUMIF(Jul!$BT$1:$BT$191,$B610,Jul!$BS$1:$BS$191)</f>
        <v>3346.5</v>
      </c>
      <c r="J610" s="1196">
        <f>SUMIF(Aug!$BT$1:$BT$205,$B610,Aug!$BS$1:$BS$205)</f>
        <v>1492</v>
      </c>
      <c r="K610" s="1196">
        <f>SUMIF(Sep!$BT$1:$BT$200,$B610,Sep!$BS$1:$BS$200)</f>
        <v>1495</v>
      </c>
      <c r="L610" s="1196">
        <f>SUMIF(Oct!$BT$1:$BT$197,$B610,Oct!$BS$1:$BS$197)</f>
        <v>1495</v>
      </c>
      <c r="M610" s="1196">
        <f>SUMIF(Nov!$BT$1:$BT$195,$B610,Nov!$BS$1:$BS$195)</f>
        <v>1495</v>
      </c>
      <c r="N610" s="1196">
        <f>SUMIF(Dec!$BT$1:$BT$211,$B610,Dec!$BS$1:$BS$211)</f>
        <v>1495</v>
      </c>
      <c r="O610" s="1179">
        <f>SUM(C610:N610)/12</f>
        <v>1748</v>
      </c>
      <c r="P610" s="1180">
        <f>O604/M!$Q$14</f>
        <v>3.5047471014844739E-3</v>
      </c>
      <c r="Q610" s="1235"/>
      <c r="R610" s="1235"/>
      <c r="S610" s="1235"/>
      <c r="T610" s="1235"/>
      <c r="U610" s="1235"/>
      <c r="V610" s="1235"/>
      <c r="W610" s="1235"/>
    </row>
    <row r="611" spans="1:23">
      <c r="A611" s="2191" t="s">
        <v>668</v>
      </c>
      <c r="B611" s="2192"/>
      <c r="C611" s="2203">
        <f>SUM(C613:C616)</f>
        <v>404.16666666666669</v>
      </c>
      <c r="D611" s="2203">
        <f t="shared" ref="D611:N611" si="163">SUM(D613:D616)</f>
        <v>315.16666666666669</v>
      </c>
      <c r="E611" s="2203">
        <f t="shared" si="163"/>
        <v>315.16666666666669</v>
      </c>
      <c r="F611" s="2203">
        <f t="shared" si="163"/>
        <v>454.16666666666669</v>
      </c>
      <c r="G611" s="2203">
        <f t="shared" si="163"/>
        <v>830.16666666666663</v>
      </c>
      <c r="H611" s="2203">
        <f t="shared" si="163"/>
        <v>1705.1666666666667</v>
      </c>
      <c r="I611" s="2203">
        <f t="shared" si="163"/>
        <v>315.16666666666669</v>
      </c>
      <c r="J611" s="2203">
        <f t="shared" si="163"/>
        <v>315.16666666666669</v>
      </c>
      <c r="K611" s="2203">
        <f t="shared" si="163"/>
        <v>315.16666666666669</v>
      </c>
      <c r="L611" s="2203">
        <f t="shared" si="163"/>
        <v>405.16666666666669</v>
      </c>
      <c r="M611" s="2203">
        <f t="shared" si="163"/>
        <v>315.16666666666669</v>
      </c>
      <c r="N611" s="2203">
        <f t="shared" si="163"/>
        <v>435.16666666666669</v>
      </c>
      <c r="O611" s="2203">
        <f>SUM(O613:O621)</f>
        <v>910.58333333333337</v>
      </c>
      <c r="P611" s="1180">
        <f>O605/M!$Q$14</f>
        <v>9.8641069807238919E-3</v>
      </c>
      <c r="Q611" s="1235"/>
      <c r="R611" s="1235"/>
      <c r="S611" s="1235"/>
      <c r="T611" s="1235"/>
      <c r="U611" s="1235"/>
      <c r="V611" s="1235"/>
      <c r="W611" s="1235"/>
    </row>
    <row r="612" spans="1:23">
      <c r="A612" s="2193"/>
      <c r="B612" s="2194"/>
      <c r="C612" s="2204"/>
      <c r="D612" s="2204"/>
      <c r="E612" s="2204"/>
      <c r="F612" s="2204"/>
      <c r="G612" s="2204"/>
      <c r="H612" s="2204"/>
      <c r="I612" s="2204"/>
      <c r="J612" s="2204"/>
      <c r="K612" s="2204"/>
      <c r="L612" s="2204"/>
      <c r="M612" s="2204"/>
      <c r="N612" s="2204"/>
      <c r="O612" s="2204"/>
      <c r="P612" s="1180">
        <f>O606/M!$Q$14</f>
        <v>5.8086139061490009E-2</v>
      </c>
      <c r="Q612" s="1235"/>
      <c r="R612" s="1235"/>
      <c r="S612" s="1235"/>
      <c r="T612" s="1235"/>
      <c r="U612" s="1235"/>
      <c r="V612" s="1235"/>
      <c r="W612" s="1235"/>
    </row>
    <row r="613" spans="1:23">
      <c r="A613" s="1183"/>
      <c r="B613" s="1176" t="s">
        <v>432</v>
      </c>
      <c r="C613" s="1184">
        <f>(FinSnapshot!$Q$94+FinSnapshot!$Q$102)/12</f>
        <v>78.166666666666671</v>
      </c>
      <c r="D613" s="1184">
        <f>(FinSnapshot!$Q$94+FinSnapshot!$Q$102)/12</f>
        <v>78.166666666666671</v>
      </c>
      <c r="E613" s="1184">
        <f>(FinSnapshot!$Q$94+FinSnapshot!$Q$102)/12</f>
        <v>78.166666666666671</v>
      </c>
      <c r="F613" s="1184">
        <f>(FinSnapshot!$Q$94+FinSnapshot!$Q$102)/12</f>
        <v>78.166666666666671</v>
      </c>
      <c r="G613" s="1184">
        <f>(FinSnapshot!$Q$94+FinSnapshot!$Q$102)/12</f>
        <v>78.166666666666671</v>
      </c>
      <c r="H613" s="1184">
        <f>(FinSnapshot!$Q$94+FinSnapshot!$Q$102)/12</f>
        <v>78.166666666666671</v>
      </c>
      <c r="I613" s="1184">
        <f>(FinSnapshot!$Q$94+FinSnapshot!$Q$102)/12</f>
        <v>78.166666666666671</v>
      </c>
      <c r="J613" s="1184">
        <f>(FinSnapshot!$Q$94+FinSnapshot!$Q$102)/12</f>
        <v>78.166666666666671</v>
      </c>
      <c r="K613" s="1184">
        <f>(FinSnapshot!$Q$94+FinSnapshot!$Q$102)/12</f>
        <v>78.166666666666671</v>
      </c>
      <c r="L613" s="1184">
        <f>(FinSnapshot!$Q$94+FinSnapshot!$Q$102)/12</f>
        <v>78.166666666666671</v>
      </c>
      <c r="M613" s="1184">
        <f>(FinSnapshot!$Q$94+FinSnapshot!$Q$102)/12</f>
        <v>78.166666666666671</v>
      </c>
      <c r="N613" s="1184">
        <f>(FinSnapshot!$Q$94+FinSnapshot!$Q$102)/12</f>
        <v>78.166666666666671</v>
      </c>
      <c r="O613" s="1179">
        <f>SUM(C613:N613)/12</f>
        <v>78.166666666666657</v>
      </c>
      <c r="P613" s="2205">
        <f>O607/M!$Q$14</f>
        <v>0.21724201063380627</v>
      </c>
      <c r="Q613" s="1235"/>
      <c r="R613" s="1235"/>
      <c r="S613" s="1235"/>
      <c r="T613" s="1235"/>
      <c r="U613" s="1235"/>
      <c r="V613" s="1235"/>
      <c r="W613" s="1235"/>
    </row>
    <row r="614" spans="1:23">
      <c r="A614" s="1183"/>
      <c r="B614" s="1176" t="s">
        <v>284</v>
      </c>
      <c r="C614" s="1196">
        <f>SUMIF(Jan!$BT$1:$BT$173,$B614,Jan!$BS$1:$BS$173)</f>
        <v>39</v>
      </c>
      <c r="D614" s="1196">
        <f>SUMIF(Feb!$BT$1:$BT$185,$B614, Feb!$BS$1:$BS$185)</f>
        <v>0</v>
      </c>
      <c r="E614" s="1196">
        <f>SUMIF(Mar!$BT$1:$BT$155,$B614, Mar!$BS$1:$BS$180)</f>
        <v>0</v>
      </c>
      <c r="F614" s="1196">
        <f>SUMIF(Apr!$BT$1:$BT$194,$B614,Apr!$BS$1:$BS$194)</f>
        <v>41</v>
      </c>
      <c r="G614" s="1196">
        <f>SUMIF(May!$BT$1:$BT$200,$B614,May!$BS$1:$BS$200)</f>
        <v>479</v>
      </c>
      <c r="H614" s="1196">
        <f>SUMIF(Jun!$BT$1:$BT$195,$B614,Jun!$BS$1:$BS$195)</f>
        <v>1350</v>
      </c>
      <c r="I614" s="1196">
        <f>SUMIF(Jul!$BT$1:$BT$191,$B614,Jul!$BS$1:$BS$191)</f>
        <v>0</v>
      </c>
      <c r="J614" s="1196">
        <f>SUMIF(Aug!$BT$1:$BT$205,$B614,Aug!$BS$1:$BS$205)</f>
        <v>0</v>
      </c>
      <c r="K614" s="1196">
        <f>SUMIF(Sep!$BT$1:$BT$200,$B614,Sep!$BS$1:$BS$200)</f>
        <v>0</v>
      </c>
      <c r="L614" s="1196">
        <v>90</v>
      </c>
      <c r="M614" s="1196">
        <f>SUMIF(Nov!$BT$1:$BT$195,$B614,Nov!$BS$1:$BS$195)</f>
        <v>0</v>
      </c>
      <c r="N614" s="1196">
        <f>SUMIF(Dec!$BT$1:$BT$211,$B614,Dec!$BS$1:$BS$211)</f>
        <v>0</v>
      </c>
      <c r="O614" s="1179">
        <f>SUM(C614:N614)/12</f>
        <v>166.58333333333334</v>
      </c>
      <c r="P614" s="2206"/>
      <c r="Q614" s="1235"/>
      <c r="R614" s="1235"/>
      <c r="S614" s="1235"/>
      <c r="T614" s="1235"/>
      <c r="U614" s="1235"/>
      <c r="V614" s="1235"/>
      <c r="W614" s="1235"/>
    </row>
    <row r="615" spans="1:23">
      <c r="A615" s="1183"/>
      <c r="B615" s="1176" t="s">
        <v>433</v>
      </c>
      <c r="C615" s="1177">
        <v>50</v>
      </c>
      <c r="D615" s="1177">
        <v>0</v>
      </c>
      <c r="E615" s="1177">
        <v>0</v>
      </c>
      <c r="F615" s="1177">
        <v>98</v>
      </c>
      <c r="G615" s="1177">
        <v>36</v>
      </c>
      <c r="H615" s="1177">
        <v>40</v>
      </c>
      <c r="I615" s="1178">
        <v>0</v>
      </c>
      <c r="J615" s="1178">
        <v>0</v>
      </c>
      <c r="K615" s="1177">
        <v>0</v>
      </c>
      <c r="L615" s="1182">
        <v>0</v>
      </c>
      <c r="M615" s="1182">
        <v>0</v>
      </c>
      <c r="N615" s="1182">
        <v>120</v>
      </c>
      <c r="O615" s="1179">
        <f>SUM(C615:N615)/12</f>
        <v>28.666666666666668</v>
      </c>
      <c r="P615" s="1180">
        <f>O609/M!$Q$14</f>
        <v>6.0492383340121143E-2</v>
      </c>
      <c r="Q615" s="1235"/>
      <c r="R615" s="1235"/>
      <c r="S615" s="1235"/>
      <c r="T615" s="1235"/>
      <c r="U615" s="1235"/>
      <c r="V615" s="1235"/>
      <c r="W615" s="1235"/>
    </row>
    <row r="616" spans="1:23">
      <c r="A616" s="1183"/>
      <c r="B616" s="1176" t="s">
        <v>434</v>
      </c>
      <c r="C616" s="1184">
        <f>ROUNDUP((((403+2430))/12),0)</f>
        <v>237</v>
      </c>
      <c r="D616" s="1184">
        <f t="shared" ref="D616:N616" si="164">ROUNDUP((((403+2430))/12),0)</f>
        <v>237</v>
      </c>
      <c r="E616" s="1184">
        <f t="shared" si="164"/>
        <v>237</v>
      </c>
      <c r="F616" s="1184">
        <f t="shared" si="164"/>
        <v>237</v>
      </c>
      <c r="G616" s="1184">
        <f t="shared" si="164"/>
        <v>237</v>
      </c>
      <c r="H616" s="1184">
        <f t="shared" si="164"/>
        <v>237</v>
      </c>
      <c r="I616" s="1184">
        <f t="shared" si="164"/>
        <v>237</v>
      </c>
      <c r="J616" s="1184">
        <f t="shared" si="164"/>
        <v>237</v>
      </c>
      <c r="K616" s="1184">
        <f t="shared" si="164"/>
        <v>237</v>
      </c>
      <c r="L616" s="1184">
        <f t="shared" si="164"/>
        <v>237</v>
      </c>
      <c r="M616" s="1184">
        <f t="shared" si="164"/>
        <v>237</v>
      </c>
      <c r="N616" s="1184">
        <f t="shared" si="164"/>
        <v>237</v>
      </c>
      <c r="O616" s="1179">
        <f>SUM(C616:N616)/12</f>
        <v>237</v>
      </c>
      <c r="P616" s="1180">
        <f>O610/M!$Q$14</f>
        <v>0.15674962729368511</v>
      </c>
      <c r="Q616" s="1235"/>
      <c r="R616" s="1235"/>
      <c r="S616" s="1235"/>
      <c r="T616" s="1235"/>
      <c r="U616" s="1235"/>
      <c r="V616" s="1235"/>
      <c r="W616" s="1235"/>
    </row>
    <row r="617" spans="1:23">
      <c r="A617" s="2191" t="s">
        <v>435</v>
      </c>
      <c r="B617" s="2192"/>
      <c r="C617" s="2203">
        <f t="shared" ref="C617:O617" si="165">SUM(C619:C621)</f>
        <v>379</v>
      </c>
      <c r="D617" s="2203">
        <f t="shared" si="165"/>
        <v>0</v>
      </c>
      <c r="E617" s="2203">
        <f t="shared" si="165"/>
        <v>85</v>
      </c>
      <c r="F617" s="2203">
        <f t="shared" si="165"/>
        <v>195</v>
      </c>
      <c r="G617" s="2203">
        <f t="shared" si="165"/>
        <v>2</v>
      </c>
      <c r="H617" s="2203">
        <f t="shared" si="165"/>
        <v>0</v>
      </c>
      <c r="I617" s="2203">
        <f t="shared" si="165"/>
        <v>0</v>
      </c>
      <c r="J617" s="2203">
        <f t="shared" si="165"/>
        <v>3</v>
      </c>
      <c r="K617" s="2203">
        <f t="shared" si="165"/>
        <v>1575</v>
      </c>
      <c r="L617" s="2203">
        <f t="shared" si="165"/>
        <v>50</v>
      </c>
      <c r="M617" s="2203">
        <f t="shared" si="165"/>
        <v>109</v>
      </c>
      <c r="N617" s="2203">
        <f t="shared" si="165"/>
        <v>3</v>
      </c>
      <c r="O617" s="2203">
        <f t="shared" si="165"/>
        <v>200.08333333333334</v>
      </c>
      <c r="P617" s="2205">
        <f>O611/M!$Q$14</f>
        <v>8.1655376498765128E-2</v>
      </c>
      <c r="Q617" s="1235"/>
      <c r="R617" s="1235"/>
      <c r="S617" s="1235"/>
      <c r="T617" s="1235"/>
      <c r="U617" s="1235"/>
      <c r="V617" s="1235"/>
      <c r="W617" s="1235"/>
    </row>
    <row r="618" spans="1:23">
      <c r="A618" s="2193"/>
      <c r="B618" s="2194"/>
      <c r="C618" s="2204"/>
      <c r="D618" s="2204"/>
      <c r="E618" s="2204"/>
      <c r="F618" s="2204"/>
      <c r="G618" s="2204"/>
      <c r="H618" s="2204"/>
      <c r="I618" s="2204"/>
      <c r="J618" s="2204"/>
      <c r="K618" s="2204"/>
      <c r="L618" s="2204"/>
      <c r="M618" s="2204"/>
      <c r="N618" s="2204"/>
      <c r="O618" s="2204"/>
      <c r="P618" s="2206"/>
      <c r="Q618" s="1235"/>
      <c r="R618" s="1235"/>
      <c r="S618" s="1235"/>
      <c r="T618" s="1235"/>
      <c r="U618" s="1235"/>
      <c r="V618" s="1235"/>
      <c r="W618" s="1235"/>
    </row>
    <row r="619" spans="1:23">
      <c r="A619" s="1183"/>
      <c r="B619" s="1176" t="s">
        <v>405</v>
      </c>
      <c r="C619" s="1196">
        <f>SUMIF(Jan!$BT$1:$BT$173,$B619,Jan!$BS$1:$BS$173)</f>
        <v>0</v>
      </c>
      <c r="D619" s="1196">
        <f>SUMIF(Feb!$BT$1:$BT$185,$B619, Feb!$BS$1:$BS$185)</f>
        <v>0</v>
      </c>
      <c r="E619" s="1196">
        <f>SUMIF(Mar!$BT$1:$BT$155,$B619, Mar!$BS$1:$BS$180)</f>
        <v>0</v>
      </c>
      <c r="F619" s="1196">
        <f>SUMIF(Apr!$BT$1:$BT$194,$B619,Apr!$BS$1:$BS$194)</f>
        <v>0</v>
      </c>
      <c r="G619" s="1196">
        <f>SUMIF(May!$BT$1:$BT$200,$B619,May!$BS$1:$BS$200)</f>
        <v>0</v>
      </c>
      <c r="H619" s="1196">
        <f>SUMIF(Jun!$BT$1:$BT$195,$B619,Jun!$BS$1:$BS$195)</f>
        <v>0</v>
      </c>
      <c r="I619" s="1196">
        <f>SUMIF(Jul!$BT$1:$BT$191,$B619,Jul!$BS$1:$BS$191)</f>
        <v>0</v>
      </c>
      <c r="J619" s="1196">
        <f>SUMIF(Aug!$BT$1:$BT$205,$B619,Aug!$BS$1:$BS$205)</f>
        <v>0</v>
      </c>
      <c r="K619" s="1196">
        <f>SUMIF(Sep!$BT$1:$BT$200,$B619,Sep!$BS$1:$BS$200)</f>
        <v>0</v>
      </c>
      <c r="L619" s="1196">
        <f>SUMIF(Oct!$BT$1:$BT$197,$B619,Oct!$BS$1:$BS$197)</f>
        <v>0</v>
      </c>
      <c r="M619" s="1196">
        <f>SUMIF(Nov!$BT$1:$BT$195,$B619,Nov!$BS$1:$BS$195)</f>
        <v>0</v>
      </c>
      <c r="N619" s="1196">
        <f>SUMIF(Dec!$BT$1:$BT$211,$B619,Dec!$BS$1:$BS$211)</f>
        <v>0</v>
      </c>
      <c r="O619" s="1179">
        <f>SUM(C619:N619)/12</f>
        <v>0</v>
      </c>
      <c r="P619" s="1186"/>
      <c r="Q619" s="1235"/>
      <c r="R619" s="1235"/>
      <c r="S619" s="1235"/>
      <c r="T619" s="1235"/>
      <c r="U619" s="1235"/>
      <c r="V619" s="1235"/>
      <c r="W619" s="1235"/>
    </row>
    <row r="620" spans="1:23">
      <c r="A620" s="1183"/>
      <c r="B620" s="1176" t="s">
        <v>436</v>
      </c>
      <c r="C620" s="1196">
        <f>SUMIF(Jan!$BT$1:$BT$173,$B620,Jan!$BS$1:$BS$173)</f>
        <v>379</v>
      </c>
      <c r="D620" s="1196">
        <f>SUMIF(Feb!$BT$1:$BT$185,$B620, Feb!$BS$1:$BS$185)</f>
        <v>0</v>
      </c>
      <c r="E620" s="1196">
        <f>SUMIF(Mar!$BT$1:$BT$155,$B620, Mar!$BS$1:$BS$180)</f>
        <v>85</v>
      </c>
      <c r="F620" s="1196">
        <v>195</v>
      </c>
      <c r="G620" s="1196">
        <v>2</v>
      </c>
      <c r="H620" s="1196">
        <f>SUMIF(Jun!$BT$1:$BT$195,$B620,Jun!$BS$1:$BS$195)</f>
        <v>0</v>
      </c>
      <c r="I620" s="1196">
        <f>SUMIF(Jul!$BT$1:$BT$191,$B620,Jul!$BS$1:$BS$191)</f>
        <v>0</v>
      </c>
      <c r="J620" s="1196">
        <f>SUMIF(Aug!$BT$1:$BT$205,$B620,Aug!$BS$1:$BS$205)</f>
        <v>3</v>
      </c>
      <c r="K620" s="1196">
        <f>SUMIF(Sep!$BT$1:$BT$200,$B620,Sep!$BS$1:$BS$200)</f>
        <v>1575</v>
      </c>
      <c r="L620" s="1196">
        <v>50</v>
      </c>
      <c r="M620" s="1196">
        <v>109</v>
      </c>
      <c r="N620" s="1196">
        <v>3</v>
      </c>
      <c r="O620" s="1179">
        <f>SUM(C620:N620)/12</f>
        <v>200.08333333333334</v>
      </c>
      <c r="P620" s="1180">
        <f>O614/M!$Q$14</f>
        <v>1.4938143829141713E-2</v>
      </c>
      <c r="Q620" s="1235"/>
      <c r="R620" s="1235"/>
      <c r="S620" s="1235"/>
      <c r="T620" s="1235"/>
      <c r="U620" s="1235"/>
      <c r="V620" s="1235"/>
      <c r="W620" s="1235"/>
    </row>
    <row r="621" spans="1:23">
      <c r="A621" s="1183"/>
      <c r="B621" s="1176" t="s">
        <v>130</v>
      </c>
      <c r="C621" s="1196">
        <f>SUMIF(Jan!$BT$1:$BT$173,$B621,Jan!$BS$1:$BS$173)</f>
        <v>0</v>
      </c>
      <c r="D621" s="1196">
        <f>SUMIF(Feb!$BT$1:$BT$185,$B621, Feb!$BS$1:$BS$185)</f>
        <v>0</v>
      </c>
      <c r="E621" s="1196">
        <f>SUMIF(Mar!$BT$1:$BT$155,$B621, Mar!$BS$1:$BS$180)</f>
        <v>0</v>
      </c>
      <c r="F621" s="1196">
        <f>SUMIF(Apr!$BT$1:$BT$194,$B621,Apr!$BS$1:$BS$194)</f>
        <v>0</v>
      </c>
      <c r="G621" s="1196">
        <f>SUMIF(May!$BT$1:$BT$200,$B621,May!$BS$1:$BS$200)</f>
        <v>0</v>
      </c>
      <c r="H621" s="1196">
        <f>SUMIF(Jun!$BT$1:$BT$195,$B621,Jun!$BS$1:$BS$195)</f>
        <v>0</v>
      </c>
      <c r="I621" s="1196">
        <f>SUMIF(Jul!$BT$1:$BT$191,$B621,Jul!$BS$1:$BS$191)</f>
        <v>0</v>
      </c>
      <c r="J621" s="1196">
        <f>SUMIF(Aug!$BT$1:$BT$205,$B621,Aug!$BS$1:$BS$205)</f>
        <v>0</v>
      </c>
      <c r="K621" s="1196">
        <f>SUMIF(Sep!$BT$1:$BT$200,$B621,Sep!$BS$1:$BS$200)</f>
        <v>0</v>
      </c>
      <c r="L621" s="1196">
        <f>SUMIF(Oct!$BT$1:$BT$197,$B621,Oct!$BS$1:$BS$197)</f>
        <v>0</v>
      </c>
      <c r="M621" s="1196">
        <f>SUMIF(Nov!$BT$1:$BT$195,$B621,Nov!$BS$1:$BS$195)</f>
        <v>0</v>
      </c>
      <c r="N621" s="1196">
        <f>SUMIF(Dec!$BT$1:$BT$211,$B621,Dec!$BS$1:$BS$211)</f>
        <v>0</v>
      </c>
      <c r="O621" s="1179">
        <f>SUM(C621:N621)/12</f>
        <v>0</v>
      </c>
      <c r="P621" s="1180">
        <f>O615/M!$Q$14</f>
        <v>2.570646061643196E-3</v>
      </c>
      <c r="Q621" s="1235"/>
      <c r="R621" s="1235"/>
      <c r="S621" s="1235"/>
      <c r="T621" s="1235"/>
      <c r="U621" s="1235"/>
      <c r="V621" s="1235"/>
      <c r="W621" s="1235"/>
    </row>
    <row r="622" spans="1:23">
      <c r="A622" s="2191" t="s">
        <v>286</v>
      </c>
      <c r="B622" s="2192"/>
      <c r="C622" s="2203">
        <f t="shared" ref="C622:N622" si="166">SUM(C624:C625)</f>
        <v>0</v>
      </c>
      <c r="D622" s="2203">
        <f t="shared" si="166"/>
        <v>0</v>
      </c>
      <c r="E622" s="2203">
        <f t="shared" si="166"/>
        <v>0</v>
      </c>
      <c r="F622" s="2203">
        <f t="shared" si="166"/>
        <v>5000</v>
      </c>
      <c r="G622" s="2203">
        <f t="shared" si="166"/>
        <v>0</v>
      </c>
      <c r="H622" s="2203">
        <f t="shared" si="166"/>
        <v>0</v>
      </c>
      <c r="I622" s="2203">
        <f t="shared" si="166"/>
        <v>0</v>
      </c>
      <c r="J622" s="2203">
        <f t="shared" si="166"/>
        <v>0</v>
      </c>
      <c r="K622" s="2203">
        <f t="shared" si="166"/>
        <v>0</v>
      </c>
      <c r="L622" s="2203">
        <f t="shared" si="166"/>
        <v>0</v>
      </c>
      <c r="M622" s="2203">
        <f t="shared" si="166"/>
        <v>0</v>
      </c>
      <c r="N622" s="2203">
        <f t="shared" si="166"/>
        <v>0</v>
      </c>
      <c r="O622" s="2203">
        <f>SUM(O624:O625)</f>
        <v>416.66666666666669</v>
      </c>
      <c r="P622" s="1186"/>
      <c r="Q622" s="1235"/>
      <c r="R622" s="1235"/>
      <c r="S622" s="1235"/>
      <c r="T622" s="1235"/>
      <c r="U622" s="1235"/>
      <c r="V622" s="1235"/>
      <c r="W622" s="1235"/>
    </row>
    <row r="623" spans="1:23">
      <c r="A623" s="2193"/>
      <c r="B623" s="2194"/>
      <c r="C623" s="2204"/>
      <c r="D623" s="2204"/>
      <c r="E623" s="2204"/>
      <c r="F623" s="2204"/>
      <c r="G623" s="2204"/>
      <c r="H623" s="2204"/>
      <c r="I623" s="2204"/>
      <c r="J623" s="2204"/>
      <c r="K623" s="2204"/>
      <c r="L623" s="2204"/>
      <c r="M623" s="2204"/>
      <c r="N623" s="2204"/>
      <c r="O623" s="2204"/>
      <c r="P623" s="2205">
        <f>O617/M!$Q$14</f>
        <v>1.7942212773271262E-2</v>
      </c>
      <c r="Q623" s="1235"/>
      <c r="R623" s="1235"/>
      <c r="S623" s="1235"/>
      <c r="T623" s="1235"/>
      <c r="U623" s="1235"/>
      <c r="V623" s="1235"/>
      <c r="W623" s="1235"/>
    </row>
    <row r="624" spans="1:23">
      <c r="A624" s="2217"/>
      <c r="B624" s="1176" t="s">
        <v>82</v>
      </c>
      <c r="C624" s="1177">
        <v>0</v>
      </c>
      <c r="D624" s="1177">
        <v>0</v>
      </c>
      <c r="E624" s="1177">
        <v>0</v>
      </c>
      <c r="F624" s="1177">
        <v>5000</v>
      </c>
      <c r="G624" s="1177">
        <v>0</v>
      </c>
      <c r="H624" s="1177">
        <v>0</v>
      </c>
      <c r="I624" s="1177">
        <v>0</v>
      </c>
      <c r="J624" s="1177">
        <v>0</v>
      </c>
      <c r="K624" s="1177">
        <v>0</v>
      </c>
      <c r="L624" s="1177">
        <v>0</v>
      </c>
      <c r="M624" s="1177">
        <v>0</v>
      </c>
      <c r="N624" s="1177">
        <v>0</v>
      </c>
      <c r="O624" s="1179">
        <f>SUM(C624:N624)/12</f>
        <v>416.66666666666669</v>
      </c>
      <c r="P624" s="2206"/>
      <c r="Q624" s="1235"/>
      <c r="R624" s="1235"/>
      <c r="S624" s="1235"/>
      <c r="T624" s="1235"/>
      <c r="U624" s="1235"/>
      <c r="V624" s="1235"/>
      <c r="W624" s="1235"/>
    </row>
    <row r="625" spans="1:23">
      <c r="A625" s="2219"/>
      <c r="B625" s="1176" t="s">
        <v>83</v>
      </c>
      <c r="C625" s="1177">
        <v>0</v>
      </c>
      <c r="D625" s="1177">
        <v>0</v>
      </c>
      <c r="E625" s="1177">
        <v>0</v>
      </c>
      <c r="F625" s="1177">
        <v>0</v>
      </c>
      <c r="G625" s="1177">
        <v>0</v>
      </c>
      <c r="H625" s="1177">
        <v>0</v>
      </c>
      <c r="I625" s="1177">
        <v>0</v>
      </c>
      <c r="J625" s="1177">
        <v>0</v>
      </c>
      <c r="K625" s="1177">
        <v>0</v>
      </c>
      <c r="L625" s="1177">
        <v>0</v>
      </c>
      <c r="M625" s="1177">
        <v>0</v>
      </c>
      <c r="N625" s="1177">
        <v>0</v>
      </c>
      <c r="O625" s="1179">
        <f>SUM(C625:N625)/12</f>
        <v>0</v>
      </c>
      <c r="P625" s="1180">
        <f>O619/M!$Q$14</f>
        <v>0</v>
      </c>
      <c r="Q625" s="1235"/>
      <c r="R625" s="1235"/>
      <c r="S625" s="1235"/>
      <c r="T625" s="1235"/>
      <c r="U625" s="1235"/>
      <c r="V625" s="1235"/>
      <c r="W625" s="1235"/>
    </row>
    <row r="626" spans="1:23">
      <c r="A626" s="1187" t="s">
        <v>437</v>
      </c>
      <c r="B626" s="1188"/>
      <c r="C626" s="1189">
        <f t="shared" ref="C626:N626" si="167">C556+C570+C578+C584+C598+C588+ C607+C622+C611+C617</f>
        <v>11212.5</v>
      </c>
      <c r="D626" s="1189">
        <f t="shared" si="167"/>
        <v>11427.5</v>
      </c>
      <c r="E626" s="1189">
        <f t="shared" si="167"/>
        <v>9677.5</v>
      </c>
      <c r="F626" s="1189">
        <f t="shared" si="167"/>
        <v>19728.500000000004</v>
      </c>
      <c r="G626" s="1189">
        <f t="shared" si="167"/>
        <v>11871.5</v>
      </c>
      <c r="H626" s="1189">
        <f t="shared" si="167"/>
        <v>12699</v>
      </c>
      <c r="I626" s="1189">
        <f t="shared" si="167"/>
        <v>13387</v>
      </c>
      <c r="J626" s="1189">
        <f t="shared" si="167"/>
        <v>11054</v>
      </c>
      <c r="K626" s="1189">
        <f t="shared" si="167"/>
        <v>14983</v>
      </c>
      <c r="L626" s="1189">
        <f t="shared" si="167"/>
        <v>10662</v>
      </c>
      <c r="M626" s="1189">
        <f t="shared" si="167"/>
        <v>11502</v>
      </c>
      <c r="N626" s="1189">
        <f t="shared" si="167"/>
        <v>11631</v>
      </c>
      <c r="O626" s="1189">
        <f>SUM(C626:N626)/12</f>
        <v>12486.291666666666</v>
      </c>
      <c r="P626" s="1180">
        <f>O620/M!$Q$14</f>
        <v>1.7942212773271262E-2</v>
      </c>
      <c r="Q626" s="1235"/>
      <c r="R626" s="1235"/>
      <c r="S626" s="1235"/>
      <c r="T626" s="1235"/>
      <c r="U626" s="1235"/>
      <c r="V626" s="1235"/>
      <c r="W626" s="1235"/>
    </row>
    <row r="627" spans="1:23">
      <c r="A627" s="1191" t="s">
        <v>658</v>
      </c>
      <c r="B627" s="1192"/>
      <c r="C627" s="1193">
        <f>C626/M!$Q$14</f>
        <v>1.0054663592851512</v>
      </c>
      <c r="D627" s="1193">
        <f>D626/M!$Q$14</f>
        <v>1.0247462047474751</v>
      </c>
      <c r="E627" s="1193">
        <f>E626/M!$Q$14</f>
        <v>0.86781723005414058</v>
      </c>
      <c r="F627" s="1193">
        <f>F626/M!$Q$14</f>
        <v>1.7691275869928302</v>
      </c>
      <c r="G627" s="1193">
        <f>G626/M!$Q$14</f>
        <v>1.0645613274696697</v>
      </c>
      <c r="H627" s="1193">
        <f>H626/M!$Q$14</f>
        <v>1.1387663140746609</v>
      </c>
      <c r="I627" s="1193">
        <f>I626/M!$Q$14</f>
        <v>1.2004618195540977</v>
      </c>
      <c r="J627" s="1193">
        <f>J626/M!$Q$14</f>
        <v>0.99125307786292638</v>
      </c>
      <c r="K627" s="1193">
        <f>K626/M!$Q$14</f>
        <v>1.3435810444744187</v>
      </c>
      <c r="L627" s="1193">
        <f>L626/M!$Q$14</f>
        <v>0.95610098753161932</v>
      </c>
      <c r="M627" s="1193">
        <f>M626/M!$Q$14</f>
        <v>1.0314268953844199</v>
      </c>
      <c r="N627" s="1193">
        <f>N626/M!$Q$14</f>
        <v>1.0429948026618143</v>
      </c>
      <c r="O627" s="1193">
        <f>O626/M!$Q$14</f>
        <v>1.1196919708411019</v>
      </c>
      <c r="P627" s="1180">
        <f>O621/M!$Q$14</f>
        <v>0</v>
      </c>
      <c r="Q627" s="1235"/>
      <c r="R627" s="1235"/>
      <c r="S627" s="1235"/>
      <c r="T627" s="1235"/>
      <c r="U627" s="1235"/>
      <c r="V627" s="1235"/>
      <c r="W627" s="1235"/>
    </row>
    <row r="628" spans="1:23">
      <c r="A628" s="1235"/>
      <c r="B628" s="1235"/>
      <c r="C628" s="1235"/>
      <c r="D628" s="1235"/>
      <c r="E628" s="1235"/>
      <c r="F628" s="1235"/>
      <c r="G628" s="1235"/>
      <c r="H628" s="1235"/>
      <c r="I628" s="1235"/>
      <c r="J628" s="1235"/>
      <c r="K628" s="1235"/>
      <c r="L628" s="1235"/>
      <c r="M628" s="1235"/>
      <c r="N628" s="1235"/>
      <c r="O628" s="1235"/>
      <c r="P628" s="2205">
        <f>O622/M!$Q$14</f>
        <v>3.7364041593651108E-2</v>
      </c>
      <c r="Q628" s="1235"/>
      <c r="R628" s="1235"/>
      <c r="S628" s="1235"/>
      <c r="T628" s="1235"/>
      <c r="U628" s="1235"/>
      <c r="V628" s="1235"/>
      <c r="W628" s="1235"/>
    </row>
    <row r="629" spans="1:23">
      <c r="A629" s="1235"/>
      <c r="B629" s="1235"/>
      <c r="C629" s="1235"/>
      <c r="D629" s="1235"/>
      <c r="E629" s="1235"/>
      <c r="F629" s="1235"/>
      <c r="G629" s="1235"/>
      <c r="H629" s="1235"/>
      <c r="I629" s="1235"/>
      <c r="J629" s="1235"/>
      <c r="K629" s="1235"/>
      <c r="L629" s="1235"/>
      <c r="M629" s="1235"/>
      <c r="N629" s="1235"/>
      <c r="O629" s="1235"/>
      <c r="P629" s="2206"/>
      <c r="Q629" s="1235"/>
      <c r="R629" s="1235"/>
      <c r="S629" s="1235"/>
      <c r="T629" s="1235"/>
      <c r="U629" s="1235"/>
      <c r="V629" s="1235"/>
      <c r="W629" s="1235"/>
    </row>
    <row r="630" spans="1:23">
      <c r="A630" s="1235"/>
      <c r="B630" s="1235"/>
      <c r="C630" s="1235"/>
      <c r="D630" s="1235"/>
      <c r="E630" s="1235"/>
      <c r="F630" s="1235"/>
      <c r="G630" s="1235"/>
      <c r="H630" s="1235"/>
      <c r="I630" s="1235"/>
      <c r="J630" s="1235"/>
      <c r="K630" s="1235"/>
      <c r="L630" s="1235"/>
      <c r="M630" s="1235"/>
      <c r="N630" s="1235"/>
      <c r="O630" s="1235"/>
      <c r="P630" s="1180">
        <f>O624/M!$Q$14</f>
        <v>3.7364041593651108E-2</v>
      </c>
      <c r="Q630" s="1235"/>
      <c r="R630" s="1235"/>
      <c r="S630" s="1235"/>
      <c r="T630" s="1235"/>
      <c r="U630" s="1235"/>
      <c r="V630" s="1235"/>
      <c r="W630" s="1235"/>
    </row>
    <row r="631" spans="1:23">
      <c r="A631" s="2195">
        <v>2018</v>
      </c>
      <c r="B631" s="2196"/>
      <c r="C631" s="2196"/>
      <c r="D631" s="2196"/>
      <c r="E631" s="2196"/>
      <c r="F631" s="2196"/>
      <c r="G631" s="2196"/>
      <c r="H631" s="2196"/>
      <c r="I631" s="2196"/>
      <c r="J631" s="2196"/>
      <c r="K631" s="2196"/>
      <c r="L631" s="2196"/>
      <c r="M631" s="2196"/>
      <c r="N631" s="2196"/>
      <c r="O631" s="2196"/>
      <c r="P631" s="1180">
        <f>O625/M!$Q$14</f>
        <v>0</v>
      </c>
      <c r="Q631" s="1235"/>
      <c r="R631" s="1235"/>
      <c r="S631" s="1235"/>
      <c r="T631" s="1235"/>
      <c r="U631" s="1235"/>
      <c r="V631" s="1235"/>
      <c r="W631" s="1235"/>
    </row>
    <row r="632" spans="1:23">
      <c r="A632" s="1171" t="s">
        <v>388</v>
      </c>
      <c r="B632" s="1172"/>
      <c r="C632" s="1173" t="s">
        <v>309</v>
      </c>
      <c r="D632" s="1173" t="s">
        <v>311</v>
      </c>
      <c r="E632" s="1173" t="s">
        <v>312</v>
      </c>
      <c r="F632" s="1173" t="s">
        <v>313</v>
      </c>
      <c r="G632" s="1173" t="s">
        <v>314</v>
      </c>
      <c r="H632" s="1173" t="s">
        <v>315</v>
      </c>
      <c r="I632" s="1173" t="s">
        <v>316</v>
      </c>
      <c r="J632" s="1173" t="s">
        <v>317</v>
      </c>
      <c r="K632" s="1173" t="s">
        <v>318</v>
      </c>
      <c r="L632" s="1173" t="s">
        <v>319</v>
      </c>
      <c r="M632" s="1173" t="s">
        <v>320</v>
      </c>
      <c r="N632" s="1173" t="s">
        <v>321</v>
      </c>
      <c r="O632" s="1174" t="s">
        <v>660</v>
      </c>
      <c r="P632" s="1190">
        <f>O626/M!$Q$14</f>
        <v>1.1196919708411019</v>
      </c>
      <c r="Q632" s="1235"/>
      <c r="R632" s="1235"/>
      <c r="S632" s="1235"/>
      <c r="T632" s="1235"/>
      <c r="U632" s="1235"/>
      <c r="V632" s="1235"/>
      <c r="W632" s="1235"/>
    </row>
    <row r="633" spans="1:23">
      <c r="A633" s="2191" t="s">
        <v>56</v>
      </c>
      <c r="B633" s="2192"/>
      <c r="C633" s="2203">
        <f t="shared" ref="C633:I633" si="168">C635+ SUM(C641:C646)</f>
        <v>4387</v>
      </c>
      <c r="D633" s="2203">
        <f t="shared" si="168"/>
        <v>4387</v>
      </c>
      <c r="E633" s="2203">
        <f t="shared" si="168"/>
        <v>4387</v>
      </c>
      <c r="F633" s="2203">
        <f t="shared" si="168"/>
        <v>4387</v>
      </c>
      <c r="G633" s="2203">
        <f t="shared" si="168"/>
        <v>4387</v>
      </c>
      <c r="H633" s="2203">
        <f t="shared" si="168"/>
        <v>4387</v>
      </c>
      <c r="I633" s="2203">
        <f t="shared" si="168"/>
        <v>4593</v>
      </c>
      <c r="J633" s="2203">
        <f t="shared" ref="J633:O633" si="169">J635+ SUM(J641:J646)</f>
        <v>4593</v>
      </c>
      <c r="K633" s="2203">
        <f t="shared" si="169"/>
        <v>4593</v>
      </c>
      <c r="L633" s="2203">
        <f t="shared" si="169"/>
        <v>4593</v>
      </c>
      <c r="M633" s="2203">
        <f t="shared" si="169"/>
        <v>4932</v>
      </c>
      <c r="N633" s="2203">
        <f t="shared" si="169"/>
        <v>4593</v>
      </c>
      <c r="O633" s="2203">
        <f t="shared" si="169"/>
        <v>4518.25</v>
      </c>
      <c r="P633" s="1194"/>
      <c r="Q633" s="1235"/>
      <c r="R633" s="1235"/>
      <c r="S633" s="1235"/>
      <c r="T633" s="1235"/>
      <c r="U633" s="1235"/>
      <c r="V633" s="1235"/>
      <c r="W633" s="1235"/>
    </row>
    <row r="634" spans="1:23">
      <c r="A634" s="2193"/>
      <c r="B634" s="2194"/>
      <c r="C634" s="2204"/>
      <c r="D634" s="2204"/>
      <c r="E634" s="2204"/>
      <c r="F634" s="2204"/>
      <c r="G634" s="2204"/>
      <c r="H634" s="2204"/>
      <c r="I634" s="2204"/>
      <c r="J634" s="2204"/>
      <c r="K634" s="2204"/>
      <c r="L634" s="2204"/>
      <c r="M634" s="2204"/>
      <c r="N634" s="2204"/>
      <c r="O634" s="2204"/>
      <c r="P634" s="1235"/>
      <c r="Q634" s="1235"/>
      <c r="R634" s="1235"/>
      <c r="S634" s="1235"/>
      <c r="T634" s="1235"/>
      <c r="U634" s="1235"/>
      <c r="V634" s="1235"/>
      <c r="W634" s="1235"/>
    </row>
    <row r="635" spans="1:23">
      <c r="A635" s="2217"/>
      <c r="B635" s="1176" t="s">
        <v>662</v>
      </c>
      <c r="C635" s="1177">
        <v>4384</v>
      </c>
      <c r="D635" s="1177">
        <v>4384</v>
      </c>
      <c r="E635" s="1177">
        <v>4384</v>
      </c>
      <c r="F635" s="1177">
        <v>4384</v>
      </c>
      <c r="G635" s="1177">
        <v>4384</v>
      </c>
      <c r="H635" s="1177">
        <v>4384</v>
      </c>
      <c r="I635" s="1177">
        <v>4590</v>
      </c>
      <c r="J635" s="1177">
        <v>4590</v>
      </c>
      <c r="K635" s="1177">
        <v>4590</v>
      </c>
      <c r="L635" s="1177">
        <v>4590</v>
      </c>
      <c r="M635" s="1177">
        <v>4590</v>
      </c>
      <c r="N635" s="1177">
        <v>4590</v>
      </c>
      <c r="O635" s="1179">
        <f t="shared" ref="O635:O646" si="170">SUM(C635:N635)/12</f>
        <v>4487</v>
      </c>
      <c r="P635" s="1235"/>
      <c r="Q635" s="1235"/>
      <c r="R635" s="1235"/>
      <c r="S635" s="1235"/>
      <c r="T635" s="1235"/>
      <c r="U635" s="1235"/>
      <c r="V635" s="1235"/>
      <c r="W635" s="1235"/>
    </row>
    <row r="636" spans="1:23">
      <c r="A636" s="2218"/>
      <c r="B636" s="1176" t="s">
        <v>663</v>
      </c>
      <c r="C636" s="1178">
        <v>0</v>
      </c>
      <c r="D636" s="1178">
        <v>0</v>
      </c>
      <c r="E636" s="1178">
        <v>0</v>
      </c>
      <c r="F636" s="1178">
        <v>0</v>
      </c>
      <c r="G636" s="1178">
        <v>0</v>
      </c>
      <c r="H636" s="1178">
        <v>0</v>
      </c>
      <c r="I636" s="1178">
        <v>0</v>
      </c>
      <c r="J636" s="1178">
        <v>0</v>
      </c>
      <c r="K636" s="1178">
        <v>0</v>
      </c>
      <c r="L636" s="1178">
        <v>0</v>
      </c>
      <c r="M636" s="1178">
        <v>0</v>
      </c>
      <c r="N636" s="1178">
        <v>0</v>
      </c>
      <c r="O636" s="1179">
        <f t="shared" si="170"/>
        <v>0</v>
      </c>
      <c r="P636" s="1235"/>
      <c r="Q636" s="1235"/>
      <c r="R636" s="1235"/>
      <c r="S636" s="1235"/>
      <c r="T636" s="1235"/>
      <c r="U636" s="1235"/>
      <c r="V636" s="1235"/>
      <c r="W636" s="1235"/>
    </row>
    <row r="637" spans="1:23">
      <c r="A637" s="2218"/>
      <c r="B637" s="1176" t="s">
        <v>664</v>
      </c>
      <c r="C637" s="1178">
        <v>0</v>
      </c>
      <c r="D637" s="1178">
        <v>0</v>
      </c>
      <c r="E637" s="1178">
        <v>0</v>
      </c>
      <c r="F637" s="1178">
        <v>0</v>
      </c>
      <c r="G637" s="1178">
        <v>0</v>
      </c>
      <c r="H637" s="1178">
        <v>0</v>
      </c>
      <c r="I637" s="1178">
        <v>0</v>
      </c>
      <c r="J637" s="1178">
        <v>0</v>
      </c>
      <c r="K637" s="1178">
        <v>0</v>
      </c>
      <c r="L637" s="1178">
        <v>0</v>
      </c>
      <c r="M637" s="1178">
        <v>0</v>
      </c>
      <c r="N637" s="1178">
        <v>0</v>
      </c>
      <c r="O637" s="1179">
        <f t="shared" si="170"/>
        <v>0</v>
      </c>
      <c r="P637" s="2197"/>
      <c r="Q637" s="1235"/>
      <c r="R637" s="1235"/>
      <c r="S637" s="1235"/>
      <c r="T637" s="1235"/>
      <c r="U637" s="1235"/>
      <c r="V637" s="1235"/>
      <c r="W637" s="1235"/>
    </row>
    <row r="638" spans="1:23">
      <c r="A638" s="2218"/>
      <c r="B638" s="1176" t="s">
        <v>450</v>
      </c>
      <c r="C638" s="1178">
        <v>0</v>
      </c>
      <c r="D638" s="1178">
        <v>0</v>
      </c>
      <c r="E638" s="1178">
        <v>0</v>
      </c>
      <c r="F638" s="1178">
        <v>0</v>
      </c>
      <c r="G638" s="1178">
        <v>0</v>
      </c>
      <c r="H638" s="1178">
        <v>0</v>
      </c>
      <c r="I638" s="1178">
        <v>0</v>
      </c>
      <c r="J638" s="1178">
        <v>0</v>
      </c>
      <c r="K638" s="1178">
        <v>0</v>
      </c>
      <c r="L638" s="1178">
        <v>0</v>
      </c>
      <c r="M638" s="1178">
        <v>0</v>
      </c>
      <c r="N638" s="1178">
        <v>0</v>
      </c>
      <c r="O638" s="1179">
        <f t="shared" si="170"/>
        <v>0</v>
      </c>
      <c r="P638" s="1175" t="s">
        <v>661</v>
      </c>
      <c r="Q638" s="1235"/>
      <c r="R638" s="1235"/>
      <c r="S638" s="1235"/>
      <c r="T638" s="1235"/>
      <c r="U638" s="1235"/>
      <c r="V638" s="1235"/>
      <c r="W638" s="1235"/>
    </row>
    <row r="639" spans="1:23">
      <c r="A639" s="2218"/>
      <c r="B639" s="1176" t="s">
        <v>665</v>
      </c>
      <c r="C639" s="1178">
        <v>0</v>
      </c>
      <c r="D639" s="1178">
        <v>0</v>
      </c>
      <c r="E639" s="1178">
        <v>0</v>
      </c>
      <c r="F639" s="1178">
        <v>0</v>
      </c>
      <c r="G639" s="1178">
        <v>0</v>
      </c>
      <c r="H639" s="1178">
        <v>0</v>
      </c>
      <c r="I639" s="1178">
        <v>0</v>
      </c>
      <c r="J639" s="1178">
        <v>0</v>
      </c>
      <c r="K639" s="1178">
        <v>0</v>
      </c>
      <c r="L639" s="1178">
        <v>0</v>
      </c>
      <c r="M639" s="1178">
        <v>0</v>
      </c>
      <c r="N639" s="1178">
        <v>0</v>
      </c>
      <c r="O639" s="1179">
        <f t="shared" si="170"/>
        <v>0</v>
      </c>
      <c r="P639" s="2205">
        <f>O633/M!$Q$14</f>
        <v>0.40516819423323386</v>
      </c>
      <c r="Q639" s="1235"/>
      <c r="R639" s="1235"/>
      <c r="S639" s="1235"/>
      <c r="T639" s="1235"/>
      <c r="U639" s="1235"/>
      <c r="V639" s="1235"/>
      <c r="W639" s="1235"/>
    </row>
    <row r="640" spans="1:23">
      <c r="A640" s="2218"/>
      <c r="B640" s="1176" t="s">
        <v>664</v>
      </c>
      <c r="C640" s="1178">
        <v>0</v>
      </c>
      <c r="D640" s="1178">
        <v>0</v>
      </c>
      <c r="E640" s="1178">
        <v>0</v>
      </c>
      <c r="F640" s="1178">
        <v>0</v>
      </c>
      <c r="G640" s="1178">
        <v>0</v>
      </c>
      <c r="H640" s="1178">
        <v>0</v>
      </c>
      <c r="I640" s="1178">
        <v>0</v>
      </c>
      <c r="J640" s="1178">
        <v>0</v>
      </c>
      <c r="K640" s="1178">
        <v>0</v>
      </c>
      <c r="L640" s="1178">
        <v>0</v>
      </c>
      <c r="M640" s="1178">
        <v>0</v>
      </c>
      <c r="N640" s="1178">
        <v>0</v>
      </c>
      <c r="O640" s="1179">
        <f t="shared" si="170"/>
        <v>0</v>
      </c>
      <c r="P640" s="2206"/>
      <c r="Q640" s="1235"/>
      <c r="R640" s="1235"/>
      <c r="S640" s="1235"/>
      <c r="T640" s="1235"/>
      <c r="U640" s="1235"/>
      <c r="V640" s="1235"/>
      <c r="W640" s="1235"/>
    </row>
    <row r="641" spans="1:23">
      <c r="A641" s="2218"/>
      <c r="B641" s="1176" t="s">
        <v>287</v>
      </c>
      <c r="C641" s="1178">
        <v>0</v>
      </c>
      <c r="D641" s="1178">
        <v>0</v>
      </c>
      <c r="E641" s="1178">
        <v>0</v>
      </c>
      <c r="F641" s="1178">
        <v>0</v>
      </c>
      <c r="G641" s="1178">
        <v>0</v>
      </c>
      <c r="H641" s="1178">
        <v>0</v>
      </c>
      <c r="I641" s="1178">
        <v>0</v>
      </c>
      <c r="J641" s="1178">
        <v>0</v>
      </c>
      <c r="K641" s="1178">
        <v>0</v>
      </c>
      <c r="L641" s="1178">
        <v>0</v>
      </c>
      <c r="M641" s="1178">
        <v>0</v>
      </c>
      <c r="N641" s="1178">
        <v>0</v>
      </c>
      <c r="O641" s="1179">
        <f t="shared" si="170"/>
        <v>0</v>
      </c>
      <c r="P641" s="1180">
        <f>O635/M!$Q$14</f>
        <v>0.40236589111371002</v>
      </c>
      <c r="Q641" s="1235"/>
      <c r="R641" s="1235"/>
      <c r="S641" s="1235"/>
      <c r="T641" s="1235"/>
      <c r="U641" s="1235"/>
      <c r="V641" s="1235"/>
      <c r="W641" s="1235"/>
    </row>
    <row r="642" spans="1:23">
      <c r="A642" s="2218"/>
      <c r="B642" s="1176" t="s">
        <v>453</v>
      </c>
      <c r="C642" s="1178">
        <v>0</v>
      </c>
      <c r="D642" s="1178">
        <v>0</v>
      </c>
      <c r="E642" s="1178">
        <v>0</v>
      </c>
      <c r="F642" s="1178">
        <v>0</v>
      </c>
      <c r="G642" s="1178">
        <v>0</v>
      </c>
      <c r="H642" s="1178">
        <v>0</v>
      </c>
      <c r="I642" s="1178">
        <v>0</v>
      </c>
      <c r="J642" s="1178">
        <v>0</v>
      </c>
      <c r="K642" s="1178">
        <v>0</v>
      </c>
      <c r="L642" s="1178">
        <v>0</v>
      </c>
      <c r="M642" s="1178">
        <v>0</v>
      </c>
      <c r="N642" s="1178">
        <v>0</v>
      </c>
      <c r="O642" s="1179">
        <f t="shared" si="170"/>
        <v>0</v>
      </c>
      <c r="P642" s="1180">
        <f>O636/M!$Q$14</f>
        <v>0</v>
      </c>
      <c r="Q642" s="1235"/>
      <c r="R642" s="1235"/>
      <c r="S642" s="1235"/>
      <c r="T642" s="1235"/>
      <c r="U642" s="1235"/>
      <c r="V642" s="1235"/>
      <c r="W642" s="1235"/>
    </row>
    <row r="643" spans="1:23">
      <c r="A643" s="2218"/>
      <c r="B643" s="1176" t="s">
        <v>400</v>
      </c>
      <c r="C643" s="1178">
        <v>0</v>
      </c>
      <c r="D643" s="1178">
        <v>0</v>
      </c>
      <c r="E643" s="1178">
        <v>0</v>
      </c>
      <c r="F643" s="1178">
        <v>0</v>
      </c>
      <c r="G643" s="1178">
        <v>0</v>
      </c>
      <c r="H643" s="1178">
        <v>0</v>
      </c>
      <c r="I643" s="1178">
        <v>0</v>
      </c>
      <c r="J643" s="1178">
        <v>0</v>
      </c>
      <c r="K643" s="1178">
        <v>0</v>
      </c>
      <c r="L643" s="1178">
        <v>0</v>
      </c>
      <c r="M643" s="1178">
        <v>0</v>
      </c>
      <c r="N643" s="1178">
        <v>0</v>
      </c>
      <c r="O643" s="1179">
        <f t="shared" si="170"/>
        <v>0</v>
      </c>
      <c r="P643" s="1180">
        <f>O637/M!$Q$14</f>
        <v>0</v>
      </c>
      <c r="Q643" s="1235"/>
      <c r="R643" s="1235"/>
      <c r="S643" s="1235"/>
      <c r="T643" s="1235"/>
      <c r="U643" s="1235"/>
      <c r="V643" s="1235"/>
      <c r="W643" s="1235"/>
    </row>
    <row r="644" spans="1:23">
      <c r="A644" s="2218"/>
      <c r="B644" s="1176" t="s">
        <v>401</v>
      </c>
      <c r="C644" s="1178">
        <v>0</v>
      </c>
      <c r="D644" s="1178">
        <v>0</v>
      </c>
      <c r="E644" s="1178">
        <v>0</v>
      </c>
      <c r="F644" s="1178">
        <v>0</v>
      </c>
      <c r="G644" s="1178">
        <v>0</v>
      </c>
      <c r="H644" s="1178">
        <v>0</v>
      </c>
      <c r="I644" s="1178">
        <v>0</v>
      </c>
      <c r="J644" s="1178">
        <v>0</v>
      </c>
      <c r="K644" s="1178">
        <v>0</v>
      </c>
      <c r="L644" s="1178">
        <v>0</v>
      </c>
      <c r="M644" s="1178">
        <v>0</v>
      </c>
      <c r="N644" s="1178">
        <v>0</v>
      </c>
      <c r="O644" s="1179">
        <f t="shared" si="170"/>
        <v>0</v>
      </c>
      <c r="P644" s="1180">
        <f>O638/M!$Q$14</f>
        <v>0</v>
      </c>
      <c r="Q644" s="1235"/>
      <c r="R644" s="1235"/>
      <c r="S644" s="1235"/>
      <c r="T644" s="1235"/>
      <c r="U644" s="1235"/>
      <c r="V644" s="1235"/>
      <c r="W644" s="1235"/>
    </row>
    <row r="645" spans="1:23">
      <c r="A645" s="2218"/>
      <c r="B645" s="1176" t="s">
        <v>402</v>
      </c>
      <c r="C645" s="1178">
        <v>0</v>
      </c>
      <c r="D645" s="1178">
        <v>0</v>
      </c>
      <c r="E645" s="1178">
        <v>0</v>
      </c>
      <c r="F645" s="1178">
        <v>0</v>
      </c>
      <c r="G645" s="1178">
        <v>0</v>
      </c>
      <c r="H645" s="1178">
        <v>0</v>
      </c>
      <c r="I645" s="1178">
        <v>0</v>
      </c>
      <c r="J645" s="1178">
        <v>0</v>
      </c>
      <c r="K645" s="1178">
        <v>0</v>
      </c>
      <c r="L645" s="1178">
        <v>0</v>
      </c>
      <c r="M645" s="1178">
        <v>0</v>
      </c>
      <c r="N645" s="1178">
        <v>0</v>
      </c>
      <c r="O645" s="1179">
        <f t="shared" si="170"/>
        <v>0</v>
      </c>
      <c r="P645" s="1180">
        <f>O639/M!$Q$14</f>
        <v>0</v>
      </c>
      <c r="Q645" s="1235"/>
      <c r="R645" s="1235"/>
      <c r="S645" s="1235"/>
      <c r="T645" s="1235"/>
      <c r="U645" s="1235"/>
      <c r="V645" s="1235"/>
      <c r="W645" s="1235"/>
    </row>
    <row r="646" spans="1:23">
      <c r="A646" s="2219"/>
      <c r="B646" s="1176" t="s">
        <v>403</v>
      </c>
      <c r="C646" s="1177">
        <v>3</v>
      </c>
      <c r="D646" s="1178">
        <v>3</v>
      </c>
      <c r="E646" s="1178">
        <v>3</v>
      </c>
      <c r="F646" s="1178">
        <v>3</v>
      </c>
      <c r="G646" s="1178">
        <v>3</v>
      </c>
      <c r="H646" s="1178">
        <v>3</v>
      </c>
      <c r="I646" s="1178">
        <v>3</v>
      </c>
      <c r="J646" s="1178">
        <v>3</v>
      </c>
      <c r="K646" s="1178">
        <v>3</v>
      </c>
      <c r="L646" s="1178">
        <v>3</v>
      </c>
      <c r="M646" s="1178">
        <v>342</v>
      </c>
      <c r="N646" s="1178">
        <v>3</v>
      </c>
      <c r="O646" s="1179">
        <f t="shared" si="170"/>
        <v>31.25</v>
      </c>
      <c r="P646" s="1180">
        <f>O640/M!$Q$14</f>
        <v>0</v>
      </c>
      <c r="Q646" s="1235"/>
      <c r="R646" s="1235"/>
      <c r="S646" s="1235"/>
      <c r="T646" s="1235"/>
      <c r="U646" s="1235"/>
      <c r="V646" s="1235"/>
      <c r="W646" s="1235"/>
    </row>
    <row r="647" spans="1:23">
      <c r="A647" s="2191" t="s">
        <v>276</v>
      </c>
      <c r="B647" s="2192"/>
      <c r="C647" s="2203">
        <f t="shared" ref="C647:N647" si="171">SUM(C649:C654)</f>
        <v>1054.3333333333335</v>
      </c>
      <c r="D647" s="2203">
        <f t="shared" si="171"/>
        <v>1010.3333333333334</v>
      </c>
      <c r="E647" s="2203">
        <f t="shared" si="171"/>
        <v>2631.3333333333335</v>
      </c>
      <c r="F647" s="2203">
        <f t="shared" si="171"/>
        <v>1010.3333333333334</v>
      </c>
      <c r="G647" s="2203">
        <f t="shared" si="171"/>
        <v>1255.3333333333335</v>
      </c>
      <c r="H647" s="2203">
        <f t="shared" si="171"/>
        <v>1504.3333333333335</v>
      </c>
      <c r="I647" s="2203">
        <f t="shared" si="171"/>
        <v>1791.3333333333335</v>
      </c>
      <c r="J647" s="2203">
        <f t="shared" si="171"/>
        <v>1073</v>
      </c>
      <c r="K647" s="2203">
        <f t="shared" si="171"/>
        <v>1406</v>
      </c>
      <c r="L647" s="2203">
        <f t="shared" si="171"/>
        <v>1117</v>
      </c>
      <c r="M647" s="2203">
        <f t="shared" si="171"/>
        <v>1228</v>
      </c>
      <c r="N647" s="2203">
        <f t="shared" si="171"/>
        <v>1144</v>
      </c>
      <c r="O647" s="2203">
        <f>SUM(O649:O654)</f>
        <v>1352.1111111111111</v>
      </c>
      <c r="P647" s="1180">
        <f>O641/M!$Q$14</f>
        <v>0</v>
      </c>
      <c r="Q647" s="1235"/>
      <c r="R647" s="1235"/>
      <c r="S647" s="1235"/>
      <c r="T647" s="1235"/>
      <c r="U647" s="1235"/>
      <c r="V647" s="1235"/>
      <c r="W647" s="1235"/>
    </row>
    <row r="648" spans="1:23">
      <c r="A648" s="2193"/>
      <c r="B648" s="2194"/>
      <c r="C648" s="2204"/>
      <c r="D648" s="2204"/>
      <c r="E648" s="2204"/>
      <c r="F648" s="2204"/>
      <c r="G648" s="2204"/>
      <c r="H648" s="2204"/>
      <c r="I648" s="2204"/>
      <c r="J648" s="2204"/>
      <c r="K648" s="2204"/>
      <c r="L648" s="2204"/>
      <c r="M648" s="2204"/>
      <c r="N648" s="2204"/>
      <c r="O648" s="2204"/>
      <c r="P648" s="1180">
        <f>O642/M!$Q$14</f>
        <v>0</v>
      </c>
      <c r="Q648" s="1235"/>
      <c r="R648" s="1235"/>
      <c r="S648" s="1235"/>
      <c r="T648" s="1235"/>
      <c r="U648" s="1235"/>
      <c r="V648" s="1235"/>
      <c r="W648" s="1235"/>
    </row>
    <row r="649" spans="1:23">
      <c r="A649" s="2217"/>
      <c r="B649" s="1176" t="s">
        <v>666</v>
      </c>
      <c r="C649" s="1178">
        <f t="shared" ref="C649:H649" si="172">46700/60</f>
        <v>778.33333333333337</v>
      </c>
      <c r="D649" s="1178">
        <f t="shared" si="172"/>
        <v>778.33333333333337</v>
      </c>
      <c r="E649" s="1178">
        <f t="shared" si="172"/>
        <v>778.33333333333337</v>
      </c>
      <c r="F649" s="1178">
        <f t="shared" si="172"/>
        <v>778.33333333333337</v>
      </c>
      <c r="G649" s="1178">
        <f t="shared" si="172"/>
        <v>778.33333333333337</v>
      </c>
      <c r="H649" s="1178">
        <f t="shared" si="172"/>
        <v>778.33333333333337</v>
      </c>
      <c r="I649" s="1178">
        <f t="shared" ref="I649:N649" si="173">46700/60</f>
        <v>778.33333333333337</v>
      </c>
      <c r="J649" s="1178">
        <f t="shared" si="173"/>
        <v>778.33333333333337</v>
      </c>
      <c r="K649" s="1178">
        <f t="shared" si="173"/>
        <v>778.33333333333337</v>
      </c>
      <c r="L649" s="1178">
        <f t="shared" si="173"/>
        <v>778.33333333333337</v>
      </c>
      <c r="M649" s="1178">
        <f t="shared" si="173"/>
        <v>778.33333333333337</v>
      </c>
      <c r="N649" s="1178">
        <f t="shared" si="173"/>
        <v>778.33333333333337</v>
      </c>
      <c r="O649" s="1179">
        <f t="shared" ref="O649:O654" si="174">SUM(C649:N649)/12</f>
        <v>778.33333333333337</v>
      </c>
      <c r="P649" s="1180">
        <f>O643/M!$Q$14</f>
        <v>0</v>
      </c>
      <c r="Q649" s="1235"/>
      <c r="R649" s="1235"/>
      <c r="S649" s="1235"/>
      <c r="T649" s="1235"/>
      <c r="U649" s="1235"/>
      <c r="V649" s="1235"/>
      <c r="W649" s="1235"/>
    </row>
    <row r="650" spans="1:23">
      <c r="A650" s="2218"/>
      <c r="B650" s="1176" t="s">
        <v>400</v>
      </c>
      <c r="C650" s="1181">
        <v>179</v>
      </c>
      <c r="D650" s="1182">
        <f t="shared" ref="D650:I650" si="175">ROUNDUP(810/6,0)</f>
        <v>135</v>
      </c>
      <c r="E650" s="1182">
        <f t="shared" si="175"/>
        <v>135</v>
      </c>
      <c r="F650" s="1182">
        <f t="shared" si="175"/>
        <v>135</v>
      </c>
      <c r="G650" s="1182">
        <f t="shared" si="175"/>
        <v>135</v>
      </c>
      <c r="H650" s="1182">
        <f t="shared" si="175"/>
        <v>135</v>
      </c>
      <c r="I650" s="1182">
        <f t="shared" si="175"/>
        <v>135</v>
      </c>
      <c r="J650" s="1182">
        <f>1186/6</f>
        <v>197.66666666666666</v>
      </c>
      <c r="K650" s="1182">
        <f>1186/6</f>
        <v>197.66666666666666</v>
      </c>
      <c r="L650" s="1182">
        <f>1186/6</f>
        <v>197.66666666666666</v>
      </c>
      <c r="M650" s="1182">
        <f>1186/6</f>
        <v>197.66666666666666</v>
      </c>
      <c r="N650" s="1182">
        <f>1186/6</f>
        <v>197.66666666666666</v>
      </c>
      <c r="O650" s="1179">
        <f t="shared" si="174"/>
        <v>164.7777777777778</v>
      </c>
      <c r="P650" s="1180">
        <f>O644/M!$Q$14</f>
        <v>0</v>
      </c>
      <c r="Q650" s="1235"/>
      <c r="R650" s="1235"/>
      <c r="S650" s="1235"/>
      <c r="T650" s="1235"/>
      <c r="U650" s="1235"/>
      <c r="V650" s="1235"/>
      <c r="W650" s="1235"/>
    </row>
    <row r="651" spans="1:23">
      <c r="A651" s="2218"/>
      <c r="B651" s="1176" t="s">
        <v>454</v>
      </c>
      <c r="C651" s="1178">
        <v>0</v>
      </c>
      <c r="D651" s="1178">
        <v>0</v>
      </c>
      <c r="E651" s="1178">
        <v>0</v>
      </c>
      <c r="F651" s="1178">
        <v>0</v>
      </c>
      <c r="G651" s="1178">
        <v>200</v>
      </c>
      <c r="H651" s="1178">
        <v>444</v>
      </c>
      <c r="I651" s="1178">
        <f xml:space="preserve"> 221+560</f>
        <v>781</v>
      </c>
      <c r="J651" s="1178">
        <v>0</v>
      </c>
      <c r="K651" s="1178">
        <v>0</v>
      </c>
      <c r="L651" s="1178">
        <v>0</v>
      </c>
      <c r="M651" s="1178">
        <v>0</v>
      </c>
      <c r="N651" s="1178">
        <v>50</v>
      </c>
      <c r="O651" s="1179">
        <f t="shared" si="174"/>
        <v>122.91666666666667</v>
      </c>
      <c r="P651" s="1180">
        <f>O645/M!$Q$14</f>
        <v>0</v>
      </c>
      <c r="Q651" s="1235"/>
      <c r="R651" s="1235"/>
      <c r="S651" s="1235"/>
      <c r="T651" s="1235"/>
      <c r="U651" s="1235"/>
      <c r="V651" s="1235"/>
      <c r="W651" s="1235"/>
    </row>
    <row r="652" spans="1:23">
      <c r="A652" s="2218"/>
      <c r="B652" s="1176" t="s">
        <v>407</v>
      </c>
      <c r="C652" s="1178">
        <v>0</v>
      </c>
      <c r="D652" s="1178">
        <v>0</v>
      </c>
      <c r="E652" s="1182">
        <v>1621</v>
      </c>
      <c r="F652" s="1178">
        <v>0</v>
      </c>
      <c r="G652" s="1178">
        <v>0</v>
      </c>
      <c r="H652" s="1178">
        <v>0</v>
      </c>
      <c r="I652" s="1178">
        <v>0</v>
      </c>
      <c r="J652" s="1178">
        <v>0</v>
      </c>
      <c r="K652" s="1178">
        <v>333</v>
      </c>
      <c r="L652" s="1178">
        <v>0</v>
      </c>
      <c r="M652" s="1178">
        <v>0</v>
      </c>
      <c r="N652" s="1178">
        <v>0</v>
      </c>
      <c r="O652" s="1179">
        <f t="shared" si="174"/>
        <v>162.83333333333334</v>
      </c>
      <c r="P652" s="1180">
        <f>O646/M!$Q$14</f>
        <v>2.802303119523833E-3</v>
      </c>
      <c r="Q652" s="1235"/>
      <c r="R652" s="1235"/>
      <c r="S652" s="1235"/>
      <c r="T652" s="1235"/>
      <c r="U652" s="1235"/>
      <c r="V652" s="1235"/>
      <c r="W652" s="1235"/>
    </row>
    <row r="653" spans="1:23">
      <c r="A653" s="2218"/>
      <c r="B653" s="1176" t="s">
        <v>408</v>
      </c>
      <c r="C653" s="1178">
        <v>97</v>
      </c>
      <c r="D653" s="1178">
        <v>97</v>
      </c>
      <c r="E653" s="1178">
        <v>97</v>
      </c>
      <c r="F653" s="1178">
        <v>97</v>
      </c>
      <c r="G653" s="1178">
        <v>97</v>
      </c>
      <c r="H653" s="1178">
        <v>97</v>
      </c>
      <c r="I653" s="1178">
        <v>97</v>
      </c>
      <c r="J653" s="1178">
        <v>97</v>
      </c>
      <c r="K653" s="1178">
        <v>97</v>
      </c>
      <c r="L653" s="1178">
        <v>97</v>
      </c>
      <c r="M653" s="1178">
        <v>97</v>
      </c>
      <c r="N653" s="1178">
        <v>108</v>
      </c>
      <c r="O653" s="1179">
        <f t="shared" si="174"/>
        <v>97.916666666666671</v>
      </c>
      <c r="P653" s="2205">
        <f>O647/M!$Q$14</f>
        <v>0.12124880590750407</v>
      </c>
      <c r="Q653" s="1235"/>
      <c r="R653" s="1235"/>
      <c r="S653" s="1235"/>
      <c r="T653" s="1235"/>
      <c r="U653" s="1235"/>
      <c r="V653" s="1235"/>
      <c r="W653" s="1235"/>
    </row>
    <row r="654" spans="1:23">
      <c r="A654" s="2219"/>
      <c r="B654" s="1176" t="s">
        <v>409</v>
      </c>
      <c r="C654" s="1178">
        <v>0</v>
      </c>
      <c r="D654" s="1178">
        <v>0</v>
      </c>
      <c r="E654" s="1178">
        <v>0</v>
      </c>
      <c r="F654" s="1178">
        <v>0</v>
      </c>
      <c r="G654" s="1178">
        <v>45</v>
      </c>
      <c r="H654" s="1178">
        <v>50</v>
      </c>
      <c r="I654" s="1178">
        <v>0</v>
      </c>
      <c r="J654" s="1178">
        <v>0</v>
      </c>
      <c r="K654" s="1178">
        <v>0</v>
      </c>
      <c r="L654" s="1178">
        <v>44</v>
      </c>
      <c r="M654" s="1178">
        <v>155</v>
      </c>
      <c r="N654" s="1178">
        <v>10</v>
      </c>
      <c r="O654" s="1179">
        <f t="shared" si="174"/>
        <v>25.333333333333332</v>
      </c>
      <c r="P654" s="2206"/>
      <c r="Q654" s="1235"/>
      <c r="R654" s="1235"/>
      <c r="S654" s="1235"/>
      <c r="T654" s="1235"/>
      <c r="U654" s="1235"/>
      <c r="V654" s="1235"/>
      <c r="W654" s="1235"/>
    </row>
    <row r="655" spans="1:23">
      <c r="A655" s="2191" t="s">
        <v>277</v>
      </c>
      <c r="B655" s="2192"/>
      <c r="C655" s="2203">
        <f t="shared" ref="C655:N655" si="176">SUM(C657:C660)</f>
        <v>534</v>
      </c>
      <c r="D655" s="2203">
        <f t="shared" si="176"/>
        <v>562</v>
      </c>
      <c r="E655" s="2203">
        <f t="shared" si="176"/>
        <v>666</v>
      </c>
      <c r="F655" s="2203">
        <f t="shared" si="176"/>
        <v>429</v>
      </c>
      <c r="G655" s="2203">
        <f t="shared" si="176"/>
        <v>563</v>
      </c>
      <c r="H655" s="2203">
        <f t="shared" si="176"/>
        <v>683</v>
      </c>
      <c r="I655" s="2203">
        <f t="shared" si="176"/>
        <v>529</v>
      </c>
      <c r="J655" s="2203">
        <f t="shared" si="176"/>
        <v>557</v>
      </c>
      <c r="K655" s="2203">
        <f t="shared" si="176"/>
        <v>943</v>
      </c>
      <c r="L655" s="2203">
        <f t="shared" si="176"/>
        <v>607</v>
      </c>
      <c r="M655" s="2203">
        <f t="shared" si="176"/>
        <v>502</v>
      </c>
      <c r="N655" s="2203">
        <f t="shared" si="176"/>
        <v>682</v>
      </c>
      <c r="O655" s="2203">
        <f>SUM(O657:O660)</f>
        <v>604.75000000000011</v>
      </c>
      <c r="P655" s="1180">
        <f>O649/M!$Q$14</f>
        <v>6.9796029696940265E-2</v>
      </c>
      <c r="Q655" s="1235"/>
      <c r="R655" s="1235"/>
      <c r="S655" s="1235"/>
      <c r="T655" s="1235"/>
      <c r="U655" s="1235"/>
      <c r="V655" s="1235"/>
      <c r="W655" s="1235"/>
    </row>
    <row r="656" spans="1:23">
      <c r="A656" s="2193"/>
      <c r="B656" s="2194"/>
      <c r="C656" s="2204"/>
      <c r="D656" s="2204"/>
      <c r="E656" s="2204"/>
      <c r="F656" s="2204"/>
      <c r="G656" s="2204"/>
      <c r="H656" s="2204"/>
      <c r="I656" s="2204"/>
      <c r="J656" s="2204"/>
      <c r="K656" s="2204"/>
      <c r="L656" s="2204"/>
      <c r="M656" s="2204"/>
      <c r="N656" s="2204"/>
      <c r="O656" s="2204"/>
      <c r="P656" s="1180">
        <f>O650/M!$Q$14</f>
        <v>1.4776232982235892E-2</v>
      </c>
      <c r="Q656" s="1235"/>
      <c r="R656" s="1235"/>
      <c r="S656" s="1235"/>
      <c r="T656" s="1235"/>
      <c r="U656" s="1235"/>
      <c r="V656" s="1235"/>
      <c r="W656" s="1235"/>
    </row>
    <row r="657" spans="1:23">
      <c r="A657" s="2217"/>
      <c r="B657" s="1176" t="s">
        <v>410</v>
      </c>
      <c r="C657" s="1177">
        <v>115</v>
      </c>
      <c r="D657" s="1177">
        <v>92</v>
      </c>
      <c r="E657" s="1177">
        <v>247</v>
      </c>
      <c r="F657" s="1177">
        <v>108</v>
      </c>
      <c r="G657" s="1177">
        <v>184</v>
      </c>
      <c r="H657" s="1177">
        <v>348</v>
      </c>
      <c r="I657" s="1178">
        <v>167</v>
      </c>
      <c r="J657" s="1178">
        <v>209</v>
      </c>
      <c r="K657" s="1178">
        <v>130</v>
      </c>
      <c r="L657" s="1178">
        <v>273</v>
      </c>
      <c r="M657" s="1178">
        <v>189</v>
      </c>
      <c r="N657" s="1178">
        <v>223</v>
      </c>
      <c r="O657" s="1179">
        <f>SUM(C657:N657)/12</f>
        <v>190.41666666666666</v>
      </c>
      <c r="P657" s="1180">
        <f>O651/M!$Q$14</f>
        <v>1.1022392270127076E-2</v>
      </c>
      <c r="Q657" s="1235"/>
      <c r="R657" s="1235"/>
      <c r="S657" s="1235"/>
      <c r="T657" s="1235"/>
      <c r="U657" s="1235"/>
      <c r="V657" s="1235"/>
      <c r="W657" s="1235"/>
    </row>
    <row r="658" spans="1:23">
      <c r="A658" s="2218"/>
      <c r="B658" s="1176" t="s">
        <v>457</v>
      </c>
      <c r="C658" s="1177">
        <v>309</v>
      </c>
      <c r="D658" s="1177">
        <v>309</v>
      </c>
      <c r="E658" s="1177">
        <v>309</v>
      </c>
      <c r="F658" s="1177">
        <v>309</v>
      </c>
      <c r="G658" s="1177">
        <v>339</v>
      </c>
      <c r="H658" s="1177">
        <v>309</v>
      </c>
      <c r="I658" s="1177">
        <v>309</v>
      </c>
      <c r="J658" s="1177">
        <v>309</v>
      </c>
      <c r="K658" s="1177">
        <f xml:space="preserve"> 309 + 494</f>
        <v>803</v>
      </c>
      <c r="L658" s="1177">
        <v>309</v>
      </c>
      <c r="M658" s="1177">
        <v>309</v>
      </c>
      <c r="N658" s="1177">
        <f>309 + 150</f>
        <v>459</v>
      </c>
      <c r="O658" s="1179">
        <f>SUM(C658:N658)/12</f>
        <v>365.16666666666669</v>
      </c>
      <c r="P658" s="1180">
        <f>O652/M!$Q$14</f>
        <v>1.4601867454798852E-2</v>
      </c>
      <c r="Q658" s="1235"/>
      <c r="R658" s="1235"/>
      <c r="S658" s="1235"/>
      <c r="T658" s="1235"/>
      <c r="U658" s="1235"/>
      <c r="V658" s="1235"/>
      <c r="W658" s="1235"/>
    </row>
    <row r="659" spans="1:23">
      <c r="A659" s="2218"/>
      <c r="B659" s="1176" t="s">
        <v>458</v>
      </c>
      <c r="C659" s="1177">
        <v>110</v>
      </c>
      <c r="D659" s="1177">
        <v>161</v>
      </c>
      <c r="E659" s="1177">
        <v>110</v>
      </c>
      <c r="F659" s="1177">
        <v>12</v>
      </c>
      <c r="G659" s="1177">
        <v>40</v>
      </c>
      <c r="H659" s="1177">
        <v>26</v>
      </c>
      <c r="I659" s="1177">
        <v>53</v>
      </c>
      <c r="J659" s="1177">
        <v>39</v>
      </c>
      <c r="K659" s="1177">
        <v>10</v>
      </c>
      <c r="L659" s="1177">
        <v>0</v>
      </c>
      <c r="M659" s="1177">
        <v>4</v>
      </c>
      <c r="N659" s="1177">
        <v>0</v>
      </c>
      <c r="O659" s="1179">
        <f>SUM(C659:N659)/12</f>
        <v>47.083333333333336</v>
      </c>
      <c r="P659" s="1180">
        <f>O653/M!$Q$14</f>
        <v>8.7805497745080101E-3</v>
      </c>
      <c r="Q659" s="1235"/>
      <c r="R659" s="1235"/>
      <c r="S659" s="1235"/>
      <c r="T659" s="1235"/>
      <c r="U659" s="1235"/>
      <c r="V659" s="1235"/>
      <c r="W659" s="1235"/>
    </row>
    <row r="660" spans="1:23">
      <c r="A660" s="2219"/>
      <c r="B660" s="1176" t="s">
        <v>459</v>
      </c>
      <c r="C660" s="1177">
        <v>0</v>
      </c>
      <c r="D660" s="1177">
        <v>0</v>
      </c>
      <c r="E660" s="1177">
        <v>0</v>
      </c>
      <c r="F660" s="1177">
        <v>0</v>
      </c>
      <c r="G660" s="1177">
        <v>0</v>
      </c>
      <c r="H660" s="1177">
        <v>0</v>
      </c>
      <c r="I660" s="1178">
        <v>0</v>
      </c>
      <c r="J660" s="1178">
        <v>0</v>
      </c>
      <c r="K660" s="1178">
        <v>0</v>
      </c>
      <c r="L660" s="1178">
        <v>25</v>
      </c>
      <c r="M660" s="1178">
        <v>0</v>
      </c>
      <c r="N660" s="1178">
        <v>0</v>
      </c>
      <c r="O660" s="1179">
        <f>SUM(C660:N660)/12</f>
        <v>2.0833333333333335</v>
      </c>
      <c r="P660" s="1180">
        <f>O654/M!$Q$14</f>
        <v>2.271733728893987E-3</v>
      </c>
      <c r="Q660" s="1235"/>
      <c r="R660" s="1235"/>
      <c r="S660" s="1235"/>
      <c r="T660" s="1235"/>
      <c r="U660" s="1235"/>
      <c r="V660" s="1235"/>
      <c r="W660" s="1235"/>
    </row>
    <row r="661" spans="1:23">
      <c r="A661" s="2191" t="s">
        <v>278</v>
      </c>
      <c r="B661" s="2192"/>
      <c r="C661" s="2203">
        <f t="shared" ref="C661:J661" si="177">SUM(C663:C664)</f>
        <v>853</v>
      </c>
      <c r="D661" s="2203">
        <f t="shared" si="177"/>
        <v>788</v>
      </c>
      <c r="E661" s="2203">
        <f t="shared" si="177"/>
        <v>787</v>
      </c>
      <c r="F661" s="2203">
        <f t="shared" si="177"/>
        <v>1128</v>
      </c>
      <c r="G661" s="2203">
        <f t="shared" si="177"/>
        <v>737</v>
      </c>
      <c r="H661" s="2203">
        <f t="shared" si="177"/>
        <v>927</v>
      </c>
      <c r="I661" s="2203">
        <f t="shared" si="177"/>
        <v>1142</v>
      </c>
      <c r="J661" s="2203">
        <f t="shared" si="177"/>
        <v>1025</v>
      </c>
      <c r="K661" s="2203">
        <f>SUM(K663:K664)</f>
        <v>912</v>
      </c>
      <c r="L661" s="2203">
        <f>SUM(L663:L664)</f>
        <v>536</v>
      </c>
      <c r="M661" s="2203">
        <f>SUM(M663:M664)</f>
        <v>796</v>
      </c>
      <c r="N661" s="2203">
        <f>SUM(N663:N664)</f>
        <v>1000</v>
      </c>
      <c r="O661" s="2203">
        <f>SUM(O663:O664)</f>
        <v>885.91666666666674</v>
      </c>
      <c r="P661" s="2205">
        <f>O655/M!$Q$14</f>
        <v>5.4230169969025223E-2</v>
      </c>
      <c r="Q661" s="1235"/>
      <c r="R661" s="1235"/>
      <c r="S661" s="1235"/>
      <c r="T661" s="1235"/>
      <c r="U661" s="1235"/>
      <c r="V661" s="1235"/>
      <c r="W661" s="1235"/>
    </row>
    <row r="662" spans="1:23">
      <c r="A662" s="2193"/>
      <c r="B662" s="2194"/>
      <c r="C662" s="2204"/>
      <c r="D662" s="2204"/>
      <c r="E662" s="2204"/>
      <c r="F662" s="2204"/>
      <c r="G662" s="2204"/>
      <c r="H662" s="2204"/>
      <c r="I662" s="2204"/>
      <c r="J662" s="2204"/>
      <c r="K662" s="2204"/>
      <c r="L662" s="2204"/>
      <c r="M662" s="2204"/>
      <c r="N662" s="2204"/>
      <c r="O662" s="2204"/>
      <c r="P662" s="2206"/>
      <c r="Q662" s="1235"/>
      <c r="R662" s="1235"/>
      <c r="S662" s="1235"/>
      <c r="T662" s="1235"/>
      <c r="U662" s="1235"/>
      <c r="V662" s="1235"/>
      <c r="W662" s="1235"/>
    </row>
    <row r="663" spans="1:23">
      <c r="A663" s="2217"/>
      <c r="B663" s="1176" t="s">
        <v>414</v>
      </c>
      <c r="C663" s="1182">
        <v>773</v>
      </c>
      <c r="D663" s="1182">
        <v>788</v>
      </c>
      <c r="E663" s="1182">
        <v>782</v>
      </c>
      <c r="F663" s="1182">
        <v>1048</v>
      </c>
      <c r="G663" s="1182">
        <v>657</v>
      </c>
      <c r="H663" s="1182">
        <v>741</v>
      </c>
      <c r="I663" s="1182">
        <v>1112</v>
      </c>
      <c r="J663" s="1178">
        <v>975</v>
      </c>
      <c r="K663" s="1182">
        <v>579</v>
      </c>
      <c r="L663" s="1182">
        <v>536</v>
      </c>
      <c r="M663" s="1182">
        <v>785</v>
      </c>
      <c r="N663" s="1182">
        <v>873</v>
      </c>
      <c r="O663" s="1179">
        <f>SUM(C663:N663)/12</f>
        <v>804.08333333333337</v>
      </c>
      <c r="P663" s="1180">
        <f>O657/M!$Q$14</f>
        <v>1.7075367008298554E-2</v>
      </c>
      <c r="Q663" s="1235"/>
      <c r="R663" s="1235"/>
      <c r="S663" s="1235"/>
      <c r="T663" s="1235"/>
      <c r="U663" s="1235"/>
      <c r="V663" s="1235"/>
      <c r="W663" s="1235"/>
    </row>
    <row r="664" spans="1:23">
      <c r="A664" s="2219"/>
      <c r="B664" s="1176" t="s">
        <v>278</v>
      </c>
      <c r="C664" s="1182">
        <v>80</v>
      </c>
      <c r="D664" s="1177">
        <v>0</v>
      </c>
      <c r="E664" s="1177">
        <v>5</v>
      </c>
      <c r="F664" s="1177">
        <v>80</v>
      </c>
      <c r="G664" s="1177">
        <v>80</v>
      </c>
      <c r="H664" s="1177">
        <v>186</v>
      </c>
      <c r="I664" s="1182">
        <v>30</v>
      </c>
      <c r="J664" s="1178">
        <v>50</v>
      </c>
      <c r="K664" s="1178">
        <v>333</v>
      </c>
      <c r="L664" s="1178">
        <v>0</v>
      </c>
      <c r="M664" s="1178">
        <v>11</v>
      </c>
      <c r="N664" s="1178">
        <v>127</v>
      </c>
      <c r="O664" s="1179">
        <f>SUM(C664:N664)/12</f>
        <v>81.833333333333329</v>
      </c>
      <c r="P664" s="1180">
        <f>O658/M!$Q$14</f>
        <v>3.2745846052675831E-2</v>
      </c>
      <c r="Q664" s="1235"/>
      <c r="R664" s="1235"/>
      <c r="S664" s="1235"/>
      <c r="T664" s="1235"/>
      <c r="U664" s="1235"/>
      <c r="V664" s="1235"/>
      <c r="W664" s="1235"/>
    </row>
    <row r="665" spans="1:23">
      <c r="A665" s="2191" t="s">
        <v>279</v>
      </c>
      <c r="B665" s="2192"/>
      <c r="C665" s="2203">
        <f t="shared" ref="C665:N665" si="178">SUM(C667:C674)</f>
        <v>464</v>
      </c>
      <c r="D665" s="2203">
        <f t="shared" si="178"/>
        <v>321</v>
      </c>
      <c r="E665" s="2203">
        <f t="shared" si="178"/>
        <v>321</v>
      </c>
      <c r="F665" s="2203">
        <f t="shared" si="178"/>
        <v>262</v>
      </c>
      <c r="G665" s="2203">
        <f t="shared" si="178"/>
        <v>285</v>
      </c>
      <c r="H665" s="2203">
        <f t="shared" si="178"/>
        <v>333</v>
      </c>
      <c r="I665" s="2203">
        <f t="shared" si="178"/>
        <v>372</v>
      </c>
      <c r="J665" s="2203">
        <f t="shared" si="178"/>
        <v>353</v>
      </c>
      <c r="K665" s="2203">
        <f t="shared" si="178"/>
        <v>316</v>
      </c>
      <c r="L665" s="2203">
        <f t="shared" si="178"/>
        <v>250</v>
      </c>
      <c r="M665" s="2203">
        <f t="shared" si="178"/>
        <v>326</v>
      </c>
      <c r="N665" s="2203">
        <f t="shared" si="178"/>
        <v>353</v>
      </c>
      <c r="O665" s="2203">
        <f>SUM(O667:O674)</f>
        <v>329.66666666666663</v>
      </c>
      <c r="P665" s="1180">
        <f>O659/M!$Q$14</f>
        <v>4.2221367000825748E-3</v>
      </c>
      <c r="Q665" s="1235"/>
      <c r="R665" s="1235"/>
      <c r="S665" s="1235"/>
      <c r="T665" s="1235"/>
      <c r="U665" s="1235"/>
      <c r="V665" s="1235"/>
      <c r="W665" s="1235"/>
    </row>
    <row r="666" spans="1:23">
      <c r="A666" s="2193"/>
      <c r="B666" s="2194"/>
      <c r="C666" s="2204"/>
      <c r="D666" s="2204"/>
      <c r="E666" s="2204"/>
      <c r="F666" s="2204"/>
      <c r="G666" s="2204"/>
      <c r="H666" s="2204"/>
      <c r="I666" s="2204"/>
      <c r="J666" s="2204"/>
      <c r="K666" s="2204"/>
      <c r="L666" s="2204"/>
      <c r="M666" s="2204"/>
      <c r="N666" s="2204"/>
      <c r="O666" s="2204"/>
      <c r="P666" s="1180">
        <f>O660/M!$Q$14</f>
        <v>1.8682020796825552E-4</v>
      </c>
      <c r="Q666" s="1235"/>
      <c r="R666" s="1235"/>
      <c r="S666" s="1235"/>
      <c r="T666" s="1235"/>
      <c r="U666" s="1235"/>
      <c r="V666" s="1235"/>
      <c r="W666" s="1235"/>
    </row>
    <row r="667" spans="1:23">
      <c r="A667" s="2217"/>
      <c r="B667" s="1176" t="s">
        <v>415</v>
      </c>
      <c r="C667" s="1182">
        <v>240</v>
      </c>
      <c r="D667" s="1182">
        <v>97</v>
      </c>
      <c r="E667" s="1182">
        <v>97</v>
      </c>
      <c r="F667" s="1182">
        <v>38</v>
      </c>
      <c r="G667" s="1182">
        <v>61</v>
      </c>
      <c r="H667" s="1182">
        <v>78</v>
      </c>
      <c r="I667" s="1182">
        <v>85</v>
      </c>
      <c r="J667" s="1182">
        <v>104</v>
      </c>
      <c r="K667" s="1182">
        <v>67</v>
      </c>
      <c r="L667" s="1177">
        <v>27</v>
      </c>
      <c r="M667" s="1182">
        <v>102</v>
      </c>
      <c r="N667" s="1182">
        <v>88</v>
      </c>
      <c r="O667" s="1179">
        <f t="shared" ref="O667:O674" si="179">SUM(C667:N667)/12</f>
        <v>90.333333333333329</v>
      </c>
      <c r="P667" s="2205">
        <f>O661/M!$Q$14</f>
        <v>7.9443425236420978E-2</v>
      </c>
      <c r="Q667" s="1235"/>
      <c r="R667" s="1235"/>
      <c r="S667" s="1235"/>
      <c r="T667" s="1235"/>
      <c r="U667" s="1235"/>
      <c r="V667" s="1235"/>
      <c r="W667" s="1235"/>
    </row>
    <row r="668" spans="1:23">
      <c r="A668" s="2218"/>
      <c r="B668" s="1176" t="s">
        <v>416</v>
      </c>
      <c r="C668" s="1182">
        <v>55</v>
      </c>
      <c r="D668" s="1182">
        <v>55</v>
      </c>
      <c r="E668" s="1182">
        <v>55</v>
      </c>
      <c r="F668" s="1182">
        <v>55</v>
      </c>
      <c r="G668" s="1182">
        <v>55</v>
      </c>
      <c r="H668" s="1182">
        <v>55</v>
      </c>
      <c r="I668" s="1182">
        <v>55</v>
      </c>
      <c r="J668" s="1182">
        <v>55</v>
      </c>
      <c r="K668" s="1182">
        <v>55</v>
      </c>
      <c r="L668" s="1182">
        <v>55</v>
      </c>
      <c r="M668" s="1182">
        <v>55</v>
      </c>
      <c r="N668" s="1182">
        <v>55</v>
      </c>
      <c r="O668" s="1179">
        <f t="shared" si="179"/>
        <v>55</v>
      </c>
      <c r="P668" s="2206"/>
      <c r="Q668" s="1235"/>
      <c r="R668" s="1235"/>
      <c r="S668" s="1235"/>
      <c r="T668" s="1235"/>
      <c r="U668" s="1235"/>
      <c r="V668" s="1235"/>
      <c r="W668" s="1235"/>
    </row>
    <row r="669" spans="1:23">
      <c r="A669" s="2218"/>
      <c r="B669" s="1176" t="s">
        <v>417</v>
      </c>
      <c r="C669" s="1182">
        <v>65</v>
      </c>
      <c r="D669" s="1182">
        <v>65</v>
      </c>
      <c r="E669" s="1182">
        <v>65</v>
      </c>
      <c r="F669" s="1182">
        <v>65</v>
      </c>
      <c r="G669" s="1182">
        <v>65</v>
      </c>
      <c r="H669" s="1182">
        <v>65</v>
      </c>
      <c r="I669" s="1182">
        <v>65</v>
      </c>
      <c r="J669" s="1182">
        <v>65</v>
      </c>
      <c r="K669" s="1182">
        <v>65</v>
      </c>
      <c r="L669" s="1182">
        <v>65</v>
      </c>
      <c r="M669" s="1182">
        <v>65</v>
      </c>
      <c r="N669" s="1182">
        <v>65</v>
      </c>
      <c r="O669" s="1179">
        <f t="shared" si="179"/>
        <v>65</v>
      </c>
      <c r="P669" s="1180">
        <f>O663/M!$Q$14</f>
        <v>7.2105127467427907E-2</v>
      </c>
      <c r="Q669" s="1235"/>
      <c r="R669" s="1235"/>
      <c r="S669" s="1235"/>
      <c r="T669" s="1235"/>
      <c r="U669" s="1235"/>
      <c r="V669" s="1235"/>
      <c r="W669" s="1235"/>
    </row>
    <row r="670" spans="1:23">
      <c r="A670" s="2218"/>
      <c r="B670" s="1176" t="s">
        <v>410</v>
      </c>
      <c r="C670" s="1182">
        <v>29</v>
      </c>
      <c r="D670" s="1182">
        <v>29</v>
      </c>
      <c r="E670" s="1182">
        <v>29</v>
      </c>
      <c r="F670" s="1182">
        <v>29</v>
      </c>
      <c r="G670" s="1182">
        <v>29</v>
      </c>
      <c r="H670" s="1182">
        <v>60</v>
      </c>
      <c r="I670" s="1182">
        <v>60</v>
      </c>
      <c r="J670" s="1182">
        <v>22</v>
      </c>
      <c r="K670" s="1182">
        <v>22</v>
      </c>
      <c r="L670" s="1182">
        <v>28</v>
      </c>
      <c r="M670" s="1182">
        <v>29</v>
      </c>
      <c r="N670" s="1182">
        <v>60</v>
      </c>
      <c r="O670" s="1179">
        <f t="shared" si="179"/>
        <v>35.5</v>
      </c>
      <c r="P670" s="1180">
        <f>O664/M!$Q$14</f>
        <v>7.3382977689930764E-3</v>
      </c>
      <c r="Q670" s="1235"/>
      <c r="R670" s="1235"/>
      <c r="S670" s="1235"/>
      <c r="T670" s="1235"/>
      <c r="U670" s="1235"/>
      <c r="V670" s="1235"/>
      <c r="W670" s="1235"/>
    </row>
    <row r="671" spans="1:23">
      <c r="A671" s="2218"/>
      <c r="B671" s="1176" t="s">
        <v>418</v>
      </c>
      <c r="C671" s="1182">
        <v>50</v>
      </c>
      <c r="D671" s="1182">
        <v>50</v>
      </c>
      <c r="E671" s="1182">
        <v>50</v>
      </c>
      <c r="F671" s="1182">
        <v>50</v>
      </c>
      <c r="G671" s="1182">
        <v>50</v>
      </c>
      <c r="H671" s="1182">
        <v>50</v>
      </c>
      <c r="I671" s="1182">
        <v>82</v>
      </c>
      <c r="J671" s="1182">
        <v>82</v>
      </c>
      <c r="K671" s="1182">
        <v>82</v>
      </c>
      <c r="L671" s="1182">
        <v>50</v>
      </c>
      <c r="M671" s="1182">
        <v>50</v>
      </c>
      <c r="N671" s="1182">
        <v>50</v>
      </c>
      <c r="O671" s="1179">
        <f t="shared" si="179"/>
        <v>58</v>
      </c>
      <c r="P671" s="2205">
        <f>O665/M!$Q$14</f>
        <v>2.9562429708896752E-2</v>
      </c>
      <c r="Q671" s="1235"/>
      <c r="R671" s="1235"/>
      <c r="S671" s="1235"/>
      <c r="T671" s="1235"/>
      <c r="U671" s="1235"/>
      <c r="V671" s="1235"/>
      <c r="W671" s="1235"/>
    </row>
    <row r="672" spans="1:23">
      <c r="A672" s="2218"/>
      <c r="B672" s="1176" t="s">
        <v>419</v>
      </c>
      <c r="C672" s="1182">
        <v>0</v>
      </c>
      <c r="D672" s="1182">
        <v>0</v>
      </c>
      <c r="E672" s="1182">
        <v>0</v>
      </c>
      <c r="F672" s="1182">
        <v>0</v>
      </c>
      <c r="G672" s="1182">
        <v>0</v>
      </c>
      <c r="H672" s="1182">
        <v>0</v>
      </c>
      <c r="I672" s="1182">
        <v>0</v>
      </c>
      <c r="J672" s="1182">
        <v>0</v>
      </c>
      <c r="K672" s="1182">
        <v>0</v>
      </c>
      <c r="L672" s="1182">
        <v>0</v>
      </c>
      <c r="M672" s="1182">
        <v>0</v>
      </c>
      <c r="N672" s="1182">
        <v>0</v>
      </c>
      <c r="O672" s="1179">
        <f t="shared" si="179"/>
        <v>0</v>
      </c>
      <c r="P672" s="2206"/>
      <c r="Q672" s="1235"/>
      <c r="R672" s="1235"/>
      <c r="S672" s="1235"/>
      <c r="T672" s="1235"/>
      <c r="U672" s="1235"/>
      <c r="V672" s="1235"/>
      <c r="W672" s="1235"/>
    </row>
    <row r="673" spans="1:23">
      <c r="A673" s="2218"/>
      <c r="B673" s="1176" t="s">
        <v>460</v>
      </c>
      <c r="C673" s="1182">
        <v>0</v>
      </c>
      <c r="D673" s="1182">
        <v>0</v>
      </c>
      <c r="E673" s="1182">
        <v>0</v>
      </c>
      <c r="F673" s="1182">
        <v>0</v>
      </c>
      <c r="G673" s="1182">
        <v>0</v>
      </c>
      <c r="H673" s="1182">
        <v>0</v>
      </c>
      <c r="I673" s="1182">
        <v>0</v>
      </c>
      <c r="J673" s="1182">
        <v>0</v>
      </c>
      <c r="K673" s="1182">
        <v>0</v>
      </c>
      <c r="L673" s="1182">
        <v>0</v>
      </c>
      <c r="M673" s="1182">
        <v>0</v>
      </c>
      <c r="N673" s="1182">
        <v>10</v>
      </c>
      <c r="O673" s="1179">
        <f t="shared" si="179"/>
        <v>0.83333333333333337</v>
      </c>
      <c r="P673" s="1180">
        <f>O667/M!$Q$14</f>
        <v>8.1005242175035581E-3</v>
      </c>
      <c r="Q673" s="1235"/>
      <c r="R673" s="1235"/>
      <c r="S673" s="1235"/>
      <c r="T673" s="1235"/>
      <c r="U673" s="1235"/>
      <c r="V673" s="1235"/>
      <c r="W673" s="1235"/>
    </row>
    <row r="674" spans="1:23">
      <c r="A674" s="2219"/>
      <c r="B674" s="1176" t="s">
        <v>421</v>
      </c>
      <c r="C674" s="1182">
        <v>25</v>
      </c>
      <c r="D674" s="1182">
        <v>25</v>
      </c>
      <c r="E674" s="1182">
        <v>25</v>
      </c>
      <c r="F674" s="1182">
        <v>25</v>
      </c>
      <c r="G674" s="1182">
        <v>25</v>
      </c>
      <c r="H674" s="1182">
        <v>25</v>
      </c>
      <c r="I674" s="1182">
        <v>25</v>
      </c>
      <c r="J674" s="1182">
        <v>25</v>
      </c>
      <c r="K674" s="1182">
        <v>25</v>
      </c>
      <c r="L674" s="1182">
        <v>25</v>
      </c>
      <c r="M674" s="1182">
        <v>25</v>
      </c>
      <c r="N674" s="1182">
        <v>25</v>
      </c>
      <c r="O674" s="1179">
        <f t="shared" si="179"/>
        <v>25</v>
      </c>
      <c r="P674" s="1180">
        <f>O668/M!$Q$14</f>
        <v>4.932053490361946E-3</v>
      </c>
      <c r="Q674" s="1235"/>
      <c r="R674" s="1235"/>
      <c r="S674" s="1235"/>
      <c r="T674" s="1235"/>
      <c r="U674" s="1235"/>
      <c r="V674" s="1235"/>
      <c r="W674" s="1235"/>
    </row>
    <row r="675" spans="1:23">
      <c r="A675" s="2191" t="s">
        <v>280</v>
      </c>
      <c r="B675" s="2192"/>
      <c r="C675" s="2203">
        <f t="shared" ref="C675:O675" si="180">SUM(C677:C683)</f>
        <v>728</v>
      </c>
      <c r="D675" s="2203">
        <f t="shared" si="180"/>
        <v>899</v>
      </c>
      <c r="E675" s="2203">
        <f t="shared" si="180"/>
        <v>342</v>
      </c>
      <c r="F675" s="2203">
        <f t="shared" si="180"/>
        <v>630</v>
      </c>
      <c r="G675" s="2203">
        <f t="shared" si="180"/>
        <v>1294</v>
      </c>
      <c r="H675" s="2203">
        <f t="shared" si="180"/>
        <v>1470</v>
      </c>
      <c r="I675" s="2203">
        <f t="shared" si="180"/>
        <v>1843</v>
      </c>
      <c r="J675" s="2203">
        <f t="shared" si="180"/>
        <v>554</v>
      </c>
      <c r="K675" s="2203">
        <f t="shared" si="180"/>
        <v>4895</v>
      </c>
      <c r="L675" s="2203">
        <f t="shared" si="180"/>
        <v>765</v>
      </c>
      <c r="M675" s="2203">
        <f t="shared" si="180"/>
        <v>1236</v>
      </c>
      <c r="N675" s="2203">
        <f t="shared" si="180"/>
        <v>1063</v>
      </c>
      <c r="O675" s="2203">
        <f t="shared" si="180"/>
        <v>1309.9166666666665</v>
      </c>
      <c r="P675" s="1180">
        <f>O669/M!$Q$14</f>
        <v>5.8287904886095724E-3</v>
      </c>
      <c r="Q675" s="1235"/>
      <c r="R675" s="1235"/>
      <c r="S675" s="1235"/>
      <c r="T675" s="1235"/>
      <c r="U675" s="1235"/>
      <c r="V675" s="1235"/>
      <c r="W675" s="1235"/>
    </row>
    <row r="676" spans="1:23">
      <c r="A676" s="2193"/>
      <c r="B676" s="2194"/>
      <c r="C676" s="2204"/>
      <c r="D676" s="2204"/>
      <c r="E676" s="2204"/>
      <c r="F676" s="2204"/>
      <c r="G676" s="2204"/>
      <c r="H676" s="2204"/>
      <c r="I676" s="2204"/>
      <c r="J676" s="2204"/>
      <c r="K676" s="2204"/>
      <c r="L676" s="2204"/>
      <c r="M676" s="2204"/>
      <c r="N676" s="2204"/>
      <c r="O676" s="2204"/>
      <c r="P676" s="1180">
        <f>O670/M!$Q$14</f>
        <v>3.1834163437790739E-3</v>
      </c>
      <c r="Q676" s="1235"/>
      <c r="R676" s="1235"/>
      <c r="S676" s="1235"/>
      <c r="T676" s="1235"/>
      <c r="U676" s="1235"/>
      <c r="V676" s="1235"/>
      <c r="W676" s="1235"/>
    </row>
    <row r="677" spans="1:23">
      <c r="A677" s="2217"/>
      <c r="B677" s="1176" t="s">
        <v>714</v>
      </c>
      <c r="C677" s="1177">
        <v>127</v>
      </c>
      <c r="D677" s="1177">
        <v>141</v>
      </c>
      <c r="E677" s="1177">
        <v>47</v>
      </c>
      <c r="F677" s="1177">
        <v>142</v>
      </c>
      <c r="G677" s="1177">
        <v>126</v>
      </c>
      <c r="H677" s="1177">
        <v>273</v>
      </c>
      <c r="I677" s="1177">
        <v>66</v>
      </c>
      <c r="J677" s="1177">
        <v>52</v>
      </c>
      <c r="K677" s="1177">
        <v>134</v>
      </c>
      <c r="L677" s="1177">
        <v>160</v>
      </c>
      <c r="M677" s="1177">
        <v>373</v>
      </c>
      <c r="N677" s="1177">
        <v>206</v>
      </c>
      <c r="O677" s="1179">
        <f t="shared" ref="O677:O683" si="181">SUM(C677:N677)/12</f>
        <v>153.91666666666666</v>
      </c>
      <c r="P677" s="1180">
        <f>O671/M!$Q$14</f>
        <v>5.2010745898362336E-3</v>
      </c>
      <c r="Q677" s="1235"/>
      <c r="R677" s="1235"/>
      <c r="S677" s="1235"/>
      <c r="T677" s="1235"/>
      <c r="U677" s="1235"/>
      <c r="V677" s="1235"/>
      <c r="W677" s="1235"/>
    </row>
    <row r="678" spans="1:23">
      <c r="A678" s="2218"/>
      <c r="B678" s="1176" t="s">
        <v>423</v>
      </c>
      <c r="C678" s="1177">
        <v>332</v>
      </c>
      <c r="D678" s="1177">
        <v>130</v>
      </c>
      <c r="E678" s="1177">
        <v>99</v>
      </c>
      <c r="F678" s="1177">
        <v>154</v>
      </c>
      <c r="G678" s="1177">
        <v>92</v>
      </c>
      <c r="H678" s="1177">
        <v>97</v>
      </c>
      <c r="I678" s="1177">
        <v>207</v>
      </c>
      <c r="J678" s="1177">
        <v>250</v>
      </c>
      <c r="K678" s="1177">
        <v>302</v>
      </c>
      <c r="L678" s="1177">
        <v>62</v>
      </c>
      <c r="M678" s="1177">
        <v>0</v>
      </c>
      <c r="N678" s="1177">
        <v>442</v>
      </c>
      <c r="O678" s="1179">
        <f t="shared" si="181"/>
        <v>180.58333333333334</v>
      </c>
      <c r="P678" s="1180">
        <f>O672/M!$Q$14</f>
        <v>0</v>
      </c>
      <c r="Q678" s="1235"/>
      <c r="R678" s="1235"/>
      <c r="S678" s="1235"/>
      <c r="T678" s="1235"/>
      <c r="U678" s="1235"/>
      <c r="V678" s="1235"/>
      <c r="W678" s="1235"/>
    </row>
    <row r="679" spans="1:23">
      <c r="A679" s="2218"/>
      <c r="B679" s="1176" t="s">
        <v>424</v>
      </c>
      <c r="C679" s="1177">
        <v>0</v>
      </c>
      <c r="D679" s="1177">
        <v>0</v>
      </c>
      <c r="E679" s="1177">
        <v>0</v>
      </c>
      <c r="F679" s="1177">
        <v>0</v>
      </c>
      <c r="G679" s="1177">
        <v>0</v>
      </c>
      <c r="H679" s="1177">
        <v>0</v>
      </c>
      <c r="I679" s="1177">
        <v>0</v>
      </c>
      <c r="J679" s="1177">
        <v>0</v>
      </c>
      <c r="K679" s="1177">
        <v>0</v>
      </c>
      <c r="L679" s="1177">
        <v>0</v>
      </c>
      <c r="M679" s="1177">
        <v>0</v>
      </c>
      <c r="N679" s="1177">
        <v>0</v>
      </c>
      <c r="O679" s="1179">
        <f t="shared" si="181"/>
        <v>0</v>
      </c>
      <c r="P679" s="1180">
        <f>O673/M!$Q$14</f>
        <v>7.4728083187302214E-5</v>
      </c>
      <c r="Q679" s="1235"/>
      <c r="R679" s="1235"/>
      <c r="S679" s="1235"/>
      <c r="T679" s="1235"/>
      <c r="U679" s="1235"/>
      <c r="V679" s="1235"/>
      <c r="W679" s="1235"/>
    </row>
    <row r="680" spans="1:23">
      <c r="A680" s="2218"/>
      <c r="B680" s="1176" t="s">
        <v>425</v>
      </c>
      <c r="C680" s="1177">
        <v>33</v>
      </c>
      <c r="D680" s="1177">
        <v>117</v>
      </c>
      <c r="E680" s="1177">
        <v>22</v>
      </c>
      <c r="F680" s="1177">
        <v>0</v>
      </c>
      <c r="G680" s="1177">
        <v>0</v>
      </c>
      <c r="H680" s="1177">
        <v>0</v>
      </c>
      <c r="I680" s="1177">
        <v>75</v>
      </c>
      <c r="J680" s="1177">
        <v>0</v>
      </c>
      <c r="K680" s="1177">
        <v>20</v>
      </c>
      <c r="L680" s="1177">
        <v>151</v>
      </c>
      <c r="M680" s="1177">
        <v>338</v>
      </c>
      <c r="N680" s="1177">
        <v>0</v>
      </c>
      <c r="O680" s="1179">
        <f t="shared" si="181"/>
        <v>63</v>
      </c>
      <c r="P680" s="1180">
        <f>O674/M!$Q$14</f>
        <v>2.2418424956190662E-3</v>
      </c>
      <c r="Q680" s="1235"/>
      <c r="R680" s="1235"/>
      <c r="S680" s="1235"/>
      <c r="T680" s="1235"/>
      <c r="U680" s="1235"/>
      <c r="V680" s="1235"/>
      <c r="W680" s="1235"/>
    </row>
    <row r="681" spans="1:23">
      <c r="A681" s="2218"/>
      <c r="B681" s="1176" t="s">
        <v>667</v>
      </c>
      <c r="C681" s="1177">
        <f xml:space="preserve"> 141</f>
        <v>141</v>
      </c>
      <c r="D681" s="1177">
        <f>1332 - 941</f>
        <v>391</v>
      </c>
      <c r="E681" s="1177">
        <v>33</v>
      </c>
      <c r="F681" s="1177">
        <v>55</v>
      </c>
      <c r="G681" s="1177">
        <v>581</v>
      </c>
      <c r="H681" s="1177">
        <v>254</v>
      </c>
      <c r="I681" s="1177">
        <v>1400</v>
      </c>
      <c r="J681" s="1177">
        <v>157</v>
      </c>
      <c r="K681" s="1177">
        <v>20</v>
      </c>
      <c r="L681" s="1177">
        <v>10</v>
      </c>
      <c r="M681" s="1177">
        <v>72</v>
      </c>
      <c r="N681" s="1177">
        <v>150</v>
      </c>
      <c r="O681" s="1179">
        <f t="shared" si="181"/>
        <v>272</v>
      </c>
      <c r="P681" s="2205">
        <f>O675/M!$Q$14</f>
        <v>0.11746507396212033</v>
      </c>
      <c r="Q681" s="1235"/>
      <c r="R681" s="1235"/>
      <c r="S681" s="1235"/>
      <c r="T681" s="1235"/>
      <c r="U681" s="1235"/>
      <c r="V681" s="1235"/>
      <c r="W681" s="1235"/>
    </row>
    <row r="682" spans="1:23">
      <c r="A682" s="2218"/>
      <c r="B682" s="1176" t="s">
        <v>427</v>
      </c>
      <c r="C682" s="1177">
        <v>95</v>
      </c>
      <c r="D682" s="1177">
        <v>95</v>
      </c>
      <c r="E682" s="1177">
        <v>95</v>
      </c>
      <c r="F682" s="1177">
        <v>95</v>
      </c>
      <c r="G682" s="1177">
        <v>95</v>
      </c>
      <c r="H682" s="1177">
        <v>95</v>
      </c>
      <c r="I682" s="1177">
        <v>95</v>
      </c>
      <c r="J682" s="1177">
        <v>95</v>
      </c>
      <c r="K682" s="1177">
        <v>95</v>
      </c>
      <c r="L682" s="1177">
        <v>95</v>
      </c>
      <c r="M682" s="1177">
        <v>95</v>
      </c>
      <c r="N682" s="1177">
        <v>95</v>
      </c>
      <c r="O682" s="1179">
        <f t="shared" si="181"/>
        <v>95</v>
      </c>
      <c r="P682" s="2206"/>
      <c r="Q682" s="1235"/>
      <c r="R682" s="1235"/>
      <c r="S682" s="1235"/>
      <c r="T682" s="1235"/>
      <c r="U682" s="1235"/>
      <c r="V682" s="1235"/>
      <c r="W682" s="1235"/>
    </row>
    <row r="683" spans="1:23">
      <c r="A683" s="2219"/>
      <c r="B683" s="1176" t="s">
        <v>381</v>
      </c>
      <c r="C683" s="1177">
        <v>0</v>
      </c>
      <c r="D683" s="1177">
        <v>25</v>
      </c>
      <c r="E683" s="1177">
        <v>46</v>
      </c>
      <c r="F683" s="1177">
        <v>184</v>
      </c>
      <c r="G683" s="1177">
        <v>400</v>
      </c>
      <c r="H683" s="1177">
        <v>751</v>
      </c>
      <c r="I683" s="1177">
        <v>0</v>
      </c>
      <c r="J683" s="1177">
        <v>0</v>
      </c>
      <c r="K683" s="1177">
        <v>4324</v>
      </c>
      <c r="L683" s="1177">
        <v>287</v>
      </c>
      <c r="M683" s="1177">
        <v>358</v>
      </c>
      <c r="N683" s="1177">
        <v>170</v>
      </c>
      <c r="O683" s="1179">
        <f t="shared" si="181"/>
        <v>545.41666666666663</v>
      </c>
      <c r="P683" s="1180">
        <f>O677/M!$Q$14</f>
        <v>1.3802276964694717E-2</v>
      </c>
      <c r="Q683" s="1235"/>
      <c r="R683" s="1235"/>
      <c r="S683" s="1235"/>
      <c r="T683" s="1235"/>
      <c r="U683" s="1235"/>
      <c r="V683" s="1235"/>
      <c r="W683" s="1235"/>
    </row>
    <row r="684" spans="1:23">
      <c r="A684" s="2191" t="s">
        <v>428</v>
      </c>
      <c r="B684" s="2192"/>
      <c r="C684" s="2203">
        <f>SUM(C686:C687)</f>
        <v>1790</v>
      </c>
      <c r="D684" s="2203">
        <f t="shared" ref="D684:N684" si="182">SUM(D686:D687)</f>
        <v>2693</v>
      </c>
      <c r="E684" s="2203">
        <f t="shared" si="182"/>
        <v>2303</v>
      </c>
      <c r="F684" s="2203">
        <f>SUM(F686:F687)</f>
        <v>2253</v>
      </c>
      <c r="G684" s="2203">
        <f t="shared" si="182"/>
        <v>2123</v>
      </c>
      <c r="H684" s="2203">
        <f t="shared" si="182"/>
        <v>1850</v>
      </c>
      <c r="I684" s="2203">
        <f t="shared" si="182"/>
        <v>2143</v>
      </c>
      <c r="J684" s="2203">
        <f t="shared" si="182"/>
        <v>1790</v>
      </c>
      <c r="K684" s="2203">
        <f t="shared" si="182"/>
        <v>2937</v>
      </c>
      <c r="L684" s="2203">
        <f t="shared" si="182"/>
        <v>1790</v>
      </c>
      <c r="M684" s="2203">
        <f t="shared" si="182"/>
        <v>2326</v>
      </c>
      <c r="N684" s="2203">
        <f t="shared" si="182"/>
        <v>1790</v>
      </c>
      <c r="O684" s="2203">
        <f>SUM(O686:O687)</f>
        <v>2149</v>
      </c>
      <c r="P684" s="1180">
        <f>O678/M!$Q$14</f>
        <v>1.619357562668839E-2</v>
      </c>
      <c r="Q684" s="1235"/>
      <c r="R684" s="1235"/>
      <c r="S684" s="1235"/>
      <c r="T684" s="1235"/>
      <c r="U684" s="1235"/>
      <c r="V684" s="1235"/>
      <c r="W684" s="1235"/>
    </row>
    <row r="685" spans="1:23">
      <c r="A685" s="2193"/>
      <c r="B685" s="2194"/>
      <c r="C685" s="2204"/>
      <c r="D685" s="2204"/>
      <c r="E685" s="2204"/>
      <c r="F685" s="2204"/>
      <c r="G685" s="2204"/>
      <c r="H685" s="2204"/>
      <c r="I685" s="2204"/>
      <c r="J685" s="2204"/>
      <c r="K685" s="2204"/>
      <c r="L685" s="2204"/>
      <c r="M685" s="2204"/>
      <c r="N685" s="2204"/>
      <c r="O685" s="2204"/>
      <c r="P685" s="1180">
        <f>O679/M!$Q$14</f>
        <v>0</v>
      </c>
      <c r="Q685" s="1235"/>
      <c r="R685" s="1235"/>
      <c r="S685" s="1235"/>
      <c r="T685" s="1235"/>
      <c r="U685" s="1235"/>
      <c r="V685" s="1235"/>
      <c r="W685" s="1235"/>
    </row>
    <row r="686" spans="1:23">
      <c r="A686" s="2217"/>
      <c r="B686" s="1176" t="s">
        <v>429</v>
      </c>
      <c r="C686" s="1177">
        <f>295</f>
        <v>295</v>
      </c>
      <c r="D686" s="1177">
        <f>295+170+185+158+390</f>
        <v>1198</v>
      </c>
      <c r="E686" s="1177">
        <f>295+170+185+158</f>
        <v>808</v>
      </c>
      <c r="F686" s="1177">
        <f>295+185+148</f>
        <v>628</v>
      </c>
      <c r="G686" s="1177">
        <f>295+185+148</f>
        <v>628</v>
      </c>
      <c r="H686" s="1177">
        <f>295+60</f>
        <v>355</v>
      </c>
      <c r="I686" s="1177">
        <f>295</f>
        <v>295</v>
      </c>
      <c r="J686" s="1177">
        <v>295</v>
      </c>
      <c r="K686" s="1177">
        <f>295+1147</f>
        <v>1442</v>
      </c>
      <c r="L686" s="1177">
        <v>295</v>
      </c>
      <c r="M686" s="1177">
        <f xml:space="preserve"> 295 + 356 + 180</f>
        <v>831</v>
      </c>
      <c r="N686" s="1177">
        <v>295</v>
      </c>
      <c r="O686" s="1179">
        <f>SUM(C686:N686)/12</f>
        <v>613.75</v>
      </c>
      <c r="P686" s="1180">
        <f>O680/M!$Q$14</f>
        <v>5.6494430889600473E-3</v>
      </c>
      <c r="Q686" s="1235"/>
      <c r="R686" s="1235"/>
      <c r="S686" s="1235"/>
      <c r="T686" s="1235"/>
      <c r="U686" s="1235"/>
      <c r="V686" s="1235"/>
      <c r="W686" s="1235"/>
    </row>
    <row r="687" spans="1:23">
      <c r="A687" s="2218"/>
      <c r="B687" s="1176" t="s">
        <v>430</v>
      </c>
      <c r="C687" s="1177">
        <v>1495</v>
      </c>
      <c r="D687" s="1177">
        <v>1495</v>
      </c>
      <c r="E687" s="1177">
        <v>1495</v>
      </c>
      <c r="F687" s="1177">
        <f>1495 + 130</f>
        <v>1625</v>
      </c>
      <c r="G687" s="1177">
        <v>1495</v>
      </c>
      <c r="H687" s="1177">
        <v>1495</v>
      </c>
      <c r="I687" s="1177">
        <f>1848</f>
        <v>1848</v>
      </c>
      <c r="J687" s="1177">
        <v>1495</v>
      </c>
      <c r="K687" s="1177">
        <v>1495</v>
      </c>
      <c r="L687" s="1177">
        <v>1495</v>
      </c>
      <c r="M687" s="1177">
        <v>1495</v>
      </c>
      <c r="N687" s="1177">
        <v>1495</v>
      </c>
      <c r="O687" s="1179">
        <f>SUM(C687:N687)/12</f>
        <v>1535.25</v>
      </c>
      <c r="P687" s="1180">
        <f>O681/M!$Q$14</f>
        <v>2.439124635233544E-2</v>
      </c>
      <c r="Q687" s="1235"/>
      <c r="R687" s="1235"/>
      <c r="S687" s="1235"/>
      <c r="T687" s="1235"/>
      <c r="U687" s="1235"/>
      <c r="V687" s="1235"/>
      <c r="W687" s="1235"/>
    </row>
    <row r="688" spans="1:23">
      <c r="A688" s="2191" t="s">
        <v>668</v>
      </c>
      <c r="B688" s="2192"/>
      <c r="C688" s="2203">
        <f>SUM(C690:C693)</f>
        <v>415.16666666666669</v>
      </c>
      <c r="D688" s="2203">
        <f t="shared" ref="D688:N688" si="183">SUM(D690:D693)</f>
        <v>315.16666666666669</v>
      </c>
      <c r="E688" s="2203">
        <f t="shared" si="183"/>
        <v>315.16666666666669</v>
      </c>
      <c r="F688" s="2203">
        <f t="shared" si="183"/>
        <v>511.16666666666669</v>
      </c>
      <c r="G688" s="2203">
        <f t="shared" si="183"/>
        <v>387.16666666666669</v>
      </c>
      <c r="H688" s="2203">
        <f t="shared" si="183"/>
        <v>395.16666666666669</v>
      </c>
      <c r="I688" s="2203">
        <f t="shared" si="183"/>
        <v>355.16666666666669</v>
      </c>
      <c r="J688" s="2203">
        <f t="shared" si="183"/>
        <v>325.16666666666669</v>
      </c>
      <c r="K688" s="2203">
        <f t="shared" si="183"/>
        <v>315.16666666666669</v>
      </c>
      <c r="L688" s="2203">
        <f t="shared" si="183"/>
        <v>315.16666666666669</v>
      </c>
      <c r="M688" s="2203">
        <f t="shared" si="183"/>
        <v>315.16666666666669</v>
      </c>
      <c r="N688" s="2203">
        <f t="shared" si="183"/>
        <v>615.16666666666674</v>
      </c>
      <c r="O688" s="2203">
        <f>SUM(O690:O698)</f>
        <v>2264.5833333333335</v>
      </c>
      <c r="P688" s="1180">
        <f>O682/M!$Q$14</f>
        <v>8.5190014833524518E-3</v>
      </c>
      <c r="Q688" s="1235"/>
      <c r="R688" s="1235"/>
      <c r="S688" s="1235"/>
      <c r="T688" s="1235"/>
      <c r="U688" s="1235"/>
      <c r="V688" s="1235"/>
      <c r="W688" s="1235"/>
    </row>
    <row r="689" spans="1:23">
      <c r="A689" s="2193"/>
      <c r="B689" s="2194"/>
      <c r="C689" s="2204"/>
      <c r="D689" s="2204"/>
      <c r="E689" s="2204"/>
      <c r="F689" s="2204"/>
      <c r="G689" s="2204"/>
      <c r="H689" s="2204"/>
      <c r="I689" s="2204"/>
      <c r="J689" s="2204"/>
      <c r="K689" s="2204"/>
      <c r="L689" s="2204"/>
      <c r="M689" s="2204"/>
      <c r="N689" s="2204"/>
      <c r="O689" s="2204"/>
      <c r="P689" s="1180">
        <f>O683/M!$Q$14</f>
        <v>4.890953044608929E-2</v>
      </c>
      <c r="Q689" s="1235"/>
      <c r="R689" s="1235"/>
      <c r="S689" s="1235"/>
      <c r="T689" s="1235"/>
      <c r="U689" s="1235"/>
      <c r="V689" s="1235"/>
      <c r="W689" s="1235"/>
    </row>
    <row r="690" spans="1:23">
      <c r="A690" s="1183"/>
      <c r="B690" s="1176" t="s">
        <v>432</v>
      </c>
      <c r="C690" s="1184">
        <f>(FinSnapshot!$Q$94+FinSnapshot!$Q$102)/12</f>
        <v>78.166666666666671</v>
      </c>
      <c r="D690" s="1184">
        <f>(FinSnapshot!$Q$94+FinSnapshot!$Q$102)/12</f>
        <v>78.166666666666671</v>
      </c>
      <c r="E690" s="1184">
        <f>(FinSnapshot!$Q$94+FinSnapshot!$Q$102)/12</f>
        <v>78.166666666666671</v>
      </c>
      <c r="F690" s="1184">
        <f>(FinSnapshot!$Q$94+FinSnapshot!$Q$102)/12</f>
        <v>78.166666666666671</v>
      </c>
      <c r="G690" s="1184">
        <f>(FinSnapshot!$Q$94+FinSnapshot!$Q$102)/12</f>
        <v>78.166666666666671</v>
      </c>
      <c r="H690" s="1184">
        <f>(FinSnapshot!$Q$94+FinSnapshot!$Q$102)/12</f>
        <v>78.166666666666671</v>
      </c>
      <c r="I690" s="1184">
        <f>(FinSnapshot!$Q$94+FinSnapshot!$Q$102)/12</f>
        <v>78.166666666666671</v>
      </c>
      <c r="J690" s="1184">
        <f>(FinSnapshot!$Q$94+FinSnapshot!$Q$102)/12</f>
        <v>78.166666666666671</v>
      </c>
      <c r="K690" s="1184">
        <f>(FinSnapshot!$Q$94+FinSnapshot!$Q$102)/12</f>
        <v>78.166666666666671</v>
      </c>
      <c r="L690" s="1184">
        <f>(FinSnapshot!$Q$94+FinSnapshot!$Q$102)/12</f>
        <v>78.166666666666671</v>
      </c>
      <c r="M690" s="1184">
        <f>(FinSnapshot!$Q$94+FinSnapshot!$Q$102)/12</f>
        <v>78.166666666666671</v>
      </c>
      <c r="N690" s="1184">
        <f>(FinSnapshot!$Q$94+FinSnapshot!$Q$102)/12 + 60</f>
        <v>138.16666666666669</v>
      </c>
      <c r="O690" s="1179">
        <f>SUM(C690:N690)/12</f>
        <v>83.166666666666671</v>
      </c>
      <c r="P690" s="2205">
        <f>O684/M!$Q$14</f>
        <v>0.19270878092341492</v>
      </c>
      <c r="Q690" s="1235"/>
      <c r="R690" s="1235"/>
      <c r="S690" s="1235"/>
      <c r="T690" s="1235"/>
      <c r="U690" s="1235"/>
      <c r="V690" s="1235"/>
      <c r="W690" s="1235"/>
    </row>
    <row r="691" spans="1:23">
      <c r="A691" s="1183"/>
      <c r="B691" s="1176" t="s">
        <v>284</v>
      </c>
      <c r="C691" s="1177">
        <v>50</v>
      </c>
      <c r="D691" s="1177">
        <v>0</v>
      </c>
      <c r="E691" s="1177">
        <v>0</v>
      </c>
      <c r="F691" s="1177">
        <v>98</v>
      </c>
      <c r="G691" s="1177">
        <v>36</v>
      </c>
      <c r="H691" s="1177">
        <v>40</v>
      </c>
      <c r="I691" s="1178">
        <v>40</v>
      </c>
      <c r="J691" s="1178">
        <v>10</v>
      </c>
      <c r="K691" s="1177">
        <v>0</v>
      </c>
      <c r="L691" s="1182">
        <v>0</v>
      </c>
      <c r="M691" s="1182">
        <v>0</v>
      </c>
      <c r="N691" s="1182">
        <v>120</v>
      </c>
      <c r="O691" s="1179">
        <f>SUM(C691:N691)/12</f>
        <v>32.833333333333336</v>
      </c>
      <c r="P691" s="2206"/>
      <c r="Q691" s="1235"/>
      <c r="R691" s="1235"/>
      <c r="S691" s="1235"/>
      <c r="T691" s="1235"/>
      <c r="U691" s="1235"/>
      <c r="V691" s="1235"/>
      <c r="W691" s="1235"/>
    </row>
    <row r="692" spans="1:23">
      <c r="A692" s="1183"/>
      <c r="B692" s="1176" t="s">
        <v>433</v>
      </c>
      <c r="C692" s="1177">
        <v>50</v>
      </c>
      <c r="D692" s="1177">
        <v>0</v>
      </c>
      <c r="E692" s="1177">
        <v>0</v>
      </c>
      <c r="F692" s="1177">
        <v>98</v>
      </c>
      <c r="G692" s="1177">
        <v>36</v>
      </c>
      <c r="H692" s="1177">
        <v>40</v>
      </c>
      <c r="I692" s="1178">
        <v>0</v>
      </c>
      <c r="J692" s="1178">
        <v>0</v>
      </c>
      <c r="K692" s="1177">
        <v>0</v>
      </c>
      <c r="L692" s="1182">
        <v>0</v>
      </c>
      <c r="M692" s="1182">
        <v>0</v>
      </c>
      <c r="N692" s="1182">
        <v>120</v>
      </c>
      <c r="O692" s="1179">
        <f>SUM(C692:N692)/12</f>
        <v>28.666666666666668</v>
      </c>
      <c r="P692" s="1180">
        <f>O686/M!$Q$14</f>
        <v>5.5037233267448075E-2</v>
      </c>
      <c r="Q692" s="1235"/>
      <c r="R692" s="1235"/>
      <c r="S692" s="1235"/>
      <c r="T692" s="1235"/>
      <c r="U692" s="1235"/>
      <c r="V692" s="1235"/>
      <c r="W692" s="1235"/>
    </row>
    <row r="693" spans="1:23">
      <c r="A693" s="1183"/>
      <c r="B693" s="1176" t="s">
        <v>434</v>
      </c>
      <c r="C693" s="1184">
        <f>ROUNDUP((((403+2430))/12),0)</f>
        <v>237</v>
      </c>
      <c r="D693" s="1184">
        <f t="shared" ref="D693:N693" si="184">ROUNDUP((((403+2430))/12),0)</f>
        <v>237</v>
      </c>
      <c r="E693" s="1184">
        <f t="shared" si="184"/>
        <v>237</v>
      </c>
      <c r="F693" s="1184">
        <f t="shared" si="184"/>
        <v>237</v>
      </c>
      <c r="G693" s="1184">
        <f t="shared" si="184"/>
        <v>237</v>
      </c>
      <c r="H693" s="1184">
        <f t="shared" si="184"/>
        <v>237</v>
      </c>
      <c r="I693" s="1184">
        <f t="shared" si="184"/>
        <v>237</v>
      </c>
      <c r="J693" s="1184">
        <f t="shared" si="184"/>
        <v>237</v>
      </c>
      <c r="K693" s="1184">
        <f t="shared" si="184"/>
        <v>237</v>
      </c>
      <c r="L693" s="1184">
        <f t="shared" si="184"/>
        <v>237</v>
      </c>
      <c r="M693" s="1184">
        <f t="shared" si="184"/>
        <v>237</v>
      </c>
      <c r="N693" s="1184">
        <f t="shared" si="184"/>
        <v>237</v>
      </c>
      <c r="O693" s="1179">
        <f>SUM(C693:N693)/12</f>
        <v>237</v>
      </c>
      <c r="P693" s="1180">
        <f>O687/M!$Q$14</f>
        <v>0.13767154765596687</v>
      </c>
      <c r="Q693" s="1235"/>
      <c r="R693" s="1235"/>
      <c r="S693" s="1235"/>
      <c r="T693" s="1235"/>
      <c r="U693" s="1235"/>
      <c r="V693" s="1235"/>
      <c r="W693" s="1235"/>
    </row>
    <row r="694" spans="1:23">
      <c r="A694" s="2191" t="s">
        <v>435</v>
      </c>
      <c r="B694" s="2192"/>
      <c r="C694" s="2203">
        <f>SUM(C696:C698)</f>
        <v>0</v>
      </c>
      <c r="D694" s="2203">
        <f t="shared" ref="D694:N694" si="185">SUM(D696:D698)</f>
        <v>95</v>
      </c>
      <c r="E694" s="2203">
        <f t="shared" si="185"/>
        <v>105</v>
      </c>
      <c r="F694" s="2203">
        <f t="shared" si="185"/>
        <v>100</v>
      </c>
      <c r="G694" s="2203">
        <f t="shared" si="185"/>
        <v>75</v>
      </c>
      <c r="H694" s="2203">
        <f t="shared" si="185"/>
        <v>876</v>
      </c>
      <c r="I694" s="2203">
        <f t="shared" si="185"/>
        <v>0</v>
      </c>
      <c r="J694" s="2203">
        <f t="shared" si="185"/>
        <v>10</v>
      </c>
      <c r="K694" s="2203">
        <f t="shared" si="185"/>
        <v>0</v>
      </c>
      <c r="L694" s="2203">
        <f t="shared" si="185"/>
        <v>0</v>
      </c>
      <c r="M694" s="2203">
        <f t="shared" si="185"/>
        <v>0</v>
      </c>
      <c r="N694" s="2203">
        <f t="shared" si="185"/>
        <v>0</v>
      </c>
      <c r="O694" s="2203">
        <f>SUM(O699:O701)</f>
        <v>1777.8333333333333</v>
      </c>
      <c r="P694" s="2205">
        <f>O688/M!$Q$14</f>
        <v>0.20307356606149377</v>
      </c>
      <c r="Q694" s="1235"/>
      <c r="R694" s="1235"/>
      <c r="S694" s="1235"/>
      <c r="T694" s="1235"/>
      <c r="U694" s="1235"/>
      <c r="V694" s="1235"/>
      <c r="W694" s="1235"/>
    </row>
    <row r="695" spans="1:23">
      <c r="A695" s="2193"/>
      <c r="B695" s="2194"/>
      <c r="C695" s="2204"/>
      <c r="D695" s="2204"/>
      <c r="E695" s="2204"/>
      <c r="F695" s="2204"/>
      <c r="G695" s="2204"/>
      <c r="H695" s="2204"/>
      <c r="I695" s="2204"/>
      <c r="J695" s="2204"/>
      <c r="K695" s="2204"/>
      <c r="L695" s="2204"/>
      <c r="M695" s="2204"/>
      <c r="N695" s="2204"/>
      <c r="O695" s="2204"/>
      <c r="P695" s="2206"/>
      <c r="Q695" s="1235"/>
      <c r="R695" s="1235"/>
      <c r="S695" s="1235"/>
      <c r="T695" s="1235"/>
      <c r="U695" s="1235"/>
      <c r="V695" s="1235"/>
      <c r="W695" s="1235"/>
    </row>
    <row r="696" spans="1:23">
      <c r="A696" s="1183"/>
      <c r="B696" s="1176" t="s">
        <v>405</v>
      </c>
      <c r="C696" s="1177">
        <v>0</v>
      </c>
      <c r="D696" s="1177">
        <v>0</v>
      </c>
      <c r="E696" s="1177">
        <v>0</v>
      </c>
      <c r="F696" s="1177">
        <v>0</v>
      </c>
      <c r="G696" s="1177">
        <v>0</v>
      </c>
      <c r="H696" s="1177">
        <v>0</v>
      </c>
      <c r="I696" s="1177">
        <v>0</v>
      </c>
      <c r="J696" s="1177">
        <v>0</v>
      </c>
      <c r="K696" s="1177">
        <v>0</v>
      </c>
      <c r="L696" s="1177">
        <v>0</v>
      </c>
      <c r="M696" s="1177">
        <v>0</v>
      </c>
      <c r="N696" s="1177">
        <v>0</v>
      </c>
      <c r="O696" s="1179">
        <f>SUM(C696:N696)/12</f>
        <v>0</v>
      </c>
      <c r="P696" s="1186"/>
      <c r="Q696" s="1235"/>
      <c r="R696" s="1235"/>
      <c r="S696" s="1235"/>
      <c r="T696" s="1235"/>
      <c r="U696" s="1235"/>
      <c r="V696" s="1235"/>
      <c r="W696" s="1235"/>
    </row>
    <row r="697" spans="1:23">
      <c r="A697" s="1183"/>
      <c r="B697" s="1176" t="s">
        <v>436</v>
      </c>
      <c r="C697" s="1177">
        <v>0</v>
      </c>
      <c r="D697" s="1177">
        <v>95</v>
      </c>
      <c r="E697" s="1177">
        <v>105</v>
      </c>
      <c r="F697" s="1177">
        <v>100</v>
      </c>
      <c r="G697" s="1177">
        <v>75</v>
      </c>
      <c r="H697" s="1177">
        <v>0</v>
      </c>
      <c r="I697" s="1177">
        <v>0</v>
      </c>
      <c r="J697" s="1177">
        <v>0</v>
      </c>
      <c r="K697" s="1182">
        <v>0</v>
      </c>
      <c r="L697" s="1177">
        <v>0</v>
      </c>
      <c r="M697" s="1177">
        <v>0</v>
      </c>
      <c r="N697" s="1177">
        <v>0</v>
      </c>
      <c r="O697" s="1179">
        <f>SUM(C697:N697)/12</f>
        <v>31.25</v>
      </c>
      <c r="P697" s="1180">
        <f>O691/M!$Q$14</f>
        <v>2.9442864775797071E-3</v>
      </c>
      <c r="Q697" s="1235"/>
      <c r="R697" s="1235"/>
      <c r="S697" s="1235"/>
      <c r="T697" s="1235"/>
      <c r="U697" s="1235"/>
      <c r="V697" s="1235"/>
      <c r="W697" s="1235"/>
    </row>
    <row r="698" spans="1:23">
      <c r="A698" s="1183"/>
      <c r="B698" s="1176" t="s">
        <v>130</v>
      </c>
      <c r="C698" s="1177">
        <v>0</v>
      </c>
      <c r="D698" s="1177">
        <v>0</v>
      </c>
      <c r="E698" s="1182">
        <v>0</v>
      </c>
      <c r="F698" s="1182">
        <v>0</v>
      </c>
      <c r="G698" s="1182">
        <v>0</v>
      </c>
      <c r="H698" s="1182">
        <v>876</v>
      </c>
      <c r="I698" s="1182">
        <v>0</v>
      </c>
      <c r="J698" s="1182">
        <v>10</v>
      </c>
      <c r="K698" s="1182">
        <v>0</v>
      </c>
      <c r="L698" s="1177">
        <v>0</v>
      </c>
      <c r="M698" s="1182">
        <v>0</v>
      </c>
      <c r="N698" s="1182">
        <v>0</v>
      </c>
      <c r="O698" s="1179">
        <f>SUM(C698:N698)/12</f>
        <v>73.833333333333329</v>
      </c>
      <c r="P698" s="1180">
        <f>O692/M!$Q$14</f>
        <v>2.570646061643196E-3</v>
      </c>
      <c r="Q698" s="1235"/>
      <c r="R698" s="1235"/>
      <c r="S698" s="1235"/>
      <c r="T698" s="1235"/>
      <c r="U698" s="1235"/>
      <c r="V698" s="1235"/>
      <c r="W698" s="1235"/>
    </row>
    <row r="699" spans="1:23">
      <c r="A699" s="2191" t="s">
        <v>286</v>
      </c>
      <c r="B699" s="2192"/>
      <c r="C699" s="2203">
        <f t="shared" ref="C699:N699" si="186">SUM(C701:C702)</f>
        <v>1767</v>
      </c>
      <c r="D699" s="2203">
        <f t="shared" si="186"/>
        <v>0</v>
      </c>
      <c r="E699" s="2203">
        <f t="shared" si="186"/>
        <v>0</v>
      </c>
      <c r="F699" s="2203">
        <f t="shared" si="186"/>
        <v>3900</v>
      </c>
      <c r="G699" s="2203">
        <f t="shared" si="186"/>
        <v>0</v>
      </c>
      <c r="H699" s="2203">
        <f t="shared" si="186"/>
        <v>0</v>
      </c>
      <c r="I699" s="2203">
        <f t="shared" si="186"/>
        <v>0</v>
      </c>
      <c r="J699" s="2203">
        <f t="shared" si="186"/>
        <v>0</v>
      </c>
      <c r="K699" s="2203">
        <f t="shared" si="186"/>
        <v>0</v>
      </c>
      <c r="L699" s="2203">
        <f t="shared" si="186"/>
        <v>0</v>
      </c>
      <c r="M699" s="2203">
        <f t="shared" si="186"/>
        <v>5000</v>
      </c>
      <c r="N699" s="2203">
        <f t="shared" si="186"/>
        <v>0</v>
      </c>
      <c r="O699" s="2203">
        <f>SUM(O701:O702)</f>
        <v>888.91666666666663</v>
      </c>
      <c r="P699" s="1186"/>
      <c r="Q699" s="1235"/>
      <c r="R699" s="1235"/>
      <c r="S699" s="1235"/>
      <c r="T699" s="1235"/>
      <c r="U699" s="1235"/>
      <c r="V699" s="1235"/>
      <c r="W699" s="1235"/>
    </row>
    <row r="700" spans="1:23">
      <c r="A700" s="2193"/>
      <c r="B700" s="2194"/>
      <c r="C700" s="2204"/>
      <c r="D700" s="2204"/>
      <c r="E700" s="2204"/>
      <c r="F700" s="2204"/>
      <c r="G700" s="2204"/>
      <c r="H700" s="2204"/>
      <c r="I700" s="2204"/>
      <c r="J700" s="2204"/>
      <c r="K700" s="2204"/>
      <c r="L700" s="2204"/>
      <c r="M700" s="2204"/>
      <c r="N700" s="2204"/>
      <c r="O700" s="2204"/>
      <c r="P700" s="2205">
        <f>O694/M!$Q$14</f>
        <v>0.15942489267179052</v>
      </c>
      <c r="Q700" s="1235"/>
      <c r="R700" s="1235"/>
      <c r="S700" s="1235"/>
      <c r="T700" s="1235"/>
      <c r="U700" s="1235"/>
      <c r="V700" s="1235"/>
      <c r="W700" s="1235"/>
    </row>
    <row r="701" spans="1:23">
      <c r="A701" s="2217"/>
      <c r="B701" s="1176" t="s">
        <v>82</v>
      </c>
      <c r="C701" s="1177">
        <f>441 + 450 + 876</f>
        <v>1767</v>
      </c>
      <c r="D701" s="1177">
        <v>0</v>
      </c>
      <c r="E701" s="1177">
        <v>0</v>
      </c>
      <c r="F701" s="1177">
        <f xml:space="preserve"> 2000 + 1900</f>
        <v>3900</v>
      </c>
      <c r="G701" s="1177">
        <v>0</v>
      </c>
      <c r="H701" s="1177">
        <v>0</v>
      </c>
      <c r="I701" s="1177">
        <v>0</v>
      </c>
      <c r="J701" s="1177">
        <v>0</v>
      </c>
      <c r="K701" s="1177">
        <v>0</v>
      </c>
      <c r="L701" s="1177">
        <v>0</v>
      </c>
      <c r="M701" s="1177">
        <v>5000</v>
      </c>
      <c r="N701" s="1177">
        <v>0</v>
      </c>
      <c r="O701" s="1179">
        <f>SUM(C701:N701)/12</f>
        <v>888.91666666666663</v>
      </c>
      <c r="P701" s="2206"/>
      <c r="Q701" s="1235"/>
      <c r="R701" s="1235"/>
      <c r="S701" s="1235"/>
      <c r="T701" s="1235"/>
      <c r="U701" s="1235"/>
      <c r="V701" s="1235"/>
      <c r="W701" s="1235"/>
    </row>
    <row r="702" spans="1:23">
      <c r="A702" s="2219"/>
      <c r="B702" s="1176" t="s">
        <v>83</v>
      </c>
      <c r="C702" s="1177">
        <v>0</v>
      </c>
      <c r="D702" s="1177">
        <v>0</v>
      </c>
      <c r="E702" s="1177">
        <v>0</v>
      </c>
      <c r="F702" s="1177">
        <v>0</v>
      </c>
      <c r="G702" s="1177">
        <v>0</v>
      </c>
      <c r="H702" s="1177">
        <v>0</v>
      </c>
      <c r="I702" s="1177">
        <v>0</v>
      </c>
      <c r="J702" s="1177">
        <v>0</v>
      </c>
      <c r="K702" s="1177">
        <v>0</v>
      </c>
      <c r="L702" s="1177">
        <v>0</v>
      </c>
      <c r="M702" s="1177">
        <v>0</v>
      </c>
      <c r="N702" s="1177">
        <v>0</v>
      </c>
      <c r="O702" s="1179">
        <f>SUM(C702:N702)/12</f>
        <v>0</v>
      </c>
      <c r="P702" s="1180">
        <f>O696/M!$Q$14</f>
        <v>0</v>
      </c>
      <c r="Q702" s="1235"/>
      <c r="R702" s="1235"/>
      <c r="S702" s="1235"/>
      <c r="T702" s="1235"/>
      <c r="U702" s="1235"/>
      <c r="V702" s="1235"/>
      <c r="W702" s="1235"/>
    </row>
    <row r="703" spans="1:23">
      <c r="A703" s="1187" t="s">
        <v>437</v>
      </c>
      <c r="B703" s="1188"/>
      <c r="C703" s="1189">
        <f>C633+C647+C655+C661+C675+C665+ C684+C699+C694+C688</f>
        <v>11992.5</v>
      </c>
      <c r="D703" s="1189">
        <f t="shared" ref="D703:N703" si="187">D633+D647+D655+D661+D675+D665+ D684+D699+D694+D688</f>
        <v>11070.499999999998</v>
      </c>
      <c r="E703" s="1189">
        <f t="shared" si="187"/>
        <v>11857.5</v>
      </c>
      <c r="F703" s="1189">
        <f t="shared" si="187"/>
        <v>14610.499999999998</v>
      </c>
      <c r="G703" s="1189">
        <f t="shared" si="187"/>
        <v>11106.5</v>
      </c>
      <c r="H703" s="1189">
        <f t="shared" si="187"/>
        <v>12425.5</v>
      </c>
      <c r="I703" s="1189">
        <f t="shared" si="187"/>
        <v>12768.5</v>
      </c>
      <c r="J703" s="1189">
        <f t="shared" si="187"/>
        <v>10280.166666666666</v>
      </c>
      <c r="K703" s="1189">
        <f t="shared" si="187"/>
        <v>16317.166666666666</v>
      </c>
      <c r="L703" s="1189">
        <f t="shared" si="187"/>
        <v>9973.1666666666661</v>
      </c>
      <c r="M703" s="1189">
        <f t="shared" si="187"/>
        <v>16661.166666666668</v>
      </c>
      <c r="N703" s="1189">
        <f t="shared" si="187"/>
        <v>11240.166666666666</v>
      </c>
      <c r="O703" s="1189">
        <f>SUM(C703:N703)/12</f>
        <v>12525.277777777779</v>
      </c>
      <c r="P703" s="1180">
        <f>O697/M!$Q$14</f>
        <v>2.802303119523833E-3</v>
      </c>
      <c r="Q703" s="1235"/>
      <c r="R703" s="1235"/>
      <c r="S703" s="1235"/>
      <c r="T703" s="1235"/>
      <c r="U703" s="1235"/>
      <c r="V703" s="1235"/>
      <c r="W703" s="1235"/>
    </row>
    <row r="704" spans="1:23">
      <c r="A704" s="1191" t="s">
        <v>658</v>
      </c>
      <c r="B704" s="1192"/>
      <c r="C704" s="1193">
        <f>C703/M!$Q$14</f>
        <v>1.075411845148466</v>
      </c>
      <c r="D704" s="1193">
        <f>D703/M!$Q$14</f>
        <v>0.99273269391003471</v>
      </c>
      <c r="E704" s="1193">
        <f>E703/M!$Q$14</f>
        <v>1.0633058956721231</v>
      </c>
      <c r="F704" s="1193">
        <f>F703/M!$Q$14</f>
        <v>1.3101775912896945</v>
      </c>
      <c r="G704" s="1193">
        <f>G703/M!$Q$14</f>
        <v>0.9959609471037264</v>
      </c>
      <c r="H704" s="1193">
        <f>H703/M!$Q$14</f>
        <v>1.1142405571725884</v>
      </c>
      <c r="I704" s="1193">
        <f>I703/M!$Q$14</f>
        <v>1.144998636212482</v>
      </c>
      <c r="J704" s="1193">
        <f>J703/M!$Q$14</f>
        <v>0.92186057981519742</v>
      </c>
      <c r="K704" s="1193">
        <f>K703/M!$Q$14</f>
        <v>1.4632207056572895</v>
      </c>
      <c r="L704" s="1193">
        <f>L703/M!$Q$14</f>
        <v>0.89433075396899531</v>
      </c>
      <c r="M704" s="1193">
        <f>M703/M!$Q$14</f>
        <v>1.4940684583970081</v>
      </c>
      <c r="N704" s="1193">
        <f>N703/M!$Q$14</f>
        <v>1.0079473316469696</v>
      </c>
      <c r="O704" s="1193">
        <f>O703/M!$Q$14</f>
        <v>1.1231879996662149</v>
      </c>
      <c r="P704" s="1180">
        <f>O698/M!$Q$14</f>
        <v>6.620908170394975E-3</v>
      </c>
      <c r="Q704" s="1235"/>
      <c r="R704" s="1235"/>
      <c r="S704" s="1235"/>
      <c r="T704" s="1235"/>
      <c r="U704" s="1235"/>
      <c r="V704" s="1235"/>
      <c r="W704" s="1235"/>
    </row>
    <row r="705" spans="1:23">
      <c r="A705" s="1235"/>
      <c r="B705" s="1235"/>
      <c r="C705" s="1235"/>
      <c r="D705" s="1235"/>
      <c r="E705" s="1235"/>
      <c r="F705" s="1235"/>
      <c r="G705" s="1235"/>
      <c r="H705" s="1235"/>
      <c r="I705" s="1235"/>
      <c r="J705" s="1235"/>
      <c r="K705" s="1235"/>
      <c r="L705" s="1235"/>
      <c r="M705" s="1235"/>
      <c r="N705" s="1235"/>
      <c r="O705" s="1235"/>
      <c r="P705" s="2205">
        <f>O699/M!$Q$14</f>
        <v>7.9712446335895262E-2</v>
      </c>
      <c r="Q705" s="1235"/>
      <c r="R705" s="1235"/>
      <c r="S705" s="1235"/>
      <c r="T705" s="1235"/>
      <c r="U705" s="1235"/>
      <c r="V705" s="1235"/>
      <c r="W705" s="1235"/>
    </row>
    <row r="706" spans="1:23">
      <c r="A706" s="1235"/>
      <c r="B706" s="1235"/>
      <c r="C706" s="1235"/>
      <c r="D706" s="1235"/>
      <c r="E706" s="1235"/>
      <c r="F706" s="1235"/>
      <c r="G706" s="1235"/>
      <c r="H706" s="1235"/>
      <c r="I706" s="1235"/>
      <c r="J706" s="1235"/>
      <c r="K706" s="1235"/>
      <c r="L706" s="1235"/>
      <c r="M706" s="1235"/>
      <c r="N706" s="1235"/>
      <c r="O706" s="1235"/>
      <c r="P706" s="2206"/>
      <c r="Q706" s="1235"/>
      <c r="R706" s="1235"/>
      <c r="S706" s="1235"/>
      <c r="T706" s="1235"/>
      <c r="U706" s="1235"/>
      <c r="V706" s="1235"/>
      <c r="W706" s="1235"/>
    </row>
    <row r="707" spans="1:23">
      <c r="A707" s="1235"/>
      <c r="B707" s="1235"/>
      <c r="C707" s="1235"/>
      <c r="D707" s="1235"/>
      <c r="E707" s="1235"/>
      <c r="F707" s="1235"/>
      <c r="G707" s="1235"/>
      <c r="H707" s="1235"/>
      <c r="I707" s="1235"/>
      <c r="J707" s="1235"/>
      <c r="K707" s="1235"/>
      <c r="L707" s="1235"/>
      <c r="M707" s="1235"/>
      <c r="N707" s="1235"/>
      <c r="O707" s="1235"/>
      <c r="P707" s="1180">
        <f>O701/M!$Q$14</f>
        <v>7.9712446335895262E-2</v>
      </c>
      <c r="Q707" s="1235"/>
      <c r="R707" s="1235"/>
      <c r="S707" s="1235"/>
      <c r="T707" s="1235"/>
      <c r="U707" s="1235"/>
      <c r="V707" s="1235"/>
      <c r="W707" s="1235"/>
    </row>
    <row r="708" spans="1:23">
      <c r="A708" s="2195">
        <v>2017</v>
      </c>
      <c r="B708" s="2196"/>
      <c r="C708" s="2196"/>
      <c r="D708" s="2196"/>
      <c r="E708" s="2196"/>
      <c r="F708" s="2196"/>
      <c r="G708" s="2196"/>
      <c r="H708" s="2196"/>
      <c r="I708" s="2196"/>
      <c r="J708" s="2196"/>
      <c r="K708" s="2196"/>
      <c r="L708" s="2196"/>
      <c r="M708" s="2196"/>
      <c r="N708" s="2196"/>
      <c r="O708" s="2196"/>
      <c r="P708" s="1180">
        <f>O702/M!$Q$14</f>
        <v>0</v>
      </c>
      <c r="Q708" s="1235"/>
      <c r="R708" s="1235"/>
      <c r="S708" s="1235"/>
      <c r="T708" s="1235"/>
      <c r="U708" s="1235"/>
      <c r="V708" s="1235"/>
      <c r="W708" s="1235"/>
    </row>
    <row r="709" spans="1:23">
      <c r="A709" s="1171" t="s">
        <v>388</v>
      </c>
      <c r="B709" s="1172"/>
      <c r="C709" s="1173" t="s">
        <v>309</v>
      </c>
      <c r="D709" s="1173" t="s">
        <v>311</v>
      </c>
      <c r="E709" s="1173" t="s">
        <v>312</v>
      </c>
      <c r="F709" s="1173" t="s">
        <v>313</v>
      </c>
      <c r="G709" s="1173" t="s">
        <v>314</v>
      </c>
      <c r="H709" s="1173" t="s">
        <v>315</v>
      </c>
      <c r="I709" s="1173" t="s">
        <v>316</v>
      </c>
      <c r="J709" s="1173" t="s">
        <v>317</v>
      </c>
      <c r="K709" s="1173" t="s">
        <v>318</v>
      </c>
      <c r="L709" s="1173" t="s">
        <v>319</v>
      </c>
      <c r="M709" s="1173" t="s">
        <v>320</v>
      </c>
      <c r="N709" s="1173" t="s">
        <v>321</v>
      </c>
      <c r="O709" s="1174" t="s">
        <v>660</v>
      </c>
      <c r="P709" s="1190">
        <f>O703/M!$Q$14</f>
        <v>1.1231879996662149</v>
      </c>
      <c r="Q709" s="1235"/>
      <c r="R709" s="1235"/>
      <c r="S709" s="1235"/>
      <c r="T709" s="1235"/>
      <c r="U709" s="1235"/>
      <c r="V709" s="1235"/>
      <c r="W709" s="1235"/>
    </row>
    <row r="710" spans="1:23">
      <c r="A710" s="2191" t="s">
        <v>56</v>
      </c>
      <c r="B710" s="2192"/>
      <c r="C710" s="2203">
        <f t="shared" ref="C710:I710" si="188">C712+ SUM(C718:C723)</f>
        <v>4218</v>
      </c>
      <c r="D710" s="2203">
        <f t="shared" si="188"/>
        <v>4218</v>
      </c>
      <c r="E710" s="2203">
        <f t="shared" si="188"/>
        <v>4218</v>
      </c>
      <c r="F710" s="2203">
        <f t="shared" si="188"/>
        <v>4218</v>
      </c>
      <c r="G710" s="2203">
        <f t="shared" si="188"/>
        <v>4268</v>
      </c>
      <c r="H710" s="2203">
        <f t="shared" si="188"/>
        <v>4218</v>
      </c>
      <c r="I710" s="2203">
        <f t="shared" si="188"/>
        <v>4355</v>
      </c>
      <c r="J710" s="2203">
        <f t="shared" ref="J710:O710" si="189">J712+ SUM(J718:J723)</f>
        <v>4387</v>
      </c>
      <c r="K710" s="2203">
        <f t="shared" si="189"/>
        <v>4387</v>
      </c>
      <c r="L710" s="2203">
        <f t="shared" si="189"/>
        <v>4387</v>
      </c>
      <c r="M710" s="2203">
        <f t="shared" si="189"/>
        <v>4387</v>
      </c>
      <c r="N710" s="2203">
        <f t="shared" si="189"/>
        <v>4387</v>
      </c>
      <c r="O710" s="2203">
        <f t="shared" si="189"/>
        <v>4304</v>
      </c>
      <c r="P710" s="1194"/>
      <c r="Q710" s="1235"/>
      <c r="R710" s="1235"/>
      <c r="S710" s="1235"/>
      <c r="T710" s="1235"/>
      <c r="U710" s="1235"/>
      <c r="V710" s="1235"/>
      <c r="W710" s="1235"/>
    </row>
    <row r="711" spans="1:23">
      <c r="A711" s="2193"/>
      <c r="B711" s="2194"/>
      <c r="C711" s="2204"/>
      <c r="D711" s="2204"/>
      <c r="E711" s="2204"/>
      <c r="F711" s="2204"/>
      <c r="G711" s="2204"/>
      <c r="H711" s="2204"/>
      <c r="I711" s="2204"/>
      <c r="J711" s="2204"/>
      <c r="K711" s="2204"/>
      <c r="L711" s="2204"/>
      <c r="M711" s="2204"/>
      <c r="N711" s="2204"/>
      <c r="O711" s="2204"/>
      <c r="P711" s="1235"/>
      <c r="Q711" s="1235"/>
      <c r="R711" s="1235"/>
      <c r="S711" s="1235"/>
      <c r="T711" s="1235"/>
      <c r="U711" s="1235"/>
      <c r="V711" s="1235"/>
      <c r="W711" s="1235"/>
    </row>
    <row r="712" spans="1:23">
      <c r="A712" s="2217"/>
      <c r="B712" s="1176" t="s">
        <v>662</v>
      </c>
      <c r="C712" s="1177">
        <v>4215</v>
      </c>
      <c r="D712" s="1178">
        <v>4215</v>
      </c>
      <c r="E712" s="1178">
        <v>4215</v>
      </c>
      <c r="F712" s="1178">
        <v>4215</v>
      </c>
      <c r="G712" s="1178">
        <v>4215</v>
      </c>
      <c r="H712" s="1178">
        <v>4215</v>
      </c>
      <c r="I712" s="1178">
        <v>4352</v>
      </c>
      <c r="J712" s="1178">
        <v>4384</v>
      </c>
      <c r="K712" s="1178">
        <v>4384</v>
      </c>
      <c r="L712" s="1178">
        <v>4384</v>
      </c>
      <c r="M712" s="1178">
        <v>4384</v>
      </c>
      <c r="N712" s="1178">
        <v>4384</v>
      </c>
      <c r="O712" s="1179">
        <f t="shared" ref="O712:O723" si="190">SUM(C712:N712)/12</f>
        <v>4296.833333333333</v>
      </c>
      <c r="P712" s="1235"/>
      <c r="Q712" s="1235"/>
      <c r="R712" s="1235"/>
      <c r="S712" s="1235"/>
      <c r="T712" s="1235"/>
      <c r="U712" s="1235"/>
      <c r="V712" s="1235"/>
      <c r="W712" s="1235"/>
    </row>
    <row r="713" spans="1:23">
      <c r="A713" s="2218"/>
      <c r="B713" s="1176" t="s">
        <v>663</v>
      </c>
      <c r="C713" s="1178">
        <v>0</v>
      </c>
      <c r="D713" s="1178">
        <v>0</v>
      </c>
      <c r="E713" s="1178">
        <v>0</v>
      </c>
      <c r="F713" s="1178">
        <v>0</v>
      </c>
      <c r="G713" s="1178">
        <v>0</v>
      </c>
      <c r="H713" s="1178">
        <v>0</v>
      </c>
      <c r="I713" s="1178">
        <v>0</v>
      </c>
      <c r="J713" s="1178">
        <v>0</v>
      </c>
      <c r="K713" s="1178">
        <v>0</v>
      </c>
      <c r="L713" s="1178">
        <v>0</v>
      </c>
      <c r="M713" s="1178">
        <v>0</v>
      </c>
      <c r="N713" s="1178">
        <v>0</v>
      </c>
      <c r="O713" s="1179">
        <f t="shared" si="190"/>
        <v>0</v>
      </c>
      <c r="P713" s="1235"/>
      <c r="Q713" s="1235"/>
      <c r="R713" s="1235"/>
      <c r="S713" s="1235"/>
      <c r="T713" s="1235"/>
      <c r="U713" s="1235"/>
      <c r="V713" s="1235"/>
      <c r="W713" s="1235"/>
    </row>
    <row r="714" spans="1:23">
      <c r="A714" s="2218"/>
      <c r="B714" s="1176" t="s">
        <v>664</v>
      </c>
      <c r="C714" s="1178">
        <v>0</v>
      </c>
      <c r="D714" s="1178">
        <v>0</v>
      </c>
      <c r="E714" s="1178">
        <v>0</v>
      </c>
      <c r="F714" s="1178">
        <v>0</v>
      </c>
      <c r="G714" s="1178">
        <v>0</v>
      </c>
      <c r="H714" s="1178">
        <v>0</v>
      </c>
      <c r="I714" s="1178">
        <v>0</v>
      </c>
      <c r="J714" s="1178">
        <v>0</v>
      </c>
      <c r="K714" s="1178">
        <v>0</v>
      </c>
      <c r="L714" s="1178">
        <v>0</v>
      </c>
      <c r="M714" s="1178">
        <v>0</v>
      </c>
      <c r="N714" s="1178">
        <v>0</v>
      </c>
      <c r="O714" s="1179">
        <f t="shared" si="190"/>
        <v>0</v>
      </c>
      <c r="P714" s="2197"/>
      <c r="Q714" s="1235"/>
      <c r="R714" s="1235"/>
      <c r="S714" s="1235"/>
      <c r="T714" s="1235"/>
      <c r="U714" s="1235"/>
      <c r="V714" s="1235"/>
      <c r="W714" s="1235"/>
    </row>
    <row r="715" spans="1:23">
      <c r="A715" s="2218"/>
      <c r="B715" s="1176" t="s">
        <v>450</v>
      </c>
      <c r="C715" s="1178">
        <v>0</v>
      </c>
      <c r="D715" s="1178">
        <v>0</v>
      </c>
      <c r="E715" s="1178">
        <v>0</v>
      </c>
      <c r="F715" s="1178">
        <v>0</v>
      </c>
      <c r="G715" s="1178">
        <v>0</v>
      </c>
      <c r="H715" s="1178">
        <v>0</v>
      </c>
      <c r="I715" s="1178">
        <v>0</v>
      </c>
      <c r="J715" s="1178">
        <v>0</v>
      </c>
      <c r="K715" s="1178">
        <v>0</v>
      </c>
      <c r="L715" s="1178">
        <v>0</v>
      </c>
      <c r="M715" s="1178">
        <v>0</v>
      </c>
      <c r="N715" s="1178">
        <v>0</v>
      </c>
      <c r="O715" s="1179">
        <f t="shared" si="190"/>
        <v>0</v>
      </c>
      <c r="P715" s="1175" t="s">
        <v>661</v>
      </c>
      <c r="Q715" s="1235"/>
      <c r="R715" s="1235"/>
      <c r="S715" s="1235"/>
      <c r="T715" s="1235"/>
      <c r="U715" s="1235"/>
      <c r="V715" s="1235"/>
      <c r="W715" s="1235"/>
    </row>
    <row r="716" spans="1:23">
      <c r="A716" s="2218"/>
      <c r="B716" s="1176" t="s">
        <v>665</v>
      </c>
      <c r="C716" s="1178">
        <v>0</v>
      </c>
      <c r="D716" s="1178">
        <v>0</v>
      </c>
      <c r="E716" s="1178">
        <v>0</v>
      </c>
      <c r="F716" s="1178">
        <v>0</v>
      </c>
      <c r="G716" s="1178">
        <v>0</v>
      </c>
      <c r="H716" s="1178">
        <v>0</v>
      </c>
      <c r="I716" s="1178">
        <v>0</v>
      </c>
      <c r="J716" s="1178">
        <v>0</v>
      </c>
      <c r="K716" s="1178">
        <v>0</v>
      </c>
      <c r="L716" s="1178">
        <v>0</v>
      </c>
      <c r="M716" s="1178">
        <v>0</v>
      </c>
      <c r="N716" s="1178">
        <v>0</v>
      </c>
      <c r="O716" s="1179">
        <f t="shared" si="190"/>
        <v>0</v>
      </c>
      <c r="P716" s="2205">
        <f>O710/M!$Q$14</f>
        <v>0.38595560404577844</v>
      </c>
      <c r="Q716" s="1235"/>
      <c r="R716" s="1235"/>
      <c r="S716" s="1235"/>
      <c r="T716" s="1235"/>
      <c r="U716" s="1235"/>
      <c r="V716" s="1235"/>
      <c r="W716" s="1235"/>
    </row>
    <row r="717" spans="1:23">
      <c r="A717" s="2218"/>
      <c r="B717" s="1176" t="s">
        <v>664</v>
      </c>
      <c r="C717" s="1178">
        <v>0</v>
      </c>
      <c r="D717" s="1178">
        <v>0</v>
      </c>
      <c r="E717" s="1178">
        <v>0</v>
      </c>
      <c r="F717" s="1178">
        <v>0</v>
      </c>
      <c r="G717" s="1178">
        <v>0</v>
      </c>
      <c r="H717" s="1178">
        <v>0</v>
      </c>
      <c r="I717" s="1178">
        <v>0</v>
      </c>
      <c r="J717" s="1178">
        <v>0</v>
      </c>
      <c r="K717" s="1178">
        <v>0</v>
      </c>
      <c r="L717" s="1178">
        <v>0</v>
      </c>
      <c r="M717" s="1178">
        <v>0</v>
      </c>
      <c r="N717" s="1178">
        <v>0</v>
      </c>
      <c r="O717" s="1179">
        <f t="shared" si="190"/>
        <v>0</v>
      </c>
      <c r="P717" s="2206"/>
      <c r="Q717" s="1235"/>
      <c r="R717" s="1235"/>
      <c r="S717" s="1235"/>
      <c r="T717" s="1235"/>
      <c r="U717" s="1235"/>
      <c r="V717" s="1235"/>
      <c r="W717" s="1235"/>
    </row>
    <row r="718" spans="1:23">
      <c r="A718" s="2218"/>
      <c r="B718" s="1176" t="s">
        <v>287</v>
      </c>
      <c r="C718" s="1178">
        <v>0</v>
      </c>
      <c r="D718" s="1178">
        <v>0</v>
      </c>
      <c r="E718" s="1178">
        <v>0</v>
      </c>
      <c r="F718" s="1178">
        <v>0</v>
      </c>
      <c r="G718" s="1178">
        <v>0</v>
      </c>
      <c r="H718" s="1178">
        <v>0</v>
      </c>
      <c r="I718" s="1178">
        <v>0</v>
      </c>
      <c r="J718" s="1178">
        <v>0</v>
      </c>
      <c r="K718" s="1178">
        <v>0</v>
      </c>
      <c r="L718" s="1178">
        <v>0</v>
      </c>
      <c r="M718" s="1178">
        <v>0</v>
      </c>
      <c r="N718" s="1178">
        <v>0</v>
      </c>
      <c r="O718" s="1179">
        <f t="shared" si="190"/>
        <v>0</v>
      </c>
      <c r="P718" s="1180">
        <f>O712/M!$Q$14</f>
        <v>0.38531294253036763</v>
      </c>
      <c r="Q718" s="1235"/>
      <c r="R718" s="1235"/>
      <c r="S718" s="1235"/>
      <c r="T718" s="1235"/>
      <c r="U718" s="1235"/>
      <c r="V718" s="1235"/>
      <c r="W718" s="1235"/>
    </row>
    <row r="719" spans="1:23">
      <c r="A719" s="2218"/>
      <c r="B719" s="1176" t="s">
        <v>453</v>
      </c>
      <c r="C719" s="1178">
        <v>0</v>
      </c>
      <c r="D719" s="1178">
        <v>0</v>
      </c>
      <c r="E719" s="1178">
        <v>0</v>
      </c>
      <c r="F719" s="1178">
        <v>0</v>
      </c>
      <c r="G719" s="1178">
        <v>0</v>
      </c>
      <c r="H719" s="1178">
        <v>0</v>
      </c>
      <c r="I719" s="1178">
        <v>0</v>
      </c>
      <c r="J719" s="1178">
        <v>0</v>
      </c>
      <c r="K719" s="1178">
        <v>0</v>
      </c>
      <c r="L719" s="1178">
        <v>0</v>
      </c>
      <c r="M719" s="1178">
        <v>0</v>
      </c>
      <c r="N719" s="1178">
        <v>0</v>
      </c>
      <c r="O719" s="1179">
        <f t="shared" si="190"/>
        <v>0</v>
      </c>
      <c r="P719" s="1180">
        <f>O713/M!$Q$14</f>
        <v>0</v>
      </c>
      <c r="Q719" s="1235"/>
      <c r="R719" s="1235"/>
      <c r="S719" s="1235"/>
      <c r="T719" s="1235"/>
      <c r="U719" s="1235"/>
      <c r="V719" s="1235"/>
      <c r="W719" s="1235"/>
    </row>
    <row r="720" spans="1:23">
      <c r="A720" s="2218"/>
      <c r="B720" s="1176" t="s">
        <v>400</v>
      </c>
      <c r="C720" s="1178">
        <v>0</v>
      </c>
      <c r="D720" s="1178">
        <v>0</v>
      </c>
      <c r="E720" s="1178">
        <v>0</v>
      </c>
      <c r="F720" s="1178">
        <v>0</v>
      </c>
      <c r="G720" s="1178">
        <v>0</v>
      </c>
      <c r="H720" s="1178">
        <v>0</v>
      </c>
      <c r="I720" s="1178">
        <v>0</v>
      </c>
      <c r="J720" s="1178">
        <v>0</v>
      </c>
      <c r="K720" s="1178">
        <v>0</v>
      </c>
      <c r="L720" s="1178">
        <v>0</v>
      </c>
      <c r="M720" s="1178">
        <v>0</v>
      </c>
      <c r="N720" s="1178">
        <v>0</v>
      </c>
      <c r="O720" s="1179">
        <f t="shared" si="190"/>
        <v>0</v>
      </c>
      <c r="P720" s="1180">
        <f>O714/M!$Q$14</f>
        <v>0</v>
      </c>
      <c r="Q720" s="1235"/>
      <c r="R720" s="1235"/>
      <c r="S720" s="1235"/>
      <c r="T720" s="1235"/>
      <c r="U720" s="1235"/>
      <c r="V720" s="1235"/>
      <c r="W720" s="1235"/>
    </row>
    <row r="721" spans="1:23">
      <c r="A721" s="2218"/>
      <c r="B721" s="1176" t="s">
        <v>401</v>
      </c>
      <c r="C721" s="1178">
        <v>0</v>
      </c>
      <c r="D721" s="1178">
        <v>0</v>
      </c>
      <c r="E721" s="1178">
        <v>0</v>
      </c>
      <c r="F721" s="1178">
        <v>0</v>
      </c>
      <c r="G721" s="1178">
        <v>50</v>
      </c>
      <c r="H721" s="1178">
        <v>0</v>
      </c>
      <c r="I721" s="1178">
        <v>0</v>
      </c>
      <c r="J721" s="1178">
        <v>0</v>
      </c>
      <c r="K721" s="1178">
        <v>0</v>
      </c>
      <c r="L721" s="1178">
        <v>0</v>
      </c>
      <c r="M721" s="1178">
        <v>0</v>
      </c>
      <c r="N721" s="1178">
        <v>0</v>
      </c>
      <c r="O721" s="1179">
        <f t="shared" si="190"/>
        <v>4.166666666666667</v>
      </c>
      <c r="P721" s="1180">
        <f>O715/M!$Q$14</f>
        <v>0</v>
      </c>
      <c r="Q721" s="1235"/>
      <c r="R721" s="1235"/>
      <c r="S721" s="1235"/>
      <c r="T721" s="1235"/>
      <c r="U721" s="1235"/>
      <c r="V721" s="1235"/>
      <c r="W721" s="1235"/>
    </row>
    <row r="722" spans="1:23">
      <c r="A722" s="2218"/>
      <c r="B722" s="1176" t="s">
        <v>402</v>
      </c>
      <c r="C722" s="1178">
        <v>0</v>
      </c>
      <c r="D722" s="1178">
        <v>0</v>
      </c>
      <c r="E722" s="1178">
        <v>0</v>
      </c>
      <c r="F722" s="1178">
        <v>0</v>
      </c>
      <c r="G722" s="1178">
        <v>0</v>
      </c>
      <c r="H722" s="1178">
        <v>0</v>
      </c>
      <c r="I722" s="1178">
        <v>0</v>
      </c>
      <c r="J722" s="1178">
        <v>0</v>
      </c>
      <c r="K722" s="1178">
        <v>0</v>
      </c>
      <c r="L722" s="1178">
        <v>0</v>
      </c>
      <c r="M722" s="1178">
        <v>0</v>
      </c>
      <c r="N722" s="1178">
        <v>0</v>
      </c>
      <c r="O722" s="1179">
        <f t="shared" si="190"/>
        <v>0</v>
      </c>
      <c r="P722" s="1180">
        <f>O716/M!$Q$14</f>
        <v>0</v>
      </c>
      <c r="Q722" s="1235"/>
      <c r="R722" s="1235"/>
      <c r="S722" s="1235"/>
      <c r="T722" s="1235"/>
      <c r="U722" s="1235"/>
      <c r="V722" s="1235"/>
      <c r="W722" s="1235"/>
    </row>
    <row r="723" spans="1:23">
      <c r="A723" s="2219"/>
      <c r="B723" s="1176" t="s">
        <v>403</v>
      </c>
      <c r="C723" s="1177">
        <v>3</v>
      </c>
      <c r="D723" s="1178">
        <v>3</v>
      </c>
      <c r="E723" s="1178">
        <v>3</v>
      </c>
      <c r="F723" s="1178">
        <v>3</v>
      </c>
      <c r="G723" s="1178">
        <v>3</v>
      </c>
      <c r="H723" s="1178">
        <v>3</v>
      </c>
      <c r="I723" s="1178">
        <v>3</v>
      </c>
      <c r="J723" s="1178">
        <v>3</v>
      </c>
      <c r="K723" s="1178">
        <v>3</v>
      </c>
      <c r="L723" s="1178">
        <v>3</v>
      </c>
      <c r="M723" s="1178">
        <v>3</v>
      </c>
      <c r="N723" s="1178">
        <v>3</v>
      </c>
      <c r="O723" s="1179">
        <f t="shared" si="190"/>
        <v>3</v>
      </c>
      <c r="P723" s="1180">
        <f>O717/M!$Q$14</f>
        <v>0</v>
      </c>
      <c r="Q723" s="1235"/>
      <c r="R723" s="1235"/>
      <c r="S723" s="1235"/>
      <c r="T723" s="1235"/>
      <c r="U723" s="1235"/>
      <c r="V723" s="1235"/>
      <c r="W723" s="1235"/>
    </row>
    <row r="724" spans="1:23">
      <c r="A724" s="2191" t="s">
        <v>276</v>
      </c>
      <c r="B724" s="2192"/>
      <c r="C724" s="2203">
        <f t="shared" ref="C724:N724" si="191">SUM(C726:C731)</f>
        <v>1054.3333333333335</v>
      </c>
      <c r="D724" s="2203">
        <f t="shared" si="191"/>
        <v>1025.3333333333335</v>
      </c>
      <c r="E724" s="2203">
        <f t="shared" si="191"/>
        <v>1054.3333333333335</v>
      </c>
      <c r="F724" s="2203">
        <f t="shared" si="191"/>
        <v>1025.3333333333335</v>
      </c>
      <c r="G724" s="2203">
        <f t="shared" si="191"/>
        <v>1581.3333333333335</v>
      </c>
      <c r="H724" s="2203">
        <f t="shared" si="191"/>
        <v>1393.3333333333335</v>
      </c>
      <c r="I724" s="2203">
        <f t="shared" si="191"/>
        <v>1025.3333333333335</v>
      </c>
      <c r="J724" s="2203">
        <f t="shared" si="191"/>
        <v>1036.3333333333335</v>
      </c>
      <c r="K724" s="2203">
        <f t="shared" si="191"/>
        <v>1036.3333333333335</v>
      </c>
      <c r="L724" s="2203">
        <f t="shared" si="191"/>
        <v>1036.3333333333335</v>
      </c>
      <c r="M724" s="2203">
        <f t="shared" si="191"/>
        <v>1075.3333333333335</v>
      </c>
      <c r="N724" s="2203">
        <f t="shared" si="191"/>
        <v>1107.3333333333335</v>
      </c>
      <c r="O724" s="2203">
        <f>SUM(O726:O731)</f>
        <v>1120.9166666666667</v>
      </c>
      <c r="P724" s="1180">
        <f>O718/M!$Q$14</f>
        <v>0</v>
      </c>
      <c r="Q724" s="1235"/>
      <c r="R724" s="1235"/>
      <c r="S724" s="1235"/>
      <c r="T724" s="1235"/>
      <c r="U724" s="1235"/>
      <c r="V724" s="1235"/>
      <c r="W724" s="1235"/>
    </row>
    <row r="725" spans="1:23">
      <c r="A725" s="2193"/>
      <c r="B725" s="2194"/>
      <c r="C725" s="2204"/>
      <c r="D725" s="2204"/>
      <c r="E725" s="2204"/>
      <c r="F725" s="2204"/>
      <c r="G725" s="2204"/>
      <c r="H725" s="2204"/>
      <c r="I725" s="2204"/>
      <c r="J725" s="2204"/>
      <c r="K725" s="2204"/>
      <c r="L725" s="2204"/>
      <c r="M725" s="2204"/>
      <c r="N725" s="2204"/>
      <c r="O725" s="2204"/>
      <c r="P725" s="1180">
        <f>O719/M!$Q$14</f>
        <v>0</v>
      </c>
      <c r="Q725" s="1235"/>
      <c r="R725" s="1235"/>
      <c r="S725" s="1235"/>
      <c r="T725" s="1235"/>
      <c r="U725" s="1235"/>
      <c r="V725" s="1235"/>
      <c r="W725" s="1235"/>
    </row>
    <row r="726" spans="1:23">
      <c r="A726" s="2217"/>
      <c r="B726" s="1176" t="s">
        <v>666</v>
      </c>
      <c r="C726" s="1178">
        <f t="shared" ref="C726:H726" si="192">46700/60</f>
        <v>778.33333333333337</v>
      </c>
      <c r="D726" s="1178">
        <f t="shared" si="192"/>
        <v>778.33333333333337</v>
      </c>
      <c r="E726" s="1178">
        <f t="shared" si="192"/>
        <v>778.33333333333337</v>
      </c>
      <c r="F726" s="1178">
        <f t="shared" si="192"/>
        <v>778.33333333333337</v>
      </c>
      <c r="G726" s="1178">
        <f t="shared" si="192"/>
        <v>778.33333333333337</v>
      </c>
      <c r="H726" s="1178">
        <f t="shared" si="192"/>
        <v>778.33333333333337</v>
      </c>
      <c r="I726" s="1178">
        <f t="shared" ref="I726:N726" si="193">46700/60</f>
        <v>778.33333333333337</v>
      </c>
      <c r="J726" s="1182">
        <f t="shared" si="193"/>
        <v>778.33333333333337</v>
      </c>
      <c r="K726" s="1182">
        <f t="shared" si="193"/>
        <v>778.33333333333337</v>
      </c>
      <c r="L726" s="1182">
        <f t="shared" si="193"/>
        <v>778.33333333333337</v>
      </c>
      <c r="M726" s="1182">
        <f t="shared" si="193"/>
        <v>778.33333333333337</v>
      </c>
      <c r="N726" s="1178">
        <f t="shared" si="193"/>
        <v>778.33333333333337</v>
      </c>
      <c r="O726" s="1179">
        <f t="shared" ref="O726:O731" si="194">SUM(C726:N726)/12</f>
        <v>778.33333333333337</v>
      </c>
      <c r="P726" s="1180">
        <f>O720/M!$Q$14</f>
        <v>0</v>
      </c>
      <c r="Q726" s="1235"/>
      <c r="R726" s="1235"/>
      <c r="S726" s="1235"/>
      <c r="T726" s="1235"/>
      <c r="U726" s="1235"/>
      <c r="V726" s="1235"/>
      <c r="W726" s="1235"/>
    </row>
    <row r="727" spans="1:23">
      <c r="A727" s="2218"/>
      <c r="B727" s="1176" t="s">
        <v>400</v>
      </c>
      <c r="C727" s="1181">
        <v>179</v>
      </c>
      <c r="D727" s="1182">
        <f t="shared" ref="D727:I727" si="195">ROUNDUP(900/6,0)</f>
        <v>150</v>
      </c>
      <c r="E727" s="1182">
        <f t="shared" si="195"/>
        <v>150</v>
      </c>
      <c r="F727" s="1182">
        <f t="shared" si="195"/>
        <v>150</v>
      </c>
      <c r="G727" s="1182">
        <f t="shared" si="195"/>
        <v>150</v>
      </c>
      <c r="H727" s="1182">
        <f t="shared" si="195"/>
        <v>150</v>
      </c>
      <c r="I727" s="1182">
        <f t="shared" si="195"/>
        <v>150</v>
      </c>
      <c r="J727" s="1182">
        <f>ROUNDUP(961/6,0)</f>
        <v>161</v>
      </c>
      <c r="K727" s="1182">
        <f>ROUNDUP(961/6,0)</f>
        <v>161</v>
      </c>
      <c r="L727" s="1182">
        <f>ROUNDUP(961/6,0)</f>
        <v>161</v>
      </c>
      <c r="M727" s="1182">
        <f>ROUNDUP(961/6,0)</f>
        <v>161</v>
      </c>
      <c r="N727" s="1177">
        <f>ROUNDUP(961/6,0)</f>
        <v>161</v>
      </c>
      <c r="O727" s="1179">
        <f t="shared" si="194"/>
        <v>157</v>
      </c>
      <c r="P727" s="1180">
        <f>O721/M!$Q$14</f>
        <v>3.7364041593651104E-4</v>
      </c>
      <c r="Q727" s="1235"/>
      <c r="R727" s="1235"/>
      <c r="S727" s="1235"/>
      <c r="T727" s="1235"/>
      <c r="U727" s="1235"/>
      <c r="V727" s="1235"/>
      <c r="W727" s="1235"/>
    </row>
    <row r="728" spans="1:23">
      <c r="A728" s="2218"/>
      <c r="B728" s="1176" t="s">
        <v>454</v>
      </c>
      <c r="C728" s="1178">
        <v>0</v>
      </c>
      <c r="D728" s="1178">
        <v>0</v>
      </c>
      <c r="E728" s="1178">
        <v>0</v>
      </c>
      <c r="F728" s="1178">
        <v>0</v>
      </c>
      <c r="G728" s="1178">
        <v>156</v>
      </c>
      <c r="H728" s="1178">
        <v>368</v>
      </c>
      <c r="I728" s="1178">
        <v>0</v>
      </c>
      <c r="J728" s="1182">
        <v>0</v>
      </c>
      <c r="K728" s="1182">
        <v>0</v>
      </c>
      <c r="L728" s="1182">
        <v>0</v>
      </c>
      <c r="M728" s="1182">
        <v>0</v>
      </c>
      <c r="N728" s="1178">
        <v>50</v>
      </c>
      <c r="O728" s="1179">
        <f t="shared" si="194"/>
        <v>47.833333333333336</v>
      </c>
      <c r="P728" s="1180">
        <f>O722/M!$Q$14</f>
        <v>0</v>
      </c>
      <c r="Q728" s="1235"/>
      <c r="R728" s="1235"/>
      <c r="S728" s="1235"/>
      <c r="T728" s="1235"/>
      <c r="U728" s="1235"/>
      <c r="V728" s="1235"/>
      <c r="W728" s="1235"/>
    </row>
    <row r="729" spans="1:23">
      <c r="A729" s="2218"/>
      <c r="B729" s="1176" t="s">
        <v>407</v>
      </c>
      <c r="C729" s="1178">
        <v>0</v>
      </c>
      <c r="D729" s="1178">
        <v>0</v>
      </c>
      <c r="E729" s="1178">
        <v>0</v>
      </c>
      <c r="F729" s="1178">
        <v>0</v>
      </c>
      <c r="G729" s="1178">
        <v>400</v>
      </c>
      <c r="H729" s="1178">
        <v>0</v>
      </c>
      <c r="I729" s="1178">
        <v>0</v>
      </c>
      <c r="J729" s="1182">
        <v>0</v>
      </c>
      <c r="K729" s="1182">
        <v>0</v>
      </c>
      <c r="L729" s="1182">
        <v>0</v>
      </c>
      <c r="M729" s="1182">
        <v>0</v>
      </c>
      <c r="N729" s="1178">
        <v>0</v>
      </c>
      <c r="O729" s="1179">
        <f t="shared" si="194"/>
        <v>33.333333333333336</v>
      </c>
      <c r="P729" s="1180">
        <f>O723/M!$Q$14</f>
        <v>2.6902109947428795E-4</v>
      </c>
      <c r="Q729" s="1235"/>
      <c r="R729" s="1235"/>
      <c r="S729" s="1235"/>
      <c r="T729" s="1235"/>
      <c r="U729" s="1235"/>
      <c r="V729" s="1235"/>
      <c r="W729" s="1235"/>
    </row>
    <row r="730" spans="1:23">
      <c r="A730" s="2218"/>
      <c r="B730" s="1176" t="s">
        <v>408</v>
      </c>
      <c r="C730" s="1178">
        <v>97</v>
      </c>
      <c r="D730" s="1178">
        <v>97</v>
      </c>
      <c r="E730" s="1178">
        <v>97</v>
      </c>
      <c r="F730" s="1178">
        <v>97</v>
      </c>
      <c r="G730" s="1178">
        <v>97</v>
      </c>
      <c r="H730" s="1178">
        <v>97</v>
      </c>
      <c r="I730" s="1178">
        <v>97</v>
      </c>
      <c r="J730" s="1182">
        <v>97</v>
      </c>
      <c r="K730" s="1182">
        <v>97</v>
      </c>
      <c r="L730" s="1182">
        <v>97</v>
      </c>
      <c r="M730" s="1182">
        <v>97</v>
      </c>
      <c r="N730" s="1178">
        <v>108</v>
      </c>
      <c r="O730" s="1179">
        <f t="shared" si="194"/>
        <v>97.916666666666671</v>
      </c>
      <c r="P730" s="2205">
        <f>O724/M!$Q$14</f>
        <v>0.1005167446952402</v>
      </c>
      <c r="Q730" s="1235"/>
      <c r="R730" s="1235"/>
      <c r="S730" s="1235"/>
      <c r="T730" s="1235"/>
      <c r="U730" s="1235"/>
      <c r="V730" s="1235"/>
      <c r="W730" s="1235"/>
    </row>
    <row r="731" spans="1:23">
      <c r="A731" s="2219"/>
      <c r="B731" s="1176" t="s">
        <v>409</v>
      </c>
      <c r="C731" s="1178">
        <v>0</v>
      </c>
      <c r="D731" s="1178">
        <v>0</v>
      </c>
      <c r="E731" s="1178">
        <v>29</v>
      </c>
      <c r="F731" s="1178">
        <v>0</v>
      </c>
      <c r="G731" s="1178">
        <v>0</v>
      </c>
      <c r="H731" s="1178">
        <v>0</v>
      </c>
      <c r="I731" s="1178">
        <v>0</v>
      </c>
      <c r="J731" s="1182">
        <v>0</v>
      </c>
      <c r="K731" s="1182">
        <v>0</v>
      </c>
      <c r="L731" s="1182">
        <v>0</v>
      </c>
      <c r="M731" s="1182">
        <v>39</v>
      </c>
      <c r="N731" s="1178">
        <v>10</v>
      </c>
      <c r="O731" s="1179">
        <f t="shared" si="194"/>
        <v>6.5</v>
      </c>
      <c r="P731" s="2206"/>
      <c r="Q731" s="1235"/>
      <c r="R731" s="1235"/>
      <c r="S731" s="1235"/>
      <c r="T731" s="1235"/>
      <c r="U731" s="1235"/>
      <c r="V731" s="1235"/>
      <c r="W731" s="1235"/>
    </row>
    <row r="732" spans="1:23">
      <c r="A732" s="2191" t="s">
        <v>277</v>
      </c>
      <c r="B732" s="2192"/>
      <c r="C732" s="2203">
        <f t="shared" ref="C732:N732" si="196">SUM(C734:C737)</f>
        <v>171</v>
      </c>
      <c r="D732" s="2203">
        <f t="shared" si="196"/>
        <v>190</v>
      </c>
      <c r="E732" s="2203">
        <f t="shared" si="196"/>
        <v>145</v>
      </c>
      <c r="F732" s="2203">
        <f t="shared" si="196"/>
        <v>355</v>
      </c>
      <c r="G732" s="2203">
        <f t="shared" si="196"/>
        <v>266</v>
      </c>
      <c r="H732" s="2203">
        <f t="shared" si="196"/>
        <v>272</v>
      </c>
      <c r="I732" s="2203">
        <f t="shared" si="196"/>
        <v>517</v>
      </c>
      <c r="J732" s="2203">
        <f t="shared" si="196"/>
        <v>701</v>
      </c>
      <c r="K732" s="2203">
        <f t="shared" si="196"/>
        <v>661</v>
      </c>
      <c r="L732" s="2203">
        <f t="shared" si="196"/>
        <v>621</v>
      </c>
      <c r="M732" s="2203">
        <f t="shared" si="196"/>
        <v>634</v>
      </c>
      <c r="N732" s="2203">
        <f t="shared" si="196"/>
        <v>851</v>
      </c>
      <c r="O732" s="2203">
        <f>SUM(O734:O737)</f>
        <v>448.66666666666663</v>
      </c>
      <c r="P732" s="1180">
        <f>O726/M!$Q$14</f>
        <v>6.9796029696940265E-2</v>
      </c>
      <c r="Q732" s="1235"/>
      <c r="R732" s="1235"/>
      <c r="S732" s="1235"/>
      <c r="T732" s="1235"/>
      <c r="U732" s="1235"/>
      <c r="V732" s="1235"/>
      <c r="W732" s="1235"/>
    </row>
    <row r="733" spans="1:23">
      <c r="A733" s="2193"/>
      <c r="B733" s="2194"/>
      <c r="C733" s="2204"/>
      <c r="D733" s="2204"/>
      <c r="E733" s="2204"/>
      <c r="F733" s="2204"/>
      <c r="G733" s="2204"/>
      <c r="H733" s="2204"/>
      <c r="I733" s="2204"/>
      <c r="J733" s="2204"/>
      <c r="K733" s="2204"/>
      <c r="L733" s="2204"/>
      <c r="M733" s="2204"/>
      <c r="N733" s="2204"/>
      <c r="O733" s="2204"/>
      <c r="P733" s="1180">
        <f>O727/M!$Q$14</f>
        <v>1.4078770872487736E-2</v>
      </c>
      <c r="Q733" s="1235"/>
      <c r="R733" s="1235"/>
      <c r="S733" s="1235"/>
      <c r="T733" s="1235"/>
      <c r="U733" s="1235"/>
      <c r="V733" s="1235"/>
      <c r="W733" s="1235"/>
    </row>
    <row r="734" spans="1:23">
      <c r="A734" s="2217"/>
      <c r="B734" s="1176" t="s">
        <v>410</v>
      </c>
      <c r="C734" s="1177">
        <v>166</v>
      </c>
      <c r="D734" s="1177">
        <v>170</v>
      </c>
      <c r="E734" s="1177">
        <v>145</v>
      </c>
      <c r="F734" s="1177">
        <v>192</v>
      </c>
      <c r="G734" s="1177">
        <v>216</v>
      </c>
      <c r="H734" s="1177">
        <v>125</v>
      </c>
      <c r="I734" s="1178">
        <v>120</v>
      </c>
      <c r="J734" s="1178">
        <v>301</v>
      </c>
      <c r="K734" s="1178">
        <v>169</v>
      </c>
      <c r="L734" s="1178">
        <v>160</v>
      </c>
      <c r="M734" s="1178">
        <v>124</v>
      </c>
      <c r="N734" s="1178">
        <v>315</v>
      </c>
      <c r="O734" s="1179">
        <f>SUM(C734:N734)/12</f>
        <v>183.58333333333334</v>
      </c>
      <c r="P734" s="1180">
        <f>O728/M!$Q$14</f>
        <v>4.2893919749511468E-3</v>
      </c>
      <c r="Q734" s="1235"/>
      <c r="R734" s="1235"/>
      <c r="S734" s="1235"/>
      <c r="T734" s="1235"/>
      <c r="U734" s="1235"/>
      <c r="V734" s="1235"/>
      <c r="W734" s="1235"/>
    </row>
    <row r="735" spans="1:23">
      <c r="A735" s="2218"/>
      <c r="B735" s="1176" t="s">
        <v>457</v>
      </c>
      <c r="C735" s="1177">
        <v>0</v>
      </c>
      <c r="D735" s="1177">
        <v>0</v>
      </c>
      <c r="E735" s="1177">
        <v>0</v>
      </c>
      <c r="F735" s="1177">
        <v>76</v>
      </c>
      <c r="G735" s="1177">
        <v>0</v>
      </c>
      <c r="H735" s="1177">
        <v>82</v>
      </c>
      <c r="I735" s="1178">
        <v>291</v>
      </c>
      <c r="J735" s="1178">
        <v>310</v>
      </c>
      <c r="K735" s="1178">
        <f xml:space="preserve"> 191 + 80 + 100</f>
        <v>371</v>
      </c>
      <c r="L735" s="1178">
        <f xml:space="preserve"> 191 + 80 + 100</f>
        <v>371</v>
      </c>
      <c r="M735" s="1178">
        <f xml:space="preserve"> 215 + 80 + 115</f>
        <v>410</v>
      </c>
      <c r="N735" s="1178">
        <f xml:space="preserve"> 215 + 80 + 115</f>
        <v>410</v>
      </c>
      <c r="O735" s="1179">
        <f>SUM(C735:N735)/12</f>
        <v>193.41666666666666</v>
      </c>
      <c r="P735" s="1180">
        <f>O729/M!$Q$14</f>
        <v>2.9891233274920883E-3</v>
      </c>
      <c r="Q735" s="1235"/>
      <c r="R735" s="1235"/>
      <c r="S735" s="1235"/>
      <c r="T735" s="1235"/>
      <c r="U735" s="1235"/>
      <c r="V735" s="1235"/>
      <c r="W735" s="1235"/>
    </row>
    <row r="736" spans="1:23">
      <c r="A736" s="2218"/>
      <c r="B736" s="1176" t="s">
        <v>458</v>
      </c>
      <c r="C736" s="1177">
        <v>0</v>
      </c>
      <c r="D736" s="1177">
        <v>10</v>
      </c>
      <c r="E736" s="1177">
        <v>0</v>
      </c>
      <c r="F736" s="1177">
        <v>61</v>
      </c>
      <c r="G736" s="1177">
        <v>35</v>
      </c>
      <c r="H736" s="1177">
        <v>0</v>
      </c>
      <c r="I736" s="1177">
        <v>106</v>
      </c>
      <c r="J736" s="1178">
        <v>90</v>
      </c>
      <c r="K736" s="1178">
        <v>121</v>
      </c>
      <c r="L736" s="1178">
        <v>90</v>
      </c>
      <c r="M736" s="1178">
        <v>100</v>
      </c>
      <c r="N736" s="1178">
        <v>126</v>
      </c>
      <c r="O736" s="1179">
        <f>SUM(C736:N736)/12</f>
        <v>61.583333333333336</v>
      </c>
      <c r="P736" s="1180">
        <f>O730/M!$Q$14</f>
        <v>8.7805497745080101E-3</v>
      </c>
      <c r="Q736" s="1235"/>
      <c r="R736" s="1235"/>
      <c r="S736" s="1235"/>
      <c r="T736" s="1235"/>
      <c r="U736" s="1235"/>
      <c r="V736" s="1235"/>
      <c r="W736" s="1235"/>
    </row>
    <row r="737" spans="1:23">
      <c r="A737" s="2219"/>
      <c r="B737" s="1176" t="s">
        <v>459</v>
      </c>
      <c r="C737" s="1177">
        <v>5</v>
      </c>
      <c r="D737" s="1177">
        <v>10</v>
      </c>
      <c r="E737" s="1177">
        <v>0</v>
      </c>
      <c r="F737" s="1177">
        <v>26</v>
      </c>
      <c r="G737" s="1177">
        <v>15</v>
      </c>
      <c r="H737" s="1177">
        <v>65</v>
      </c>
      <c r="I737" s="1178">
        <v>0</v>
      </c>
      <c r="J737" s="1178">
        <v>0</v>
      </c>
      <c r="K737" s="1178">
        <v>0</v>
      </c>
      <c r="L737" s="1178">
        <v>0</v>
      </c>
      <c r="M737" s="1178">
        <v>0</v>
      </c>
      <c r="N737" s="1178">
        <v>0</v>
      </c>
      <c r="O737" s="1179">
        <f>SUM(C737:N737)/12</f>
        <v>10.083333333333334</v>
      </c>
      <c r="P737" s="1180">
        <f>O731/M!$Q$14</f>
        <v>5.8287904886095718E-4</v>
      </c>
      <c r="Q737" s="1235"/>
      <c r="R737" s="1235"/>
      <c r="S737" s="1235"/>
      <c r="T737" s="1235"/>
      <c r="U737" s="1235"/>
      <c r="V737" s="1235"/>
      <c r="W737" s="1235"/>
    </row>
    <row r="738" spans="1:23">
      <c r="A738" s="2191" t="s">
        <v>278</v>
      </c>
      <c r="B738" s="2192"/>
      <c r="C738" s="2203">
        <f t="shared" ref="C738:J738" si="197">SUM(C740:C741)</f>
        <v>619</v>
      </c>
      <c r="D738" s="2203">
        <f t="shared" si="197"/>
        <v>621</v>
      </c>
      <c r="E738" s="2203">
        <f t="shared" si="197"/>
        <v>464</v>
      </c>
      <c r="F738" s="2203">
        <f t="shared" si="197"/>
        <v>794</v>
      </c>
      <c r="G738" s="2203">
        <f t="shared" si="197"/>
        <v>654</v>
      </c>
      <c r="H738" s="2203">
        <f t="shared" si="197"/>
        <v>869</v>
      </c>
      <c r="I738" s="2203">
        <f t="shared" si="197"/>
        <v>956</v>
      </c>
      <c r="J738" s="2203">
        <f t="shared" si="197"/>
        <v>788</v>
      </c>
      <c r="K738" s="2203">
        <f>SUM(K740:K741)</f>
        <v>866</v>
      </c>
      <c r="L738" s="2203">
        <f>SUM(L740:L741)</f>
        <v>817</v>
      </c>
      <c r="M738" s="2203">
        <f>SUM(M740:M741)</f>
        <v>965</v>
      </c>
      <c r="N738" s="2203">
        <f>SUM(N740:N741)</f>
        <v>723</v>
      </c>
      <c r="O738" s="2203">
        <f>SUM(O740:O741)</f>
        <v>761.33333333333337</v>
      </c>
      <c r="P738" s="2205">
        <f>O732/M!$Q$14</f>
        <v>4.0233599988043503E-2</v>
      </c>
      <c r="Q738" s="1235"/>
      <c r="R738" s="1235"/>
      <c r="S738" s="1235"/>
      <c r="T738" s="1235"/>
      <c r="U738" s="1235"/>
      <c r="V738" s="1235"/>
      <c r="W738" s="1235"/>
    </row>
    <row r="739" spans="1:23">
      <c r="A739" s="2193"/>
      <c r="B739" s="2194"/>
      <c r="C739" s="2204"/>
      <c r="D739" s="2204"/>
      <c r="E739" s="2204"/>
      <c r="F739" s="2204"/>
      <c r="G739" s="2204"/>
      <c r="H739" s="2204"/>
      <c r="I739" s="2204"/>
      <c r="J739" s="2204"/>
      <c r="K739" s="2204"/>
      <c r="L739" s="2204"/>
      <c r="M739" s="2204"/>
      <c r="N739" s="2204"/>
      <c r="O739" s="2204"/>
      <c r="P739" s="2206"/>
      <c r="Q739" s="1235"/>
      <c r="R739" s="1235"/>
      <c r="S739" s="1235"/>
      <c r="T739" s="1235"/>
      <c r="U739" s="1235"/>
      <c r="V739" s="1235"/>
      <c r="W739" s="1235"/>
    </row>
    <row r="740" spans="1:23">
      <c r="A740" s="2217"/>
      <c r="B740" s="1176" t="s">
        <v>414</v>
      </c>
      <c r="C740" s="1177">
        <v>619</v>
      </c>
      <c r="D740" s="1177">
        <v>621</v>
      </c>
      <c r="E740" s="1177">
        <v>464</v>
      </c>
      <c r="F740" s="1177">
        <v>675</v>
      </c>
      <c r="G740" s="1177">
        <v>552</v>
      </c>
      <c r="H740" s="1177">
        <v>432</v>
      </c>
      <c r="I740" s="1178">
        <v>901</v>
      </c>
      <c r="J740" s="1178">
        <v>660</v>
      </c>
      <c r="K740" s="1178">
        <v>755</v>
      </c>
      <c r="L740" s="1178">
        <v>803</v>
      </c>
      <c r="M740" s="1178">
        <v>741</v>
      </c>
      <c r="N740" s="1178">
        <v>671</v>
      </c>
      <c r="O740" s="1179">
        <f>SUM(C740:N740)/12</f>
        <v>657.83333333333337</v>
      </c>
      <c r="P740" s="1180">
        <f>O734/M!$Q$14</f>
        <v>1.6462596726162678E-2</v>
      </c>
      <c r="Q740" s="1235"/>
      <c r="R740" s="1235"/>
      <c r="S740" s="1235"/>
      <c r="T740" s="1235"/>
      <c r="U740" s="1235"/>
      <c r="V740" s="1235"/>
      <c r="W740" s="1235"/>
    </row>
    <row r="741" spans="1:23">
      <c r="A741" s="2219"/>
      <c r="B741" s="1176" t="s">
        <v>278</v>
      </c>
      <c r="C741" s="1177">
        <v>0</v>
      </c>
      <c r="D741" s="1177">
        <v>0</v>
      </c>
      <c r="E741" s="1177">
        <v>0</v>
      </c>
      <c r="F741" s="1182">
        <v>119</v>
      </c>
      <c r="G741" s="1182">
        <v>102</v>
      </c>
      <c r="H741" s="1177">
        <v>437</v>
      </c>
      <c r="I741" s="1178">
        <v>55</v>
      </c>
      <c r="J741" s="1178">
        <v>128</v>
      </c>
      <c r="K741" s="1182">
        <v>111</v>
      </c>
      <c r="L741" s="1182">
        <v>14</v>
      </c>
      <c r="M741" s="1178">
        <v>224</v>
      </c>
      <c r="N741" s="1178">
        <v>52</v>
      </c>
      <c r="O741" s="1179">
        <f>SUM(C741:N741)/12</f>
        <v>103.5</v>
      </c>
      <c r="P741" s="1180">
        <f>O735/M!$Q$14</f>
        <v>1.7344388107772842E-2</v>
      </c>
      <c r="Q741" s="1235"/>
      <c r="R741" s="1235"/>
      <c r="S741" s="1235"/>
      <c r="T741" s="1235"/>
      <c r="U741" s="1235"/>
      <c r="V741" s="1235"/>
      <c r="W741" s="1235"/>
    </row>
    <row r="742" spans="1:23">
      <c r="A742" s="2191" t="s">
        <v>279</v>
      </c>
      <c r="B742" s="2192"/>
      <c r="C742" s="2203">
        <f t="shared" ref="C742:N742" si="198">SUM(C744:C751)</f>
        <v>448</v>
      </c>
      <c r="D742" s="2203">
        <f t="shared" si="198"/>
        <v>240</v>
      </c>
      <c r="E742" s="2203">
        <f t="shared" si="198"/>
        <v>238</v>
      </c>
      <c r="F742" s="2203">
        <f t="shared" si="198"/>
        <v>228</v>
      </c>
      <c r="G742" s="2203">
        <f t="shared" si="198"/>
        <v>222</v>
      </c>
      <c r="H742" s="2203">
        <f t="shared" si="198"/>
        <v>218</v>
      </c>
      <c r="I742" s="2203">
        <f t="shared" si="198"/>
        <v>378</v>
      </c>
      <c r="J742" s="2203">
        <f t="shared" si="198"/>
        <v>303</v>
      </c>
      <c r="K742" s="2203">
        <f t="shared" si="198"/>
        <v>403</v>
      </c>
      <c r="L742" s="2203">
        <f t="shared" si="198"/>
        <v>333</v>
      </c>
      <c r="M742" s="2203">
        <f t="shared" si="198"/>
        <v>345</v>
      </c>
      <c r="N742" s="2203">
        <f t="shared" si="198"/>
        <v>930</v>
      </c>
      <c r="O742" s="2203">
        <f>SUM(O744:O751)</f>
        <v>357.16666666666669</v>
      </c>
      <c r="P742" s="1180">
        <f>O736/M!$Q$14</f>
        <v>5.5224053475416337E-3</v>
      </c>
      <c r="Q742" s="1235"/>
      <c r="R742" s="1235"/>
      <c r="S742" s="1235"/>
      <c r="T742" s="1235"/>
      <c r="U742" s="1235"/>
      <c r="V742" s="1235"/>
      <c r="W742" s="1235"/>
    </row>
    <row r="743" spans="1:23">
      <c r="A743" s="2193"/>
      <c r="B743" s="2194"/>
      <c r="C743" s="2204"/>
      <c r="D743" s="2204"/>
      <c r="E743" s="2204"/>
      <c r="F743" s="2204"/>
      <c r="G743" s="2204"/>
      <c r="H743" s="2204"/>
      <c r="I743" s="2204"/>
      <c r="J743" s="2204"/>
      <c r="K743" s="2204"/>
      <c r="L743" s="2204"/>
      <c r="M743" s="2204"/>
      <c r="N743" s="2204"/>
      <c r="O743" s="2204"/>
      <c r="P743" s="1180">
        <f>O737/M!$Q$14</f>
        <v>9.0420980656635678E-4</v>
      </c>
      <c r="Q743" s="1235"/>
      <c r="R743" s="1235"/>
      <c r="S743" s="1235"/>
      <c r="T743" s="1235"/>
      <c r="U743" s="1235"/>
      <c r="V743" s="1235"/>
      <c r="W743" s="1235"/>
    </row>
    <row r="744" spans="1:23">
      <c r="A744" s="2217"/>
      <c r="B744" s="1176" t="s">
        <v>415</v>
      </c>
      <c r="C744" s="1182">
        <v>266</v>
      </c>
      <c r="D744" s="1182">
        <v>59</v>
      </c>
      <c r="E744" s="1182">
        <v>57</v>
      </c>
      <c r="F744" s="1182">
        <v>62</v>
      </c>
      <c r="G744" s="1182">
        <v>56</v>
      </c>
      <c r="H744" s="1182">
        <v>52</v>
      </c>
      <c r="I744" s="1182">
        <v>78</v>
      </c>
      <c r="J744" s="1182">
        <v>99</v>
      </c>
      <c r="K744" s="1182">
        <v>68</v>
      </c>
      <c r="L744" s="1182">
        <v>59</v>
      </c>
      <c r="M744" s="1182">
        <v>53</v>
      </c>
      <c r="N744" s="1182">
        <v>91</v>
      </c>
      <c r="O744" s="1179">
        <f t="shared" ref="O744:O751" si="199">SUM(C744:N744)/12</f>
        <v>83.333333333333329</v>
      </c>
      <c r="P744" s="2205">
        <f>O738/M!$Q$14</f>
        <v>6.8271576799919298E-2</v>
      </c>
      <c r="Q744" s="1235"/>
      <c r="R744" s="1235"/>
      <c r="S744" s="1235"/>
      <c r="T744" s="1235"/>
      <c r="U744" s="1235"/>
      <c r="V744" s="1235"/>
      <c r="W744" s="1235"/>
    </row>
    <row r="745" spans="1:23">
      <c r="A745" s="2218"/>
      <c r="B745" s="1176" t="s">
        <v>416</v>
      </c>
      <c r="C745" s="1182">
        <v>47</v>
      </c>
      <c r="D745" s="1182">
        <v>47</v>
      </c>
      <c r="E745" s="1182">
        <v>47</v>
      </c>
      <c r="F745" s="1182">
        <v>40</v>
      </c>
      <c r="G745" s="1182">
        <v>40</v>
      </c>
      <c r="H745" s="1182">
        <v>40</v>
      </c>
      <c r="I745" s="1182">
        <v>42</v>
      </c>
      <c r="J745" s="1182">
        <v>42</v>
      </c>
      <c r="K745" s="1182">
        <v>57</v>
      </c>
      <c r="L745" s="1182">
        <v>54</v>
      </c>
      <c r="M745" s="1182">
        <v>63</v>
      </c>
      <c r="N745" s="1182">
        <v>100</v>
      </c>
      <c r="O745" s="1179">
        <f t="shared" si="199"/>
        <v>51.583333333333336</v>
      </c>
      <c r="P745" s="2206"/>
      <c r="Q745" s="1235"/>
      <c r="R745" s="1235"/>
      <c r="S745" s="1235"/>
      <c r="T745" s="1235"/>
      <c r="U745" s="1235"/>
      <c r="V745" s="1235"/>
      <c r="W745" s="1235"/>
    </row>
    <row r="746" spans="1:23">
      <c r="A746" s="2218"/>
      <c r="B746" s="1176" t="s">
        <v>417</v>
      </c>
      <c r="C746" s="1182">
        <v>58</v>
      </c>
      <c r="D746" s="1182">
        <v>55</v>
      </c>
      <c r="E746" s="1182">
        <v>55</v>
      </c>
      <c r="F746" s="1182">
        <v>55</v>
      </c>
      <c r="G746" s="1182">
        <v>55</v>
      </c>
      <c r="H746" s="1182">
        <v>55</v>
      </c>
      <c r="I746" s="1182">
        <v>59</v>
      </c>
      <c r="J746" s="1182">
        <v>60</v>
      </c>
      <c r="K746" s="1182">
        <v>60</v>
      </c>
      <c r="L746" s="1182">
        <v>52</v>
      </c>
      <c r="M746" s="1182">
        <v>64</v>
      </c>
      <c r="N746" s="1182">
        <v>52</v>
      </c>
      <c r="O746" s="1179">
        <f t="shared" si="199"/>
        <v>56.666666666666664</v>
      </c>
      <c r="P746" s="1180">
        <f>O740/M!$Q$14</f>
        <v>5.8990348868056368E-2</v>
      </c>
      <c r="Q746" s="1235"/>
      <c r="R746" s="1235"/>
      <c r="S746" s="1235"/>
      <c r="T746" s="1235"/>
      <c r="U746" s="1235"/>
      <c r="V746" s="1235"/>
      <c r="W746" s="1235"/>
    </row>
    <row r="747" spans="1:23">
      <c r="A747" s="2218"/>
      <c r="B747" s="1176" t="s">
        <v>410</v>
      </c>
      <c r="C747" s="1182">
        <v>29</v>
      </c>
      <c r="D747" s="1182">
        <v>29</v>
      </c>
      <c r="E747" s="1182">
        <v>29</v>
      </c>
      <c r="F747" s="1182">
        <v>31</v>
      </c>
      <c r="G747" s="1182">
        <v>31</v>
      </c>
      <c r="H747" s="1182">
        <v>31</v>
      </c>
      <c r="I747" s="1182">
        <v>28</v>
      </c>
      <c r="J747" s="1182">
        <v>22</v>
      </c>
      <c r="K747" s="1182">
        <v>28</v>
      </c>
      <c r="L747" s="1182">
        <v>28</v>
      </c>
      <c r="M747" s="1182">
        <v>25</v>
      </c>
      <c r="N747" s="1182">
        <v>60</v>
      </c>
      <c r="O747" s="1179">
        <f t="shared" si="199"/>
        <v>30.916666666666668</v>
      </c>
      <c r="P747" s="1180">
        <f>O741/M!$Q$14</f>
        <v>9.2812279318629336E-3</v>
      </c>
      <c r="Q747" s="1235"/>
      <c r="R747" s="1235"/>
      <c r="S747" s="1235"/>
      <c r="T747" s="1235"/>
      <c r="U747" s="1235"/>
      <c r="V747" s="1235"/>
      <c r="W747" s="1235"/>
    </row>
    <row r="748" spans="1:23">
      <c r="A748" s="2218"/>
      <c r="B748" s="1176" t="s">
        <v>418</v>
      </c>
      <c r="C748" s="1182">
        <v>48</v>
      </c>
      <c r="D748" s="1182">
        <v>40</v>
      </c>
      <c r="E748" s="1182">
        <v>40</v>
      </c>
      <c r="F748" s="1182">
        <v>40</v>
      </c>
      <c r="G748" s="1182">
        <v>40</v>
      </c>
      <c r="H748" s="1182">
        <v>40</v>
      </c>
      <c r="I748" s="1182">
        <v>60</v>
      </c>
      <c r="J748" s="1182">
        <v>80</v>
      </c>
      <c r="K748" s="1182">
        <v>80</v>
      </c>
      <c r="L748" s="1182">
        <v>80</v>
      </c>
      <c r="M748" s="1182">
        <v>80</v>
      </c>
      <c r="N748" s="1182">
        <v>80</v>
      </c>
      <c r="O748" s="1179">
        <f t="shared" si="199"/>
        <v>59</v>
      </c>
      <c r="P748" s="2205">
        <f>O742/M!$Q$14</f>
        <v>3.2028456454077731E-2</v>
      </c>
      <c r="Q748" s="1235"/>
      <c r="R748" s="1235"/>
      <c r="S748" s="1235"/>
      <c r="T748" s="1235"/>
      <c r="U748" s="1235"/>
      <c r="V748" s="1235"/>
      <c r="W748" s="1235"/>
    </row>
    <row r="749" spans="1:23">
      <c r="A749" s="2218"/>
      <c r="B749" s="1176" t="s">
        <v>419</v>
      </c>
      <c r="C749" s="1182">
        <v>0</v>
      </c>
      <c r="D749" s="1182">
        <v>0</v>
      </c>
      <c r="E749" s="1182">
        <v>0</v>
      </c>
      <c r="F749" s="1182">
        <v>0</v>
      </c>
      <c r="G749" s="1182">
        <v>0</v>
      </c>
      <c r="H749" s="1182">
        <v>0</v>
      </c>
      <c r="I749" s="1182">
        <v>0</v>
      </c>
      <c r="J749" s="1182">
        <v>0</v>
      </c>
      <c r="K749" s="1182">
        <v>0</v>
      </c>
      <c r="L749" s="1182">
        <v>0</v>
      </c>
      <c r="M749" s="1182">
        <v>0</v>
      </c>
      <c r="N749" s="1182">
        <v>0</v>
      </c>
      <c r="O749" s="1179">
        <f t="shared" si="199"/>
        <v>0</v>
      </c>
      <c r="P749" s="2206"/>
      <c r="Q749" s="1235"/>
      <c r="R749" s="1235"/>
      <c r="S749" s="1235"/>
      <c r="T749" s="1235"/>
      <c r="U749" s="1235"/>
      <c r="V749" s="1235"/>
      <c r="W749" s="1235"/>
    </row>
    <row r="750" spans="1:23">
      <c r="A750" s="2218"/>
      <c r="B750" s="1176" t="s">
        <v>460</v>
      </c>
      <c r="C750" s="1182">
        <v>0</v>
      </c>
      <c r="D750" s="1182">
        <v>10</v>
      </c>
      <c r="E750" s="1182">
        <v>10</v>
      </c>
      <c r="F750" s="1182">
        <v>0</v>
      </c>
      <c r="G750" s="1182">
        <v>0</v>
      </c>
      <c r="H750" s="1182">
        <v>0</v>
      </c>
      <c r="I750" s="1182">
        <v>0</v>
      </c>
      <c r="J750" s="1182">
        <v>0</v>
      </c>
      <c r="K750" s="1182">
        <v>10</v>
      </c>
      <c r="L750" s="1182">
        <v>0</v>
      </c>
      <c r="M750" s="1182">
        <v>0</v>
      </c>
      <c r="N750" s="1182">
        <v>0</v>
      </c>
      <c r="O750" s="1179">
        <f t="shared" si="199"/>
        <v>2.5</v>
      </c>
      <c r="P750" s="1180">
        <f>O744/M!$Q$14</f>
        <v>7.4728083187302202E-3</v>
      </c>
      <c r="Q750" s="1235"/>
      <c r="R750" s="1235"/>
      <c r="S750" s="1235"/>
      <c r="T750" s="1235"/>
      <c r="U750" s="1235"/>
      <c r="V750" s="1235"/>
      <c r="W750" s="1235"/>
    </row>
    <row r="751" spans="1:23">
      <c r="A751" s="2219"/>
      <c r="B751" s="1176" t="s">
        <v>421</v>
      </c>
      <c r="C751" s="1182">
        <v>0</v>
      </c>
      <c r="D751" s="1182">
        <v>0</v>
      </c>
      <c r="E751" s="1182">
        <v>0</v>
      </c>
      <c r="F751" s="1182">
        <v>0</v>
      </c>
      <c r="G751" s="1182">
        <v>0</v>
      </c>
      <c r="H751" s="1182">
        <v>0</v>
      </c>
      <c r="I751" s="1182">
        <v>111</v>
      </c>
      <c r="J751" s="1182">
        <v>0</v>
      </c>
      <c r="K751" s="1182">
        <v>100</v>
      </c>
      <c r="L751" s="1182">
        <v>60</v>
      </c>
      <c r="M751" s="1182">
        <v>60</v>
      </c>
      <c r="N751" s="1182">
        <f>522 + 25</f>
        <v>547</v>
      </c>
      <c r="O751" s="1179">
        <f t="shared" si="199"/>
        <v>73.166666666666671</v>
      </c>
      <c r="P751" s="1180">
        <f>O745/M!$Q$14</f>
        <v>4.6256683492940072E-3</v>
      </c>
      <c r="Q751" s="1235"/>
      <c r="R751" s="1235"/>
      <c r="S751" s="1235"/>
      <c r="T751" s="1235"/>
      <c r="U751" s="1235"/>
      <c r="V751" s="1235"/>
      <c r="W751" s="1235"/>
    </row>
    <row r="752" spans="1:23">
      <c r="A752" s="2191" t="s">
        <v>280</v>
      </c>
      <c r="B752" s="2192"/>
      <c r="C752" s="2203">
        <f t="shared" ref="C752:O752" si="200">SUM(C754:C760)</f>
        <v>438</v>
      </c>
      <c r="D752" s="2203">
        <f t="shared" si="200"/>
        <v>388</v>
      </c>
      <c r="E752" s="2203">
        <f t="shared" si="200"/>
        <v>379</v>
      </c>
      <c r="F752" s="2203">
        <f t="shared" si="200"/>
        <v>934</v>
      </c>
      <c r="G752" s="2203">
        <f t="shared" si="200"/>
        <v>845</v>
      </c>
      <c r="H752" s="2203">
        <f t="shared" si="200"/>
        <v>3041</v>
      </c>
      <c r="I752" s="2203">
        <f t="shared" si="200"/>
        <v>843</v>
      </c>
      <c r="J752" s="2203">
        <f t="shared" si="200"/>
        <v>912</v>
      </c>
      <c r="K752" s="2203">
        <f t="shared" si="200"/>
        <v>215</v>
      </c>
      <c r="L752" s="2203">
        <f t="shared" si="200"/>
        <v>479</v>
      </c>
      <c r="M752" s="2203">
        <f t="shared" si="200"/>
        <v>787</v>
      </c>
      <c r="N752" s="2203">
        <f t="shared" si="200"/>
        <v>1516</v>
      </c>
      <c r="O752" s="2203">
        <f t="shared" si="200"/>
        <v>898.08333333333326</v>
      </c>
      <c r="P752" s="1180">
        <f>O746/M!$Q$14</f>
        <v>5.0815096567365502E-3</v>
      </c>
      <c r="Q752" s="1235"/>
      <c r="R752" s="1235"/>
      <c r="S752" s="1235"/>
      <c r="T752" s="1235"/>
      <c r="U752" s="1235"/>
      <c r="V752" s="1235"/>
      <c r="W752" s="1235"/>
    </row>
    <row r="753" spans="1:23">
      <c r="A753" s="2193"/>
      <c r="B753" s="2194"/>
      <c r="C753" s="2204"/>
      <c r="D753" s="2204"/>
      <c r="E753" s="2204"/>
      <c r="F753" s="2204"/>
      <c r="G753" s="2204"/>
      <c r="H753" s="2204"/>
      <c r="I753" s="2204"/>
      <c r="J753" s="2204"/>
      <c r="K753" s="2204"/>
      <c r="L753" s="2204"/>
      <c r="M753" s="2204"/>
      <c r="N753" s="2204"/>
      <c r="O753" s="2204"/>
      <c r="P753" s="1180">
        <f>O747/M!$Q$14</f>
        <v>2.7724118862489122E-3</v>
      </c>
      <c r="Q753" s="1235"/>
      <c r="R753" s="1235"/>
      <c r="S753" s="1235"/>
      <c r="T753" s="1235"/>
      <c r="U753" s="1235"/>
      <c r="V753" s="1235"/>
      <c r="W753" s="1235"/>
    </row>
    <row r="754" spans="1:23">
      <c r="A754" s="2217"/>
      <c r="B754" s="1176" t="s">
        <v>280</v>
      </c>
      <c r="C754" s="1177">
        <v>123</v>
      </c>
      <c r="D754" s="1177">
        <v>119</v>
      </c>
      <c r="E754" s="1177">
        <v>10</v>
      </c>
      <c r="F754" s="1177">
        <v>321</v>
      </c>
      <c r="G754" s="1177">
        <v>122</v>
      </c>
      <c r="H754" s="1177">
        <v>138</v>
      </c>
      <c r="I754" s="1178">
        <v>385</v>
      </c>
      <c r="J754" s="1178">
        <v>340</v>
      </c>
      <c r="K754" s="1177">
        <v>32</v>
      </c>
      <c r="L754" s="1182">
        <v>105</v>
      </c>
      <c r="M754" s="1182">
        <v>177</v>
      </c>
      <c r="N754" s="1182">
        <v>375</v>
      </c>
      <c r="O754" s="1179">
        <f t="shared" ref="O754:O760" si="201">SUM(C754:N754)/12</f>
        <v>187.25</v>
      </c>
      <c r="P754" s="1180">
        <f>O748/M!$Q$14</f>
        <v>5.2907482896609962E-3</v>
      </c>
      <c r="Q754" s="1235"/>
      <c r="R754" s="1235"/>
      <c r="S754" s="1235"/>
      <c r="T754" s="1235"/>
      <c r="U754" s="1235"/>
      <c r="V754" s="1235"/>
      <c r="W754" s="1235"/>
    </row>
    <row r="755" spans="1:23">
      <c r="A755" s="2218"/>
      <c r="B755" s="1176" t="s">
        <v>423</v>
      </c>
      <c r="C755" s="1177">
        <v>76</v>
      </c>
      <c r="D755" s="1177">
        <v>29</v>
      </c>
      <c r="E755" s="1177">
        <v>204</v>
      </c>
      <c r="F755" s="1177">
        <v>159</v>
      </c>
      <c r="G755" s="1177">
        <v>374</v>
      </c>
      <c r="H755" s="1177">
        <v>207</v>
      </c>
      <c r="I755" s="1178">
        <v>161</v>
      </c>
      <c r="J755" s="1178">
        <v>209</v>
      </c>
      <c r="K755" s="1177">
        <v>45</v>
      </c>
      <c r="L755" s="1182">
        <v>75</v>
      </c>
      <c r="M755" s="1182">
        <v>371</v>
      </c>
      <c r="N755" s="1182">
        <v>640</v>
      </c>
      <c r="O755" s="1179">
        <f t="shared" si="201"/>
        <v>212.5</v>
      </c>
      <c r="P755" s="1180">
        <f>O749/M!$Q$14</f>
        <v>0</v>
      </c>
      <c r="Q755" s="1235"/>
      <c r="R755" s="1235"/>
      <c r="S755" s="1235"/>
      <c r="T755" s="1235"/>
      <c r="U755" s="1235"/>
      <c r="V755" s="1235"/>
      <c r="W755" s="1235"/>
    </row>
    <row r="756" spans="1:23">
      <c r="A756" s="2218"/>
      <c r="B756" s="1176" t="s">
        <v>424</v>
      </c>
      <c r="C756" s="1177">
        <v>0</v>
      </c>
      <c r="D756" s="1177">
        <v>0</v>
      </c>
      <c r="E756" s="1177">
        <v>0</v>
      </c>
      <c r="F756" s="1177">
        <v>0</v>
      </c>
      <c r="G756" s="1177">
        <v>0</v>
      </c>
      <c r="H756" s="1177">
        <v>0</v>
      </c>
      <c r="I756" s="1182">
        <v>0</v>
      </c>
      <c r="J756" s="1178">
        <v>0</v>
      </c>
      <c r="K756" s="1177">
        <v>0</v>
      </c>
      <c r="L756" s="1182">
        <v>0</v>
      </c>
      <c r="M756" s="1182">
        <v>0</v>
      </c>
      <c r="N756" s="1182">
        <v>0</v>
      </c>
      <c r="O756" s="1179">
        <f t="shared" si="201"/>
        <v>0</v>
      </c>
      <c r="P756" s="1180">
        <f>O750/M!$Q$14</f>
        <v>2.2418424956190662E-4</v>
      </c>
      <c r="Q756" s="1235"/>
      <c r="R756" s="1235"/>
      <c r="S756" s="1235"/>
      <c r="T756" s="1235"/>
      <c r="U756" s="1235"/>
      <c r="V756" s="1235"/>
      <c r="W756" s="1235"/>
    </row>
    <row r="757" spans="1:23">
      <c r="A757" s="2218"/>
      <c r="B757" s="1176" t="s">
        <v>425</v>
      </c>
      <c r="C757" s="1177">
        <v>0</v>
      </c>
      <c r="D757" s="1177">
        <v>0</v>
      </c>
      <c r="E757" s="1177">
        <v>22</v>
      </c>
      <c r="F757" s="1177">
        <v>0</v>
      </c>
      <c r="G757" s="1177">
        <v>70</v>
      </c>
      <c r="H757" s="1177">
        <v>16</v>
      </c>
      <c r="I757" s="1178">
        <v>0</v>
      </c>
      <c r="J757" s="1178">
        <v>0</v>
      </c>
      <c r="K757" s="1177">
        <v>0</v>
      </c>
      <c r="L757" s="1182">
        <v>0</v>
      </c>
      <c r="M757" s="1182">
        <v>24</v>
      </c>
      <c r="N757" s="1182">
        <v>145</v>
      </c>
      <c r="O757" s="1179">
        <f t="shared" si="201"/>
        <v>23.083333333333332</v>
      </c>
      <c r="P757" s="1180">
        <f>O751/M!$Q$14</f>
        <v>6.5611257038451342E-3</v>
      </c>
      <c r="Q757" s="1235"/>
      <c r="R757" s="1235"/>
      <c r="S757" s="1235"/>
      <c r="T757" s="1235"/>
      <c r="U757" s="1235"/>
      <c r="V757" s="1235"/>
      <c r="W757" s="1235"/>
    </row>
    <row r="758" spans="1:23">
      <c r="A758" s="2218"/>
      <c r="B758" s="1176" t="s">
        <v>667</v>
      </c>
      <c r="C758" s="1177">
        <v>145</v>
      </c>
      <c r="D758" s="1177">
        <v>98</v>
      </c>
      <c r="E758" s="1177">
        <v>29</v>
      </c>
      <c r="F758" s="1182">
        <v>84</v>
      </c>
      <c r="G758" s="1177">
        <v>50</v>
      </c>
      <c r="H758" s="1177">
        <v>278</v>
      </c>
      <c r="I758" s="1178">
        <v>203</v>
      </c>
      <c r="J758" s="1178">
        <v>264</v>
      </c>
      <c r="K758" s="1177">
        <v>32</v>
      </c>
      <c r="L758" s="1182">
        <v>68</v>
      </c>
      <c r="M758" s="1182">
        <v>115</v>
      </c>
      <c r="N758" s="1182">
        <v>150</v>
      </c>
      <c r="O758" s="1179">
        <f t="shared" si="201"/>
        <v>126.33333333333333</v>
      </c>
      <c r="P758" s="2205">
        <f>O752/M!$Q$14</f>
        <v>8.0534455250955581E-2</v>
      </c>
      <c r="Q758" s="1235"/>
      <c r="R758" s="1235"/>
      <c r="S758" s="1235"/>
      <c r="T758" s="1235"/>
      <c r="U758" s="1235"/>
      <c r="V758" s="1235"/>
      <c r="W758" s="1235"/>
    </row>
    <row r="759" spans="1:23">
      <c r="A759" s="2218"/>
      <c r="B759" s="1176" t="s">
        <v>427</v>
      </c>
      <c r="C759" s="1177">
        <v>94</v>
      </c>
      <c r="D759" s="1177">
        <v>94</v>
      </c>
      <c r="E759" s="1177">
        <v>94</v>
      </c>
      <c r="F759" s="1177">
        <v>94</v>
      </c>
      <c r="G759" s="1177">
        <v>94</v>
      </c>
      <c r="H759" s="1177">
        <v>94</v>
      </c>
      <c r="I759" s="1177">
        <v>94</v>
      </c>
      <c r="J759" s="1177">
        <v>94</v>
      </c>
      <c r="K759" s="1177">
        <v>94</v>
      </c>
      <c r="L759" s="1177">
        <v>94</v>
      </c>
      <c r="M759" s="1177">
        <v>94</v>
      </c>
      <c r="N759" s="1177">
        <v>94</v>
      </c>
      <c r="O759" s="1179">
        <f t="shared" si="201"/>
        <v>94</v>
      </c>
      <c r="P759" s="2206"/>
      <c r="Q759" s="1235"/>
      <c r="R759" s="1235"/>
      <c r="S759" s="1235"/>
      <c r="T759" s="1235"/>
      <c r="U759" s="1235"/>
      <c r="V759" s="1235"/>
      <c r="W759" s="1235"/>
    </row>
    <row r="760" spans="1:23">
      <c r="A760" s="2219"/>
      <c r="B760" s="1176" t="s">
        <v>381</v>
      </c>
      <c r="C760" s="1177">
        <v>0</v>
      </c>
      <c r="D760" s="1177">
        <v>48</v>
      </c>
      <c r="E760" s="1177">
        <v>20</v>
      </c>
      <c r="F760" s="1182">
        <v>276</v>
      </c>
      <c r="G760" s="1177">
        <v>135</v>
      </c>
      <c r="H760" s="1177">
        <v>2308</v>
      </c>
      <c r="I760" s="1178">
        <v>0</v>
      </c>
      <c r="J760" s="1178">
        <v>5</v>
      </c>
      <c r="K760" s="1177">
        <v>12</v>
      </c>
      <c r="L760" s="1182">
        <v>137</v>
      </c>
      <c r="M760" s="1182">
        <v>6</v>
      </c>
      <c r="N760" s="1182">
        <v>112</v>
      </c>
      <c r="O760" s="1179">
        <f t="shared" si="201"/>
        <v>254.91666666666666</v>
      </c>
      <c r="P760" s="1180">
        <f>O754/M!$Q$14</f>
        <v>1.6791400292186807E-2</v>
      </c>
      <c r="Q760" s="1235"/>
      <c r="R760" s="1235"/>
      <c r="S760" s="1235"/>
      <c r="T760" s="1235"/>
      <c r="U760" s="1235"/>
      <c r="V760" s="1235"/>
      <c r="W760" s="1235"/>
    </row>
    <row r="761" spans="1:23">
      <c r="A761" s="2191" t="s">
        <v>428</v>
      </c>
      <c r="B761" s="2192"/>
      <c r="C761" s="2203">
        <f>SUM(C763:C764)</f>
        <v>1774.4</v>
      </c>
      <c r="D761" s="2203">
        <f t="shared" ref="D761:N761" si="202">SUM(D763:D764)</f>
        <v>1774.4</v>
      </c>
      <c r="E761" s="2203">
        <f t="shared" si="202"/>
        <v>1774.4</v>
      </c>
      <c r="F761" s="2203">
        <f t="shared" si="202"/>
        <v>1774.4</v>
      </c>
      <c r="G761" s="2203">
        <f t="shared" si="202"/>
        <v>1774.4</v>
      </c>
      <c r="H761" s="2203">
        <f t="shared" si="202"/>
        <v>1523</v>
      </c>
      <c r="I761" s="2203">
        <f t="shared" si="202"/>
        <v>2250</v>
      </c>
      <c r="J761" s="2203">
        <f t="shared" si="202"/>
        <v>2224.5</v>
      </c>
      <c r="K761" s="2203">
        <f t="shared" si="202"/>
        <v>3260</v>
      </c>
      <c r="L761" s="2203">
        <f t="shared" si="202"/>
        <v>1718</v>
      </c>
      <c r="M761" s="2203">
        <f t="shared" si="202"/>
        <v>1718</v>
      </c>
      <c r="N761" s="2203">
        <f t="shared" si="202"/>
        <v>1718</v>
      </c>
      <c r="O761" s="2203">
        <f>SUM(O763:O764)</f>
        <v>1940.2916666666665</v>
      </c>
      <c r="P761" s="1180">
        <f>O755/M!$Q$14</f>
        <v>1.9055661212762063E-2</v>
      </c>
      <c r="Q761" s="1235"/>
      <c r="R761" s="1235"/>
      <c r="S761" s="1235"/>
      <c r="T761" s="1235"/>
      <c r="U761" s="1235"/>
      <c r="V761" s="1235"/>
      <c r="W761" s="1235"/>
    </row>
    <row r="762" spans="1:23">
      <c r="A762" s="2193"/>
      <c r="B762" s="2194"/>
      <c r="C762" s="2204"/>
      <c r="D762" s="2204"/>
      <c r="E762" s="2204"/>
      <c r="F762" s="2204"/>
      <c r="G762" s="2204"/>
      <c r="H762" s="2204"/>
      <c r="I762" s="2204"/>
      <c r="J762" s="2204"/>
      <c r="K762" s="2204"/>
      <c r="L762" s="2204"/>
      <c r="M762" s="2204"/>
      <c r="N762" s="2204"/>
      <c r="O762" s="2204"/>
      <c r="P762" s="1180">
        <f>O756/M!$Q$14</f>
        <v>0</v>
      </c>
      <c r="Q762" s="1235"/>
      <c r="R762" s="1235"/>
      <c r="S762" s="1235"/>
      <c r="T762" s="1235"/>
      <c r="U762" s="1235"/>
      <c r="V762" s="1235"/>
      <c r="W762" s="1235"/>
    </row>
    <row r="763" spans="1:23">
      <c r="A763" s="2217"/>
      <c r="B763" s="1176" t="s">
        <v>429</v>
      </c>
      <c r="C763" s="1177">
        <f xml:space="preserve"> (1457 + 300 )/5</f>
        <v>351.4</v>
      </c>
      <c r="D763" s="1177">
        <f xml:space="preserve"> (1457 + 300 )/5</f>
        <v>351.4</v>
      </c>
      <c r="E763" s="1177">
        <f xml:space="preserve"> (1457 + 300 )/5</f>
        <v>351.4</v>
      </c>
      <c r="F763" s="1177">
        <f xml:space="preserve"> (1457 + 300 )/5</f>
        <v>351.4</v>
      </c>
      <c r="G763" s="1177">
        <f xml:space="preserve"> (1457 + 300 )/5</f>
        <v>351.4</v>
      </c>
      <c r="H763" s="1177">
        <v>100</v>
      </c>
      <c r="I763" s="1182">
        <v>0</v>
      </c>
      <c r="J763" s="1182">
        <v>130</v>
      </c>
      <c r="K763" s="1182">
        <f xml:space="preserve"> 295 + 360 + 120 + 149 + 60</f>
        <v>984</v>
      </c>
      <c r="L763" s="1182">
        <f xml:space="preserve"> 295</f>
        <v>295</v>
      </c>
      <c r="M763" s="1182">
        <f xml:space="preserve"> 295</f>
        <v>295</v>
      </c>
      <c r="N763" s="1182">
        <f xml:space="preserve"> 295</f>
        <v>295</v>
      </c>
      <c r="O763" s="1179">
        <f>SUM(C763:N763)/12</f>
        <v>321.33333333333331</v>
      </c>
      <c r="P763" s="1180">
        <f>O757/M!$Q$14</f>
        <v>2.0699679042882712E-3</v>
      </c>
      <c r="Q763" s="1235"/>
      <c r="R763" s="1235"/>
      <c r="S763" s="1235"/>
      <c r="T763" s="1235"/>
      <c r="U763" s="1235"/>
      <c r="V763" s="1235"/>
      <c r="W763" s="1235"/>
    </row>
    <row r="764" spans="1:23">
      <c r="A764" s="2218"/>
      <c r="B764" s="1176" t="s">
        <v>430</v>
      </c>
      <c r="C764" s="1177">
        <v>1423</v>
      </c>
      <c r="D764" s="1177">
        <v>1423</v>
      </c>
      <c r="E764" s="1177">
        <v>1423</v>
      </c>
      <c r="F764" s="1177">
        <v>1423</v>
      </c>
      <c r="G764" s="1177">
        <v>1423</v>
      </c>
      <c r="H764" s="1177">
        <v>1423</v>
      </c>
      <c r="I764" s="1177">
        <v>2250</v>
      </c>
      <c r="J764" s="1177">
        <f xml:space="preserve"> 1423/2 + 1383</f>
        <v>2094.5</v>
      </c>
      <c r="K764" s="1177">
        <f xml:space="preserve"> 1497 + 120 + 265 + 324 + 60 + 10</f>
        <v>2276</v>
      </c>
      <c r="L764" s="1177">
        <v>1423</v>
      </c>
      <c r="M764" s="1177">
        <v>1423</v>
      </c>
      <c r="N764" s="1177">
        <v>1423</v>
      </c>
      <c r="O764" s="1179">
        <f>SUM(C764:N764)/12</f>
        <v>1618.9583333333333</v>
      </c>
      <c r="P764" s="1180">
        <f>O758/M!$Q$14</f>
        <v>1.1328777411195014E-2</v>
      </c>
      <c r="Q764" s="1235"/>
      <c r="R764" s="1235"/>
      <c r="S764" s="1235"/>
      <c r="T764" s="1235"/>
      <c r="U764" s="1235"/>
      <c r="V764" s="1235"/>
      <c r="W764" s="1235"/>
    </row>
    <row r="765" spans="1:23">
      <c r="A765" s="2191" t="s">
        <v>668</v>
      </c>
      <c r="B765" s="2192"/>
      <c r="C765" s="2203">
        <f>SUM(C767:C770)</f>
        <v>560.16666666666674</v>
      </c>
      <c r="D765" s="2203">
        <f t="shared" ref="D765:N765" si="203">SUM(D767:D770)</f>
        <v>534.16666666666674</v>
      </c>
      <c r="E765" s="2203">
        <f t="shared" si="203"/>
        <v>534.16666666666674</v>
      </c>
      <c r="F765" s="2203">
        <f t="shared" si="203"/>
        <v>528.16666666666674</v>
      </c>
      <c r="G765" s="2203">
        <f t="shared" si="203"/>
        <v>545.16666666666674</v>
      </c>
      <c r="H765" s="2203">
        <f t="shared" si="203"/>
        <v>550.16666666666674</v>
      </c>
      <c r="I765" s="2203">
        <f t="shared" si="203"/>
        <v>510.16666666666669</v>
      </c>
      <c r="J765" s="2203">
        <f t="shared" si="203"/>
        <v>510.16666666666669</v>
      </c>
      <c r="K765" s="2203">
        <f t="shared" si="203"/>
        <v>510.16666666666669</v>
      </c>
      <c r="L765" s="2203">
        <f t="shared" si="203"/>
        <v>510.16666666666669</v>
      </c>
      <c r="M765" s="2203">
        <f t="shared" si="203"/>
        <v>510.16666666666669</v>
      </c>
      <c r="N765" s="2203">
        <f t="shared" si="203"/>
        <v>530.16666666666674</v>
      </c>
      <c r="O765" s="2203">
        <f>SUM(O767:O770)</f>
        <v>527.75</v>
      </c>
      <c r="P765" s="1180">
        <f>O759/M!$Q$14</f>
        <v>8.4293277835276893E-3</v>
      </c>
      <c r="Q765" s="1235"/>
      <c r="R765" s="1235"/>
      <c r="S765" s="1235"/>
      <c r="T765" s="1235"/>
      <c r="U765" s="1235"/>
      <c r="V765" s="1235"/>
      <c r="W765" s="1235"/>
    </row>
    <row r="766" spans="1:23">
      <c r="A766" s="2193"/>
      <c r="B766" s="2194"/>
      <c r="C766" s="2204"/>
      <c r="D766" s="2204"/>
      <c r="E766" s="2204"/>
      <c r="F766" s="2204"/>
      <c r="G766" s="2204"/>
      <c r="H766" s="2204"/>
      <c r="I766" s="2204"/>
      <c r="J766" s="2204"/>
      <c r="K766" s="2204"/>
      <c r="L766" s="2204"/>
      <c r="M766" s="2204"/>
      <c r="N766" s="2204"/>
      <c r="O766" s="2204"/>
      <c r="P766" s="1180">
        <f>O760/M!$Q$14</f>
        <v>2.2859320646995744E-2</v>
      </c>
      <c r="Q766" s="1235"/>
      <c r="R766" s="1235"/>
      <c r="S766" s="1235"/>
      <c r="T766" s="1235"/>
      <c r="U766" s="1235"/>
      <c r="V766" s="1235"/>
      <c r="W766" s="1235"/>
    </row>
    <row r="767" spans="1:23">
      <c r="A767" s="1183"/>
      <c r="B767" s="1176" t="s">
        <v>432</v>
      </c>
      <c r="C767" s="1184">
        <f>(FinSnapshot!$Q$94+FinSnapshot!$Q$102)/12</f>
        <v>78.166666666666671</v>
      </c>
      <c r="D767" s="1184">
        <f>(FinSnapshot!$Q$94+FinSnapshot!$Q$102)/12</f>
        <v>78.166666666666671</v>
      </c>
      <c r="E767" s="1184">
        <f>(FinSnapshot!$Q$94+FinSnapshot!$Q$102)/12</f>
        <v>78.166666666666671</v>
      </c>
      <c r="F767" s="1184">
        <f>(FinSnapshot!$Q$94+FinSnapshot!$Q$102)/12</f>
        <v>78.166666666666671</v>
      </c>
      <c r="G767" s="1184">
        <f>(FinSnapshot!$Q$94+FinSnapshot!$Q$102)/12</f>
        <v>78.166666666666671</v>
      </c>
      <c r="H767" s="1184">
        <f>(FinSnapshot!$Q$94+FinSnapshot!$Q$102)/12</f>
        <v>78.166666666666671</v>
      </c>
      <c r="I767" s="1184">
        <f>(FinSnapshot!$Q$94+FinSnapshot!$Q$102)/12</f>
        <v>78.166666666666671</v>
      </c>
      <c r="J767" s="1184">
        <f>(FinSnapshot!$Q$94+FinSnapshot!$Q$102)/12</f>
        <v>78.166666666666671</v>
      </c>
      <c r="K767" s="1184">
        <f>(FinSnapshot!$Q$94+FinSnapshot!$Q$102)/12</f>
        <v>78.166666666666671</v>
      </c>
      <c r="L767" s="1184">
        <f>(FinSnapshot!$Q$94+FinSnapshot!$Q$102)/12</f>
        <v>78.166666666666671</v>
      </c>
      <c r="M767" s="1184">
        <f>(FinSnapshot!$Q$94+FinSnapshot!$Q$102)/12</f>
        <v>78.166666666666671</v>
      </c>
      <c r="N767" s="1184">
        <f>(FinSnapshot!$Q$94+FinSnapshot!$Q$102)/12</f>
        <v>78.166666666666671</v>
      </c>
      <c r="O767" s="1179">
        <f>SUM(C767:N767)/12</f>
        <v>78.166666666666657</v>
      </c>
      <c r="P767" s="2205">
        <f>O761/M!$Q$14</f>
        <v>0.17399313248915507</v>
      </c>
      <c r="Q767" s="1235"/>
      <c r="R767" s="1235"/>
      <c r="S767" s="1235"/>
      <c r="T767" s="1235"/>
      <c r="U767" s="1235"/>
      <c r="V767" s="1235"/>
      <c r="W767" s="1235"/>
    </row>
    <row r="768" spans="1:23">
      <c r="A768" s="1183"/>
      <c r="B768" s="1176" t="s">
        <v>284</v>
      </c>
      <c r="C768" s="1177">
        <v>50</v>
      </c>
      <c r="D768" s="1177">
        <v>24</v>
      </c>
      <c r="E768" s="1177">
        <v>24</v>
      </c>
      <c r="F768" s="1177">
        <v>18</v>
      </c>
      <c r="G768" s="1177">
        <v>35</v>
      </c>
      <c r="H768" s="1177">
        <v>40</v>
      </c>
      <c r="I768" s="1178">
        <v>0</v>
      </c>
      <c r="J768" s="1178">
        <v>0</v>
      </c>
      <c r="K768" s="1177">
        <v>0</v>
      </c>
      <c r="L768" s="1182">
        <v>0</v>
      </c>
      <c r="M768" s="1182">
        <v>0</v>
      </c>
      <c r="N768" s="1182">
        <v>20</v>
      </c>
      <c r="O768" s="1179">
        <f>SUM(C768:N768)/12</f>
        <v>17.583333333333332</v>
      </c>
      <c r="P768" s="2206"/>
      <c r="Q768" s="1235"/>
      <c r="R768" s="1235"/>
      <c r="S768" s="1235"/>
      <c r="T768" s="1235"/>
      <c r="U768" s="1235"/>
      <c r="V768" s="1235"/>
      <c r="W768" s="1235"/>
    </row>
    <row r="769" spans="1:23">
      <c r="A769" s="1183"/>
      <c r="B769" s="1176" t="s">
        <v>433</v>
      </c>
      <c r="C769" s="1177">
        <f>ROUNDUP(((SUM(FinSnapshot!$P$93:$P$108)- FinSnapshot!$P$102)/12),0)</f>
        <v>229</v>
      </c>
      <c r="D769" s="1177">
        <f>ROUNDUP(((SUM(FinSnapshot!$P$93:$P$108)- FinSnapshot!$P$102)/12),0)</f>
        <v>229</v>
      </c>
      <c r="E769" s="1177">
        <f>ROUNDUP(((SUM(FinSnapshot!$P$93:$P$108)- FinSnapshot!$P$102)/12),0)</f>
        <v>229</v>
      </c>
      <c r="F769" s="1177">
        <f>ROUNDUP(((SUM(FinSnapshot!$P$93:$P$108)- FinSnapshot!$P$102)/12),0)</f>
        <v>229</v>
      </c>
      <c r="G769" s="1177">
        <f>ROUNDUP(((SUM(FinSnapshot!$P$93:$P$108)- FinSnapshot!$P$102)/12),0)</f>
        <v>229</v>
      </c>
      <c r="H769" s="1177">
        <f>ROUNDUP(((SUM(FinSnapshot!$P$93:$P$108)- FinSnapshot!$P$102)/12),0)</f>
        <v>229</v>
      </c>
      <c r="I769" s="1177">
        <f>ROUNDUP(((SUM(FinSnapshot!$P$93:$P$108)- FinSnapshot!$P$102)/12),0)</f>
        <v>229</v>
      </c>
      <c r="J769" s="1177">
        <f>ROUNDUP(((SUM(FinSnapshot!$P$93:$P$108)- FinSnapshot!$P$102)/12),0)</f>
        <v>229</v>
      </c>
      <c r="K769" s="1177">
        <f>ROUNDUP(((SUM(FinSnapshot!$P$93:$P$108)- FinSnapshot!$P$102)/12),0)</f>
        <v>229</v>
      </c>
      <c r="L769" s="1177">
        <f>ROUNDUP(((SUM(FinSnapshot!$P$93:$P$108)- FinSnapshot!$P$102)/12),0)</f>
        <v>229</v>
      </c>
      <c r="M769" s="1177">
        <f>ROUNDUP(((SUM(FinSnapshot!$P$93:$P$108)- FinSnapshot!$P$102)/12),0)</f>
        <v>229</v>
      </c>
      <c r="N769" s="1177">
        <f>ROUNDUP(((SUM(FinSnapshot!$P$93:$P$108)- FinSnapshot!$P$102)/12),0)</f>
        <v>229</v>
      </c>
      <c r="O769" s="1179">
        <f>SUM(C769:N769)/12</f>
        <v>229</v>
      </c>
      <c r="P769" s="1180">
        <f>O763/M!$Q$14</f>
        <v>2.881514887702373E-2</v>
      </c>
      <c r="Q769" s="1235"/>
      <c r="R769" s="1235"/>
      <c r="S769" s="1235"/>
      <c r="T769" s="1235"/>
      <c r="U769" s="1235"/>
      <c r="V769" s="1235"/>
      <c r="W769" s="1235"/>
    </row>
    <row r="770" spans="1:23">
      <c r="A770" s="1183"/>
      <c r="B770" s="1176" t="s">
        <v>434</v>
      </c>
      <c r="C770" s="1184">
        <f>ROUNDUP(((382+704+875+465)/12),0)</f>
        <v>203</v>
      </c>
      <c r="D770" s="1184">
        <f t="shared" ref="D770:N770" si="204">ROUNDUP(((382+704+875+465)/12),0)</f>
        <v>203</v>
      </c>
      <c r="E770" s="1184">
        <f t="shared" si="204"/>
        <v>203</v>
      </c>
      <c r="F770" s="1184">
        <f t="shared" si="204"/>
        <v>203</v>
      </c>
      <c r="G770" s="1184">
        <f t="shared" si="204"/>
        <v>203</v>
      </c>
      <c r="H770" s="1184">
        <f t="shared" si="204"/>
        <v>203</v>
      </c>
      <c r="I770" s="1184">
        <f t="shared" si="204"/>
        <v>203</v>
      </c>
      <c r="J770" s="1184">
        <f t="shared" si="204"/>
        <v>203</v>
      </c>
      <c r="K770" s="1184">
        <f t="shared" si="204"/>
        <v>203</v>
      </c>
      <c r="L770" s="1184">
        <f t="shared" si="204"/>
        <v>203</v>
      </c>
      <c r="M770" s="1184">
        <f t="shared" si="204"/>
        <v>203</v>
      </c>
      <c r="N770" s="1184">
        <f t="shared" si="204"/>
        <v>203</v>
      </c>
      <c r="O770" s="1179">
        <f>SUM(C770:N770)/12</f>
        <v>203</v>
      </c>
      <c r="P770" s="1180">
        <f>O764/M!$Q$14</f>
        <v>0.14517798361213136</v>
      </c>
      <c r="Q770" s="1235"/>
      <c r="R770" s="1235"/>
      <c r="S770" s="1235"/>
      <c r="T770" s="1235"/>
      <c r="U770" s="1235"/>
      <c r="V770" s="1235"/>
      <c r="W770" s="1235"/>
    </row>
    <row r="771" spans="1:23">
      <c r="A771" s="2191" t="s">
        <v>435</v>
      </c>
      <c r="B771" s="2192"/>
      <c r="C771" s="2203">
        <f>SUM(C773:C775)</f>
        <v>50</v>
      </c>
      <c r="D771" s="2203">
        <f t="shared" ref="D771:N771" si="205">SUM(D773:D775)</f>
        <v>0</v>
      </c>
      <c r="E771" s="2203">
        <f t="shared" si="205"/>
        <v>0</v>
      </c>
      <c r="F771" s="2203">
        <f t="shared" si="205"/>
        <v>222</v>
      </c>
      <c r="G771" s="2203">
        <f t="shared" si="205"/>
        <v>170</v>
      </c>
      <c r="H771" s="2203">
        <f t="shared" si="205"/>
        <v>168</v>
      </c>
      <c r="I771" s="2203">
        <f t="shared" si="205"/>
        <v>180</v>
      </c>
      <c r="J771" s="2203">
        <f t="shared" si="205"/>
        <v>0</v>
      </c>
      <c r="K771" s="2203">
        <f t="shared" si="205"/>
        <v>72</v>
      </c>
      <c r="L771" s="2203">
        <f t="shared" si="205"/>
        <v>108</v>
      </c>
      <c r="M771" s="2203">
        <f t="shared" si="205"/>
        <v>50</v>
      </c>
      <c r="N771" s="2203">
        <f t="shared" si="205"/>
        <v>0</v>
      </c>
      <c r="O771" s="2203">
        <f>SUM(O773:O775)</f>
        <v>85</v>
      </c>
      <c r="P771" s="2205">
        <f>O765/M!$Q$14</f>
        <v>4.7325295082518488E-2</v>
      </c>
      <c r="Q771" s="1235"/>
      <c r="R771" s="1235"/>
      <c r="S771" s="1235"/>
      <c r="T771" s="1235"/>
      <c r="U771" s="1235"/>
      <c r="V771" s="1235"/>
      <c r="W771" s="1235"/>
    </row>
    <row r="772" spans="1:23">
      <c r="A772" s="2193"/>
      <c r="B772" s="2194"/>
      <c r="C772" s="2204"/>
      <c r="D772" s="2204"/>
      <c r="E772" s="2204"/>
      <c r="F772" s="2204"/>
      <c r="G772" s="2204"/>
      <c r="H772" s="2204"/>
      <c r="I772" s="2204"/>
      <c r="J772" s="2204"/>
      <c r="K772" s="2204"/>
      <c r="L772" s="2204"/>
      <c r="M772" s="2204"/>
      <c r="N772" s="2204"/>
      <c r="O772" s="2204"/>
      <c r="P772" s="2206"/>
      <c r="Q772" s="1235"/>
      <c r="R772" s="1235"/>
      <c r="S772" s="1235"/>
      <c r="T772" s="1235"/>
      <c r="U772" s="1235"/>
      <c r="V772" s="1235"/>
      <c r="W772" s="1235"/>
    </row>
    <row r="773" spans="1:23">
      <c r="A773" s="1183"/>
      <c r="B773" s="1176" t="s">
        <v>405</v>
      </c>
      <c r="C773" s="1177">
        <v>0</v>
      </c>
      <c r="D773" s="1177">
        <v>0</v>
      </c>
      <c r="E773" s="1177">
        <v>0</v>
      </c>
      <c r="F773" s="1177">
        <v>0</v>
      </c>
      <c r="G773" s="1177">
        <v>0</v>
      </c>
      <c r="H773" s="1177">
        <v>0</v>
      </c>
      <c r="I773" s="1177">
        <v>0</v>
      </c>
      <c r="J773" s="1177">
        <v>0</v>
      </c>
      <c r="K773" s="1177">
        <v>0</v>
      </c>
      <c r="L773" s="1177">
        <v>0</v>
      </c>
      <c r="M773" s="1177">
        <v>0</v>
      </c>
      <c r="N773" s="1177">
        <v>0</v>
      </c>
      <c r="O773" s="1179">
        <f>SUM(C773:N773)/12</f>
        <v>0</v>
      </c>
      <c r="P773" s="1186"/>
      <c r="Q773" s="1235"/>
      <c r="R773" s="1235"/>
      <c r="S773" s="1235"/>
      <c r="T773" s="1235"/>
      <c r="U773" s="1235"/>
      <c r="V773" s="1235"/>
      <c r="W773" s="1235"/>
    </row>
    <row r="774" spans="1:23">
      <c r="A774" s="1183"/>
      <c r="B774" s="1176" t="s">
        <v>436</v>
      </c>
      <c r="C774" s="1177">
        <v>0</v>
      </c>
      <c r="D774" s="1177">
        <v>0</v>
      </c>
      <c r="E774" s="1177">
        <v>0</v>
      </c>
      <c r="F774" s="1177">
        <v>222</v>
      </c>
      <c r="G774" s="1177">
        <v>170</v>
      </c>
      <c r="H774" s="1177">
        <v>168</v>
      </c>
      <c r="I774" s="1182">
        <v>60</v>
      </c>
      <c r="J774" s="1178">
        <v>0</v>
      </c>
      <c r="K774" s="1177">
        <v>0</v>
      </c>
      <c r="L774" s="1177">
        <v>108</v>
      </c>
      <c r="M774" s="1177">
        <v>50</v>
      </c>
      <c r="N774" s="1177">
        <v>0</v>
      </c>
      <c r="O774" s="1179">
        <f>SUM(C774:N774)/12</f>
        <v>64.833333333333329</v>
      </c>
      <c r="P774" s="1180">
        <f>O768/M!$Q$14</f>
        <v>1.5767625552520765E-3</v>
      </c>
      <c r="Q774" s="1235"/>
      <c r="R774" s="1235"/>
      <c r="S774" s="1235"/>
      <c r="T774" s="1235"/>
      <c r="U774" s="1235"/>
      <c r="V774" s="1235"/>
      <c r="W774" s="1235"/>
    </row>
    <row r="775" spans="1:23">
      <c r="A775" s="1183"/>
      <c r="B775" s="1176" t="s">
        <v>130</v>
      </c>
      <c r="C775" s="1182">
        <v>50</v>
      </c>
      <c r="D775" s="1182">
        <v>0</v>
      </c>
      <c r="E775" s="1177">
        <v>0</v>
      </c>
      <c r="F775" s="1177">
        <v>0</v>
      </c>
      <c r="G775" s="1177">
        <v>0</v>
      </c>
      <c r="H775" s="1177">
        <v>0</v>
      </c>
      <c r="I775" s="1182">
        <v>120</v>
      </c>
      <c r="J775" s="1178">
        <v>0</v>
      </c>
      <c r="K775" s="1177">
        <v>72</v>
      </c>
      <c r="L775" s="1177">
        <v>0</v>
      </c>
      <c r="M775" s="1177">
        <v>0</v>
      </c>
      <c r="N775" s="1177">
        <v>0</v>
      </c>
      <c r="O775" s="1179">
        <f>SUM(C775:N775)/12</f>
        <v>20.166666666666668</v>
      </c>
      <c r="P775" s="1180">
        <f>O769/M!$Q$14</f>
        <v>2.0535277259870647E-2</v>
      </c>
      <c r="Q775" s="1235"/>
      <c r="R775" s="1235"/>
      <c r="S775" s="1235"/>
      <c r="T775" s="1235"/>
      <c r="U775" s="1235"/>
      <c r="V775" s="1235"/>
      <c r="W775" s="1235"/>
    </row>
    <row r="776" spans="1:23">
      <c r="A776" s="2191" t="s">
        <v>286</v>
      </c>
      <c r="B776" s="2192"/>
      <c r="C776" s="2203">
        <f t="shared" ref="C776:N776" si="206">SUM(C778:C779)</f>
        <v>3500</v>
      </c>
      <c r="D776" s="2203">
        <f t="shared" si="206"/>
        <v>0</v>
      </c>
      <c r="E776" s="2203">
        <f t="shared" si="206"/>
        <v>0</v>
      </c>
      <c r="F776" s="2203">
        <f t="shared" si="206"/>
        <v>1000</v>
      </c>
      <c r="G776" s="2203">
        <f t="shared" si="206"/>
        <v>0</v>
      </c>
      <c r="H776" s="2203">
        <f t="shared" si="206"/>
        <v>0</v>
      </c>
      <c r="I776" s="2203">
        <f t="shared" si="206"/>
        <v>4000</v>
      </c>
      <c r="J776" s="2203">
        <f t="shared" si="206"/>
        <v>0</v>
      </c>
      <c r="K776" s="2203">
        <f t="shared" si="206"/>
        <v>0</v>
      </c>
      <c r="L776" s="2203">
        <f t="shared" si="206"/>
        <v>0</v>
      </c>
      <c r="M776" s="2203">
        <f t="shared" si="206"/>
        <v>0</v>
      </c>
      <c r="N776" s="2203">
        <f t="shared" si="206"/>
        <v>0</v>
      </c>
      <c r="O776" s="2203">
        <f>SUM(O778:O779)</f>
        <v>708.33333333333337</v>
      </c>
      <c r="P776" s="1186"/>
      <c r="Q776" s="1235"/>
      <c r="R776" s="1235"/>
      <c r="S776" s="1235"/>
      <c r="T776" s="1235"/>
      <c r="U776" s="1235"/>
      <c r="V776" s="1235"/>
      <c r="W776" s="1235"/>
    </row>
    <row r="777" spans="1:23">
      <c r="A777" s="2193"/>
      <c r="B777" s="2194"/>
      <c r="C777" s="2204"/>
      <c r="D777" s="2204"/>
      <c r="E777" s="2204"/>
      <c r="F777" s="2204"/>
      <c r="G777" s="2204"/>
      <c r="H777" s="2204"/>
      <c r="I777" s="2204"/>
      <c r="J777" s="2204"/>
      <c r="K777" s="2204"/>
      <c r="L777" s="2204"/>
      <c r="M777" s="2204"/>
      <c r="N777" s="2204"/>
      <c r="O777" s="2204"/>
      <c r="P777" s="2205">
        <f>O771/M!$Q$14</f>
        <v>7.6222644851048254E-3</v>
      </c>
      <c r="Q777" s="1235"/>
      <c r="R777" s="1235"/>
      <c r="S777" s="1235"/>
      <c r="T777" s="1235"/>
      <c r="U777" s="1235"/>
      <c r="V777" s="1235"/>
      <c r="W777" s="1235"/>
    </row>
    <row r="778" spans="1:23">
      <c r="A778" s="2217"/>
      <c r="B778" s="1176" t="s">
        <v>82</v>
      </c>
      <c r="C778" s="1177">
        <v>3500</v>
      </c>
      <c r="D778" s="1177">
        <v>0</v>
      </c>
      <c r="E778" s="1177">
        <v>0</v>
      </c>
      <c r="F778" s="1177">
        <v>1000</v>
      </c>
      <c r="G778" s="1177">
        <v>0</v>
      </c>
      <c r="H778" s="1177">
        <v>0</v>
      </c>
      <c r="I778" s="1178">
        <v>4000</v>
      </c>
      <c r="J778" s="1178">
        <v>0</v>
      </c>
      <c r="K778" s="1178">
        <v>0</v>
      </c>
      <c r="L778" s="1178">
        <v>0</v>
      </c>
      <c r="M778" s="1178">
        <v>0</v>
      </c>
      <c r="N778" s="1178">
        <v>0</v>
      </c>
      <c r="O778" s="1179">
        <f>SUM(C778:N778)/12</f>
        <v>708.33333333333337</v>
      </c>
      <c r="P778" s="2206"/>
      <c r="Q778" s="1235"/>
      <c r="R778" s="1235"/>
      <c r="S778" s="1235"/>
      <c r="T778" s="1235"/>
      <c r="U778" s="1235"/>
      <c r="V778" s="1235"/>
      <c r="W778" s="1235"/>
    </row>
    <row r="779" spans="1:23">
      <c r="A779" s="2219"/>
      <c r="B779" s="1176" t="s">
        <v>83</v>
      </c>
      <c r="C779" s="1177">
        <v>0</v>
      </c>
      <c r="D779" s="1177">
        <v>0</v>
      </c>
      <c r="E779" s="1177">
        <v>0</v>
      </c>
      <c r="F779" s="1177">
        <v>0</v>
      </c>
      <c r="G779" s="1177">
        <v>0</v>
      </c>
      <c r="H779" s="1177">
        <v>0</v>
      </c>
      <c r="I779" s="1178">
        <v>0</v>
      </c>
      <c r="J779" s="1178">
        <v>0</v>
      </c>
      <c r="K779" s="1178">
        <v>0</v>
      </c>
      <c r="L779" s="1178">
        <v>0</v>
      </c>
      <c r="M779" s="1178">
        <v>0</v>
      </c>
      <c r="N779" s="1178">
        <v>0</v>
      </c>
      <c r="O779" s="1179">
        <f>SUM(C779:N779)/12</f>
        <v>0</v>
      </c>
      <c r="P779" s="1180">
        <f>O773/M!$Q$14</f>
        <v>0</v>
      </c>
      <c r="Q779" s="1235"/>
      <c r="R779" s="1235"/>
      <c r="S779" s="1235"/>
      <c r="T779" s="1235"/>
      <c r="U779" s="1235"/>
      <c r="V779" s="1235"/>
      <c r="W779" s="1235"/>
    </row>
    <row r="780" spans="1:23">
      <c r="A780" s="1187" t="s">
        <v>437</v>
      </c>
      <c r="B780" s="1188"/>
      <c r="C780" s="1189">
        <f t="shared" ref="C780:O780" si="207">C710+C724+C732+C738+C742+C752+C761+C765+C771+C776</f>
        <v>12832.9</v>
      </c>
      <c r="D780" s="1189">
        <f t="shared" si="207"/>
        <v>8990.9</v>
      </c>
      <c r="E780" s="1189">
        <f t="shared" si="207"/>
        <v>8806.9</v>
      </c>
      <c r="F780" s="1189">
        <f t="shared" si="207"/>
        <v>11078.9</v>
      </c>
      <c r="G780" s="1189">
        <f t="shared" si="207"/>
        <v>10325.9</v>
      </c>
      <c r="H780" s="1189">
        <f t="shared" si="207"/>
        <v>12252.5</v>
      </c>
      <c r="I780" s="1189">
        <f t="shared" si="207"/>
        <v>15014.5</v>
      </c>
      <c r="J780" s="1189">
        <f t="shared" si="207"/>
        <v>10862</v>
      </c>
      <c r="K780" s="1189">
        <f t="shared" si="207"/>
        <v>11410.5</v>
      </c>
      <c r="L780" s="1189">
        <f t="shared" si="207"/>
        <v>10009.5</v>
      </c>
      <c r="M780" s="1189">
        <f t="shared" si="207"/>
        <v>10471.5</v>
      </c>
      <c r="N780" s="1189">
        <f t="shared" si="207"/>
        <v>11762.5</v>
      </c>
      <c r="O780" s="1189">
        <f t="shared" si="207"/>
        <v>11151.541666666668</v>
      </c>
      <c r="P780" s="1180">
        <f>O774/M!$Q$14</f>
        <v>5.8138448719721111E-3</v>
      </c>
      <c r="Q780" s="1235"/>
      <c r="R780" s="1235"/>
      <c r="S780" s="1235"/>
      <c r="T780" s="1235"/>
      <c r="U780" s="1235"/>
      <c r="V780" s="1235"/>
      <c r="W780" s="1235"/>
    </row>
    <row r="781" spans="1:23">
      <c r="A781" s="1191" t="s">
        <v>658</v>
      </c>
      <c r="B781" s="1192"/>
      <c r="C781" s="1193">
        <f>C780/M!$O$14</f>
        <v>1.4307662290604004</v>
      </c>
      <c r="D781" s="1193">
        <f>D780/M!$O$14</f>
        <v>1.002413802714831</v>
      </c>
      <c r="E781" s="1193">
        <f>E780/M!$O$14</f>
        <v>0.98189926693982188</v>
      </c>
      <c r="F781" s="1193">
        <f>F780/M!$O$14</f>
        <v>1.2352091869442816</v>
      </c>
      <c r="G781" s="1193">
        <f>G780/M!$O$14</f>
        <v>1.1512556791259021</v>
      </c>
      <c r="H781" s="1193">
        <f>H780/M!$O$14</f>
        <v>1.3660562477353175</v>
      </c>
      <c r="I781" s="1193">
        <f>I780/M!$O$14</f>
        <v>1.6739972684449644</v>
      </c>
      <c r="J781" s="1193">
        <f>J780/M!$O$14</f>
        <v>1.2110265629790671</v>
      </c>
      <c r="K781" s="1193">
        <f>K780/M!$O$14</f>
        <v>1.2721799481562002</v>
      </c>
      <c r="L781" s="1193">
        <f>L780/M!$O$14</f>
        <v>1.1159795969562669</v>
      </c>
      <c r="M781" s="1193">
        <f>M780/M!$O$14</f>
        <v>1.1674889204783006</v>
      </c>
      <c r="N781" s="1193">
        <f>N780/M!$O$14</f>
        <v>1.3114251470301304</v>
      </c>
      <c r="O781" s="1193">
        <f>O780/M!$Q$14</f>
        <v>1.0000000000000002</v>
      </c>
      <c r="P781" s="1180">
        <f>O775/M!$Q$14</f>
        <v>1.8084196131327136E-3</v>
      </c>
      <c r="Q781" s="1235"/>
      <c r="R781" s="1235"/>
      <c r="S781" s="1235"/>
      <c r="T781" s="1235"/>
      <c r="U781" s="1235"/>
      <c r="V781" s="1235"/>
      <c r="W781" s="1235"/>
    </row>
    <row r="782" spans="1:23">
      <c r="A782" s="1235"/>
      <c r="B782" s="1235"/>
      <c r="C782" s="1235"/>
      <c r="D782" s="1235"/>
      <c r="E782" s="1235"/>
      <c r="F782" s="1235"/>
      <c r="G782" s="1235"/>
      <c r="H782" s="1235"/>
      <c r="I782" s="1235"/>
      <c r="J782" s="1235"/>
      <c r="K782" s="1235"/>
      <c r="L782" s="1235"/>
      <c r="M782" s="1235"/>
      <c r="N782" s="1235"/>
      <c r="O782" s="1235"/>
      <c r="P782" s="2205">
        <f>O776/M!$Q$14</f>
        <v>6.3518870709206879E-2</v>
      </c>
      <c r="Q782" s="1235"/>
      <c r="R782" s="1235"/>
      <c r="S782" s="1235"/>
      <c r="T782" s="1235"/>
      <c r="U782" s="1235"/>
      <c r="V782" s="1235"/>
      <c r="W782" s="1235"/>
    </row>
    <row r="783" spans="1:23">
      <c r="A783" s="1235"/>
      <c r="B783" s="1235"/>
      <c r="C783" s="1235"/>
      <c r="D783" s="1235"/>
      <c r="E783" s="1235"/>
      <c r="F783" s="1235"/>
      <c r="G783" s="1235"/>
      <c r="H783" s="1235"/>
      <c r="I783" s="1235"/>
      <c r="J783" s="1235"/>
      <c r="K783" s="1235"/>
      <c r="L783" s="1235"/>
      <c r="M783" s="1235"/>
      <c r="N783" s="1235"/>
      <c r="O783" s="1235"/>
      <c r="P783" s="2206"/>
      <c r="Q783" s="1235"/>
      <c r="R783" s="1235"/>
      <c r="S783" s="1235"/>
      <c r="T783" s="1235"/>
      <c r="U783" s="1235"/>
      <c r="V783" s="1235"/>
      <c r="W783" s="1235"/>
    </row>
    <row r="784" spans="1:23">
      <c r="A784" s="1235"/>
      <c r="B784" s="1235"/>
      <c r="C784" s="1235"/>
      <c r="D784" s="1235"/>
      <c r="E784" s="1235"/>
      <c r="F784" s="1235"/>
      <c r="G784" s="1235"/>
      <c r="H784" s="1235"/>
      <c r="I784" s="1235"/>
      <c r="J784" s="1235"/>
      <c r="K784" s="1235"/>
      <c r="L784" s="1235"/>
      <c r="M784" s="1235"/>
      <c r="N784" s="1235"/>
      <c r="O784" s="1235"/>
      <c r="P784" s="1180">
        <f>O778/M!$Q$14</f>
        <v>6.3518870709206879E-2</v>
      </c>
      <c r="Q784" s="1235"/>
      <c r="R784" s="1235"/>
      <c r="S784" s="1235"/>
      <c r="T784" s="1235"/>
      <c r="U784" s="1235"/>
      <c r="V784" s="1235"/>
      <c r="W784" s="1235"/>
    </row>
    <row r="785" spans="1:23">
      <c r="A785" s="2195">
        <v>2016</v>
      </c>
      <c r="B785" s="2196"/>
      <c r="C785" s="2196"/>
      <c r="D785" s="2196"/>
      <c r="E785" s="2196"/>
      <c r="F785" s="2196"/>
      <c r="G785" s="2196"/>
      <c r="H785" s="2196"/>
      <c r="I785" s="2196"/>
      <c r="J785" s="2196"/>
      <c r="K785" s="2196"/>
      <c r="L785" s="2196"/>
      <c r="M785" s="2196"/>
      <c r="N785" s="2196"/>
      <c r="O785" s="2196"/>
      <c r="P785" s="1180">
        <f>O779/M!$Q$14</f>
        <v>0</v>
      </c>
      <c r="Q785" s="1235"/>
      <c r="R785" s="1235"/>
      <c r="S785" s="1235"/>
      <c r="T785" s="1235"/>
      <c r="U785" s="1235"/>
      <c r="V785" s="1235"/>
      <c r="W785" s="1235"/>
    </row>
    <row r="786" spans="1:23">
      <c r="A786" s="1171" t="s">
        <v>388</v>
      </c>
      <c r="B786" s="1172"/>
      <c r="C786" s="1173" t="s">
        <v>309</v>
      </c>
      <c r="D786" s="1173" t="s">
        <v>311</v>
      </c>
      <c r="E786" s="1173" t="s">
        <v>312</v>
      </c>
      <c r="F786" s="1173" t="s">
        <v>313</v>
      </c>
      <c r="G786" s="1173" t="s">
        <v>314</v>
      </c>
      <c r="H786" s="1173" t="s">
        <v>315</v>
      </c>
      <c r="I786" s="1173" t="s">
        <v>316</v>
      </c>
      <c r="J786" s="1173" t="s">
        <v>317</v>
      </c>
      <c r="K786" s="1173" t="s">
        <v>318</v>
      </c>
      <c r="L786" s="1173" t="s">
        <v>319</v>
      </c>
      <c r="M786" s="1173" t="s">
        <v>320</v>
      </c>
      <c r="N786" s="1173" t="s">
        <v>321</v>
      </c>
      <c r="O786" s="1174" t="s">
        <v>660</v>
      </c>
      <c r="P786" s="1190">
        <f>O780/M!$Q$14</f>
        <v>1.0000000000000002</v>
      </c>
      <c r="Q786" s="1235"/>
      <c r="R786" s="1235"/>
      <c r="S786" s="1235"/>
      <c r="T786" s="1235"/>
      <c r="U786" s="1235"/>
      <c r="V786" s="1235"/>
      <c r="W786" s="1235"/>
    </row>
    <row r="787" spans="1:23">
      <c r="A787" s="2191" t="s">
        <v>56</v>
      </c>
      <c r="B787" s="2192"/>
      <c r="C787" s="2203">
        <f t="shared" ref="C787:I787" si="208">C789+ SUM(C795:C800)</f>
        <v>1655</v>
      </c>
      <c r="D787" s="2203">
        <f t="shared" si="208"/>
        <v>1655</v>
      </c>
      <c r="E787" s="2203">
        <f t="shared" si="208"/>
        <v>1655</v>
      </c>
      <c r="F787" s="2203">
        <f t="shared" si="208"/>
        <v>1857</v>
      </c>
      <c r="G787" s="2203">
        <f t="shared" si="208"/>
        <v>1675</v>
      </c>
      <c r="H787" s="2203">
        <f t="shared" si="208"/>
        <v>2877</v>
      </c>
      <c r="I787" s="2203">
        <f t="shared" si="208"/>
        <v>2785</v>
      </c>
      <c r="J787" s="2203">
        <f t="shared" ref="J787:O787" si="209">J789+ SUM(J795:J800)</f>
        <v>4218</v>
      </c>
      <c r="K787" s="2203">
        <f t="shared" si="209"/>
        <v>4218</v>
      </c>
      <c r="L787" s="2203">
        <f t="shared" si="209"/>
        <v>4218</v>
      </c>
      <c r="M787" s="2203">
        <f t="shared" si="209"/>
        <v>4218</v>
      </c>
      <c r="N787" s="2203">
        <f t="shared" si="209"/>
        <v>4218</v>
      </c>
      <c r="O787" s="2203">
        <f t="shared" si="209"/>
        <v>2937.4166666666665</v>
      </c>
      <c r="P787" s="1194"/>
      <c r="Q787" s="1235"/>
      <c r="R787" s="1235"/>
      <c r="S787" s="1235"/>
      <c r="T787" s="1235"/>
      <c r="U787" s="1235"/>
      <c r="V787" s="1235"/>
      <c r="W787" s="1235"/>
    </row>
    <row r="788" spans="1:23">
      <c r="A788" s="2193"/>
      <c r="B788" s="2194"/>
      <c r="C788" s="2204"/>
      <c r="D788" s="2204"/>
      <c r="E788" s="2204"/>
      <c r="F788" s="2204"/>
      <c r="G788" s="2204"/>
      <c r="H788" s="2204"/>
      <c r="I788" s="2204"/>
      <c r="J788" s="2204"/>
      <c r="K788" s="2204"/>
      <c r="L788" s="2204"/>
      <c r="M788" s="2204"/>
      <c r="N788" s="2204"/>
      <c r="O788" s="2204"/>
      <c r="P788" s="1235"/>
      <c r="Q788" s="1235"/>
      <c r="R788" s="1235"/>
      <c r="S788" s="1235"/>
      <c r="T788" s="1235"/>
      <c r="U788" s="1235"/>
      <c r="V788" s="1235"/>
      <c r="W788" s="1235"/>
    </row>
    <row r="789" spans="1:23">
      <c r="A789" s="2217"/>
      <c r="B789" s="1176" t="s">
        <v>662</v>
      </c>
      <c r="C789" s="1177">
        <f t="shared" ref="C789:H789" si="210">SUM(C790:C794)</f>
        <v>1057</v>
      </c>
      <c r="D789" s="1177">
        <f t="shared" si="210"/>
        <v>1057</v>
      </c>
      <c r="E789" s="1177">
        <f t="shared" si="210"/>
        <v>1057</v>
      </c>
      <c r="F789" s="1177">
        <f t="shared" si="210"/>
        <v>1057</v>
      </c>
      <c r="G789" s="1177">
        <f t="shared" si="210"/>
        <v>1057</v>
      </c>
      <c r="H789" s="1177">
        <f t="shared" si="210"/>
        <v>1057</v>
      </c>
      <c r="I789" s="1178">
        <f>SUM(I790:I794) + 3413 - 272 - 2263</f>
        <v>1935</v>
      </c>
      <c r="J789" s="1178">
        <v>4215</v>
      </c>
      <c r="K789" s="1178">
        <v>4215</v>
      </c>
      <c r="L789" s="1178">
        <v>4215</v>
      </c>
      <c r="M789" s="1178">
        <v>4215</v>
      </c>
      <c r="N789" s="1178">
        <v>4215</v>
      </c>
      <c r="O789" s="1179">
        <f t="shared" ref="O789:O800" si="211">SUM(C789:N789)/12</f>
        <v>2446</v>
      </c>
      <c r="P789" s="1235"/>
      <c r="Q789" s="1235"/>
      <c r="R789" s="1235"/>
      <c r="S789" s="1235"/>
      <c r="T789" s="1235"/>
      <c r="U789" s="1235"/>
      <c r="V789" s="1235"/>
      <c r="W789" s="1235"/>
    </row>
    <row r="790" spans="1:23">
      <c r="A790" s="2218"/>
      <c r="B790" s="1176" t="s">
        <v>663</v>
      </c>
      <c r="C790" s="1177">
        <v>657</v>
      </c>
      <c r="D790" s="1177">
        <v>657</v>
      </c>
      <c r="E790" s="1177">
        <v>657</v>
      </c>
      <c r="F790" s="1177">
        <v>657</v>
      </c>
      <c r="G790" s="1177">
        <v>657</v>
      </c>
      <c r="H790" s="1177">
        <v>657</v>
      </c>
      <c r="I790" s="1178">
        <v>657</v>
      </c>
      <c r="J790" s="1178">
        <v>0</v>
      </c>
      <c r="K790" s="1178">
        <v>0</v>
      </c>
      <c r="L790" s="1178">
        <v>0</v>
      </c>
      <c r="M790" s="1178">
        <v>0</v>
      </c>
      <c r="N790" s="1178">
        <v>0</v>
      </c>
      <c r="O790" s="1179">
        <f t="shared" si="211"/>
        <v>383.25</v>
      </c>
      <c r="P790" s="1235"/>
      <c r="Q790" s="1235"/>
      <c r="R790" s="1235"/>
      <c r="S790" s="1235"/>
      <c r="T790" s="1235"/>
      <c r="U790" s="1235"/>
      <c r="V790" s="1235"/>
      <c r="W790" s="1235"/>
    </row>
    <row r="791" spans="1:23">
      <c r="A791" s="2218"/>
      <c r="B791" s="1176" t="s">
        <v>664</v>
      </c>
      <c r="C791" s="1177">
        <v>400</v>
      </c>
      <c r="D791" s="1177">
        <v>400</v>
      </c>
      <c r="E791" s="1177">
        <v>400</v>
      </c>
      <c r="F791" s="1177">
        <v>400</v>
      </c>
      <c r="G791" s="1177">
        <v>400</v>
      </c>
      <c r="H791" s="1177">
        <v>400</v>
      </c>
      <c r="I791" s="1178">
        <v>400</v>
      </c>
      <c r="J791" s="1178">
        <v>0</v>
      </c>
      <c r="K791" s="1178">
        <v>0</v>
      </c>
      <c r="L791" s="1178">
        <v>0</v>
      </c>
      <c r="M791" s="1178">
        <v>0</v>
      </c>
      <c r="N791" s="1178">
        <v>0</v>
      </c>
      <c r="O791" s="1179">
        <f t="shared" si="211"/>
        <v>233.33333333333334</v>
      </c>
      <c r="P791" s="2197"/>
      <c r="Q791" s="1235"/>
      <c r="R791" s="1235"/>
      <c r="S791" s="1235"/>
      <c r="T791" s="1235"/>
      <c r="U791" s="1235"/>
      <c r="V791" s="1235"/>
      <c r="W791" s="1235"/>
    </row>
    <row r="792" spans="1:23">
      <c r="A792" s="2218"/>
      <c r="B792" s="1176" t="s">
        <v>450</v>
      </c>
      <c r="C792" s="1177">
        <v>0</v>
      </c>
      <c r="D792" s="1177">
        <v>0</v>
      </c>
      <c r="E792" s="1177">
        <v>0</v>
      </c>
      <c r="F792" s="1177">
        <v>0</v>
      </c>
      <c r="G792" s="1177">
        <v>0</v>
      </c>
      <c r="H792" s="1177">
        <v>0</v>
      </c>
      <c r="I792" s="1178">
        <v>0</v>
      </c>
      <c r="J792" s="1178">
        <v>0</v>
      </c>
      <c r="K792" s="1178">
        <v>0</v>
      </c>
      <c r="L792" s="1178">
        <v>0</v>
      </c>
      <c r="M792" s="1178">
        <v>0</v>
      </c>
      <c r="N792" s="1178">
        <v>0</v>
      </c>
      <c r="O792" s="1179">
        <f t="shared" si="211"/>
        <v>0</v>
      </c>
      <c r="P792" s="1175" t="s">
        <v>661</v>
      </c>
      <c r="Q792" s="1235"/>
      <c r="R792" s="1235"/>
      <c r="S792" s="1235"/>
      <c r="T792" s="1235"/>
      <c r="U792" s="1235"/>
      <c r="V792" s="1235"/>
      <c r="W792" s="1235"/>
    </row>
    <row r="793" spans="1:23">
      <c r="A793" s="2218"/>
      <c r="B793" s="1176" t="s">
        <v>665</v>
      </c>
      <c r="C793" s="1177">
        <v>0</v>
      </c>
      <c r="D793" s="1177">
        <v>0</v>
      </c>
      <c r="E793" s="1177">
        <v>0</v>
      </c>
      <c r="F793" s="1177">
        <v>0</v>
      </c>
      <c r="G793" s="1177">
        <v>0</v>
      </c>
      <c r="H793" s="1177">
        <v>0</v>
      </c>
      <c r="I793" s="1178">
        <v>0</v>
      </c>
      <c r="J793" s="1178">
        <v>0</v>
      </c>
      <c r="K793" s="1178">
        <v>0</v>
      </c>
      <c r="L793" s="1178">
        <v>0</v>
      </c>
      <c r="M793" s="1178">
        <v>0</v>
      </c>
      <c r="N793" s="1178">
        <v>0</v>
      </c>
      <c r="O793" s="1179">
        <f t="shared" si="211"/>
        <v>0</v>
      </c>
      <c r="P793" s="2205">
        <f>O787/M!$Q$14</f>
        <v>0.26340902042692155</v>
      </c>
      <c r="Q793" s="1235"/>
      <c r="R793" s="1235"/>
      <c r="S793" s="1235"/>
      <c r="T793" s="1235"/>
      <c r="U793" s="1235"/>
      <c r="V793" s="1235"/>
      <c r="W793" s="1235"/>
    </row>
    <row r="794" spans="1:23">
      <c r="A794" s="2218"/>
      <c r="B794" s="1176" t="s">
        <v>664</v>
      </c>
      <c r="C794" s="1177">
        <v>0</v>
      </c>
      <c r="D794" s="1177">
        <v>0</v>
      </c>
      <c r="E794" s="1177">
        <v>0</v>
      </c>
      <c r="F794" s="1177">
        <v>0</v>
      </c>
      <c r="G794" s="1177">
        <v>0</v>
      </c>
      <c r="H794" s="1177">
        <v>0</v>
      </c>
      <c r="I794" s="1178">
        <v>0</v>
      </c>
      <c r="J794" s="1178">
        <v>0</v>
      </c>
      <c r="K794" s="1178">
        <v>0</v>
      </c>
      <c r="L794" s="1178">
        <v>0</v>
      </c>
      <c r="M794" s="1178">
        <v>0</v>
      </c>
      <c r="N794" s="1178">
        <v>0</v>
      </c>
      <c r="O794" s="1179">
        <f t="shared" si="211"/>
        <v>0</v>
      </c>
      <c r="P794" s="2206"/>
      <c r="Q794" s="1235"/>
      <c r="R794" s="1235"/>
      <c r="S794" s="1235"/>
      <c r="T794" s="1235"/>
      <c r="U794" s="1235"/>
      <c r="V794" s="1235"/>
      <c r="W794" s="1235"/>
    </row>
    <row r="795" spans="1:23">
      <c r="A795" s="2218"/>
      <c r="B795" s="1176" t="s">
        <v>287</v>
      </c>
      <c r="C795" s="1177">
        <v>303</v>
      </c>
      <c r="D795" s="1177">
        <v>303</v>
      </c>
      <c r="E795" s="1177">
        <v>303</v>
      </c>
      <c r="F795" s="1177">
        <v>303</v>
      </c>
      <c r="G795" s="1177">
        <v>303</v>
      </c>
      <c r="H795" s="1177">
        <v>303</v>
      </c>
      <c r="I795" s="1178">
        <v>303</v>
      </c>
      <c r="J795" s="1178">
        <v>0</v>
      </c>
      <c r="K795" s="1178">
        <v>0</v>
      </c>
      <c r="L795" s="1178">
        <v>0</v>
      </c>
      <c r="M795" s="1178">
        <v>0</v>
      </c>
      <c r="N795" s="1178">
        <v>0</v>
      </c>
      <c r="O795" s="1179">
        <f t="shared" si="211"/>
        <v>176.75</v>
      </c>
      <c r="P795" s="1180">
        <f>O789/M!$Q$14</f>
        <v>0.21934186977136944</v>
      </c>
      <c r="Q795" s="1235"/>
      <c r="R795" s="1235"/>
      <c r="S795" s="1235"/>
      <c r="T795" s="1235"/>
      <c r="U795" s="1235"/>
      <c r="V795" s="1235"/>
      <c r="W795" s="1235"/>
    </row>
    <row r="796" spans="1:23">
      <c r="A796" s="2218"/>
      <c r="B796" s="1176" t="s">
        <v>453</v>
      </c>
      <c r="C796" s="1177">
        <v>0</v>
      </c>
      <c r="D796" s="1177">
        <v>0</v>
      </c>
      <c r="E796" s="1177">
        <v>0</v>
      </c>
      <c r="F796" s="1177">
        <v>0</v>
      </c>
      <c r="G796" s="1177">
        <v>0</v>
      </c>
      <c r="H796" s="1177">
        <v>0</v>
      </c>
      <c r="I796" s="1178">
        <v>0</v>
      </c>
      <c r="J796" s="1178">
        <v>0</v>
      </c>
      <c r="K796" s="1178">
        <v>0</v>
      </c>
      <c r="L796" s="1178">
        <v>0</v>
      </c>
      <c r="M796" s="1178">
        <v>0</v>
      </c>
      <c r="N796" s="1178">
        <v>0</v>
      </c>
      <c r="O796" s="1179">
        <f t="shared" si="211"/>
        <v>0</v>
      </c>
      <c r="P796" s="1180">
        <f>O790/M!$Q$14</f>
        <v>3.4367445457840283E-2</v>
      </c>
      <c r="Q796" s="1235"/>
      <c r="R796" s="1235"/>
      <c r="S796" s="1235"/>
      <c r="T796" s="1235"/>
      <c r="U796" s="1235"/>
      <c r="V796" s="1235"/>
      <c r="W796" s="1235"/>
    </row>
    <row r="797" spans="1:23">
      <c r="A797" s="2218"/>
      <c r="B797" s="1176" t="s">
        <v>400</v>
      </c>
      <c r="C797" s="1177">
        <v>0</v>
      </c>
      <c r="D797" s="1177">
        <v>0</v>
      </c>
      <c r="E797" s="1177">
        <v>0</v>
      </c>
      <c r="F797" s="1177">
        <v>0</v>
      </c>
      <c r="G797" s="1177">
        <v>0</v>
      </c>
      <c r="H797" s="1177">
        <v>27</v>
      </c>
      <c r="I797" s="1178">
        <v>215</v>
      </c>
      <c r="J797" s="1178">
        <v>0</v>
      </c>
      <c r="K797" s="1178">
        <v>0</v>
      </c>
      <c r="L797" s="1178">
        <v>0</v>
      </c>
      <c r="M797" s="1178">
        <v>0</v>
      </c>
      <c r="N797" s="1178">
        <v>0</v>
      </c>
      <c r="O797" s="1179">
        <f t="shared" si="211"/>
        <v>20.166666666666668</v>
      </c>
      <c r="P797" s="1180">
        <f>O791/M!$Q$14</f>
        <v>2.0923863292444618E-2</v>
      </c>
      <c r="Q797" s="1235"/>
      <c r="R797" s="1235"/>
      <c r="S797" s="1235"/>
      <c r="T797" s="1235"/>
      <c r="U797" s="1235"/>
      <c r="V797" s="1235"/>
      <c r="W797" s="1235"/>
    </row>
    <row r="798" spans="1:23">
      <c r="A798" s="2218"/>
      <c r="B798" s="1176" t="s">
        <v>401</v>
      </c>
      <c r="C798" s="1177">
        <v>295</v>
      </c>
      <c r="D798" s="1177">
        <v>295</v>
      </c>
      <c r="E798" s="1177">
        <v>295</v>
      </c>
      <c r="F798" s="1177">
        <v>295</v>
      </c>
      <c r="G798" s="1177">
        <v>315</v>
      </c>
      <c r="H798" s="1177">
        <v>315</v>
      </c>
      <c r="I798" s="1178">
        <v>315</v>
      </c>
      <c r="J798" s="1178">
        <v>0</v>
      </c>
      <c r="K798" s="1178">
        <v>0</v>
      </c>
      <c r="L798" s="1178">
        <v>0</v>
      </c>
      <c r="M798" s="1178">
        <v>0</v>
      </c>
      <c r="N798" s="1178">
        <v>0</v>
      </c>
      <c r="O798" s="1179">
        <f t="shared" si="211"/>
        <v>177.08333333333334</v>
      </c>
      <c r="P798" s="1180">
        <f>O792/M!$Q$14</f>
        <v>0</v>
      </c>
      <c r="Q798" s="1235"/>
      <c r="R798" s="1235"/>
      <c r="S798" s="1235"/>
      <c r="T798" s="1235"/>
      <c r="U798" s="1235"/>
      <c r="V798" s="1235"/>
      <c r="W798" s="1235"/>
    </row>
    <row r="799" spans="1:23">
      <c r="A799" s="2218"/>
      <c r="B799" s="1176" t="s">
        <v>402</v>
      </c>
      <c r="C799" s="1177">
        <v>0</v>
      </c>
      <c r="D799" s="1177">
        <v>0</v>
      </c>
      <c r="E799" s="1177">
        <v>0</v>
      </c>
      <c r="F799" s="1177">
        <v>0</v>
      </c>
      <c r="G799" s="1177">
        <v>0</v>
      </c>
      <c r="H799" s="1177">
        <v>0</v>
      </c>
      <c r="I799" s="1178">
        <v>0</v>
      </c>
      <c r="J799" s="1178">
        <v>0</v>
      </c>
      <c r="K799" s="1178">
        <v>0</v>
      </c>
      <c r="L799" s="1178">
        <v>0</v>
      </c>
      <c r="M799" s="1178">
        <v>0</v>
      </c>
      <c r="N799" s="1178">
        <v>0</v>
      </c>
      <c r="O799" s="1179">
        <f t="shared" si="211"/>
        <v>0</v>
      </c>
      <c r="P799" s="1180">
        <f>O793/M!$Q$14</f>
        <v>0</v>
      </c>
      <c r="Q799" s="1235"/>
      <c r="R799" s="1235"/>
      <c r="S799" s="1235"/>
      <c r="T799" s="1235"/>
      <c r="U799" s="1235"/>
      <c r="V799" s="1235"/>
      <c r="W799" s="1235"/>
    </row>
    <row r="800" spans="1:23">
      <c r="A800" s="2219"/>
      <c r="B800" s="1176" t="s">
        <v>403</v>
      </c>
      <c r="C800" s="1177">
        <v>0</v>
      </c>
      <c r="D800" s="1177">
        <v>0</v>
      </c>
      <c r="E800" s="1177">
        <v>0</v>
      </c>
      <c r="F800" s="1177">
        <v>202</v>
      </c>
      <c r="G800" s="1177">
        <v>0</v>
      </c>
      <c r="H800" s="1177">
        <f xml:space="preserve"> 280 + 895</f>
        <v>1175</v>
      </c>
      <c r="I800" s="1178">
        <v>17</v>
      </c>
      <c r="J800" s="1178">
        <v>3</v>
      </c>
      <c r="K800" s="1178">
        <v>3</v>
      </c>
      <c r="L800" s="1178">
        <v>3</v>
      </c>
      <c r="M800" s="1178">
        <v>3</v>
      </c>
      <c r="N800" s="1178">
        <v>3</v>
      </c>
      <c r="O800" s="1179">
        <f t="shared" si="211"/>
        <v>117.41666666666667</v>
      </c>
      <c r="P800" s="1180">
        <f>O794/M!$Q$14</f>
        <v>0</v>
      </c>
      <c r="Q800" s="1235"/>
      <c r="R800" s="1235"/>
      <c r="S800" s="1235"/>
      <c r="T800" s="1235"/>
      <c r="U800" s="1235"/>
      <c r="V800" s="1235"/>
      <c r="W800" s="1235"/>
    </row>
    <row r="801" spans="1:23">
      <c r="A801" s="2191" t="s">
        <v>276</v>
      </c>
      <c r="B801" s="2192"/>
      <c r="C801" s="2203">
        <f t="shared" ref="C801:N801" si="212">SUM(C803:C808)</f>
        <v>261</v>
      </c>
      <c r="D801" s="2203">
        <f t="shared" si="212"/>
        <v>523</v>
      </c>
      <c r="E801" s="2203">
        <f t="shared" si="212"/>
        <v>763</v>
      </c>
      <c r="F801" s="2203">
        <f t="shared" si="212"/>
        <v>187</v>
      </c>
      <c r="G801" s="2203">
        <f t="shared" si="212"/>
        <v>138</v>
      </c>
      <c r="H801" s="2203">
        <f t="shared" si="212"/>
        <v>103</v>
      </c>
      <c r="I801" s="2203">
        <f t="shared" si="212"/>
        <v>1275.3333333333335</v>
      </c>
      <c r="J801" s="2203">
        <f t="shared" si="212"/>
        <v>1054.3333333333335</v>
      </c>
      <c r="K801" s="2203">
        <f t="shared" si="212"/>
        <v>1054.3333333333335</v>
      </c>
      <c r="L801" s="2203">
        <f t="shared" si="212"/>
        <v>1088.3333333333335</v>
      </c>
      <c r="M801" s="2203">
        <f t="shared" si="212"/>
        <v>1054.3333333333335</v>
      </c>
      <c r="N801" s="2203">
        <f t="shared" si="212"/>
        <v>1114.3333333333335</v>
      </c>
      <c r="O801" s="2203">
        <f>SUM(O803:O808)</f>
        <v>718</v>
      </c>
      <c r="P801" s="1180">
        <f>O795/M!$Q$14</f>
        <v>1.5849826444026799E-2</v>
      </c>
      <c r="Q801" s="1235"/>
      <c r="R801" s="1235"/>
      <c r="S801" s="1235"/>
      <c r="T801" s="1235"/>
      <c r="U801" s="1235"/>
      <c r="V801" s="1235"/>
      <c r="W801" s="1235"/>
    </row>
    <row r="802" spans="1:23">
      <c r="A802" s="2193"/>
      <c r="B802" s="2194"/>
      <c r="C802" s="2204"/>
      <c r="D802" s="2204"/>
      <c r="E802" s="2204"/>
      <c r="F802" s="2204"/>
      <c r="G802" s="2204"/>
      <c r="H802" s="2204"/>
      <c r="I802" s="2204"/>
      <c r="J802" s="2204"/>
      <c r="K802" s="2204"/>
      <c r="L802" s="2204"/>
      <c r="M802" s="2204"/>
      <c r="N802" s="2204"/>
      <c r="O802" s="2204"/>
      <c r="P802" s="1180">
        <f>O796/M!$Q$14</f>
        <v>0</v>
      </c>
      <c r="Q802" s="1235"/>
      <c r="R802" s="1235"/>
      <c r="S802" s="1235"/>
      <c r="T802" s="1235"/>
      <c r="U802" s="1235"/>
      <c r="V802" s="1235"/>
      <c r="W802" s="1235"/>
    </row>
    <row r="803" spans="1:23">
      <c r="A803" s="2217"/>
      <c r="B803" s="1176" t="s">
        <v>666</v>
      </c>
      <c r="C803" s="1227">
        <v>0</v>
      </c>
      <c r="D803" s="1177">
        <v>0</v>
      </c>
      <c r="E803" s="1177">
        <v>0</v>
      </c>
      <c r="F803" s="1177">
        <v>0</v>
      </c>
      <c r="G803" s="1177">
        <v>0</v>
      </c>
      <c r="H803" s="1177">
        <v>0</v>
      </c>
      <c r="I803" s="1178">
        <f t="shared" ref="I803:N803" si="213">46700/60</f>
        <v>778.33333333333337</v>
      </c>
      <c r="J803" s="1178">
        <f t="shared" si="213"/>
        <v>778.33333333333337</v>
      </c>
      <c r="K803" s="1178">
        <f t="shared" si="213"/>
        <v>778.33333333333337</v>
      </c>
      <c r="L803" s="1178">
        <f t="shared" si="213"/>
        <v>778.33333333333337</v>
      </c>
      <c r="M803" s="1178">
        <f t="shared" si="213"/>
        <v>778.33333333333337</v>
      </c>
      <c r="N803" s="1178">
        <f t="shared" si="213"/>
        <v>778.33333333333337</v>
      </c>
      <c r="O803" s="1179">
        <f t="shared" ref="O803:O808" si="214">SUM(C803:N803)/12</f>
        <v>389.16666666666669</v>
      </c>
      <c r="P803" s="1180">
        <f>O797/M!$Q$14</f>
        <v>1.8084196131327136E-3</v>
      </c>
      <c r="Q803" s="1235"/>
      <c r="R803" s="1235"/>
      <c r="S803" s="1235"/>
      <c r="T803" s="1235"/>
      <c r="U803" s="1235"/>
      <c r="V803" s="1235"/>
      <c r="W803" s="1235"/>
    </row>
    <row r="804" spans="1:23">
      <c r="A804" s="2218"/>
      <c r="B804" s="1176" t="s">
        <v>400</v>
      </c>
      <c r="C804" s="1177">
        <v>71</v>
      </c>
      <c r="D804" s="1177">
        <v>71</v>
      </c>
      <c r="E804" s="1177">
        <v>71</v>
      </c>
      <c r="F804" s="1177">
        <v>71</v>
      </c>
      <c r="G804" s="1177">
        <v>71</v>
      </c>
      <c r="H804" s="1177">
        <v>71</v>
      </c>
      <c r="I804" s="1182">
        <v>179</v>
      </c>
      <c r="J804" s="1182">
        <v>179</v>
      </c>
      <c r="K804" s="1182">
        <v>179</v>
      </c>
      <c r="L804" s="1182">
        <v>179</v>
      </c>
      <c r="M804" s="1182">
        <v>179</v>
      </c>
      <c r="N804" s="1182">
        <v>179</v>
      </c>
      <c r="O804" s="1179">
        <f t="shared" si="214"/>
        <v>125</v>
      </c>
      <c r="P804" s="1180">
        <f>O798/M!$Q$14</f>
        <v>1.587971767730172E-2</v>
      </c>
      <c r="Q804" s="1235"/>
      <c r="R804" s="1235"/>
      <c r="S804" s="1235"/>
      <c r="T804" s="1235"/>
      <c r="U804" s="1235"/>
      <c r="V804" s="1235"/>
      <c r="W804" s="1235"/>
    </row>
    <row r="805" spans="1:23">
      <c r="A805" s="2218"/>
      <c r="B805" s="1176" t="s">
        <v>454</v>
      </c>
      <c r="C805" s="1177">
        <v>0</v>
      </c>
      <c r="D805" s="1177">
        <v>0</v>
      </c>
      <c r="E805" s="1177">
        <v>122</v>
      </c>
      <c r="F805" s="1177">
        <v>95</v>
      </c>
      <c r="G805" s="1177">
        <v>0</v>
      </c>
      <c r="H805" s="1177">
        <v>0</v>
      </c>
      <c r="I805" s="1178">
        <v>221</v>
      </c>
      <c r="J805" s="1178">
        <v>0</v>
      </c>
      <c r="K805" s="1178">
        <v>0</v>
      </c>
      <c r="L805" s="1178">
        <v>0</v>
      </c>
      <c r="M805" s="1178">
        <v>0</v>
      </c>
      <c r="N805" s="1178">
        <v>50</v>
      </c>
      <c r="O805" s="1179">
        <f t="shared" si="214"/>
        <v>40.666666666666664</v>
      </c>
      <c r="P805" s="1180">
        <f>O799/M!$Q$14</f>
        <v>0</v>
      </c>
      <c r="Q805" s="1235"/>
      <c r="R805" s="1235"/>
      <c r="S805" s="1235"/>
      <c r="T805" s="1235"/>
      <c r="U805" s="1235"/>
      <c r="V805" s="1235"/>
      <c r="W805" s="1235"/>
    </row>
    <row r="806" spans="1:23">
      <c r="A806" s="2218"/>
      <c r="B806" s="1176" t="s">
        <v>407</v>
      </c>
      <c r="C806" s="1177">
        <v>0</v>
      </c>
      <c r="D806" s="1177">
        <v>0</v>
      </c>
      <c r="E806" s="1177">
        <v>518</v>
      </c>
      <c r="F806" s="1177">
        <v>0</v>
      </c>
      <c r="G806" s="1177">
        <v>0</v>
      </c>
      <c r="H806" s="1177">
        <v>0</v>
      </c>
      <c r="I806" s="1178">
        <v>0</v>
      </c>
      <c r="J806" s="1178">
        <v>0</v>
      </c>
      <c r="K806" s="1178">
        <v>0</v>
      </c>
      <c r="L806" s="1178">
        <v>0</v>
      </c>
      <c r="M806" s="1178">
        <v>0</v>
      </c>
      <c r="N806" s="1178">
        <v>0</v>
      </c>
      <c r="O806" s="1179">
        <f t="shared" si="214"/>
        <v>43.166666666666664</v>
      </c>
      <c r="P806" s="1180">
        <f>O800/M!$Q$14</f>
        <v>1.0529186921090882E-2</v>
      </c>
      <c r="Q806" s="1235"/>
      <c r="R806" s="1235"/>
      <c r="S806" s="1235"/>
      <c r="T806" s="1235"/>
      <c r="U806" s="1235"/>
      <c r="V806" s="1235"/>
      <c r="W806" s="1235"/>
    </row>
    <row r="807" spans="1:23">
      <c r="A807" s="2218"/>
      <c r="B807" s="1176" t="s">
        <v>408</v>
      </c>
      <c r="C807" s="1177">
        <v>190</v>
      </c>
      <c r="D807" s="1177">
        <v>0</v>
      </c>
      <c r="E807" s="1177">
        <v>52</v>
      </c>
      <c r="F807" s="1177">
        <v>0</v>
      </c>
      <c r="G807" s="1177">
        <v>0</v>
      </c>
      <c r="H807" s="1177">
        <v>32</v>
      </c>
      <c r="I807" s="1178">
        <v>97</v>
      </c>
      <c r="J807" s="1178">
        <v>97</v>
      </c>
      <c r="K807" s="1178">
        <v>97</v>
      </c>
      <c r="L807" s="1178">
        <v>97</v>
      </c>
      <c r="M807" s="1178">
        <v>97</v>
      </c>
      <c r="N807" s="1178">
        <v>97</v>
      </c>
      <c r="O807" s="1179">
        <f t="shared" si="214"/>
        <v>71.333333333333329</v>
      </c>
      <c r="P807" s="2205">
        <f>O801/M!$Q$14</f>
        <v>6.438571647417958E-2</v>
      </c>
      <c r="Q807" s="1235"/>
      <c r="R807" s="1235"/>
      <c r="S807" s="1235"/>
      <c r="T807" s="1235"/>
      <c r="U807" s="1235"/>
      <c r="V807" s="1235"/>
      <c r="W807" s="1235"/>
    </row>
    <row r="808" spans="1:23">
      <c r="A808" s="2219"/>
      <c r="B808" s="1176" t="s">
        <v>409</v>
      </c>
      <c r="C808" s="1177">
        <v>0</v>
      </c>
      <c r="D808" s="1177">
        <v>452</v>
      </c>
      <c r="E808" s="1177">
        <v>0</v>
      </c>
      <c r="F808" s="1177">
        <v>21</v>
      </c>
      <c r="G808" s="1177">
        <v>67</v>
      </c>
      <c r="H808" s="1177">
        <v>0</v>
      </c>
      <c r="I808" s="1178">
        <v>0</v>
      </c>
      <c r="J808" s="1178">
        <v>0</v>
      </c>
      <c r="K808" s="1178">
        <v>0</v>
      </c>
      <c r="L808" s="1178">
        <v>34</v>
      </c>
      <c r="M808" s="1178">
        <v>0</v>
      </c>
      <c r="N808" s="1178">
        <v>10</v>
      </c>
      <c r="O808" s="1179">
        <f t="shared" si="214"/>
        <v>48.666666666666664</v>
      </c>
      <c r="P808" s="2206"/>
      <c r="Q808" s="1235"/>
      <c r="R808" s="1235"/>
      <c r="S808" s="1235"/>
      <c r="T808" s="1235"/>
      <c r="U808" s="1235"/>
      <c r="V808" s="1235"/>
      <c r="W808" s="1235"/>
    </row>
    <row r="809" spans="1:23">
      <c r="A809" s="2191" t="s">
        <v>277</v>
      </c>
      <c r="B809" s="2192"/>
      <c r="C809" s="2203">
        <f t="shared" ref="C809:N809" si="215">SUM(C811:C814)</f>
        <v>268</v>
      </c>
      <c r="D809" s="2203">
        <f t="shared" si="215"/>
        <v>272</v>
      </c>
      <c r="E809" s="2203">
        <f t="shared" si="215"/>
        <v>276</v>
      </c>
      <c r="F809" s="2203">
        <f t="shared" si="215"/>
        <v>446</v>
      </c>
      <c r="G809" s="2203">
        <f t="shared" si="215"/>
        <v>388</v>
      </c>
      <c r="H809" s="2203">
        <f t="shared" si="215"/>
        <v>461</v>
      </c>
      <c r="I809" s="2203">
        <f t="shared" si="215"/>
        <v>186</v>
      </c>
      <c r="J809" s="2203">
        <f t="shared" si="215"/>
        <v>142</v>
      </c>
      <c r="K809" s="2203">
        <f t="shared" si="215"/>
        <v>202</v>
      </c>
      <c r="L809" s="2203">
        <f t="shared" si="215"/>
        <v>249</v>
      </c>
      <c r="M809" s="2203">
        <f t="shared" si="215"/>
        <v>155</v>
      </c>
      <c r="N809" s="2203">
        <f t="shared" si="215"/>
        <v>311</v>
      </c>
      <c r="O809" s="2203">
        <f>SUM(O811:O814)</f>
        <v>279.66666666666669</v>
      </c>
      <c r="P809" s="1180">
        <f>O803/M!$Q$14</f>
        <v>3.4898014848470132E-2</v>
      </c>
      <c r="Q809" s="1235"/>
      <c r="R809" s="1235"/>
      <c r="S809" s="1235"/>
      <c r="T809" s="1235"/>
      <c r="U809" s="1235"/>
      <c r="V809" s="1235"/>
      <c r="W809" s="1235"/>
    </row>
    <row r="810" spans="1:23">
      <c r="A810" s="2193"/>
      <c r="B810" s="2194"/>
      <c r="C810" s="2204"/>
      <c r="D810" s="2204"/>
      <c r="E810" s="2204"/>
      <c r="F810" s="2204"/>
      <c r="G810" s="2204"/>
      <c r="H810" s="2204"/>
      <c r="I810" s="2204"/>
      <c r="J810" s="2204"/>
      <c r="K810" s="2204"/>
      <c r="L810" s="2204"/>
      <c r="M810" s="2204"/>
      <c r="N810" s="2204"/>
      <c r="O810" s="2204"/>
      <c r="P810" s="1180">
        <f>O804/M!$Q$14</f>
        <v>1.1209212478095332E-2</v>
      </c>
      <c r="Q810" s="1235"/>
      <c r="R810" s="1235"/>
      <c r="S810" s="1235"/>
      <c r="T810" s="1235"/>
      <c r="U810" s="1235"/>
      <c r="V810" s="1235"/>
      <c r="W810" s="1235"/>
    </row>
    <row r="811" spans="1:23">
      <c r="A811" s="2217"/>
      <c r="B811" s="1176" t="s">
        <v>410</v>
      </c>
      <c r="C811" s="1177">
        <v>248</v>
      </c>
      <c r="D811" s="1177">
        <v>267</v>
      </c>
      <c r="E811" s="1177">
        <v>276</v>
      </c>
      <c r="F811" s="1177">
        <v>249</v>
      </c>
      <c r="G811" s="1177">
        <v>256</v>
      </c>
      <c r="H811" s="1177">
        <v>348</v>
      </c>
      <c r="I811" s="1178">
        <v>137</v>
      </c>
      <c r="J811" s="1178">
        <v>142</v>
      </c>
      <c r="K811" s="1178">
        <v>187</v>
      </c>
      <c r="L811" s="1178">
        <v>174</v>
      </c>
      <c r="M811" s="1178">
        <v>155</v>
      </c>
      <c r="N811" s="1178">
        <v>173</v>
      </c>
      <c r="O811" s="1179">
        <f>SUM(C811:N811)/12</f>
        <v>217.66666666666666</v>
      </c>
      <c r="P811" s="1180">
        <f>O805/M!$Q$14</f>
        <v>3.6467304595403476E-3</v>
      </c>
      <c r="Q811" s="1235"/>
      <c r="R811" s="1235"/>
      <c r="S811" s="1235"/>
      <c r="T811" s="1235"/>
      <c r="U811" s="1235"/>
      <c r="V811" s="1235"/>
      <c r="W811" s="1235"/>
    </row>
    <row r="812" spans="1:23">
      <c r="A812" s="2218"/>
      <c r="B812" s="1176" t="s">
        <v>457</v>
      </c>
      <c r="C812" s="1177">
        <v>0</v>
      </c>
      <c r="D812" s="1177">
        <v>0</v>
      </c>
      <c r="E812" s="1177">
        <v>0</v>
      </c>
      <c r="F812" s="1177">
        <v>45</v>
      </c>
      <c r="G812" s="1177">
        <v>0</v>
      </c>
      <c r="H812" s="1177">
        <v>0</v>
      </c>
      <c r="I812" s="1178">
        <v>0</v>
      </c>
      <c r="J812" s="1178">
        <v>0</v>
      </c>
      <c r="K812" s="1178">
        <v>0</v>
      </c>
      <c r="L812" s="1178">
        <v>25</v>
      </c>
      <c r="M812" s="1178">
        <v>0</v>
      </c>
      <c r="N812" s="1178">
        <v>102</v>
      </c>
      <c r="O812" s="1179">
        <f>SUM(C812:N812)/12</f>
        <v>14.333333333333334</v>
      </c>
      <c r="P812" s="1180">
        <f>O806/M!$Q$14</f>
        <v>3.8709147091022544E-3</v>
      </c>
      <c r="Q812" s="1235"/>
      <c r="R812" s="1235"/>
      <c r="S812" s="1235"/>
      <c r="T812" s="1235"/>
      <c r="U812" s="1235"/>
      <c r="V812" s="1235"/>
      <c r="W812" s="1235"/>
    </row>
    <row r="813" spans="1:23">
      <c r="A813" s="2218"/>
      <c r="B813" s="1176" t="s">
        <v>458</v>
      </c>
      <c r="C813" s="1177">
        <v>20</v>
      </c>
      <c r="D813" s="1177">
        <v>5</v>
      </c>
      <c r="E813" s="1177">
        <v>0</v>
      </c>
      <c r="F813" s="1177">
        <v>52</v>
      </c>
      <c r="G813" s="1177">
        <v>87</v>
      </c>
      <c r="H813" s="1177">
        <v>68</v>
      </c>
      <c r="I813" s="1178">
        <v>24</v>
      </c>
      <c r="J813" s="1178">
        <v>0</v>
      </c>
      <c r="K813" s="1178">
        <v>15</v>
      </c>
      <c r="L813" s="1178">
        <v>50</v>
      </c>
      <c r="M813" s="1178">
        <v>0</v>
      </c>
      <c r="N813" s="1178">
        <v>36</v>
      </c>
      <c r="O813" s="1179">
        <f>SUM(C813:N813)/12</f>
        <v>29.75</v>
      </c>
      <c r="P813" s="1180">
        <f>O807/M!$Q$14</f>
        <v>6.3967239208330686E-3</v>
      </c>
      <c r="Q813" s="1235"/>
      <c r="R813" s="1235"/>
      <c r="S813" s="1235"/>
      <c r="T813" s="1235"/>
      <c r="U813" s="1235"/>
      <c r="V813" s="1235"/>
      <c r="W813" s="1235"/>
    </row>
    <row r="814" spans="1:23">
      <c r="A814" s="2219"/>
      <c r="B814" s="1176" t="s">
        <v>459</v>
      </c>
      <c r="C814" s="1177">
        <v>0</v>
      </c>
      <c r="D814" s="1177">
        <v>0</v>
      </c>
      <c r="E814" s="1177">
        <v>0</v>
      </c>
      <c r="F814" s="1177">
        <v>100</v>
      </c>
      <c r="G814" s="1177">
        <v>45</v>
      </c>
      <c r="H814" s="1177">
        <v>45</v>
      </c>
      <c r="I814" s="1178">
        <v>25</v>
      </c>
      <c r="J814" s="1178">
        <v>0</v>
      </c>
      <c r="K814" s="1178">
        <v>0</v>
      </c>
      <c r="L814" s="1178">
        <v>0</v>
      </c>
      <c r="M814" s="1178">
        <v>0</v>
      </c>
      <c r="N814" s="1178">
        <v>0</v>
      </c>
      <c r="O814" s="1179">
        <f>SUM(C814:N814)/12</f>
        <v>17.916666666666668</v>
      </c>
      <c r="P814" s="1180">
        <f>O808/M!$Q$14</f>
        <v>4.3641200581384489E-3</v>
      </c>
      <c r="Q814" s="1235"/>
      <c r="R814" s="1235"/>
      <c r="S814" s="1235"/>
      <c r="T814" s="1235"/>
      <c r="U814" s="1235"/>
      <c r="V814" s="1235"/>
      <c r="W814" s="1235"/>
    </row>
    <row r="815" spans="1:23">
      <c r="A815" s="2191" t="s">
        <v>278</v>
      </c>
      <c r="B815" s="2192"/>
      <c r="C815" s="2203">
        <f t="shared" ref="C815:J815" si="216">SUM(C817:C818)</f>
        <v>1135</v>
      </c>
      <c r="D815" s="2203">
        <f t="shared" si="216"/>
        <v>947</v>
      </c>
      <c r="E815" s="2203">
        <f t="shared" si="216"/>
        <v>936</v>
      </c>
      <c r="F815" s="2203">
        <f t="shared" si="216"/>
        <v>745</v>
      </c>
      <c r="G815" s="2203">
        <f t="shared" si="216"/>
        <v>556</v>
      </c>
      <c r="H815" s="2203">
        <f t="shared" si="216"/>
        <v>1161</v>
      </c>
      <c r="I815" s="2203">
        <f t="shared" si="216"/>
        <v>1237</v>
      </c>
      <c r="J815" s="2203">
        <f t="shared" si="216"/>
        <v>501</v>
      </c>
      <c r="K815" s="2203">
        <f>SUM(K817:K818)</f>
        <v>801</v>
      </c>
      <c r="L815" s="2203">
        <f>SUM(L817:L818)</f>
        <v>772</v>
      </c>
      <c r="M815" s="2203">
        <f>SUM(M817:M818)</f>
        <v>461</v>
      </c>
      <c r="N815" s="2203">
        <f>SUM(N817:N818)</f>
        <v>807</v>
      </c>
      <c r="O815" s="2203">
        <f>SUM(O817:O818)</f>
        <v>838.25</v>
      </c>
      <c r="P815" s="2205">
        <f>O809/M!$Q$14</f>
        <v>2.5078744717658624E-2</v>
      </c>
      <c r="Q815" s="1235"/>
      <c r="R815" s="1235"/>
      <c r="S815" s="1235"/>
      <c r="T815" s="1235"/>
      <c r="U815" s="1235"/>
      <c r="V815" s="1235"/>
      <c r="W815" s="1235"/>
    </row>
    <row r="816" spans="1:23">
      <c r="A816" s="2193"/>
      <c r="B816" s="2194"/>
      <c r="C816" s="2204"/>
      <c r="D816" s="2204"/>
      <c r="E816" s="2204"/>
      <c r="F816" s="2204"/>
      <c r="G816" s="2204"/>
      <c r="H816" s="2204"/>
      <c r="I816" s="2204"/>
      <c r="J816" s="2204"/>
      <c r="K816" s="2204"/>
      <c r="L816" s="2204"/>
      <c r="M816" s="2204"/>
      <c r="N816" s="2204"/>
      <c r="O816" s="2204"/>
      <c r="P816" s="2206"/>
      <c r="Q816" s="1235"/>
      <c r="R816" s="1235"/>
      <c r="S816" s="1235"/>
      <c r="T816" s="1235"/>
      <c r="U816" s="1235"/>
      <c r="V816" s="1235"/>
      <c r="W816" s="1235"/>
    </row>
    <row r="817" spans="1:23">
      <c r="A817" s="2217"/>
      <c r="B817" s="1176" t="s">
        <v>414</v>
      </c>
      <c r="C817" s="1177">
        <v>932</v>
      </c>
      <c r="D817" s="1177">
        <v>727</v>
      </c>
      <c r="E817" s="1177">
        <v>831</v>
      </c>
      <c r="F817" s="1177">
        <v>620</v>
      </c>
      <c r="G817" s="1177">
        <v>493</v>
      </c>
      <c r="H817" s="1177">
        <v>650</v>
      </c>
      <c r="I817" s="1178">
        <v>1011</v>
      </c>
      <c r="J817" s="1178">
        <v>501</v>
      </c>
      <c r="K817" s="1178">
        <v>709</v>
      </c>
      <c r="L817" s="1178">
        <v>598</v>
      </c>
      <c r="M817" s="1178">
        <v>354</v>
      </c>
      <c r="N817" s="1178">
        <v>477</v>
      </c>
      <c r="O817" s="1179">
        <f>SUM(C817:N817)/12</f>
        <v>658.58333333333337</v>
      </c>
      <c r="P817" s="1180">
        <f>O811/M!$Q$14</f>
        <v>1.9518975328523334E-2</v>
      </c>
      <c r="Q817" s="1235"/>
      <c r="R817" s="1235"/>
      <c r="S817" s="1235"/>
      <c r="T817" s="1235"/>
      <c r="U817" s="1235"/>
      <c r="V817" s="1235"/>
      <c r="W817" s="1235"/>
    </row>
    <row r="818" spans="1:23">
      <c r="A818" s="2219"/>
      <c r="B818" s="1176" t="s">
        <v>278</v>
      </c>
      <c r="C818" s="1177">
        <v>203</v>
      </c>
      <c r="D818" s="1177">
        <v>220</v>
      </c>
      <c r="E818" s="1177">
        <v>105</v>
      </c>
      <c r="F818" s="1177">
        <v>125</v>
      </c>
      <c r="G818" s="1177">
        <v>63</v>
      </c>
      <c r="H818" s="1177">
        <v>511</v>
      </c>
      <c r="I818" s="1178">
        <v>226</v>
      </c>
      <c r="J818" s="1178">
        <v>0</v>
      </c>
      <c r="K818" s="1178">
        <v>92</v>
      </c>
      <c r="L818" s="1178">
        <v>174</v>
      </c>
      <c r="M818" s="1178">
        <v>107</v>
      </c>
      <c r="N818" s="1178">
        <v>330</v>
      </c>
      <c r="O818" s="1179">
        <f>SUM(C818:N818)/12</f>
        <v>179.66666666666666</v>
      </c>
      <c r="P818" s="1180">
        <f>O812/M!$Q$14</f>
        <v>1.285323030821598E-3</v>
      </c>
      <c r="Q818" s="1235"/>
      <c r="R818" s="1235"/>
      <c r="S818" s="1235"/>
      <c r="T818" s="1235"/>
      <c r="U818" s="1235"/>
      <c r="V818" s="1235"/>
      <c r="W818" s="1235"/>
    </row>
    <row r="819" spans="1:23">
      <c r="A819" s="2191" t="s">
        <v>279</v>
      </c>
      <c r="B819" s="2192"/>
      <c r="C819" s="2203">
        <f t="shared" ref="C819:N819" si="217">SUM(C821:C828)</f>
        <v>364</v>
      </c>
      <c r="D819" s="2203">
        <f t="shared" si="217"/>
        <v>326</v>
      </c>
      <c r="E819" s="2203">
        <f t="shared" si="217"/>
        <v>321</v>
      </c>
      <c r="F819" s="2203">
        <f t="shared" si="217"/>
        <v>249</v>
      </c>
      <c r="G819" s="2203">
        <f t="shared" si="217"/>
        <v>205</v>
      </c>
      <c r="H819" s="2203">
        <f t="shared" si="217"/>
        <v>285</v>
      </c>
      <c r="I819" s="2203">
        <f t="shared" si="217"/>
        <v>432</v>
      </c>
      <c r="J819" s="2203">
        <f t="shared" si="217"/>
        <v>299</v>
      </c>
      <c r="K819" s="2203">
        <f t="shared" si="217"/>
        <v>224</v>
      </c>
      <c r="L819" s="2203">
        <f t="shared" si="217"/>
        <v>232</v>
      </c>
      <c r="M819" s="2203">
        <f t="shared" si="217"/>
        <v>233</v>
      </c>
      <c r="N819" s="2203">
        <f t="shared" si="217"/>
        <v>426</v>
      </c>
      <c r="O819" s="2203">
        <f>SUM(O821:O828)</f>
        <v>299.66666666666669</v>
      </c>
      <c r="P819" s="1180">
        <f>O813/M!$Q$14</f>
        <v>2.6677925697866887E-3</v>
      </c>
      <c r="Q819" s="1235"/>
      <c r="R819" s="1235"/>
      <c r="S819" s="1235"/>
      <c r="T819" s="1235"/>
      <c r="U819" s="1235"/>
      <c r="V819" s="1235"/>
      <c r="W819" s="1235"/>
    </row>
    <row r="820" spans="1:23">
      <c r="A820" s="2193"/>
      <c r="B820" s="2194"/>
      <c r="C820" s="2204"/>
      <c r="D820" s="2204"/>
      <c r="E820" s="2204"/>
      <c r="F820" s="2204"/>
      <c r="G820" s="2204"/>
      <c r="H820" s="2204"/>
      <c r="I820" s="2204"/>
      <c r="J820" s="2204"/>
      <c r="K820" s="2204"/>
      <c r="L820" s="2204"/>
      <c r="M820" s="2204"/>
      <c r="N820" s="2204"/>
      <c r="O820" s="2204"/>
      <c r="P820" s="1180">
        <f>O814/M!$Q$14</f>
        <v>1.6066537885269976E-3</v>
      </c>
      <c r="Q820" s="1235"/>
      <c r="R820" s="1235"/>
      <c r="S820" s="1235"/>
      <c r="T820" s="1235"/>
      <c r="U820" s="1235"/>
      <c r="V820" s="1235"/>
      <c r="W820" s="1235"/>
    </row>
    <row r="821" spans="1:23">
      <c r="A821" s="2217"/>
      <c r="B821" s="1176" t="s">
        <v>415</v>
      </c>
      <c r="C821" s="1182">
        <v>145</v>
      </c>
      <c r="D821" s="1182">
        <v>137</v>
      </c>
      <c r="E821" s="1182">
        <v>162</v>
      </c>
      <c r="F821" s="1182">
        <v>129</v>
      </c>
      <c r="G821" s="1182">
        <v>121</v>
      </c>
      <c r="H821" s="1182">
        <v>190</v>
      </c>
      <c r="I821" s="1182">
        <v>211</v>
      </c>
      <c r="J821" s="1182">
        <v>80</v>
      </c>
      <c r="K821" s="1182">
        <v>45</v>
      </c>
      <c r="L821" s="1182">
        <v>53</v>
      </c>
      <c r="M821" s="1182">
        <v>50</v>
      </c>
      <c r="N821" s="1182">
        <v>237</v>
      </c>
      <c r="O821" s="1179">
        <f t="shared" ref="O821:O828" si="218">SUM(C821:N821)/12</f>
        <v>130</v>
      </c>
      <c r="P821" s="2205">
        <f>O815/M!$Q$14</f>
        <v>7.5168978878107293E-2</v>
      </c>
      <c r="Q821" s="1235"/>
      <c r="R821" s="1235"/>
      <c r="S821" s="1235"/>
      <c r="T821" s="1235"/>
      <c r="U821" s="1235"/>
      <c r="V821" s="1235"/>
      <c r="W821" s="1235"/>
    </row>
    <row r="822" spans="1:23">
      <c r="A822" s="2218"/>
      <c r="B822" s="1176" t="s">
        <v>416</v>
      </c>
      <c r="C822" s="1182">
        <v>0</v>
      </c>
      <c r="D822" s="1182">
        <v>0</v>
      </c>
      <c r="E822" s="1182">
        <v>0</v>
      </c>
      <c r="F822" s="1182">
        <v>0</v>
      </c>
      <c r="G822" s="1182">
        <v>0</v>
      </c>
      <c r="H822" s="1182">
        <v>0</v>
      </c>
      <c r="I822" s="1182">
        <v>0</v>
      </c>
      <c r="J822" s="1182">
        <v>49</v>
      </c>
      <c r="K822" s="1182">
        <v>49</v>
      </c>
      <c r="L822" s="1182">
        <v>54</v>
      </c>
      <c r="M822" s="1182">
        <v>47</v>
      </c>
      <c r="N822" s="1182">
        <v>55</v>
      </c>
      <c r="O822" s="1179">
        <f t="shared" si="218"/>
        <v>21.166666666666668</v>
      </c>
      <c r="P822" s="2206"/>
      <c r="Q822" s="1235"/>
      <c r="R822" s="1235"/>
      <c r="S822" s="1235"/>
      <c r="T822" s="1235"/>
      <c r="U822" s="1235"/>
      <c r="V822" s="1235"/>
      <c r="W822" s="1235"/>
    </row>
    <row r="823" spans="1:23">
      <c r="A823" s="2218"/>
      <c r="B823" s="1176" t="s">
        <v>417</v>
      </c>
      <c r="C823" s="1182">
        <v>0</v>
      </c>
      <c r="D823" s="1182">
        <v>0</v>
      </c>
      <c r="E823" s="1182">
        <v>0</v>
      </c>
      <c r="F823" s="1182">
        <v>0</v>
      </c>
      <c r="G823" s="1182">
        <v>0</v>
      </c>
      <c r="H823" s="1182">
        <v>0</v>
      </c>
      <c r="I823" s="1182">
        <v>27</v>
      </c>
      <c r="J823" s="1182">
        <v>52</v>
      </c>
      <c r="K823" s="1182">
        <v>52</v>
      </c>
      <c r="L823" s="1182">
        <v>52</v>
      </c>
      <c r="M823" s="1182">
        <v>54</v>
      </c>
      <c r="N823" s="1182">
        <v>52</v>
      </c>
      <c r="O823" s="1179">
        <f t="shared" si="218"/>
        <v>24.083333333333332</v>
      </c>
      <c r="P823" s="1180">
        <f>O817/M!$Q$14</f>
        <v>5.9057604142924935E-2</v>
      </c>
      <c r="Q823" s="1235"/>
      <c r="R823" s="1235"/>
      <c r="S823" s="1235"/>
      <c r="T823" s="1235"/>
      <c r="U823" s="1235"/>
      <c r="V823" s="1235"/>
      <c r="W823" s="1235"/>
    </row>
    <row r="824" spans="1:23">
      <c r="A824" s="2218"/>
      <c r="B824" s="1176" t="s">
        <v>410</v>
      </c>
      <c r="C824" s="1182">
        <v>165</v>
      </c>
      <c r="D824" s="1182">
        <v>135</v>
      </c>
      <c r="E824" s="1182">
        <v>105</v>
      </c>
      <c r="F824" s="1182">
        <v>66</v>
      </c>
      <c r="G824" s="1182">
        <v>30</v>
      </c>
      <c r="H824" s="1182">
        <v>30</v>
      </c>
      <c r="I824" s="1182">
        <v>15</v>
      </c>
      <c r="J824" s="1182">
        <v>22</v>
      </c>
      <c r="K824" s="1182">
        <v>22</v>
      </c>
      <c r="L824" s="1182">
        <v>28</v>
      </c>
      <c r="M824" s="1182">
        <v>29</v>
      </c>
      <c r="N824" s="1182">
        <v>29</v>
      </c>
      <c r="O824" s="1179">
        <f t="shared" si="218"/>
        <v>56.333333333333336</v>
      </c>
      <c r="P824" s="1180">
        <f>O818/M!$Q$14</f>
        <v>1.6111374735182354E-2</v>
      </c>
      <c r="Q824" s="1235"/>
      <c r="R824" s="1235"/>
      <c r="S824" s="1235"/>
      <c r="T824" s="1235"/>
      <c r="U824" s="1235"/>
      <c r="V824" s="1235"/>
      <c r="W824" s="1235"/>
    </row>
    <row r="825" spans="1:23">
      <c r="A825" s="2218"/>
      <c r="B825" s="1176" t="s">
        <v>418</v>
      </c>
      <c r="C825" s="1182">
        <v>50</v>
      </c>
      <c r="D825" s="1182">
        <v>50</v>
      </c>
      <c r="E825" s="1182">
        <v>50</v>
      </c>
      <c r="F825" s="1182">
        <v>50</v>
      </c>
      <c r="G825" s="1182">
        <v>50</v>
      </c>
      <c r="H825" s="1182">
        <v>50</v>
      </c>
      <c r="I825" s="1182">
        <f xml:space="preserve"> 50 + 84 +40</f>
        <v>174</v>
      </c>
      <c r="J825" s="1182">
        <v>80</v>
      </c>
      <c r="K825" s="1182">
        <v>40</v>
      </c>
      <c r="L825" s="1182">
        <v>40</v>
      </c>
      <c r="M825" s="1182">
        <v>48</v>
      </c>
      <c r="N825" s="1182">
        <v>48</v>
      </c>
      <c r="O825" s="1179">
        <f t="shared" si="218"/>
        <v>60.833333333333336</v>
      </c>
      <c r="P825" s="2205">
        <f>O819/M!$Q$14</f>
        <v>2.6872218714153875E-2</v>
      </c>
      <c r="Q825" s="1235"/>
      <c r="R825" s="1235"/>
      <c r="S825" s="1235"/>
      <c r="T825" s="1235"/>
      <c r="U825" s="1235"/>
      <c r="V825" s="1235"/>
      <c r="W825" s="1235"/>
    </row>
    <row r="826" spans="1:23">
      <c r="A826" s="2218"/>
      <c r="B826" s="1176" t="s">
        <v>419</v>
      </c>
      <c r="C826" s="1182">
        <v>4</v>
      </c>
      <c r="D826" s="1182">
        <v>4</v>
      </c>
      <c r="E826" s="1182">
        <v>4</v>
      </c>
      <c r="F826" s="1182">
        <v>4</v>
      </c>
      <c r="G826" s="1182">
        <v>4</v>
      </c>
      <c r="H826" s="1182">
        <v>4</v>
      </c>
      <c r="I826" s="1182">
        <v>5</v>
      </c>
      <c r="J826" s="1182">
        <v>5</v>
      </c>
      <c r="K826" s="1182">
        <v>5</v>
      </c>
      <c r="L826" s="1182">
        <v>5</v>
      </c>
      <c r="M826" s="1182">
        <v>5</v>
      </c>
      <c r="N826" s="1182">
        <v>5</v>
      </c>
      <c r="O826" s="1179">
        <f t="shared" si="218"/>
        <v>4.5</v>
      </c>
      <c r="P826" s="2206"/>
      <c r="Q826" s="1235"/>
      <c r="R826" s="1235"/>
      <c r="S826" s="1235"/>
      <c r="T826" s="1235"/>
      <c r="U826" s="1235"/>
      <c r="V826" s="1235"/>
      <c r="W826" s="1235"/>
    </row>
    <row r="827" spans="1:23">
      <c r="A827" s="2218"/>
      <c r="B827" s="1176" t="s">
        <v>460</v>
      </c>
      <c r="C827" s="1182">
        <v>0</v>
      </c>
      <c r="D827" s="1182">
        <v>0</v>
      </c>
      <c r="E827" s="1182">
        <v>0</v>
      </c>
      <c r="F827" s="1182">
        <v>0</v>
      </c>
      <c r="G827" s="1182">
        <v>0</v>
      </c>
      <c r="H827" s="1182">
        <v>11</v>
      </c>
      <c r="I827" s="1182">
        <v>0</v>
      </c>
      <c r="J827" s="1182">
        <v>11</v>
      </c>
      <c r="K827" s="1182">
        <v>11</v>
      </c>
      <c r="L827" s="1182">
        <v>0</v>
      </c>
      <c r="M827" s="1182">
        <v>0</v>
      </c>
      <c r="N827" s="1182">
        <v>0</v>
      </c>
      <c r="O827" s="1179">
        <f t="shared" si="218"/>
        <v>2.75</v>
      </c>
      <c r="P827" s="1180">
        <f>O821/M!$Q$14</f>
        <v>1.1657580977219145E-2</v>
      </c>
      <c r="Q827" s="1235"/>
      <c r="R827" s="1235"/>
      <c r="S827" s="1235"/>
      <c r="T827" s="1235"/>
      <c r="U827" s="1235"/>
      <c r="V827" s="1235"/>
      <c r="W827" s="1235"/>
    </row>
    <row r="828" spans="1:23">
      <c r="A828" s="2219"/>
      <c r="B828" s="1176" t="s">
        <v>421</v>
      </c>
      <c r="C828" s="1182">
        <v>0</v>
      </c>
      <c r="D828" s="1182">
        <v>0</v>
      </c>
      <c r="E828" s="1182">
        <v>0</v>
      </c>
      <c r="F828" s="1182">
        <v>0</v>
      </c>
      <c r="G828" s="1182">
        <v>0</v>
      </c>
      <c r="H828" s="1182">
        <v>0</v>
      </c>
      <c r="I828" s="1182">
        <v>0</v>
      </c>
      <c r="J828" s="1182">
        <v>0</v>
      </c>
      <c r="K828" s="1182">
        <v>0</v>
      </c>
      <c r="L828" s="1182">
        <v>0</v>
      </c>
      <c r="M828" s="1182">
        <v>0</v>
      </c>
      <c r="N828" s="1182">
        <v>0</v>
      </c>
      <c r="O828" s="1179">
        <f t="shared" si="218"/>
        <v>0</v>
      </c>
      <c r="P828" s="1180">
        <f>O822/M!$Q$14</f>
        <v>1.8980933129574761E-3</v>
      </c>
      <c r="Q828" s="1235"/>
      <c r="R828" s="1235"/>
      <c r="S828" s="1235"/>
      <c r="T828" s="1235"/>
      <c r="U828" s="1235"/>
      <c r="V828" s="1235"/>
      <c r="W828" s="1235"/>
    </row>
    <row r="829" spans="1:23">
      <c r="A829" s="2191" t="s">
        <v>280</v>
      </c>
      <c r="B829" s="2192"/>
      <c r="C829" s="2203">
        <f t="shared" ref="C829:O829" si="219">SUM(C831:C837)</f>
        <v>159</v>
      </c>
      <c r="D829" s="2203">
        <f t="shared" si="219"/>
        <v>1706</v>
      </c>
      <c r="E829" s="2203">
        <f t="shared" si="219"/>
        <v>426</v>
      </c>
      <c r="F829" s="2203">
        <f t="shared" si="219"/>
        <v>2258</v>
      </c>
      <c r="G829" s="2203">
        <f t="shared" si="219"/>
        <v>196</v>
      </c>
      <c r="H829" s="2203">
        <f t="shared" si="219"/>
        <v>2526</v>
      </c>
      <c r="I829" s="2203">
        <f t="shared" si="219"/>
        <v>860</v>
      </c>
      <c r="J829" s="2203">
        <f t="shared" si="219"/>
        <v>458</v>
      </c>
      <c r="K829" s="2203">
        <f t="shared" si="219"/>
        <v>322</v>
      </c>
      <c r="L829" s="2203">
        <f t="shared" si="219"/>
        <v>1506</v>
      </c>
      <c r="M829" s="2203">
        <f t="shared" si="219"/>
        <v>1294</v>
      </c>
      <c r="N829" s="2203">
        <f t="shared" si="219"/>
        <v>7162</v>
      </c>
      <c r="O829" s="2203">
        <f t="shared" si="219"/>
        <v>1572.75</v>
      </c>
      <c r="P829" s="1180">
        <f>O823/M!$Q$14</f>
        <v>2.1596416041130338E-3</v>
      </c>
      <c r="Q829" s="1235"/>
      <c r="R829" s="1235"/>
      <c r="S829" s="1235"/>
      <c r="T829" s="1235"/>
      <c r="U829" s="1235"/>
      <c r="V829" s="1235"/>
      <c r="W829" s="1235"/>
    </row>
    <row r="830" spans="1:23">
      <c r="A830" s="2193"/>
      <c r="B830" s="2194"/>
      <c r="C830" s="2204"/>
      <c r="D830" s="2204"/>
      <c r="E830" s="2204"/>
      <c r="F830" s="2204"/>
      <c r="G830" s="2204"/>
      <c r="H830" s="2204"/>
      <c r="I830" s="2204"/>
      <c r="J830" s="2204"/>
      <c r="K830" s="2204"/>
      <c r="L830" s="2204"/>
      <c r="M830" s="2204"/>
      <c r="N830" s="2204"/>
      <c r="O830" s="2204"/>
      <c r="P830" s="1180">
        <f>O824/M!$Q$14</f>
        <v>5.0516184234616294E-3</v>
      </c>
      <c r="Q830" s="1235"/>
      <c r="R830" s="1235"/>
      <c r="S830" s="1235"/>
      <c r="T830" s="1235"/>
      <c r="U830" s="1235"/>
      <c r="V830" s="1235"/>
      <c r="W830" s="1235"/>
    </row>
    <row r="831" spans="1:23">
      <c r="A831" s="2217"/>
      <c r="B831" s="1176" t="s">
        <v>280</v>
      </c>
      <c r="C831" s="1177">
        <v>88</v>
      </c>
      <c r="D831" s="1177">
        <v>332</v>
      </c>
      <c r="E831" s="1177">
        <v>147</v>
      </c>
      <c r="F831" s="1177">
        <v>45</v>
      </c>
      <c r="G831" s="1177">
        <v>136</v>
      </c>
      <c r="H831" s="1177">
        <v>39</v>
      </c>
      <c r="I831" s="1178">
        <v>407</v>
      </c>
      <c r="J831" s="1178">
        <v>156</v>
      </c>
      <c r="K831" s="1177">
        <v>119</v>
      </c>
      <c r="L831" s="1182">
        <v>208</v>
      </c>
      <c r="M831" s="1182">
        <v>378</v>
      </c>
      <c r="N831" s="1182">
        <v>350</v>
      </c>
      <c r="O831" s="1179">
        <f t="shared" ref="O831:O837" si="220">SUM(C831:N831)/12</f>
        <v>200.41666666666666</v>
      </c>
      <c r="P831" s="1180">
        <f>O825/M!$Q$14</f>
        <v>5.4551500726730618E-3</v>
      </c>
      <c r="Q831" s="1235"/>
      <c r="R831" s="1235"/>
      <c r="S831" s="1235"/>
      <c r="T831" s="1235"/>
      <c r="U831" s="1235"/>
      <c r="V831" s="1235"/>
      <c r="W831" s="1235"/>
    </row>
    <row r="832" spans="1:23">
      <c r="A832" s="2218"/>
      <c r="B832" s="1176" t="s">
        <v>423</v>
      </c>
      <c r="C832" s="1177">
        <v>0</v>
      </c>
      <c r="D832" s="1177">
        <v>85</v>
      </c>
      <c r="E832" s="1177">
        <v>185</v>
      </c>
      <c r="F832" s="1177">
        <v>60</v>
      </c>
      <c r="G832" s="1177">
        <v>0</v>
      </c>
      <c r="H832" s="1177">
        <v>144</v>
      </c>
      <c r="I832" s="1178">
        <v>60</v>
      </c>
      <c r="J832" s="1178">
        <v>0</v>
      </c>
      <c r="K832" s="1177">
        <v>45</v>
      </c>
      <c r="L832" s="1182">
        <v>65</v>
      </c>
      <c r="M832" s="1182">
        <v>301</v>
      </c>
      <c r="N832" s="1182">
        <v>296</v>
      </c>
      <c r="O832" s="1179">
        <f t="shared" si="220"/>
        <v>103.41666666666667</v>
      </c>
      <c r="P832" s="1180">
        <f>O826/M!$Q$14</f>
        <v>4.0353164921143195E-4</v>
      </c>
      <c r="Q832" s="1235"/>
      <c r="R832" s="1235"/>
      <c r="S832" s="1235"/>
      <c r="T832" s="1235"/>
      <c r="U832" s="1235"/>
      <c r="V832" s="1235"/>
      <c r="W832" s="1235"/>
    </row>
    <row r="833" spans="1:23">
      <c r="A833" s="2218"/>
      <c r="B833" s="1176" t="s">
        <v>424</v>
      </c>
      <c r="C833" s="1177">
        <v>0</v>
      </c>
      <c r="D833" s="1177">
        <v>0</v>
      </c>
      <c r="E833" s="1177">
        <v>0</v>
      </c>
      <c r="F833" s="1177">
        <v>0</v>
      </c>
      <c r="G833" s="1177">
        <v>52</v>
      </c>
      <c r="H833" s="1177">
        <v>1267</v>
      </c>
      <c r="I833" s="1182">
        <v>0</v>
      </c>
      <c r="J833" s="1178">
        <v>0</v>
      </c>
      <c r="K833" s="1177">
        <v>0</v>
      </c>
      <c r="L833" s="1182">
        <v>0</v>
      </c>
      <c r="M833" s="1182">
        <v>0</v>
      </c>
      <c r="N833" s="1182">
        <v>0</v>
      </c>
      <c r="O833" s="1179">
        <f t="shared" si="220"/>
        <v>109.91666666666667</v>
      </c>
      <c r="P833" s="1180">
        <f>O827/M!$Q$14</f>
        <v>2.4660267451809731E-4</v>
      </c>
      <c r="Q833" s="1235"/>
      <c r="R833" s="1235"/>
      <c r="S833" s="1235"/>
      <c r="T833" s="1235"/>
      <c r="U833" s="1235"/>
      <c r="V833" s="1235"/>
      <c r="W833" s="1235"/>
    </row>
    <row r="834" spans="1:23">
      <c r="A834" s="2218"/>
      <c r="B834" s="1176" t="s">
        <v>425</v>
      </c>
      <c r="C834" s="1177">
        <v>0</v>
      </c>
      <c r="D834" s="1177">
        <v>0</v>
      </c>
      <c r="E834" s="1177">
        <v>0</v>
      </c>
      <c r="F834" s="1177">
        <v>0</v>
      </c>
      <c r="G834" s="1177">
        <v>0</v>
      </c>
      <c r="H834" s="1177">
        <v>53</v>
      </c>
      <c r="I834" s="1178">
        <v>61</v>
      </c>
      <c r="J834" s="1178">
        <v>0</v>
      </c>
      <c r="K834" s="1177">
        <v>0</v>
      </c>
      <c r="L834" s="1182">
        <v>0</v>
      </c>
      <c r="M834" s="1182">
        <v>0</v>
      </c>
      <c r="N834" s="1182">
        <v>0</v>
      </c>
      <c r="O834" s="1179">
        <f t="shared" si="220"/>
        <v>9.5</v>
      </c>
      <c r="P834" s="1180">
        <f>O828/M!$Q$14</f>
        <v>0</v>
      </c>
      <c r="Q834" s="1235"/>
      <c r="R834" s="1235"/>
      <c r="S834" s="1235"/>
      <c r="T834" s="1235"/>
      <c r="U834" s="1235"/>
      <c r="V834" s="1235"/>
      <c r="W834" s="1235"/>
    </row>
    <row r="835" spans="1:23">
      <c r="A835" s="2218"/>
      <c r="B835" s="1176" t="s">
        <v>667</v>
      </c>
      <c r="C835" s="1177">
        <v>26</v>
      </c>
      <c r="D835" s="1177">
        <v>65</v>
      </c>
      <c r="E835" s="1177">
        <v>56</v>
      </c>
      <c r="F835" s="1182">
        <v>120</v>
      </c>
      <c r="G835" s="1177">
        <v>0</v>
      </c>
      <c r="H835" s="1177">
        <v>30</v>
      </c>
      <c r="I835" s="1178">
        <v>245</v>
      </c>
      <c r="J835" s="1178">
        <v>222</v>
      </c>
      <c r="K835" s="1177">
        <v>68</v>
      </c>
      <c r="L835" s="1182">
        <v>0</v>
      </c>
      <c r="M835" s="1182">
        <v>65</v>
      </c>
      <c r="N835" s="1182">
        <v>224</v>
      </c>
      <c r="O835" s="1179">
        <f t="shared" si="220"/>
        <v>93.416666666666671</v>
      </c>
      <c r="P835" s="2205">
        <f>O829/M!$Q$14</f>
        <v>0.14103431139939546</v>
      </c>
      <c r="Q835" s="1235"/>
      <c r="R835" s="1235"/>
      <c r="S835" s="1235"/>
      <c r="T835" s="1235"/>
      <c r="U835" s="1235"/>
      <c r="V835" s="1235"/>
      <c r="W835" s="1235"/>
    </row>
    <row r="836" spans="1:23">
      <c r="A836" s="2218"/>
      <c r="B836" s="1176" t="s">
        <v>427</v>
      </c>
      <c r="C836" s="1177">
        <v>0</v>
      </c>
      <c r="D836" s="1177">
        <v>0</v>
      </c>
      <c r="E836" s="1177">
        <v>0</v>
      </c>
      <c r="F836" s="1177">
        <v>0</v>
      </c>
      <c r="G836" s="1177">
        <v>0</v>
      </c>
      <c r="H836" s="1177">
        <v>0</v>
      </c>
      <c r="I836" s="1178">
        <v>70</v>
      </c>
      <c r="J836" s="1178">
        <v>70</v>
      </c>
      <c r="K836" s="1177">
        <v>82</v>
      </c>
      <c r="L836" s="1182">
        <v>82</v>
      </c>
      <c r="M836" s="1182">
        <v>82</v>
      </c>
      <c r="N836" s="1182">
        <v>82</v>
      </c>
      <c r="O836" s="1179">
        <f t="shared" si="220"/>
        <v>39</v>
      </c>
      <c r="P836" s="2206"/>
      <c r="Q836" s="1235"/>
      <c r="R836" s="1235"/>
      <c r="S836" s="1235"/>
      <c r="T836" s="1235"/>
      <c r="U836" s="1235"/>
      <c r="V836" s="1235"/>
      <c r="W836" s="1235"/>
    </row>
    <row r="837" spans="1:23">
      <c r="A837" s="2219"/>
      <c r="B837" s="1176" t="s">
        <v>381</v>
      </c>
      <c r="C837" s="1177">
        <v>45</v>
      </c>
      <c r="D837" s="1177">
        <v>1224</v>
      </c>
      <c r="E837" s="1177">
        <v>38</v>
      </c>
      <c r="F837" s="1182">
        <f xml:space="preserve"> 2841 - 808</f>
        <v>2033</v>
      </c>
      <c r="G837" s="1177">
        <v>8</v>
      </c>
      <c r="H837" s="1182">
        <v>993</v>
      </c>
      <c r="I837" s="1178">
        <v>17</v>
      </c>
      <c r="J837" s="1178">
        <v>10</v>
      </c>
      <c r="K837" s="1177">
        <v>8</v>
      </c>
      <c r="L837" s="1182">
        <v>1151</v>
      </c>
      <c r="M837" s="1182">
        <v>468</v>
      </c>
      <c r="N837" s="1182">
        <v>6210</v>
      </c>
      <c r="O837" s="1179">
        <f t="shared" si="220"/>
        <v>1017.0833333333334</v>
      </c>
      <c r="P837" s="1180">
        <f>O831/M!$Q$14</f>
        <v>1.7972104006546179E-2</v>
      </c>
      <c r="Q837" s="1235"/>
      <c r="R837" s="1235"/>
      <c r="S837" s="1235"/>
      <c r="T837" s="1235"/>
      <c r="U837" s="1235"/>
      <c r="V837" s="1235"/>
      <c r="W837" s="1235"/>
    </row>
    <row r="838" spans="1:23">
      <c r="A838" s="2191" t="s">
        <v>428</v>
      </c>
      <c r="B838" s="2192"/>
      <c r="C838" s="2203">
        <f>SUM(C840:C841)</f>
        <v>4074</v>
      </c>
      <c r="D838" s="2203">
        <f t="shared" ref="D838:N838" si="221">SUM(D840:D841)</f>
        <v>2655</v>
      </c>
      <c r="E838" s="2203">
        <f t="shared" si="221"/>
        <v>2060</v>
      </c>
      <c r="F838" s="2203">
        <f t="shared" si="221"/>
        <v>2987</v>
      </c>
      <c r="G838" s="2203">
        <f t="shared" si="221"/>
        <v>2186</v>
      </c>
      <c r="H838" s="2203">
        <f t="shared" si="221"/>
        <v>1975</v>
      </c>
      <c r="I838" s="2203">
        <f t="shared" si="221"/>
        <v>400</v>
      </c>
      <c r="J838" s="2203">
        <f t="shared" si="221"/>
        <v>407</v>
      </c>
      <c r="K838" s="2203">
        <f t="shared" si="221"/>
        <v>931</v>
      </c>
      <c r="L838" s="2203">
        <f t="shared" si="221"/>
        <v>1021</v>
      </c>
      <c r="M838" s="2203">
        <f t="shared" si="221"/>
        <v>1001</v>
      </c>
      <c r="N838" s="2203">
        <f t="shared" si="221"/>
        <v>1001</v>
      </c>
      <c r="O838" s="2203">
        <f>SUM(O840:O841)</f>
        <v>1724.8333333333333</v>
      </c>
      <c r="P838" s="1180">
        <f>O832/M!$Q$14</f>
        <v>9.2737551235442042E-3</v>
      </c>
      <c r="Q838" s="1235"/>
      <c r="R838" s="1235"/>
      <c r="S838" s="1235"/>
      <c r="T838" s="1235"/>
      <c r="U838" s="1235"/>
      <c r="V838" s="1235"/>
      <c r="W838" s="1235"/>
    </row>
    <row r="839" spans="1:23">
      <c r="A839" s="2193"/>
      <c r="B839" s="2194"/>
      <c r="C839" s="2204"/>
      <c r="D839" s="2204"/>
      <c r="E839" s="2204"/>
      <c r="F839" s="2204"/>
      <c r="G839" s="2204"/>
      <c r="H839" s="2204"/>
      <c r="I839" s="2204"/>
      <c r="J839" s="2204"/>
      <c r="K839" s="2204"/>
      <c r="L839" s="2204"/>
      <c r="M839" s="2204"/>
      <c r="N839" s="2204"/>
      <c r="O839" s="2204"/>
      <c r="P839" s="1180">
        <f>O833/M!$Q$14</f>
        <v>9.8566341724051609E-3</v>
      </c>
      <c r="Q839" s="1235"/>
      <c r="R839" s="1235"/>
      <c r="S839" s="1235"/>
      <c r="T839" s="1235"/>
      <c r="U839" s="1235"/>
      <c r="V839" s="1235"/>
      <c r="W839" s="1235"/>
    </row>
    <row r="840" spans="1:23">
      <c r="A840" s="2217"/>
      <c r="B840" s="1176" t="s">
        <v>429</v>
      </c>
      <c r="C840" s="1177">
        <v>1359</v>
      </c>
      <c r="D840" s="1177">
        <v>295</v>
      </c>
      <c r="E840" s="1177">
        <v>0</v>
      </c>
      <c r="F840" s="1177">
        <v>375</v>
      </c>
      <c r="G840" s="1177">
        <f xml:space="preserve"> 95 + 70</f>
        <v>165</v>
      </c>
      <c r="H840" s="1177">
        <v>0</v>
      </c>
      <c r="I840" s="1182">
        <v>0</v>
      </c>
      <c r="J840" s="1182">
        <f xml:space="preserve"> (585 + 495 + 395 + 360)/5</f>
        <v>367</v>
      </c>
      <c r="K840" s="1182">
        <f xml:space="preserve"> (585 + 495 + 395 + 360)/5</f>
        <v>367</v>
      </c>
      <c r="L840" s="1182">
        <f xml:space="preserve"> (585 + 495 + 395 + 360)/5</f>
        <v>367</v>
      </c>
      <c r="M840" s="1182">
        <f xml:space="preserve"> (585 + 495 + 395 + 360)/5</f>
        <v>367</v>
      </c>
      <c r="N840" s="1182">
        <f xml:space="preserve"> (585 + 495 + 395 + 360)/5</f>
        <v>367</v>
      </c>
      <c r="O840" s="1179">
        <f>SUM(C840:N840)/12</f>
        <v>335.75</v>
      </c>
      <c r="P840" s="1180">
        <f>O834/M!$Q$14</f>
        <v>8.5190014833524518E-4</v>
      </c>
      <c r="Q840" s="1235"/>
      <c r="R840" s="1235"/>
      <c r="S840" s="1235"/>
      <c r="T840" s="1235"/>
      <c r="U840" s="1235"/>
      <c r="V840" s="1235"/>
      <c r="W840" s="1235"/>
    </row>
    <row r="841" spans="1:23">
      <c r="A841" s="2218"/>
      <c r="B841" s="1176" t="s">
        <v>430</v>
      </c>
      <c r="C841" s="1177">
        <f xml:space="preserve"> 1223 + 567 + 325 + 600</f>
        <v>2715</v>
      </c>
      <c r="D841" s="1177">
        <f xml:space="preserve"> 1168 + 567 + 325 + 300</f>
        <v>2360</v>
      </c>
      <c r="E841" s="1177">
        <f xml:space="preserve"> 1168 + 567+ 325</f>
        <v>2060</v>
      </c>
      <c r="F841" s="1177">
        <f xml:space="preserve"> 1460 + 567 + 325 + 260</f>
        <v>2612</v>
      </c>
      <c r="G841" s="1177">
        <f xml:space="preserve"> 1104 + 567 + 350</f>
        <v>2021</v>
      </c>
      <c r="H841" s="1177">
        <f xml:space="preserve"> 828 + 55 + 567 + 150 + 350 + 25</f>
        <v>1975</v>
      </c>
      <c r="I841" s="1182">
        <v>400</v>
      </c>
      <c r="J841" s="1182">
        <v>40</v>
      </c>
      <c r="K841" s="1182">
        <v>564</v>
      </c>
      <c r="L841" s="1182">
        <f xml:space="preserve"> 634 + 20</f>
        <v>654</v>
      </c>
      <c r="M841" s="1182">
        <v>634</v>
      </c>
      <c r="N841" s="1182">
        <v>634</v>
      </c>
      <c r="O841" s="1179">
        <f>SUM(C841:N841)/12</f>
        <v>1389.0833333333333</v>
      </c>
      <c r="P841" s="1180">
        <f>O835/M!$Q$14</f>
        <v>8.3770181252965786E-3</v>
      </c>
      <c r="Q841" s="1235"/>
      <c r="R841" s="1235"/>
      <c r="S841" s="1235"/>
      <c r="T841" s="1235"/>
      <c r="U841" s="1235"/>
      <c r="V841" s="1235"/>
      <c r="W841" s="1235"/>
    </row>
    <row r="842" spans="1:23">
      <c r="A842" s="2191" t="s">
        <v>668</v>
      </c>
      <c r="B842" s="2192"/>
      <c r="C842" s="2203">
        <f>SUM(C844:C847)</f>
        <v>711.91666666666663</v>
      </c>
      <c r="D842" s="2203">
        <f t="shared" ref="D842:N842" si="222">SUM(D844:D847)</f>
        <v>857.91666666666663</v>
      </c>
      <c r="E842" s="2203">
        <f t="shared" si="222"/>
        <v>721.91666666666663</v>
      </c>
      <c r="F842" s="2203">
        <f t="shared" si="222"/>
        <v>809.91666666666663</v>
      </c>
      <c r="G842" s="2203">
        <f t="shared" si="222"/>
        <v>747.91666666666663</v>
      </c>
      <c r="H842" s="2203">
        <f t="shared" si="222"/>
        <v>751.91666666666663</v>
      </c>
      <c r="I842" s="2203">
        <f t="shared" si="222"/>
        <v>711.91666666666663</v>
      </c>
      <c r="J842" s="2203">
        <f t="shared" si="222"/>
        <v>711.91666666666663</v>
      </c>
      <c r="K842" s="2203">
        <f t="shared" si="222"/>
        <v>711.91666666666663</v>
      </c>
      <c r="L842" s="2203">
        <f t="shared" si="222"/>
        <v>711.91666666666663</v>
      </c>
      <c r="M842" s="2203">
        <f t="shared" si="222"/>
        <v>741.91666666666663</v>
      </c>
      <c r="N842" s="2203">
        <f t="shared" si="222"/>
        <v>881.91666666666663</v>
      </c>
      <c r="O842" s="2203">
        <f>SUM(O844:O847)</f>
        <v>756.08333333333337</v>
      </c>
      <c r="P842" s="1180">
        <f>O836/M!$Q$14</f>
        <v>3.4972742931657433E-3</v>
      </c>
      <c r="Q842" s="1235"/>
      <c r="R842" s="1235"/>
      <c r="S842" s="1235"/>
      <c r="T842" s="1235"/>
      <c r="U842" s="1235"/>
      <c r="V842" s="1235"/>
      <c r="W842" s="1235"/>
    </row>
    <row r="843" spans="1:23">
      <c r="A843" s="2193"/>
      <c r="B843" s="2194"/>
      <c r="C843" s="2204"/>
      <c r="D843" s="2204"/>
      <c r="E843" s="2204"/>
      <c r="F843" s="2204"/>
      <c r="G843" s="2204"/>
      <c r="H843" s="2204"/>
      <c r="I843" s="2204"/>
      <c r="J843" s="2204"/>
      <c r="K843" s="2204"/>
      <c r="L843" s="2204"/>
      <c r="M843" s="2204"/>
      <c r="N843" s="2204"/>
      <c r="O843" s="2204"/>
      <c r="P843" s="1180">
        <f>O837/M!$Q$14</f>
        <v>9.1205625530102349E-2</v>
      </c>
      <c r="Q843" s="1235"/>
      <c r="R843" s="1235"/>
      <c r="S843" s="1235"/>
      <c r="T843" s="1235"/>
      <c r="U843" s="1235"/>
      <c r="V843" s="1235"/>
      <c r="W843" s="1235"/>
    </row>
    <row r="844" spans="1:23">
      <c r="A844" s="1183"/>
      <c r="B844" s="1176" t="s">
        <v>432</v>
      </c>
      <c r="C844" s="1184">
        <f>(FinSnapshot!$P$94 +FinSnapshot!$P$96+FinSnapshot!$P$102+FinSnapshot!$P$104)/12</f>
        <v>331.08333333333331</v>
      </c>
      <c r="D844" s="1184">
        <f>(FinSnapshot!$P$94 +FinSnapshot!$P$96+FinSnapshot!$P$102+FinSnapshot!$P$104)/12</f>
        <v>331.08333333333331</v>
      </c>
      <c r="E844" s="1184">
        <f>(FinSnapshot!$P$94 +FinSnapshot!$P$96+FinSnapshot!$P$102+FinSnapshot!$P$104)/12</f>
        <v>331.08333333333331</v>
      </c>
      <c r="F844" s="1184">
        <f>(FinSnapshot!$P$94 +FinSnapshot!$P$96+FinSnapshot!$P$102+FinSnapshot!$P$104)/12</f>
        <v>331.08333333333331</v>
      </c>
      <c r="G844" s="1184">
        <f>(FinSnapshot!$P$94 +FinSnapshot!$P$96+FinSnapshot!$P$102+FinSnapshot!$P$104)/12</f>
        <v>331.08333333333331</v>
      </c>
      <c r="H844" s="1184">
        <f>(FinSnapshot!$P$94 +FinSnapshot!$P$96+FinSnapshot!$P$102+FinSnapshot!$P$104)/12</f>
        <v>331.08333333333331</v>
      </c>
      <c r="I844" s="1184">
        <f>(FinSnapshot!$P$94 +FinSnapshot!$P$96+FinSnapshot!$P$102+FinSnapshot!$P$104)/12</f>
        <v>331.08333333333331</v>
      </c>
      <c r="J844" s="1184">
        <f>(FinSnapshot!$P$94 +FinSnapshot!$P$96+FinSnapshot!$P$102+FinSnapshot!$P$104)/12</f>
        <v>331.08333333333331</v>
      </c>
      <c r="K844" s="1184">
        <f>(FinSnapshot!$P$94 +FinSnapshot!$P$96+FinSnapshot!$P$102+FinSnapshot!$P$104)/12</f>
        <v>331.08333333333331</v>
      </c>
      <c r="L844" s="1184">
        <f>(FinSnapshot!$P$94 +FinSnapshot!$P$96+FinSnapshot!$P$102+FinSnapshot!$P$104)/12</f>
        <v>331.08333333333331</v>
      </c>
      <c r="M844" s="1184">
        <f>(FinSnapshot!$P$94 +FinSnapshot!$P$96+FinSnapshot!$P$102+FinSnapshot!$P$104)/12</f>
        <v>331.08333333333331</v>
      </c>
      <c r="N844" s="1184">
        <f>(FinSnapshot!$P$94 +FinSnapshot!$P$96+FinSnapshot!$P$102+FinSnapshot!$P$104)/12</f>
        <v>331.08333333333331</v>
      </c>
      <c r="O844" s="1179">
        <f>SUM(C844:N844)/12</f>
        <v>331.08333333333337</v>
      </c>
      <c r="P844" s="2205">
        <f>O838/M!$Q$14</f>
        <v>0.15467218658107809</v>
      </c>
      <c r="Q844" s="1235"/>
      <c r="R844" s="1235"/>
      <c r="S844" s="1235"/>
      <c r="T844" s="1235"/>
      <c r="U844" s="1235"/>
      <c r="V844" s="1235"/>
      <c r="W844" s="1235"/>
    </row>
    <row r="845" spans="1:23">
      <c r="A845" s="1183"/>
      <c r="B845" s="1176" t="s">
        <v>284</v>
      </c>
      <c r="C845" s="1177">
        <v>0</v>
      </c>
      <c r="D845" s="1177">
        <v>146</v>
      </c>
      <c r="E845" s="1177">
        <v>10</v>
      </c>
      <c r="F845" s="1177">
        <v>98</v>
      </c>
      <c r="G845" s="1177">
        <v>36</v>
      </c>
      <c r="H845" s="1177">
        <v>40</v>
      </c>
      <c r="I845" s="1178">
        <v>0</v>
      </c>
      <c r="J845" s="1178">
        <v>0</v>
      </c>
      <c r="K845" s="1177">
        <v>0</v>
      </c>
      <c r="L845" s="1182">
        <v>0</v>
      </c>
      <c r="M845" s="1182">
        <v>30</v>
      </c>
      <c r="N845" s="1182">
        <v>170</v>
      </c>
      <c r="O845" s="1179">
        <f>SUM(C845:N845)/12</f>
        <v>44.166666666666664</v>
      </c>
      <c r="P845" s="2206"/>
      <c r="Q845" s="1235"/>
      <c r="R845" s="1235"/>
      <c r="S845" s="1235"/>
      <c r="T845" s="1235"/>
      <c r="U845" s="1235"/>
      <c r="V845" s="1235"/>
      <c r="W845" s="1235"/>
    </row>
    <row r="846" spans="1:23">
      <c r="A846" s="1183"/>
      <c r="B846" s="1176" t="s">
        <v>433</v>
      </c>
      <c r="C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D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E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F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G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H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I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J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K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L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M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N846" s="1178">
        <f>(FinSnapshot!$P$93+ FinSnapshot!$P$95+ FinSnapshot!$P$96+ FinSnapshot!$P$103 + FinSnapshot!$P$105+ FinSnapshot!$P$107+ FinSnapshot!$P$108+ FinSnapshot!$P$101+FinSnapshot!$P$95+FinSnapshot!$P$103)/12</f>
        <v>145.83333333333334</v>
      </c>
      <c r="O846" s="1179">
        <f>SUM(C846:N846)/12</f>
        <v>145.83333333333331</v>
      </c>
      <c r="P846" s="1180">
        <f>O840/M!$Q$14</f>
        <v>3.010794471616406E-2</v>
      </c>
      <c r="Q846" s="1235"/>
      <c r="R846" s="1235"/>
      <c r="S846" s="1235"/>
      <c r="T846" s="1235"/>
      <c r="U846" s="1235"/>
      <c r="V846" s="1235"/>
      <c r="W846" s="1235"/>
    </row>
    <row r="847" spans="1:23">
      <c r="A847" s="1183"/>
      <c r="B847" s="1176" t="s">
        <v>434</v>
      </c>
      <c r="C847" s="1184">
        <v>235</v>
      </c>
      <c r="D847" s="1184">
        <v>235</v>
      </c>
      <c r="E847" s="1184">
        <v>235</v>
      </c>
      <c r="F847" s="1184">
        <v>235</v>
      </c>
      <c r="G847" s="1184">
        <v>235</v>
      </c>
      <c r="H847" s="1184">
        <v>235</v>
      </c>
      <c r="I847" s="1184">
        <v>235</v>
      </c>
      <c r="J847" s="1184">
        <v>235</v>
      </c>
      <c r="K847" s="1184">
        <v>235</v>
      </c>
      <c r="L847" s="1184">
        <v>235</v>
      </c>
      <c r="M847" s="1184">
        <v>235</v>
      </c>
      <c r="N847" s="1184">
        <v>235</v>
      </c>
      <c r="O847" s="1179">
        <f>SUM(C847:N847)/12</f>
        <v>235</v>
      </c>
      <c r="P847" s="1180">
        <f>O841/M!$Q$14</f>
        <v>0.12456424186491405</v>
      </c>
      <c r="Q847" s="1235"/>
      <c r="R847" s="1235"/>
      <c r="S847" s="1235"/>
      <c r="T847" s="1235"/>
      <c r="U847" s="1235"/>
      <c r="V847" s="1235"/>
      <c r="W847" s="1235"/>
    </row>
    <row r="848" spans="1:23">
      <c r="A848" s="2191" t="s">
        <v>435</v>
      </c>
      <c r="B848" s="2192"/>
      <c r="C848" s="2203">
        <f>SUM(C850:C852)</f>
        <v>0</v>
      </c>
      <c r="D848" s="2203">
        <f t="shared" ref="D848:N848" si="223">SUM(D850:D852)</f>
        <v>57</v>
      </c>
      <c r="E848" s="2203">
        <f t="shared" si="223"/>
        <v>107</v>
      </c>
      <c r="F848" s="2203">
        <f t="shared" si="223"/>
        <v>726</v>
      </c>
      <c r="G848" s="2203">
        <f t="shared" si="223"/>
        <v>0</v>
      </c>
      <c r="H848" s="2203">
        <f t="shared" si="223"/>
        <v>371</v>
      </c>
      <c r="I848" s="2203">
        <f t="shared" si="223"/>
        <v>150</v>
      </c>
      <c r="J848" s="2203">
        <f t="shared" si="223"/>
        <v>4</v>
      </c>
      <c r="K848" s="2203">
        <f t="shared" si="223"/>
        <v>200</v>
      </c>
      <c r="L848" s="2203">
        <f t="shared" si="223"/>
        <v>99</v>
      </c>
      <c r="M848" s="2203">
        <f t="shared" si="223"/>
        <v>0</v>
      </c>
      <c r="N848" s="2203">
        <f t="shared" si="223"/>
        <v>15</v>
      </c>
      <c r="O848" s="2203">
        <f>SUM(O850:O852)</f>
        <v>144.08333333333331</v>
      </c>
      <c r="P848" s="2205">
        <f>O842/M!$Q$14</f>
        <v>6.780078987583929E-2</v>
      </c>
      <c r="Q848" s="1235"/>
      <c r="R848" s="1235"/>
      <c r="S848" s="1235"/>
      <c r="T848" s="1235"/>
      <c r="U848" s="1235"/>
      <c r="V848" s="1235"/>
      <c r="W848" s="1235"/>
    </row>
    <row r="849" spans="1:23">
      <c r="A849" s="2193"/>
      <c r="B849" s="2194"/>
      <c r="C849" s="2204"/>
      <c r="D849" s="2204"/>
      <c r="E849" s="2204"/>
      <c r="F849" s="2204"/>
      <c r="G849" s="2204"/>
      <c r="H849" s="2204"/>
      <c r="I849" s="2204"/>
      <c r="J849" s="2204"/>
      <c r="K849" s="2204"/>
      <c r="L849" s="2204"/>
      <c r="M849" s="2204"/>
      <c r="N849" s="2204"/>
      <c r="O849" s="2204"/>
      <c r="P849" s="2206"/>
      <c r="Q849" s="1235"/>
      <c r="R849" s="1235"/>
      <c r="S849" s="1235"/>
      <c r="T849" s="1235"/>
      <c r="U849" s="1235"/>
      <c r="V849" s="1235"/>
      <c r="W849" s="1235"/>
    </row>
    <row r="850" spans="1:23">
      <c r="A850" s="1183"/>
      <c r="B850" s="1176" t="s">
        <v>405</v>
      </c>
      <c r="C850" s="1177">
        <v>0</v>
      </c>
      <c r="D850" s="1177">
        <v>0</v>
      </c>
      <c r="E850" s="1177">
        <v>0</v>
      </c>
      <c r="F850" s="1177">
        <v>0</v>
      </c>
      <c r="G850" s="1177">
        <v>0</v>
      </c>
      <c r="H850" s="1177">
        <v>0</v>
      </c>
      <c r="I850" s="1177">
        <v>0</v>
      </c>
      <c r="J850" s="1177">
        <v>0</v>
      </c>
      <c r="K850" s="1177">
        <v>0</v>
      </c>
      <c r="L850" s="1177">
        <v>0</v>
      </c>
      <c r="M850" s="1177">
        <v>0</v>
      </c>
      <c r="N850" s="1177">
        <v>0</v>
      </c>
      <c r="O850" s="1179">
        <f>SUM(C850:N850)/12</f>
        <v>0</v>
      </c>
      <c r="P850" s="1180">
        <f>O844/M!$Q$14</f>
        <v>2.9689467450315171E-2</v>
      </c>
      <c r="Q850" s="1235"/>
      <c r="R850" s="1235"/>
      <c r="S850" s="1235"/>
      <c r="T850" s="1235"/>
      <c r="U850" s="1235"/>
      <c r="V850" s="1235"/>
      <c r="W850" s="1235"/>
    </row>
    <row r="851" spans="1:23">
      <c r="A851" s="1183"/>
      <c r="B851" s="1176" t="s">
        <v>436</v>
      </c>
      <c r="C851" s="1177">
        <v>0</v>
      </c>
      <c r="D851" s="1177">
        <v>0</v>
      </c>
      <c r="E851" s="1177">
        <v>107</v>
      </c>
      <c r="F851" s="1177">
        <v>85</v>
      </c>
      <c r="G851" s="1177">
        <v>0</v>
      </c>
      <c r="H851" s="1177">
        <v>0</v>
      </c>
      <c r="I851" s="1182">
        <v>150</v>
      </c>
      <c r="J851" s="1178">
        <v>4</v>
      </c>
      <c r="K851" s="1182">
        <v>200</v>
      </c>
      <c r="L851" s="1182">
        <v>99</v>
      </c>
      <c r="M851" s="1182">
        <v>0</v>
      </c>
      <c r="N851" s="1182">
        <v>15</v>
      </c>
      <c r="O851" s="1179">
        <f>SUM(C851:N851)/12</f>
        <v>55</v>
      </c>
      <c r="P851" s="1180">
        <f>O845/M!$Q$14</f>
        <v>3.9605884089270165E-3</v>
      </c>
      <c r="Q851" s="1235"/>
      <c r="R851" s="1235"/>
      <c r="S851" s="1235"/>
      <c r="T851" s="1235"/>
      <c r="U851" s="1235"/>
      <c r="V851" s="1235"/>
      <c r="W851" s="1235"/>
    </row>
    <row r="852" spans="1:23">
      <c r="A852" s="1183"/>
      <c r="B852" s="1176" t="s">
        <v>130</v>
      </c>
      <c r="C852" s="1177">
        <v>0</v>
      </c>
      <c r="D852" s="1182">
        <v>57</v>
      </c>
      <c r="E852" s="1177">
        <v>0</v>
      </c>
      <c r="F852" s="1177">
        <v>641</v>
      </c>
      <c r="G852" s="1177">
        <v>0</v>
      </c>
      <c r="H852" s="1177">
        <v>371</v>
      </c>
      <c r="I852" s="1182">
        <v>0</v>
      </c>
      <c r="J852" s="1178">
        <v>0</v>
      </c>
      <c r="K852" s="1182">
        <v>0</v>
      </c>
      <c r="L852" s="1182">
        <v>0</v>
      </c>
      <c r="M852" s="1182">
        <v>0</v>
      </c>
      <c r="N852" s="1182">
        <v>0</v>
      </c>
      <c r="O852" s="1179">
        <f>SUM(C852:N852)/12</f>
        <v>89.083333333333329</v>
      </c>
      <c r="P852" s="1180">
        <f>O846/M!$Q$14</f>
        <v>1.3077414557777885E-2</v>
      </c>
      <c r="Q852" s="1235"/>
      <c r="R852" s="1235"/>
      <c r="S852" s="1235"/>
      <c r="T852" s="1235"/>
      <c r="U852" s="1235"/>
      <c r="V852" s="1235"/>
      <c r="W852" s="1235"/>
    </row>
    <row r="853" spans="1:23">
      <c r="A853" s="2191" t="s">
        <v>286</v>
      </c>
      <c r="B853" s="2192"/>
      <c r="C853" s="2203">
        <f t="shared" ref="C853:N853" si="224">SUM(C855:C856)</f>
        <v>2000</v>
      </c>
      <c r="D853" s="2203">
        <f t="shared" si="224"/>
        <v>0</v>
      </c>
      <c r="E853" s="2203">
        <f t="shared" si="224"/>
        <v>0</v>
      </c>
      <c r="F853" s="2203">
        <f t="shared" si="224"/>
        <v>2000</v>
      </c>
      <c r="G853" s="2203">
        <f t="shared" si="224"/>
        <v>0</v>
      </c>
      <c r="H853" s="2203">
        <f t="shared" si="224"/>
        <v>0</v>
      </c>
      <c r="I853" s="2203">
        <f t="shared" si="224"/>
        <v>3000</v>
      </c>
      <c r="J853" s="2203">
        <f t="shared" si="224"/>
        <v>0</v>
      </c>
      <c r="K853" s="2203">
        <f t="shared" si="224"/>
        <v>0</v>
      </c>
      <c r="L853" s="2203">
        <f t="shared" si="224"/>
        <v>0</v>
      </c>
      <c r="M853" s="2203">
        <f t="shared" si="224"/>
        <v>0</v>
      </c>
      <c r="N853" s="2203">
        <f t="shared" si="224"/>
        <v>0</v>
      </c>
      <c r="O853" s="2203">
        <f>SUM(O855:O856)</f>
        <v>583.33333333333337</v>
      </c>
      <c r="P853" s="1180">
        <f>O847/M!$Q$14</f>
        <v>2.1073319458819222E-2</v>
      </c>
      <c r="Q853" s="1235"/>
      <c r="R853" s="1235"/>
      <c r="S853" s="1235"/>
      <c r="T853" s="1235"/>
      <c r="U853" s="1235"/>
      <c r="V853" s="1235"/>
      <c r="W853" s="1235"/>
    </row>
    <row r="854" spans="1:23">
      <c r="A854" s="2193"/>
      <c r="B854" s="2194"/>
      <c r="C854" s="2204"/>
      <c r="D854" s="2204"/>
      <c r="E854" s="2204"/>
      <c r="F854" s="2204"/>
      <c r="G854" s="2204"/>
      <c r="H854" s="2204"/>
      <c r="I854" s="2204"/>
      <c r="J854" s="2204"/>
      <c r="K854" s="2204"/>
      <c r="L854" s="2204"/>
      <c r="M854" s="2204"/>
      <c r="N854" s="2204"/>
      <c r="O854" s="2204"/>
      <c r="P854" s="2205">
        <f>O848/M!$Q$14</f>
        <v>1.292048558308455E-2</v>
      </c>
      <c r="Q854" s="1235"/>
      <c r="R854" s="1235"/>
      <c r="S854" s="1235"/>
      <c r="T854" s="1235"/>
      <c r="U854" s="1235"/>
      <c r="V854" s="1235"/>
      <c r="W854" s="1235"/>
    </row>
    <row r="855" spans="1:23">
      <c r="A855" s="2217"/>
      <c r="B855" s="1176" t="s">
        <v>82</v>
      </c>
      <c r="C855" s="1177">
        <v>2000</v>
      </c>
      <c r="D855" s="1177">
        <v>0</v>
      </c>
      <c r="E855" s="1177">
        <v>0</v>
      </c>
      <c r="F855" s="1177">
        <v>2000</v>
      </c>
      <c r="G855" s="1177">
        <v>0</v>
      </c>
      <c r="H855" s="1177">
        <v>0</v>
      </c>
      <c r="I855" s="1178">
        <v>3000</v>
      </c>
      <c r="J855" s="1178">
        <v>0</v>
      </c>
      <c r="K855" s="1178">
        <v>0</v>
      </c>
      <c r="L855" s="1178">
        <v>0</v>
      </c>
      <c r="M855" s="1178">
        <v>0</v>
      </c>
      <c r="N855" s="1178">
        <v>0</v>
      </c>
      <c r="O855" s="1179">
        <f>SUM(C855:N855)/12</f>
        <v>583.33333333333337</v>
      </c>
      <c r="P855" s="2206"/>
      <c r="Q855" s="1235"/>
      <c r="R855" s="1235"/>
      <c r="S855" s="1235"/>
      <c r="T855" s="1235"/>
      <c r="U855" s="1235"/>
      <c r="V855" s="1235"/>
      <c r="W855" s="1235"/>
    </row>
    <row r="856" spans="1:23">
      <c r="A856" s="2219"/>
      <c r="B856" s="1176" t="s">
        <v>83</v>
      </c>
      <c r="C856" s="1177">
        <v>0</v>
      </c>
      <c r="D856" s="1177">
        <v>0</v>
      </c>
      <c r="E856" s="1177">
        <v>0</v>
      </c>
      <c r="F856" s="1177">
        <v>0</v>
      </c>
      <c r="G856" s="1177">
        <v>0</v>
      </c>
      <c r="H856" s="1177">
        <v>0</v>
      </c>
      <c r="I856" s="1178">
        <v>0</v>
      </c>
      <c r="J856" s="1178">
        <v>0</v>
      </c>
      <c r="K856" s="1178">
        <v>0</v>
      </c>
      <c r="L856" s="1178">
        <v>0</v>
      </c>
      <c r="M856" s="1178">
        <v>0</v>
      </c>
      <c r="N856" s="1178">
        <v>0</v>
      </c>
      <c r="O856" s="1179">
        <f>SUM(C856:N856)/12</f>
        <v>0</v>
      </c>
      <c r="P856" s="1180">
        <f>O850/M!$Q$14</f>
        <v>0</v>
      </c>
      <c r="Q856" s="1235"/>
      <c r="R856" s="1235"/>
      <c r="S856" s="1235"/>
      <c r="T856" s="1235"/>
      <c r="U856" s="1235"/>
      <c r="V856" s="1235"/>
      <c r="W856" s="1235"/>
    </row>
    <row r="857" spans="1:23">
      <c r="A857" s="1187" t="s">
        <v>437</v>
      </c>
      <c r="B857" s="1188"/>
      <c r="C857" s="1189">
        <f t="shared" ref="C857:O857" si="225">C787+C801+C809+C815+C819+C829+C838+C842+C848+C853</f>
        <v>10627.916666666666</v>
      </c>
      <c r="D857" s="1189">
        <f t="shared" si="225"/>
        <v>8998.9166666666661</v>
      </c>
      <c r="E857" s="1189">
        <f t="shared" si="225"/>
        <v>7265.916666666667</v>
      </c>
      <c r="F857" s="1189">
        <f t="shared" si="225"/>
        <v>12264.916666666666</v>
      </c>
      <c r="G857" s="1189">
        <f t="shared" si="225"/>
        <v>6091.916666666667</v>
      </c>
      <c r="H857" s="1189">
        <f t="shared" si="225"/>
        <v>10510.916666666666</v>
      </c>
      <c r="I857" s="1189">
        <f t="shared" si="225"/>
        <v>11037.25</v>
      </c>
      <c r="J857" s="1189">
        <f t="shared" si="225"/>
        <v>7795.2500000000009</v>
      </c>
      <c r="K857" s="1189">
        <f t="shared" si="225"/>
        <v>8664.25</v>
      </c>
      <c r="L857" s="1189">
        <f t="shared" si="225"/>
        <v>9897.25</v>
      </c>
      <c r="M857" s="1189">
        <f t="shared" si="225"/>
        <v>9158.25</v>
      </c>
      <c r="N857" s="1189">
        <f t="shared" si="225"/>
        <v>15936.25</v>
      </c>
      <c r="O857" s="1189">
        <f t="shared" si="225"/>
        <v>9854.0833333333358</v>
      </c>
      <c r="P857" s="1180">
        <f>O851/M!$Q$14</f>
        <v>4.932053490361946E-3</v>
      </c>
      <c r="Q857" s="1235"/>
      <c r="R857" s="1235"/>
      <c r="S857" s="1235"/>
      <c r="T857" s="1235"/>
      <c r="U857" s="1235"/>
      <c r="V857" s="1235"/>
      <c r="W857" s="1235"/>
    </row>
    <row r="858" spans="1:23">
      <c r="A858" s="1191" t="s">
        <v>658</v>
      </c>
      <c r="B858" s="1192"/>
      <c r="C858" s="1193">
        <f>C857/M!$Q$14</f>
        <v>0.95304460892925869</v>
      </c>
      <c r="D858" s="1193">
        <f>D857/M!$Q$14</f>
        <v>0.80696615191472032</v>
      </c>
      <c r="E858" s="1193">
        <f>E857/M!$Q$14</f>
        <v>0.65156163011840673</v>
      </c>
      <c r="F858" s="1193">
        <f>F857/M!$Q$14</f>
        <v>1.0998404555423951</v>
      </c>
      <c r="G858" s="1193">
        <f>G857/M!$Q$14</f>
        <v>0.54628470652413541</v>
      </c>
      <c r="H858" s="1193">
        <f>H857/M!$Q$14</f>
        <v>0.94255278604976145</v>
      </c>
      <c r="I858" s="1193">
        <f>I857/M!$Q$14</f>
        <v>0.98975104339086151</v>
      </c>
      <c r="J858" s="1193">
        <f>J857/M!$Q$14</f>
        <v>0.69902890855898114</v>
      </c>
      <c r="K858" s="1193">
        <f>K857/M!$Q$14</f>
        <v>0.77695535370669977</v>
      </c>
      <c r="L858" s="1193">
        <f>L857/M!$Q$14</f>
        <v>0.88752302559063212</v>
      </c>
      <c r="M858" s="1193">
        <f>M857/M!$Q$14</f>
        <v>0.82125416142013252</v>
      </c>
      <c r="N858" s="1193">
        <f>N857/M!$Q$14</f>
        <v>1.4290624988323737</v>
      </c>
      <c r="O858" s="1193">
        <f>O857/M!$Q$14</f>
        <v>0.88365211088153006</v>
      </c>
      <c r="P858" s="1180">
        <f>O852/M!$Q$14</f>
        <v>7.9884320927226058E-3</v>
      </c>
      <c r="Q858" s="1235"/>
      <c r="R858" s="1235"/>
      <c r="S858" s="1235"/>
      <c r="T858" s="1235"/>
      <c r="U858" s="1235"/>
      <c r="V858" s="1235"/>
      <c r="W858" s="1235"/>
    </row>
    <row r="859" spans="1:23">
      <c r="A859" s="1235"/>
      <c r="B859" s="1235"/>
      <c r="C859" s="1235"/>
      <c r="D859" s="1235"/>
      <c r="E859" s="1235"/>
      <c r="F859" s="1235"/>
      <c r="G859" s="1235"/>
      <c r="H859" s="1235"/>
      <c r="I859" s="1235"/>
      <c r="J859" s="1235"/>
      <c r="K859" s="1235"/>
      <c r="L859" s="1235"/>
      <c r="M859" s="1235"/>
      <c r="N859" s="1235"/>
      <c r="O859" s="1235"/>
      <c r="P859" s="2205">
        <f>O853/M!$Q$14</f>
        <v>5.2309658231111548E-2</v>
      </c>
      <c r="Q859" s="1235"/>
      <c r="R859" s="1235"/>
      <c r="S859" s="1235"/>
      <c r="T859" s="1235"/>
      <c r="U859" s="1235"/>
      <c r="V859" s="1235"/>
      <c r="W859" s="1235"/>
    </row>
    <row r="860" spans="1:23">
      <c r="A860" s="1235"/>
      <c r="B860" s="1235"/>
      <c r="C860" s="1235"/>
      <c r="D860" s="1235"/>
      <c r="E860" s="1235"/>
      <c r="F860" s="1235"/>
      <c r="G860" s="1235"/>
      <c r="H860" s="1235"/>
      <c r="I860" s="1235"/>
      <c r="J860" s="1235"/>
      <c r="K860" s="1235"/>
      <c r="L860" s="1235"/>
      <c r="M860" s="1235"/>
      <c r="N860" s="1235"/>
      <c r="O860" s="1235"/>
      <c r="P860" s="2206"/>
      <c r="Q860" s="1235"/>
      <c r="R860" s="1235"/>
      <c r="S860" s="1235"/>
      <c r="T860" s="1235"/>
      <c r="U860" s="1235"/>
      <c r="V860" s="1235"/>
      <c r="W860" s="1235"/>
    </row>
    <row r="861" spans="1:23">
      <c r="A861" s="1235"/>
      <c r="B861" s="1235"/>
      <c r="C861" s="1235"/>
      <c r="D861" s="1235"/>
      <c r="E861" s="1235"/>
      <c r="F861" s="1235"/>
      <c r="G861" s="1235"/>
      <c r="H861" s="1235"/>
      <c r="I861" s="1235"/>
      <c r="J861" s="1235"/>
      <c r="K861" s="1235"/>
      <c r="L861" s="1235"/>
      <c r="M861" s="1235"/>
      <c r="N861" s="1235"/>
      <c r="O861" s="1235"/>
      <c r="P861" s="1180">
        <f>O855/M!$Q$14</f>
        <v>5.2309658231111548E-2</v>
      </c>
      <c r="Q861" s="1235"/>
      <c r="R861" s="1235"/>
      <c r="S861" s="1235"/>
      <c r="T861" s="1235"/>
      <c r="U861" s="1235"/>
      <c r="V861" s="1235"/>
      <c r="W861" s="1235"/>
    </row>
    <row r="862" spans="1:23">
      <c r="A862" s="2195">
        <v>2015</v>
      </c>
      <c r="B862" s="2196"/>
      <c r="C862" s="2196"/>
      <c r="D862" s="2196"/>
      <c r="E862" s="2196"/>
      <c r="F862" s="2196"/>
      <c r="G862" s="2196"/>
      <c r="H862" s="2196"/>
      <c r="I862" s="2196"/>
      <c r="J862" s="2196"/>
      <c r="K862" s="2196"/>
      <c r="L862" s="2196"/>
      <c r="M862" s="2196"/>
      <c r="N862" s="2196"/>
      <c r="O862" s="2196"/>
      <c r="P862" s="1180">
        <f>O856/M!$Q$14</f>
        <v>0</v>
      </c>
      <c r="Q862" s="1235"/>
      <c r="R862" s="1235"/>
      <c r="S862" s="1235"/>
      <c r="T862" s="1235"/>
      <c r="U862" s="1235"/>
      <c r="V862" s="1235"/>
      <c r="W862" s="1235"/>
    </row>
    <row r="863" spans="1:23">
      <c r="A863" s="1171" t="s">
        <v>388</v>
      </c>
      <c r="B863" s="1172"/>
      <c r="C863" s="1173" t="s">
        <v>309</v>
      </c>
      <c r="D863" s="1173" t="s">
        <v>311</v>
      </c>
      <c r="E863" s="1173" t="s">
        <v>312</v>
      </c>
      <c r="F863" s="1173" t="s">
        <v>313</v>
      </c>
      <c r="G863" s="1173" t="s">
        <v>314</v>
      </c>
      <c r="H863" s="1173" t="s">
        <v>315</v>
      </c>
      <c r="I863" s="1173" t="s">
        <v>316</v>
      </c>
      <c r="J863" s="1173" t="s">
        <v>317</v>
      </c>
      <c r="K863" s="1173" t="s">
        <v>318</v>
      </c>
      <c r="L863" s="1173" t="s">
        <v>319</v>
      </c>
      <c r="M863" s="1173" t="s">
        <v>320</v>
      </c>
      <c r="N863" s="1173" t="s">
        <v>321</v>
      </c>
      <c r="O863" s="1174" t="s">
        <v>660</v>
      </c>
      <c r="P863" s="1190">
        <f>O857/M!$Q$14</f>
        <v>0.88365211088153006</v>
      </c>
      <c r="Q863" s="1235"/>
      <c r="R863" s="1235"/>
      <c r="S863" s="1235"/>
      <c r="T863" s="1235"/>
      <c r="U863" s="1235"/>
      <c r="V863" s="1235"/>
      <c r="W863" s="1235"/>
    </row>
    <row r="864" spans="1:23">
      <c r="A864" s="2191" t="s">
        <v>56</v>
      </c>
      <c r="B864" s="2192"/>
      <c r="C864" s="2203">
        <f t="shared" ref="C864:I864" si="226">C866+ SUM(C872:C877)</f>
        <v>1655</v>
      </c>
      <c r="D864" s="2203">
        <f t="shared" si="226"/>
        <v>1655</v>
      </c>
      <c r="E864" s="2203">
        <f t="shared" si="226"/>
        <v>1655</v>
      </c>
      <c r="F864" s="2203">
        <f t="shared" si="226"/>
        <v>1862</v>
      </c>
      <c r="G864" s="2203">
        <f t="shared" si="226"/>
        <v>1675</v>
      </c>
      <c r="H864" s="2203">
        <f t="shared" si="226"/>
        <v>1927</v>
      </c>
      <c r="I864" s="2203">
        <f t="shared" si="226"/>
        <v>1675</v>
      </c>
      <c r="J864" s="2203">
        <f t="shared" ref="J864:O864" si="227">J866+ SUM(J872:J877)</f>
        <v>1675</v>
      </c>
      <c r="K864" s="2203">
        <f t="shared" si="227"/>
        <v>1675</v>
      </c>
      <c r="L864" s="2203">
        <f t="shared" si="227"/>
        <v>1675</v>
      </c>
      <c r="M864" s="2203">
        <f t="shared" si="227"/>
        <v>1675</v>
      </c>
      <c r="N864" s="2203">
        <f t="shared" si="227"/>
        <v>1675</v>
      </c>
      <c r="O864" s="2203">
        <f t="shared" si="227"/>
        <v>1706.5833333333333</v>
      </c>
      <c r="P864" s="1194"/>
      <c r="Q864" s="1235"/>
      <c r="R864" s="1235"/>
      <c r="S864" s="1235"/>
      <c r="T864" s="1235"/>
      <c r="U864" s="1235"/>
      <c r="V864" s="1235"/>
      <c r="W864" s="1235"/>
    </row>
    <row r="865" spans="1:23">
      <c r="A865" s="2193"/>
      <c r="B865" s="2194"/>
      <c r="C865" s="2204"/>
      <c r="D865" s="2204"/>
      <c r="E865" s="2204"/>
      <c r="F865" s="2204"/>
      <c r="G865" s="2204"/>
      <c r="H865" s="2204"/>
      <c r="I865" s="2204"/>
      <c r="J865" s="2204"/>
      <c r="K865" s="2204"/>
      <c r="L865" s="2204"/>
      <c r="M865" s="2204"/>
      <c r="N865" s="2204"/>
      <c r="O865" s="2204"/>
      <c r="P865" s="1235"/>
      <c r="Q865" s="1235"/>
      <c r="R865" s="1235"/>
      <c r="S865" s="1235"/>
      <c r="T865" s="1235"/>
      <c r="U865" s="1235"/>
      <c r="V865" s="1235"/>
      <c r="W865" s="1235"/>
    </row>
    <row r="866" spans="1:23">
      <c r="A866" s="2217"/>
      <c r="B866" s="1176" t="s">
        <v>662</v>
      </c>
      <c r="C866" s="1177">
        <f>SUM(C867:C871)</f>
        <v>1057</v>
      </c>
      <c r="D866" s="1177">
        <f t="shared" ref="D866:N866" si="228">SUM(D867:D871)</f>
        <v>1057</v>
      </c>
      <c r="E866" s="1177">
        <f t="shared" si="228"/>
        <v>1057</v>
      </c>
      <c r="F866" s="1177">
        <f t="shared" si="228"/>
        <v>1057</v>
      </c>
      <c r="G866" s="1177">
        <f t="shared" si="228"/>
        <v>1057</v>
      </c>
      <c r="H866" s="1177">
        <f t="shared" si="228"/>
        <v>1057</v>
      </c>
      <c r="I866" s="1178">
        <f t="shared" si="228"/>
        <v>1057</v>
      </c>
      <c r="J866" s="1178">
        <f t="shared" si="228"/>
        <v>1057</v>
      </c>
      <c r="K866" s="1178">
        <f t="shared" si="228"/>
        <v>1057</v>
      </c>
      <c r="L866" s="1178">
        <f t="shared" si="228"/>
        <v>1057</v>
      </c>
      <c r="M866" s="1178">
        <f t="shared" si="228"/>
        <v>1057</v>
      </c>
      <c r="N866" s="1178">
        <f t="shared" si="228"/>
        <v>1057</v>
      </c>
      <c r="O866" s="1179">
        <f t="shared" ref="O866:O877" si="229">SUM(C866:N866)/12</f>
        <v>1057</v>
      </c>
      <c r="P866" s="1235"/>
      <c r="Q866" s="1235"/>
      <c r="R866" s="1235"/>
      <c r="S866" s="1235"/>
      <c r="T866" s="1235"/>
      <c r="U866" s="1235"/>
      <c r="V866" s="1235"/>
      <c r="W866" s="1235"/>
    </row>
    <row r="867" spans="1:23">
      <c r="A867" s="2218"/>
      <c r="B867" s="1176" t="s">
        <v>663</v>
      </c>
      <c r="C867" s="1177">
        <v>657</v>
      </c>
      <c r="D867" s="1177">
        <v>657</v>
      </c>
      <c r="E867" s="1177">
        <v>657</v>
      </c>
      <c r="F867" s="1177">
        <v>657</v>
      </c>
      <c r="G867" s="1177">
        <v>657</v>
      </c>
      <c r="H867" s="1177">
        <v>657</v>
      </c>
      <c r="I867" s="1178">
        <v>657</v>
      </c>
      <c r="J867" s="1178">
        <v>657</v>
      </c>
      <c r="K867" s="1178">
        <v>657</v>
      </c>
      <c r="L867" s="1178">
        <v>657</v>
      </c>
      <c r="M867" s="1178">
        <v>657</v>
      </c>
      <c r="N867" s="1178">
        <v>657</v>
      </c>
      <c r="O867" s="1179">
        <f t="shared" si="229"/>
        <v>657</v>
      </c>
      <c r="P867" s="1235"/>
      <c r="Q867" s="1235"/>
      <c r="R867" s="1235"/>
      <c r="S867" s="1235"/>
      <c r="T867" s="1235"/>
      <c r="U867" s="1235"/>
      <c r="V867" s="1235"/>
      <c r="W867" s="1235"/>
    </row>
    <row r="868" spans="1:23">
      <c r="A868" s="2218"/>
      <c r="B868" s="1176" t="s">
        <v>664</v>
      </c>
      <c r="C868" s="1177">
        <v>400</v>
      </c>
      <c r="D868" s="1177">
        <v>400</v>
      </c>
      <c r="E868" s="1177">
        <v>400</v>
      </c>
      <c r="F868" s="1177">
        <v>400</v>
      </c>
      <c r="G868" s="1177">
        <v>400</v>
      </c>
      <c r="H868" s="1177">
        <v>400</v>
      </c>
      <c r="I868" s="1178">
        <v>400</v>
      </c>
      <c r="J868" s="1178">
        <v>400</v>
      </c>
      <c r="K868" s="1178">
        <v>400</v>
      </c>
      <c r="L868" s="1178">
        <v>400</v>
      </c>
      <c r="M868" s="1178">
        <v>400</v>
      </c>
      <c r="N868" s="1178">
        <v>400</v>
      </c>
      <c r="O868" s="1179">
        <f t="shared" si="229"/>
        <v>400</v>
      </c>
      <c r="P868" s="2197"/>
      <c r="Q868" s="1235"/>
      <c r="R868" s="1235"/>
      <c r="S868" s="1235"/>
      <c r="T868" s="1235"/>
      <c r="U868" s="1235"/>
      <c r="V868" s="1235"/>
      <c r="W868" s="1235"/>
    </row>
    <row r="869" spans="1:23">
      <c r="A869" s="2218"/>
      <c r="B869" s="1176" t="s">
        <v>450</v>
      </c>
      <c r="C869" s="1177">
        <v>0</v>
      </c>
      <c r="D869" s="1177">
        <v>0</v>
      </c>
      <c r="E869" s="1177">
        <v>0</v>
      </c>
      <c r="F869" s="1177">
        <v>0</v>
      </c>
      <c r="G869" s="1177">
        <v>0</v>
      </c>
      <c r="H869" s="1177">
        <v>0</v>
      </c>
      <c r="I869" s="1178">
        <v>0</v>
      </c>
      <c r="J869" s="1178">
        <v>0</v>
      </c>
      <c r="K869" s="1178">
        <v>0</v>
      </c>
      <c r="L869" s="1178">
        <v>0</v>
      </c>
      <c r="M869" s="1178">
        <v>0</v>
      </c>
      <c r="N869" s="1178">
        <v>0</v>
      </c>
      <c r="O869" s="1179">
        <f t="shared" si="229"/>
        <v>0</v>
      </c>
      <c r="P869" s="1175" t="s">
        <v>661</v>
      </c>
      <c r="Q869" s="1235"/>
      <c r="R869" s="1235"/>
      <c r="S869" s="1235"/>
      <c r="T869" s="1235"/>
      <c r="U869" s="1235"/>
      <c r="V869" s="1235"/>
      <c r="W869" s="1235"/>
    </row>
    <row r="870" spans="1:23">
      <c r="A870" s="2218"/>
      <c r="B870" s="1176" t="s">
        <v>665</v>
      </c>
      <c r="C870" s="1177">
        <v>0</v>
      </c>
      <c r="D870" s="1177">
        <v>0</v>
      </c>
      <c r="E870" s="1177">
        <v>0</v>
      </c>
      <c r="F870" s="1177">
        <v>0</v>
      </c>
      <c r="G870" s="1177">
        <v>0</v>
      </c>
      <c r="H870" s="1177">
        <v>0</v>
      </c>
      <c r="I870" s="1178">
        <v>0</v>
      </c>
      <c r="J870" s="1178">
        <v>0</v>
      </c>
      <c r="K870" s="1178">
        <v>0</v>
      </c>
      <c r="L870" s="1178">
        <v>0</v>
      </c>
      <c r="M870" s="1178">
        <v>0</v>
      </c>
      <c r="N870" s="1178">
        <v>0</v>
      </c>
      <c r="O870" s="1179">
        <f t="shared" si="229"/>
        <v>0</v>
      </c>
      <c r="P870" s="2205">
        <f>O864/M!$Q$14</f>
        <v>0.15303564155927618</v>
      </c>
      <c r="Q870" s="1235"/>
      <c r="R870" s="1235"/>
      <c r="S870" s="1235"/>
      <c r="T870" s="1235"/>
      <c r="U870" s="1235"/>
      <c r="V870" s="1235"/>
      <c r="W870" s="1235"/>
    </row>
    <row r="871" spans="1:23">
      <c r="A871" s="2218"/>
      <c r="B871" s="1176" t="s">
        <v>664</v>
      </c>
      <c r="C871" s="1177">
        <v>0</v>
      </c>
      <c r="D871" s="1177">
        <v>0</v>
      </c>
      <c r="E871" s="1177">
        <v>0</v>
      </c>
      <c r="F871" s="1177">
        <v>0</v>
      </c>
      <c r="G871" s="1177">
        <v>0</v>
      </c>
      <c r="H871" s="1177">
        <v>0</v>
      </c>
      <c r="I871" s="1178">
        <v>0</v>
      </c>
      <c r="J871" s="1178">
        <v>0</v>
      </c>
      <c r="K871" s="1178">
        <v>0</v>
      </c>
      <c r="L871" s="1178">
        <v>0</v>
      </c>
      <c r="M871" s="1178">
        <v>0</v>
      </c>
      <c r="N871" s="1178">
        <v>0</v>
      </c>
      <c r="O871" s="1179">
        <f t="shared" si="229"/>
        <v>0</v>
      </c>
      <c r="P871" s="2206"/>
      <c r="Q871" s="1235"/>
      <c r="R871" s="1235"/>
      <c r="S871" s="1235"/>
      <c r="T871" s="1235"/>
      <c r="U871" s="1235"/>
      <c r="V871" s="1235"/>
      <c r="W871" s="1235"/>
    </row>
    <row r="872" spans="1:23">
      <c r="A872" s="2218"/>
      <c r="B872" s="1176" t="s">
        <v>287</v>
      </c>
      <c r="C872" s="1177">
        <v>303</v>
      </c>
      <c r="D872" s="1177">
        <v>303</v>
      </c>
      <c r="E872" s="1177">
        <v>303</v>
      </c>
      <c r="F872" s="1177">
        <v>303</v>
      </c>
      <c r="G872" s="1177">
        <v>303</v>
      </c>
      <c r="H872" s="1177">
        <v>303</v>
      </c>
      <c r="I872" s="1178">
        <v>303</v>
      </c>
      <c r="J872" s="1178">
        <v>303</v>
      </c>
      <c r="K872" s="1178">
        <v>303</v>
      </c>
      <c r="L872" s="1178">
        <v>303</v>
      </c>
      <c r="M872" s="1178">
        <v>303</v>
      </c>
      <c r="N872" s="1178">
        <v>303</v>
      </c>
      <c r="O872" s="1179">
        <f t="shared" si="229"/>
        <v>303</v>
      </c>
      <c r="P872" s="1180">
        <f>O866/M!$Q$14</f>
        <v>9.4785100714774126E-2</v>
      </c>
      <c r="Q872" s="1235"/>
      <c r="R872" s="1235"/>
      <c r="S872" s="1235"/>
      <c r="T872" s="1235"/>
      <c r="U872" s="1235"/>
      <c r="V872" s="1235"/>
      <c r="W872" s="1235"/>
    </row>
    <row r="873" spans="1:23">
      <c r="A873" s="2218"/>
      <c r="B873" s="1176" t="s">
        <v>453</v>
      </c>
      <c r="C873" s="1177">
        <v>0</v>
      </c>
      <c r="D873" s="1177">
        <v>0</v>
      </c>
      <c r="E873" s="1177">
        <v>0</v>
      </c>
      <c r="F873" s="1177">
        <v>0</v>
      </c>
      <c r="G873" s="1177">
        <v>0</v>
      </c>
      <c r="H873" s="1177">
        <v>0</v>
      </c>
      <c r="I873" s="1178">
        <v>0</v>
      </c>
      <c r="J873" s="1178">
        <v>0</v>
      </c>
      <c r="K873" s="1178">
        <v>0</v>
      </c>
      <c r="L873" s="1178">
        <v>0</v>
      </c>
      <c r="M873" s="1178">
        <v>0</v>
      </c>
      <c r="N873" s="1178">
        <v>0</v>
      </c>
      <c r="O873" s="1179">
        <f t="shared" si="229"/>
        <v>0</v>
      </c>
      <c r="P873" s="1180">
        <f>O867/M!$Q$14</f>
        <v>5.8915620784869061E-2</v>
      </c>
      <c r="Q873" s="1235"/>
      <c r="R873" s="1235"/>
      <c r="S873" s="1235"/>
      <c r="T873" s="1235"/>
      <c r="U873" s="1235"/>
      <c r="V873" s="1235"/>
      <c r="W873" s="1235"/>
    </row>
    <row r="874" spans="1:23">
      <c r="A874" s="2218"/>
      <c r="B874" s="1176" t="s">
        <v>400</v>
      </c>
      <c r="C874" s="1177">
        <v>0</v>
      </c>
      <c r="D874" s="1177">
        <v>0</v>
      </c>
      <c r="E874" s="1177">
        <v>0</v>
      </c>
      <c r="F874" s="1177">
        <v>0</v>
      </c>
      <c r="G874" s="1177">
        <v>0</v>
      </c>
      <c r="H874" s="1177">
        <v>252</v>
      </c>
      <c r="I874" s="1178">
        <v>0</v>
      </c>
      <c r="J874" s="1178">
        <v>0</v>
      </c>
      <c r="K874" s="1178">
        <v>0</v>
      </c>
      <c r="L874" s="1178">
        <v>0</v>
      </c>
      <c r="M874" s="1178">
        <v>0</v>
      </c>
      <c r="N874" s="1178">
        <v>0</v>
      </c>
      <c r="O874" s="1179">
        <f t="shared" si="229"/>
        <v>21</v>
      </c>
      <c r="P874" s="1180">
        <f>O868/M!$Q$14</f>
        <v>3.5869479929905058E-2</v>
      </c>
      <c r="Q874" s="1235"/>
      <c r="R874" s="1235"/>
      <c r="S874" s="1235"/>
      <c r="T874" s="1235"/>
      <c r="U874" s="1235"/>
      <c r="V874" s="1235"/>
      <c r="W874" s="1235"/>
    </row>
    <row r="875" spans="1:23">
      <c r="A875" s="2218"/>
      <c r="B875" s="1176" t="s">
        <v>401</v>
      </c>
      <c r="C875" s="1177">
        <v>295</v>
      </c>
      <c r="D875" s="1177">
        <v>295</v>
      </c>
      <c r="E875" s="1177">
        <v>295</v>
      </c>
      <c r="F875" s="1177">
        <v>295</v>
      </c>
      <c r="G875" s="1177">
        <v>315</v>
      </c>
      <c r="H875" s="1177">
        <v>315</v>
      </c>
      <c r="I875" s="1178">
        <v>315</v>
      </c>
      <c r="J875" s="1178">
        <v>315</v>
      </c>
      <c r="K875" s="1178">
        <v>315</v>
      </c>
      <c r="L875" s="1178">
        <v>315</v>
      </c>
      <c r="M875" s="1178">
        <v>315</v>
      </c>
      <c r="N875" s="1178">
        <v>315</v>
      </c>
      <c r="O875" s="1179">
        <f t="shared" si="229"/>
        <v>308.33333333333331</v>
      </c>
      <c r="P875" s="1180">
        <f>O869/M!$Q$14</f>
        <v>0</v>
      </c>
      <c r="Q875" s="1235"/>
      <c r="R875" s="1235"/>
      <c r="S875" s="1235"/>
      <c r="T875" s="1235"/>
      <c r="U875" s="1235"/>
      <c r="V875" s="1235"/>
      <c r="W875" s="1235"/>
    </row>
    <row r="876" spans="1:23">
      <c r="A876" s="2218"/>
      <c r="B876" s="1176" t="s">
        <v>402</v>
      </c>
      <c r="C876" s="1177">
        <v>0</v>
      </c>
      <c r="D876" s="1177">
        <v>0</v>
      </c>
      <c r="E876" s="1177">
        <v>0</v>
      </c>
      <c r="F876" s="1177">
        <v>0</v>
      </c>
      <c r="G876" s="1177">
        <v>0</v>
      </c>
      <c r="H876" s="1177">
        <v>0</v>
      </c>
      <c r="I876" s="1178">
        <v>0</v>
      </c>
      <c r="J876" s="1178">
        <v>0</v>
      </c>
      <c r="K876" s="1178">
        <v>0</v>
      </c>
      <c r="L876" s="1178">
        <v>0</v>
      </c>
      <c r="M876" s="1178">
        <v>0</v>
      </c>
      <c r="N876" s="1178">
        <v>0</v>
      </c>
      <c r="O876" s="1179">
        <f t="shared" si="229"/>
        <v>0</v>
      </c>
      <c r="P876" s="1180">
        <f>O870/M!$Q$14</f>
        <v>0</v>
      </c>
      <c r="Q876" s="1235"/>
      <c r="R876" s="1235"/>
      <c r="S876" s="1235"/>
      <c r="T876" s="1235"/>
      <c r="U876" s="1235"/>
      <c r="V876" s="1235"/>
      <c r="W876" s="1235"/>
    </row>
    <row r="877" spans="1:23">
      <c r="A877" s="2219"/>
      <c r="B877" s="1176" t="s">
        <v>403</v>
      </c>
      <c r="C877" s="1177">
        <v>0</v>
      </c>
      <c r="D877" s="1177">
        <v>0</v>
      </c>
      <c r="E877" s="1177">
        <v>0</v>
      </c>
      <c r="F877" s="1177">
        <v>207</v>
      </c>
      <c r="G877" s="1177">
        <v>0</v>
      </c>
      <c r="H877" s="1177">
        <v>0</v>
      </c>
      <c r="I877" s="1178">
        <v>0</v>
      </c>
      <c r="J877" s="1178">
        <v>0</v>
      </c>
      <c r="K877" s="1178">
        <v>0</v>
      </c>
      <c r="L877" s="1178">
        <v>0</v>
      </c>
      <c r="M877" s="1178">
        <v>0</v>
      </c>
      <c r="N877" s="1178">
        <v>0</v>
      </c>
      <c r="O877" s="1179">
        <f t="shared" si="229"/>
        <v>17.25</v>
      </c>
      <c r="P877" s="1180">
        <f>O871/M!$Q$14</f>
        <v>0</v>
      </c>
      <c r="Q877" s="1235"/>
      <c r="R877" s="1235"/>
      <c r="S877" s="1235"/>
      <c r="T877" s="1235"/>
      <c r="U877" s="1235"/>
      <c r="V877" s="1235"/>
      <c r="W877" s="1235"/>
    </row>
    <row r="878" spans="1:23">
      <c r="A878" s="2191" t="s">
        <v>276</v>
      </c>
      <c r="B878" s="2192"/>
      <c r="C878" s="2203">
        <f t="shared" ref="C878:N878" si="230">SUM(C880:C885)</f>
        <v>491</v>
      </c>
      <c r="D878" s="2203">
        <f t="shared" si="230"/>
        <v>92</v>
      </c>
      <c r="E878" s="2203">
        <f t="shared" si="230"/>
        <v>316</v>
      </c>
      <c r="F878" s="2203">
        <f t="shared" si="230"/>
        <v>208</v>
      </c>
      <c r="G878" s="2203">
        <f t="shared" si="230"/>
        <v>99</v>
      </c>
      <c r="H878" s="2203">
        <f t="shared" si="230"/>
        <v>107</v>
      </c>
      <c r="I878" s="2203">
        <f t="shared" si="230"/>
        <v>812</v>
      </c>
      <c r="J878" s="2203">
        <f t="shared" si="230"/>
        <v>92</v>
      </c>
      <c r="K878" s="2203">
        <f t="shared" si="230"/>
        <v>103</v>
      </c>
      <c r="L878" s="2203">
        <f t="shared" si="230"/>
        <v>177</v>
      </c>
      <c r="M878" s="2203">
        <f t="shared" si="230"/>
        <v>92</v>
      </c>
      <c r="N878" s="2203">
        <f t="shared" si="230"/>
        <v>152</v>
      </c>
      <c r="O878" s="2203">
        <f>SUM(O880:O885)</f>
        <v>228.41666666666663</v>
      </c>
      <c r="P878" s="1180">
        <f>O872/M!$Q$14</f>
        <v>2.7171131046903083E-2</v>
      </c>
      <c r="Q878" s="1235"/>
      <c r="R878" s="1235"/>
      <c r="S878" s="1235"/>
      <c r="T878" s="1235"/>
      <c r="U878" s="1235"/>
      <c r="V878" s="1235"/>
      <c r="W878" s="1235"/>
    </row>
    <row r="879" spans="1:23">
      <c r="A879" s="2193"/>
      <c r="B879" s="2194"/>
      <c r="C879" s="2204"/>
      <c r="D879" s="2204"/>
      <c r="E879" s="2204"/>
      <c r="F879" s="2204"/>
      <c r="G879" s="2204"/>
      <c r="H879" s="2204"/>
      <c r="I879" s="2204"/>
      <c r="J879" s="2204"/>
      <c r="K879" s="2204"/>
      <c r="L879" s="2204"/>
      <c r="M879" s="2204"/>
      <c r="N879" s="2204"/>
      <c r="O879" s="2204"/>
      <c r="P879" s="1180">
        <f>O873/M!$Q$14</f>
        <v>0</v>
      </c>
      <c r="Q879" s="1235"/>
      <c r="R879" s="1235"/>
      <c r="S879" s="1235"/>
      <c r="T879" s="1235"/>
      <c r="U879" s="1235"/>
      <c r="V879" s="1235"/>
      <c r="W879" s="1235"/>
    </row>
    <row r="880" spans="1:23">
      <c r="A880" s="2217"/>
      <c r="B880" s="1176" t="s">
        <v>666</v>
      </c>
      <c r="C880" s="1227">
        <v>0</v>
      </c>
      <c r="D880" s="1177">
        <v>0</v>
      </c>
      <c r="E880" s="1177">
        <v>0</v>
      </c>
      <c r="F880" s="1177">
        <v>0</v>
      </c>
      <c r="G880" s="1177">
        <v>0</v>
      </c>
      <c r="H880" s="1177">
        <v>0</v>
      </c>
      <c r="I880" s="1178">
        <v>0</v>
      </c>
      <c r="J880" s="1178">
        <v>0</v>
      </c>
      <c r="K880" s="1178">
        <v>0</v>
      </c>
      <c r="L880" s="1178">
        <v>0</v>
      </c>
      <c r="M880" s="1178">
        <v>0</v>
      </c>
      <c r="N880" s="1178">
        <v>0</v>
      </c>
      <c r="O880" s="1179">
        <f t="shared" ref="O880:O885" si="231">SUM(C880:N880)/12</f>
        <v>0</v>
      </c>
      <c r="P880" s="1180">
        <f>O874/M!$Q$14</f>
        <v>1.8831476963200157E-3</v>
      </c>
      <c r="Q880" s="1235"/>
      <c r="R880" s="1235"/>
      <c r="S880" s="1235"/>
      <c r="T880" s="1235"/>
      <c r="U880" s="1235"/>
      <c r="V880" s="1235"/>
      <c r="W880" s="1235"/>
    </row>
    <row r="881" spans="1:23">
      <c r="A881" s="2218"/>
      <c r="B881" s="1176" t="s">
        <v>400</v>
      </c>
      <c r="C881" s="1177">
        <v>92</v>
      </c>
      <c r="D881" s="1177">
        <v>92</v>
      </c>
      <c r="E881" s="1177">
        <v>92</v>
      </c>
      <c r="F881" s="1177">
        <v>92</v>
      </c>
      <c r="G881" s="1177">
        <v>92</v>
      </c>
      <c r="H881" s="1177">
        <v>92</v>
      </c>
      <c r="I881" s="1178">
        <v>92</v>
      </c>
      <c r="J881" s="1178">
        <v>92</v>
      </c>
      <c r="K881" s="1178">
        <v>92</v>
      </c>
      <c r="L881" s="1178">
        <v>92</v>
      </c>
      <c r="M881" s="1178">
        <v>92</v>
      </c>
      <c r="N881" s="1178">
        <v>92</v>
      </c>
      <c r="O881" s="1179">
        <f t="shared" si="231"/>
        <v>92</v>
      </c>
      <c r="P881" s="1180">
        <f>O875/M!$Q$14</f>
        <v>2.7649390779301817E-2</v>
      </c>
      <c r="Q881" s="1235"/>
      <c r="R881" s="1235"/>
      <c r="S881" s="1235"/>
      <c r="T881" s="1235"/>
      <c r="U881" s="1235"/>
      <c r="V881" s="1235"/>
      <c r="W881" s="1235"/>
    </row>
    <row r="882" spans="1:23">
      <c r="A882" s="2218"/>
      <c r="B882" s="1176" t="s">
        <v>454</v>
      </c>
      <c r="C882" s="1177">
        <v>0</v>
      </c>
      <c r="D882" s="1177">
        <v>0</v>
      </c>
      <c r="E882" s="1177">
        <f>132</f>
        <v>132</v>
      </c>
      <c r="F882" s="1177">
        <v>95</v>
      </c>
      <c r="G882" s="1177">
        <v>0</v>
      </c>
      <c r="H882" s="1177">
        <v>0</v>
      </c>
      <c r="I882" s="1178">
        <v>95</v>
      </c>
      <c r="J882" s="1178">
        <v>0</v>
      </c>
      <c r="K882" s="1178">
        <v>0</v>
      </c>
      <c r="L882" s="1178">
        <v>0</v>
      </c>
      <c r="M882" s="1178">
        <v>0</v>
      </c>
      <c r="N882" s="1178">
        <v>50</v>
      </c>
      <c r="O882" s="1179">
        <f t="shared" si="231"/>
        <v>31</v>
      </c>
      <c r="P882" s="1180">
        <f>O876/M!$Q$14</f>
        <v>0</v>
      </c>
      <c r="Q882" s="1235"/>
      <c r="R882" s="1235"/>
      <c r="S882" s="1235"/>
      <c r="T882" s="1235"/>
      <c r="U882" s="1235"/>
      <c r="V882" s="1235"/>
      <c r="W882" s="1235"/>
    </row>
    <row r="883" spans="1:23">
      <c r="A883" s="2218"/>
      <c r="B883" s="1176" t="s">
        <v>407</v>
      </c>
      <c r="C883" s="1177">
        <v>0</v>
      </c>
      <c r="D883" s="1177">
        <v>0</v>
      </c>
      <c r="E883" s="1177">
        <v>0</v>
      </c>
      <c r="F883" s="1177">
        <v>0</v>
      </c>
      <c r="G883" s="1177">
        <v>7</v>
      </c>
      <c r="H883" s="1177">
        <v>0</v>
      </c>
      <c r="I883" s="1178">
        <v>0</v>
      </c>
      <c r="J883" s="1178">
        <v>0</v>
      </c>
      <c r="K883" s="1178">
        <v>0</v>
      </c>
      <c r="L883" s="1178">
        <v>0</v>
      </c>
      <c r="M883" s="1178">
        <v>0</v>
      </c>
      <c r="N883" s="1178">
        <v>0</v>
      </c>
      <c r="O883" s="1179">
        <f t="shared" si="231"/>
        <v>0.58333333333333337</v>
      </c>
      <c r="P883" s="1180">
        <f>O877/M!$Q$14</f>
        <v>1.5468713219771557E-3</v>
      </c>
      <c r="Q883" s="1235"/>
      <c r="R883" s="1235"/>
      <c r="S883" s="1235"/>
      <c r="T883" s="1235"/>
      <c r="U883" s="1235"/>
      <c r="V883" s="1235"/>
      <c r="W883" s="1235"/>
    </row>
    <row r="884" spans="1:23">
      <c r="A884" s="2218"/>
      <c r="B884" s="1176" t="s">
        <v>408</v>
      </c>
      <c r="C884" s="1177">
        <v>0</v>
      </c>
      <c r="D884" s="1177">
        <v>0</v>
      </c>
      <c r="E884" s="1177">
        <v>92</v>
      </c>
      <c r="F884" s="1177">
        <v>0</v>
      </c>
      <c r="G884" s="1177">
        <v>0</v>
      </c>
      <c r="H884" s="1177">
        <v>15</v>
      </c>
      <c r="I884" s="1178">
        <v>0</v>
      </c>
      <c r="J884" s="1178">
        <v>0</v>
      </c>
      <c r="K884" s="1178">
        <v>0</v>
      </c>
      <c r="L884" s="1178">
        <v>85</v>
      </c>
      <c r="M884" s="1178">
        <v>0</v>
      </c>
      <c r="N884" s="1178">
        <v>0</v>
      </c>
      <c r="O884" s="1179">
        <f t="shared" si="231"/>
        <v>16</v>
      </c>
      <c r="P884" s="2205">
        <f>O878/M!$Q$14</f>
        <v>2.0482967601639531E-2</v>
      </c>
      <c r="Q884" s="1235"/>
      <c r="R884" s="1235"/>
      <c r="S884" s="1235"/>
      <c r="T884" s="1235"/>
      <c r="U884" s="1235"/>
      <c r="V884" s="1235"/>
      <c r="W884" s="1235"/>
    </row>
    <row r="885" spans="1:23">
      <c r="A885" s="2219"/>
      <c r="B885" s="1176" t="s">
        <v>409</v>
      </c>
      <c r="C885" s="1177">
        <v>399</v>
      </c>
      <c r="D885" s="1177">
        <v>0</v>
      </c>
      <c r="E885" s="1177">
        <v>0</v>
      </c>
      <c r="F885" s="1177">
        <v>21</v>
      </c>
      <c r="G885" s="1177">
        <v>0</v>
      </c>
      <c r="H885" s="1177">
        <v>0</v>
      </c>
      <c r="I885" s="1178">
        <v>625</v>
      </c>
      <c r="J885" s="1178">
        <v>0</v>
      </c>
      <c r="K885" s="1178">
        <v>11</v>
      </c>
      <c r="L885" s="1178">
        <v>0</v>
      </c>
      <c r="M885" s="1178">
        <v>0</v>
      </c>
      <c r="N885" s="1178">
        <v>10</v>
      </c>
      <c r="O885" s="1179">
        <f t="shared" si="231"/>
        <v>88.833333333333329</v>
      </c>
      <c r="P885" s="2206"/>
      <c r="Q885" s="1235"/>
      <c r="R885" s="1235"/>
      <c r="S885" s="1235"/>
      <c r="T885" s="1235"/>
      <c r="U885" s="1235"/>
      <c r="V885" s="1235"/>
      <c r="W885" s="1235"/>
    </row>
    <row r="886" spans="1:23">
      <c r="A886" s="2191" t="s">
        <v>277</v>
      </c>
      <c r="B886" s="2192"/>
      <c r="C886" s="2203">
        <f t="shared" ref="C886:N886" si="232">SUM(C888:C891)</f>
        <v>246</v>
      </c>
      <c r="D886" s="2203">
        <f t="shared" si="232"/>
        <v>184</v>
      </c>
      <c r="E886" s="2203">
        <f t="shared" si="232"/>
        <v>442</v>
      </c>
      <c r="F886" s="2203">
        <f t="shared" si="232"/>
        <v>281</v>
      </c>
      <c r="G886" s="2203">
        <f t="shared" si="232"/>
        <v>367</v>
      </c>
      <c r="H886" s="2203">
        <f t="shared" si="232"/>
        <v>191</v>
      </c>
      <c r="I886" s="2203">
        <f t="shared" si="232"/>
        <v>338</v>
      </c>
      <c r="J886" s="2203">
        <f t="shared" si="232"/>
        <v>368</v>
      </c>
      <c r="K886" s="2203">
        <f t="shared" si="232"/>
        <v>324</v>
      </c>
      <c r="L886" s="2203">
        <f t="shared" si="232"/>
        <v>323</v>
      </c>
      <c r="M886" s="2203">
        <f t="shared" si="232"/>
        <v>95</v>
      </c>
      <c r="N886" s="2203">
        <f t="shared" si="232"/>
        <v>349</v>
      </c>
      <c r="O886" s="2203">
        <f>SUM(O888:O891)</f>
        <v>292.33333333333337</v>
      </c>
      <c r="P886" s="1180">
        <f>O880/M!$Q$14</f>
        <v>0</v>
      </c>
      <c r="Q886" s="1235"/>
      <c r="R886" s="1235"/>
      <c r="S886" s="1235"/>
      <c r="T886" s="1235"/>
      <c r="U886" s="1235"/>
      <c r="V886" s="1235"/>
      <c r="W886" s="1235"/>
    </row>
    <row r="887" spans="1:23">
      <c r="A887" s="2193"/>
      <c r="B887" s="2194"/>
      <c r="C887" s="2204"/>
      <c r="D887" s="2204"/>
      <c r="E887" s="2204"/>
      <c r="F887" s="2204"/>
      <c r="G887" s="2204"/>
      <c r="H887" s="2204"/>
      <c r="I887" s="2204"/>
      <c r="J887" s="2204"/>
      <c r="K887" s="2204"/>
      <c r="L887" s="2204"/>
      <c r="M887" s="2204"/>
      <c r="N887" s="2204"/>
      <c r="O887" s="2204"/>
      <c r="P887" s="1180">
        <f>O881/M!$Q$14</f>
        <v>8.2499803838781641E-3</v>
      </c>
      <c r="Q887" s="1235"/>
      <c r="R887" s="1235"/>
      <c r="S887" s="1235"/>
      <c r="T887" s="1235"/>
      <c r="U887" s="1235"/>
      <c r="V887" s="1235"/>
      <c r="W887" s="1235"/>
    </row>
    <row r="888" spans="1:23">
      <c r="A888" s="2217"/>
      <c r="B888" s="1176" t="s">
        <v>410</v>
      </c>
      <c r="C888" s="1177">
        <v>246</v>
      </c>
      <c r="D888" s="1177">
        <v>164</v>
      </c>
      <c r="E888" s="1177">
        <v>253</v>
      </c>
      <c r="F888" s="1177">
        <v>271</v>
      </c>
      <c r="G888" s="1177">
        <v>322</v>
      </c>
      <c r="H888" s="1177">
        <v>144</v>
      </c>
      <c r="I888" s="1178">
        <v>305</v>
      </c>
      <c r="J888" s="1178">
        <v>301</v>
      </c>
      <c r="K888" s="1178">
        <v>254</v>
      </c>
      <c r="L888" s="1178">
        <v>213</v>
      </c>
      <c r="M888" s="1178">
        <v>90</v>
      </c>
      <c r="N888" s="1178">
        <v>198</v>
      </c>
      <c r="O888" s="1179">
        <f>SUM(C888:N888)/12</f>
        <v>230.08333333333334</v>
      </c>
      <c r="P888" s="1180">
        <f>O882/M!$Q$14</f>
        <v>2.7798846945676419E-3</v>
      </c>
      <c r="Q888" s="1235"/>
      <c r="R888" s="1235"/>
      <c r="S888" s="1235"/>
      <c r="T888" s="1235"/>
      <c r="U888" s="1235"/>
      <c r="V888" s="1235"/>
      <c r="W888" s="1235"/>
    </row>
    <row r="889" spans="1:23">
      <c r="A889" s="2218"/>
      <c r="B889" s="1176" t="s">
        <v>457</v>
      </c>
      <c r="C889" s="1177">
        <v>0</v>
      </c>
      <c r="D889" s="1177">
        <v>0</v>
      </c>
      <c r="E889" s="1177">
        <v>132</v>
      </c>
      <c r="F889" s="1177">
        <v>0</v>
      </c>
      <c r="G889" s="1177">
        <v>0</v>
      </c>
      <c r="H889" s="1177">
        <v>0</v>
      </c>
      <c r="I889" s="1178">
        <v>0</v>
      </c>
      <c r="J889" s="1178">
        <v>0</v>
      </c>
      <c r="K889" s="1178">
        <v>0</v>
      </c>
      <c r="L889" s="1178">
        <v>95</v>
      </c>
      <c r="M889" s="1178">
        <v>5</v>
      </c>
      <c r="N889" s="1178">
        <v>56</v>
      </c>
      <c r="O889" s="1179">
        <f>SUM(C889:N889)/12</f>
        <v>24</v>
      </c>
      <c r="P889" s="1180">
        <f>O883/M!$Q$14</f>
        <v>5.2309658231111547E-5</v>
      </c>
      <c r="Q889" s="1235"/>
      <c r="R889" s="1235"/>
      <c r="S889" s="1235"/>
      <c r="T889" s="1235"/>
      <c r="U889" s="1235"/>
      <c r="V889" s="1235"/>
      <c r="W889" s="1235"/>
    </row>
    <row r="890" spans="1:23">
      <c r="A890" s="2218"/>
      <c r="B890" s="1176" t="s">
        <v>458</v>
      </c>
      <c r="C890" s="1177">
        <v>0</v>
      </c>
      <c r="D890" s="1177">
        <v>20</v>
      </c>
      <c r="E890" s="1177">
        <v>7</v>
      </c>
      <c r="F890" s="1177">
        <v>0</v>
      </c>
      <c r="G890" s="1177">
        <v>0</v>
      </c>
      <c r="H890" s="1177">
        <v>22</v>
      </c>
      <c r="I890" s="1178">
        <v>8</v>
      </c>
      <c r="J890" s="1178">
        <v>52</v>
      </c>
      <c r="K890" s="1178">
        <v>45</v>
      </c>
      <c r="L890" s="1178">
        <v>15</v>
      </c>
      <c r="M890" s="1178">
        <v>0</v>
      </c>
      <c r="N890" s="1178">
        <v>5</v>
      </c>
      <c r="O890" s="1179">
        <f>SUM(C890:N890)/12</f>
        <v>14.5</v>
      </c>
      <c r="P890" s="1180">
        <f>O884/M!$Q$14</f>
        <v>1.4347791971962025E-3</v>
      </c>
      <c r="Q890" s="1235"/>
      <c r="R890" s="1235"/>
      <c r="S890" s="1235"/>
      <c r="T890" s="1235"/>
      <c r="U890" s="1235"/>
      <c r="V890" s="1235"/>
      <c r="W890" s="1235"/>
    </row>
    <row r="891" spans="1:23">
      <c r="A891" s="2219"/>
      <c r="B891" s="1176" t="s">
        <v>459</v>
      </c>
      <c r="C891" s="1177">
        <v>0</v>
      </c>
      <c r="D891" s="1177">
        <v>0</v>
      </c>
      <c r="E891" s="1177">
        <v>50</v>
      </c>
      <c r="F891" s="1177">
        <v>10</v>
      </c>
      <c r="G891" s="1177">
        <v>45</v>
      </c>
      <c r="H891" s="1177">
        <v>25</v>
      </c>
      <c r="I891" s="1178">
        <v>25</v>
      </c>
      <c r="J891" s="1178">
        <v>15</v>
      </c>
      <c r="K891" s="1178">
        <v>25</v>
      </c>
      <c r="L891" s="1178">
        <v>0</v>
      </c>
      <c r="M891" s="1178">
        <v>0</v>
      </c>
      <c r="N891" s="1177">
        <v>90</v>
      </c>
      <c r="O891" s="1179">
        <f>SUM(C891:N891)/12</f>
        <v>23.75</v>
      </c>
      <c r="P891" s="1180">
        <f>O885/M!$Q$14</f>
        <v>7.9660136677664143E-3</v>
      </c>
      <c r="Q891" s="1235"/>
      <c r="R891" s="1235"/>
      <c r="S891" s="1235"/>
      <c r="T891" s="1235"/>
      <c r="U891" s="1235"/>
      <c r="V891" s="1235"/>
      <c r="W891" s="1235"/>
    </row>
    <row r="892" spans="1:23">
      <c r="A892" s="2191" t="s">
        <v>278</v>
      </c>
      <c r="B892" s="2192"/>
      <c r="C892" s="2203">
        <f t="shared" ref="C892:J892" si="233">SUM(C894:C895)</f>
        <v>993</v>
      </c>
      <c r="D892" s="2203">
        <f t="shared" si="233"/>
        <v>741</v>
      </c>
      <c r="E892" s="2203">
        <f t="shared" si="233"/>
        <v>854</v>
      </c>
      <c r="F892" s="2203">
        <f t="shared" si="233"/>
        <v>840</v>
      </c>
      <c r="G892" s="2203">
        <f t="shared" si="233"/>
        <v>1053</v>
      </c>
      <c r="H892" s="2203">
        <f t="shared" si="233"/>
        <v>1191</v>
      </c>
      <c r="I892" s="2203">
        <f t="shared" si="233"/>
        <v>937</v>
      </c>
      <c r="J892" s="2203">
        <f t="shared" si="233"/>
        <v>1102</v>
      </c>
      <c r="K892" s="2203">
        <f>SUM(K894:K895)</f>
        <v>1016</v>
      </c>
      <c r="L892" s="2203">
        <f>SUM(L894:L895)</f>
        <v>1062</v>
      </c>
      <c r="M892" s="2203">
        <f>SUM(M894:M895)</f>
        <v>543</v>
      </c>
      <c r="N892" s="2203">
        <f>SUM(N894:N895)</f>
        <v>978</v>
      </c>
      <c r="O892" s="2203">
        <f>SUM(O894:O895)</f>
        <v>942.5</v>
      </c>
      <c r="P892" s="2205">
        <f>O886/M!$Q$14</f>
        <v>2.6214611582105619E-2</v>
      </c>
      <c r="Q892" s="1235"/>
      <c r="R892" s="1235"/>
      <c r="S892" s="1235"/>
      <c r="T892" s="1235"/>
      <c r="U892" s="1235"/>
      <c r="V892" s="1235"/>
      <c r="W892" s="1235"/>
    </row>
    <row r="893" spans="1:23">
      <c r="A893" s="2193"/>
      <c r="B893" s="2194"/>
      <c r="C893" s="2204"/>
      <c r="D893" s="2204"/>
      <c r="E893" s="2204"/>
      <c r="F893" s="2204"/>
      <c r="G893" s="2204"/>
      <c r="H893" s="2204"/>
      <c r="I893" s="2204"/>
      <c r="J893" s="2204"/>
      <c r="K893" s="2204"/>
      <c r="L893" s="2204"/>
      <c r="M893" s="2204"/>
      <c r="N893" s="2204"/>
      <c r="O893" s="2204"/>
      <c r="P893" s="2206"/>
      <c r="Q893" s="1235"/>
      <c r="R893" s="1235"/>
      <c r="S893" s="1235"/>
      <c r="T893" s="1235"/>
      <c r="U893" s="1235"/>
      <c r="V893" s="1235"/>
      <c r="W893" s="1235"/>
    </row>
    <row r="894" spans="1:23">
      <c r="A894" s="2217"/>
      <c r="B894" s="1176" t="s">
        <v>414</v>
      </c>
      <c r="C894" s="1177">
        <v>931</v>
      </c>
      <c r="D894" s="1177">
        <v>646</v>
      </c>
      <c r="E894" s="1177">
        <v>735</v>
      </c>
      <c r="F894" s="1177">
        <v>648</v>
      </c>
      <c r="G894" s="1177">
        <v>969</v>
      </c>
      <c r="H894" s="1177">
        <v>737</v>
      </c>
      <c r="I894" s="1178">
        <v>825</v>
      </c>
      <c r="J894" s="1178">
        <v>830</v>
      </c>
      <c r="K894" s="1178">
        <v>805</v>
      </c>
      <c r="L894" s="1178">
        <v>764</v>
      </c>
      <c r="M894" s="1178">
        <v>246</v>
      </c>
      <c r="N894" s="1178">
        <v>906</v>
      </c>
      <c r="O894" s="1179">
        <f>SUM(C894:N894)/12</f>
        <v>753.5</v>
      </c>
      <c r="P894" s="1180">
        <f>O888/M!$Q$14</f>
        <v>2.0632423768014139E-2</v>
      </c>
      <c r="Q894" s="1235"/>
      <c r="R894" s="1235"/>
      <c r="S894" s="1235"/>
      <c r="T894" s="1235"/>
      <c r="U894" s="1235"/>
      <c r="V894" s="1235"/>
      <c r="W894" s="1235"/>
    </row>
    <row r="895" spans="1:23">
      <c r="A895" s="2219"/>
      <c r="B895" s="1176" t="s">
        <v>278</v>
      </c>
      <c r="C895" s="1177">
        <v>62</v>
      </c>
      <c r="D895" s="1177">
        <v>95</v>
      </c>
      <c r="E895" s="1177">
        <v>119</v>
      </c>
      <c r="F895" s="1177">
        <v>192</v>
      </c>
      <c r="G895" s="1177">
        <v>84</v>
      </c>
      <c r="H895" s="1177">
        <v>454</v>
      </c>
      <c r="I895" s="1178">
        <v>112</v>
      </c>
      <c r="J895" s="1178">
        <v>272</v>
      </c>
      <c r="K895" s="1178">
        <v>211</v>
      </c>
      <c r="L895" s="1178">
        <v>298</v>
      </c>
      <c r="M895" s="1178">
        <v>297</v>
      </c>
      <c r="N895" s="1178">
        <v>72</v>
      </c>
      <c r="O895" s="1179">
        <f>SUM(C895:N895)/12</f>
        <v>189</v>
      </c>
      <c r="P895" s="1180">
        <f>O889/M!$Q$14</f>
        <v>2.1521687957943036E-3</v>
      </c>
      <c r="Q895" s="1235"/>
      <c r="R895" s="1235"/>
      <c r="S895" s="1235"/>
      <c r="T895" s="1235"/>
      <c r="U895" s="1235"/>
      <c r="V895" s="1235"/>
      <c r="W895" s="1235"/>
    </row>
    <row r="896" spans="1:23">
      <c r="A896" s="2191" t="s">
        <v>279</v>
      </c>
      <c r="B896" s="2192"/>
      <c r="C896" s="2203">
        <f t="shared" ref="C896:N896" si="234">SUM(C898:C905)</f>
        <v>463</v>
      </c>
      <c r="D896" s="2203">
        <f t="shared" si="234"/>
        <v>461</v>
      </c>
      <c r="E896" s="2203">
        <f t="shared" si="234"/>
        <v>326</v>
      </c>
      <c r="F896" s="2203">
        <f t="shared" si="234"/>
        <v>304</v>
      </c>
      <c r="G896" s="2203">
        <f t="shared" si="234"/>
        <v>237</v>
      </c>
      <c r="H896" s="2203">
        <f t="shared" si="234"/>
        <v>254</v>
      </c>
      <c r="I896" s="2203">
        <f t="shared" si="234"/>
        <v>287</v>
      </c>
      <c r="J896" s="2203">
        <f t="shared" si="234"/>
        <v>309</v>
      </c>
      <c r="K896" s="2203">
        <f t="shared" si="234"/>
        <v>214</v>
      </c>
      <c r="L896" s="2203">
        <f t="shared" si="234"/>
        <v>244</v>
      </c>
      <c r="M896" s="2203">
        <f t="shared" si="234"/>
        <v>206</v>
      </c>
      <c r="N896" s="2203">
        <f t="shared" si="234"/>
        <v>327</v>
      </c>
      <c r="O896" s="2203">
        <f>SUM(O898:O905)</f>
        <v>302.66666666666669</v>
      </c>
      <c r="P896" s="1180">
        <f>O890/M!$Q$14</f>
        <v>1.3002686474590584E-3</v>
      </c>
      <c r="Q896" s="1235"/>
      <c r="R896" s="1235"/>
      <c r="S896" s="1235"/>
      <c r="T896" s="1235"/>
      <c r="U896" s="1235"/>
      <c r="V896" s="1235"/>
      <c r="W896" s="1235"/>
    </row>
    <row r="897" spans="1:23">
      <c r="A897" s="2193"/>
      <c r="B897" s="2194"/>
      <c r="C897" s="2204"/>
      <c r="D897" s="2204"/>
      <c r="E897" s="2204"/>
      <c r="F897" s="2204"/>
      <c r="G897" s="2204"/>
      <c r="H897" s="2204"/>
      <c r="I897" s="2204"/>
      <c r="J897" s="2204"/>
      <c r="K897" s="2204"/>
      <c r="L897" s="2204"/>
      <c r="M897" s="2204"/>
      <c r="N897" s="2204"/>
      <c r="O897" s="2204"/>
      <c r="P897" s="1180">
        <f>O891/M!$Q$14</f>
        <v>2.129750370838113E-3</v>
      </c>
      <c r="Q897" s="1235"/>
      <c r="R897" s="1235"/>
      <c r="S897" s="1235"/>
      <c r="T897" s="1235"/>
      <c r="U897" s="1235"/>
      <c r="V897" s="1235"/>
      <c r="W897" s="1235"/>
    </row>
    <row r="898" spans="1:23">
      <c r="A898" s="2217"/>
      <c r="B898" s="1176" t="s">
        <v>415</v>
      </c>
      <c r="C898" s="1177">
        <v>189</v>
      </c>
      <c r="D898" s="1177">
        <v>171</v>
      </c>
      <c r="E898" s="1177">
        <v>140</v>
      </c>
      <c r="F898" s="1177">
        <v>148</v>
      </c>
      <c r="G898" s="1177">
        <v>139</v>
      </c>
      <c r="H898" s="1177">
        <v>152</v>
      </c>
      <c r="I898" s="1178">
        <v>213</v>
      </c>
      <c r="J898" s="1178">
        <v>210</v>
      </c>
      <c r="K898" s="1178">
        <v>145</v>
      </c>
      <c r="L898" s="1178">
        <v>106</v>
      </c>
      <c r="M898" s="1178">
        <v>102</v>
      </c>
      <c r="N898" s="1182">
        <v>170</v>
      </c>
      <c r="O898" s="1179">
        <f t="shared" ref="O898:O905" si="235">SUM(C898:N898)/12</f>
        <v>157.08333333333334</v>
      </c>
      <c r="P898" s="2205">
        <f>O892/M!$Q$14</f>
        <v>8.4517462084838804E-2</v>
      </c>
      <c r="Q898" s="1235"/>
      <c r="R898" s="1235"/>
      <c r="S898" s="1235"/>
      <c r="T898" s="1235"/>
      <c r="U898" s="1235"/>
      <c r="V898" s="1235"/>
      <c r="W898" s="1235"/>
    </row>
    <row r="899" spans="1:23">
      <c r="A899" s="2218"/>
      <c r="B899" s="1176" t="s">
        <v>416</v>
      </c>
      <c r="C899" s="1182">
        <v>0</v>
      </c>
      <c r="D899" s="1182">
        <v>0</v>
      </c>
      <c r="E899" s="1182">
        <v>0</v>
      </c>
      <c r="F899" s="1182">
        <v>0</v>
      </c>
      <c r="G899" s="1182">
        <v>0</v>
      </c>
      <c r="H899" s="1182">
        <v>0</v>
      </c>
      <c r="I899" s="1182">
        <v>0</v>
      </c>
      <c r="J899" s="1182">
        <v>0</v>
      </c>
      <c r="K899" s="1182">
        <v>0</v>
      </c>
      <c r="L899" s="1182">
        <v>0</v>
      </c>
      <c r="M899" s="1182">
        <v>0</v>
      </c>
      <c r="N899" s="1182">
        <v>0</v>
      </c>
      <c r="O899" s="1179">
        <f t="shared" si="235"/>
        <v>0</v>
      </c>
      <c r="P899" s="2206"/>
      <c r="Q899" s="1235"/>
      <c r="R899" s="1235"/>
      <c r="S899" s="1235"/>
      <c r="T899" s="1235"/>
      <c r="U899" s="1235"/>
      <c r="V899" s="1235"/>
      <c r="W899" s="1235"/>
    </row>
    <row r="900" spans="1:23">
      <c r="A900" s="2218"/>
      <c r="B900" s="1176" t="s">
        <v>417</v>
      </c>
      <c r="C900" s="1182">
        <v>0</v>
      </c>
      <c r="D900" s="1182">
        <v>0</v>
      </c>
      <c r="E900" s="1182">
        <v>0</v>
      </c>
      <c r="F900" s="1182">
        <v>0</v>
      </c>
      <c r="G900" s="1182">
        <v>0</v>
      </c>
      <c r="H900" s="1182">
        <v>0</v>
      </c>
      <c r="I900" s="1182">
        <v>0</v>
      </c>
      <c r="J900" s="1182">
        <v>0</v>
      </c>
      <c r="K900" s="1182">
        <v>0</v>
      </c>
      <c r="L900" s="1182">
        <v>0</v>
      </c>
      <c r="M900" s="1182">
        <v>0</v>
      </c>
      <c r="N900" s="1182">
        <v>0</v>
      </c>
      <c r="O900" s="1179">
        <f t="shared" si="235"/>
        <v>0</v>
      </c>
      <c r="P900" s="1180">
        <f>O894/M!$Q$14</f>
        <v>6.7569132817958663E-2</v>
      </c>
      <c r="Q900" s="1235"/>
      <c r="R900" s="1235"/>
      <c r="S900" s="1235"/>
      <c r="T900" s="1235"/>
      <c r="U900" s="1235"/>
      <c r="V900" s="1235"/>
      <c r="W900" s="1235"/>
    </row>
    <row r="901" spans="1:23">
      <c r="A901" s="2218"/>
      <c r="B901" s="1176" t="s">
        <v>410</v>
      </c>
      <c r="C901" s="1177">
        <v>209</v>
      </c>
      <c r="D901" s="1177">
        <v>214</v>
      </c>
      <c r="E901" s="1177">
        <v>132</v>
      </c>
      <c r="F901" s="1177">
        <v>75</v>
      </c>
      <c r="G901" s="1177">
        <v>22</v>
      </c>
      <c r="H901" s="1177">
        <v>21</v>
      </c>
      <c r="I901" s="1178">
        <v>20</v>
      </c>
      <c r="J901" s="1178">
        <v>19</v>
      </c>
      <c r="K901" s="1178">
        <v>15</v>
      </c>
      <c r="L901" s="1178">
        <v>29</v>
      </c>
      <c r="M901" s="1182">
        <v>50</v>
      </c>
      <c r="N901" s="1182">
        <v>103</v>
      </c>
      <c r="O901" s="1179">
        <f t="shared" si="235"/>
        <v>75.75</v>
      </c>
      <c r="P901" s="1180">
        <f>O895/M!$Q$14</f>
        <v>1.6948329266880141E-2</v>
      </c>
      <c r="Q901" s="1235"/>
      <c r="R901" s="1235"/>
      <c r="S901" s="1235"/>
      <c r="T901" s="1235"/>
      <c r="U901" s="1235"/>
      <c r="V901" s="1235"/>
      <c r="W901" s="1235"/>
    </row>
    <row r="902" spans="1:23">
      <c r="A902" s="2218"/>
      <c r="B902" s="1176" t="s">
        <v>418</v>
      </c>
      <c r="C902" s="1177">
        <v>50</v>
      </c>
      <c r="D902" s="1177">
        <v>50</v>
      </c>
      <c r="E902" s="1177">
        <v>50</v>
      </c>
      <c r="F902" s="1177">
        <v>50</v>
      </c>
      <c r="G902" s="1177">
        <v>50</v>
      </c>
      <c r="H902" s="1177">
        <v>50</v>
      </c>
      <c r="I902" s="1178">
        <v>50</v>
      </c>
      <c r="J902" s="1178">
        <v>50</v>
      </c>
      <c r="K902" s="1178">
        <v>50</v>
      </c>
      <c r="L902" s="1178">
        <v>50</v>
      </c>
      <c r="M902" s="1178">
        <v>50</v>
      </c>
      <c r="N902" s="1178">
        <v>50</v>
      </c>
      <c r="O902" s="1179">
        <f t="shared" si="235"/>
        <v>50</v>
      </c>
      <c r="P902" s="2205">
        <f>O896/M!$Q$14</f>
        <v>2.7141239813628162E-2</v>
      </c>
      <c r="Q902" s="1235"/>
      <c r="R902" s="1235"/>
      <c r="S902" s="1235"/>
      <c r="T902" s="1235"/>
      <c r="U902" s="1235"/>
      <c r="V902" s="1235"/>
      <c r="W902" s="1235"/>
    </row>
    <row r="903" spans="1:23">
      <c r="A903" s="2218"/>
      <c r="B903" s="1176" t="s">
        <v>419</v>
      </c>
      <c r="C903" s="1177">
        <v>4</v>
      </c>
      <c r="D903" s="1177">
        <v>4</v>
      </c>
      <c r="E903" s="1177">
        <v>4</v>
      </c>
      <c r="F903" s="1177">
        <v>4</v>
      </c>
      <c r="G903" s="1177">
        <v>4</v>
      </c>
      <c r="H903" s="1177">
        <v>4</v>
      </c>
      <c r="I903" s="1178">
        <v>4</v>
      </c>
      <c r="J903" s="1178">
        <v>4</v>
      </c>
      <c r="K903" s="1178">
        <v>4</v>
      </c>
      <c r="L903" s="1178">
        <v>4</v>
      </c>
      <c r="M903" s="1178">
        <v>4</v>
      </c>
      <c r="N903" s="1178">
        <v>4</v>
      </c>
      <c r="O903" s="1179">
        <f t="shared" si="235"/>
        <v>4</v>
      </c>
      <c r="P903" s="2206"/>
      <c r="Q903" s="1235"/>
      <c r="R903" s="1235"/>
      <c r="S903" s="1235"/>
      <c r="T903" s="1235"/>
      <c r="U903" s="1235"/>
      <c r="V903" s="1235"/>
      <c r="W903" s="1235"/>
    </row>
    <row r="904" spans="1:23">
      <c r="A904" s="2218"/>
      <c r="B904" s="1176" t="s">
        <v>460</v>
      </c>
      <c r="C904" s="1177">
        <v>11</v>
      </c>
      <c r="D904" s="1177">
        <v>22</v>
      </c>
      <c r="E904" s="1177">
        <v>0</v>
      </c>
      <c r="F904" s="1177">
        <v>27</v>
      </c>
      <c r="G904" s="1177">
        <v>22</v>
      </c>
      <c r="H904" s="1177">
        <v>27</v>
      </c>
      <c r="I904" s="1178">
        <v>0</v>
      </c>
      <c r="J904" s="1178">
        <v>26</v>
      </c>
      <c r="K904" s="1178">
        <v>0</v>
      </c>
      <c r="L904" s="1178">
        <v>55</v>
      </c>
      <c r="M904" s="1178">
        <v>0</v>
      </c>
      <c r="N904" s="1178">
        <v>0</v>
      </c>
      <c r="O904" s="1179">
        <f t="shared" si="235"/>
        <v>15.833333333333334</v>
      </c>
      <c r="P904" s="1180">
        <f>O898/M!$Q$14</f>
        <v>1.4086243680806467E-2</v>
      </c>
      <c r="Q904" s="1235"/>
      <c r="R904" s="1235"/>
      <c r="S904" s="1235"/>
      <c r="T904" s="1235"/>
      <c r="U904" s="1235"/>
      <c r="V904" s="1235"/>
      <c r="W904" s="1235"/>
    </row>
    <row r="905" spans="1:23">
      <c r="A905" s="2219"/>
      <c r="B905" s="1176" t="s">
        <v>421</v>
      </c>
      <c r="C905" s="1177">
        <v>0</v>
      </c>
      <c r="D905" s="1177">
        <v>0</v>
      </c>
      <c r="E905" s="1177">
        <v>0</v>
      </c>
      <c r="F905" s="1177">
        <v>0</v>
      </c>
      <c r="G905" s="1177">
        <v>0</v>
      </c>
      <c r="H905" s="1177">
        <v>0</v>
      </c>
      <c r="I905" s="1178">
        <v>0</v>
      </c>
      <c r="J905" s="1178">
        <v>0</v>
      </c>
      <c r="K905" s="1178">
        <v>0</v>
      </c>
      <c r="L905" s="1178">
        <v>0</v>
      </c>
      <c r="M905" s="1178">
        <v>0</v>
      </c>
      <c r="N905" s="1178">
        <v>0</v>
      </c>
      <c r="O905" s="1179">
        <f t="shared" si="235"/>
        <v>0</v>
      </c>
      <c r="P905" s="1180">
        <f>O899/M!$Q$14</f>
        <v>0</v>
      </c>
      <c r="Q905" s="1235"/>
      <c r="R905" s="1235"/>
      <c r="S905" s="1235"/>
      <c r="T905" s="1235"/>
      <c r="U905" s="1235"/>
      <c r="V905" s="1235"/>
      <c r="W905" s="1235"/>
    </row>
    <row r="906" spans="1:23">
      <c r="A906" s="2191" t="s">
        <v>280</v>
      </c>
      <c r="B906" s="2192"/>
      <c r="C906" s="2203">
        <f t="shared" ref="C906:O906" si="236">SUM(C908:C914)</f>
        <v>129</v>
      </c>
      <c r="D906" s="2203">
        <f t="shared" si="236"/>
        <v>2288</v>
      </c>
      <c r="E906" s="2203">
        <f t="shared" si="236"/>
        <v>2533</v>
      </c>
      <c r="F906" s="2203">
        <f t="shared" si="236"/>
        <v>503</v>
      </c>
      <c r="G906" s="2203">
        <f t="shared" si="236"/>
        <v>1315</v>
      </c>
      <c r="H906" s="2203">
        <f t="shared" si="236"/>
        <v>1063</v>
      </c>
      <c r="I906" s="2203">
        <f t="shared" si="236"/>
        <v>514</v>
      </c>
      <c r="J906" s="2203">
        <f t="shared" si="236"/>
        <v>1070</v>
      </c>
      <c r="K906" s="2203">
        <f t="shared" si="236"/>
        <v>768</v>
      </c>
      <c r="L906" s="2203">
        <f t="shared" si="236"/>
        <v>2238</v>
      </c>
      <c r="M906" s="2203">
        <f t="shared" si="236"/>
        <v>4009</v>
      </c>
      <c r="N906" s="2203">
        <f t="shared" si="236"/>
        <v>1077</v>
      </c>
      <c r="O906" s="2203">
        <f t="shared" si="236"/>
        <v>1458.9166666666667</v>
      </c>
      <c r="P906" s="1180">
        <f>O900/M!$Q$14</f>
        <v>0</v>
      </c>
      <c r="Q906" s="1235"/>
      <c r="R906" s="1235"/>
      <c r="S906" s="1235"/>
      <c r="T906" s="1235"/>
      <c r="U906" s="1235"/>
      <c r="V906" s="1235"/>
      <c r="W906" s="1235"/>
    </row>
    <row r="907" spans="1:23">
      <c r="A907" s="2193"/>
      <c r="B907" s="2194"/>
      <c r="C907" s="2204"/>
      <c r="D907" s="2204"/>
      <c r="E907" s="2204"/>
      <c r="F907" s="2204"/>
      <c r="G907" s="2204"/>
      <c r="H907" s="2204"/>
      <c r="I907" s="2204"/>
      <c r="J907" s="2204"/>
      <c r="K907" s="2204"/>
      <c r="L907" s="2204"/>
      <c r="M907" s="2204"/>
      <c r="N907" s="2204"/>
      <c r="O907" s="2204"/>
      <c r="P907" s="1180">
        <f>O901/M!$Q$14</f>
        <v>6.7927827617257708E-3</v>
      </c>
      <c r="Q907" s="1235"/>
      <c r="R907" s="1235"/>
      <c r="S907" s="1235"/>
      <c r="T907" s="1235"/>
      <c r="U907" s="1235"/>
      <c r="V907" s="1235"/>
      <c r="W907" s="1235"/>
    </row>
    <row r="908" spans="1:23">
      <c r="A908" s="2217"/>
      <c r="B908" s="1176" t="s">
        <v>280</v>
      </c>
      <c r="C908" s="1177">
        <v>80</v>
      </c>
      <c r="D908" s="1177">
        <v>1681</v>
      </c>
      <c r="E908" s="1177">
        <v>1730</v>
      </c>
      <c r="F908" s="1177">
        <v>430</v>
      </c>
      <c r="G908" s="1177">
        <v>336</v>
      </c>
      <c r="H908" s="1177">
        <v>202</v>
      </c>
      <c r="I908" s="1178">
        <v>20</v>
      </c>
      <c r="J908" s="1178">
        <v>136</v>
      </c>
      <c r="K908" s="1178">
        <v>68</v>
      </c>
      <c r="L908" s="1178">
        <v>340</v>
      </c>
      <c r="M908" s="1178">
        <v>151</v>
      </c>
      <c r="N908" s="1178">
        <v>180</v>
      </c>
      <c r="O908" s="1179">
        <f t="shared" ref="O908:O914" si="237">SUM(C908:N908)/12</f>
        <v>446.16666666666669</v>
      </c>
      <c r="P908" s="1180">
        <f>O902/M!$Q$14</f>
        <v>4.4836849912381323E-3</v>
      </c>
      <c r="Q908" s="1235"/>
      <c r="R908" s="1235"/>
      <c r="S908" s="1235"/>
      <c r="T908" s="1235"/>
      <c r="U908" s="1235"/>
      <c r="V908" s="1235"/>
      <c r="W908" s="1235"/>
    </row>
    <row r="909" spans="1:23">
      <c r="A909" s="2218"/>
      <c r="B909" s="1176" t="s">
        <v>423</v>
      </c>
      <c r="C909" s="1177">
        <v>0</v>
      </c>
      <c r="D909" s="1177">
        <v>49</v>
      </c>
      <c r="E909" s="1177">
        <v>572</v>
      </c>
      <c r="F909" s="1177">
        <v>71</v>
      </c>
      <c r="G909" s="1177">
        <v>73</v>
      </c>
      <c r="H909" s="1177">
        <v>122</v>
      </c>
      <c r="I909" s="1178">
        <v>51</v>
      </c>
      <c r="J909" s="1178">
        <v>586</v>
      </c>
      <c r="K909" s="1178">
        <v>495</v>
      </c>
      <c r="L909" s="1178">
        <v>242</v>
      </c>
      <c r="M909" s="1178">
        <v>340</v>
      </c>
      <c r="N909" s="1178">
        <v>134</v>
      </c>
      <c r="O909" s="1179">
        <f t="shared" si="237"/>
        <v>227.91666666666666</v>
      </c>
      <c r="P909" s="1180">
        <f>O903/M!$Q$14</f>
        <v>3.5869479929905062E-4</v>
      </c>
      <c r="Q909" s="1235"/>
      <c r="R909" s="1235"/>
      <c r="S909" s="1235"/>
      <c r="T909" s="1235"/>
      <c r="U909" s="1235"/>
      <c r="V909" s="1235"/>
      <c r="W909" s="1235"/>
    </row>
    <row r="910" spans="1:23">
      <c r="A910" s="2218"/>
      <c r="B910" s="1176" t="s">
        <v>424</v>
      </c>
      <c r="C910" s="1177">
        <v>0</v>
      </c>
      <c r="D910" s="1177">
        <v>0</v>
      </c>
      <c r="E910" s="1177">
        <v>0</v>
      </c>
      <c r="F910" s="1177">
        <v>0</v>
      </c>
      <c r="G910" s="1177">
        <v>0</v>
      </c>
      <c r="H910" s="1177">
        <v>0</v>
      </c>
      <c r="I910" s="1178">
        <v>0</v>
      </c>
      <c r="J910" s="1178">
        <v>0</v>
      </c>
      <c r="K910" s="1178">
        <v>0</v>
      </c>
      <c r="L910" s="1178">
        <v>0</v>
      </c>
      <c r="M910" s="1178">
        <v>0</v>
      </c>
      <c r="N910" s="1178">
        <v>0</v>
      </c>
      <c r="O910" s="1179">
        <f t="shared" si="237"/>
        <v>0</v>
      </c>
      <c r="P910" s="1180">
        <f>O904/M!$Q$14</f>
        <v>1.419833580558742E-3</v>
      </c>
      <c r="Q910" s="1235"/>
      <c r="R910" s="1235"/>
      <c r="S910" s="1235"/>
      <c r="T910" s="1235"/>
      <c r="U910" s="1235"/>
      <c r="V910" s="1235"/>
      <c r="W910" s="1235"/>
    </row>
    <row r="911" spans="1:23">
      <c r="A911" s="2218"/>
      <c r="B911" s="1176" t="s">
        <v>425</v>
      </c>
      <c r="C911" s="1177">
        <v>0</v>
      </c>
      <c r="D911" s="1177">
        <v>0</v>
      </c>
      <c r="E911" s="1177">
        <v>0</v>
      </c>
      <c r="F911" s="1177">
        <v>0</v>
      </c>
      <c r="G911" s="1177">
        <v>32</v>
      </c>
      <c r="H911" s="1177">
        <v>10</v>
      </c>
      <c r="I911" s="1178">
        <v>296</v>
      </c>
      <c r="J911" s="1178">
        <v>30</v>
      </c>
      <c r="K911" s="1178">
        <v>0</v>
      </c>
      <c r="L911" s="1178">
        <v>0</v>
      </c>
      <c r="M911" s="1178">
        <v>79</v>
      </c>
      <c r="N911" s="1178">
        <v>0</v>
      </c>
      <c r="O911" s="1179">
        <f t="shared" si="237"/>
        <v>37.25</v>
      </c>
      <c r="P911" s="1180">
        <f>O905/M!$Q$14</f>
        <v>0</v>
      </c>
      <c r="Q911" s="1235"/>
      <c r="R911" s="1235"/>
      <c r="S911" s="1235"/>
      <c r="T911" s="1235"/>
      <c r="U911" s="1235"/>
      <c r="V911" s="1235"/>
      <c r="W911" s="1235"/>
    </row>
    <row r="912" spans="1:23">
      <c r="A912" s="2218"/>
      <c r="B912" s="1176" t="s">
        <v>667</v>
      </c>
      <c r="C912" s="1177">
        <v>49</v>
      </c>
      <c r="D912" s="1177">
        <v>252</v>
      </c>
      <c r="E912" s="1177">
        <v>150</v>
      </c>
      <c r="F912" s="1177">
        <v>0</v>
      </c>
      <c r="G912" s="1177">
        <v>69</v>
      </c>
      <c r="H912" s="1177">
        <v>28</v>
      </c>
      <c r="I912" s="1178">
        <v>122</v>
      </c>
      <c r="J912" s="1178">
        <v>311</v>
      </c>
      <c r="K912" s="1178">
        <v>99</v>
      </c>
      <c r="L912" s="1178">
        <v>906</v>
      </c>
      <c r="M912" s="1178">
        <v>738</v>
      </c>
      <c r="N912" s="1178">
        <v>298</v>
      </c>
      <c r="O912" s="1179">
        <f t="shared" si="237"/>
        <v>251.83333333333334</v>
      </c>
      <c r="P912" s="2205">
        <f>O906/M!$Q$14</f>
        <v>0.13082645523600997</v>
      </c>
      <c r="Q912" s="1235"/>
      <c r="R912" s="1235"/>
      <c r="S912" s="1235"/>
      <c r="T912" s="1235"/>
      <c r="U912" s="1235"/>
      <c r="V912" s="1235"/>
      <c r="W912" s="1235"/>
    </row>
    <row r="913" spans="1:23">
      <c r="A913" s="2218"/>
      <c r="B913" s="1176" t="s">
        <v>427</v>
      </c>
      <c r="C913" s="1177">
        <v>0</v>
      </c>
      <c r="D913" s="1177">
        <v>0</v>
      </c>
      <c r="E913" s="1177">
        <v>0</v>
      </c>
      <c r="F913" s="1177">
        <v>0</v>
      </c>
      <c r="G913" s="1177">
        <v>0</v>
      </c>
      <c r="H913" s="1177">
        <v>0</v>
      </c>
      <c r="I913" s="1178">
        <v>0</v>
      </c>
      <c r="J913" s="1178">
        <v>0</v>
      </c>
      <c r="K913" s="1178">
        <v>0</v>
      </c>
      <c r="L913" s="1178">
        <v>0</v>
      </c>
      <c r="M913" s="1178">
        <v>0</v>
      </c>
      <c r="N913" s="1178">
        <v>0</v>
      </c>
      <c r="O913" s="1179">
        <f t="shared" si="237"/>
        <v>0</v>
      </c>
      <c r="P913" s="2206"/>
      <c r="Q913" s="1235"/>
      <c r="R913" s="1235"/>
      <c r="S913" s="1235"/>
      <c r="T913" s="1235"/>
      <c r="U913" s="1235"/>
      <c r="V913" s="1235"/>
      <c r="W913" s="1235"/>
    </row>
    <row r="914" spans="1:23">
      <c r="A914" s="2219"/>
      <c r="B914" s="1176" t="s">
        <v>381</v>
      </c>
      <c r="C914" s="1177">
        <v>0</v>
      </c>
      <c r="D914" s="1177">
        <v>306</v>
      </c>
      <c r="E914" s="1177">
        <v>81</v>
      </c>
      <c r="F914" s="1177">
        <v>2</v>
      </c>
      <c r="G914" s="1177">
        <v>805</v>
      </c>
      <c r="H914" s="1177">
        <v>701</v>
      </c>
      <c r="I914" s="1178">
        <v>25</v>
      </c>
      <c r="J914" s="1178">
        <v>7</v>
      </c>
      <c r="K914" s="1178">
        <v>106</v>
      </c>
      <c r="L914" s="1178">
        <v>750</v>
      </c>
      <c r="M914" s="1178">
        <v>2701</v>
      </c>
      <c r="N914" s="1178">
        <v>465</v>
      </c>
      <c r="O914" s="1179">
        <f t="shared" si="237"/>
        <v>495.75</v>
      </c>
      <c r="P914" s="1180">
        <f>O908/M!$Q$14</f>
        <v>4.0009415738481602E-2</v>
      </c>
      <c r="Q914" s="1235"/>
      <c r="R914" s="1235"/>
      <c r="S914" s="1235"/>
      <c r="T914" s="1235"/>
      <c r="U914" s="1235"/>
      <c r="V914" s="1235"/>
      <c r="W914" s="1235"/>
    </row>
    <row r="915" spans="1:23">
      <c r="A915" s="2191" t="s">
        <v>428</v>
      </c>
      <c r="B915" s="2192"/>
      <c r="C915" s="2203">
        <f>SUM(C917:C918)</f>
        <v>2587</v>
      </c>
      <c r="D915" s="2203">
        <f t="shared" ref="D915:N915" si="238">SUM(D917:D918)</f>
        <v>2609</v>
      </c>
      <c r="E915" s="2203">
        <f t="shared" si="238"/>
        <v>2212</v>
      </c>
      <c r="F915" s="2203">
        <f t="shared" si="238"/>
        <v>3016</v>
      </c>
      <c r="G915" s="2203">
        <f t="shared" si="238"/>
        <v>2184</v>
      </c>
      <c r="H915" s="2203">
        <f t="shared" si="238"/>
        <v>2639</v>
      </c>
      <c r="I915" s="2203">
        <f t="shared" si="238"/>
        <v>3599</v>
      </c>
      <c r="J915" s="2203">
        <f t="shared" si="238"/>
        <v>1844</v>
      </c>
      <c r="K915" s="2203">
        <f t="shared" si="238"/>
        <v>3837</v>
      </c>
      <c r="L915" s="2203">
        <f t="shared" si="238"/>
        <v>2106</v>
      </c>
      <c r="M915" s="2203">
        <f t="shared" si="238"/>
        <v>900</v>
      </c>
      <c r="N915" s="2203">
        <f t="shared" si="238"/>
        <v>2083</v>
      </c>
      <c r="O915" s="2203">
        <f>SUM(O917:O918)</f>
        <v>2468</v>
      </c>
      <c r="P915" s="1180">
        <f>O909/M!$Q$14</f>
        <v>2.0438130751727152E-2</v>
      </c>
      <c r="Q915" s="1235"/>
      <c r="R915" s="1235"/>
      <c r="S915" s="1235"/>
      <c r="T915" s="1235"/>
      <c r="U915" s="1235"/>
      <c r="V915" s="1235"/>
      <c r="W915" s="1235"/>
    </row>
    <row r="916" spans="1:23">
      <c r="A916" s="2193"/>
      <c r="B916" s="2194"/>
      <c r="C916" s="2204"/>
      <c r="D916" s="2204"/>
      <c r="E916" s="2204"/>
      <c r="F916" s="2204"/>
      <c r="G916" s="2204"/>
      <c r="H916" s="2204"/>
      <c r="I916" s="2204"/>
      <c r="J916" s="2204"/>
      <c r="K916" s="2204"/>
      <c r="L916" s="2204"/>
      <c r="M916" s="2204"/>
      <c r="N916" s="2204"/>
      <c r="O916" s="2204"/>
      <c r="P916" s="1180">
        <f>O910/M!$Q$14</f>
        <v>0</v>
      </c>
      <c r="Q916" s="1235"/>
      <c r="R916" s="1235"/>
      <c r="S916" s="1235"/>
      <c r="T916" s="1235"/>
      <c r="U916" s="1235"/>
      <c r="V916" s="1235"/>
      <c r="W916" s="1235"/>
    </row>
    <row r="917" spans="1:23">
      <c r="A917" s="2217"/>
      <c r="B917" s="1176" t="s">
        <v>429</v>
      </c>
      <c r="C917" s="1177">
        <f xml:space="preserve"> 271 + 172</f>
        <v>443</v>
      </c>
      <c r="D917" s="1177">
        <v>220</v>
      </c>
      <c r="E917" s="1177">
        <v>123</v>
      </c>
      <c r="F917" s="1177">
        <f xml:space="preserve"> 375</f>
        <v>375</v>
      </c>
      <c r="G917" s="1177">
        <v>95</v>
      </c>
      <c r="H917" s="1177">
        <f xml:space="preserve"> 230 + 265</f>
        <v>495</v>
      </c>
      <c r="I917" s="1178">
        <f xml:space="preserve"> 265 * 8 + 375</f>
        <v>2495</v>
      </c>
      <c r="J917" s="1178">
        <f xml:space="preserve"> 590</f>
        <v>590</v>
      </c>
      <c r="K917" s="1178">
        <f>2004 - 188</f>
        <v>1816</v>
      </c>
      <c r="L917" s="1178">
        <v>85</v>
      </c>
      <c r="M917" s="1178">
        <v>120</v>
      </c>
      <c r="N917" s="1178">
        <v>62</v>
      </c>
      <c r="O917" s="1179">
        <f>SUM(C917:N917)/12</f>
        <v>576.58333333333337</v>
      </c>
      <c r="P917" s="1180">
        <f>O911/M!$Q$14</f>
        <v>3.3403453184724088E-3</v>
      </c>
      <c r="Q917" s="1235"/>
      <c r="R917" s="1235"/>
      <c r="S917" s="1235"/>
      <c r="T917" s="1235"/>
      <c r="U917" s="1235"/>
      <c r="V917" s="1235"/>
      <c r="W917" s="1235"/>
    </row>
    <row r="918" spans="1:23">
      <c r="A918" s="2218"/>
      <c r="B918" s="1176" t="s">
        <v>430</v>
      </c>
      <c r="C918" s="1177">
        <f xml:space="preserve"> 1223 + 596 + 325</f>
        <v>2144</v>
      </c>
      <c r="D918" s="1177">
        <f xml:space="preserve"> 1168 + 596 + 325 + 300</f>
        <v>2389</v>
      </c>
      <c r="E918" s="1177">
        <f xml:space="preserve"> 1168 + 596 + 325</f>
        <v>2089</v>
      </c>
      <c r="F918" s="1177">
        <f xml:space="preserve"> 1460 + 596 + 325 + 260</f>
        <v>2641</v>
      </c>
      <c r="G918" s="1177">
        <f xml:space="preserve"> 1168 + 596 + 325</f>
        <v>2089</v>
      </c>
      <c r="H918" s="1177">
        <f xml:space="preserve"> 1223 + 596 + 325</f>
        <v>2144</v>
      </c>
      <c r="I918" s="1178">
        <f>1104</f>
        <v>1104</v>
      </c>
      <c r="J918" s="1178">
        <f>1104 + 150</f>
        <v>1254</v>
      </c>
      <c r="K918" s="1178">
        <f xml:space="preserve"> 1104 + 567 + 350</f>
        <v>2021</v>
      </c>
      <c r="L918" s="1178">
        <f xml:space="preserve"> 1104 + 350 + 567</f>
        <v>2021</v>
      </c>
      <c r="M918" s="1178">
        <f xml:space="preserve"> 183 + 30 + 567</f>
        <v>780</v>
      </c>
      <c r="N918" s="1178">
        <f xml:space="preserve"> 1104 + 350 + 567</f>
        <v>2021</v>
      </c>
      <c r="O918" s="1179">
        <f>SUM(C918:N918)/12</f>
        <v>1891.4166666666667</v>
      </c>
      <c r="P918" s="1180">
        <f>O912/M!$Q$14</f>
        <v>2.2582826739202727E-2</v>
      </c>
      <c r="Q918" s="1235"/>
      <c r="R918" s="1235"/>
      <c r="S918" s="1235"/>
      <c r="T918" s="1235"/>
      <c r="U918" s="1235"/>
      <c r="V918" s="1235"/>
      <c r="W918" s="1235"/>
    </row>
    <row r="919" spans="1:23">
      <c r="A919" s="2191" t="s">
        <v>668</v>
      </c>
      <c r="B919" s="2192"/>
      <c r="C919" s="2203">
        <f>SUM(C921:C924)</f>
        <v>669.41666666666674</v>
      </c>
      <c r="D919" s="2203">
        <f t="shared" ref="D919:N919" si="239">SUM(D921:D924)</f>
        <v>621.41666666666674</v>
      </c>
      <c r="E919" s="2203">
        <f t="shared" si="239"/>
        <v>634.41666666666674</v>
      </c>
      <c r="F919" s="2203">
        <f t="shared" si="239"/>
        <v>984.41666666666674</v>
      </c>
      <c r="G919" s="2203">
        <f t="shared" si="239"/>
        <v>660.41666666666674</v>
      </c>
      <c r="H919" s="2203">
        <f t="shared" si="239"/>
        <v>609.41666666666674</v>
      </c>
      <c r="I919" s="2203">
        <f t="shared" si="239"/>
        <v>752.41666666666674</v>
      </c>
      <c r="J919" s="2203">
        <f t="shared" si="239"/>
        <v>609.41666666666674</v>
      </c>
      <c r="K919" s="2203">
        <f t="shared" si="239"/>
        <v>609.41666666666674</v>
      </c>
      <c r="L919" s="2203">
        <f t="shared" si="239"/>
        <v>611.41666666666674</v>
      </c>
      <c r="M919" s="2203">
        <f t="shared" si="239"/>
        <v>611.41666666666674</v>
      </c>
      <c r="N919" s="2203">
        <f t="shared" si="239"/>
        <v>876.41666666666674</v>
      </c>
      <c r="O919" s="2203">
        <f>SUM(O921:O929)</f>
        <v>2319.833333333333</v>
      </c>
      <c r="P919" s="1180">
        <f>O913/M!$Q$14</f>
        <v>0</v>
      </c>
      <c r="Q919" s="1235"/>
      <c r="R919" s="1235"/>
      <c r="S919" s="1235"/>
      <c r="T919" s="1235"/>
      <c r="U919" s="1235"/>
      <c r="V919" s="1235"/>
      <c r="W919" s="1235"/>
    </row>
    <row r="920" spans="1:23">
      <c r="A920" s="2193"/>
      <c r="B920" s="2194"/>
      <c r="C920" s="2204"/>
      <c r="D920" s="2204"/>
      <c r="E920" s="2204"/>
      <c r="F920" s="2204"/>
      <c r="G920" s="2204"/>
      <c r="H920" s="2204"/>
      <c r="I920" s="2204"/>
      <c r="J920" s="2204"/>
      <c r="K920" s="2204"/>
      <c r="L920" s="2204"/>
      <c r="M920" s="2204"/>
      <c r="N920" s="2204"/>
      <c r="O920" s="2204"/>
      <c r="P920" s="1180">
        <f>O914/M!$Q$14</f>
        <v>4.4455736688126087E-2</v>
      </c>
      <c r="Q920" s="1235"/>
      <c r="R920" s="1235"/>
      <c r="S920" s="1235"/>
      <c r="T920" s="1235"/>
      <c r="U920" s="1235"/>
      <c r="V920" s="1235"/>
      <c r="W920" s="1235"/>
    </row>
    <row r="921" spans="1:23">
      <c r="A921" s="1183"/>
      <c r="B921" s="1176" t="s">
        <v>432</v>
      </c>
      <c r="C921" s="1184">
        <f>(FinSnapshot!$O$94 +FinSnapshot!$O$96+FinSnapshot!$O$102+FinSnapshot!$O$104)/12</f>
        <v>295.91666666666669</v>
      </c>
      <c r="D921" s="1184">
        <f>(FinSnapshot!$O$94 +FinSnapshot!$O$96+FinSnapshot!$O$102+FinSnapshot!$O$104)/12</f>
        <v>295.91666666666669</v>
      </c>
      <c r="E921" s="1184">
        <f>(FinSnapshot!$O$94 +FinSnapshot!$O$96+FinSnapshot!$O$102+FinSnapshot!$O$104)/12</f>
        <v>295.91666666666669</v>
      </c>
      <c r="F921" s="1184">
        <f>(FinSnapshot!$O$94 +FinSnapshot!$O$96+FinSnapshot!$O$102+FinSnapshot!$O$104)/12</f>
        <v>295.91666666666669</v>
      </c>
      <c r="G921" s="1184">
        <f>(FinSnapshot!$O$94 +FinSnapshot!$O$96+FinSnapshot!$O$102+FinSnapshot!$O$104)/12</f>
        <v>295.91666666666669</v>
      </c>
      <c r="H921" s="1184">
        <f>(FinSnapshot!$O$94 +FinSnapshot!$O$96+FinSnapshot!$O$102+FinSnapshot!$O$104)/12</f>
        <v>295.91666666666669</v>
      </c>
      <c r="I921" s="1184">
        <f>(FinSnapshot!$O$94 +FinSnapshot!$O$96+FinSnapshot!$O$102+FinSnapshot!$O$104)/12</f>
        <v>295.91666666666669</v>
      </c>
      <c r="J921" s="1184">
        <f>(FinSnapshot!$O$94 +FinSnapshot!$O$96+FinSnapshot!$O$102+FinSnapshot!$O$104)/12</f>
        <v>295.91666666666669</v>
      </c>
      <c r="K921" s="1184">
        <f>(FinSnapshot!$O$94 +FinSnapshot!$O$96+FinSnapshot!$O$102+FinSnapshot!$O$104)/12</f>
        <v>295.91666666666669</v>
      </c>
      <c r="L921" s="1184">
        <f>(FinSnapshot!$O$94 +FinSnapshot!$O$96+FinSnapshot!$O$102+FinSnapshot!$O$104)/12</f>
        <v>295.91666666666669</v>
      </c>
      <c r="M921" s="1184">
        <f>(FinSnapshot!$O$94 +FinSnapshot!$O$96+FinSnapshot!$O$102+FinSnapshot!$O$104)/12</f>
        <v>295.91666666666669</v>
      </c>
      <c r="N921" s="1184">
        <f>(FinSnapshot!$O$94 +FinSnapshot!$O$96+FinSnapshot!$O$102+FinSnapshot!$O$104)/12</f>
        <v>295.91666666666669</v>
      </c>
      <c r="O921" s="1179">
        <f>SUM(C921:N921)/12</f>
        <v>295.91666666666663</v>
      </c>
      <c r="P921" s="2205">
        <f>O915/M!$Q$14</f>
        <v>0.22131469116751423</v>
      </c>
      <c r="Q921" s="1235"/>
      <c r="R921" s="1235"/>
      <c r="S921" s="1235"/>
      <c r="T921" s="1235"/>
      <c r="U921" s="1235"/>
      <c r="V921" s="1235"/>
      <c r="W921" s="1235"/>
    </row>
    <row r="922" spans="1:23">
      <c r="A922" s="1183"/>
      <c r="B922" s="1176" t="s">
        <v>284</v>
      </c>
      <c r="C922" s="1177">
        <v>60</v>
      </c>
      <c r="D922" s="1177">
        <v>12</v>
      </c>
      <c r="E922" s="1177">
        <v>25</v>
      </c>
      <c r="F922" s="1177">
        <v>375</v>
      </c>
      <c r="G922" s="1177">
        <v>51</v>
      </c>
      <c r="H922" s="1177">
        <v>0</v>
      </c>
      <c r="I922" s="1178">
        <v>143</v>
      </c>
      <c r="J922" s="1178">
        <v>0</v>
      </c>
      <c r="K922" s="1178">
        <v>0</v>
      </c>
      <c r="L922" s="1178">
        <v>2</v>
      </c>
      <c r="M922" s="1178">
        <v>2</v>
      </c>
      <c r="N922" s="1178">
        <v>267</v>
      </c>
      <c r="O922" s="1179">
        <f>SUM(C922:N922)/12</f>
        <v>78.083333333333329</v>
      </c>
      <c r="P922" s="2206"/>
      <c r="Q922" s="1235"/>
      <c r="R922" s="1235"/>
      <c r="S922" s="1235"/>
      <c r="T922" s="1235"/>
      <c r="U922" s="1235"/>
      <c r="V922" s="1235"/>
      <c r="W922" s="1235"/>
    </row>
    <row r="923" spans="1:23">
      <c r="A923" s="1183"/>
      <c r="B923" s="1176" t="s">
        <v>433</v>
      </c>
      <c r="C923" s="1178">
        <f>(FinSnapshot!$O$93+ FinSnapshot!$O$95+ FinSnapshot!$O$96+ FinSnapshot!$O$103 + FinSnapshot!$O$105+ FinSnapshot!$O$107+ FinSnapshot!$O$108+ FinSnapshot!$O$101+FinSnapshot!$O$95+FinSnapshot!$O$103)/12</f>
        <v>110.5</v>
      </c>
      <c r="D923" s="1178">
        <f>(FinSnapshot!$O$93+ FinSnapshot!$O$95+ FinSnapshot!$O$96+ FinSnapshot!$O$103 + FinSnapshot!$O$105+ FinSnapshot!$O$107+ FinSnapshot!$O$108+ FinSnapshot!$O$101+FinSnapshot!$O$95+FinSnapshot!$O$103)/12</f>
        <v>110.5</v>
      </c>
      <c r="E923" s="1178">
        <f>(FinSnapshot!$O$93+ FinSnapshot!$O$95+ FinSnapshot!$O$96+ FinSnapshot!$O$103 + FinSnapshot!$O$105+ FinSnapshot!$O$107+ FinSnapshot!$O$108+ FinSnapshot!$O$101+FinSnapshot!$O$95+FinSnapshot!$O$103)/12</f>
        <v>110.5</v>
      </c>
      <c r="F923" s="1178">
        <f>(FinSnapshot!$O$93+ FinSnapshot!$O$95+ FinSnapshot!$O$96+ FinSnapshot!$O$103 + FinSnapshot!$O$105+ FinSnapshot!$O$107+ FinSnapshot!$O$108+ FinSnapshot!$O$101+FinSnapshot!$O$95+FinSnapshot!$O$103)/12</f>
        <v>110.5</v>
      </c>
      <c r="G923" s="1178">
        <f>(FinSnapshot!$O$93+ FinSnapshot!$O$95+ FinSnapshot!$O$96+ FinSnapshot!$O$103 + FinSnapshot!$O$105+ FinSnapshot!$O$107+ FinSnapshot!$O$108+ FinSnapshot!$O$101+FinSnapshot!$O$95+FinSnapshot!$O$103)/12</f>
        <v>110.5</v>
      </c>
      <c r="H923" s="1178">
        <f>(FinSnapshot!$O$93+ FinSnapshot!$O$95+ FinSnapshot!$O$96+ FinSnapshot!$O$103 + FinSnapshot!$O$105+ FinSnapshot!$O$107+ FinSnapshot!$O$108+ FinSnapshot!$O$101+FinSnapshot!$O$95+FinSnapshot!$O$103)/12</f>
        <v>110.5</v>
      </c>
      <c r="I923" s="1178">
        <f>(FinSnapshot!$O$93+ FinSnapshot!$O$95+ FinSnapshot!$O$96+ FinSnapshot!$O$103 + FinSnapshot!$O$105+ FinSnapshot!$O$107+ FinSnapshot!$O$108+ FinSnapshot!$O$101+FinSnapshot!$O$95+FinSnapshot!$O$103)/12</f>
        <v>110.5</v>
      </c>
      <c r="J923" s="1178">
        <f>(FinSnapshot!$O$93+ FinSnapshot!$O$95+ FinSnapshot!$O$96+ FinSnapshot!$O$103 + FinSnapshot!$O$105+ FinSnapshot!$O$107+ FinSnapshot!$O$108+ FinSnapshot!$O$101+FinSnapshot!$O$95+FinSnapshot!$O$103)/12</f>
        <v>110.5</v>
      </c>
      <c r="K923" s="1178">
        <f>(FinSnapshot!$O$93+ FinSnapshot!$O$95+ FinSnapshot!$O$96+ FinSnapshot!$O$103 + FinSnapshot!$O$105+ FinSnapshot!$O$107+ FinSnapshot!$O$108+ FinSnapshot!$O$101+FinSnapshot!$O$95+FinSnapshot!$O$103)/12</f>
        <v>110.5</v>
      </c>
      <c r="L923" s="1178">
        <f>(FinSnapshot!$O$93+ FinSnapshot!$O$95+ FinSnapshot!$O$96+ FinSnapshot!$O$103 + FinSnapshot!$O$105+ FinSnapshot!$O$107+ FinSnapshot!$O$108+ FinSnapshot!$O$101+FinSnapshot!$O$95+FinSnapshot!$O$103)/12</f>
        <v>110.5</v>
      </c>
      <c r="M923" s="1178">
        <f>(FinSnapshot!$O$93+ FinSnapshot!$O$95+ FinSnapshot!$O$96+ FinSnapshot!$O$103 + FinSnapshot!$O$105+ FinSnapshot!$O$107+ FinSnapshot!$O$108+ FinSnapshot!$O$101+FinSnapshot!$O$95+FinSnapshot!$O$103)/12</f>
        <v>110.5</v>
      </c>
      <c r="N923" s="1178">
        <f>(FinSnapshot!$O$93+ FinSnapshot!$O$95+ FinSnapshot!$O$96+ FinSnapshot!$O$103 + FinSnapshot!$O$105+ FinSnapshot!$O$107+ FinSnapshot!$O$108+ FinSnapshot!$O$101+FinSnapshot!$O$95+FinSnapshot!$O$103)/12</f>
        <v>110.5</v>
      </c>
      <c r="O923" s="1179">
        <f>SUM(C923:N923)/12</f>
        <v>110.5</v>
      </c>
      <c r="P923" s="1180">
        <f>O917/M!$Q$14</f>
        <v>5.1704360757294399E-2</v>
      </c>
      <c r="Q923" s="1235"/>
      <c r="R923" s="1235"/>
      <c r="S923" s="1235"/>
      <c r="T923" s="1235"/>
      <c r="U923" s="1235"/>
      <c r="V923" s="1235"/>
      <c r="W923" s="1235"/>
    </row>
    <row r="924" spans="1:23">
      <c r="A924" s="1183"/>
      <c r="B924" s="1176" t="s">
        <v>434</v>
      </c>
      <c r="C924" s="1177">
        <f>ROUNDUP(2430/12,0)</f>
        <v>203</v>
      </c>
      <c r="D924" s="1177">
        <f t="shared" ref="D924:N924" si="240">ROUNDUP(2430/12,0)</f>
        <v>203</v>
      </c>
      <c r="E924" s="1177">
        <f t="shared" si="240"/>
        <v>203</v>
      </c>
      <c r="F924" s="1177">
        <f t="shared" si="240"/>
        <v>203</v>
      </c>
      <c r="G924" s="1177">
        <f t="shared" si="240"/>
        <v>203</v>
      </c>
      <c r="H924" s="1177">
        <f t="shared" si="240"/>
        <v>203</v>
      </c>
      <c r="I924" s="1177">
        <f t="shared" si="240"/>
        <v>203</v>
      </c>
      <c r="J924" s="1177">
        <f t="shared" si="240"/>
        <v>203</v>
      </c>
      <c r="K924" s="1177">
        <f t="shared" si="240"/>
        <v>203</v>
      </c>
      <c r="L924" s="1177">
        <f t="shared" si="240"/>
        <v>203</v>
      </c>
      <c r="M924" s="1177">
        <f t="shared" si="240"/>
        <v>203</v>
      </c>
      <c r="N924" s="1177">
        <f t="shared" si="240"/>
        <v>203</v>
      </c>
      <c r="O924" s="1179">
        <f>SUM(C924:N924)/12</f>
        <v>203</v>
      </c>
      <c r="P924" s="1180">
        <f>O918/M!$Q$14</f>
        <v>0.16961033041021983</v>
      </c>
      <c r="Q924" s="1235"/>
      <c r="R924" s="1235"/>
      <c r="S924" s="1235"/>
      <c r="T924" s="1235"/>
      <c r="U924" s="1235"/>
      <c r="V924" s="1235"/>
      <c r="W924" s="1235"/>
    </row>
    <row r="925" spans="1:23">
      <c r="A925" s="2191" t="s">
        <v>435</v>
      </c>
      <c r="B925" s="2192"/>
      <c r="C925" s="2203">
        <f>SUM(C927:C929)</f>
        <v>0</v>
      </c>
      <c r="D925" s="2203">
        <f t="shared" ref="D925:N925" si="241">SUM(D927:D929)</f>
        <v>0</v>
      </c>
      <c r="E925" s="2203">
        <f t="shared" si="241"/>
        <v>0</v>
      </c>
      <c r="F925" s="2203">
        <f t="shared" si="241"/>
        <v>534</v>
      </c>
      <c r="G925" s="2203">
        <f t="shared" si="241"/>
        <v>0</v>
      </c>
      <c r="H925" s="2203">
        <f t="shared" si="241"/>
        <v>517</v>
      </c>
      <c r="I925" s="2203">
        <f t="shared" si="241"/>
        <v>0</v>
      </c>
      <c r="J925" s="2203">
        <f t="shared" si="241"/>
        <v>0</v>
      </c>
      <c r="K925" s="2203">
        <f t="shared" si="241"/>
        <v>30</v>
      </c>
      <c r="L925" s="2203">
        <f t="shared" si="241"/>
        <v>16</v>
      </c>
      <c r="M925" s="2203">
        <f t="shared" si="241"/>
        <v>0</v>
      </c>
      <c r="N925" s="2203">
        <f t="shared" si="241"/>
        <v>491</v>
      </c>
      <c r="O925" s="2203">
        <f>SUM(O930:O932)</f>
        <v>1500</v>
      </c>
      <c r="P925" s="2205">
        <f>O919/M!$Q$14</f>
        <v>0.20802803797681185</v>
      </c>
      <c r="Q925" s="1235"/>
      <c r="R925" s="1235"/>
      <c r="S925" s="1235"/>
      <c r="T925" s="1235"/>
      <c r="U925" s="1235"/>
      <c r="V925" s="1235"/>
      <c r="W925" s="1235"/>
    </row>
    <row r="926" spans="1:23">
      <c r="A926" s="2193"/>
      <c r="B926" s="2194"/>
      <c r="C926" s="2204"/>
      <c r="D926" s="2204"/>
      <c r="E926" s="2204"/>
      <c r="F926" s="2204"/>
      <c r="G926" s="2204"/>
      <c r="H926" s="2204"/>
      <c r="I926" s="2204"/>
      <c r="J926" s="2204"/>
      <c r="K926" s="2204"/>
      <c r="L926" s="2204"/>
      <c r="M926" s="2204"/>
      <c r="N926" s="2204"/>
      <c r="O926" s="2204"/>
      <c r="P926" s="2206"/>
      <c r="Q926" s="1235"/>
      <c r="R926" s="1235"/>
      <c r="S926" s="1235"/>
      <c r="T926" s="1235"/>
      <c r="U926" s="1235"/>
      <c r="V926" s="1235"/>
      <c r="W926" s="1235"/>
    </row>
    <row r="927" spans="1:23">
      <c r="A927" s="1183"/>
      <c r="B927" s="1176" t="s">
        <v>405</v>
      </c>
      <c r="C927" s="1177">
        <v>0</v>
      </c>
      <c r="D927" s="1177">
        <v>0</v>
      </c>
      <c r="E927" s="1177">
        <v>0</v>
      </c>
      <c r="F927" s="1177">
        <v>0</v>
      </c>
      <c r="G927" s="1177">
        <v>0</v>
      </c>
      <c r="H927" s="1177">
        <v>0</v>
      </c>
      <c r="I927" s="1177">
        <v>0</v>
      </c>
      <c r="J927" s="1177">
        <v>0</v>
      </c>
      <c r="K927" s="1177">
        <v>0</v>
      </c>
      <c r="L927" s="1177">
        <v>0</v>
      </c>
      <c r="M927" s="1177">
        <v>0</v>
      </c>
      <c r="N927" s="1177">
        <v>0</v>
      </c>
      <c r="O927" s="1179">
        <f>SUM(C927:N927)/12</f>
        <v>0</v>
      </c>
      <c r="P927" s="1180">
        <f>O921/M!$Q$14</f>
        <v>2.6535942339811009E-2</v>
      </c>
      <c r="Q927" s="1235"/>
      <c r="R927" s="1235"/>
      <c r="S927" s="1235"/>
      <c r="T927" s="1235"/>
      <c r="U927" s="1235"/>
      <c r="V927" s="1235"/>
      <c r="W927" s="1235"/>
    </row>
    <row r="928" spans="1:23">
      <c r="A928" s="1183"/>
      <c r="B928" s="1176" t="s">
        <v>436</v>
      </c>
      <c r="C928" s="1177">
        <v>0</v>
      </c>
      <c r="D928" s="1177">
        <v>0</v>
      </c>
      <c r="E928" s="1177">
        <v>0</v>
      </c>
      <c r="F928" s="1177">
        <v>137</v>
      </c>
      <c r="G928" s="1177">
        <v>0</v>
      </c>
      <c r="H928" s="1177">
        <f xml:space="preserve"> 52+ 465</f>
        <v>517</v>
      </c>
      <c r="I928" s="1178">
        <v>0</v>
      </c>
      <c r="J928" s="1178">
        <v>0</v>
      </c>
      <c r="K928" s="1178">
        <v>0</v>
      </c>
      <c r="L928" s="1178">
        <v>16</v>
      </c>
      <c r="M928" s="1178">
        <v>0</v>
      </c>
      <c r="N928" s="1178">
        <v>280</v>
      </c>
      <c r="O928" s="1179">
        <f>SUM(C928:N928)/12</f>
        <v>79.166666666666671</v>
      </c>
      <c r="P928" s="1180">
        <f>O922/M!$Q$14</f>
        <v>7.0020213946502168E-3</v>
      </c>
      <c r="Q928" s="1235"/>
      <c r="R928" s="1235"/>
      <c r="S928" s="1235"/>
      <c r="T928" s="1235"/>
      <c r="U928" s="1235"/>
      <c r="V928" s="1235"/>
      <c r="W928" s="1235"/>
    </row>
    <row r="929" spans="1:23">
      <c r="A929" s="1183"/>
      <c r="B929" s="1176" t="s">
        <v>130</v>
      </c>
      <c r="C929" s="1177">
        <v>0</v>
      </c>
      <c r="D929" s="1177">
        <v>0</v>
      </c>
      <c r="E929" s="1177">
        <v>0</v>
      </c>
      <c r="F929" s="1177">
        <v>397</v>
      </c>
      <c r="G929" s="1177">
        <v>0</v>
      </c>
      <c r="H929" s="1177">
        <v>0</v>
      </c>
      <c r="I929" s="1178">
        <v>0</v>
      </c>
      <c r="J929" s="1178">
        <v>0</v>
      </c>
      <c r="K929" s="1178">
        <v>30</v>
      </c>
      <c r="L929" s="1178">
        <v>0</v>
      </c>
      <c r="M929" s="1178">
        <v>0</v>
      </c>
      <c r="N929" s="1178">
        <v>211</v>
      </c>
      <c r="O929" s="1179">
        <f>SUM(C929:N929)/12</f>
        <v>53.166666666666664</v>
      </c>
      <c r="P929" s="1180">
        <f>O923/M!$Q$14</f>
        <v>9.9089438306362732E-3</v>
      </c>
      <c r="Q929" s="1235"/>
      <c r="R929" s="1235"/>
      <c r="S929" s="1235"/>
      <c r="T929" s="1235"/>
      <c r="U929" s="1235"/>
      <c r="V929" s="1235"/>
      <c r="W929" s="1235"/>
    </row>
    <row r="930" spans="1:23">
      <c r="A930" s="2191" t="s">
        <v>286</v>
      </c>
      <c r="B930" s="2192"/>
      <c r="C930" s="2203">
        <f t="shared" ref="C930:N930" si="242">SUM(C932:C933)</f>
        <v>0</v>
      </c>
      <c r="D930" s="2203">
        <f t="shared" si="242"/>
        <v>2500</v>
      </c>
      <c r="E930" s="2203">
        <f t="shared" si="242"/>
        <v>0</v>
      </c>
      <c r="F930" s="2203">
        <f t="shared" si="242"/>
        <v>2500</v>
      </c>
      <c r="G930" s="2203">
        <f t="shared" si="242"/>
        <v>0</v>
      </c>
      <c r="H930" s="2203">
        <f t="shared" si="242"/>
        <v>0</v>
      </c>
      <c r="I930" s="2203">
        <f t="shared" si="242"/>
        <v>0</v>
      </c>
      <c r="J930" s="2203">
        <f t="shared" si="242"/>
        <v>0</v>
      </c>
      <c r="K930" s="2203">
        <f t="shared" si="242"/>
        <v>0</v>
      </c>
      <c r="L930" s="2203">
        <f t="shared" si="242"/>
        <v>1000</v>
      </c>
      <c r="M930" s="2203">
        <f t="shared" si="242"/>
        <v>1000</v>
      </c>
      <c r="N930" s="2203">
        <f t="shared" si="242"/>
        <v>2000</v>
      </c>
      <c r="O930" s="2203">
        <f>SUM(O932:O933)</f>
        <v>750</v>
      </c>
      <c r="P930" s="1180">
        <f>O924/M!$Q$14</f>
        <v>1.8203761064426817E-2</v>
      </c>
      <c r="Q930" s="1235"/>
      <c r="R930" s="1235"/>
      <c r="S930" s="1235"/>
      <c r="T930" s="1235"/>
      <c r="U930" s="1235"/>
      <c r="V930" s="1235"/>
      <c r="W930" s="1235"/>
    </row>
    <row r="931" spans="1:23">
      <c r="A931" s="2193"/>
      <c r="B931" s="2194"/>
      <c r="C931" s="2204"/>
      <c r="D931" s="2204"/>
      <c r="E931" s="2204"/>
      <c r="F931" s="2204"/>
      <c r="G931" s="2204"/>
      <c r="H931" s="2204"/>
      <c r="I931" s="2204"/>
      <c r="J931" s="2204"/>
      <c r="K931" s="2204"/>
      <c r="L931" s="2204"/>
      <c r="M931" s="2204"/>
      <c r="N931" s="2204"/>
      <c r="O931" s="2204"/>
      <c r="P931" s="2205">
        <f>O925/M!$Q$14</f>
        <v>0.13451054973714396</v>
      </c>
      <c r="Q931" s="1235"/>
      <c r="R931" s="1235"/>
      <c r="S931" s="1235"/>
      <c r="T931" s="1235"/>
      <c r="U931" s="1235"/>
      <c r="V931" s="1235"/>
      <c r="W931" s="1235"/>
    </row>
    <row r="932" spans="1:23">
      <c r="A932" s="2217"/>
      <c r="B932" s="1176" t="s">
        <v>82</v>
      </c>
      <c r="C932" s="1177">
        <v>0</v>
      </c>
      <c r="D932" s="1177">
        <v>2500</v>
      </c>
      <c r="E932" s="1177">
        <v>0</v>
      </c>
      <c r="F932" s="1177">
        <v>2500</v>
      </c>
      <c r="G932" s="1177">
        <v>0</v>
      </c>
      <c r="H932" s="1177">
        <v>0</v>
      </c>
      <c r="I932" s="1178">
        <v>0</v>
      </c>
      <c r="J932" s="1178">
        <v>0</v>
      </c>
      <c r="K932" s="1178">
        <v>0</v>
      </c>
      <c r="L932" s="1178">
        <v>1000</v>
      </c>
      <c r="M932" s="1178">
        <v>1000</v>
      </c>
      <c r="N932" s="1178">
        <v>2000</v>
      </c>
      <c r="O932" s="1179">
        <f>SUM(C932:N932)/12</f>
        <v>750</v>
      </c>
      <c r="P932" s="2206"/>
      <c r="Q932" s="1235"/>
      <c r="R932" s="1235"/>
      <c r="S932" s="1235"/>
      <c r="T932" s="1235"/>
      <c r="U932" s="1235"/>
      <c r="V932" s="1235"/>
      <c r="W932" s="1235"/>
    </row>
    <row r="933" spans="1:23">
      <c r="A933" s="2219"/>
      <c r="B933" s="1176" t="s">
        <v>83</v>
      </c>
      <c r="C933" s="1177">
        <v>0</v>
      </c>
      <c r="D933" s="1177">
        <v>0</v>
      </c>
      <c r="E933" s="1177">
        <v>0</v>
      </c>
      <c r="F933" s="1177">
        <v>0</v>
      </c>
      <c r="G933" s="1177">
        <v>0</v>
      </c>
      <c r="H933" s="1177">
        <v>0</v>
      </c>
      <c r="I933" s="1178">
        <v>0</v>
      </c>
      <c r="J933" s="1178">
        <v>0</v>
      </c>
      <c r="K933" s="1178">
        <v>0</v>
      </c>
      <c r="L933" s="1178">
        <v>0</v>
      </c>
      <c r="M933" s="1178">
        <v>0</v>
      </c>
      <c r="N933" s="1178">
        <v>0</v>
      </c>
      <c r="O933" s="1179">
        <f>SUM(C933:N933)/12</f>
        <v>0</v>
      </c>
      <c r="P933" s="1180">
        <f>O927/M!$Q$14</f>
        <v>0</v>
      </c>
      <c r="Q933" s="1235"/>
      <c r="R933" s="1235"/>
      <c r="S933" s="1235"/>
      <c r="T933" s="1235"/>
      <c r="U933" s="1235"/>
      <c r="V933" s="1235"/>
      <c r="W933" s="1235"/>
    </row>
    <row r="934" spans="1:23">
      <c r="A934" s="1187" t="s">
        <v>437</v>
      </c>
      <c r="B934" s="1188"/>
      <c r="C934" s="1189">
        <f t="shared" ref="C934:N934" si="243">C864+C878+C886+C892+C896+C906+C915+C919+C925+C930</f>
        <v>7233.416666666667</v>
      </c>
      <c r="D934" s="1189">
        <f t="shared" si="243"/>
        <v>11151.416666666666</v>
      </c>
      <c r="E934" s="1189">
        <f t="shared" si="243"/>
        <v>8972.4166666666661</v>
      </c>
      <c r="F934" s="1189">
        <f t="shared" si="243"/>
        <v>11032.416666666668</v>
      </c>
      <c r="G934" s="1189">
        <f t="shared" si="243"/>
        <v>7590.416666666667</v>
      </c>
      <c r="H934" s="1189">
        <f t="shared" si="243"/>
        <v>8498.4166666666679</v>
      </c>
      <c r="I934" s="1189">
        <f t="shared" si="243"/>
        <v>8914.4166666666661</v>
      </c>
      <c r="J934" s="1189">
        <f t="shared" si="243"/>
        <v>7069.416666666667</v>
      </c>
      <c r="K934" s="1189">
        <f t="shared" si="243"/>
        <v>8576.4166666666661</v>
      </c>
      <c r="L934" s="1189">
        <f t="shared" si="243"/>
        <v>9452.4166666666661</v>
      </c>
      <c r="M934" s="1189">
        <f t="shared" si="243"/>
        <v>9131.4166666666679</v>
      </c>
      <c r="N934" s="1189">
        <f t="shared" si="243"/>
        <v>10008.416666666668</v>
      </c>
      <c r="O934" s="1189">
        <f>SUM(C934:N934)/12</f>
        <v>8969.2500000000018</v>
      </c>
      <c r="P934" s="1180">
        <f>O928/M!$Q$14</f>
        <v>7.0991679027937104E-3</v>
      </c>
      <c r="Q934" s="1235"/>
      <c r="R934" s="1235"/>
      <c r="S934" s="1235"/>
      <c r="T934" s="1235"/>
      <c r="U934" s="1235"/>
      <c r="V934" s="1235"/>
      <c r="W934" s="1235"/>
    </row>
    <row r="935" spans="1:23">
      <c r="A935" s="1191" t="s">
        <v>658</v>
      </c>
      <c r="B935" s="1192"/>
      <c r="C935" s="1193">
        <f>C934/M!$Q$14</f>
        <v>0.64864723487410192</v>
      </c>
      <c r="D935" s="1193">
        <f>D934/M!$Q$14</f>
        <v>0.9999887907875219</v>
      </c>
      <c r="E935" s="1193">
        <f>E934/M!$Q$14</f>
        <v>0.8045897988693641</v>
      </c>
      <c r="F935" s="1193">
        <f>F934/M!$Q$14</f>
        <v>0.98931762050837535</v>
      </c>
      <c r="G935" s="1193">
        <f>G934/M!$Q$14</f>
        <v>0.68066074571154223</v>
      </c>
      <c r="H935" s="1193">
        <f>H934/M!$Q$14</f>
        <v>0.76208446515242678</v>
      </c>
      <c r="I935" s="1193">
        <f>I934/M!$Q$14</f>
        <v>0.7993887242795279</v>
      </c>
      <c r="J935" s="1193">
        <f>J934/M!$Q$14</f>
        <v>0.63394074810284085</v>
      </c>
      <c r="K935" s="1193">
        <f>K934/M!$Q$14</f>
        <v>0.76907901373875809</v>
      </c>
      <c r="L935" s="1193">
        <f>L934/M!$Q$14</f>
        <v>0.84763317478525013</v>
      </c>
      <c r="M935" s="1193">
        <f>M934/M!$Q$14</f>
        <v>0.81884791714150151</v>
      </c>
      <c r="N935" s="1193">
        <f>N934/M!$Q$14</f>
        <v>0.89749175188781838</v>
      </c>
      <c r="O935" s="1193">
        <f>O934/M!$Q$14</f>
        <v>0.80430583215325258</v>
      </c>
      <c r="P935" s="1180">
        <f>O929/M!$Q$14</f>
        <v>4.7676517073498804E-3</v>
      </c>
      <c r="Q935" s="1235"/>
      <c r="R935" s="1235"/>
      <c r="S935" s="1235"/>
      <c r="T935" s="1235"/>
      <c r="U935" s="1235"/>
      <c r="V935" s="1235"/>
      <c r="W935" s="1235"/>
    </row>
    <row r="936" spans="1:23">
      <c r="A936" s="1235"/>
      <c r="B936" s="1235"/>
      <c r="C936" s="1235"/>
      <c r="D936" s="1235"/>
      <c r="E936" s="1235"/>
      <c r="F936" s="1235"/>
      <c r="G936" s="1235"/>
      <c r="H936" s="1235"/>
      <c r="I936" s="1235"/>
      <c r="J936" s="1235"/>
      <c r="K936" s="1235"/>
      <c r="L936" s="1235"/>
      <c r="M936" s="1235"/>
      <c r="N936" s="1235"/>
      <c r="O936" s="1235"/>
      <c r="P936" s="2205">
        <f>O930/M!$Q$14</f>
        <v>6.7255274868571982E-2</v>
      </c>
      <c r="Q936" s="1235"/>
      <c r="R936" s="1235"/>
      <c r="S936" s="1235"/>
      <c r="T936" s="1235"/>
      <c r="U936" s="1235"/>
      <c r="V936" s="1235"/>
      <c r="W936" s="1235"/>
    </row>
    <row r="937" spans="1:23">
      <c r="A937" s="1235"/>
      <c r="B937" s="1235"/>
      <c r="C937" s="1235"/>
      <c r="D937" s="1235"/>
      <c r="E937" s="1235"/>
      <c r="F937" s="1235"/>
      <c r="G937" s="1235"/>
      <c r="H937" s="1235"/>
      <c r="I937" s="1235"/>
      <c r="J937" s="1235"/>
      <c r="K937" s="1235"/>
      <c r="L937" s="1235"/>
      <c r="M937" s="1235"/>
      <c r="N937" s="1235"/>
      <c r="O937" s="1235"/>
      <c r="P937" s="2206"/>
      <c r="Q937" s="1235"/>
      <c r="R937" s="1235"/>
      <c r="S937" s="1235"/>
      <c r="T937" s="1235"/>
      <c r="U937" s="1235"/>
      <c r="V937" s="1235"/>
      <c r="W937" s="1235"/>
    </row>
    <row r="938" spans="1:23">
      <c r="A938" s="2195">
        <v>2014</v>
      </c>
      <c r="B938" s="2196"/>
      <c r="C938" s="2196"/>
      <c r="D938" s="2196"/>
      <c r="E938" s="2196"/>
      <c r="F938" s="2196"/>
      <c r="G938" s="2196"/>
      <c r="H938" s="2196"/>
      <c r="I938" s="2196"/>
      <c r="J938" s="2196"/>
      <c r="K938" s="2196"/>
      <c r="L938" s="2196"/>
      <c r="M938" s="2196"/>
      <c r="N938" s="2196"/>
      <c r="O938" s="2196"/>
      <c r="P938" s="1180">
        <f>O932/M!$Q$14</f>
        <v>6.7255274868571982E-2</v>
      </c>
      <c r="Q938" s="1235"/>
      <c r="R938" s="1235"/>
      <c r="S938" s="1235"/>
      <c r="T938" s="1235"/>
      <c r="U938" s="1235"/>
      <c r="V938" s="1235"/>
      <c r="W938" s="1235"/>
    </row>
    <row r="939" spans="1:23">
      <c r="A939" s="1171" t="s">
        <v>388</v>
      </c>
      <c r="B939" s="1172"/>
      <c r="C939" s="1173" t="s">
        <v>309</v>
      </c>
      <c r="D939" s="1173" t="s">
        <v>311</v>
      </c>
      <c r="E939" s="1173" t="s">
        <v>312</v>
      </c>
      <c r="F939" s="1173" t="s">
        <v>313</v>
      </c>
      <c r="G939" s="1173" t="s">
        <v>314</v>
      </c>
      <c r="H939" s="1173" t="s">
        <v>315</v>
      </c>
      <c r="I939" s="1173" t="s">
        <v>316</v>
      </c>
      <c r="J939" s="1173" t="s">
        <v>317</v>
      </c>
      <c r="K939" s="1173" t="s">
        <v>318</v>
      </c>
      <c r="L939" s="1173" t="s">
        <v>319</v>
      </c>
      <c r="M939" s="1173" t="s">
        <v>320</v>
      </c>
      <c r="N939" s="1173" t="s">
        <v>321</v>
      </c>
      <c r="O939" s="1174" t="s">
        <v>660</v>
      </c>
      <c r="P939" s="1180">
        <f>O933/M!$Q$14</f>
        <v>0</v>
      </c>
      <c r="Q939" s="1235"/>
      <c r="R939" s="1235"/>
      <c r="S939" s="1235"/>
      <c r="T939" s="1235"/>
      <c r="U939" s="1235"/>
      <c r="V939" s="1235"/>
      <c r="W939" s="1235"/>
    </row>
    <row r="940" spans="1:23">
      <c r="A940" s="2191" t="s">
        <v>56</v>
      </c>
      <c r="B940" s="2192"/>
      <c r="C940" s="2203">
        <f t="shared" ref="C940:I940" si="244">C942+ SUM(C948:C953)</f>
        <v>1829</v>
      </c>
      <c r="D940" s="2203">
        <f t="shared" si="244"/>
        <v>1649</v>
      </c>
      <c r="E940" s="2203">
        <f t="shared" si="244"/>
        <v>1649</v>
      </c>
      <c r="F940" s="2203">
        <f t="shared" si="244"/>
        <v>1649</v>
      </c>
      <c r="G940" s="2203">
        <f t="shared" si="244"/>
        <v>1649</v>
      </c>
      <c r="H940" s="2203">
        <f t="shared" si="244"/>
        <v>1891</v>
      </c>
      <c r="I940" s="2203">
        <f t="shared" si="244"/>
        <v>1854</v>
      </c>
      <c r="J940" s="2203">
        <f t="shared" ref="J940:O940" si="245">J942+ SUM(J948:J953)</f>
        <v>1649</v>
      </c>
      <c r="K940" s="2203">
        <f t="shared" si="245"/>
        <v>1649</v>
      </c>
      <c r="L940" s="2203">
        <f t="shared" si="245"/>
        <v>1649</v>
      </c>
      <c r="M940" s="2203">
        <f t="shared" si="245"/>
        <v>1649</v>
      </c>
      <c r="N940" s="2203">
        <f t="shared" si="245"/>
        <v>1649</v>
      </c>
      <c r="O940" s="2203">
        <f t="shared" si="245"/>
        <v>1701.25</v>
      </c>
      <c r="P940" s="1190">
        <f>O934/M!$Q$14</f>
        <v>0.80430583215325258</v>
      </c>
      <c r="Q940" s="1235"/>
      <c r="R940" s="1235"/>
      <c r="S940" s="1235"/>
      <c r="T940" s="1235"/>
      <c r="U940" s="1235"/>
      <c r="V940" s="1235"/>
      <c r="W940" s="1235"/>
    </row>
    <row r="941" spans="1:23">
      <c r="A941" s="2193"/>
      <c r="B941" s="2194"/>
      <c r="C941" s="2204"/>
      <c r="D941" s="2204"/>
      <c r="E941" s="2204"/>
      <c r="F941" s="2204"/>
      <c r="G941" s="2204"/>
      <c r="H941" s="2204"/>
      <c r="I941" s="2204"/>
      <c r="J941" s="2204"/>
      <c r="K941" s="2204"/>
      <c r="L941" s="2204"/>
      <c r="M941" s="2204"/>
      <c r="N941" s="2204"/>
      <c r="O941" s="2204"/>
      <c r="P941" s="1194"/>
      <c r="Q941" s="1235"/>
      <c r="R941" s="1235"/>
      <c r="S941" s="1235"/>
      <c r="T941" s="1235"/>
      <c r="U941" s="1235"/>
      <c r="V941" s="1235"/>
      <c r="W941" s="1235"/>
    </row>
    <row r="942" spans="1:23">
      <c r="A942" s="2217"/>
      <c r="B942" s="1176" t="s">
        <v>662</v>
      </c>
      <c r="C942" s="1228">
        <v>1057</v>
      </c>
      <c r="D942" s="1228">
        <v>1057</v>
      </c>
      <c r="E942" s="1228">
        <v>1057</v>
      </c>
      <c r="F942" s="1228">
        <v>1057</v>
      </c>
      <c r="G942" s="1228">
        <v>1057</v>
      </c>
      <c r="H942" s="1228">
        <v>1057</v>
      </c>
      <c r="I942" s="1229">
        <v>1057</v>
      </c>
      <c r="J942" s="1229">
        <v>1057</v>
      </c>
      <c r="K942" s="1229">
        <v>1057</v>
      </c>
      <c r="L942" s="1229">
        <v>1057</v>
      </c>
      <c r="M942" s="1229">
        <v>1057</v>
      </c>
      <c r="N942" s="1229">
        <v>1057</v>
      </c>
      <c r="O942" s="1179">
        <f t="shared" ref="O942:O953" si="246">SUM(C942:N942)/12</f>
        <v>1057</v>
      </c>
      <c r="P942" s="1235"/>
      <c r="Q942" s="1235"/>
      <c r="R942" s="1235"/>
      <c r="S942" s="1235"/>
      <c r="T942" s="1235"/>
      <c r="U942" s="1235"/>
      <c r="V942" s="1235"/>
      <c r="W942" s="1235"/>
    </row>
    <row r="943" spans="1:23">
      <c r="A943" s="2218"/>
      <c r="B943" s="1176" t="s">
        <v>663</v>
      </c>
      <c r="C943" s="1178">
        <v>657</v>
      </c>
      <c r="D943" s="1178">
        <v>657</v>
      </c>
      <c r="E943" s="1178">
        <v>657</v>
      </c>
      <c r="F943" s="1178">
        <v>657</v>
      </c>
      <c r="G943" s="1178">
        <v>657</v>
      </c>
      <c r="H943" s="1178">
        <v>657</v>
      </c>
      <c r="I943" s="1178">
        <v>657</v>
      </c>
      <c r="J943" s="1178">
        <v>657</v>
      </c>
      <c r="K943" s="1178">
        <v>657</v>
      </c>
      <c r="L943" s="1178">
        <v>657</v>
      </c>
      <c r="M943" s="1178">
        <v>657</v>
      </c>
      <c r="N943" s="1178">
        <v>657</v>
      </c>
      <c r="O943" s="1179">
        <f t="shared" si="246"/>
        <v>657</v>
      </c>
      <c r="P943" s="1235"/>
      <c r="Q943" s="1235"/>
      <c r="R943" s="1235"/>
      <c r="S943" s="1235"/>
      <c r="T943" s="1235"/>
      <c r="U943" s="1235"/>
      <c r="V943" s="1235"/>
      <c r="W943" s="1235"/>
    </row>
    <row r="944" spans="1:23">
      <c r="A944" s="2218"/>
      <c r="B944" s="1176" t="s">
        <v>664</v>
      </c>
      <c r="C944" s="1178">
        <v>400</v>
      </c>
      <c r="D944" s="1178">
        <v>400</v>
      </c>
      <c r="E944" s="1178">
        <v>400</v>
      </c>
      <c r="F944" s="1178">
        <v>400</v>
      </c>
      <c r="G944" s="1178">
        <v>400</v>
      </c>
      <c r="H944" s="1178">
        <v>400</v>
      </c>
      <c r="I944" s="1178">
        <v>400</v>
      </c>
      <c r="J944" s="1178">
        <v>400</v>
      </c>
      <c r="K944" s="1178">
        <v>400</v>
      </c>
      <c r="L944" s="1178">
        <v>400</v>
      </c>
      <c r="M944" s="1178">
        <v>400</v>
      </c>
      <c r="N944" s="1178">
        <v>400</v>
      </c>
      <c r="O944" s="1179">
        <f t="shared" si="246"/>
        <v>400</v>
      </c>
      <c r="P944" s="2197"/>
      <c r="Q944" s="1235"/>
      <c r="R944" s="1235"/>
      <c r="S944" s="1235"/>
      <c r="T944" s="1235"/>
      <c r="U944" s="1235"/>
      <c r="V944" s="1235"/>
      <c r="W944" s="1235"/>
    </row>
    <row r="945" spans="1:23">
      <c r="A945" s="2218"/>
      <c r="B945" s="1176" t="s">
        <v>450</v>
      </c>
      <c r="C945" s="1178">
        <v>0</v>
      </c>
      <c r="D945" s="1178">
        <v>0</v>
      </c>
      <c r="E945" s="1178">
        <v>0</v>
      </c>
      <c r="F945" s="1178">
        <v>0</v>
      </c>
      <c r="G945" s="1178">
        <v>0</v>
      </c>
      <c r="H945" s="1178">
        <v>0</v>
      </c>
      <c r="I945" s="1178">
        <v>0</v>
      </c>
      <c r="J945" s="1178">
        <v>0</v>
      </c>
      <c r="K945" s="1178">
        <v>0</v>
      </c>
      <c r="L945" s="1178">
        <v>0</v>
      </c>
      <c r="M945" s="1178">
        <v>0</v>
      </c>
      <c r="N945" s="1178">
        <v>0</v>
      </c>
      <c r="O945" s="1179">
        <f t="shared" si="246"/>
        <v>0</v>
      </c>
      <c r="P945" s="1175" t="s">
        <v>661</v>
      </c>
      <c r="Q945" s="1235"/>
      <c r="R945" s="1235"/>
      <c r="S945" s="1235"/>
      <c r="T945" s="1235"/>
      <c r="U945" s="1235"/>
      <c r="V945" s="1235"/>
      <c r="W945" s="1235"/>
    </row>
    <row r="946" spans="1:23">
      <c r="A946" s="2218"/>
      <c r="B946" s="1176" t="s">
        <v>665</v>
      </c>
      <c r="C946" s="1178">
        <v>0</v>
      </c>
      <c r="D946" s="1178">
        <v>0</v>
      </c>
      <c r="E946" s="1178">
        <v>0</v>
      </c>
      <c r="F946" s="1178">
        <v>0</v>
      </c>
      <c r="G946" s="1178">
        <v>0</v>
      </c>
      <c r="H946" s="1178">
        <v>0</v>
      </c>
      <c r="I946" s="1178">
        <v>0</v>
      </c>
      <c r="J946" s="1178">
        <v>0</v>
      </c>
      <c r="K946" s="1178">
        <v>0</v>
      </c>
      <c r="L946" s="1178">
        <v>0</v>
      </c>
      <c r="M946" s="1178">
        <v>0</v>
      </c>
      <c r="N946" s="1178">
        <v>0</v>
      </c>
      <c r="O946" s="1179">
        <f t="shared" si="246"/>
        <v>0</v>
      </c>
      <c r="P946" s="2205">
        <f>O940/M!$Q$14</f>
        <v>0.15255738182687745</v>
      </c>
      <c r="Q946" s="1235"/>
      <c r="R946" s="1235"/>
      <c r="S946" s="1235"/>
      <c r="T946" s="1235"/>
      <c r="U946" s="1235"/>
      <c r="V946" s="1235"/>
      <c r="W946" s="1235"/>
    </row>
    <row r="947" spans="1:23">
      <c r="A947" s="2218"/>
      <c r="B947" s="1176" t="s">
        <v>664</v>
      </c>
      <c r="C947" s="1178">
        <v>0</v>
      </c>
      <c r="D947" s="1178">
        <v>0</v>
      </c>
      <c r="E947" s="1178">
        <v>0</v>
      </c>
      <c r="F947" s="1178">
        <v>0</v>
      </c>
      <c r="G947" s="1178">
        <v>0</v>
      </c>
      <c r="H947" s="1178">
        <v>0</v>
      </c>
      <c r="I947" s="1178">
        <v>0</v>
      </c>
      <c r="J947" s="1178">
        <v>0</v>
      </c>
      <c r="K947" s="1178">
        <v>0</v>
      </c>
      <c r="L947" s="1178">
        <v>0</v>
      </c>
      <c r="M947" s="1178">
        <v>0</v>
      </c>
      <c r="N947" s="1178">
        <v>0</v>
      </c>
      <c r="O947" s="1179">
        <f t="shared" si="246"/>
        <v>0</v>
      </c>
      <c r="P947" s="2206"/>
      <c r="Q947" s="1235"/>
      <c r="R947" s="1235"/>
      <c r="S947" s="1235"/>
      <c r="T947" s="1235"/>
      <c r="U947" s="1235"/>
      <c r="V947" s="1235"/>
      <c r="W947" s="1235"/>
    </row>
    <row r="948" spans="1:23">
      <c r="A948" s="2218"/>
      <c r="B948" s="1176" t="s">
        <v>287</v>
      </c>
      <c r="C948" s="1178">
        <v>303</v>
      </c>
      <c r="D948" s="1178">
        <v>303</v>
      </c>
      <c r="E948" s="1178">
        <v>303</v>
      </c>
      <c r="F948" s="1178">
        <v>303</v>
      </c>
      <c r="G948" s="1178">
        <v>303</v>
      </c>
      <c r="H948" s="1178">
        <v>303</v>
      </c>
      <c r="I948" s="1178">
        <v>303</v>
      </c>
      <c r="J948" s="1178">
        <v>303</v>
      </c>
      <c r="K948" s="1178">
        <v>303</v>
      </c>
      <c r="L948" s="1178">
        <v>303</v>
      </c>
      <c r="M948" s="1178">
        <v>303</v>
      </c>
      <c r="N948" s="1178">
        <v>303</v>
      </c>
      <c r="O948" s="1179">
        <f t="shared" si="246"/>
        <v>303</v>
      </c>
      <c r="P948" s="1180">
        <f>O942/M!$Q$14</f>
        <v>9.4785100714774126E-2</v>
      </c>
      <c r="Q948" s="1235"/>
      <c r="R948" s="1235"/>
      <c r="S948" s="1235"/>
      <c r="T948" s="1235"/>
      <c r="U948" s="1235"/>
      <c r="V948" s="1235"/>
      <c r="W948" s="1235"/>
    </row>
    <row r="949" spans="1:23">
      <c r="A949" s="2218"/>
      <c r="B949" s="1176" t="s">
        <v>453</v>
      </c>
      <c r="C949" s="1178">
        <v>0</v>
      </c>
      <c r="D949" s="1178">
        <v>0</v>
      </c>
      <c r="E949" s="1178">
        <v>0</v>
      </c>
      <c r="F949" s="1178">
        <v>0</v>
      </c>
      <c r="G949" s="1178">
        <v>0</v>
      </c>
      <c r="H949" s="1178">
        <v>0</v>
      </c>
      <c r="I949" s="1178">
        <v>0</v>
      </c>
      <c r="J949" s="1178">
        <v>0</v>
      </c>
      <c r="K949" s="1178">
        <v>0</v>
      </c>
      <c r="L949" s="1178">
        <v>0</v>
      </c>
      <c r="M949" s="1178">
        <v>0</v>
      </c>
      <c r="N949" s="1178">
        <v>0</v>
      </c>
      <c r="O949" s="1179">
        <f t="shared" si="246"/>
        <v>0</v>
      </c>
      <c r="P949" s="1180">
        <f>O943/M!$Q$14</f>
        <v>5.8915620784869061E-2</v>
      </c>
      <c r="Q949" s="1235"/>
      <c r="R949" s="1235"/>
      <c r="S949" s="1235"/>
      <c r="T949" s="1235"/>
      <c r="U949" s="1235"/>
      <c r="V949" s="1235"/>
      <c r="W949" s="1235"/>
    </row>
    <row r="950" spans="1:23">
      <c r="A950" s="2218"/>
      <c r="B950" s="1176" t="s">
        <v>400</v>
      </c>
      <c r="C950" s="1178">
        <v>0</v>
      </c>
      <c r="D950" s="1178">
        <v>0</v>
      </c>
      <c r="E950" s="1178">
        <v>0</v>
      </c>
      <c r="F950" s="1178">
        <v>0</v>
      </c>
      <c r="G950" s="1178">
        <v>0</v>
      </c>
      <c r="H950" s="1178">
        <v>242</v>
      </c>
      <c r="I950" s="1178">
        <v>0</v>
      </c>
      <c r="J950" s="1178">
        <v>0</v>
      </c>
      <c r="K950" s="1178">
        <v>0</v>
      </c>
      <c r="L950" s="1178">
        <v>0</v>
      </c>
      <c r="M950" s="1178">
        <v>0</v>
      </c>
      <c r="N950" s="1178">
        <v>0</v>
      </c>
      <c r="O950" s="1179">
        <f t="shared" si="246"/>
        <v>20.166666666666668</v>
      </c>
      <c r="P950" s="1180">
        <f>O944/M!$Q$14</f>
        <v>3.5869479929905058E-2</v>
      </c>
      <c r="Q950" s="1235"/>
      <c r="R950" s="1235"/>
      <c r="S950" s="1235"/>
      <c r="T950" s="1235"/>
      <c r="U950" s="1235"/>
      <c r="V950" s="1235"/>
      <c r="W950" s="1235"/>
    </row>
    <row r="951" spans="1:23">
      <c r="A951" s="2218"/>
      <c r="B951" s="1176" t="s">
        <v>401</v>
      </c>
      <c r="C951" s="1178">
        <v>289</v>
      </c>
      <c r="D951" s="1178">
        <v>289</v>
      </c>
      <c r="E951" s="1178">
        <v>289</v>
      </c>
      <c r="F951" s="1178">
        <v>289</v>
      </c>
      <c r="G951" s="1178">
        <v>289</v>
      </c>
      <c r="H951" s="1178">
        <v>289</v>
      </c>
      <c r="I951" s="1178">
        <v>289</v>
      </c>
      <c r="J951" s="1178">
        <v>289</v>
      </c>
      <c r="K951" s="1178">
        <v>289</v>
      </c>
      <c r="L951" s="1178">
        <v>289</v>
      </c>
      <c r="M951" s="1178">
        <v>289</v>
      </c>
      <c r="N951" s="1178">
        <v>289</v>
      </c>
      <c r="O951" s="1179">
        <f t="shared" si="246"/>
        <v>289</v>
      </c>
      <c r="P951" s="1180">
        <f>O945/M!$Q$14</f>
        <v>0</v>
      </c>
      <c r="Q951" s="1235"/>
      <c r="R951" s="1235"/>
      <c r="S951" s="1235"/>
      <c r="T951" s="1235"/>
      <c r="U951" s="1235"/>
      <c r="V951" s="1235"/>
      <c r="W951" s="1235"/>
    </row>
    <row r="952" spans="1:23">
      <c r="A952" s="2218"/>
      <c r="B952" s="1176" t="s">
        <v>402</v>
      </c>
      <c r="C952" s="1178">
        <v>0</v>
      </c>
      <c r="D952" s="1178">
        <v>0</v>
      </c>
      <c r="E952" s="1178">
        <v>0</v>
      </c>
      <c r="F952" s="1178">
        <v>0</v>
      </c>
      <c r="G952" s="1178">
        <v>0</v>
      </c>
      <c r="H952" s="1178">
        <v>0</v>
      </c>
      <c r="I952" s="1178">
        <v>0</v>
      </c>
      <c r="J952" s="1178">
        <v>0</v>
      </c>
      <c r="K952" s="1178">
        <v>0</v>
      </c>
      <c r="L952" s="1178">
        <v>0</v>
      </c>
      <c r="M952" s="1178">
        <v>0</v>
      </c>
      <c r="N952" s="1178">
        <v>0</v>
      </c>
      <c r="O952" s="1179">
        <f t="shared" si="246"/>
        <v>0</v>
      </c>
      <c r="P952" s="1180">
        <f>O946/M!$Q$14</f>
        <v>0</v>
      </c>
      <c r="Q952" s="1235"/>
      <c r="R952" s="1235"/>
      <c r="S952" s="1235"/>
      <c r="T952" s="1235"/>
      <c r="U952" s="1235"/>
      <c r="V952" s="1235"/>
      <c r="W952" s="1235"/>
    </row>
    <row r="953" spans="1:23">
      <c r="A953" s="2219"/>
      <c r="B953" s="1176" t="s">
        <v>403</v>
      </c>
      <c r="C953" s="1178">
        <v>180</v>
      </c>
      <c r="D953" s="1178">
        <v>0</v>
      </c>
      <c r="E953" s="1178">
        <v>0</v>
      </c>
      <c r="F953" s="1178">
        <v>0</v>
      </c>
      <c r="G953" s="1178">
        <v>0</v>
      </c>
      <c r="H953" s="1178">
        <v>0</v>
      </c>
      <c r="I953" s="1178">
        <v>205</v>
      </c>
      <c r="J953" s="1178">
        <v>0</v>
      </c>
      <c r="K953" s="1178">
        <v>0</v>
      </c>
      <c r="L953" s="1178">
        <v>0</v>
      </c>
      <c r="M953" s="1178">
        <v>0</v>
      </c>
      <c r="N953" s="1178">
        <v>0</v>
      </c>
      <c r="O953" s="1179">
        <f t="shared" si="246"/>
        <v>32.083333333333336</v>
      </c>
      <c r="P953" s="1180">
        <f>O947/M!$Q$14</f>
        <v>0</v>
      </c>
      <c r="Q953" s="1235"/>
      <c r="R953" s="1235"/>
      <c r="S953" s="1235"/>
      <c r="T953" s="1235"/>
      <c r="U953" s="1235"/>
      <c r="V953" s="1235"/>
      <c r="W953" s="1235"/>
    </row>
    <row r="954" spans="1:23">
      <c r="A954" s="2191" t="s">
        <v>276</v>
      </c>
      <c r="B954" s="2192"/>
      <c r="C954" s="2203">
        <f t="shared" ref="C954:N954" si="247">SUM(C956:C961)</f>
        <v>772</v>
      </c>
      <c r="D954" s="2203">
        <f t="shared" si="247"/>
        <v>561</v>
      </c>
      <c r="E954" s="2203">
        <f t="shared" si="247"/>
        <v>590</v>
      </c>
      <c r="F954" s="2203">
        <f t="shared" si="247"/>
        <v>561</v>
      </c>
      <c r="G954" s="2203">
        <f t="shared" si="247"/>
        <v>593</v>
      </c>
      <c r="H954" s="2203">
        <f t="shared" si="247"/>
        <v>576</v>
      </c>
      <c r="I954" s="2203">
        <f t="shared" si="247"/>
        <v>2077</v>
      </c>
      <c r="J954" s="2203">
        <f t="shared" si="247"/>
        <v>561</v>
      </c>
      <c r="K954" s="2203">
        <f t="shared" si="247"/>
        <v>653</v>
      </c>
      <c r="L954" s="2203">
        <f t="shared" si="247"/>
        <v>924</v>
      </c>
      <c r="M954" s="2203">
        <f t="shared" si="247"/>
        <v>561</v>
      </c>
      <c r="N954" s="2203">
        <f t="shared" si="247"/>
        <v>91</v>
      </c>
      <c r="O954" s="2203">
        <f>SUM(O956:O961)</f>
        <v>710</v>
      </c>
      <c r="P954" s="1180">
        <f>O948/M!$Q$14</f>
        <v>2.7171131046903083E-2</v>
      </c>
      <c r="Q954" s="1235"/>
      <c r="R954" s="1235"/>
      <c r="S954" s="1235"/>
      <c r="T954" s="1235"/>
      <c r="U954" s="1235"/>
      <c r="V954" s="1235"/>
      <c r="W954" s="1235"/>
    </row>
    <row r="955" spans="1:23">
      <c r="A955" s="2193"/>
      <c r="B955" s="2194"/>
      <c r="C955" s="2204"/>
      <c r="D955" s="2204"/>
      <c r="E955" s="2204"/>
      <c r="F955" s="2204"/>
      <c r="G955" s="2204"/>
      <c r="H955" s="2204"/>
      <c r="I955" s="2204"/>
      <c r="J955" s="2204"/>
      <c r="K955" s="2204"/>
      <c r="L955" s="2204"/>
      <c r="M955" s="2204"/>
      <c r="N955" s="2204"/>
      <c r="O955" s="2204"/>
      <c r="P955" s="1180">
        <f>O949/M!$Q$14</f>
        <v>0</v>
      </c>
      <c r="Q955" s="1235"/>
      <c r="R955" s="1235"/>
      <c r="S955" s="1235"/>
      <c r="T955" s="1235"/>
      <c r="U955" s="1235"/>
      <c r="V955" s="1235"/>
      <c r="W955" s="1235"/>
    </row>
    <row r="956" spans="1:23">
      <c r="A956" s="2217"/>
      <c r="B956" s="1176" t="s">
        <v>666</v>
      </c>
      <c r="C956" s="1227">
        <v>470</v>
      </c>
      <c r="D956" s="1227">
        <v>470</v>
      </c>
      <c r="E956" s="1227">
        <v>470</v>
      </c>
      <c r="F956" s="1227">
        <v>470</v>
      </c>
      <c r="G956" s="1227">
        <v>470</v>
      </c>
      <c r="H956" s="1227">
        <v>470</v>
      </c>
      <c r="I956" s="1227">
        <v>470</v>
      </c>
      <c r="J956" s="1227">
        <v>470</v>
      </c>
      <c r="K956" s="1227">
        <v>470</v>
      </c>
      <c r="L956" s="1227">
        <v>470</v>
      </c>
      <c r="M956" s="1227">
        <v>470</v>
      </c>
      <c r="N956" s="1227">
        <v>0</v>
      </c>
      <c r="O956" s="1179">
        <f t="shared" ref="O956:O961" si="248">SUM(C956:N956)/12</f>
        <v>430.83333333333331</v>
      </c>
      <c r="P956" s="1180">
        <f>O950/M!$Q$14</f>
        <v>1.8084196131327136E-3</v>
      </c>
      <c r="Q956" s="1235"/>
      <c r="R956" s="1235"/>
      <c r="S956" s="1235"/>
      <c r="T956" s="1235"/>
      <c r="U956" s="1235"/>
      <c r="V956" s="1235"/>
      <c r="W956" s="1235"/>
    </row>
    <row r="957" spans="1:23">
      <c r="A957" s="2218"/>
      <c r="B957" s="1176" t="s">
        <v>400</v>
      </c>
      <c r="C957" s="1177">
        <v>91</v>
      </c>
      <c r="D957" s="1177">
        <v>91</v>
      </c>
      <c r="E957" s="1177">
        <v>91</v>
      </c>
      <c r="F957" s="1177">
        <v>91</v>
      </c>
      <c r="G957" s="1177">
        <v>91</v>
      </c>
      <c r="H957" s="1177">
        <v>91</v>
      </c>
      <c r="I957" s="1178">
        <v>91</v>
      </c>
      <c r="J957" s="1178">
        <v>91</v>
      </c>
      <c r="K957" s="1178">
        <v>91</v>
      </c>
      <c r="L957" s="1178">
        <v>91</v>
      </c>
      <c r="M957" s="1178">
        <v>91</v>
      </c>
      <c r="N957" s="1178">
        <v>91</v>
      </c>
      <c r="O957" s="1179">
        <f t="shared" si="248"/>
        <v>91</v>
      </c>
      <c r="P957" s="1180">
        <f>O951/M!$Q$14</f>
        <v>2.5915699249356407E-2</v>
      </c>
      <c r="Q957" s="1235"/>
      <c r="R957" s="1235"/>
      <c r="S957" s="1235"/>
      <c r="T957" s="1235"/>
      <c r="U957" s="1235"/>
      <c r="V957" s="1235"/>
      <c r="W957" s="1235"/>
    </row>
    <row r="958" spans="1:23">
      <c r="A958" s="2218"/>
      <c r="B958" s="1176" t="s">
        <v>454</v>
      </c>
      <c r="C958" s="1177">
        <v>0</v>
      </c>
      <c r="D958" s="1177">
        <v>0</v>
      </c>
      <c r="E958" s="1177">
        <v>29</v>
      </c>
      <c r="F958" s="1177">
        <v>0</v>
      </c>
      <c r="G958" s="1177">
        <v>0</v>
      </c>
      <c r="H958" s="1177">
        <v>0</v>
      </c>
      <c r="I958" s="1178">
        <v>35</v>
      </c>
      <c r="J958" s="1178">
        <v>0</v>
      </c>
      <c r="K958" s="1178">
        <v>0</v>
      </c>
      <c r="L958" s="1178">
        <v>0</v>
      </c>
      <c r="M958" s="1178">
        <v>0</v>
      </c>
      <c r="N958" s="1178">
        <v>0</v>
      </c>
      <c r="O958" s="1179">
        <f t="shared" si="248"/>
        <v>5.333333333333333</v>
      </c>
      <c r="P958" s="1180">
        <f>O952/M!$Q$14</f>
        <v>0</v>
      </c>
      <c r="Q958" s="1235"/>
      <c r="R958" s="1235"/>
      <c r="S958" s="1235"/>
      <c r="T958" s="1235"/>
      <c r="U958" s="1235"/>
      <c r="V958" s="1235"/>
      <c r="W958" s="1235"/>
    </row>
    <row r="959" spans="1:23">
      <c r="A959" s="2218"/>
      <c r="B959" s="1176" t="s">
        <v>407</v>
      </c>
      <c r="C959" s="1177">
        <v>0</v>
      </c>
      <c r="D959" s="1177">
        <v>0</v>
      </c>
      <c r="E959" s="1177">
        <v>0</v>
      </c>
      <c r="F959" s="1177">
        <v>0</v>
      </c>
      <c r="G959" s="1177">
        <v>7</v>
      </c>
      <c r="H959" s="1177">
        <v>0</v>
      </c>
      <c r="I959" s="1178">
        <v>0</v>
      </c>
      <c r="J959" s="1178">
        <v>0</v>
      </c>
      <c r="K959" s="1178">
        <v>0</v>
      </c>
      <c r="L959" s="1178">
        <v>0</v>
      </c>
      <c r="M959" s="1178">
        <v>0</v>
      </c>
      <c r="N959" s="1178">
        <v>0</v>
      </c>
      <c r="O959" s="1179">
        <f t="shared" si="248"/>
        <v>0.58333333333333337</v>
      </c>
      <c r="P959" s="1180">
        <f>O953/M!$Q$14</f>
        <v>2.8770312027111352E-3</v>
      </c>
      <c r="Q959" s="1235"/>
      <c r="R959" s="1235"/>
      <c r="S959" s="1235"/>
      <c r="T959" s="1235"/>
      <c r="U959" s="1235"/>
      <c r="V959" s="1235"/>
      <c r="W959" s="1235"/>
    </row>
    <row r="960" spans="1:23">
      <c r="A960" s="2218"/>
      <c r="B960" s="1176" t="s">
        <v>408</v>
      </c>
      <c r="C960" s="1177">
        <v>83</v>
      </c>
      <c r="D960" s="1177">
        <v>0</v>
      </c>
      <c r="E960" s="1177">
        <v>0</v>
      </c>
      <c r="F960" s="1177">
        <v>0</v>
      </c>
      <c r="G960" s="1177">
        <v>18</v>
      </c>
      <c r="H960" s="1177">
        <v>15</v>
      </c>
      <c r="I960" s="1178">
        <v>1481</v>
      </c>
      <c r="J960" s="1178">
        <v>0</v>
      </c>
      <c r="K960" s="1178">
        <v>85</v>
      </c>
      <c r="L960" s="1178">
        <v>85</v>
      </c>
      <c r="M960" s="1178">
        <v>0</v>
      </c>
      <c r="N960" s="1178">
        <v>0</v>
      </c>
      <c r="O960" s="1179">
        <f t="shared" si="248"/>
        <v>147.25</v>
      </c>
      <c r="P960" s="2205">
        <f>O954/M!$Q$14</f>
        <v>6.366832687558148E-2</v>
      </c>
      <c r="Q960" s="1235"/>
      <c r="R960" s="1235"/>
      <c r="S960" s="1235"/>
      <c r="T960" s="1235"/>
      <c r="U960" s="1235"/>
      <c r="V960" s="1235"/>
      <c r="W960" s="1235"/>
    </row>
    <row r="961" spans="1:23">
      <c r="A961" s="2219"/>
      <c r="B961" s="1176" t="s">
        <v>409</v>
      </c>
      <c r="C961" s="1177">
        <v>128</v>
      </c>
      <c r="D961" s="1177">
        <v>0</v>
      </c>
      <c r="E961" s="1177">
        <v>0</v>
      </c>
      <c r="F961" s="1177">
        <v>0</v>
      </c>
      <c r="G961" s="1177">
        <v>7</v>
      </c>
      <c r="H961" s="1177">
        <v>0</v>
      </c>
      <c r="I961" s="1178">
        <v>0</v>
      </c>
      <c r="J961" s="1178">
        <v>0</v>
      </c>
      <c r="K961" s="1178">
        <v>7</v>
      </c>
      <c r="L961" s="1178">
        <v>278</v>
      </c>
      <c r="M961" s="1178">
        <v>0</v>
      </c>
      <c r="N961" s="1178">
        <v>0</v>
      </c>
      <c r="O961" s="1179">
        <f t="shared" si="248"/>
        <v>35</v>
      </c>
      <c r="P961" s="2206"/>
      <c r="Q961" s="1235"/>
      <c r="R961" s="1235"/>
      <c r="S961" s="1235"/>
      <c r="T961" s="1235"/>
      <c r="U961" s="1235"/>
      <c r="V961" s="1235"/>
      <c r="W961" s="1235"/>
    </row>
    <row r="962" spans="1:23">
      <c r="A962" s="2191" t="s">
        <v>277</v>
      </c>
      <c r="B962" s="2192"/>
      <c r="C962" s="2203">
        <f t="shared" ref="C962:N962" si="249">SUM(C964:C967)</f>
        <v>417</v>
      </c>
      <c r="D962" s="2203">
        <f t="shared" si="249"/>
        <v>384</v>
      </c>
      <c r="E962" s="2203">
        <f t="shared" si="249"/>
        <v>326</v>
      </c>
      <c r="F962" s="2203">
        <f t="shared" si="249"/>
        <v>648</v>
      </c>
      <c r="G962" s="2203">
        <f t="shared" si="249"/>
        <v>465</v>
      </c>
      <c r="H962" s="2203">
        <f t="shared" si="249"/>
        <v>363</v>
      </c>
      <c r="I962" s="2203">
        <f t="shared" si="249"/>
        <v>322</v>
      </c>
      <c r="J962" s="2203">
        <f t="shared" si="249"/>
        <v>459</v>
      </c>
      <c r="K962" s="2203">
        <f t="shared" si="249"/>
        <v>414</v>
      </c>
      <c r="L962" s="2203">
        <f t="shared" si="249"/>
        <v>317</v>
      </c>
      <c r="M962" s="2203">
        <f t="shared" si="249"/>
        <v>897</v>
      </c>
      <c r="N962" s="2203">
        <f t="shared" si="249"/>
        <v>298</v>
      </c>
      <c r="O962" s="2203">
        <f>SUM(O964:O967)</f>
        <v>442.5</v>
      </c>
      <c r="P962" s="1180">
        <f>O956/M!$Q$14</f>
        <v>3.8634419007835243E-2</v>
      </c>
      <c r="Q962" s="1235"/>
      <c r="R962" s="1235"/>
      <c r="S962" s="1235"/>
      <c r="T962" s="1235"/>
      <c r="U962" s="1235"/>
      <c r="V962" s="1235"/>
      <c r="W962" s="1235"/>
    </row>
    <row r="963" spans="1:23">
      <c r="A963" s="2193"/>
      <c r="B963" s="2194"/>
      <c r="C963" s="2204"/>
      <c r="D963" s="2204"/>
      <c r="E963" s="2204"/>
      <c r="F963" s="2204"/>
      <c r="G963" s="2204"/>
      <c r="H963" s="2204"/>
      <c r="I963" s="2204"/>
      <c r="J963" s="2204"/>
      <c r="K963" s="2204"/>
      <c r="L963" s="2204"/>
      <c r="M963" s="2204"/>
      <c r="N963" s="2204"/>
      <c r="O963" s="2204"/>
      <c r="P963" s="1180">
        <f>O957/M!$Q$14</f>
        <v>8.1603066840534016E-3</v>
      </c>
      <c r="Q963" s="1235"/>
      <c r="R963" s="1235"/>
      <c r="S963" s="1235"/>
      <c r="T963" s="1235"/>
      <c r="U963" s="1235"/>
      <c r="V963" s="1235"/>
      <c r="W963" s="1235"/>
    </row>
    <row r="964" spans="1:23">
      <c r="A964" s="2217"/>
      <c r="B964" s="1176" t="s">
        <v>410</v>
      </c>
      <c r="C964" s="1177">
        <v>277</v>
      </c>
      <c r="D964" s="1177">
        <v>339</v>
      </c>
      <c r="E964" s="1177">
        <v>320</v>
      </c>
      <c r="F964" s="1177">
        <v>109</v>
      </c>
      <c r="G964" s="1177">
        <v>391</v>
      </c>
      <c r="H964" s="1177">
        <v>326</v>
      </c>
      <c r="I964" s="1178">
        <v>236</v>
      </c>
      <c r="J964" s="1178">
        <v>401</v>
      </c>
      <c r="K964" s="1178">
        <v>331</v>
      </c>
      <c r="L964" s="1178">
        <v>220</v>
      </c>
      <c r="M964" s="1178">
        <v>737</v>
      </c>
      <c r="N964" s="1178">
        <v>238</v>
      </c>
      <c r="O964" s="1179">
        <f>SUM(C964:N964)/12</f>
        <v>327.08333333333331</v>
      </c>
      <c r="P964" s="1180">
        <f>O958/M!$Q$14</f>
        <v>4.7825973239873408E-4</v>
      </c>
      <c r="Q964" s="1235"/>
      <c r="R964" s="1235"/>
      <c r="S964" s="1235"/>
      <c r="T964" s="1235"/>
      <c r="U964" s="1235"/>
      <c r="V964" s="1235"/>
      <c r="W964" s="1235"/>
    </row>
    <row r="965" spans="1:23">
      <c r="A965" s="2218"/>
      <c r="B965" s="1176" t="s">
        <v>457</v>
      </c>
      <c r="C965" s="1177">
        <v>60</v>
      </c>
      <c r="D965" s="1177">
        <v>0</v>
      </c>
      <c r="E965" s="1177">
        <v>0</v>
      </c>
      <c r="F965" s="1177">
        <v>425</v>
      </c>
      <c r="G965" s="1177">
        <v>29</v>
      </c>
      <c r="H965" s="1177">
        <v>0</v>
      </c>
      <c r="I965" s="1178">
        <v>41</v>
      </c>
      <c r="J965" s="1178">
        <v>0</v>
      </c>
      <c r="K965" s="1178">
        <v>0</v>
      </c>
      <c r="L965" s="1178">
        <v>52</v>
      </c>
      <c r="M965" s="1178">
        <v>105</v>
      </c>
      <c r="N965" s="1178">
        <v>0</v>
      </c>
      <c r="O965" s="1179">
        <f>SUM(C965:N965)/12</f>
        <v>59.333333333333336</v>
      </c>
      <c r="P965" s="1180">
        <f>O959/M!$Q$14</f>
        <v>5.2309658231111547E-5</v>
      </c>
      <c r="Q965" s="1235"/>
      <c r="R965" s="1235"/>
      <c r="S965" s="1235"/>
      <c r="T965" s="1235"/>
      <c r="U965" s="1235"/>
      <c r="V965" s="1235"/>
      <c r="W965" s="1235"/>
    </row>
    <row r="966" spans="1:23">
      <c r="A966" s="2218"/>
      <c r="B966" s="1176" t="s">
        <v>458</v>
      </c>
      <c r="C966" s="1177">
        <v>45</v>
      </c>
      <c r="D966" s="1177">
        <v>0</v>
      </c>
      <c r="E966" s="1177">
        <v>6</v>
      </c>
      <c r="F966" s="1177">
        <v>114</v>
      </c>
      <c r="G966" s="1177">
        <v>20</v>
      </c>
      <c r="H966" s="1177">
        <v>12</v>
      </c>
      <c r="I966" s="1178">
        <v>0</v>
      </c>
      <c r="J966" s="1178">
        <v>7</v>
      </c>
      <c r="K966" s="1178">
        <v>33</v>
      </c>
      <c r="L966" s="1178">
        <v>0</v>
      </c>
      <c r="M966" s="1178">
        <v>0</v>
      </c>
      <c r="N966" s="1178">
        <v>35</v>
      </c>
      <c r="O966" s="1179">
        <f>SUM(C966:N966)/12</f>
        <v>22.666666666666668</v>
      </c>
      <c r="P966" s="1180">
        <f>O960/M!$Q$14</f>
        <v>1.32044522991963E-2</v>
      </c>
      <c r="Q966" s="1235"/>
      <c r="R966" s="1235"/>
      <c r="S966" s="1235"/>
      <c r="T966" s="1235"/>
      <c r="U966" s="1235"/>
      <c r="V966" s="1235"/>
      <c r="W966" s="1235"/>
    </row>
    <row r="967" spans="1:23">
      <c r="A967" s="2219"/>
      <c r="B967" s="1176" t="s">
        <v>459</v>
      </c>
      <c r="C967" s="1177">
        <v>35</v>
      </c>
      <c r="D967" s="1177">
        <v>45</v>
      </c>
      <c r="E967" s="1177">
        <v>0</v>
      </c>
      <c r="F967" s="1177">
        <v>0</v>
      </c>
      <c r="G967" s="1177">
        <v>25</v>
      </c>
      <c r="H967" s="1177">
        <v>25</v>
      </c>
      <c r="I967" s="1178">
        <v>45</v>
      </c>
      <c r="J967" s="1178">
        <v>51</v>
      </c>
      <c r="K967" s="1178">
        <v>50</v>
      </c>
      <c r="L967" s="1178">
        <v>45</v>
      </c>
      <c r="M967" s="1178">
        <v>55</v>
      </c>
      <c r="N967" s="1178">
        <v>25</v>
      </c>
      <c r="O967" s="1179">
        <f>SUM(C967:N967)/12</f>
        <v>33.416666666666664</v>
      </c>
      <c r="P967" s="1180">
        <f>O961/M!$Q$14</f>
        <v>3.1385794938666926E-3</v>
      </c>
      <c r="Q967" s="1235"/>
      <c r="R967" s="1235"/>
      <c r="S967" s="1235"/>
      <c r="T967" s="1235"/>
      <c r="U967" s="1235"/>
      <c r="V967" s="1235"/>
      <c r="W967" s="1235"/>
    </row>
    <row r="968" spans="1:23">
      <c r="A968" s="2191" t="s">
        <v>278</v>
      </c>
      <c r="B968" s="2192"/>
      <c r="C968" s="2203">
        <f t="shared" ref="C968:J968" si="250">SUM(C970:C971)</f>
        <v>842</v>
      </c>
      <c r="D968" s="2203">
        <f t="shared" si="250"/>
        <v>657</v>
      </c>
      <c r="E968" s="2203">
        <f t="shared" si="250"/>
        <v>641</v>
      </c>
      <c r="F968" s="2203">
        <f t="shared" si="250"/>
        <v>836</v>
      </c>
      <c r="G968" s="2203">
        <f t="shared" si="250"/>
        <v>1030</v>
      </c>
      <c r="H968" s="2203">
        <f t="shared" si="250"/>
        <v>908</v>
      </c>
      <c r="I968" s="2203">
        <f t="shared" si="250"/>
        <v>900</v>
      </c>
      <c r="J968" s="2203">
        <f t="shared" si="250"/>
        <v>1031</v>
      </c>
      <c r="K968" s="2203">
        <f>SUM(K970:K971)</f>
        <v>1133</v>
      </c>
      <c r="L968" s="2203">
        <f>SUM(L970:L971)</f>
        <v>943</v>
      </c>
      <c r="M968" s="2203">
        <f>SUM(M970:M971)</f>
        <v>874</v>
      </c>
      <c r="N968" s="2203">
        <f>SUM(N970:N971)</f>
        <v>977</v>
      </c>
      <c r="O968" s="2203">
        <f>SUM(O970:O971)</f>
        <v>897.66666666666663</v>
      </c>
      <c r="P968" s="2205">
        <f>O962/M!$Q$14</f>
        <v>3.9680612172457476E-2</v>
      </c>
      <c r="Q968" s="1235"/>
      <c r="R968" s="1235"/>
      <c r="S968" s="1235"/>
      <c r="T968" s="1235"/>
      <c r="U968" s="1235"/>
      <c r="V968" s="1235"/>
      <c r="W968" s="1235"/>
    </row>
    <row r="969" spans="1:23">
      <c r="A969" s="2193"/>
      <c r="B969" s="2194"/>
      <c r="C969" s="2204"/>
      <c r="D969" s="2204"/>
      <c r="E969" s="2204"/>
      <c r="F969" s="2204"/>
      <c r="G969" s="2204"/>
      <c r="H969" s="2204"/>
      <c r="I969" s="2204"/>
      <c r="J969" s="2204"/>
      <c r="K969" s="2204"/>
      <c r="L969" s="2204"/>
      <c r="M969" s="2204"/>
      <c r="N969" s="2204"/>
      <c r="O969" s="2204"/>
      <c r="P969" s="2206"/>
      <c r="Q969" s="1235"/>
      <c r="R969" s="1235"/>
      <c r="S969" s="1235"/>
      <c r="T969" s="1235"/>
      <c r="U969" s="1235"/>
      <c r="V969" s="1235"/>
      <c r="W969" s="1235"/>
    </row>
    <row r="970" spans="1:23">
      <c r="A970" s="2217"/>
      <c r="B970" s="1176" t="s">
        <v>414</v>
      </c>
      <c r="C970" s="1177">
        <v>635</v>
      </c>
      <c r="D970" s="1177">
        <v>617</v>
      </c>
      <c r="E970" s="1177">
        <v>611</v>
      </c>
      <c r="F970" s="1177">
        <v>545</v>
      </c>
      <c r="G970" s="1177">
        <v>685</v>
      </c>
      <c r="H970" s="1177">
        <v>529</v>
      </c>
      <c r="I970" s="1178">
        <v>721</v>
      </c>
      <c r="J970" s="1178">
        <v>730</v>
      </c>
      <c r="K970" s="1178">
        <v>1006</v>
      </c>
      <c r="L970" s="1178">
        <v>668</v>
      </c>
      <c r="M970" s="1178">
        <v>622</v>
      </c>
      <c r="N970" s="1178">
        <v>908</v>
      </c>
      <c r="O970" s="1179">
        <f>SUM(C970:N970)/12</f>
        <v>689.75</v>
      </c>
      <c r="P970" s="1180">
        <f>O964/M!$Q$14</f>
        <v>2.9330772651016114E-2</v>
      </c>
      <c r="Q970" s="1235"/>
      <c r="R970" s="1235"/>
      <c r="S970" s="1235"/>
      <c r="T970" s="1235"/>
      <c r="U970" s="1235"/>
      <c r="V970" s="1235"/>
      <c r="W970" s="1235"/>
    </row>
    <row r="971" spans="1:23">
      <c r="A971" s="2219"/>
      <c r="B971" s="1176" t="s">
        <v>278</v>
      </c>
      <c r="C971" s="1177">
        <v>207</v>
      </c>
      <c r="D971" s="1177">
        <v>40</v>
      </c>
      <c r="E971" s="1177">
        <v>30</v>
      </c>
      <c r="F971" s="1177">
        <v>291</v>
      </c>
      <c r="G971" s="1177">
        <v>345</v>
      </c>
      <c r="H971" s="1177">
        <v>379</v>
      </c>
      <c r="I971" s="1178">
        <v>179</v>
      </c>
      <c r="J971" s="1178">
        <v>301</v>
      </c>
      <c r="K971" s="1178">
        <v>127</v>
      </c>
      <c r="L971" s="1178">
        <v>275</v>
      </c>
      <c r="M971" s="1178">
        <v>252</v>
      </c>
      <c r="N971" s="1178">
        <v>69</v>
      </c>
      <c r="O971" s="1179">
        <f>SUM(C971:N971)/12</f>
        <v>207.91666666666666</v>
      </c>
      <c r="P971" s="1180">
        <f>O965/M!$Q$14</f>
        <v>5.3206395229359171E-3</v>
      </c>
      <c r="Q971" s="1235"/>
      <c r="R971" s="1235"/>
      <c r="S971" s="1235"/>
      <c r="T971" s="1235"/>
      <c r="U971" s="1235"/>
      <c r="V971" s="1235"/>
      <c r="W971" s="1235"/>
    </row>
    <row r="972" spans="1:23">
      <c r="A972" s="2191" t="s">
        <v>279</v>
      </c>
      <c r="B972" s="2192"/>
      <c r="C972" s="2203">
        <f t="shared" ref="C972:N972" si="251">SUM(C974:C981)</f>
        <v>504</v>
      </c>
      <c r="D972" s="2203">
        <f t="shared" si="251"/>
        <v>414</v>
      </c>
      <c r="E972" s="2203">
        <f t="shared" si="251"/>
        <v>362</v>
      </c>
      <c r="F972" s="2203">
        <f t="shared" si="251"/>
        <v>659</v>
      </c>
      <c r="G972" s="2203">
        <f t="shared" si="251"/>
        <v>476</v>
      </c>
      <c r="H972" s="2203">
        <f t="shared" si="251"/>
        <v>385</v>
      </c>
      <c r="I972" s="2203">
        <f t="shared" si="251"/>
        <v>322</v>
      </c>
      <c r="J972" s="2203">
        <f t="shared" si="251"/>
        <v>481</v>
      </c>
      <c r="K972" s="2203">
        <f t="shared" si="251"/>
        <v>414</v>
      </c>
      <c r="L972" s="2203">
        <f t="shared" si="251"/>
        <v>329</v>
      </c>
      <c r="M972" s="2203">
        <f t="shared" si="251"/>
        <v>909</v>
      </c>
      <c r="N972" s="2203">
        <f t="shared" si="251"/>
        <v>298</v>
      </c>
      <c r="O972" s="2203">
        <f>SUM(O974:O981)</f>
        <v>462.75</v>
      </c>
      <c r="P972" s="1180">
        <f>O966/M!$Q$14</f>
        <v>2.0326038626946202E-3</v>
      </c>
      <c r="Q972" s="1235"/>
      <c r="R972" s="1235"/>
      <c r="S972" s="1235"/>
      <c r="T972" s="1235"/>
      <c r="U972" s="1235"/>
      <c r="V972" s="1235"/>
      <c r="W972" s="1235"/>
    </row>
    <row r="973" spans="1:23">
      <c r="A973" s="2193"/>
      <c r="B973" s="2194"/>
      <c r="C973" s="2204"/>
      <c r="D973" s="2204"/>
      <c r="E973" s="2204"/>
      <c r="F973" s="2204"/>
      <c r="G973" s="2204"/>
      <c r="H973" s="2204"/>
      <c r="I973" s="2204"/>
      <c r="J973" s="2204"/>
      <c r="K973" s="2204"/>
      <c r="L973" s="2204"/>
      <c r="M973" s="2204"/>
      <c r="N973" s="2204"/>
      <c r="O973" s="2204"/>
      <c r="P973" s="1180">
        <f>O967/M!$Q$14</f>
        <v>2.9965961358108181E-3</v>
      </c>
      <c r="Q973" s="1235"/>
      <c r="R973" s="1235"/>
      <c r="S973" s="1235"/>
      <c r="T973" s="1235"/>
      <c r="U973" s="1235"/>
      <c r="V973" s="1235"/>
      <c r="W973" s="1235"/>
    </row>
    <row r="974" spans="1:23">
      <c r="A974" s="2217"/>
      <c r="B974" s="1176" t="s">
        <v>415</v>
      </c>
      <c r="C974" s="1177">
        <v>277</v>
      </c>
      <c r="D974" s="1177">
        <v>339</v>
      </c>
      <c r="E974" s="1177">
        <v>320</v>
      </c>
      <c r="F974" s="1177">
        <v>109</v>
      </c>
      <c r="G974" s="1177">
        <v>391</v>
      </c>
      <c r="H974" s="1177">
        <v>326</v>
      </c>
      <c r="I974" s="1178">
        <v>236</v>
      </c>
      <c r="J974" s="1178">
        <v>401</v>
      </c>
      <c r="K974" s="1178">
        <v>331</v>
      </c>
      <c r="L974" s="1178">
        <v>220</v>
      </c>
      <c r="M974" s="1178">
        <v>737</v>
      </c>
      <c r="N974" s="1178">
        <v>238</v>
      </c>
      <c r="O974" s="1179">
        <f t="shared" ref="O974:O981" si="252">SUM(C974:N974)/12</f>
        <v>327.08333333333331</v>
      </c>
      <c r="P974" s="2205">
        <f>O968/M!$Q$14</f>
        <v>8.0497091209361937E-2</v>
      </c>
      <c r="Q974" s="1235"/>
      <c r="R974" s="1235"/>
      <c r="S974" s="1235"/>
      <c r="T974" s="1235"/>
      <c r="U974" s="1235"/>
      <c r="V974" s="1235"/>
      <c r="W974" s="1235"/>
    </row>
    <row r="975" spans="1:23">
      <c r="A975" s="2218"/>
      <c r="B975" s="1176" t="s">
        <v>416</v>
      </c>
      <c r="C975" s="1182">
        <v>0</v>
      </c>
      <c r="D975" s="1182">
        <v>0</v>
      </c>
      <c r="E975" s="1182">
        <v>0</v>
      </c>
      <c r="F975" s="1182">
        <v>0</v>
      </c>
      <c r="G975" s="1182">
        <v>0</v>
      </c>
      <c r="H975" s="1182">
        <v>0</v>
      </c>
      <c r="I975" s="1182">
        <v>0</v>
      </c>
      <c r="J975" s="1182">
        <v>0</v>
      </c>
      <c r="K975" s="1182">
        <v>0</v>
      </c>
      <c r="L975" s="1182">
        <v>0</v>
      </c>
      <c r="M975" s="1182">
        <v>0</v>
      </c>
      <c r="N975" s="1182">
        <v>0</v>
      </c>
      <c r="O975" s="1179">
        <f t="shared" si="252"/>
        <v>0</v>
      </c>
      <c r="P975" s="2206"/>
      <c r="Q975" s="1235"/>
      <c r="R975" s="1235"/>
      <c r="S975" s="1235"/>
      <c r="T975" s="1235"/>
      <c r="U975" s="1235"/>
      <c r="V975" s="1235"/>
      <c r="W975" s="1235"/>
    </row>
    <row r="976" spans="1:23">
      <c r="A976" s="2218"/>
      <c r="B976" s="1176" t="s">
        <v>417</v>
      </c>
      <c r="C976" s="1182">
        <v>0</v>
      </c>
      <c r="D976" s="1182">
        <v>0</v>
      </c>
      <c r="E976" s="1182">
        <v>0</v>
      </c>
      <c r="F976" s="1182">
        <v>0</v>
      </c>
      <c r="G976" s="1182">
        <v>0</v>
      </c>
      <c r="H976" s="1182">
        <v>0</v>
      </c>
      <c r="I976" s="1182">
        <v>0</v>
      </c>
      <c r="J976" s="1182">
        <v>0</v>
      </c>
      <c r="K976" s="1182">
        <v>0</v>
      </c>
      <c r="L976" s="1182">
        <v>0</v>
      </c>
      <c r="M976" s="1182">
        <v>0</v>
      </c>
      <c r="N976" s="1182">
        <v>0</v>
      </c>
      <c r="O976" s="1179">
        <f t="shared" si="252"/>
        <v>0</v>
      </c>
      <c r="P976" s="1180">
        <f>O970/M!$Q$14</f>
        <v>6.1852434454130037E-2</v>
      </c>
      <c r="Q976" s="1235"/>
      <c r="R976" s="1235"/>
      <c r="S976" s="1235"/>
      <c r="T976" s="1235"/>
      <c r="U976" s="1235"/>
      <c r="V976" s="1235"/>
      <c r="W976" s="1235"/>
    </row>
    <row r="977" spans="1:23">
      <c r="A977" s="2218"/>
      <c r="B977" s="1176" t="s">
        <v>410</v>
      </c>
      <c r="C977" s="1177">
        <v>60</v>
      </c>
      <c r="D977" s="1177">
        <v>0</v>
      </c>
      <c r="E977" s="1177">
        <v>0</v>
      </c>
      <c r="F977" s="1177">
        <v>425</v>
      </c>
      <c r="G977" s="1177">
        <v>29</v>
      </c>
      <c r="H977" s="1177">
        <v>0</v>
      </c>
      <c r="I977" s="1178">
        <v>41</v>
      </c>
      <c r="J977" s="1178">
        <v>0</v>
      </c>
      <c r="K977" s="1178">
        <v>0</v>
      </c>
      <c r="L977" s="1178">
        <v>52</v>
      </c>
      <c r="M977" s="1178">
        <v>105</v>
      </c>
      <c r="N977" s="1178">
        <v>0</v>
      </c>
      <c r="O977" s="1179">
        <f t="shared" si="252"/>
        <v>59.333333333333336</v>
      </c>
      <c r="P977" s="1180">
        <f>O971/M!$Q$14</f>
        <v>1.86446567552319E-2</v>
      </c>
      <c r="Q977" s="1235"/>
      <c r="R977" s="1235"/>
      <c r="S977" s="1235"/>
      <c r="T977" s="1235"/>
      <c r="U977" s="1235"/>
      <c r="V977" s="1235"/>
      <c r="W977" s="1235"/>
    </row>
    <row r="978" spans="1:23">
      <c r="A978" s="2218"/>
      <c r="B978" s="1176" t="s">
        <v>418</v>
      </c>
      <c r="C978" s="1177">
        <v>45</v>
      </c>
      <c r="D978" s="1177">
        <v>0</v>
      </c>
      <c r="E978" s="1177">
        <v>6</v>
      </c>
      <c r="F978" s="1177">
        <v>114</v>
      </c>
      <c r="G978" s="1177">
        <v>20</v>
      </c>
      <c r="H978" s="1177">
        <v>12</v>
      </c>
      <c r="I978" s="1178">
        <v>0</v>
      </c>
      <c r="J978" s="1178">
        <v>7</v>
      </c>
      <c r="K978" s="1178">
        <v>33</v>
      </c>
      <c r="L978" s="1178">
        <v>0</v>
      </c>
      <c r="M978" s="1178">
        <v>0</v>
      </c>
      <c r="N978" s="1178">
        <v>35</v>
      </c>
      <c r="O978" s="1179">
        <f t="shared" si="252"/>
        <v>22.666666666666668</v>
      </c>
      <c r="P978" s="2205">
        <f>O972/M!$Q$14</f>
        <v>4.1496504593908919E-2</v>
      </c>
      <c r="Q978" s="1235"/>
      <c r="R978" s="1235"/>
      <c r="S978" s="1235"/>
      <c r="T978" s="1235"/>
      <c r="U978" s="1235"/>
      <c r="V978" s="1235"/>
      <c r="W978" s="1235"/>
    </row>
    <row r="979" spans="1:23">
      <c r="A979" s="2218"/>
      <c r="B979" s="1176" t="s">
        <v>419</v>
      </c>
      <c r="C979" s="1177">
        <v>35</v>
      </c>
      <c r="D979" s="1177">
        <v>45</v>
      </c>
      <c r="E979" s="1177">
        <v>0</v>
      </c>
      <c r="F979" s="1177">
        <v>0</v>
      </c>
      <c r="G979" s="1177">
        <v>25</v>
      </c>
      <c r="H979" s="1177">
        <v>25</v>
      </c>
      <c r="I979" s="1178">
        <v>45</v>
      </c>
      <c r="J979" s="1178">
        <v>51</v>
      </c>
      <c r="K979" s="1178">
        <v>50</v>
      </c>
      <c r="L979" s="1178">
        <v>45</v>
      </c>
      <c r="M979" s="1178">
        <v>55</v>
      </c>
      <c r="N979" s="1178">
        <v>25</v>
      </c>
      <c r="O979" s="1179">
        <f t="shared" si="252"/>
        <v>33.416666666666664</v>
      </c>
      <c r="P979" s="2206"/>
      <c r="Q979" s="1235"/>
      <c r="R979" s="1235"/>
      <c r="S979" s="1235"/>
      <c r="T979" s="1235"/>
      <c r="U979" s="1235"/>
      <c r="V979" s="1235"/>
      <c r="W979" s="1235"/>
    </row>
    <row r="980" spans="1:23">
      <c r="A980" s="2218"/>
      <c r="B980" s="1176" t="s">
        <v>460</v>
      </c>
      <c r="C980" s="1177">
        <v>11</v>
      </c>
      <c r="D980" s="1177">
        <v>22</v>
      </c>
      <c r="E980" s="1177">
        <v>36</v>
      </c>
      <c r="F980" s="1177">
        <v>11</v>
      </c>
      <c r="G980" s="1177">
        <v>11</v>
      </c>
      <c r="H980" s="1177">
        <v>22</v>
      </c>
      <c r="I980" s="1178">
        <v>0</v>
      </c>
      <c r="J980" s="1178">
        <v>22</v>
      </c>
      <c r="K980" s="1178">
        <v>0</v>
      </c>
      <c r="L980" s="1178">
        <v>12</v>
      </c>
      <c r="M980" s="1178">
        <v>12</v>
      </c>
      <c r="N980" s="1178">
        <v>0</v>
      </c>
      <c r="O980" s="1179">
        <f t="shared" si="252"/>
        <v>13.25</v>
      </c>
      <c r="P980" s="1180">
        <f>O974/M!$Q$14</f>
        <v>2.9330772651016114E-2</v>
      </c>
      <c r="Q980" s="1235"/>
      <c r="R980" s="1235"/>
      <c r="S980" s="1235"/>
      <c r="T980" s="1235"/>
      <c r="U980" s="1235"/>
      <c r="V980" s="1235"/>
      <c r="W980" s="1235"/>
    </row>
    <row r="981" spans="1:23">
      <c r="A981" s="2219"/>
      <c r="B981" s="1176" t="s">
        <v>421</v>
      </c>
      <c r="C981" s="1177">
        <v>76</v>
      </c>
      <c r="D981" s="1177">
        <v>8</v>
      </c>
      <c r="E981" s="1177">
        <v>0</v>
      </c>
      <c r="F981" s="1177">
        <v>0</v>
      </c>
      <c r="G981" s="1177">
        <v>0</v>
      </c>
      <c r="H981" s="1177">
        <v>0</v>
      </c>
      <c r="I981" s="1178">
        <v>0</v>
      </c>
      <c r="J981" s="1178">
        <v>0</v>
      </c>
      <c r="K981" s="1178">
        <v>0</v>
      </c>
      <c r="L981" s="1178">
        <v>0</v>
      </c>
      <c r="M981" s="1178">
        <v>0</v>
      </c>
      <c r="N981" s="1178">
        <v>0</v>
      </c>
      <c r="O981" s="1179">
        <f t="shared" si="252"/>
        <v>7</v>
      </c>
      <c r="P981" s="1180">
        <f>O975/M!$Q$14</f>
        <v>0</v>
      </c>
      <c r="Q981" s="1235"/>
      <c r="R981" s="1235"/>
      <c r="S981" s="1235"/>
      <c r="T981" s="1235"/>
      <c r="U981" s="1235"/>
      <c r="V981" s="1235"/>
      <c r="W981" s="1235"/>
    </row>
    <row r="982" spans="1:23">
      <c r="A982" s="2191" t="s">
        <v>280</v>
      </c>
      <c r="B982" s="2192"/>
      <c r="C982" s="2203">
        <f t="shared" ref="C982:O982" si="253">SUM(C984:C990)</f>
        <v>1658</v>
      </c>
      <c r="D982" s="2203">
        <f t="shared" si="253"/>
        <v>451</v>
      </c>
      <c r="E982" s="2203">
        <f t="shared" si="253"/>
        <v>1285</v>
      </c>
      <c r="F982" s="2203">
        <f t="shared" si="253"/>
        <v>4818</v>
      </c>
      <c r="G982" s="2203">
        <f t="shared" si="253"/>
        <v>1542</v>
      </c>
      <c r="H982" s="2203">
        <f t="shared" si="253"/>
        <v>521</v>
      </c>
      <c r="I982" s="2203">
        <f t="shared" si="253"/>
        <v>887</v>
      </c>
      <c r="J982" s="2203">
        <f t="shared" si="253"/>
        <v>882</v>
      </c>
      <c r="K982" s="2203">
        <f t="shared" si="253"/>
        <v>1293</v>
      </c>
      <c r="L982" s="2203">
        <f t="shared" si="253"/>
        <v>456</v>
      </c>
      <c r="M982" s="2203">
        <f t="shared" si="253"/>
        <v>1918</v>
      </c>
      <c r="N982" s="2203">
        <f t="shared" si="253"/>
        <v>996</v>
      </c>
      <c r="O982" s="2203">
        <f t="shared" si="253"/>
        <v>1392.25</v>
      </c>
      <c r="P982" s="1180">
        <f>O976/M!$Q$14</f>
        <v>0</v>
      </c>
      <c r="Q982" s="1235"/>
      <c r="R982" s="1235"/>
      <c r="S982" s="1235"/>
      <c r="T982" s="1235"/>
      <c r="U982" s="1235"/>
      <c r="V982" s="1235"/>
      <c r="W982" s="1235"/>
    </row>
    <row r="983" spans="1:23">
      <c r="A983" s="2193"/>
      <c r="B983" s="2194"/>
      <c r="C983" s="2204"/>
      <c r="D983" s="2204"/>
      <c r="E983" s="2204"/>
      <c r="F983" s="2204"/>
      <c r="G983" s="2204"/>
      <c r="H983" s="2204"/>
      <c r="I983" s="2204"/>
      <c r="J983" s="2204"/>
      <c r="K983" s="2204"/>
      <c r="L983" s="2204"/>
      <c r="M983" s="2204"/>
      <c r="N983" s="2204"/>
      <c r="O983" s="2204"/>
      <c r="P983" s="1180">
        <f>O977/M!$Q$14</f>
        <v>5.3206395229359171E-3</v>
      </c>
      <c r="Q983" s="1235"/>
      <c r="R983" s="1235"/>
      <c r="S983" s="1235"/>
      <c r="T983" s="1235"/>
      <c r="U983" s="1235"/>
      <c r="V983" s="1235"/>
      <c r="W983" s="1235"/>
    </row>
    <row r="984" spans="1:23">
      <c r="A984" s="2217"/>
      <c r="B984" s="1176" t="s">
        <v>280</v>
      </c>
      <c r="C984" s="1177">
        <v>187</v>
      </c>
      <c r="D984" s="1177">
        <v>312</v>
      </c>
      <c r="E984" s="1177">
        <v>139</v>
      </c>
      <c r="F984" s="1177">
        <v>151</v>
      </c>
      <c r="G984" s="1177">
        <v>159</v>
      </c>
      <c r="H984" s="1177">
        <v>113</v>
      </c>
      <c r="I984" s="1178">
        <v>310</v>
      </c>
      <c r="J984" s="1178">
        <v>258</v>
      </c>
      <c r="K984" s="1178">
        <v>196</v>
      </c>
      <c r="L984" s="1178">
        <v>72</v>
      </c>
      <c r="M984" s="1178">
        <v>678</v>
      </c>
      <c r="N984" s="1178">
        <v>427</v>
      </c>
      <c r="O984" s="1179">
        <f t="shared" ref="O984:O990" si="254">SUM(C984:N984)/12</f>
        <v>250.16666666666666</v>
      </c>
      <c r="P984" s="1180">
        <f>O978/M!$Q$14</f>
        <v>2.0326038626946202E-3</v>
      </c>
      <c r="Q984" s="1235"/>
      <c r="R984" s="1235"/>
      <c r="S984" s="1235"/>
      <c r="T984" s="1235"/>
      <c r="U984" s="1235"/>
      <c r="V984" s="1235"/>
      <c r="W984" s="1235"/>
    </row>
    <row r="985" spans="1:23">
      <c r="A985" s="2218"/>
      <c r="B985" s="1176" t="s">
        <v>423</v>
      </c>
      <c r="C985" s="1177">
        <v>115</v>
      </c>
      <c r="D985" s="1177">
        <v>95</v>
      </c>
      <c r="E985" s="1177">
        <v>257</v>
      </c>
      <c r="F985" s="1177">
        <v>269</v>
      </c>
      <c r="G985" s="1177">
        <v>319</v>
      </c>
      <c r="H985" s="1177">
        <v>128</v>
      </c>
      <c r="I985" s="1178">
        <v>250</v>
      </c>
      <c r="J985" s="1178">
        <v>0</v>
      </c>
      <c r="K985" s="1178">
        <v>717</v>
      </c>
      <c r="L985" s="1178">
        <v>45</v>
      </c>
      <c r="M985" s="1178">
        <v>447</v>
      </c>
      <c r="N985" s="1178">
        <v>83</v>
      </c>
      <c r="O985" s="1179">
        <f t="shared" si="254"/>
        <v>227.08333333333334</v>
      </c>
      <c r="P985" s="1180">
        <f>O979/M!$Q$14</f>
        <v>2.9965961358108181E-3</v>
      </c>
      <c r="Q985" s="1235"/>
      <c r="R985" s="1235"/>
      <c r="S985" s="1235"/>
      <c r="T985" s="1235"/>
      <c r="U985" s="1235"/>
      <c r="V985" s="1235"/>
      <c r="W985" s="1235"/>
    </row>
    <row r="986" spans="1:23">
      <c r="A986" s="2218"/>
      <c r="B986" s="1176" t="s">
        <v>424</v>
      </c>
      <c r="C986" s="1177">
        <v>0</v>
      </c>
      <c r="D986" s="1177">
        <v>0</v>
      </c>
      <c r="E986" s="1177">
        <v>0</v>
      </c>
      <c r="F986" s="1177">
        <v>0</v>
      </c>
      <c r="G986" s="1177">
        <v>0</v>
      </c>
      <c r="H986" s="1177">
        <v>0</v>
      </c>
      <c r="I986" s="1178">
        <v>0</v>
      </c>
      <c r="J986" s="1178">
        <v>0</v>
      </c>
      <c r="K986" s="1178">
        <v>0</v>
      </c>
      <c r="L986" s="1178">
        <v>0</v>
      </c>
      <c r="M986" s="1178">
        <v>0</v>
      </c>
      <c r="N986" s="1178">
        <v>277</v>
      </c>
      <c r="O986" s="1179">
        <f t="shared" si="254"/>
        <v>23.083333333333332</v>
      </c>
      <c r="P986" s="1180">
        <f>O980/M!$Q$14</f>
        <v>1.1881765226781052E-3</v>
      </c>
      <c r="Q986" s="1235"/>
      <c r="R986" s="1235"/>
      <c r="S986" s="1235"/>
      <c r="T986" s="1235"/>
      <c r="U986" s="1235"/>
      <c r="V986" s="1235"/>
      <c r="W986" s="1235"/>
    </row>
    <row r="987" spans="1:23">
      <c r="A987" s="2218"/>
      <c r="B987" s="1176" t="s">
        <v>425</v>
      </c>
      <c r="C987" s="1177">
        <v>0</v>
      </c>
      <c r="D987" s="1177">
        <v>0</v>
      </c>
      <c r="E987" s="1177">
        <v>0</v>
      </c>
      <c r="F987" s="1177">
        <v>35</v>
      </c>
      <c r="G987" s="1177">
        <v>390</v>
      </c>
      <c r="H987" s="1177">
        <v>0</v>
      </c>
      <c r="I987" s="1178">
        <v>0</v>
      </c>
      <c r="J987" s="1178">
        <v>30</v>
      </c>
      <c r="K987" s="1178">
        <v>20</v>
      </c>
      <c r="L987" s="1178">
        <v>0</v>
      </c>
      <c r="M987" s="1178">
        <v>0</v>
      </c>
      <c r="N987" s="1178">
        <v>0</v>
      </c>
      <c r="O987" s="1179">
        <f t="shared" si="254"/>
        <v>39.583333333333336</v>
      </c>
      <c r="P987" s="1180">
        <f>O981/M!$Q$14</f>
        <v>6.2771589877333857E-4</v>
      </c>
      <c r="Q987" s="1235"/>
      <c r="R987" s="1235"/>
      <c r="S987" s="1235"/>
      <c r="T987" s="1235"/>
      <c r="U987" s="1235"/>
      <c r="V987" s="1235"/>
      <c r="W987" s="1235"/>
    </row>
    <row r="988" spans="1:23">
      <c r="A988" s="2218"/>
      <c r="B988" s="1176" t="s">
        <v>667</v>
      </c>
      <c r="C988" s="1177">
        <v>450</v>
      </c>
      <c r="D988" s="1177">
        <v>19</v>
      </c>
      <c r="E988" s="1177">
        <v>885</v>
      </c>
      <c r="F988" s="1177">
        <v>141</v>
      </c>
      <c r="G988" s="1177">
        <v>14</v>
      </c>
      <c r="H988" s="1177">
        <v>50</v>
      </c>
      <c r="I988" s="1178">
        <v>251</v>
      </c>
      <c r="J988" s="1178">
        <v>128</v>
      </c>
      <c r="K988" s="1178">
        <v>228</v>
      </c>
      <c r="L988" s="1178">
        <v>105</v>
      </c>
      <c r="M988" s="1178">
        <v>203</v>
      </c>
      <c r="N988" s="1178">
        <v>193</v>
      </c>
      <c r="O988" s="1179">
        <f t="shared" si="254"/>
        <v>222.25</v>
      </c>
      <c r="P988" s="2205">
        <f>O982/M!$Q$14</f>
        <v>0.1248482085810258</v>
      </c>
      <c r="Q988" s="1235"/>
      <c r="R988" s="1235"/>
      <c r="S988" s="1235"/>
      <c r="T988" s="1235"/>
      <c r="U988" s="1235"/>
      <c r="V988" s="1235"/>
      <c r="W988" s="1235"/>
    </row>
    <row r="989" spans="1:23">
      <c r="A989" s="2218"/>
      <c r="B989" s="1176" t="s">
        <v>427</v>
      </c>
      <c r="C989" s="1177">
        <v>0</v>
      </c>
      <c r="D989" s="1177">
        <v>0</v>
      </c>
      <c r="E989" s="1177">
        <v>0</v>
      </c>
      <c r="F989" s="1177">
        <v>0</v>
      </c>
      <c r="G989" s="1177">
        <v>0</v>
      </c>
      <c r="H989" s="1177">
        <v>0</v>
      </c>
      <c r="I989" s="1178">
        <v>0</v>
      </c>
      <c r="J989" s="1178">
        <v>0</v>
      </c>
      <c r="K989" s="1178">
        <v>0</v>
      </c>
      <c r="L989" s="1178">
        <v>0</v>
      </c>
      <c r="M989" s="1178">
        <v>0</v>
      </c>
      <c r="N989" s="1178">
        <v>0</v>
      </c>
      <c r="O989" s="1179">
        <f t="shared" si="254"/>
        <v>0</v>
      </c>
      <c r="P989" s="2206"/>
      <c r="Q989" s="1235"/>
      <c r="R989" s="1235"/>
      <c r="S989" s="1235"/>
      <c r="T989" s="1235"/>
      <c r="U989" s="1235"/>
      <c r="V989" s="1235"/>
      <c r="W989" s="1235"/>
    </row>
    <row r="990" spans="1:23">
      <c r="A990" s="2219"/>
      <c r="B990" s="1176" t="s">
        <v>381</v>
      </c>
      <c r="C990" s="1177">
        <v>906</v>
      </c>
      <c r="D990" s="1177">
        <v>25</v>
      </c>
      <c r="E990" s="1177">
        <v>4</v>
      </c>
      <c r="F990" s="1177">
        <v>4222</v>
      </c>
      <c r="G990" s="1177">
        <v>660</v>
      </c>
      <c r="H990" s="1177">
        <v>230</v>
      </c>
      <c r="I990" s="1178">
        <v>76</v>
      </c>
      <c r="J990" s="1178">
        <v>466</v>
      </c>
      <c r="K990" s="1178">
        <v>132</v>
      </c>
      <c r="L990" s="1178">
        <v>234</v>
      </c>
      <c r="M990" s="1178">
        <v>590</v>
      </c>
      <c r="N990" s="1178">
        <v>16</v>
      </c>
      <c r="O990" s="1179">
        <f t="shared" si="254"/>
        <v>630.08333333333337</v>
      </c>
      <c r="P990" s="1180">
        <f>O984/M!$Q$14</f>
        <v>2.2433370572828123E-2</v>
      </c>
      <c r="Q990" s="1235"/>
      <c r="R990" s="1235"/>
      <c r="S990" s="1235"/>
      <c r="T990" s="1235"/>
      <c r="U990" s="1235"/>
      <c r="V990" s="1235"/>
      <c r="W990" s="1235"/>
    </row>
    <row r="991" spans="1:23">
      <c r="A991" s="2191" t="s">
        <v>428</v>
      </c>
      <c r="B991" s="2192"/>
      <c r="C991" s="2203">
        <f>SUM(C993:C994)</f>
        <v>2934</v>
      </c>
      <c r="D991" s="2203">
        <f t="shared" ref="D991:N991" si="255">SUM(D993:D994)</f>
        <v>2356</v>
      </c>
      <c r="E991" s="2203">
        <f t="shared" si="255"/>
        <v>2356</v>
      </c>
      <c r="F991" s="2203">
        <f t="shared" si="255"/>
        <v>2376</v>
      </c>
      <c r="G991" s="2203">
        <f t="shared" si="255"/>
        <v>2356</v>
      </c>
      <c r="H991" s="2203">
        <f t="shared" si="255"/>
        <v>2356</v>
      </c>
      <c r="I991" s="2203">
        <f t="shared" si="255"/>
        <v>2966</v>
      </c>
      <c r="J991" s="2203">
        <f t="shared" si="255"/>
        <v>1896</v>
      </c>
      <c r="K991" s="2203">
        <f t="shared" si="255"/>
        <v>2355</v>
      </c>
      <c r="L991" s="2203">
        <f t="shared" si="255"/>
        <v>2197</v>
      </c>
      <c r="M991" s="2203">
        <f t="shared" si="255"/>
        <v>2197</v>
      </c>
      <c r="N991" s="2203">
        <f t="shared" si="255"/>
        <v>2347</v>
      </c>
      <c r="O991" s="2203">
        <f>SUM(O993:O994)</f>
        <v>2391</v>
      </c>
      <c r="P991" s="1180">
        <f>O985/M!$Q$14</f>
        <v>2.0363402668539851E-2</v>
      </c>
      <c r="Q991" s="1235"/>
      <c r="R991" s="1235"/>
      <c r="S991" s="1235"/>
      <c r="T991" s="1235"/>
      <c r="U991" s="1235"/>
      <c r="V991" s="1235"/>
      <c r="W991" s="1235"/>
    </row>
    <row r="992" spans="1:23">
      <c r="A992" s="2193"/>
      <c r="B992" s="2194"/>
      <c r="C992" s="2204"/>
      <c r="D992" s="2204"/>
      <c r="E992" s="2204"/>
      <c r="F992" s="2204"/>
      <c r="G992" s="2204"/>
      <c r="H992" s="2204"/>
      <c r="I992" s="2204"/>
      <c r="J992" s="2204"/>
      <c r="K992" s="2204"/>
      <c r="L992" s="2204"/>
      <c r="M992" s="2204"/>
      <c r="N992" s="2204"/>
      <c r="O992" s="2204"/>
      <c r="P992" s="1180">
        <f>O986/M!$Q$14</f>
        <v>2.0699679042882712E-3</v>
      </c>
      <c r="Q992" s="1235"/>
      <c r="R992" s="1235"/>
      <c r="S992" s="1235"/>
      <c r="T992" s="1235"/>
      <c r="U992" s="1235"/>
      <c r="V992" s="1235"/>
      <c r="W992" s="1235"/>
    </row>
    <row r="993" spans="1:23">
      <c r="A993" s="2217"/>
      <c r="B993" s="1176" t="s">
        <v>429</v>
      </c>
      <c r="C993" s="1177">
        <v>0</v>
      </c>
      <c r="D993" s="1177">
        <v>0</v>
      </c>
      <c r="E993" s="1177">
        <v>0</v>
      </c>
      <c r="F993" s="1177">
        <v>20</v>
      </c>
      <c r="G993" s="1177">
        <v>0</v>
      </c>
      <c r="H993" s="1177">
        <v>0</v>
      </c>
      <c r="I993" s="1178">
        <v>1100</v>
      </c>
      <c r="J993" s="1178">
        <f xml:space="preserve"> 590</f>
        <v>590</v>
      </c>
      <c r="K993" s="1178">
        <f xml:space="preserve"> 198 + 80</f>
        <v>278</v>
      </c>
      <c r="L993" s="1178">
        <v>120</v>
      </c>
      <c r="M993" s="1178">
        <v>120</v>
      </c>
      <c r="N993" s="1178">
        <f>120+150</f>
        <v>270</v>
      </c>
      <c r="O993" s="1179">
        <f>SUM(C993:N993)/12</f>
        <v>208.16666666666666</v>
      </c>
      <c r="P993" s="1180">
        <f>O987/M!$Q$14</f>
        <v>3.5495839513968552E-3</v>
      </c>
      <c r="Q993" s="1235"/>
      <c r="R993" s="1235"/>
      <c r="S993" s="1235"/>
      <c r="T993" s="1235"/>
      <c r="U993" s="1235"/>
      <c r="V993" s="1235"/>
      <c r="W993" s="1235"/>
    </row>
    <row r="994" spans="1:23">
      <c r="A994" s="2218"/>
      <c r="B994" s="1176" t="s">
        <v>430</v>
      </c>
      <c r="C994" s="1177">
        <f>1158 + 1201 + 275 + 300</f>
        <v>2934</v>
      </c>
      <c r="D994" s="1177">
        <f>1156 + 1200</f>
        <v>2356</v>
      </c>
      <c r="E994" s="1177">
        <f>1156 + 1200</f>
        <v>2356</v>
      </c>
      <c r="F994" s="1177">
        <f>1156 + 1200</f>
        <v>2356</v>
      </c>
      <c r="G994" s="1177">
        <f>1156 + 1200</f>
        <v>2356</v>
      </c>
      <c r="H994" s="1177">
        <f>1156 + 1200</f>
        <v>2356</v>
      </c>
      <c r="I994" s="1178">
        <f>1866</f>
        <v>1866</v>
      </c>
      <c r="J994" s="1178">
        <f>1156+ 150</f>
        <v>1306</v>
      </c>
      <c r="K994" s="1178">
        <f xml:space="preserve"> 1156 + 596 + 325</f>
        <v>2077</v>
      </c>
      <c r="L994" s="1178">
        <f xml:space="preserve"> 1156 + 596 + 325</f>
        <v>2077</v>
      </c>
      <c r="M994" s="1178">
        <f xml:space="preserve"> 1156 + 596 + 325</f>
        <v>2077</v>
      </c>
      <c r="N994" s="1178">
        <f xml:space="preserve"> 1156 + 596 + 325</f>
        <v>2077</v>
      </c>
      <c r="O994" s="1179">
        <f>SUM(C994:N994)/12</f>
        <v>2182.8333333333335</v>
      </c>
      <c r="P994" s="1180">
        <f>O988/M!$Q$14</f>
        <v>1.9929979786053501E-2</v>
      </c>
      <c r="Q994" s="1235"/>
      <c r="R994" s="1235"/>
      <c r="S994" s="1235"/>
      <c r="T994" s="1235"/>
      <c r="U994" s="1235"/>
      <c r="V994" s="1235"/>
      <c r="W994" s="1235"/>
    </row>
    <row r="995" spans="1:23">
      <c r="A995" s="2191" t="s">
        <v>668</v>
      </c>
      <c r="B995" s="2192"/>
      <c r="C995" s="2203">
        <f>SUM(C997:C1000)</f>
        <v>456.16666666666663</v>
      </c>
      <c r="D995" s="2203">
        <f t="shared" ref="D995:N995" si="256">SUM(D997:D1000)</f>
        <v>469.16666666666663</v>
      </c>
      <c r="E995" s="2203">
        <f t="shared" si="256"/>
        <v>681.16666666666663</v>
      </c>
      <c r="F995" s="2203">
        <f t="shared" si="256"/>
        <v>496.16666666666663</v>
      </c>
      <c r="G995" s="2203">
        <f t="shared" si="256"/>
        <v>889.16666666666663</v>
      </c>
      <c r="H995" s="2203">
        <f t="shared" si="256"/>
        <v>443.16666666666663</v>
      </c>
      <c r="I995" s="2203">
        <f t="shared" si="256"/>
        <v>451.16666666666663</v>
      </c>
      <c r="J995" s="2203">
        <f t="shared" si="256"/>
        <v>511.16666666666663</v>
      </c>
      <c r="K995" s="2203">
        <f t="shared" si="256"/>
        <v>422.16666666666663</v>
      </c>
      <c r="L995" s="2203">
        <f t="shared" si="256"/>
        <v>401.16666666666663</v>
      </c>
      <c r="M995" s="2203">
        <f t="shared" si="256"/>
        <v>401.16666666666663</v>
      </c>
      <c r="N995" s="2203">
        <f t="shared" si="256"/>
        <v>396.16666666666663</v>
      </c>
      <c r="O995" s="2203">
        <f>SUM(O997:O1005)</f>
        <v>2398.0833333333335</v>
      </c>
      <c r="P995" s="1180">
        <f>O989/M!$Q$14</f>
        <v>0</v>
      </c>
      <c r="Q995" s="1235"/>
      <c r="R995" s="1235"/>
      <c r="S995" s="1235"/>
      <c r="T995" s="1235"/>
      <c r="U995" s="1235"/>
      <c r="V995" s="1235"/>
      <c r="W995" s="1235"/>
    </row>
    <row r="996" spans="1:23">
      <c r="A996" s="2193"/>
      <c r="B996" s="2194"/>
      <c r="C996" s="2204"/>
      <c r="D996" s="2204"/>
      <c r="E996" s="2204"/>
      <c r="F996" s="2204"/>
      <c r="G996" s="2204"/>
      <c r="H996" s="2204"/>
      <c r="I996" s="2204"/>
      <c r="J996" s="2204"/>
      <c r="K996" s="2204"/>
      <c r="L996" s="2204"/>
      <c r="M996" s="2204"/>
      <c r="N996" s="2204"/>
      <c r="O996" s="2204"/>
      <c r="P996" s="1180">
        <f>O990/M!$Q$14</f>
        <v>5.6501903697919201E-2</v>
      </c>
      <c r="Q996" s="1235"/>
      <c r="R996" s="1235"/>
      <c r="S996" s="1235"/>
      <c r="T996" s="1235"/>
      <c r="U996" s="1235"/>
      <c r="V996" s="1235"/>
      <c r="W996" s="1235"/>
    </row>
    <row r="997" spans="1:23">
      <c r="A997" s="1183"/>
      <c r="B997" s="1176" t="s">
        <v>432</v>
      </c>
      <c r="C997" s="1184">
        <f>(FinSnapshot!$N$94 +FinSnapshot!$N$96+FinSnapshot!$N$102+FinSnapshot!$N$104)/12</f>
        <v>290.08333333333331</v>
      </c>
      <c r="D997" s="1184">
        <f>(FinSnapshot!$N$94 +FinSnapshot!$N$96+FinSnapshot!$N$102+FinSnapshot!$N$104)/12</f>
        <v>290.08333333333331</v>
      </c>
      <c r="E997" s="1184">
        <f>(FinSnapshot!$N$94 +FinSnapshot!$N$96+FinSnapshot!$N$102+FinSnapshot!$N$104)/12</f>
        <v>290.08333333333331</v>
      </c>
      <c r="F997" s="1184">
        <f>(FinSnapshot!$N$94 +FinSnapshot!$N$96+FinSnapshot!$N$102+FinSnapshot!$N$104)/12</f>
        <v>290.08333333333331</v>
      </c>
      <c r="G997" s="1184">
        <f>(FinSnapshot!$N$94 +FinSnapshot!$N$96+FinSnapshot!$N$102+FinSnapshot!$N$104)/12</f>
        <v>290.08333333333331</v>
      </c>
      <c r="H997" s="1184">
        <f>(FinSnapshot!$N$94 +FinSnapshot!$N$96+FinSnapshot!$N$102+FinSnapshot!$N$104)/12</f>
        <v>290.08333333333331</v>
      </c>
      <c r="I997" s="1184">
        <f>(FinSnapshot!$N$94 +FinSnapshot!$N$96+FinSnapshot!$N$102+FinSnapshot!$N$104)/12</f>
        <v>290.08333333333331</v>
      </c>
      <c r="J997" s="1184">
        <f>(FinSnapshot!$N$94 +FinSnapshot!$N$96+FinSnapshot!$N$102+FinSnapshot!$N$104)/12</f>
        <v>290.08333333333331</v>
      </c>
      <c r="K997" s="1184">
        <f>(FinSnapshot!$N$94 +FinSnapshot!$N$96+FinSnapshot!$N$102+FinSnapshot!$N$104)/12</f>
        <v>290.08333333333331</v>
      </c>
      <c r="L997" s="1184">
        <f>(FinSnapshot!$N$94 +FinSnapshot!$N$96+FinSnapshot!$N$102+FinSnapshot!$N$104)/12</f>
        <v>290.08333333333331</v>
      </c>
      <c r="M997" s="1184">
        <f>(FinSnapshot!$N$94 +FinSnapshot!$N$96+FinSnapshot!$N$102+FinSnapshot!$N$104)/12</f>
        <v>290.08333333333331</v>
      </c>
      <c r="N997" s="1184">
        <f>(FinSnapshot!$N$94 +FinSnapshot!$N$96+FinSnapshot!$N$102+FinSnapshot!$N$104)/12</f>
        <v>290.08333333333331</v>
      </c>
      <c r="O997" s="1179">
        <f>SUM(C997:N997)/12</f>
        <v>290.08333333333337</v>
      </c>
      <c r="P997" s="2205">
        <f>O991/M!$Q$14</f>
        <v>0.2144098162810075</v>
      </c>
      <c r="Q997" s="1235"/>
      <c r="R997" s="1235"/>
      <c r="S997" s="1235"/>
      <c r="T997" s="1235"/>
      <c r="U997" s="1235"/>
      <c r="V997" s="1235"/>
      <c r="W997" s="1235"/>
    </row>
    <row r="998" spans="1:23">
      <c r="A998" s="1183"/>
      <c r="B998" s="1176" t="s">
        <v>284</v>
      </c>
      <c r="C998" s="1177">
        <v>60</v>
      </c>
      <c r="D998" s="1177">
        <v>73</v>
      </c>
      <c r="E998" s="1177">
        <v>285</v>
      </c>
      <c r="F998" s="1177">
        <v>100</v>
      </c>
      <c r="G998" s="1177">
        <v>493</v>
      </c>
      <c r="H998" s="1177">
        <v>47</v>
      </c>
      <c r="I998" s="1178">
        <v>55</v>
      </c>
      <c r="J998" s="1178">
        <v>115</v>
      </c>
      <c r="K998" s="1178">
        <v>26</v>
      </c>
      <c r="L998" s="1178">
        <v>5</v>
      </c>
      <c r="M998" s="1178">
        <v>5</v>
      </c>
      <c r="N998" s="1178">
        <v>0</v>
      </c>
      <c r="O998" s="1179">
        <f>SUM(C998:N998)/12</f>
        <v>105.33333333333333</v>
      </c>
      <c r="P998" s="2206"/>
      <c r="Q998" s="1235"/>
      <c r="R998" s="1235"/>
      <c r="S998" s="1235"/>
      <c r="T998" s="1235"/>
      <c r="U998" s="1235"/>
      <c r="V998" s="1235"/>
      <c r="W998" s="1235"/>
    </row>
    <row r="999" spans="1:23">
      <c r="A999" s="1183"/>
      <c r="B999" s="1176" t="s">
        <v>433</v>
      </c>
      <c r="C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D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E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F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G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H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I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J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K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L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M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N999" s="1178">
        <f>(FinSnapshot!$N$93+ FinSnapshot!$N$95+ FinSnapshot!$N$96+ FinSnapshot!$N$103 + FinSnapshot!$N$105+ FinSnapshot!$N$107+ FinSnapshot!$N$108+ FinSnapshot!$N$101+FinSnapshot!$N$95+FinSnapshot!$N$103)/12</f>
        <v>106.08333333333333</v>
      </c>
      <c r="O999" s="1179">
        <f>SUM(C999:N999)/12</f>
        <v>106.08333333333333</v>
      </c>
      <c r="P999" s="1180">
        <f>O993/M!$Q$14</f>
        <v>1.8667075180188092E-2</v>
      </c>
      <c r="Q999" s="1235"/>
      <c r="R999" s="1235"/>
      <c r="S999" s="1235"/>
      <c r="T999" s="1235"/>
      <c r="U999" s="1235"/>
      <c r="V999" s="1235"/>
      <c r="W999" s="1235"/>
    </row>
    <row r="1000" spans="1:23">
      <c r="A1000" s="1183"/>
      <c r="B1000" s="1176" t="s">
        <v>434</v>
      </c>
      <c r="C1000" s="1184">
        <v>0</v>
      </c>
      <c r="D1000" s="1184">
        <v>0</v>
      </c>
      <c r="E1000" s="1184">
        <v>0</v>
      </c>
      <c r="F1000" s="1184">
        <v>0</v>
      </c>
      <c r="G1000" s="1184">
        <v>0</v>
      </c>
      <c r="H1000" s="1184">
        <v>0</v>
      </c>
      <c r="I1000" s="1184">
        <v>0</v>
      </c>
      <c r="J1000" s="1184">
        <v>0</v>
      </c>
      <c r="K1000" s="1184">
        <v>0</v>
      </c>
      <c r="L1000" s="1184">
        <v>0</v>
      </c>
      <c r="M1000" s="1184">
        <v>0</v>
      </c>
      <c r="N1000" s="1184">
        <v>0</v>
      </c>
      <c r="O1000" s="1179">
        <f>SUM(C1000:N1000)/12</f>
        <v>0</v>
      </c>
      <c r="P1000" s="1180">
        <f>O994/M!$Q$14</f>
        <v>0.19574274110081941</v>
      </c>
      <c r="Q1000" s="1235"/>
      <c r="R1000" s="1235"/>
      <c r="S1000" s="1235"/>
      <c r="T1000" s="1235"/>
      <c r="U1000" s="1235"/>
      <c r="V1000" s="1235"/>
      <c r="W1000" s="1235"/>
    </row>
    <row r="1001" spans="1:23">
      <c r="A1001" s="2191" t="s">
        <v>435</v>
      </c>
      <c r="B1001" s="2192"/>
      <c r="C1001" s="2203">
        <f>SUM(C1003:C1005)</f>
        <v>37</v>
      </c>
      <c r="D1001" s="2203">
        <f t="shared" ref="D1001:N1001" si="257">SUM(D1003:D1005)</f>
        <v>30</v>
      </c>
      <c r="E1001" s="2203">
        <f t="shared" si="257"/>
        <v>130</v>
      </c>
      <c r="F1001" s="2203">
        <f t="shared" si="257"/>
        <v>4256</v>
      </c>
      <c r="G1001" s="2203">
        <f t="shared" si="257"/>
        <v>0</v>
      </c>
      <c r="H1001" s="2203">
        <f t="shared" si="257"/>
        <v>52</v>
      </c>
      <c r="I1001" s="2203">
        <f t="shared" si="257"/>
        <v>2529</v>
      </c>
      <c r="J1001" s="2203">
        <f t="shared" si="257"/>
        <v>0</v>
      </c>
      <c r="K1001" s="2203">
        <f t="shared" si="257"/>
        <v>75</v>
      </c>
      <c r="L1001" s="2203">
        <f t="shared" si="257"/>
        <v>281</v>
      </c>
      <c r="M1001" s="2203">
        <f t="shared" si="257"/>
        <v>0</v>
      </c>
      <c r="N1001" s="2203">
        <f t="shared" si="257"/>
        <v>29</v>
      </c>
      <c r="O1001" s="2203">
        <f>SUM(O1006:O1008)</f>
        <v>1278.3333333333333</v>
      </c>
      <c r="P1001" s="2205">
        <f>O995/M!$Q$14</f>
        <v>0.21504500498809959</v>
      </c>
      <c r="Q1001" s="1235"/>
      <c r="R1001" s="1235"/>
      <c r="S1001" s="1235"/>
      <c r="T1001" s="1235"/>
      <c r="U1001" s="1235"/>
      <c r="V1001" s="1235"/>
      <c r="W1001" s="1235"/>
    </row>
    <row r="1002" spans="1:23">
      <c r="A1002" s="2193"/>
      <c r="B1002" s="2194"/>
      <c r="C1002" s="2204"/>
      <c r="D1002" s="2204"/>
      <c r="E1002" s="2204"/>
      <c r="F1002" s="2204"/>
      <c r="G1002" s="2204"/>
      <c r="H1002" s="2204"/>
      <c r="I1002" s="2204"/>
      <c r="J1002" s="2204"/>
      <c r="K1002" s="2204"/>
      <c r="L1002" s="2204"/>
      <c r="M1002" s="2204"/>
      <c r="N1002" s="2204"/>
      <c r="O1002" s="2204"/>
      <c r="P1002" s="2206"/>
      <c r="Q1002" s="1235"/>
      <c r="R1002" s="1235"/>
      <c r="S1002" s="1235"/>
      <c r="T1002" s="1235"/>
      <c r="U1002" s="1235"/>
      <c r="V1002" s="1235"/>
      <c r="W1002" s="1235"/>
    </row>
    <row r="1003" spans="1:23">
      <c r="A1003" s="1183"/>
      <c r="B1003" s="1176" t="s">
        <v>405</v>
      </c>
      <c r="C1003" s="1177">
        <v>0</v>
      </c>
      <c r="D1003" s="1177">
        <v>0</v>
      </c>
      <c r="E1003" s="1177">
        <v>0</v>
      </c>
      <c r="F1003" s="1177">
        <v>0</v>
      </c>
      <c r="G1003" s="1177">
        <v>0</v>
      </c>
      <c r="H1003" s="1177">
        <v>0</v>
      </c>
      <c r="I1003" s="1178">
        <v>0</v>
      </c>
      <c r="J1003" s="1178">
        <v>0</v>
      </c>
      <c r="K1003" s="1178">
        <v>0</v>
      </c>
      <c r="L1003" s="1178">
        <v>0</v>
      </c>
      <c r="M1003" s="1178">
        <v>0</v>
      </c>
      <c r="N1003" s="1178">
        <v>0</v>
      </c>
      <c r="O1003" s="1179">
        <f>SUM(C1003:N1003)/12</f>
        <v>0</v>
      </c>
      <c r="P1003" s="1180">
        <f>O997/M!$Q$14</f>
        <v>2.6012845757499903E-2</v>
      </c>
      <c r="Q1003" s="1235"/>
      <c r="R1003" s="1235"/>
      <c r="S1003" s="1235"/>
      <c r="T1003" s="1235"/>
      <c r="U1003" s="1235"/>
      <c r="V1003" s="1235"/>
      <c r="W1003" s="1235"/>
    </row>
    <row r="1004" spans="1:23">
      <c r="A1004" s="1183"/>
      <c r="B1004" s="1176" t="s">
        <v>436</v>
      </c>
      <c r="C1004" s="1177">
        <v>37</v>
      </c>
      <c r="D1004" s="1177">
        <v>30</v>
      </c>
      <c r="E1004" s="1177">
        <v>110</v>
      </c>
      <c r="F1004" s="1177">
        <v>242</v>
      </c>
      <c r="G1004" s="1177">
        <v>0</v>
      </c>
      <c r="H1004" s="1177">
        <v>52</v>
      </c>
      <c r="I1004" s="1178">
        <v>99</v>
      </c>
      <c r="J1004" s="1178">
        <v>0</v>
      </c>
      <c r="K1004" s="1178">
        <v>75</v>
      </c>
      <c r="L1004" s="1178">
        <v>240</v>
      </c>
      <c r="M1004" s="1178">
        <v>0</v>
      </c>
      <c r="N1004" s="1178">
        <v>29</v>
      </c>
      <c r="O1004" s="1179">
        <f>SUM(C1004:N1004)/12</f>
        <v>76.166666666666671</v>
      </c>
      <c r="P1004" s="1180">
        <f>O998/M!$Q$14</f>
        <v>9.4456297148749983E-3</v>
      </c>
      <c r="Q1004" s="1235"/>
      <c r="R1004" s="1235"/>
      <c r="S1004" s="1235"/>
      <c r="T1004" s="1235"/>
      <c r="U1004" s="1235"/>
      <c r="V1004" s="1235"/>
      <c r="W1004" s="1235"/>
    </row>
    <row r="1005" spans="1:23">
      <c r="A1005" s="1183"/>
      <c r="B1005" s="1176" t="s">
        <v>130</v>
      </c>
      <c r="C1005" s="1177">
        <v>0</v>
      </c>
      <c r="D1005" s="1177">
        <v>0</v>
      </c>
      <c r="E1005" s="1177">
        <v>20</v>
      </c>
      <c r="F1005" s="1177">
        <v>4014</v>
      </c>
      <c r="G1005" s="1177">
        <v>0</v>
      </c>
      <c r="H1005" s="1177">
        <v>0</v>
      </c>
      <c r="I1005" s="1178">
        <v>2430</v>
      </c>
      <c r="J1005" s="1178">
        <v>0</v>
      </c>
      <c r="K1005" s="1178">
        <v>0</v>
      </c>
      <c r="L1005" s="1178">
        <v>41</v>
      </c>
      <c r="M1005" s="1178">
        <v>0</v>
      </c>
      <c r="N1005" s="1178">
        <v>0</v>
      </c>
      <c r="O1005" s="1179">
        <f>SUM(C1005:N1005)/12</f>
        <v>542.08333333333337</v>
      </c>
      <c r="P1005" s="1180">
        <f>O999/M!$Q$14</f>
        <v>9.5128849897435711E-3</v>
      </c>
      <c r="Q1005" s="1235"/>
      <c r="R1005" s="1235"/>
      <c r="S1005" s="1235"/>
      <c r="T1005" s="1235"/>
      <c r="U1005" s="1235"/>
      <c r="V1005" s="1235"/>
      <c r="W1005" s="1235"/>
    </row>
    <row r="1006" spans="1:23">
      <c r="A1006" s="2191" t="s">
        <v>286</v>
      </c>
      <c r="B1006" s="2192"/>
      <c r="C1006" s="2203">
        <f t="shared" ref="C1006:N1006" si="258">SUM(C1008:C1009)</f>
        <v>0</v>
      </c>
      <c r="D1006" s="2203">
        <f t="shared" si="258"/>
        <v>0</v>
      </c>
      <c r="E1006" s="2203">
        <f t="shared" si="258"/>
        <v>0</v>
      </c>
      <c r="F1006" s="2203">
        <f t="shared" si="258"/>
        <v>3170</v>
      </c>
      <c r="G1006" s="2203">
        <f t="shared" si="258"/>
        <v>0</v>
      </c>
      <c r="H1006" s="2203">
        <f t="shared" si="258"/>
        <v>0</v>
      </c>
      <c r="I1006" s="2203">
        <f t="shared" si="258"/>
        <v>0</v>
      </c>
      <c r="J1006" s="2203">
        <f t="shared" si="258"/>
        <v>2000</v>
      </c>
      <c r="K1006" s="2203">
        <f t="shared" si="258"/>
        <v>0</v>
      </c>
      <c r="L1006" s="2203">
        <f t="shared" si="258"/>
        <v>0</v>
      </c>
      <c r="M1006" s="2203">
        <f t="shared" si="258"/>
        <v>2500</v>
      </c>
      <c r="N1006" s="2203">
        <f t="shared" si="258"/>
        <v>0</v>
      </c>
      <c r="O1006" s="2203">
        <f>SUM(O1008:O1009)</f>
        <v>639.16666666666663</v>
      </c>
      <c r="P1006" s="1180">
        <f>O1000/M!$Q$14</f>
        <v>0</v>
      </c>
      <c r="Q1006" s="1235"/>
      <c r="R1006" s="1235"/>
      <c r="S1006" s="1235"/>
      <c r="T1006" s="1235"/>
      <c r="U1006" s="1235"/>
      <c r="V1006" s="1235"/>
      <c r="W1006" s="1235"/>
    </row>
    <row r="1007" spans="1:23">
      <c r="A1007" s="2193"/>
      <c r="B1007" s="2194"/>
      <c r="C1007" s="2204"/>
      <c r="D1007" s="2204"/>
      <c r="E1007" s="2204"/>
      <c r="F1007" s="2204"/>
      <c r="G1007" s="2204"/>
      <c r="H1007" s="2204"/>
      <c r="I1007" s="2204"/>
      <c r="J1007" s="2204"/>
      <c r="K1007" s="2204"/>
      <c r="L1007" s="2204"/>
      <c r="M1007" s="2204"/>
      <c r="N1007" s="2204"/>
      <c r="O1007" s="2204"/>
      <c r="P1007" s="2205">
        <f>O1001/M!$Q$14</f>
        <v>0.11463287960932159</v>
      </c>
      <c r="Q1007" s="1235"/>
      <c r="R1007" s="1235"/>
      <c r="S1007" s="1235"/>
      <c r="T1007" s="1235"/>
      <c r="U1007" s="1235"/>
      <c r="V1007" s="1235"/>
      <c r="W1007" s="1235"/>
    </row>
    <row r="1008" spans="1:23">
      <c r="A1008" s="2217"/>
      <c r="B1008" s="1176" t="s">
        <v>82</v>
      </c>
      <c r="C1008" s="1177">
        <v>0</v>
      </c>
      <c r="D1008" s="1177">
        <v>0</v>
      </c>
      <c r="E1008" s="1177">
        <v>0</v>
      </c>
      <c r="F1008" s="1177">
        <v>3170</v>
      </c>
      <c r="G1008" s="1177">
        <v>0</v>
      </c>
      <c r="H1008" s="1177">
        <v>0</v>
      </c>
      <c r="I1008" s="1178">
        <v>0</v>
      </c>
      <c r="J1008" s="1178">
        <v>2000</v>
      </c>
      <c r="K1008" s="1178">
        <v>0</v>
      </c>
      <c r="L1008" s="1178">
        <v>0</v>
      </c>
      <c r="M1008" s="1178">
        <v>2500</v>
      </c>
      <c r="N1008" s="1178">
        <v>0</v>
      </c>
      <c r="O1008" s="1179">
        <f>SUM(C1008:N1008)/12</f>
        <v>639.16666666666663</v>
      </c>
      <c r="P1008" s="2206"/>
      <c r="Q1008" s="1235"/>
      <c r="R1008" s="1235"/>
      <c r="S1008" s="1235"/>
      <c r="T1008" s="1235"/>
      <c r="U1008" s="1235"/>
      <c r="V1008" s="1235"/>
      <c r="W1008" s="1235"/>
    </row>
    <row r="1009" spans="1:23">
      <c r="A1009" s="2219"/>
      <c r="B1009" s="1176" t="s">
        <v>83</v>
      </c>
      <c r="C1009" s="1177">
        <v>0</v>
      </c>
      <c r="D1009" s="1177">
        <v>0</v>
      </c>
      <c r="E1009" s="1177">
        <v>0</v>
      </c>
      <c r="F1009" s="1177">
        <v>0</v>
      </c>
      <c r="G1009" s="1177">
        <v>0</v>
      </c>
      <c r="H1009" s="1177">
        <v>0</v>
      </c>
      <c r="I1009" s="1178">
        <v>0</v>
      </c>
      <c r="J1009" s="1178">
        <v>0</v>
      </c>
      <c r="K1009" s="1178">
        <v>0</v>
      </c>
      <c r="L1009" s="1178">
        <v>0</v>
      </c>
      <c r="M1009" s="1178">
        <v>0</v>
      </c>
      <c r="N1009" s="1178">
        <v>0</v>
      </c>
      <c r="O1009" s="1179">
        <f>SUM(C1009:N1009)/12</f>
        <v>0</v>
      </c>
      <c r="P1009" s="1180">
        <f>O1003/M!$Q$14</f>
        <v>0</v>
      </c>
      <c r="Q1009" s="1235"/>
      <c r="R1009" s="1235"/>
      <c r="S1009" s="1235"/>
      <c r="T1009" s="1235"/>
      <c r="U1009" s="1235"/>
      <c r="V1009" s="1235"/>
      <c r="W1009" s="1235"/>
    </row>
    <row r="1010" spans="1:23">
      <c r="A1010" s="1187" t="s">
        <v>437</v>
      </c>
      <c r="B1010" s="1188"/>
      <c r="C1010" s="1189">
        <f t="shared" ref="C1010:N1010" si="259">C940+C954+C962+C968+C972+C982+C991+C995+C1001+C1006</f>
        <v>9449.1666666666661</v>
      </c>
      <c r="D1010" s="1189">
        <f t="shared" si="259"/>
        <v>6971.166666666667</v>
      </c>
      <c r="E1010" s="1189">
        <f t="shared" si="259"/>
        <v>8020.166666666667</v>
      </c>
      <c r="F1010" s="1189">
        <f t="shared" si="259"/>
        <v>19469.166666666664</v>
      </c>
      <c r="G1010" s="1189">
        <f t="shared" si="259"/>
        <v>9000.1666666666661</v>
      </c>
      <c r="H1010" s="1189">
        <f t="shared" si="259"/>
        <v>7495.166666666667</v>
      </c>
      <c r="I1010" s="1189">
        <f t="shared" si="259"/>
        <v>12308.166666666666</v>
      </c>
      <c r="J1010" s="1189">
        <f t="shared" si="259"/>
        <v>9470.1666666666679</v>
      </c>
      <c r="K1010" s="1189">
        <f t="shared" si="259"/>
        <v>8408.1666666666661</v>
      </c>
      <c r="L1010" s="1189">
        <f t="shared" si="259"/>
        <v>7497.166666666667</v>
      </c>
      <c r="M1010" s="1189">
        <f t="shared" si="259"/>
        <v>11906.166666666666</v>
      </c>
      <c r="N1010" s="1189">
        <f t="shared" si="259"/>
        <v>7081.166666666667</v>
      </c>
      <c r="O1010" s="1189">
        <f>SUM(C1010:N1010)/12</f>
        <v>9756.3333333333339</v>
      </c>
      <c r="P1010" s="1180">
        <f>O1004/M!$Q$14</f>
        <v>6.8301468033194219E-3</v>
      </c>
      <c r="Q1010" s="1235"/>
      <c r="R1010" s="1235"/>
      <c r="S1010" s="1235"/>
      <c r="T1010" s="1235"/>
      <c r="U1010" s="1235"/>
      <c r="V1010" s="1235"/>
      <c r="W1010" s="1235"/>
    </row>
    <row r="1011" spans="1:23">
      <c r="A1011" s="1191" t="s">
        <v>658</v>
      </c>
      <c r="B1011" s="1192"/>
      <c r="C1011" s="1193">
        <f>C1010/M!$Q$14</f>
        <v>0.84734173526081968</v>
      </c>
      <c r="D1011" s="1193">
        <f>D1010/M!$Q$14</f>
        <v>0.6251303070950579</v>
      </c>
      <c r="E1011" s="1193">
        <f>E1010/M!$Q$14</f>
        <v>0.71919801821123397</v>
      </c>
      <c r="F1011" s="1193">
        <f>F1010/M!$Q$14</f>
        <v>1.7458722075049413</v>
      </c>
      <c r="G1011" s="1193">
        <f>G1010/M!$Q$14</f>
        <v>0.80707824403950124</v>
      </c>
      <c r="H1011" s="1193">
        <f>H1010/M!$Q$14</f>
        <v>0.67211932580323352</v>
      </c>
      <c r="I1011" s="1193">
        <f>I1010/M!$Q$14</f>
        <v>1.1037188430598162</v>
      </c>
      <c r="J1011" s="1193">
        <f>J1010/M!$Q$14</f>
        <v>0.84922488295713983</v>
      </c>
      <c r="K1011" s="1193">
        <f>K1010/M!$Q$14</f>
        <v>0.75399141374324175</v>
      </c>
      <c r="L1011" s="1193">
        <f>L1010/M!$Q$14</f>
        <v>0.67229867320288306</v>
      </c>
      <c r="M1011" s="1193">
        <f>M1010/M!$Q$14</f>
        <v>1.0676700157302614</v>
      </c>
      <c r="N1011" s="1193">
        <f>N1010/M!$Q$14</f>
        <v>0.63499441407578183</v>
      </c>
      <c r="O1011" s="1193">
        <f>O1010/M!$Q$14</f>
        <v>0.87488650672365942</v>
      </c>
      <c r="P1011" s="1180">
        <f>O1005/M!$Q$14</f>
        <v>4.8610618113340089E-2</v>
      </c>
      <c r="Q1011" s="1235"/>
      <c r="R1011" s="1235"/>
      <c r="S1011" s="1235"/>
      <c r="T1011" s="1235"/>
      <c r="U1011" s="1235"/>
      <c r="V1011" s="1235"/>
      <c r="W1011" s="1235"/>
    </row>
    <row r="1012" spans="1:23">
      <c r="A1012" s="1235"/>
      <c r="B1012" s="1235"/>
      <c r="C1012" s="1235"/>
      <c r="D1012" s="1235"/>
      <c r="E1012" s="1235"/>
      <c r="F1012" s="1235"/>
      <c r="G1012" s="1235"/>
      <c r="H1012" s="1235"/>
      <c r="I1012" s="1235"/>
      <c r="J1012" s="1235"/>
      <c r="K1012" s="1235"/>
      <c r="L1012" s="1235"/>
      <c r="M1012" s="1235"/>
      <c r="N1012" s="1235"/>
      <c r="O1012" s="1235"/>
      <c r="P1012" s="2205">
        <f>O1006/M!$Q$14</f>
        <v>5.7316439804660793E-2</v>
      </c>
      <c r="Q1012" s="1235"/>
      <c r="R1012" s="1235"/>
      <c r="S1012" s="1235"/>
      <c r="T1012" s="1235"/>
      <c r="U1012" s="1235"/>
      <c r="V1012" s="1235"/>
      <c r="W1012" s="1235"/>
    </row>
    <row r="1013" spans="1:23">
      <c r="A1013" s="1235"/>
      <c r="B1013" s="1235"/>
      <c r="C1013" s="1235"/>
      <c r="D1013" s="1235"/>
      <c r="E1013" s="1235"/>
      <c r="F1013" s="1235"/>
      <c r="G1013" s="1235"/>
      <c r="H1013" s="1235"/>
      <c r="I1013" s="1235"/>
      <c r="J1013" s="1235"/>
      <c r="K1013" s="1235"/>
      <c r="L1013" s="1235"/>
      <c r="M1013" s="1235"/>
      <c r="N1013" s="1235"/>
      <c r="O1013" s="1235"/>
      <c r="P1013" s="2206"/>
      <c r="Q1013" s="1235"/>
      <c r="R1013" s="1235"/>
      <c r="S1013" s="1235"/>
      <c r="T1013" s="1235"/>
      <c r="U1013" s="1235"/>
      <c r="V1013" s="1235"/>
      <c r="W1013" s="1235"/>
    </row>
    <row r="1014" spans="1:23">
      <c r="A1014" s="1235"/>
      <c r="B1014" s="1235"/>
      <c r="C1014" s="1235"/>
      <c r="D1014" s="1235"/>
      <c r="E1014" s="1235"/>
      <c r="F1014" s="1235"/>
      <c r="G1014" s="1235"/>
      <c r="H1014" s="1235"/>
      <c r="I1014" s="1235"/>
      <c r="J1014" s="1235"/>
      <c r="K1014" s="1235"/>
      <c r="L1014" s="1235"/>
      <c r="M1014" s="1235"/>
      <c r="N1014" s="1235"/>
      <c r="O1014" s="1235"/>
      <c r="P1014" s="1180">
        <f>O1008/M!$Q$14</f>
        <v>5.7316439804660793E-2</v>
      </c>
      <c r="Q1014" s="1235"/>
      <c r="R1014" s="1235"/>
      <c r="S1014" s="1235"/>
      <c r="T1014" s="1235"/>
      <c r="U1014" s="1235"/>
      <c r="V1014" s="1235"/>
      <c r="W1014" s="1235"/>
    </row>
    <row r="1015" spans="1:23">
      <c r="A1015" s="2195">
        <v>2013</v>
      </c>
      <c r="B1015" s="2196"/>
      <c r="C1015" s="2196"/>
      <c r="D1015" s="2196"/>
      <c r="E1015" s="2196"/>
      <c r="F1015" s="2196"/>
      <c r="G1015" s="2196"/>
      <c r="H1015" s="2196"/>
      <c r="I1015" s="2196"/>
      <c r="J1015" s="2196"/>
      <c r="K1015" s="2196"/>
      <c r="L1015" s="2196"/>
      <c r="M1015" s="2196"/>
      <c r="N1015" s="2196"/>
      <c r="O1015" s="2196"/>
      <c r="P1015" s="1180">
        <f>O1009/M!$Q$14</f>
        <v>0</v>
      </c>
      <c r="Q1015" s="1235"/>
      <c r="R1015" s="1235"/>
      <c r="S1015" s="1235"/>
      <c r="T1015" s="1235"/>
      <c r="U1015" s="1235"/>
      <c r="V1015" s="1235"/>
      <c r="W1015" s="1235"/>
    </row>
    <row r="1016" spans="1:23">
      <c r="A1016" s="1171" t="s">
        <v>388</v>
      </c>
      <c r="B1016" s="1172"/>
      <c r="C1016" s="1173" t="s">
        <v>309</v>
      </c>
      <c r="D1016" s="1173" t="s">
        <v>311</v>
      </c>
      <c r="E1016" s="1173" t="s">
        <v>312</v>
      </c>
      <c r="F1016" s="1173" t="s">
        <v>313</v>
      </c>
      <c r="G1016" s="1173" t="s">
        <v>314</v>
      </c>
      <c r="H1016" s="1173" t="s">
        <v>315</v>
      </c>
      <c r="I1016" s="1173" t="s">
        <v>316</v>
      </c>
      <c r="J1016" s="1173" t="s">
        <v>317</v>
      </c>
      <c r="K1016" s="1173" t="s">
        <v>318</v>
      </c>
      <c r="L1016" s="1173" t="s">
        <v>319</v>
      </c>
      <c r="M1016" s="1173" t="s">
        <v>320</v>
      </c>
      <c r="N1016" s="1173" t="s">
        <v>321</v>
      </c>
      <c r="O1016" s="1174" t="s">
        <v>660</v>
      </c>
      <c r="P1016" s="1190">
        <f>O1010/M!$Q$14</f>
        <v>0.87488650672365942</v>
      </c>
      <c r="Q1016" s="1235"/>
      <c r="R1016" s="1235"/>
      <c r="S1016" s="1235"/>
      <c r="T1016" s="1235"/>
      <c r="U1016" s="1235"/>
      <c r="V1016" s="1235"/>
      <c r="W1016" s="1235"/>
    </row>
    <row r="1017" spans="1:23">
      <c r="A1017" s="2191" t="s">
        <v>56</v>
      </c>
      <c r="B1017" s="2192"/>
      <c r="C1017" s="2203">
        <f t="shared" ref="C1017:I1017" si="260">C1019+ SUM(C1025:C1030)</f>
        <v>2345.449899792477</v>
      </c>
      <c r="D1017" s="2203">
        <f t="shared" si="260"/>
        <v>4833.4498997924766</v>
      </c>
      <c r="E1017" s="2203">
        <f t="shared" si="260"/>
        <v>2700.449899792477</v>
      </c>
      <c r="F1017" s="2203">
        <f t="shared" si="260"/>
        <v>2345.449899792477</v>
      </c>
      <c r="G1017" s="2203">
        <f t="shared" si="260"/>
        <v>18438</v>
      </c>
      <c r="H1017" s="2203">
        <f t="shared" si="260"/>
        <v>1891</v>
      </c>
      <c r="I1017" s="2203">
        <f t="shared" si="260"/>
        <v>1866</v>
      </c>
      <c r="J1017" s="2203">
        <f t="shared" ref="J1017:O1017" si="261">J1019+ SUM(J1025:J1030)</f>
        <v>1649</v>
      </c>
      <c r="K1017" s="2203">
        <f t="shared" si="261"/>
        <v>1649</v>
      </c>
      <c r="L1017" s="2203">
        <f t="shared" si="261"/>
        <v>1649</v>
      </c>
      <c r="M1017" s="2203">
        <f t="shared" si="261"/>
        <v>1649</v>
      </c>
      <c r="N1017" s="2203">
        <f t="shared" si="261"/>
        <v>1649</v>
      </c>
      <c r="O1017" s="2203">
        <f t="shared" si="261"/>
        <v>3555.399966597492</v>
      </c>
      <c r="P1017" s="1194"/>
      <c r="Q1017" s="1235"/>
      <c r="R1017" s="1235"/>
      <c r="S1017" s="1235"/>
      <c r="T1017" s="1235"/>
      <c r="U1017" s="1235"/>
      <c r="V1017" s="1235"/>
      <c r="W1017" s="1235"/>
    </row>
    <row r="1018" spans="1:23">
      <c r="A1018" s="2193"/>
      <c r="B1018" s="2194"/>
      <c r="C1018" s="2204"/>
      <c r="D1018" s="2204"/>
      <c r="E1018" s="2204"/>
      <c r="F1018" s="2204"/>
      <c r="G1018" s="2204"/>
      <c r="H1018" s="2204"/>
      <c r="I1018" s="2204"/>
      <c r="J1018" s="2204"/>
      <c r="K1018" s="2204"/>
      <c r="L1018" s="2204"/>
      <c r="M1018" s="2204"/>
      <c r="N1018" s="2204"/>
      <c r="O1018" s="2204"/>
      <c r="P1018" s="1235"/>
      <c r="Q1018" s="1235"/>
      <c r="R1018" s="1235"/>
      <c r="S1018" s="1235"/>
      <c r="T1018" s="1235"/>
      <c r="U1018" s="1235"/>
      <c r="V1018" s="1235"/>
      <c r="W1018" s="1235"/>
    </row>
    <row r="1019" spans="1:23">
      <c r="A1019" s="2217"/>
      <c r="B1019" s="1176" t="s">
        <v>662</v>
      </c>
      <c r="C1019" s="1228">
        <v>1755.449899792477</v>
      </c>
      <c r="D1019" s="1228">
        <v>1755.449899792477</v>
      </c>
      <c r="E1019" s="1228">
        <v>1755.449899792477</v>
      </c>
      <c r="F1019" s="1228">
        <v>1755.449899792477</v>
      </c>
      <c r="G1019" s="1228">
        <v>17846</v>
      </c>
      <c r="H1019" s="1228">
        <v>1057</v>
      </c>
      <c r="I1019" s="1229">
        <v>1057</v>
      </c>
      <c r="J1019" s="1229">
        <v>1057</v>
      </c>
      <c r="K1019" s="1229">
        <v>1057</v>
      </c>
      <c r="L1019" s="1229">
        <v>1057</v>
      </c>
      <c r="M1019" s="1229">
        <v>1057</v>
      </c>
      <c r="N1019" s="1229">
        <v>1057</v>
      </c>
      <c r="O1019" s="1179">
        <f t="shared" ref="O1019:O1030" si="262">SUM(C1019:N1019)/12</f>
        <v>2688.899966597492</v>
      </c>
      <c r="P1019" s="1235"/>
      <c r="Q1019" s="1235"/>
      <c r="R1019" s="1235"/>
      <c r="S1019" s="1235"/>
      <c r="T1019" s="1235"/>
      <c r="U1019" s="1235"/>
      <c r="V1019" s="1235"/>
      <c r="W1019" s="1235"/>
    </row>
    <row r="1020" spans="1:23">
      <c r="A1020" s="2218"/>
      <c r="B1020" s="1176" t="s">
        <v>663</v>
      </c>
      <c r="C1020" s="1178">
        <v>942.29205703109426</v>
      </c>
      <c r="D1020" s="1178">
        <v>940.88568986223788</v>
      </c>
      <c r="E1020" s="1178">
        <v>939.47287684385731</v>
      </c>
      <c r="F1020" s="1178">
        <v>938.0535884324762</v>
      </c>
      <c r="G1020" s="1178">
        <v>661</v>
      </c>
      <c r="H1020" s="1178">
        <v>657</v>
      </c>
      <c r="I1020" s="1178">
        <v>657</v>
      </c>
      <c r="J1020" s="1178">
        <v>657</v>
      </c>
      <c r="K1020" s="1178">
        <v>657</v>
      </c>
      <c r="L1020" s="1178">
        <v>657</v>
      </c>
      <c r="M1020" s="1178">
        <v>657</v>
      </c>
      <c r="N1020" s="1178">
        <v>657</v>
      </c>
      <c r="O1020" s="1179">
        <f t="shared" si="262"/>
        <v>751.72535101413871</v>
      </c>
      <c r="P1020" s="1235"/>
      <c r="Q1020" s="1235"/>
      <c r="R1020" s="1235"/>
      <c r="S1020" s="1235"/>
      <c r="T1020" s="1235"/>
      <c r="U1020" s="1235"/>
      <c r="V1020" s="1235"/>
      <c r="W1020" s="1235"/>
    </row>
    <row r="1021" spans="1:23">
      <c r="A1021" s="2218"/>
      <c r="B1021" s="1176" t="s">
        <v>664</v>
      </c>
      <c r="C1021" s="1178">
        <v>306.84374593231189</v>
      </c>
      <c r="D1021" s="1178">
        <v>308.25011310116827</v>
      </c>
      <c r="E1021" s="1178">
        <v>309.66292611954884</v>
      </c>
      <c r="F1021" s="1178">
        <v>311.08221453092995</v>
      </c>
      <c r="G1021" s="1178">
        <v>396</v>
      </c>
      <c r="H1021" s="1178">
        <v>400</v>
      </c>
      <c r="I1021" s="1178">
        <v>400</v>
      </c>
      <c r="J1021" s="1178">
        <v>400</v>
      </c>
      <c r="K1021" s="1178">
        <v>400</v>
      </c>
      <c r="L1021" s="1178">
        <v>400</v>
      </c>
      <c r="M1021" s="1178">
        <v>400</v>
      </c>
      <c r="N1021" s="1178">
        <v>400</v>
      </c>
      <c r="O1021" s="1179">
        <f t="shared" si="262"/>
        <v>369.31991664032989</v>
      </c>
      <c r="P1021" s="2197"/>
      <c r="Q1021" s="1235"/>
      <c r="R1021" s="1235"/>
      <c r="S1021" s="1235"/>
      <c r="T1021" s="1235"/>
      <c r="U1021" s="1235"/>
      <c r="V1021" s="1235"/>
      <c r="W1021" s="1235"/>
    </row>
    <row r="1022" spans="1:23">
      <c r="A1022" s="2218"/>
      <c r="B1022" s="1176" t="s">
        <v>450</v>
      </c>
      <c r="C1022" s="1178">
        <v>0</v>
      </c>
      <c r="D1022" s="1178">
        <v>0</v>
      </c>
      <c r="E1022" s="1178">
        <v>0</v>
      </c>
      <c r="F1022" s="1178">
        <v>0</v>
      </c>
      <c r="G1022" s="1178">
        <v>0</v>
      </c>
      <c r="H1022" s="1178">
        <v>0</v>
      </c>
      <c r="I1022" s="1178">
        <v>0</v>
      </c>
      <c r="J1022" s="1178">
        <v>0</v>
      </c>
      <c r="K1022" s="1178">
        <v>0</v>
      </c>
      <c r="L1022" s="1178">
        <v>0</v>
      </c>
      <c r="M1022" s="1178">
        <v>0</v>
      </c>
      <c r="N1022" s="1178">
        <v>0</v>
      </c>
      <c r="O1022" s="1179">
        <f t="shared" si="262"/>
        <v>0</v>
      </c>
      <c r="P1022" s="1175" t="s">
        <v>661</v>
      </c>
      <c r="Q1022" s="1235"/>
      <c r="R1022" s="1235"/>
      <c r="S1022" s="1235"/>
      <c r="T1022" s="1235"/>
      <c r="U1022" s="1235"/>
      <c r="V1022" s="1235"/>
      <c r="W1022" s="1235"/>
    </row>
    <row r="1023" spans="1:23">
      <c r="A1023" s="2218"/>
      <c r="B1023" s="1176" t="s">
        <v>665</v>
      </c>
      <c r="C1023" s="1178">
        <v>100.26238057496283</v>
      </c>
      <c r="D1023" s="1178">
        <v>98.232121993692303</v>
      </c>
      <c r="E1023" s="1178">
        <v>96.191712119515401</v>
      </c>
      <c r="F1023" s="1178">
        <v>94.141100195967624</v>
      </c>
      <c r="G1023" s="1178">
        <v>0</v>
      </c>
      <c r="H1023" s="1178">
        <v>0</v>
      </c>
      <c r="I1023" s="1178">
        <v>0</v>
      </c>
      <c r="J1023" s="1178">
        <v>0</v>
      </c>
      <c r="K1023" s="1178">
        <v>0</v>
      </c>
      <c r="L1023" s="1178">
        <v>0</v>
      </c>
      <c r="M1023" s="1178">
        <v>0</v>
      </c>
      <c r="N1023" s="1178">
        <v>0</v>
      </c>
      <c r="O1023" s="1179">
        <f t="shared" si="262"/>
        <v>32.402276240344847</v>
      </c>
      <c r="P1023" s="2205">
        <f>O1017/M!$Q$14</f>
        <v>0.31882586936163465</v>
      </c>
      <c r="Q1023" s="1235"/>
      <c r="R1023" s="1235"/>
      <c r="S1023" s="1235"/>
      <c r="T1023" s="1235"/>
      <c r="U1023" s="1235"/>
      <c r="V1023" s="1235"/>
      <c r="W1023" s="1235"/>
    </row>
    <row r="1024" spans="1:23">
      <c r="A1024" s="2218"/>
      <c r="B1024" s="1176" t="s">
        <v>664</v>
      </c>
      <c r="C1024" s="1178">
        <v>406.05171625410793</v>
      </c>
      <c r="D1024" s="1178">
        <v>408.08197483537845</v>
      </c>
      <c r="E1024" s="1178">
        <v>410.12238470955538</v>
      </c>
      <c r="F1024" s="1178">
        <v>412.17299663310314</v>
      </c>
      <c r="G1024" s="1178">
        <v>16789</v>
      </c>
      <c r="H1024" s="1178">
        <v>0</v>
      </c>
      <c r="I1024" s="1178">
        <v>0</v>
      </c>
      <c r="J1024" s="1178">
        <v>0</v>
      </c>
      <c r="K1024" s="1178">
        <v>0</v>
      </c>
      <c r="L1024" s="1178">
        <v>0</v>
      </c>
      <c r="M1024" s="1178">
        <v>0</v>
      </c>
      <c r="N1024" s="1178">
        <v>0</v>
      </c>
      <c r="O1024" s="1179">
        <f t="shared" si="262"/>
        <v>1535.4524227026786</v>
      </c>
      <c r="P1024" s="2206"/>
      <c r="Q1024" s="1235"/>
      <c r="R1024" s="1235"/>
      <c r="S1024" s="1235"/>
      <c r="T1024" s="1235"/>
      <c r="U1024" s="1235"/>
      <c r="V1024" s="1235"/>
      <c r="W1024" s="1235"/>
    </row>
    <row r="1025" spans="1:23">
      <c r="A1025" s="2218"/>
      <c r="B1025" s="1176" t="s">
        <v>287</v>
      </c>
      <c r="C1025" s="1178">
        <v>303</v>
      </c>
      <c r="D1025" s="1178">
        <v>303</v>
      </c>
      <c r="E1025" s="1178">
        <v>303</v>
      </c>
      <c r="F1025" s="1178">
        <v>303</v>
      </c>
      <c r="G1025" s="1178">
        <v>303</v>
      </c>
      <c r="H1025" s="1178">
        <v>303</v>
      </c>
      <c r="I1025" s="1178">
        <v>303</v>
      </c>
      <c r="J1025" s="1178">
        <v>303</v>
      </c>
      <c r="K1025" s="1178">
        <v>303</v>
      </c>
      <c r="L1025" s="1178">
        <v>303</v>
      </c>
      <c r="M1025" s="1178">
        <v>303</v>
      </c>
      <c r="N1025" s="1178">
        <v>303</v>
      </c>
      <c r="O1025" s="1179">
        <f t="shared" si="262"/>
        <v>303</v>
      </c>
      <c r="P1025" s="1180">
        <f>O1019/M!$Q$14</f>
        <v>0.24112360846347783</v>
      </c>
      <c r="Q1025" s="1235"/>
      <c r="R1025" s="1235"/>
      <c r="S1025" s="1235"/>
      <c r="T1025" s="1235"/>
      <c r="U1025" s="1235"/>
      <c r="V1025" s="1235"/>
      <c r="W1025" s="1235"/>
    </row>
    <row r="1026" spans="1:23">
      <c r="A1026" s="2218"/>
      <c r="B1026" s="1176" t="s">
        <v>453</v>
      </c>
      <c r="C1026" s="1178">
        <v>0</v>
      </c>
      <c r="D1026" s="1178">
        <v>0</v>
      </c>
      <c r="E1026" s="1178">
        <v>0</v>
      </c>
      <c r="F1026" s="1178">
        <v>0</v>
      </c>
      <c r="G1026" s="1178">
        <v>0</v>
      </c>
      <c r="H1026" s="1178">
        <v>0</v>
      </c>
      <c r="I1026" s="1178">
        <v>0</v>
      </c>
      <c r="J1026" s="1178">
        <v>0</v>
      </c>
      <c r="K1026" s="1178">
        <v>0</v>
      </c>
      <c r="L1026" s="1178">
        <v>0</v>
      </c>
      <c r="M1026" s="1178">
        <v>0</v>
      </c>
      <c r="N1026" s="1178">
        <v>0</v>
      </c>
      <c r="O1026" s="1179">
        <f t="shared" si="262"/>
        <v>0</v>
      </c>
      <c r="P1026" s="1180">
        <f>O1020/M!$Q$14</f>
        <v>6.7409993477506217E-2</v>
      </c>
      <c r="Q1026" s="1235"/>
      <c r="R1026" s="1235"/>
      <c r="S1026" s="1235"/>
      <c r="T1026" s="1235"/>
      <c r="U1026" s="1235"/>
      <c r="V1026" s="1235"/>
      <c r="W1026" s="1235"/>
    </row>
    <row r="1027" spans="1:23">
      <c r="A1027" s="2218"/>
      <c r="B1027" s="1176" t="s">
        <v>400</v>
      </c>
      <c r="C1027" s="1178">
        <v>0</v>
      </c>
      <c r="D1027" s="1178">
        <v>0</v>
      </c>
      <c r="E1027" s="1178">
        <v>0</v>
      </c>
      <c r="F1027" s="1178">
        <v>0</v>
      </c>
      <c r="G1027" s="1178">
        <v>0</v>
      </c>
      <c r="H1027" s="1178">
        <v>242</v>
      </c>
      <c r="I1027" s="1178">
        <v>0</v>
      </c>
      <c r="J1027" s="1178">
        <v>0</v>
      </c>
      <c r="K1027" s="1178">
        <v>0</v>
      </c>
      <c r="L1027" s="1178">
        <v>0</v>
      </c>
      <c r="M1027" s="1178">
        <v>0</v>
      </c>
      <c r="N1027" s="1178">
        <v>0</v>
      </c>
      <c r="O1027" s="1179">
        <f t="shared" si="262"/>
        <v>20.166666666666668</v>
      </c>
      <c r="P1027" s="1180">
        <f>O1021/M!$Q$14</f>
        <v>3.3118283344111307E-2</v>
      </c>
      <c r="Q1027" s="1235"/>
      <c r="R1027" s="1235"/>
      <c r="S1027" s="1235"/>
      <c r="T1027" s="1235"/>
      <c r="U1027" s="1235"/>
      <c r="V1027" s="1235"/>
      <c r="W1027" s="1235"/>
    </row>
    <row r="1028" spans="1:23">
      <c r="A1028" s="2218"/>
      <c r="B1028" s="1176" t="s">
        <v>401</v>
      </c>
      <c r="C1028" s="1178">
        <v>287</v>
      </c>
      <c r="D1028" s="1178">
        <v>287</v>
      </c>
      <c r="E1028" s="1178">
        <v>287</v>
      </c>
      <c r="F1028" s="1178">
        <v>287</v>
      </c>
      <c r="G1028" s="1178">
        <v>289</v>
      </c>
      <c r="H1028" s="1178">
        <v>289</v>
      </c>
      <c r="I1028" s="1178">
        <v>289</v>
      </c>
      <c r="J1028" s="1178">
        <v>289</v>
      </c>
      <c r="K1028" s="1178">
        <v>289</v>
      </c>
      <c r="L1028" s="1178">
        <v>289</v>
      </c>
      <c r="M1028" s="1178">
        <v>289</v>
      </c>
      <c r="N1028" s="1178">
        <v>289</v>
      </c>
      <c r="O1028" s="1179">
        <f t="shared" si="262"/>
        <v>288.33333333333331</v>
      </c>
      <c r="P1028" s="1180">
        <f>O1022/M!$Q$14</f>
        <v>0</v>
      </c>
      <c r="Q1028" s="1235"/>
      <c r="R1028" s="1235"/>
      <c r="S1028" s="1235"/>
      <c r="T1028" s="1235"/>
      <c r="U1028" s="1235"/>
      <c r="V1028" s="1235"/>
      <c r="W1028" s="1235"/>
    </row>
    <row r="1029" spans="1:23">
      <c r="A1029" s="2218"/>
      <c r="B1029" s="1176" t="s">
        <v>402</v>
      </c>
      <c r="C1029" s="1178">
        <v>0</v>
      </c>
      <c r="D1029" s="1178">
        <v>0</v>
      </c>
      <c r="E1029" s="1178">
        <v>0</v>
      </c>
      <c r="F1029" s="1178">
        <v>0</v>
      </c>
      <c r="G1029" s="1178">
        <v>0</v>
      </c>
      <c r="H1029" s="1178">
        <v>0</v>
      </c>
      <c r="I1029" s="1178">
        <v>0</v>
      </c>
      <c r="J1029" s="1178">
        <v>0</v>
      </c>
      <c r="K1029" s="1178">
        <v>0</v>
      </c>
      <c r="L1029" s="1178">
        <v>0</v>
      </c>
      <c r="M1029" s="1178">
        <v>0</v>
      </c>
      <c r="N1029" s="1178">
        <v>0</v>
      </c>
      <c r="O1029" s="1179">
        <f t="shared" si="262"/>
        <v>0</v>
      </c>
      <c r="P1029" s="1180">
        <f>O1023/M!$Q$14</f>
        <v>2.9056319932157229E-3</v>
      </c>
      <c r="Q1029" s="1235"/>
      <c r="R1029" s="1235"/>
      <c r="S1029" s="1235"/>
      <c r="T1029" s="1235"/>
      <c r="U1029" s="1235"/>
      <c r="V1029" s="1235"/>
      <c r="W1029" s="1235"/>
    </row>
    <row r="1030" spans="1:23">
      <c r="A1030" s="2219"/>
      <c r="B1030" s="1176" t="s">
        <v>403</v>
      </c>
      <c r="C1030" s="1178">
        <v>0</v>
      </c>
      <c r="D1030" s="1178">
        <v>2488</v>
      </c>
      <c r="E1030" s="1178">
        <v>355</v>
      </c>
      <c r="F1030" s="1178">
        <v>0</v>
      </c>
      <c r="G1030" s="1178">
        <v>0</v>
      </c>
      <c r="H1030" s="1178">
        <v>0</v>
      </c>
      <c r="I1030" s="1178">
        <v>217</v>
      </c>
      <c r="J1030" s="1178">
        <v>0</v>
      </c>
      <c r="K1030" s="1178">
        <v>0</v>
      </c>
      <c r="L1030" s="1178">
        <v>0</v>
      </c>
      <c r="M1030" s="1178">
        <v>0</v>
      </c>
      <c r="N1030" s="1178">
        <v>0</v>
      </c>
      <c r="O1030" s="1179">
        <f t="shared" si="262"/>
        <v>255</v>
      </c>
      <c r="P1030" s="1180">
        <f>O1024/M!$Q$14</f>
        <v>0.13768969964864458</v>
      </c>
      <c r="Q1030" s="1235"/>
      <c r="R1030" s="1235"/>
      <c r="S1030" s="1235"/>
      <c r="T1030" s="1235"/>
      <c r="U1030" s="1235"/>
      <c r="V1030" s="1235"/>
      <c r="W1030" s="1235"/>
    </row>
    <row r="1031" spans="1:23">
      <c r="A1031" s="2191" t="s">
        <v>276</v>
      </c>
      <c r="B1031" s="2192"/>
      <c r="C1031" s="2203">
        <f t="shared" ref="C1031:N1031" si="263">SUM(C1033:C1038)</f>
        <v>576</v>
      </c>
      <c r="D1031" s="2203">
        <f t="shared" si="263"/>
        <v>755</v>
      </c>
      <c r="E1031" s="2203">
        <f t="shared" si="263"/>
        <v>626</v>
      </c>
      <c r="F1031" s="2203">
        <f t="shared" si="263"/>
        <v>598</v>
      </c>
      <c r="G1031" s="2203">
        <f t="shared" si="263"/>
        <v>576</v>
      </c>
      <c r="H1031" s="2203">
        <f t="shared" si="263"/>
        <v>1681</v>
      </c>
      <c r="I1031" s="2203">
        <f t="shared" si="263"/>
        <v>709</v>
      </c>
      <c r="J1031" s="2203">
        <f t="shared" si="263"/>
        <v>611</v>
      </c>
      <c r="K1031" s="2203">
        <f t="shared" si="263"/>
        <v>576</v>
      </c>
      <c r="L1031" s="2203">
        <f t="shared" si="263"/>
        <v>576</v>
      </c>
      <c r="M1031" s="2203">
        <f t="shared" si="263"/>
        <v>576</v>
      </c>
      <c r="N1031" s="2203">
        <f t="shared" si="263"/>
        <v>586</v>
      </c>
      <c r="O1031" s="2203">
        <f>SUM(O1033:O1038)</f>
        <v>703.83333333333326</v>
      </c>
      <c r="P1031" s="1180">
        <f>O1025/M!$Q$14</f>
        <v>2.7171131046903083E-2</v>
      </c>
      <c r="Q1031" s="1235"/>
      <c r="R1031" s="1235"/>
      <c r="S1031" s="1235"/>
      <c r="T1031" s="1235"/>
      <c r="U1031" s="1235"/>
      <c r="V1031" s="1235"/>
      <c r="W1031" s="1235"/>
    </row>
    <row r="1032" spans="1:23">
      <c r="A1032" s="2193"/>
      <c r="B1032" s="2194"/>
      <c r="C1032" s="2204"/>
      <c r="D1032" s="2204"/>
      <c r="E1032" s="2204"/>
      <c r="F1032" s="2204"/>
      <c r="G1032" s="2204"/>
      <c r="H1032" s="2204"/>
      <c r="I1032" s="2204"/>
      <c r="J1032" s="2204"/>
      <c r="K1032" s="2204"/>
      <c r="L1032" s="2204"/>
      <c r="M1032" s="2204"/>
      <c r="N1032" s="2204"/>
      <c r="O1032" s="2204"/>
      <c r="P1032" s="1180">
        <f>O1026/M!$Q$14</f>
        <v>0</v>
      </c>
      <c r="Q1032" s="1235"/>
      <c r="R1032" s="1235"/>
      <c r="S1032" s="1235"/>
      <c r="T1032" s="1235"/>
      <c r="U1032" s="1235"/>
      <c r="V1032" s="1235"/>
      <c r="W1032" s="1235"/>
    </row>
    <row r="1033" spans="1:23">
      <c r="A1033" s="2217"/>
      <c r="B1033" s="1176" t="s">
        <v>666</v>
      </c>
      <c r="C1033" s="1228">
        <v>470</v>
      </c>
      <c r="D1033" s="1228">
        <v>470</v>
      </c>
      <c r="E1033" s="1228">
        <v>470</v>
      </c>
      <c r="F1033" s="1228">
        <v>470</v>
      </c>
      <c r="G1033" s="1228">
        <v>470</v>
      </c>
      <c r="H1033" s="1228">
        <v>470</v>
      </c>
      <c r="I1033" s="1229">
        <v>470</v>
      </c>
      <c r="J1033" s="1229">
        <v>470</v>
      </c>
      <c r="K1033" s="1229">
        <v>470</v>
      </c>
      <c r="L1033" s="1229">
        <v>470</v>
      </c>
      <c r="M1033" s="1229">
        <v>470</v>
      </c>
      <c r="N1033" s="1229">
        <v>470</v>
      </c>
      <c r="O1033" s="1179">
        <f t="shared" ref="O1033:O1038" si="264">SUM(C1033:N1033)/12</f>
        <v>470</v>
      </c>
      <c r="P1033" s="1180">
        <f>O1027/M!$Q$14</f>
        <v>1.8084196131327136E-3</v>
      </c>
      <c r="Q1033" s="1235"/>
      <c r="R1033" s="1235"/>
      <c r="S1033" s="1235"/>
      <c r="T1033" s="1235"/>
      <c r="U1033" s="1235"/>
      <c r="V1033" s="1235"/>
      <c r="W1033" s="1235"/>
    </row>
    <row r="1034" spans="1:23">
      <c r="A1034" s="2218"/>
      <c r="B1034" s="1176" t="s">
        <v>400</v>
      </c>
      <c r="C1034" s="1228">
        <v>106</v>
      </c>
      <c r="D1034" s="1228">
        <v>106</v>
      </c>
      <c r="E1034" s="1228">
        <v>106</v>
      </c>
      <c r="F1034" s="1228">
        <v>106</v>
      </c>
      <c r="G1034" s="1228">
        <v>106</v>
      </c>
      <c r="H1034" s="1228">
        <v>106</v>
      </c>
      <c r="I1034" s="1229">
        <v>106</v>
      </c>
      <c r="J1034" s="1229">
        <v>106</v>
      </c>
      <c r="K1034" s="1229">
        <v>106</v>
      </c>
      <c r="L1034" s="1229">
        <v>106</v>
      </c>
      <c r="M1034" s="1229">
        <v>106</v>
      </c>
      <c r="N1034" s="1229">
        <v>106</v>
      </c>
      <c r="O1034" s="1179">
        <f t="shared" si="264"/>
        <v>106</v>
      </c>
      <c r="P1034" s="1180">
        <f>O1028/M!$Q$14</f>
        <v>2.5855916782806562E-2</v>
      </c>
      <c r="Q1034" s="1235"/>
      <c r="R1034" s="1235"/>
      <c r="S1034" s="1235"/>
      <c r="T1034" s="1235"/>
      <c r="U1034" s="1235"/>
      <c r="V1034" s="1235"/>
      <c r="W1034" s="1235"/>
    </row>
    <row r="1035" spans="1:23">
      <c r="A1035" s="2218"/>
      <c r="B1035" s="1176" t="s">
        <v>454</v>
      </c>
      <c r="C1035" s="1228">
        <v>0</v>
      </c>
      <c r="D1035" s="1228">
        <v>29</v>
      </c>
      <c r="E1035" s="1228">
        <v>50</v>
      </c>
      <c r="F1035" s="1228">
        <v>0</v>
      </c>
      <c r="G1035" s="1228">
        <v>0</v>
      </c>
      <c r="H1035" s="1228">
        <v>29</v>
      </c>
      <c r="I1035" s="1229">
        <v>50</v>
      </c>
      <c r="J1035" s="1229">
        <v>0</v>
      </c>
      <c r="K1035" s="1229">
        <v>0</v>
      </c>
      <c r="L1035" s="1229">
        <v>0</v>
      </c>
      <c r="M1035" s="1229">
        <v>0</v>
      </c>
      <c r="N1035" s="1229">
        <v>0</v>
      </c>
      <c r="O1035" s="1179">
        <f t="shared" si="264"/>
        <v>13.166666666666666</v>
      </c>
      <c r="P1035" s="1180">
        <f>O1029/M!$Q$14</f>
        <v>0</v>
      </c>
      <c r="Q1035" s="1235"/>
      <c r="R1035" s="1235"/>
      <c r="S1035" s="1235"/>
      <c r="T1035" s="1235"/>
      <c r="U1035" s="1235"/>
      <c r="V1035" s="1235"/>
      <c r="W1035" s="1235"/>
    </row>
    <row r="1036" spans="1:23">
      <c r="A1036" s="2218"/>
      <c r="B1036" s="1176" t="s">
        <v>407</v>
      </c>
      <c r="C1036" s="1228">
        <v>0</v>
      </c>
      <c r="D1036" s="1228">
        <v>0</v>
      </c>
      <c r="E1036" s="1228">
        <v>0</v>
      </c>
      <c r="F1036" s="1228">
        <v>0</v>
      </c>
      <c r="G1036" s="1228">
        <v>0</v>
      </c>
      <c r="H1036" s="1228">
        <v>0</v>
      </c>
      <c r="I1036" s="1229">
        <v>0</v>
      </c>
      <c r="J1036" s="1229">
        <v>0</v>
      </c>
      <c r="K1036" s="1229">
        <v>0</v>
      </c>
      <c r="L1036" s="1229">
        <v>0</v>
      </c>
      <c r="M1036" s="1229">
        <v>0</v>
      </c>
      <c r="N1036" s="1229">
        <v>10</v>
      </c>
      <c r="O1036" s="1179">
        <f t="shared" si="264"/>
        <v>0.83333333333333337</v>
      </c>
      <c r="P1036" s="1180">
        <f>O1030/M!$Q$14</f>
        <v>2.2866793455314477E-2</v>
      </c>
      <c r="Q1036" s="1235"/>
      <c r="R1036" s="1235"/>
      <c r="S1036" s="1235"/>
      <c r="T1036" s="1235"/>
      <c r="U1036" s="1235"/>
      <c r="V1036" s="1235"/>
      <c r="W1036" s="1235"/>
    </row>
    <row r="1037" spans="1:23">
      <c r="A1037" s="2218"/>
      <c r="B1037" s="1176" t="s">
        <v>408</v>
      </c>
      <c r="C1037" s="1228">
        <v>0</v>
      </c>
      <c r="D1037" s="1228">
        <v>150</v>
      </c>
      <c r="E1037" s="1228">
        <v>0</v>
      </c>
      <c r="F1037" s="1228">
        <v>0</v>
      </c>
      <c r="G1037" s="1228">
        <v>0</v>
      </c>
      <c r="H1037" s="1228">
        <v>0</v>
      </c>
      <c r="I1037" s="1229">
        <v>83</v>
      </c>
      <c r="J1037" s="1229">
        <v>0</v>
      </c>
      <c r="K1037" s="1229">
        <v>0</v>
      </c>
      <c r="L1037" s="1229">
        <v>0</v>
      </c>
      <c r="M1037" s="1229">
        <v>0</v>
      </c>
      <c r="N1037" s="1229">
        <v>0</v>
      </c>
      <c r="O1037" s="1179">
        <f t="shared" si="264"/>
        <v>19.416666666666668</v>
      </c>
      <c r="P1037" s="2205">
        <f>O1031/M!$Q$14</f>
        <v>6.3115339059995432E-2</v>
      </c>
      <c r="Q1037" s="1235"/>
      <c r="R1037" s="1235"/>
      <c r="S1037" s="1235"/>
      <c r="T1037" s="1235"/>
      <c r="U1037" s="1235"/>
      <c r="V1037" s="1235"/>
      <c r="W1037" s="1235"/>
    </row>
    <row r="1038" spans="1:23">
      <c r="A1038" s="2219"/>
      <c r="B1038" s="1176" t="s">
        <v>409</v>
      </c>
      <c r="C1038" s="1228">
        <v>0</v>
      </c>
      <c r="D1038" s="1228">
        <v>0</v>
      </c>
      <c r="E1038" s="1228">
        <v>0</v>
      </c>
      <c r="F1038" s="1228">
        <v>22</v>
      </c>
      <c r="G1038" s="1228">
        <v>0</v>
      </c>
      <c r="H1038" s="1228">
        <v>1076</v>
      </c>
      <c r="I1038" s="1229">
        <v>0</v>
      </c>
      <c r="J1038" s="1229">
        <v>35</v>
      </c>
      <c r="K1038" s="1229">
        <v>0</v>
      </c>
      <c r="L1038" s="1229">
        <v>0</v>
      </c>
      <c r="M1038" s="1229">
        <v>0</v>
      </c>
      <c r="N1038" s="1229">
        <v>0</v>
      </c>
      <c r="O1038" s="1179">
        <f t="shared" si="264"/>
        <v>94.416666666666671</v>
      </c>
      <c r="P1038" s="2206"/>
      <c r="Q1038" s="1235"/>
      <c r="R1038" s="1235"/>
      <c r="S1038" s="1235"/>
      <c r="T1038" s="1235"/>
      <c r="U1038" s="1235"/>
      <c r="V1038" s="1235"/>
      <c r="W1038" s="1235"/>
    </row>
    <row r="1039" spans="1:23">
      <c r="A1039" s="2191" t="s">
        <v>277</v>
      </c>
      <c r="B1039" s="2192"/>
      <c r="C1039" s="2203">
        <f t="shared" ref="C1039:N1039" si="265">SUM(C1041:C1044)</f>
        <v>351</v>
      </c>
      <c r="D1039" s="2203">
        <f t="shared" si="265"/>
        <v>323</v>
      </c>
      <c r="E1039" s="2203">
        <f t="shared" si="265"/>
        <v>320</v>
      </c>
      <c r="F1039" s="2203">
        <f t="shared" si="265"/>
        <v>314</v>
      </c>
      <c r="G1039" s="2203">
        <f t="shared" si="265"/>
        <v>422</v>
      </c>
      <c r="H1039" s="2203">
        <f t="shared" si="265"/>
        <v>355</v>
      </c>
      <c r="I1039" s="2203">
        <f t="shared" si="265"/>
        <v>417</v>
      </c>
      <c r="J1039" s="2203">
        <f t="shared" si="265"/>
        <v>720</v>
      </c>
      <c r="K1039" s="2203">
        <f t="shared" si="265"/>
        <v>538</v>
      </c>
      <c r="L1039" s="2203">
        <f t="shared" si="265"/>
        <v>514</v>
      </c>
      <c r="M1039" s="2203">
        <f t="shared" si="265"/>
        <v>399</v>
      </c>
      <c r="N1039" s="2203">
        <f t="shared" si="265"/>
        <v>439</v>
      </c>
      <c r="O1039" s="2203">
        <f>SUM(O1041:O1044)</f>
        <v>426</v>
      </c>
      <c r="P1039" s="1180">
        <f>O1033/M!$Q$14</f>
        <v>4.2146638917638445E-2</v>
      </c>
      <c r="Q1039" s="1235"/>
      <c r="R1039" s="1235"/>
      <c r="S1039" s="1235"/>
      <c r="T1039" s="1235"/>
      <c r="U1039" s="1235"/>
      <c r="V1039" s="1235"/>
      <c r="W1039" s="1235"/>
    </row>
    <row r="1040" spans="1:23">
      <c r="A1040" s="2193"/>
      <c r="B1040" s="2194"/>
      <c r="C1040" s="2204"/>
      <c r="D1040" s="2204"/>
      <c r="E1040" s="2204"/>
      <c r="F1040" s="2204"/>
      <c r="G1040" s="2204"/>
      <c r="H1040" s="2204"/>
      <c r="I1040" s="2204"/>
      <c r="J1040" s="2204"/>
      <c r="K1040" s="2204"/>
      <c r="L1040" s="2204"/>
      <c r="M1040" s="2204"/>
      <c r="N1040" s="2204"/>
      <c r="O1040" s="2204"/>
      <c r="P1040" s="1180">
        <f>O1034/M!$Q$14</f>
        <v>9.5054121814248417E-3</v>
      </c>
      <c r="Q1040" s="1235"/>
      <c r="R1040" s="1235"/>
      <c r="S1040" s="1235"/>
      <c r="T1040" s="1235"/>
      <c r="U1040" s="1235"/>
      <c r="V1040" s="1235"/>
      <c r="W1040" s="1235"/>
    </row>
    <row r="1041" spans="1:23">
      <c r="A1041" s="2217"/>
      <c r="B1041" s="1176" t="s">
        <v>410</v>
      </c>
      <c r="C1041" s="1228">
        <v>189</v>
      </c>
      <c r="D1041" s="1228">
        <v>308</v>
      </c>
      <c r="E1041" s="1228">
        <v>320</v>
      </c>
      <c r="F1041" s="1228">
        <v>314</v>
      </c>
      <c r="G1041" s="1228">
        <v>332</v>
      </c>
      <c r="H1041" s="1228">
        <v>282</v>
      </c>
      <c r="I1041" s="1229">
        <v>301</v>
      </c>
      <c r="J1041" s="1229">
        <v>461</v>
      </c>
      <c r="K1041" s="1229">
        <v>401</v>
      </c>
      <c r="L1041" s="1229">
        <v>278</v>
      </c>
      <c r="M1041" s="1229">
        <v>399</v>
      </c>
      <c r="N1041" s="1229">
        <v>382</v>
      </c>
      <c r="O1041" s="1179">
        <f>SUM(C1041:N1041)/12</f>
        <v>330.58333333333331</v>
      </c>
      <c r="P1041" s="1180">
        <f>O1035/M!$Q$14</f>
        <v>1.1807037143593748E-3</v>
      </c>
      <c r="Q1041" s="1235"/>
      <c r="R1041" s="1235"/>
      <c r="S1041" s="1235"/>
      <c r="T1041" s="1235"/>
      <c r="U1041" s="1235"/>
      <c r="V1041" s="1235"/>
      <c r="W1041" s="1235"/>
    </row>
    <row r="1042" spans="1:23">
      <c r="A1042" s="2218"/>
      <c r="B1042" s="1176" t="s">
        <v>457</v>
      </c>
      <c r="C1042" s="1228">
        <v>27</v>
      </c>
      <c r="D1042" s="1228">
        <v>0</v>
      </c>
      <c r="E1042" s="1228">
        <v>0</v>
      </c>
      <c r="F1042" s="1228">
        <v>0</v>
      </c>
      <c r="G1042" s="1228">
        <v>65</v>
      </c>
      <c r="H1042" s="1228">
        <v>48</v>
      </c>
      <c r="I1042" s="1229">
        <v>58</v>
      </c>
      <c r="J1042" s="1229">
        <v>156</v>
      </c>
      <c r="K1042" s="1229">
        <v>115</v>
      </c>
      <c r="L1042" s="1229">
        <v>70</v>
      </c>
      <c r="M1042" s="1229">
        <v>0</v>
      </c>
      <c r="N1042" s="1229">
        <v>0</v>
      </c>
      <c r="O1042" s="1179">
        <f>SUM(C1042:N1042)/12</f>
        <v>44.916666666666664</v>
      </c>
      <c r="P1042" s="1180">
        <f>O1036/M!$Q$14</f>
        <v>7.4728083187302214E-5</v>
      </c>
      <c r="Q1042" s="1235"/>
      <c r="R1042" s="1235"/>
      <c r="S1042" s="1235"/>
      <c r="T1042" s="1235"/>
      <c r="U1042" s="1235"/>
      <c r="V1042" s="1235"/>
      <c r="W1042" s="1235"/>
    </row>
    <row r="1043" spans="1:23">
      <c r="A1043" s="2218"/>
      <c r="B1043" s="1176" t="s">
        <v>458</v>
      </c>
      <c r="C1043" s="1228">
        <v>135</v>
      </c>
      <c r="D1043" s="1228">
        <v>15</v>
      </c>
      <c r="E1043" s="1228">
        <v>0</v>
      </c>
      <c r="F1043" s="1228">
        <v>0</v>
      </c>
      <c r="G1043" s="1228">
        <v>0</v>
      </c>
      <c r="H1043" s="1228">
        <v>0</v>
      </c>
      <c r="I1043" s="1229">
        <v>58</v>
      </c>
      <c r="J1043" s="1229">
        <v>58</v>
      </c>
      <c r="K1043" s="1229">
        <v>22</v>
      </c>
      <c r="L1043" s="1229">
        <v>121</v>
      </c>
      <c r="M1043" s="1229">
        <v>0</v>
      </c>
      <c r="N1043" s="1229">
        <v>12</v>
      </c>
      <c r="O1043" s="1179">
        <f>SUM(C1043:N1043)/12</f>
        <v>35.083333333333336</v>
      </c>
      <c r="P1043" s="1180">
        <f>O1037/M!$Q$14</f>
        <v>1.7411643382641416E-3</v>
      </c>
      <c r="Q1043" s="1235"/>
      <c r="R1043" s="1235"/>
      <c r="S1043" s="1235"/>
      <c r="T1043" s="1235"/>
      <c r="U1043" s="1235"/>
      <c r="V1043" s="1235"/>
      <c r="W1043" s="1235"/>
    </row>
    <row r="1044" spans="1:23">
      <c r="A1044" s="2219"/>
      <c r="B1044" s="1176" t="s">
        <v>459</v>
      </c>
      <c r="C1044" s="1228">
        <v>0</v>
      </c>
      <c r="D1044" s="1228">
        <v>0</v>
      </c>
      <c r="E1044" s="1228">
        <v>0</v>
      </c>
      <c r="F1044" s="1228">
        <v>0</v>
      </c>
      <c r="G1044" s="1228">
        <v>25</v>
      </c>
      <c r="H1044" s="1228">
        <v>25</v>
      </c>
      <c r="I1044" s="1229">
        <v>0</v>
      </c>
      <c r="J1044" s="1229">
        <v>45</v>
      </c>
      <c r="K1044" s="1229">
        <v>0</v>
      </c>
      <c r="L1044" s="1229">
        <v>45</v>
      </c>
      <c r="M1044" s="1229">
        <v>0</v>
      </c>
      <c r="N1044" s="1229">
        <v>45</v>
      </c>
      <c r="O1044" s="1179">
        <f>SUM(C1044:N1044)/12</f>
        <v>15.416666666666666</v>
      </c>
      <c r="P1044" s="1180">
        <f>O1038/M!$Q$14</f>
        <v>8.4666918251213412E-3</v>
      </c>
      <c r="Q1044" s="1235"/>
      <c r="R1044" s="1235"/>
      <c r="S1044" s="1235"/>
      <c r="T1044" s="1235"/>
      <c r="U1044" s="1235"/>
      <c r="V1044" s="1235"/>
      <c r="W1044" s="1235"/>
    </row>
    <row r="1045" spans="1:23">
      <c r="A1045" s="2191" t="s">
        <v>278</v>
      </c>
      <c r="B1045" s="2192"/>
      <c r="C1045" s="2203">
        <f t="shared" ref="C1045:J1045" si="266">SUM(C1047:C1048)</f>
        <v>820</v>
      </c>
      <c r="D1045" s="2203">
        <f t="shared" si="266"/>
        <v>677</v>
      </c>
      <c r="E1045" s="2203">
        <f t="shared" si="266"/>
        <v>710</v>
      </c>
      <c r="F1045" s="2203">
        <f t="shared" si="266"/>
        <v>668</v>
      </c>
      <c r="G1045" s="2203">
        <f t="shared" si="266"/>
        <v>730</v>
      </c>
      <c r="H1045" s="2203">
        <f t="shared" si="266"/>
        <v>840</v>
      </c>
      <c r="I1045" s="2203">
        <f t="shared" si="266"/>
        <v>681</v>
      </c>
      <c r="J1045" s="2203">
        <f t="shared" si="266"/>
        <v>866</v>
      </c>
      <c r="K1045" s="2203">
        <f>SUM(K1047:K1048)</f>
        <v>650</v>
      </c>
      <c r="L1045" s="2203">
        <f>SUM(L1047:L1048)</f>
        <v>766</v>
      </c>
      <c r="M1045" s="2203">
        <f>SUM(M1047:M1048)</f>
        <v>691</v>
      </c>
      <c r="N1045" s="2203">
        <f>SUM(N1047:N1048)</f>
        <v>851</v>
      </c>
      <c r="O1045" s="2203">
        <f>SUM(O1047:O1048)</f>
        <v>745.83333333333337</v>
      </c>
      <c r="P1045" s="2205">
        <f>O1039/M!$Q$14</f>
        <v>3.8200996125348892E-2</v>
      </c>
      <c r="Q1045" s="1235"/>
      <c r="R1045" s="1235"/>
      <c r="S1045" s="1235"/>
      <c r="T1045" s="1235"/>
      <c r="U1045" s="1235"/>
      <c r="V1045" s="1235"/>
      <c r="W1045" s="1235"/>
    </row>
    <row r="1046" spans="1:23">
      <c r="A1046" s="2193"/>
      <c r="B1046" s="2194"/>
      <c r="C1046" s="2204"/>
      <c r="D1046" s="2204"/>
      <c r="E1046" s="2204"/>
      <c r="F1046" s="2204"/>
      <c r="G1046" s="2204"/>
      <c r="H1046" s="2204"/>
      <c r="I1046" s="2204"/>
      <c r="J1046" s="2204"/>
      <c r="K1046" s="2204"/>
      <c r="L1046" s="2204"/>
      <c r="M1046" s="2204"/>
      <c r="N1046" s="2204"/>
      <c r="O1046" s="2204"/>
      <c r="P1046" s="2206"/>
      <c r="Q1046" s="1235"/>
      <c r="R1046" s="1235"/>
      <c r="S1046" s="1235"/>
      <c r="T1046" s="1235"/>
      <c r="U1046" s="1235"/>
      <c r="V1046" s="1235"/>
      <c r="W1046" s="1235"/>
    </row>
    <row r="1047" spans="1:23">
      <c r="A1047" s="2217"/>
      <c r="B1047" s="1176" t="s">
        <v>414</v>
      </c>
      <c r="C1047" s="1228">
        <v>433</v>
      </c>
      <c r="D1047" s="1228">
        <v>621</v>
      </c>
      <c r="E1047" s="1228">
        <v>648</v>
      </c>
      <c r="F1047" s="1228">
        <v>570</v>
      </c>
      <c r="G1047" s="1228">
        <v>635</v>
      </c>
      <c r="H1047" s="1228">
        <v>662</v>
      </c>
      <c r="I1047" s="1229">
        <v>546</v>
      </c>
      <c r="J1047" s="1229">
        <v>567</v>
      </c>
      <c r="K1047" s="1229">
        <v>558</v>
      </c>
      <c r="L1047" s="1229">
        <v>460</v>
      </c>
      <c r="M1047" s="1229">
        <v>611</v>
      </c>
      <c r="N1047" s="1229">
        <v>652</v>
      </c>
      <c r="O1047" s="1179">
        <f>SUM(C1047:N1047)/12</f>
        <v>580.25</v>
      </c>
      <c r="P1047" s="1180">
        <f>O1041/M!$Q$14</f>
        <v>2.9644630600402785E-2</v>
      </c>
      <c r="Q1047" s="1235"/>
      <c r="R1047" s="1235"/>
      <c r="S1047" s="1235"/>
      <c r="T1047" s="1235"/>
      <c r="U1047" s="1235"/>
      <c r="V1047" s="1235"/>
      <c r="W1047" s="1235"/>
    </row>
    <row r="1048" spans="1:23">
      <c r="A1048" s="2219"/>
      <c r="B1048" s="1176" t="s">
        <v>278</v>
      </c>
      <c r="C1048" s="1228">
        <v>387</v>
      </c>
      <c r="D1048" s="1228">
        <v>56</v>
      </c>
      <c r="E1048" s="1228">
        <v>62</v>
      </c>
      <c r="F1048" s="1228">
        <v>98</v>
      </c>
      <c r="G1048" s="1228">
        <v>95</v>
      </c>
      <c r="H1048" s="1228">
        <v>178</v>
      </c>
      <c r="I1048" s="1229">
        <v>135</v>
      </c>
      <c r="J1048" s="1229">
        <v>299</v>
      </c>
      <c r="K1048" s="1229">
        <v>92</v>
      </c>
      <c r="L1048" s="1229">
        <v>306</v>
      </c>
      <c r="M1048" s="1229">
        <v>80</v>
      </c>
      <c r="N1048" s="1229">
        <v>199</v>
      </c>
      <c r="O1048" s="1179">
        <f>SUM(C1048:N1048)/12</f>
        <v>165.58333333333334</v>
      </c>
      <c r="P1048" s="1180">
        <f>O1042/M!$Q$14</f>
        <v>4.0278436837955884E-3</v>
      </c>
      <c r="Q1048" s="1235"/>
      <c r="R1048" s="1235"/>
      <c r="S1048" s="1235"/>
      <c r="T1048" s="1235"/>
      <c r="U1048" s="1235"/>
      <c r="V1048" s="1235"/>
      <c r="W1048" s="1235"/>
    </row>
    <row r="1049" spans="1:23">
      <c r="A1049" s="2191" t="s">
        <v>279</v>
      </c>
      <c r="B1049" s="2192"/>
      <c r="C1049" s="2203">
        <f t="shared" ref="C1049:N1049" si="267">SUM(C1051:C1058)</f>
        <v>605</v>
      </c>
      <c r="D1049" s="2203">
        <f t="shared" si="267"/>
        <v>422</v>
      </c>
      <c r="E1049" s="2203">
        <f t="shared" si="267"/>
        <v>369</v>
      </c>
      <c r="F1049" s="2203">
        <f t="shared" si="267"/>
        <v>383</v>
      </c>
      <c r="G1049" s="2203">
        <f t="shared" si="267"/>
        <v>351</v>
      </c>
      <c r="H1049" s="2203">
        <f t="shared" si="267"/>
        <v>287</v>
      </c>
      <c r="I1049" s="2203">
        <f t="shared" si="267"/>
        <v>331</v>
      </c>
      <c r="J1049" s="2203">
        <f t="shared" si="267"/>
        <v>374</v>
      </c>
      <c r="K1049" s="2203">
        <f t="shared" si="267"/>
        <v>258</v>
      </c>
      <c r="L1049" s="2203">
        <f t="shared" si="267"/>
        <v>266</v>
      </c>
      <c r="M1049" s="2203">
        <f t="shared" si="267"/>
        <v>354</v>
      </c>
      <c r="N1049" s="2203">
        <f t="shared" si="267"/>
        <v>448</v>
      </c>
      <c r="O1049" s="2203">
        <f>SUM(O1051:O1058)</f>
        <v>370.66666666666669</v>
      </c>
      <c r="P1049" s="1180">
        <f>O1043/M!$Q$14</f>
        <v>3.1460523021854233E-3</v>
      </c>
      <c r="Q1049" s="1235"/>
      <c r="R1049" s="1235"/>
      <c r="S1049" s="1235"/>
      <c r="T1049" s="1235"/>
      <c r="U1049" s="1235"/>
      <c r="V1049" s="1235"/>
      <c r="W1049" s="1235"/>
    </row>
    <row r="1050" spans="1:23">
      <c r="A1050" s="2193"/>
      <c r="B1050" s="2194"/>
      <c r="C1050" s="2204"/>
      <c r="D1050" s="2204"/>
      <c r="E1050" s="2204"/>
      <c r="F1050" s="2204"/>
      <c r="G1050" s="2204"/>
      <c r="H1050" s="2204"/>
      <c r="I1050" s="2204"/>
      <c r="J1050" s="2204"/>
      <c r="K1050" s="2204"/>
      <c r="L1050" s="2204"/>
      <c r="M1050" s="2204"/>
      <c r="N1050" s="2204"/>
      <c r="O1050" s="2204"/>
      <c r="P1050" s="1180">
        <f>O1044/M!$Q$14</f>
        <v>1.3824695389650908E-3</v>
      </c>
      <c r="Q1050" s="1235"/>
      <c r="R1050" s="1235"/>
      <c r="S1050" s="1235"/>
      <c r="T1050" s="1235"/>
      <c r="U1050" s="1235"/>
      <c r="V1050" s="1235"/>
      <c r="W1050" s="1235"/>
    </row>
    <row r="1051" spans="1:23">
      <c r="A1051" s="2217"/>
      <c r="B1051" s="1176" t="s">
        <v>415</v>
      </c>
      <c r="C1051" s="1228">
        <v>86</v>
      </c>
      <c r="D1051" s="1228">
        <v>81</v>
      </c>
      <c r="E1051" s="1228">
        <v>73</v>
      </c>
      <c r="F1051" s="1228">
        <v>98</v>
      </c>
      <c r="G1051" s="1228">
        <v>137</v>
      </c>
      <c r="H1051" s="1228">
        <v>115</v>
      </c>
      <c r="I1051" s="1229">
        <v>179</v>
      </c>
      <c r="J1051" s="1229">
        <v>181</v>
      </c>
      <c r="K1051" s="1229">
        <v>99</v>
      </c>
      <c r="L1051" s="1229">
        <v>85</v>
      </c>
      <c r="M1051" s="1229">
        <v>100</v>
      </c>
      <c r="N1051" s="1229">
        <v>120</v>
      </c>
      <c r="O1051" s="1179">
        <f t="shared" ref="O1051:O1058" si="268">SUM(C1051:N1051)/12</f>
        <v>112.83333333333333</v>
      </c>
      <c r="P1051" s="2205">
        <f>O1045/M!$Q$14</f>
        <v>6.688163445263548E-2</v>
      </c>
      <c r="Q1051" s="1235"/>
      <c r="R1051" s="1235"/>
      <c r="S1051" s="1235"/>
      <c r="T1051" s="1235"/>
      <c r="U1051" s="1235"/>
      <c r="V1051" s="1235"/>
      <c r="W1051" s="1235"/>
    </row>
    <row r="1052" spans="1:23">
      <c r="A1052" s="2218"/>
      <c r="B1052" s="1176" t="s">
        <v>416</v>
      </c>
      <c r="C1052" s="1182">
        <v>0</v>
      </c>
      <c r="D1052" s="1182">
        <v>0</v>
      </c>
      <c r="E1052" s="1182">
        <v>0</v>
      </c>
      <c r="F1052" s="1182">
        <v>0</v>
      </c>
      <c r="G1052" s="1182">
        <v>0</v>
      </c>
      <c r="H1052" s="1182">
        <v>0</v>
      </c>
      <c r="I1052" s="1182">
        <v>0</v>
      </c>
      <c r="J1052" s="1182">
        <v>0</v>
      </c>
      <c r="K1052" s="1182">
        <v>0</v>
      </c>
      <c r="L1052" s="1182">
        <v>0</v>
      </c>
      <c r="M1052" s="1182">
        <v>0</v>
      </c>
      <c r="N1052" s="1182">
        <v>0</v>
      </c>
      <c r="O1052" s="1179">
        <f t="shared" si="268"/>
        <v>0</v>
      </c>
      <c r="P1052" s="2206"/>
      <c r="Q1052" s="1235"/>
      <c r="R1052" s="1235"/>
      <c r="S1052" s="1235"/>
      <c r="T1052" s="1235"/>
      <c r="U1052" s="1235"/>
      <c r="V1052" s="1235"/>
      <c r="W1052" s="1235"/>
    </row>
    <row r="1053" spans="1:23">
      <c r="A1053" s="2218"/>
      <c r="B1053" s="1176" t="s">
        <v>417</v>
      </c>
      <c r="C1053" s="1182">
        <v>0</v>
      </c>
      <c r="D1053" s="1182">
        <v>0</v>
      </c>
      <c r="E1053" s="1182">
        <v>0</v>
      </c>
      <c r="F1053" s="1182">
        <v>0</v>
      </c>
      <c r="G1053" s="1182">
        <v>0</v>
      </c>
      <c r="H1053" s="1182">
        <v>0</v>
      </c>
      <c r="I1053" s="1182">
        <v>0</v>
      </c>
      <c r="J1053" s="1182">
        <v>0</v>
      </c>
      <c r="K1053" s="1182">
        <v>0</v>
      </c>
      <c r="L1053" s="1182">
        <v>0</v>
      </c>
      <c r="M1053" s="1182">
        <v>0</v>
      </c>
      <c r="N1053" s="1182">
        <v>0</v>
      </c>
      <c r="O1053" s="1179">
        <f t="shared" si="268"/>
        <v>0</v>
      </c>
      <c r="P1053" s="1180">
        <f>O1047/M!$Q$14</f>
        <v>5.2033164323318525E-2</v>
      </c>
      <c r="Q1053" s="1235"/>
      <c r="R1053" s="1235"/>
      <c r="S1053" s="1235"/>
      <c r="T1053" s="1235"/>
      <c r="U1053" s="1235"/>
      <c r="V1053" s="1235"/>
      <c r="W1053" s="1235"/>
    </row>
    <row r="1054" spans="1:23">
      <c r="A1054" s="2218"/>
      <c r="B1054" s="1176" t="s">
        <v>410</v>
      </c>
      <c r="C1054" s="1228">
        <v>187</v>
      </c>
      <c r="D1054" s="1228">
        <v>184</v>
      </c>
      <c r="E1054" s="1228">
        <v>160</v>
      </c>
      <c r="F1054" s="1228">
        <v>140</v>
      </c>
      <c r="G1054" s="1228">
        <v>78</v>
      </c>
      <c r="H1054" s="1228">
        <v>26</v>
      </c>
      <c r="I1054" s="1229">
        <v>17</v>
      </c>
      <c r="J1054" s="1229">
        <v>19</v>
      </c>
      <c r="K1054" s="1229">
        <v>23</v>
      </c>
      <c r="L1054" s="1229">
        <v>33</v>
      </c>
      <c r="M1054" s="1229">
        <v>106</v>
      </c>
      <c r="N1054" s="1229">
        <v>192</v>
      </c>
      <c r="O1054" s="1179">
        <f t="shared" si="268"/>
        <v>97.083333333333329</v>
      </c>
      <c r="P1054" s="1180">
        <f>O1048/M!$Q$14</f>
        <v>1.484847012931695E-2</v>
      </c>
      <c r="Q1054" s="1235"/>
      <c r="R1054" s="1235"/>
      <c r="S1054" s="1235"/>
      <c r="T1054" s="1235"/>
      <c r="U1054" s="1235"/>
      <c r="V1054" s="1235"/>
      <c r="W1054" s="1235"/>
    </row>
    <row r="1055" spans="1:23">
      <c r="A1055" s="2218"/>
      <c r="B1055" s="1176" t="s">
        <v>418</v>
      </c>
      <c r="C1055" s="1228">
        <v>61</v>
      </c>
      <c r="D1055" s="1228">
        <v>61</v>
      </c>
      <c r="E1055" s="1228">
        <v>61</v>
      </c>
      <c r="F1055" s="1228">
        <v>61</v>
      </c>
      <c r="G1055" s="1228">
        <v>61</v>
      </c>
      <c r="H1055" s="1228">
        <v>61</v>
      </c>
      <c r="I1055" s="1229">
        <v>61</v>
      </c>
      <c r="J1055" s="1229">
        <v>77</v>
      </c>
      <c r="K1055" s="1229">
        <v>61</v>
      </c>
      <c r="L1055" s="1229">
        <v>61</v>
      </c>
      <c r="M1055" s="1229">
        <v>61</v>
      </c>
      <c r="N1055" s="1229">
        <v>61</v>
      </c>
      <c r="O1055" s="1179">
        <f t="shared" si="268"/>
        <v>62.333333333333336</v>
      </c>
      <c r="P1055" s="2205">
        <f>O1049/M!$Q$14</f>
        <v>3.3239051401712023E-2</v>
      </c>
      <c r="Q1055" s="1235"/>
      <c r="R1055" s="1235"/>
      <c r="S1055" s="1235"/>
      <c r="T1055" s="1235"/>
      <c r="U1055" s="1235"/>
      <c r="V1055" s="1235"/>
      <c r="W1055" s="1235"/>
    </row>
    <row r="1056" spans="1:23">
      <c r="A1056" s="2218"/>
      <c r="B1056" s="1176" t="s">
        <v>419</v>
      </c>
      <c r="C1056" s="1228">
        <v>201</v>
      </c>
      <c r="D1056" s="1228">
        <v>4</v>
      </c>
      <c r="E1056" s="1228">
        <v>4</v>
      </c>
      <c r="F1056" s="1228">
        <v>4</v>
      </c>
      <c r="G1056" s="1228">
        <v>4</v>
      </c>
      <c r="H1056" s="1228">
        <v>4</v>
      </c>
      <c r="I1056" s="1229">
        <v>4</v>
      </c>
      <c r="J1056" s="1229">
        <v>4</v>
      </c>
      <c r="K1056" s="1229">
        <v>4</v>
      </c>
      <c r="L1056" s="1229">
        <v>4</v>
      </c>
      <c r="M1056" s="1229">
        <v>4</v>
      </c>
      <c r="N1056" s="1229">
        <v>4</v>
      </c>
      <c r="O1056" s="1179">
        <f t="shared" si="268"/>
        <v>20.416666666666668</v>
      </c>
      <c r="P1056" s="2206"/>
      <c r="Q1056" s="1235"/>
      <c r="R1056" s="1235"/>
      <c r="S1056" s="1235"/>
      <c r="T1056" s="1235"/>
      <c r="U1056" s="1235"/>
      <c r="V1056" s="1235"/>
      <c r="W1056" s="1235"/>
    </row>
    <row r="1057" spans="1:23">
      <c r="A1057" s="2218"/>
      <c r="B1057" s="1176" t="s">
        <v>460</v>
      </c>
      <c r="C1057" s="1228">
        <v>0</v>
      </c>
      <c r="D1057" s="1228">
        <v>22</v>
      </c>
      <c r="E1057" s="1228">
        <v>0</v>
      </c>
      <c r="F1057" s="1228">
        <v>11</v>
      </c>
      <c r="G1057" s="1228">
        <v>0</v>
      </c>
      <c r="H1057" s="1228">
        <v>11</v>
      </c>
      <c r="I1057" s="1229">
        <v>0</v>
      </c>
      <c r="J1057" s="1229">
        <v>22</v>
      </c>
      <c r="K1057" s="1229">
        <v>0</v>
      </c>
      <c r="L1057" s="1229">
        <v>12</v>
      </c>
      <c r="M1057" s="1229">
        <v>12</v>
      </c>
      <c r="N1057" s="1229">
        <v>0</v>
      </c>
      <c r="O1057" s="1179">
        <f t="shared" si="268"/>
        <v>7.5</v>
      </c>
      <c r="P1057" s="1180">
        <f>O1051/M!$Q$14</f>
        <v>1.0118182463560719E-2</v>
      </c>
      <c r="Q1057" s="1235"/>
      <c r="R1057" s="1235"/>
      <c r="S1057" s="1235"/>
      <c r="T1057" s="1235"/>
      <c r="U1057" s="1235"/>
      <c r="V1057" s="1235"/>
      <c r="W1057" s="1235"/>
    </row>
    <row r="1058" spans="1:23">
      <c r="A1058" s="2219"/>
      <c r="B1058" s="1176" t="s">
        <v>421</v>
      </c>
      <c r="C1058" s="1228">
        <v>70</v>
      </c>
      <c r="D1058" s="1228">
        <v>70</v>
      </c>
      <c r="E1058" s="1228">
        <v>71</v>
      </c>
      <c r="F1058" s="1228">
        <v>69</v>
      </c>
      <c r="G1058" s="1228">
        <v>71</v>
      </c>
      <c r="H1058" s="1228">
        <v>70</v>
      </c>
      <c r="I1058" s="1229">
        <v>70</v>
      </c>
      <c r="J1058" s="1229">
        <v>71</v>
      </c>
      <c r="K1058" s="1229">
        <v>71</v>
      </c>
      <c r="L1058" s="1229">
        <v>71</v>
      </c>
      <c r="M1058" s="1229">
        <v>71</v>
      </c>
      <c r="N1058" s="1229">
        <v>71</v>
      </c>
      <c r="O1058" s="1179">
        <f t="shared" si="268"/>
        <v>70.5</v>
      </c>
      <c r="P1058" s="1180">
        <f>O1052/M!$Q$14</f>
        <v>0</v>
      </c>
      <c r="Q1058" s="1235"/>
      <c r="R1058" s="1235"/>
      <c r="S1058" s="1235"/>
      <c r="T1058" s="1235"/>
      <c r="U1058" s="1235"/>
      <c r="V1058" s="1235"/>
      <c r="W1058" s="1235"/>
    </row>
    <row r="1059" spans="1:23">
      <c r="A1059" s="2191" t="s">
        <v>280</v>
      </c>
      <c r="B1059" s="2192"/>
      <c r="C1059" s="2203">
        <f t="shared" ref="C1059:O1059" si="269">SUM(C1061:C1067)</f>
        <v>1705</v>
      </c>
      <c r="D1059" s="2203">
        <f t="shared" si="269"/>
        <v>746</v>
      </c>
      <c r="E1059" s="2203">
        <f t="shared" si="269"/>
        <v>499</v>
      </c>
      <c r="F1059" s="2203">
        <f t="shared" si="269"/>
        <v>1079</v>
      </c>
      <c r="G1059" s="2203">
        <f t="shared" si="269"/>
        <v>1523</v>
      </c>
      <c r="H1059" s="2203">
        <f t="shared" si="269"/>
        <v>519</v>
      </c>
      <c r="I1059" s="2203">
        <f t="shared" si="269"/>
        <v>892</v>
      </c>
      <c r="J1059" s="2203">
        <f t="shared" si="269"/>
        <v>1559</v>
      </c>
      <c r="K1059" s="2203">
        <f t="shared" si="269"/>
        <v>213</v>
      </c>
      <c r="L1059" s="2203">
        <f t="shared" si="269"/>
        <v>3964</v>
      </c>
      <c r="M1059" s="2203">
        <f t="shared" si="269"/>
        <v>1031</v>
      </c>
      <c r="N1059" s="2203">
        <f t="shared" si="269"/>
        <v>1945</v>
      </c>
      <c r="O1059" s="2203">
        <f t="shared" si="269"/>
        <v>1306.25</v>
      </c>
      <c r="P1059" s="1180">
        <f>O1053/M!$Q$14</f>
        <v>0</v>
      </c>
      <c r="Q1059" s="1235"/>
      <c r="R1059" s="1235"/>
      <c r="S1059" s="1235"/>
      <c r="T1059" s="1235"/>
      <c r="U1059" s="1235"/>
      <c r="V1059" s="1235"/>
      <c r="W1059" s="1235"/>
    </row>
    <row r="1060" spans="1:23">
      <c r="A1060" s="2193"/>
      <c r="B1060" s="2194"/>
      <c r="C1060" s="2204"/>
      <c r="D1060" s="2204"/>
      <c r="E1060" s="2204"/>
      <c r="F1060" s="2204"/>
      <c r="G1060" s="2204"/>
      <c r="H1060" s="2204"/>
      <c r="I1060" s="2204"/>
      <c r="J1060" s="2204"/>
      <c r="K1060" s="2204"/>
      <c r="L1060" s="2204"/>
      <c r="M1060" s="2204"/>
      <c r="N1060" s="2204"/>
      <c r="O1060" s="2204"/>
      <c r="P1060" s="1180">
        <f>O1054/M!$Q$14</f>
        <v>8.7058216913207063E-3</v>
      </c>
      <c r="Q1060" s="1235"/>
      <c r="R1060" s="1235"/>
      <c r="S1060" s="1235"/>
      <c r="T1060" s="1235"/>
      <c r="U1060" s="1235"/>
      <c r="V1060" s="1235"/>
      <c r="W1060" s="1235"/>
    </row>
    <row r="1061" spans="1:23">
      <c r="A1061" s="2217"/>
      <c r="B1061" s="1176" t="s">
        <v>280</v>
      </c>
      <c r="C1061" s="1230">
        <v>131</v>
      </c>
      <c r="D1061" s="1230">
        <v>133</v>
      </c>
      <c r="E1061" s="1230">
        <v>406</v>
      </c>
      <c r="F1061" s="1230">
        <v>602</v>
      </c>
      <c r="G1061" s="1230">
        <v>454</v>
      </c>
      <c r="H1061" s="1230">
        <v>215</v>
      </c>
      <c r="I1061" s="1178">
        <v>197</v>
      </c>
      <c r="J1061" s="1178">
        <v>249</v>
      </c>
      <c r="K1061" s="1178">
        <v>75</v>
      </c>
      <c r="L1061" s="1178">
        <v>148</v>
      </c>
      <c r="M1061" s="1178">
        <v>276</v>
      </c>
      <c r="N1061" s="1178">
        <v>1348</v>
      </c>
      <c r="O1061" s="1179">
        <f t="shared" ref="O1061:O1067" si="270">SUM(C1061:N1061)/12</f>
        <v>352.83333333333331</v>
      </c>
      <c r="P1061" s="1180">
        <f>O1055/M!$Q$14</f>
        <v>5.5896606224102056E-3</v>
      </c>
      <c r="Q1061" s="1235"/>
      <c r="R1061" s="1235"/>
      <c r="S1061" s="1235"/>
      <c r="T1061" s="1235"/>
      <c r="U1061" s="1235"/>
      <c r="V1061" s="1235"/>
      <c r="W1061" s="1235"/>
    </row>
    <row r="1062" spans="1:23">
      <c r="A1062" s="2218"/>
      <c r="B1062" s="1176" t="s">
        <v>423</v>
      </c>
      <c r="C1062" s="1230">
        <v>120</v>
      </c>
      <c r="D1062" s="1230">
        <v>338</v>
      </c>
      <c r="E1062" s="1230">
        <v>55</v>
      </c>
      <c r="F1062" s="1230">
        <v>202</v>
      </c>
      <c r="G1062" s="1230">
        <v>347</v>
      </c>
      <c r="H1062" s="1230">
        <v>97</v>
      </c>
      <c r="I1062" s="1178">
        <v>127</v>
      </c>
      <c r="J1062" s="1178">
        <v>93</v>
      </c>
      <c r="K1062" s="1178">
        <v>104</v>
      </c>
      <c r="L1062" s="1178">
        <v>198</v>
      </c>
      <c r="M1062" s="1178">
        <v>245</v>
      </c>
      <c r="N1062" s="1178">
        <v>355</v>
      </c>
      <c r="O1062" s="1179">
        <f t="shared" si="270"/>
        <v>190.08333333333334</v>
      </c>
      <c r="P1062" s="1180">
        <f>O1056/M!$Q$14</f>
        <v>1.8308380380889042E-3</v>
      </c>
      <c r="Q1062" s="1235"/>
      <c r="R1062" s="1235"/>
      <c r="S1062" s="1235"/>
      <c r="T1062" s="1235"/>
      <c r="U1062" s="1235"/>
      <c r="V1062" s="1235"/>
      <c r="W1062" s="1235"/>
    </row>
    <row r="1063" spans="1:23">
      <c r="A1063" s="2218"/>
      <c r="B1063" s="1176" t="s">
        <v>424</v>
      </c>
      <c r="C1063" s="1230">
        <v>0</v>
      </c>
      <c r="D1063" s="1230">
        <v>0</v>
      </c>
      <c r="E1063" s="1230">
        <v>0</v>
      </c>
      <c r="F1063" s="1230">
        <v>0</v>
      </c>
      <c r="G1063" s="1230">
        <v>0</v>
      </c>
      <c r="H1063" s="1230">
        <v>25</v>
      </c>
      <c r="I1063" s="1178">
        <v>0</v>
      </c>
      <c r="J1063" s="1178">
        <v>0</v>
      </c>
      <c r="K1063" s="1178">
        <v>0</v>
      </c>
      <c r="L1063" s="1178">
        <v>0</v>
      </c>
      <c r="M1063" s="1178">
        <v>0</v>
      </c>
      <c r="N1063" s="1178">
        <v>45</v>
      </c>
      <c r="O1063" s="1179">
        <f t="shared" si="270"/>
        <v>5.833333333333333</v>
      </c>
      <c r="P1063" s="1180">
        <f>O1057/M!$Q$14</f>
        <v>6.7255274868571985E-4</v>
      </c>
      <c r="Q1063" s="1235"/>
      <c r="R1063" s="1235"/>
      <c r="S1063" s="1235"/>
      <c r="T1063" s="1235"/>
      <c r="U1063" s="1235"/>
      <c r="V1063" s="1235"/>
      <c r="W1063" s="1235"/>
    </row>
    <row r="1064" spans="1:23">
      <c r="A1064" s="2218"/>
      <c r="B1064" s="1176" t="s">
        <v>425</v>
      </c>
      <c r="C1064" s="1230">
        <v>0</v>
      </c>
      <c r="D1064" s="1230">
        <v>0</v>
      </c>
      <c r="E1064" s="1230">
        <v>25</v>
      </c>
      <c r="F1064" s="1230">
        <v>0</v>
      </c>
      <c r="G1064" s="1230">
        <v>0</v>
      </c>
      <c r="H1064" s="1230">
        <v>0</v>
      </c>
      <c r="I1064" s="1178">
        <v>0</v>
      </c>
      <c r="J1064" s="1178">
        <v>30</v>
      </c>
      <c r="K1064" s="1178">
        <v>0</v>
      </c>
      <c r="L1064" s="1178">
        <v>0</v>
      </c>
      <c r="M1064" s="1178">
        <v>0</v>
      </c>
      <c r="N1064" s="1178">
        <v>15</v>
      </c>
      <c r="O1064" s="1179">
        <f t="shared" si="270"/>
        <v>5.833333333333333</v>
      </c>
      <c r="P1064" s="1180">
        <f>O1058/M!$Q$14</f>
        <v>6.3219958376457665E-3</v>
      </c>
      <c r="Q1064" s="1235"/>
      <c r="R1064" s="1235"/>
      <c r="S1064" s="1235"/>
      <c r="T1064" s="1235"/>
      <c r="U1064" s="1235"/>
      <c r="V1064" s="1235"/>
      <c r="W1064" s="1235"/>
    </row>
    <row r="1065" spans="1:23">
      <c r="A1065" s="2218"/>
      <c r="B1065" s="1176" t="s">
        <v>667</v>
      </c>
      <c r="C1065" s="1230">
        <v>15</v>
      </c>
      <c r="D1065" s="1230">
        <v>275</v>
      </c>
      <c r="E1065" s="1230">
        <v>0</v>
      </c>
      <c r="F1065" s="1230">
        <v>25</v>
      </c>
      <c r="G1065" s="1230">
        <v>143</v>
      </c>
      <c r="H1065" s="1230">
        <v>72</v>
      </c>
      <c r="I1065" s="1178">
        <v>102</v>
      </c>
      <c r="J1065" s="1178">
        <v>355</v>
      </c>
      <c r="K1065" s="1178">
        <v>10</v>
      </c>
      <c r="L1065" s="1178">
        <v>212</v>
      </c>
      <c r="M1065" s="1178">
        <v>445</v>
      </c>
      <c r="N1065" s="1178">
        <v>110</v>
      </c>
      <c r="O1065" s="1179">
        <f t="shared" si="270"/>
        <v>147</v>
      </c>
      <c r="P1065" s="2205">
        <f>O1059/M!$Q$14</f>
        <v>0.11713627039609621</v>
      </c>
      <c r="Q1065" s="1235"/>
      <c r="R1065" s="1235"/>
      <c r="S1065" s="1235"/>
      <c r="T1065" s="1235"/>
      <c r="U1065" s="1235"/>
      <c r="V1065" s="1235"/>
      <c r="W1065" s="1235"/>
    </row>
    <row r="1066" spans="1:23">
      <c r="A1066" s="2218"/>
      <c r="B1066" s="1176" t="s">
        <v>427</v>
      </c>
      <c r="C1066" s="1230">
        <v>0</v>
      </c>
      <c r="D1066" s="1230">
        <v>0</v>
      </c>
      <c r="E1066" s="1230">
        <v>0</v>
      </c>
      <c r="F1066" s="1230">
        <v>0</v>
      </c>
      <c r="G1066" s="1230">
        <v>0</v>
      </c>
      <c r="H1066" s="1230">
        <v>0</v>
      </c>
      <c r="I1066" s="1178">
        <v>135</v>
      </c>
      <c r="J1066" s="1178">
        <v>190</v>
      </c>
      <c r="K1066" s="1178">
        <v>0</v>
      </c>
      <c r="L1066" s="1178">
        <v>0</v>
      </c>
      <c r="M1066" s="1178">
        <v>0</v>
      </c>
      <c r="N1066" s="1178">
        <v>0</v>
      </c>
      <c r="O1066" s="1179">
        <f t="shared" si="270"/>
        <v>27.083333333333332</v>
      </c>
      <c r="P1066" s="2206"/>
      <c r="Q1066" s="1235"/>
      <c r="R1066" s="1235"/>
      <c r="S1066" s="1235"/>
      <c r="T1066" s="1235"/>
      <c r="U1066" s="1235"/>
      <c r="V1066" s="1235"/>
      <c r="W1066" s="1235"/>
    </row>
    <row r="1067" spans="1:23">
      <c r="A1067" s="2219"/>
      <c r="B1067" s="1176" t="s">
        <v>381</v>
      </c>
      <c r="C1067" s="1228">
        <v>1439</v>
      </c>
      <c r="D1067" s="1228">
        <v>0</v>
      </c>
      <c r="E1067" s="1228">
        <v>13</v>
      </c>
      <c r="F1067" s="1228">
        <v>250</v>
      </c>
      <c r="G1067" s="1228">
        <v>579</v>
      </c>
      <c r="H1067" s="1228">
        <v>110</v>
      </c>
      <c r="I1067" s="1229">
        <v>331</v>
      </c>
      <c r="J1067" s="1229">
        <v>642</v>
      </c>
      <c r="K1067" s="1229">
        <v>24</v>
      </c>
      <c r="L1067" s="1229">
        <v>3406</v>
      </c>
      <c r="M1067" s="1229">
        <v>65</v>
      </c>
      <c r="N1067" s="1229">
        <v>72</v>
      </c>
      <c r="O1067" s="1179">
        <f t="shared" si="270"/>
        <v>577.58333333333337</v>
      </c>
      <c r="P1067" s="1180">
        <f>O1061/M!$Q$14</f>
        <v>3.1639870421503756E-2</v>
      </c>
      <c r="Q1067" s="1235"/>
      <c r="R1067" s="1235"/>
      <c r="S1067" s="1235"/>
      <c r="T1067" s="1235"/>
      <c r="U1067" s="1235"/>
      <c r="V1067" s="1235"/>
      <c r="W1067" s="1235"/>
    </row>
    <row r="1068" spans="1:23">
      <c r="A1068" s="2191" t="s">
        <v>428</v>
      </c>
      <c r="B1068" s="2192"/>
      <c r="C1068" s="2203">
        <f>SUM(C1070:C1071)</f>
        <v>3040</v>
      </c>
      <c r="D1068" s="2203">
        <f t="shared" ref="D1068:N1068" si="271">SUM(D1070:D1071)</f>
        <v>2296</v>
      </c>
      <c r="E1068" s="2203">
        <f t="shared" si="271"/>
        <v>2296</v>
      </c>
      <c r="F1068" s="2203">
        <f t="shared" si="271"/>
        <v>2296</v>
      </c>
      <c r="G1068" s="2203">
        <f t="shared" si="271"/>
        <v>2870</v>
      </c>
      <c r="H1068" s="2203">
        <f t="shared" si="271"/>
        <v>2381</v>
      </c>
      <c r="I1068" s="2203">
        <f t="shared" si="271"/>
        <v>2296</v>
      </c>
      <c r="J1068" s="2203">
        <f t="shared" si="271"/>
        <v>2450</v>
      </c>
      <c r="K1068" s="2203">
        <f t="shared" si="271"/>
        <v>3242</v>
      </c>
      <c r="L1068" s="2203">
        <f t="shared" si="271"/>
        <v>2662</v>
      </c>
      <c r="M1068" s="2203">
        <f t="shared" si="271"/>
        <v>2662</v>
      </c>
      <c r="N1068" s="2203">
        <f t="shared" si="271"/>
        <v>2662</v>
      </c>
      <c r="O1068" s="2203">
        <f>SUM(O1070:O1071)</f>
        <v>2596.0833333333335</v>
      </c>
      <c r="P1068" s="1180">
        <f>O1062/M!$Q$14</f>
        <v>1.7045475775023633E-2</v>
      </c>
      <c r="Q1068" s="1235"/>
      <c r="R1068" s="1235"/>
      <c r="S1068" s="1235"/>
      <c r="T1068" s="1235"/>
      <c r="U1068" s="1235"/>
      <c r="V1068" s="1235"/>
      <c r="W1068" s="1235"/>
    </row>
    <row r="1069" spans="1:23">
      <c r="A1069" s="2193"/>
      <c r="B1069" s="2194"/>
      <c r="C1069" s="2204"/>
      <c r="D1069" s="2204"/>
      <c r="E1069" s="2204"/>
      <c r="F1069" s="2204"/>
      <c r="G1069" s="2204"/>
      <c r="H1069" s="2204"/>
      <c r="I1069" s="2204"/>
      <c r="J1069" s="2204"/>
      <c r="K1069" s="2204"/>
      <c r="L1069" s="2204"/>
      <c r="M1069" s="2204"/>
      <c r="N1069" s="2204"/>
      <c r="O1069" s="2204"/>
      <c r="P1069" s="1180">
        <f>O1063/M!$Q$14</f>
        <v>5.2309658231111547E-4</v>
      </c>
      <c r="Q1069" s="1235"/>
      <c r="R1069" s="1235"/>
      <c r="S1069" s="1235"/>
      <c r="T1069" s="1235"/>
      <c r="U1069" s="1235"/>
      <c r="V1069" s="1235"/>
      <c r="W1069" s="1235"/>
    </row>
    <row r="1070" spans="1:23">
      <c r="A1070" s="2217"/>
      <c r="B1070" s="1176" t="s">
        <v>429</v>
      </c>
      <c r="C1070" s="1230">
        <v>0</v>
      </c>
      <c r="D1070" s="1230">
        <v>0</v>
      </c>
      <c r="E1070" s="1230">
        <v>0</v>
      </c>
      <c r="F1070" s="1230">
        <v>0</v>
      </c>
      <c r="G1070" s="1230">
        <v>0</v>
      </c>
      <c r="H1070" s="1230">
        <v>0</v>
      </c>
      <c r="I1070" s="1178">
        <v>0</v>
      </c>
      <c r="J1070" s="1178">
        <v>0</v>
      </c>
      <c r="K1070" s="1178">
        <v>0</v>
      </c>
      <c r="L1070" s="1178">
        <v>0</v>
      </c>
      <c r="M1070" s="1178">
        <v>0</v>
      </c>
      <c r="N1070" s="1178">
        <v>0</v>
      </c>
      <c r="O1070" s="1179">
        <f>SUM(C1070:N1070)/12</f>
        <v>0</v>
      </c>
      <c r="P1070" s="1180">
        <f>O1064/M!$Q$14</f>
        <v>5.2309658231111547E-4</v>
      </c>
      <c r="Q1070" s="1235"/>
      <c r="R1070" s="1235"/>
      <c r="S1070" s="1235"/>
      <c r="T1070" s="1235"/>
      <c r="U1070" s="1235"/>
      <c r="V1070" s="1235"/>
      <c r="W1070" s="1235"/>
    </row>
    <row r="1071" spans="1:23">
      <c r="A1071" s="2218"/>
      <c r="B1071" s="1176" t="s">
        <v>430</v>
      </c>
      <c r="C1071" s="1230">
        <v>3040</v>
      </c>
      <c r="D1071" s="1230">
        <v>2296</v>
      </c>
      <c r="E1071" s="1230">
        <v>2296</v>
      </c>
      <c r="F1071" s="1230">
        <v>2296</v>
      </c>
      <c r="G1071" s="1230">
        <v>2870</v>
      </c>
      <c r="H1071" s="1230">
        <v>2381</v>
      </c>
      <c r="I1071" s="1178">
        <v>2296</v>
      </c>
      <c r="J1071" s="1178">
        <f xml:space="preserve"> 2248 + 152 + 50</f>
        <v>2450</v>
      </c>
      <c r="K1071" s="1178">
        <f>1418+ 1244 + 30 + 250 + 300</f>
        <v>3242</v>
      </c>
      <c r="L1071" s="1178">
        <f>1418+ 1244</f>
        <v>2662</v>
      </c>
      <c r="M1071" s="1178">
        <f>1418+ 1244</f>
        <v>2662</v>
      </c>
      <c r="N1071" s="1178">
        <f>1418+ 1244</f>
        <v>2662</v>
      </c>
      <c r="O1071" s="1179">
        <f>SUM(C1071:N1071)/12</f>
        <v>2596.0833333333335</v>
      </c>
      <c r="P1071" s="1180">
        <f>O1065/M!$Q$14</f>
        <v>1.318203387424011E-2</v>
      </c>
      <c r="Q1071" s="1235"/>
      <c r="R1071" s="1235"/>
      <c r="S1071" s="1235"/>
      <c r="T1071" s="1235"/>
      <c r="U1071" s="1235"/>
      <c r="V1071" s="1235"/>
      <c r="W1071" s="1235"/>
    </row>
    <row r="1072" spans="1:23">
      <c r="A1072" s="2191" t="s">
        <v>668</v>
      </c>
      <c r="B1072" s="2192"/>
      <c r="C1072" s="2203">
        <f>SUM(C1074:C1077)</f>
        <v>552.25</v>
      </c>
      <c r="D1072" s="2203">
        <f t="shared" ref="D1072:N1072" si="272">SUM(D1074:D1077)</f>
        <v>422.25</v>
      </c>
      <c r="E1072" s="2203">
        <f t="shared" si="272"/>
        <v>432.25</v>
      </c>
      <c r="F1072" s="2203">
        <f t="shared" si="272"/>
        <v>458.25</v>
      </c>
      <c r="G1072" s="2203">
        <f t="shared" si="272"/>
        <v>485.25</v>
      </c>
      <c r="H1072" s="2203">
        <f t="shared" si="272"/>
        <v>452.25</v>
      </c>
      <c r="I1072" s="2203">
        <f t="shared" si="272"/>
        <v>422.25</v>
      </c>
      <c r="J1072" s="2203">
        <f t="shared" si="272"/>
        <v>418.25</v>
      </c>
      <c r="K1072" s="2203">
        <f t="shared" si="272"/>
        <v>407.25</v>
      </c>
      <c r="L1072" s="2203">
        <f t="shared" si="272"/>
        <v>547.25</v>
      </c>
      <c r="M1072" s="2203">
        <f t="shared" si="272"/>
        <v>512.25</v>
      </c>
      <c r="N1072" s="2203">
        <f t="shared" si="272"/>
        <v>407.25</v>
      </c>
      <c r="O1072" s="2203">
        <f>SUM(O1074:O1082)</f>
        <v>2382.166666666667</v>
      </c>
      <c r="P1072" s="1180">
        <f>O1066/M!$Q$14</f>
        <v>2.4286627035873215E-3</v>
      </c>
      <c r="Q1072" s="1235"/>
      <c r="R1072" s="1235"/>
      <c r="S1072" s="1235"/>
      <c r="T1072" s="1235"/>
      <c r="U1072" s="1235"/>
      <c r="V1072" s="1235"/>
      <c r="W1072" s="1235"/>
    </row>
    <row r="1073" spans="1:23">
      <c r="A1073" s="2193"/>
      <c r="B1073" s="2194"/>
      <c r="C1073" s="2204"/>
      <c r="D1073" s="2204"/>
      <c r="E1073" s="2204"/>
      <c r="F1073" s="2204"/>
      <c r="G1073" s="2204"/>
      <c r="H1073" s="2204"/>
      <c r="I1073" s="2204"/>
      <c r="J1073" s="2204"/>
      <c r="K1073" s="2204"/>
      <c r="L1073" s="2204"/>
      <c r="M1073" s="2204"/>
      <c r="N1073" s="2204"/>
      <c r="O1073" s="2204"/>
      <c r="P1073" s="1180">
        <f>O1067/M!$Q$14</f>
        <v>5.1794034457119165E-2</v>
      </c>
      <c r="Q1073" s="1235"/>
      <c r="R1073" s="1235"/>
      <c r="S1073" s="1235"/>
      <c r="T1073" s="1235"/>
      <c r="U1073" s="1235"/>
      <c r="V1073" s="1235"/>
      <c r="W1073" s="1235"/>
    </row>
    <row r="1074" spans="1:23">
      <c r="A1074" s="1183"/>
      <c r="B1074" s="1176" t="s">
        <v>432</v>
      </c>
      <c r="C1074" s="1184">
        <f>(FinSnapshot!$M$94 +FinSnapshot!$M$96+FinSnapshot!$M$102+FinSnapshot!$M$104)/12</f>
        <v>305.08333333333331</v>
      </c>
      <c r="D1074" s="1184">
        <f>(FinSnapshot!$M$94 +FinSnapshot!$M$96+FinSnapshot!$M$102+FinSnapshot!$M$104)/12</f>
        <v>305.08333333333331</v>
      </c>
      <c r="E1074" s="1184">
        <f>(FinSnapshot!$M$94 +FinSnapshot!$M$96+FinSnapshot!$M$102+FinSnapshot!$M$104)/12</f>
        <v>305.08333333333331</v>
      </c>
      <c r="F1074" s="1184">
        <f>(FinSnapshot!$M$94 +FinSnapshot!$M$96+FinSnapshot!$M$102+FinSnapshot!$M$104)/12</f>
        <v>305.08333333333331</v>
      </c>
      <c r="G1074" s="1184">
        <f>(FinSnapshot!$M$94 +FinSnapshot!$M$96+FinSnapshot!$M$102+FinSnapshot!$M$104)/12</f>
        <v>305.08333333333331</v>
      </c>
      <c r="H1074" s="1184">
        <f>(FinSnapshot!$M$94 +FinSnapshot!$M$96+FinSnapshot!$M$102+FinSnapshot!$M$104)/12</f>
        <v>305.08333333333331</v>
      </c>
      <c r="I1074" s="1184">
        <f>(FinSnapshot!$M$94 +FinSnapshot!$M$96+FinSnapshot!$M$102+FinSnapshot!$M$104)/12</f>
        <v>305.08333333333331</v>
      </c>
      <c r="J1074" s="1184">
        <f>(FinSnapshot!$M$94 +FinSnapshot!$M$96+FinSnapshot!$M$102+FinSnapshot!$M$104)/12</f>
        <v>305.08333333333331</v>
      </c>
      <c r="K1074" s="1184">
        <f>(FinSnapshot!$M$94 +FinSnapshot!$M$96+FinSnapshot!$M$102+FinSnapshot!$M$104)/12</f>
        <v>305.08333333333331</v>
      </c>
      <c r="L1074" s="1184">
        <f>(FinSnapshot!$M$94 +FinSnapshot!$M$96+FinSnapshot!$M$102+FinSnapshot!$M$104)/12</f>
        <v>305.08333333333331</v>
      </c>
      <c r="M1074" s="1184">
        <f>(FinSnapshot!$M$94 +FinSnapshot!$M$96+FinSnapshot!$M$102+FinSnapshot!$M$104)/12</f>
        <v>305.08333333333331</v>
      </c>
      <c r="N1074" s="1184">
        <f>(FinSnapshot!$M$94 +FinSnapshot!$M$96+FinSnapshot!$M$102+FinSnapshot!$M$104)/12</f>
        <v>305.08333333333331</v>
      </c>
      <c r="O1074" s="1179">
        <f>SUM(C1074:N1074)/12</f>
        <v>305.08333333333337</v>
      </c>
      <c r="P1074" s="2205">
        <f>O1068/M!$Q$14</f>
        <v>0.23280039755340259</v>
      </c>
      <c r="Q1074" s="1235"/>
      <c r="R1074" s="1235"/>
      <c r="S1074" s="1235"/>
      <c r="T1074" s="1235"/>
      <c r="U1074" s="1235"/>
      <c r="V1074" s="1235"/>
      <c r="W1074" s="1235"/>
    </row>
    <row r="1075" spans="1:23">
      <c r="A1075" s="1183"/>
      <c r="B1075" s="1176" t="s">
        <v>284</v>
      </c>
      <c r="C1075" s="1228">
        <v>145</v>
      </c>
      <c r="D1075" s="1228">
        <v>15</v>
      </c>
      <c r="E1075" s="1228">
        <v>25</v>
      </c>
      <c r="F1075" s="1228">
        <v>51</v>
      </c>
      <c r="G1075" s="1228">
        <v>78</v>
      </c>
      <c r="H1075" s="1228">
        <v>45</v>
      </c>
      <c r="I1075" s="1228">
        <v>15</v>
      </c>
      <c r="J1075" s="1228">
        <v>11</v>
      </c>
      <c r="K1075" s="1228">
        <v>0</v>
      </c>
      <c r="L1075" s="1228">
        <v>140</v>
      </c>
      <c r="M1075" s="1228">
        <v>105</v>
      </c>
      <c r="N1075" s="1228">
        <v>0</v>
      </c>
      <c r="O1075" s="1179">
        <f>SUM(C1075:N1075)/12</f>
        <v>52.5</v>
      </c>
      <c r="P1075" s="2206"/>
      <c r="Q1075" s="1235"/>
      <c r="R1075" s="1235"/>
      <c r="S1075" s="1235"/>
      <c r="T1075" s="1235"/>
      <c r="U1075" s="1235"/>
      <c r="V1075" s="1235"/>
      <c r="W1075" s="1235"/>
    </row>
    <row r="1076" spans="1:23">
      <c r="A1076" s="1183"/>
      <c r="B1076" s="1176" t="s">
        <v>433</v>
      </c>
      <c r="C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D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E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F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G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H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I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J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K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L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M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N1076" s="1178">
        <f>(FinSnapshot!$M$93+ FinSnapshot!$M$95+ FinSnapshot!$M$96+ FinSnapshot!$M$103 + FinSnapshot!$M$105+ FinSnapshot!$M$107+ FinSnapshot!$M$108+ FinSnapshot!$M$101+FinSnapshot!$M$95+FinSnapshot!$M$103)/12</f>
        <v>102.16666666666667</v>
      </c>
      <c r="O1076" s="1179">
        <f>SUM(C1076:N1076)/12</f>
        <v>102.16666666666667</v>
      </c>
      <c r="P1076" s="1180">
        <f>O1070/M!$Q$14</f>
        <v>0</v>
      </c>
      <c r="Q1076" s="1235"/>
      <c r="R1076" s="1235"/>
      <c r="S1076" s="1235"/>
      <c r="T1076" s="1235"/>
      <c r="U1076" s="1235"/>
      <c r="V1076" s="1235"/>
      <c r="W1076" s="1235"/>
    </row>
    <row r="1077" spans="1:23">
      <c r="A1077" s="1183"/>
      <c r="B1077" s="1176" t="s">
        <v>434</v>
      </c>
      <c r="C1077" s="1184">
        <v>0</v>
      </c>
      <c r="D1077" s="1184">
        <v>0</v>
      </c>
      <c r="E1077" s="1184">
        <v>0</v>
      </c>
      <c r="F1077" s="1184">
        <v>0</v>
      </c>
      <c r="G1077" s="1184">
        <v>0</v>
      </c>
      <c r="H1077" s="1184">
        <v>0</v>
      </c>
      <c r="I1077" s="1184">
        <v>0</v>
      </c>
      <c r="J1077" s="1184">
        <v>0</v>
      </c>
      <c r="K1077" s="1184">
        <v>0</v>
      </c>
      <c r="L1077" s="1184">
        <v>0</v>
      </c>
      <c r="M1077" s="1184">
        <v>0</v>
      </c>
      <c r="N1077" s="1184">
        <v>0</v>
      </c>
      <c r="O1077" s="1179">
        <f>SUM(C1077:N1077)/12</f>
        <v>0</v>
      </c>
      <c r="P1077" s="1180">
        <f>O1071/M!$Q$14</f>
        <v>0.23280039755340259</v>
      </c>
      <c r="Q1077" s="1235"/>
      <c r="R1077" s="1235"/>
      <c r="S1077" s="1235"/>
      <c r="T1077" s="1235"/>
      <c r="U1077" s="1235"/>
      <c r="V1077" s="1235"/>
      <c r="W1077" s="1235"/>
    </row>
    <row r="1078" spans="1:23">
      <c r="A1078" s="2191" t="s">
        <v>435</v>
      </c>
      <c r="B1078" s="2192"/>
      <c r="C1078" s="2203">
        <f>SUM(C1080:C1082)</f>
        <v>0</v>
      </c>
      <c r="D1078" s="2203">
        <f t="shared" ref="D1078:N1078" si="273">SUM(D1080:D1082)</f>
        <v>8</v>
      </c>
      <c r="E1078" s="2203">
        <f t="shared" si="273"/>
        <v>0</v>
      </c>
      <c r="F1078" s="2203">
        <f t="shared" si="273"/>
        <v>0</v>
      </c>
      <c r="G1078" s="2203">
        <f t="shared" si="273"/>
        <v>0</v>
      </c>
      <c r="H1078" s="2203">
        <f t="shared" si="273"/>
        <v>0</v>
      </c>
      <c r="I1078" s="2203">
        <f t="shared" si="273"/>
        <v>50</v>
      </c>
      <c r="J1078" s="2203">
        <f t="shared" si="273"/>
        <v>0</v>
      </c>
      <c r="K1078" s="2203">
        <f t="shared" si="273"/>
        <v>0</v>
      </c>
      <c r="L1078" s="2203">
        <f t="shared" si="273"/>
        <v>11</v>
      </c>
      <c r="M1078" s="2203">
        <f t="shared" si="273"/>
        <v>0</v>
      </c>
      <c r="N1078" s="2203">
        <f t="shared" si="273"/>
        <v>0</v>
      </c>
      <c r="O1078" s="2203">
        <f>SUM(O1083:O1085)</f>
        <v>1916.6666666666667</v>
      </c>
      <c r="P1078" s="2205">
        <f>O1072/M!$Q$14</f>
        <v>0.21361769859922211</v>
      </c>
      <c r="Q1078" s="1235"/>
      <c r="R1078" s="1235"/>
      <c r="S1078" s="1235"/>
      <c r="T1078" s="1235"/>
      <c r="U1078" s="1235"/>
      <c r="V1078" s="1235"/>
      <c r="W1078" s="1235"/>
    </row>
    <row r="1079" spans="1:23">
      <c r="A1079" s="2193"/>
      <c r="B1079" s="2194"/>
      <c r="C1079" s="2204"/>
      <c r="D1079" s="2204"/>
      <c r="E1079" s="2204"/>
      <c r="F1079" s="2204"/>
      <c r="G1079" s="2204"/>
      <c r="H1079" s="2204"/>
      <c r="I1079" s="2204"/>
      <c r="J1079" s="2204"/>
      <c r="K1079" s="2204"/>
      <c r="L1079" s="2204"/>
      <c r="M1079" s="2204"/>
      <c r="N1079" s="2204"/>
      <c r="O1079" s="2204"/>
      <c r="P1079" s="2206"/>
      <c r="Q1079" s="1235"/>
      <c r="R1079" s="1235"/>
      <c r="S1079" s="1235"/>
      <c r="T1079" s="1235"/>
      <c r="U1079" s="1235"/>
      <c r="V1079" s="1235"/>
      <c r="W1079" s="1235"/>
    </row>
    <row r="1080" spans="1:23">
      <c r="A1080" s="1183"/>
      <c r="B1080" s="1176" t="s">
        <v>405</v>
      </c>
      <c r="C1080" s="1228">
        <v>0</v>
      </c>
      <c r="D1080" s="1228">
        <v>0</v>
      </c>
      <c r="E1080" s="1228">
        <v>0</v>
      </c>
      <c r="F1080" s="1228">
        <v>0</v>
      </c>
      <c r="G1080" s="1228">
        <v>0</v>
      </c>
      <c r="H1080" s="1228">
        <v>0</v>
      </c>
      <c r="I1080" s="1229">
        <v>0</v>
      </c>
      <c r="J1080" s="1229">
        <v>0</v>
      </c>
      <c r="K1080" s="1229">
        <v>0</v>
      </c>
      <c r="L1080" s="1229">
        <v>0</v>
      </c>
      <c r="M1080" s="1229">
        <v>0</v>
      </c>
      <c r="N1080" s="1229">
        <v>0</v>
      </c>
      <c r="O1080" s="1179">
        <f>SUM(C1080:N1080)/12</f>
        <v>0</v>
      </c>
      <c r="P1080" s="1180">
        <f>O1074/M!$Q$14</f>
        <v>2.7357951254871341E-2</v>
      </c>
      <c r="Q1080" s="1235"/>
      <c r="R1080" s="1235"/>
      <c r="S1080" s="1235"/>
      <c r="T1080" s="1235"/>
      <c r="U1080" s="1235"/>
      <c r="V1080" s="1235"/>
      <c r="W1080" s="1235"/>
    </row>
    <row r="1081" spans="1:23">
      <c r="A1081" s="1183"/>
      <c r="B1081" s="1176" t="s">
        <v>436</v>
      </c>
      <c r="C1081" s="1228">
        <v>0</v>
      </c>
      <c r="D1081" s="1228">
        <v>8</v>
      </c>
      <c r="E1081" s="1228">
        <v>0</v>
      </c>
      <c r="F1081" s="1228">
        <v>0</v>
      </c>
      <c r="G1081" s="1228">
        <v>0</v>
      </c>
      <c r="H1081" s="1228">
        <v>0</v>
      </c>
      <c r="I1081" s="1229">
        <v>50</v>
      </c>
      <c r="J1081" s="1229">
        <v>0</v>
      </c>
      <c r="K1081" s="1229">
        <v>0</v>
      </c>
      <c r="L1081" s="1229">
        <v>11</v>
      </c>
      <c r="M1081" s="1229">
        <v>0</v>
      </c>
      <c r="N1081" s="1229">
        <v>0</v>
      </c>
      <c r="O1081" s="1179">
        <f>SUM(C1081:N1081)/12</f>
        <v>5.75</v>
      </c>
      <c r="P1081" s="1180">
        <f>O1075/M!$Q$14</f>
        <v>4.7078692408000387E-3</v>
      </c>
      <c r="Q1081" s="1235"/>
      <c r="R1081" s="1235"/>
      <c r="S1081" s="1235"/>
      <c r="T1081" s="1235"/>
      <c r="U1081" s="1235"/>
      <c r="V1081" s="1235"/>
      <c r="W1081" s="1235"/>
    </row>
    <row r="1082" spans="1:23">
      <c r="A1082" s="1183"/>
      <c r="B1082" s="1176" t="s">
        <v>130</v>
      </c>
      <c r="C1082" s="1228">
        <v>0</v>
      </c>
      <c r="D1082" s="1228">
        <v>0</v>
      </c>
      <c r="E1082" s="1228">
        <v>0</v>
      </c>
      <c r="F1082" s="1228">
        <v>0</v>
      </c>
      <c r="G1082" s="1228">
        <v>0</v>
      </c>
      <c r="H1082" s="1228">
        <v>0</v>
      </c>
      <c r="I1082" s="1229">
        <v>0</v>
      </c>
      <c r="J1082" s="1229">
        <v>0</v>
      </c>
      <c r="K1082" s="1229">
        <v>0</v>
      </c>
      <c r="L1082" s="1229">
        <v>0</v>
      </c>
      <c r="M1082" s="1229">
        <v>0</v>
      </c>
      <c r="N1082" s="1229">
        <v>0</v>
      </c>
      <c r="O1082" s="1179">
        <f>SUM(C1082:N1082)/12</f>
        <v>0</v>
      </c>
      <c r="P1082" s="1180">
        <f>O1076/M!$Q$14</f>
        <v>9.1616629987632519E-3</v>
      </c>
      <c r="Q1082" s="1235"/>
      <c r="R1082" s="1235"/>
      <c r="S1082" s="1235"/>
      <c r="T1082" s="1235"/>
      <c r="U1082" s="1235"/>
      <c r="V1082" s="1235"/>
      <c r="W1082" s="1235"/>
    </row>
    <row r="1083" spans="1:23">
      <c r="A1083" s="2191" t="s">
        <v>286</v>
      </c>
      <c r="B1083" s="2192"/>
      <c r="C1083" s="2203">
        <f t="shared" ref="C1083:N1083" si="274">SUM(C1085:C1086)</f>
        <v>0</v>
      </c>
      <c r="D1083" s="2203">
        <f t="shared" si="274"/>
        <v>0</v>
      </c>
      <c r="E1083" s="2203">
        <f t="shared" si="274"/>
        <v>0</v>
      </c>
      <c r="F1083" s="2203">
        <f t="shared" si="274"/>
        <v>1000</v>
      </c>
      <c r="G1083" s="2203">
        <f t="shared" si="274"/>
        <v>2000</v>
      </c>
      <c r="H1083" s="2203">
        <f t="shared" si="274"/>
        <v>2000</v>
      </c>
      <c r="I1083" s="2203">
        <f t="shared" si="274"/>
        <v>1500</v>
      </c>
      <c r="J1083" s="2203">
        <f t="shared" si="274"/>
        <v>2000</v>
      </c>
      <c r="K1083" s="2203">
        <f t="shared" si="274"/>
        <v>0</v>
      </c>
      <c r="L1083" s="2203">
        <f t="shared" si="274"/>
        <v>0</v>
      </c>
      <c r="M1083" s="2203">
        <f t="shared" si="274"/>
        <v>3000</v>
      </c>
      <c r="N1083" s="2203">
        <f t="shared" si="274"/>
        <v>0</v>
      </c>
      <c r="O1083" s="2203">
        <f>SUM(O1085:O1086)</f>
        <v>958.33333333333337</v>
      </c>
      <c r="P1083" s="1180">
        <f>O1077/M!$Q$14</f>
        <v>0</v>
      </c>
      <c r="Q1083" s="1235"/>
      <c r="R1083" s="1235"/>
      <c r="S1083" s="1235"/>
      <c r="T1083" s="1235"/>
      <c r="U1083" s="1235"/>
      <c r="V1083" s="1235"/>
      <c r="W1083" s="1235"/>
    </row>
    <row r="1084" spans="1:23">
      <c r="A1084" s="2193"/>
      <c r="B1084" s="2194"/>
      <c r="C1084" s="2204"/>
      <c r="D1084" s="2204"/>
      <c r="E1084" s="2204"/>
      <c r="F1084" s="2204"/>
      <c r="G1084" s="2204"/>
      <c r="H1084" s="2204"/>
      <c r="I1084" s="2204"/>
      <c r="J1084" s="2204"/>
      <c r="K1084" s="2204"/>
      <c r="L1084" s="2204"/>
      <c r="M1084" s="2204"/>
      <c r="N1084" s="2204"/>
      <c r="O1084" s="2204"/>
      <c r="P1084" s="2205">
        <f>O1078/M!$Q$14</f>
        <v>0.17187459133079508</v>
      </c>
      <c r="Q1084" s="1235"/>
      <c r="R1084" s="1235"/>
      <c r="S1084" s="1235"/>
      <c r="T1084" s="1235"/>
      <c r="U1084" s="1235"/>
      <c r="V1084" s="1235"/>
      <c r="W1084" s="1235"/>
    </row>
    <row r="1085" spans="1:23">
      <c r="A1085" s="2217"/>
      <c r="B1085" s="1176" t="s">
        <v>82</v>
      </c>
      <c r="C1085" s="1230">
        <v>0</v>
      </c>
      <c r="D1085" s="1230">
        <v>0</v>
      </c>
      <c r="E1085" s="1230">
        <v>0</v>
      </c>
      <c r="F1085" s="1230">
        <v>1000</v>
      </c>
      <c r="G1085" s="1230">
        <v>2000</v>
      </c>
      <c r="H1085" s="1230">
        <v>2000</v>
      </c>
      <c r="I1085" s="1178">
        <v>1500</v>
      </c>
      <c r="J1085" s="1178">
        <v>2000</v>
      </c>
      <c r="K1085" s="1178">
        <v>0</v>
      </c>
      <c r="L1085" s="1178">
        <v>0</v>
      </c>
      <c r="M1085" s="1178">
        <v>3000</v>
      </c>
      <c r="N1085" s="1178">
        <v>0</v>
      </c>
      <c r="O1085" s="1179">
        <f>SUM(C1085:N1085)/12</f>
        <v>958.33333333333337</v>
      </c>
      <c r="P1085" s="2206"/>
      <c r="Q1085" s="1235"/>
      <c r="R1085" s="1235"/>
      <c r="S1085" s="1235"/>
      <c r="T1085" s="1235"/>
      <c r="U1085" s="1235"/>
      <c r="V1085" s="1235"/>
      <c r="W1085" s="1235"/>
    </row>
    <row r="1086" spans="1:23">
      <c r="A1086" s="2219"/>
      <c r="B1086" s="1176" t="s">
        <v>83</v>
      </c>
      <c r="C1086" s="1230">
        <v>0</v>
      </c>
      <c r="D1086" s="1230">
        <v>0</v>
      </c>
      <c r="E1086" s="1230">
        <v>0</v>
      </c>
      <c r="F1086" s="1230">
        <v>0</v>
      </c>
      <c r="G1086" s="1230">
        <v>0</v>
      </c>
      <c r="H1086" s="1230">
        <v>0</v>
      </c>
      <c r="I1086" s="1178">
        <v>0</v>
      </c>
      <c r="J1086" s="1178">
        <v>0</v>
      </c>
      <c r="K1086" s="1178">
        <v>0</v>
      </c>
      <c r="L1086" s="1178">
        <v>0</v>
      </c>
      <c r="M1086" s="1178">
        <v>0</v>
      </c>
      <c r="N1086" s="1178">
        <v>0</v>
      </c>
      <c r="O1086" s="1179">
        <f>SUM(C1086:N1086)/12</f>
        <v>0</v>
      </c>
      <c r="P1086" s="1180">
        <f>O1080/M!$Q$14</f>
        <v>0</v>
      </c>
      <c r="Q1086" s="1235"/>
      <c r="R1086" s="1235"/>
      <c r="S1086" s="1235"/>
      <c r="T1086" s="1235"/>
      <c r="U1086" s="1235"/>
      <c r="V1086" s="1235"/>
      <c r="W1086" s="1235"/>
    </row>
    <row r="1087" spans="1:23">
      <c r="A1087" s="1187" t="s">
        <v>437</v>
      </c>
      <c r="B1087" s="1188"/>
      <c r="C1087" s="1189">
        <f t="shared" ref="C1087:N1087" si="275">C1017+C1031+C1039+C1045+C1049+C1059+C1068+C1072+C1078+C1083</f>
        <v>9994.6998997924766</v>
      </c>
      <c r="D1087" s="1189">
        <f t="shared" si="275"/>
        <v>10482.699899792477</v>
      </c>
      <c r="E1087" s="1189">
        <f t="shared" si="275"/>
        <v>7952.6998997924766</v>
      </c>
      <c r="F1087" s="1189">
        <f t="shared" si="275"/>
        <v>9141.6998997924766</v>
      </c>
      <c r="G1087" s="1189">
        <f t="shared" si="275"/>
        <v>27395.25</v>
      </c>
      <c r="H1087" s="1189">
        <f t="shared" si="275"/>
        <v>10406.25</v>
      </c>
      <c r="I1087" s="1189">
        <f t="shared" si="275"/>
        <v>9164.25</v>
      </c>
      <c r="J1087" s="1189">
        <f t="shared" si="275"/>
        <v>10647.25</v>
      </c>
      <c r="K1087" s="1189">
        <f t="shared" si="275"/>
        <v>7533.25</v>
      </c>
      <c r="L1087" s="1189">
        <f t="shared" si="275"/>
        <v>10955.25</v>
      </c>
      <c r="M1087" s="1189">
        <f t="shared" si="275"/>
        <v>10874.25</v>
      </c>
      <c r="N1087" s="1189">
        <f t="shared" si="275"/>
        <v>8987.25</v>
      </c>
      <c r="O1087" s="1189">
        <f>SUM(C1087:N1087)/12</f>
        <v>11127.899966597492</v>
      </c>
      <c r="P1087" s="1180">
        <f>O1081/M!$Q$14</f>
        <v>5.1562377399238526E-4</v>
      </c>
      <c r="Q1087" s="1235"/>
      <c r="R1087" s="1235"/>
      <c r="S1087" s="1235"/>
      <c r="T1087" s="1235"/>
      <c r="U1087" s="1235"/>
      <c r="V1087" s="1235"/>
      <c r="W1087" s="1235"/>
    </row>
    <row r="1088" spans="1:23">
      <c r="A1088" s="1191" t="s">
        <v>658</v>
      </c>
      <c r="B1088" s="1192"/>
      <c r="C1088" s="1193">
        <f>C1087/M!$Q$14</f>
        <v>0.89626171865257587</v>
      </c>
      <c r="D1088" s="1193">
        <f>D1087/M!$Q$14</f>
        <v>0.94002248416706002</v>
      </c>
      <c r="E1088" s="1193">
        <f>E1087/M!$Q$14</f>
        <v>0.71314802361041052</v>
      </c>
      <c r="F1088" s="1193">
        <f>F1087/M!$Q$14</f>
        <v>0.81977005270205339</v>
      </c>
      <c r="G1088" s="1193">
        <f>G1087/M!$Q$14</f>
        <v>2.4566334251243291</v>
      </c>
      <c r="H1088" s="1193">
        <f>H1087/M!$Q$14</f>
        <v>0.93316693880143631</v>
      </c>
      <c r="I1088" s="1193">
        <f>I1087/M!$Q$14</f>
        <v>0.82179220361908112</v>
      </c>
      <c r="J1088" s="1193">
        <f>J1087/M!$Q$14</f>
        <v>0.95477830045920409</v>
      </c>
      <c r="K1088" s="1193">
        <f>K1087/M!$Q$14</f>
        <v>0.67553439920489322</v>
      </c>
      <c r="L1088" s="1193">
        <f>L1087/M!$Q$14</f>
        <v>0.98239780000523103</v>
      </c>
      <c r="M1088" s="1193">
        <f>M1087/M!$Q$14</f>
        <v>0.97513423031942525</v>
      </c>
      <c r="N1088" s="1193">
        <f>N1087/M!$Q$14</f>
        <v>0.80591995875009814</v>
      </c>
      <c r="O1088" s="1193">
        <f>O1087/M!$Q$14</f>
        <v>0.99787996128464973</v>
      </c>
      <c r="P1088" s="1180">
        <f>O1082/M!$Q$14</f>
        <v>0</v>
      </c>
      <c r="Q1088" s="1235"/>
      <c r="R1088" s="1235"/>
      <c r="S1088" s="1235"/>
      <c r="T1088" s="1235"/>
      <c r="U1088" s="1235"/>
      <c r="V1088" s="1235"/>
      <c r="W1088" s="1235"/>
    </row>
    <row r="1089" spans="1:23">
      <c r="A1089" s="1235"/>
      <c r="B1089" s="1235"/>
      <c r="C1089" s="1235"/>
      <c r="D1089" s="1235"/>
      <c r="E1089" s="1235"/>
      <c r="F1089" s="1235"/>
      <c r="G1089" s="1235"/>
      <c r="H1089" s="1235"/>
      <c r="I1089" s="1235"/>
      <c r="J1089" s="1235"/>
      <c r="K1089" s="1235"/>
      <c r="L1089" s="1235"/>
      <c r="M1089" s="1235"/>
      <c r="N1089" s="1235"/>
      <c r="O1089" s="1235"/>
      <c r="P1089" s="2205">
        <f>O1083/M!$Q$14</f>
        <v>8.593729566539754E-2</v>
      </c>
      <c r="Q1089" s="1235"/>
      <c r="R1089" s="1235"/>
      <c r="S1089" s="1235"/>
      <c r="T1089" s="1235"/>
      <c r="U1089" s="1235"/>
      <c r="V1089" s="1235"/>
      <c r="W1089" s="1235"/>
    </row>
    <row r="1090" spans="1:23">
      <c r="A1090" s="1235"/>
      <c r="B1090" s="1235"/>
      <c r="C1090" s="1235"/>
      <c r="D1090" s="1235"/>
      <c r="E1090" s="1235"/>
      <c r="F1090" s="1235"/>
      <c r="G1090" s="1235"/>
      <c r="H1090" s="1235"/>
      <c r="I1090" s="1235"/>
      <c r="J1090" s="1235"/>
      <c r="K1090" s="1235"/>
      <c r="L1090" s="1235"/>
      <c r="M1090" s="1235"/>
      <c r="N1090" s="1235"/>
      <c r="O1090" s="1235"/>
      <c r="P1090" s="2206"/>
      <c r="Q1090" s="1235"/>
      <c r="R1090" s="1235"/>
      <c r="S1090" s="1235"/>
      <c r="T1090" s="1235"/>
      <c r="U1090" s="1235"/>
      <c r="V1090" s="1235"/>
      <c r="W1090" s="1235"/>
    </row>
    <row r="1091" spans="1:23">
      <c r="A1091" s="1235"/>
      <c r="B1091" s="1235"/>
      <c r="C1091" s="1235"/>
      <c r="D1091" s="1235"/>
      <c r="E1091" s="1235"/>
      <c r="F1091" s="1235"/>
      <c r="G1091" s="1235"/>
      <c r="H1091" s="1235"/>
      <c r="I1091" s="1235"/>
      <c r="J1091" s="1235"/>
      <c r="K1091" s="1235"/>
      <c r="L1091" s="1235"/>
      <c r="M1091" s="1235"/>
      <c r="N1091" s="1235"/>
      <c r="O1091" s="1235"/>
      <c r="P1091" s="1180">
        <f>O1085/M!$Q$14</f>
        <v>8.593729566539754E-2</v>
      </c>
      <c r="Q1091" s="1235"/>
      <c r="R1091" s="1235"/>
      <c r="S1091" s="1235"/>
      <c r="T1091" s="1235"/>
      <c r="U1091" s="1235"/>
      <c r="V1091" s="1235"/>
      <c r="W1091" s="1235"/>
    </row>
    <row r="1092" spans="1:23">
      <c r="A1092" s="2195">
        <v>2012</v>
      </c>
      <c r="B1092" s="2196"/>
      <c r="C1092" s="2196"/>
      <c r="D1092" s="2196"/>
      <c r="E1092" s="2196"/>
      <c r="F1092" s="2196"/>
      <c r="G1092" s="2196"/>
      <c r="H1092" s="2196"/>
      <c r="I1092" s="2196"/>
      <c r="J1092" s="2196"/>
      <c r="K1092" s="2196"/>
      <c r="L1092" s="2196"/>
      <c r="M1092" s="2196"/>
      <c r="N1092" s="2196"/>
      <c r="O1092" s="2196"/>
      <c r="P1092" s="1180">
        <f>O1086/M!$Q$14</f>
        <v>0</v>
      </c>
      <c r="Q1092" s="1235"/>
      <c r="R1092" s="1235"/>
      <c r="S1092" s="1235"/>
      <c r="T1092" s="1235"/>
      <c r="U1092" s="1235"/>
      <c r="V1092" s="1235"/>
      <c r="W1092" s="1235"/>
    </row>
    <row r="1093" spans="1:23">
      <c r="A1093" s="1171" t="s">
        <v>388</v>
      </c>
      <c r="B1093" s="1172"/>
      <c r="C1093" s="1173" t="s">
        <v>309</v>
      </c>
      <c r="D1093" s="1173" t="s">
        <v>311</v>
      </c>
      <c r="E1093" s="1173" t="s">
        <v>312</v>
      </c>
      <c r="F1093" s="1173" t="s">
        <v>313</v>
      </c>
      <c r="G1093" s="1173" t="s">
        <v>314</v>
      </c>
      <c r="H1093" s="1173" t="s">
        <v>315</v>
      </c>
      <c r="I1093" s="1173" t="s">
        <v>316</v>
      </c>
      <c r="J1093" s="1173" t="s">
        <v>317</v>
      </c>
      <c r="K1093" s="1173" t="s">
        <v>318</v>
      </c>
      <c r="L1093" s="1173" t="s">
        <v>319</v>
      </c>
      <c r="M1093" s="1173" t="s">
        <v>320</v>
      </c>
      <c r="N1093" s="1173" t="s">
        <v>321</v>
      </c>
      <c r="O1093" s="1174" t="s">
        <v>660</v>
      </c>
      <c r="P1093" s="1190">
        <f>O1087/M!$Q$14</f>
        <v>0.99787996128464973</v>
      </c>
      <c r="Q1093" s="1235"/>
      <c r="R1093" s="1235"/>
      <c r="S1093" s="1235"/>
      <c r="T1093" s="1235"/>
      <c r="U1093" s="1235"/>
      <c r="V1093" s="1235"/>
      <c r="W1093" s="1235"/>
    </row>
    <row r="1094" spans="1:23">
      <c r="A1094" s="2191" t="s">
        <v>56</v>
      </c>
      <c r="B1094" s="2192"/>
      <c r="C1094" s="2203">
        <f t="shared" ref="C1094:I1094" si="276">C1096+ SUM(C1102:C1107)</f>
        <v>2543.4498997924766</v>
      </c>
      <c r="D1094" s="2203">
        <f t="shared" si="276"/>
        <v>2588.449899792477</v>
      </c>
      <c r="E1094" s="2203">
        <f t="shared" si="276"/>
        <v>2424.449899792477</v>
      </c>
      <c r="F1094" s="2203">
        <f t="shared" si="276"/>
        <v>2424.449899792477</v>
      </c>
      <c r="G1094" s="2203">
        <f t="shared" si="276"/>
        <v>2424.449899792477</v>
      </c>
      <c r="H1094" s="2203">
        <f t="shared" si="276"/>
        <v>2647.449899792477</v>
      </c>
      <c r="I1094" s="2203">
        <f t="shared" si="276"/>
        <v>2413.4498997924766</v>
      </c>
      <c r="J1094" s="2203">
        <f t="shared" ref="J1094:O1094" si="277">J1096+ SUM(J1102:J1107)</f>
        <v>2404.449899792477</v>
      </c>
      <c r="K1094" s="2203">
        <f t="shared" si="277"/>
        <v>2404.449899792477</v>
      </c>
      <c r="L1094" s="2203">
        <f t="shared" si="277"/>
        <v>2428.4498997924766</v>
      </c>
      <c r="M1094" s="2203">
        <f t="shared" si="277"/>
        <v>2604.4498997924766</v>
      </c>
      <c r="N1094" s="2203">
        <f t="shared" si="277"/>
        <v>2404.449899792477</v>
      </c>
      <c r="O1094" s="2203">
        <f t="shared" si="277"/>
        <v>2476.0332331258105</v>
      </c>
      <c r="P1094" s="1194"/>
      <c r="Q1094" s="1235"/>
      <c r="R1094" s="1235"/>
      <c r="S1094" s="1235"/>
      <c r="T1094" s="1235"/>
      <c r="U1094" s="1235"/>
      <c r="V1094" s="1235"/>
      <c r="W1094" s="1235"/>
    </row>
    <row r="1095" spans="1:23">
      <c r="A1095" s="2193"/>
      <c r="B1095" s="2194"/>
      <c r="C1095" s="2204"/>
      <c r="D1095" s="2204"/>
      <c r="E1095" s="2204"/>
      <c r="F1095" s="2204"/>
      <c r="G1095" s="2204"/>
      <c r="H1095" s="2204"/>
      <c r="I1095" s="2204"/>
      <c r="J1095" s="2204"/>
      <c r="K1095" s="2204"/>
      <c r="L1095" s="2204"/>
      <c r="M1095" s="2204"/>
      <c r="N1095" s="2204"/>
      <c r="O1095" s="2204"/>
      <c r="P1095" s="1235"/>
      <c r="Q1095" s="1235"/>
      <c r="R1095" s="1235"/>
      <c r="S1095" s="1235"/>
      <c r="T1095" s="1235"/>
      <c r="U1095" s="1235"/>
      <c r="V1095" s="1235"/>
      <c r="W1095" s="1235"/>
    </row>
    <row r="1096" spans="1:23">
      <c r="A1096" s="2217"/>
      <c r="B1096" s="1176" t="s">
        <v>662</v>
      </c>
      <c r="C1096" s="1228">
        <v>1755.4498997924768</v>
      </c>
      <c r="D1096" s="1228">
        <v>1755.449899792477</v>
      </c>
      <c r="E1096" s="1228">
        <v>1755.449899792477</v>
      </c>
      <c r="F1096" s="1228">
        <v>1755.449899792477</v>
      </c>
      <c r="G1096" s="1228">
        <v>1755.449899792477</v>
      </c>
      <c r="H1096" s="1228">
        <v>1755.449899792477</v>
      </c>
      <c r="I1096" s="1229">
        <v>1755.4498997924768</v>
      </c>
      <c r="J1096" s="1229">
        <v>1755.449899792477</v>
      </c>
      <c r="K1096" s="1229">
        <v>1755.449899792477</v>
      </c>
      <c r="L1096" s="1229">
        <v>1755.4498997924768</v>
      </c>
      <c r="M1096" s="1229">
        <v>1755.4498997924768</v>
      </c>
      <c r="N1096" s="1229">
        <v>1755.449899792477</v>
      </c>
      <c r="O1096" s="1179">
        <f t="shared" ref="O1096:O1107" si="278">SUM(C1096:N1096)/12</f>
        <v>1755.4498997924773</v>
      </c>
      <c r="P1096" s="1235"/>
      <c r="Q1096" s="1235"/>
      <c r="R1096" s="1235"/>
      <c r="S1096" s="1235"/>
      <c r="T1096" s="1235"/>
      <c r="U1096" s="1235"/>
      <c r="V1096" s="1235"/>
      <c r="W1096" s="1235"/>
    </row>
    <row r="1097" spans="1:23">
      <c r="A1097" s="2218"/>
      <c r="B1097" s="1176" t="s">
        <v>663</v>
      </c>
      <c r="C1097" s="1178">
        <v>958.67625846481667</v>
      </c>
      <c r="D1097" s="1178">
        <v>957.3449855525314</v>
      </c>
      <c r="E1097" s="1178">
        <v>956.00761097273153</v>
      </c>
      <c r="F1097" s="1178">
        <v>954.66410675944098</v>
      </c>
      <c r="G1097" s="1178">
        <v>953.31444481850622</v>
      </c>
      <c r="H1097" s="1178">
        <v>951.95859692700878</v>
      </c>
      <c r="I1097" s="1178">
        <v>950.5965347326752</v>
      </c>
      <c r="J1097" s="1178">
        <v>949.22822975328438</v>
      </c>
      <c r="K1097" s="1178">
        <v>947.85365337607129</v>
      </c>
      <c r="L1097" s="1178">
        <v>946.47277685712936</v>
      </c>
      <c r="M1097" s="1178">
        <v>945.08557132080898</v>
      </c>
      <c r="N1097" s="1178">
        <v>943.69200775911384</v>
      </c>
      <c r="O1097" s="1179">
        <f t="shared" si="278"/>
        <v>951.24123144117664</v>
      </c>
      <c r="P1097" s="1235"/>
      <c r="Q1097" s="1235"/>
      <c r="R1097" s="1235"/>
      <c r="S1097" s="1235"/>
      <c r="T1097" s="1235"/>
      <c r="U1097" s="1235"/>
      <c r="V1097" s="1235"/>
      <c r="W1097" s="1235"/>
    </row>
    <row r="1098" spans="1:23">
      <c r="A1098" s="2218"/>
      <c r="B1098" s="1176" t="s">
        <v>664</v>
      </c>
      <c r="C1098" s="1178">
        <v>290.45954449858948</v>
      </c>
      <c r="D1098" s="1178">
        <v>291.79081741087475</v>
      </c>
      <c r="E1098" s="1178">
        <v>293.12819199067462</v>
      </c>
      <c r="F1098" s="1178">
        <v>294.47169620396517</v>
      </c>
      <c r="G1098" s="1178">
        <v>295.82135814489993</v>
      </c>
      <c r="H1098" s="1178">
        <v>297.17720603639737</v>
      </c>
      <c r="I1098" s="1178">
        <v>298.53926823073095</v>
      </c>
      <c r="J1098" s="1178">
        <v>299.90757321012177</v>
      </c>
      <c r="K1098" s="1178">
        <v>301.28214958733486</v>
      </c>
      <c r="L1098" s="1178">
        <v>302.66302610627679</v>
      </c>
      <c r="M1098" s="1178">
        <v>304.05023164259717</v>
      </c>
      <c r="N1098" s="1178">
        <v>305.44379520429231</v>
      </c>
      <c r="O1098" s="1179">
        <f t="shared" si="278"/>
        <v>297.89457152222963</v>
      </c>
      <c r="P1098" s="2197"/>
      <c r="Q1098" s="1235"/>
      <c r="R1098" s="1235"/>
      <c r="S1098" s="1235"/>
      <c r="T1098" s="1235"/>
      <c r="U1098" s="1235"/>
      <c r="V1098" s="1235"/>
      <c r="W1098" s="1235"/>
    </row>
    <row r="1099" spans="1:23">
      <c r="A1099" s="2218"/>
      <c r="B1099" s="1176" t="s">
        <v>450</v>
      </c>
      <c r="C1099" s="1178">
        <v>0</v>
      </c>
      <c r="D1099" s="1178">
        <v>0</v>
      </c>
      <c r="E1099" s="1178">
        <v>0</v>
      </c>
      <c r="F1099" s="1178">
        <v>0</v>
      </c>
      <c r="G1099" s="1178">
        <v>0</v>
      </c>
      <c r="H1099" s="1178">
        <v>0</v>
      </c>
      <c r="I1099" s="1178">
        <v>0</v>
      </c>
      <c r="J1099" s="1178">
        <v>0</v>
      </c>
      <c r="K1099" s="1178">
        <v>0</v>
      </c>
      <c r="L1099" s="1178">
        <v>0</v>
      </c>
      <c r="M1099" s="1178">
        <v>0</v>
      </c>
      <c r="N1099" s="1178">
        <v>0</v>
      </c>
      <c r="O1099" s="1179">
        <f t="shared" si="278"/>
        <v>0</v>
      </c>
      <c r="P1099" s="1175" t="s">
        <v>661</v>
      </c>
      <c r="Q1099" s="1235"/>
      <c r="R1099" s="1235"/>
      <c r="S1099" s="1235"/>
      <c r="T1099" s="1235"/>
      <c r="U1099" s="1235"/>
      <c r="V1099" s="1235"/>
      <c r="W1099" s="1235"/>
    </row>
    <row r="1100" spans="1:23">
      <c r="A1100" s="2218"/>
      <c r="B1100" s="1176" t="s">
        <v>665</v>
      </c>
      <c r="C1100" s="1178">
        <v>123.85181710881632</v>
      </c>
      <c r="D1100" s="1178">
        <v>121.93950571021504</v>
      </c>
      <c r="E1100" s="1178">
        <v>120.01763275462076</v>
      </c>
      <c r="F1100" s="1178">
        <v>118.08615043424851</v>
      </c>
      <c r="G1100" s="1178">
        <v>116.1450107022744</v>
      </c>
      <c r="H1100" s="1178">
        <v>114.19416527164043</v>
      </c>
      <c r="I1100" s="1178">
        <v>112.23356561385327</v>
      </c>
      <c r="J1100" s="1178">
        <v>110.26316295777718</v>
      </c>
      <c r="K1100" s="1178">
        <v>108.2829082884207</v>
      </c>
      <c r="L1100" s="1178">
        <v>106.29275234571746</v>
      </c>
      <c r="M1100" s="1178">
        <v>104.29264562330069</v>
      </c>
      <c r="N1100" s="1178">
        <v>102.28253836727184</v>
      </c>
      <c r="O1100" s="1179">
        <f t="shared" si="278"/>
        <v>113.15682126484637</v>
      </c>
      <c r="P1100" s="2205">
        <f>O1094/M!$Q$14</f>
        <v>0.22203506090346048</v>
      </c>
      <c r="Q1100" s="1235"/>
      <c r="R1100" s="1235"/>
      <c r="S1100" s="1235"/>
      <c r="T1100" s="1235"/>
      <c r="U1100" s="1235"/>
      <c r="V1100" s="1235"/>
      <c r="W1100" s="1235"/>
    </row>
    <row r="1101" spans="1:23">
      <c r="A1101" s="2218"/>
      <c r="B1101" s="1176" t="s">
        <v>664</v>
      </c>
      <c r="C1101" s="1178">
        <v>382.46227972025446</v>
      </c>
      <c r="D1101" s="1178">
        <v>384.37459111885573</v>
      </c>
      <c r="E1101" s="1178">
        <v>386.29646407445</v>
      </c>
      <c r="F1101" s="1178">
        <v>388.22794639482225</v>
      </c>
      <c r="G1101" s="1178">
        <v>390.16908612679634</v>
      </c>
      <c r="H1101" s="1178">
        <v>392.11993155743033</v>
      </c>
      <c r="I1101" s="1178">
        <v>394.08053121521749</v>
      </c>
      <c r="J1101" s="1178">
        <v>396.05093387129358</v>
      </c>
      <c r="K1101" s="1178">
        <v>398.03118854065008</v>
      </c>
      <c r="L1101" s="1178">
        <v>400.02134448335329</v>
      </c>
      <c r="M1101" s="1178">
        <v>402.02145120577006</v>
      </c>
      <c r="N1101" s="1178">
        <v>404.03155846179891</v>
      </c>
      <c r="O1101" s="1179">
        <f t="shared" si="278"/>
        <v>393.15727556422439</v>
      </c>
      <c r="P1101" s="2206"/>
      <c r="Q1101" s="1235"/>
      <c r="R1101" s="1235"/>
      <c r="S1101" s="1235"/>
      <c r="T1101" s="1235"/>
      <c r="U1101" s="1235"/>
      <c r="V1101" s="1235"/>
      <c r="W1101" s="1235"/>
    </row>
    <row r="1102" spans="1:23">
      <c r="A1102" s="2218"/>
      <c r="B1102" s="1176" t="s">
        <v>287</v>
      </c>
      <c r="C1102" s="1178">
        <v>312</v>
      </c>
      <c r="D1102" s="1178">
        <v>312</v>
      </c>
      <c r="E1102" s="1178">
        <v>312</v>
      </c>
      <c r="F1102" s="1178">
        <v>312</v>
      </c>
      <c r="G1102" s="1178">
        <v>312</v>
      </c>
      <c r="H1102" s="1178">
        <v>312</v>
      </c>
      <c r="I1102" s="1178">
        <v>312</v>
      </c>
      <c r="J1102" s="1178">
        <v>303</v>
      </c>
      <c r="K1102" s="1178">
        <v>303</v>
      </c>
      <c r="L1102" s="1178">
        <v>303</v>
      </c>
      <c r="M1102" s="1178">
        <v>303</v>
      </c>
      <c r="N1102" s="1178">
        <v>303</v>
      </c>
      <c r="O1102" s="1179">
        <f t="shared" si="278"/>
        <v>308.25</v>
      </c>
      <c r="P1102" s="1180">
        <f>O1096/M!$Q$14</f>
        <v>0.15741768737140027</v>
      </c>
      <c r="Q1102" s="1235"/>
      <c r="R1102" s="1235"/>
      <c r="S1102" s="1235"/>
      <c r="T1102" s="1235"/>
      <c r="U1102" s="1235"/>
      <c r="V1102" s="1235"/>
      <c r="W1102" s="1235"/>
    </row>
    <row r="1103" spans="1:23">
      <c r="A1103" s="2218"/>
      <c r="B1103" s="1176" t="s">
        <v>453</v>
      </c>
      <c r="C1103" s="1178">
        <v>25</v>
      </c>
      <c r="D1103" s="1178">
        <v>25</v>
      </c>
      <c r="E1103" s="1178">
        <v>25</v>
      </c>
      <c r="F1103" s="1178">
        <v>25</v>
      </c>
      <c r="G1103" s="1178">
        <v>25</v>
      </c>
      <c r="H1103" s="1178">
        <v>25</v>
      </c>
      <c r="I1103" s="1178">
        <v>25</v>
      </c>
      <c r="J1103" s="1178">
        <v>25</v>
      </c>
      <c r="K1103" s="1178">
        <v>25</v>
      </c>
      <c r="L1103" s="1178">
        <v>25</v>
      </c>
      <c r="M1103" s="1178">
        <v>25</v>
      </c>
      <c r="N1103" s="1178">
        <v>25</v>
      </c>
      <c r="O1103" s="1179">
        <f t="shared" si="278"/>
        <v>25</v>
      </c>
      <c r="P1103" s="1180">
        <f>O1097/M!$Q$14</f>
        <v>8.5301320649193643E-2</v>
      </c>
      <c r="Q1103" s="1235"/>
      <c r="R1103" s="1235"/>
      <c r="S1103" s="1235"/>
      <c r="T1103" s="1235"/>
      <c r="U1103" s="1235"/>
      <c r="V1103" s="1235"/>
      <c r="W1103" s="1235"/>
    </row>
    <row r="1104" spans="1:23">
      <c r="A1104" s="2218"/>
      <c r="B1104" s="1176" t="s">
        <v>400</v>
      </c>
      <c r="C1104" s="1178">
        <v>0</v>
      </c>
      <c r="D1104" s="1178">
        <v>0</v>
      </c>
      <c r="E1104" s="1178">
        <v>0</v>
      </c>
      <c r="F1104" s="1178">
        <v>0</v>
      </c>
      <c r="G1104" s="1178">
        <v>0</v>
      </c>
      <c r="H1104" s="1178">
        <v>223</v>
      </c>
      <c r="I1104" s="1178">
        <v>0</v>
      </c>
      <c r="J1104" s="1178">
        <v>0</v>
      </c>
      <c r="K1104" s="1178">
        <v>0</v>
      </c>
      <c r="L1104" s="1178">
        <v>0</v>
      </c>
      <c r="M1104" s="1178">
        <v>0</v>
      </c>
      <c r="N1104" s="1178">
        <v>0</v>
      </c>
      <c r="O1104" s="1179">
        <f t="shared" si="278"/>
        <v>18.583333333333332</v>
      </c>
      <c r="P1104" s="1180">
        <f>O1098/M!$Q$14</f>
        <v>2.6713308386110707E-2</v>
      </c>
      <c r="Q1104" s="1235"/>
      <c r="R1104" s="1235"/>
      <c r="S1104" s="1235"/>
      <c r="T1104" s="1235"/>
      <c r="U1104" s="1235"/>
      <c r="V1104" s="1235"/>
      <c r="W1104" s="1235"/>
    </row>
    <row r="1105" spans="1:23">
      <c r="A1105" s="2218"/>
      <c r="B1105" s="1176" t="s">
        <v>401</v>
      </c>
      <c r="C1105" s="1178">
        <v>298</v>
      </c>
      <c r="D1105" s="1178">
        <v>345</v>
      </c>
      <c r="E1105" s="1178">
        <v>298</v>
      </c>
      <c r="F1105" s="1178">
        <v>298</v>
      </c>
      <c r="G1105" s="1178">
        <v>298</v>
      </c>
      <c r="H1105" s="1178">
        <v>298</v>
      </c>
      <c r="I1105" s="1178">
        <v>287</v>
      </c>
      <c r="J1105" s="1178">
        <v>287</v>
      </c>
      <c r="K1105" s="1178">
        <v>287</v>
      </c>
      <c r="L1105" s="1178">
        <v>287</v>
      </c>
      <c r="M1105" s="1178">
        <v>287</v>
      </c>
      <c r="N1105" s="1178">
        <v>287</v>
      </c>
      <c r="O1105" s="1179">
        <f t="shared" si="278"/>
        <v>296.41666666666669</v>
      </c>
      <c r="P1105" s="1180">
        <f>O1099/M!$Q$14</f>
        <v>0</v>
      </c>
      <c r="Q1105" s="1235"/>
      <c r="R1105" s="1235"/>
      <c r="S1105" s="1235"/>
      <c r="T1105" s="1235"/>
      <c r="U1105" s="1235"/>
      <c r="V1105" s="1235"/>
      <c r="W1105" s="1235"/>
    </row>
    <row r="1106" spans="1:23">
      <c r="A1106" s="2218"/>
      <c r="B1106" s="1176" t="s">
        <v>402</v>
      </c>
      <c r="C1106" s="1178">
        <v>34</v>
      </c>
      <c r="D1106" s="1178">
        <v>34</v>
      </c>
      <c r="E1106" s="1178">
        <v>34</v>
      </c>
      <c r="F1106" s="1178">
        <v>34</v>
      </c>
      <c r="G1106" s="1178">
        <v>34</v>
      </c>
      <c r="H1106" s="1178">
        <v>34</v>
      </c>
      <c r="I1106" s="1178">
        <v>34</v>
      </c>
      <c r="J1106" s="1178">
        <v>34</v>
      </c>
      <c r="K1106" s="1178">
        <v>34</v>
      </c>
      <c r="L1106" s="1178">
        <v>34</v>
      </c>
      <c r="M1106" s="1178">
        <v>34</v>
      </c>
      <c r="N1106" s="1178">
        <v>34</v>
      </c>
      <c r="O1106" s="1179">
        <f t="shared" si="278"/>
        <v>34</v>
      </c>
      <c r="P1106" s="1180">
        <f>O1100/M!$Q$14</f>
        <v>1.0147190823228153E-2</v>
      </c>
      <c r="Q1106" s="1235"/>
      <c r="R1106" s="1235"/>
      <c r="S1106" s="1235"/>
      <c r="T1106" s="1235"/>
      <c r="U1106" s="1235"/>
      <c r="V1106" s="1235"/>
      <c r="W1106" s="1235"/>
    </row>
    <row r="1107" spans="1:23">
      <c r="A1107" s="2219"/>
      <c r="B1107" s="1176" t="s">
        <v>403</v>
      </c>
      <c r="C1107" s="1178">
        <v>119</v>
      </c>
      <c r="D1107" s="1178">
        <v>117</v>
      </c>
      <c r="E1107" s="1178">
        <v>0</v>
      </c>
      <c r="F1107" s="1178">
        <v>0</v>
      </c>
      <c r="G1107" s="1178">
        <v>0</v>
      </c>
      <c r="H1107" s="1178">
        <v>0</v>
      </c>
      <c r="I1107" s="1178">
        <v>0</v>
      </c>
      <c r="J1107" s="1178">
        <v>0</v>
      </c>
      <c r="K1107" s="1178">
        <v>0</v>
      </c>
      <c r="L1107" s="1178">
        <v>24</v>
      </c>
      <c r="M1107" s="1178">
        <v>200</v>
      </c>
      <c r="N1107" s="1178">
        <v>0</v>
      </c>
      <c r="O1107" s="1179">
        <f t="shared" si="278"/>
        <v>38.333333333333336</v>
      </c>
      <c r="P1107" s="1180">
        <f>O1101/M!$Q$14</f>
        <v>3.5255867512867752E-2</v>
      </c>
      <c r="Q1107" s="1235"/>
      <c r="R1107" s="1235"/>
      <c r="S1107" s="1235"/>
      <c r="T1107" s="1235"/>
      <c r="U1107" s="1235"/>
      <c r="V1107" s="1235"/>
      <c r="W1107" s="1235"/>
    </row>
    <row r="1108" spans="1:23">
      <c r="A1108" s="2191" t="s">
        <v>276</v>
      </c>
      <c r="B1108" s="2192"/>
      <c r="C1108" s="2203">
        <f t="shared" ref="C1108:N1108" si="279">SUM(C1110:C1115)</f>
        <v>601</v>
      </c>
      <c r="D1108" s="2203">
        <f t="shared" si="279"/>
        <v>997</v>
      </c>
      <c r="E1108" s="2203">
        <f t="shared" si="279"/>
        <v>572</v>
      </c>
      <c r="F1108" s="2203">
        <f t="shared" si="279"/>
        <v>769</v>
      </c>
      <c r="G1108" s="2203">
        <f t="shared" si="279"/>
        <v>1152</v>
      </c>
      <c r="H1108" s="2203">
        <f t="shared" si="279"/>
        <v>601</v>
      </c>
      <c r="I1108" s="2203">
        <f t="shared" si="279"/>
        <v>593</v>
      </c>
      <c r="J1108" s="2203">
        <f t="shared" si="279"/>
        <v>572</v>
      </c>
      <c r="K1108" s="2203">
        <f t="shared" si="279"/>
        <v>572</v>
      </c>
      <c r="L1108" s="2203">
        <f t="shared" si="279"/>
        <v>1075</v>
      </c>
      <c r="M1108" s="2203">
        <f t="shared" si="279"/>
        <v>573</v>
      </c>
      <c r="N1108" s="2203">
        <f t="shared" si="279"/>
        <v>594</v>
      </c>
      <c r="O1108" s="2203">
        <f>SUM(O1110:O1115)</f>
        <v>722.58333333333337</v>
      </c>
      <c r="P1108" s="1180">
        <f>O1102/M!$Q$14</f>
        <v>2.7641917970983088E-2</v>
      </c>
      <c r="Q1108" s="1235"/>
      <c r="R1108" s="1235"/>
      <c r="S1108" s="1235"/>
      <c r="T1108" s="1235"/>
      <c r="U1108" s="1235"/>
      <c r="V1108" s="1235"/>
      <c r="W1108" s="1235"/>
    </row>
    <row r="1109" spans="1:23">
      <c r="A1109" s="2193"/>
      <c r="B1109" s="2194"/>
      <c r="C1109" s="2204"/>
      <c r="D1109" s="2204"/>
      <c r="E1109" s="2204"/>
      <c r="F1109" s="2204"/>
      <c r="G1109" s="2204"/>
      <c r="H1109" s="2204"/>
      <c r="I1109" s="2204"/>
      <c r="J1109" s="2204"/>
      <c r="K1109" s="2204"/>
      <c r="L1109" s="2204"/>
      <c r="M1109" s="2204"/>
      <c r="N1109" s="2204"/>
      <c r="O1109" s="2204"/>
      <c r="P1109" s="1180">
        <f>O1103/M!$Q$14</f>
        <v>2.2418424956190662E-3</v>
      </c>
      <c r="Q1109" s="1235"/>
      <c r="R1109" s="1235"/>
      <c r="S1109" s="1235"/>
      <c r="T1109" s="1235"/>
      <c r="U1109" s="1235"/>
      <c r="V1109" s="1235"/>
      <c r="W1109" s="1235"/>
    </row>
    <row r="1110" spans="1:23">
      <c r="A1110" s="2217"/>
      <c r="B1110" s="1176" t="s">
        <v>666</v>
      </c>
      <c r="C1110" s="1228">
        <v>470</v>
      </c>
      <c r="D1110" s="1228">
        <v>470</v>
      </c>
      <c r="E1110" s="1228">
        <v>470</v>
      </c>
      <c r="F1110" s="1228">
        <v>470</v>
      </c>
      <c r="G1110" s="1228">
        <v>470</v>
      </c>
      <c r="H1110" s="1228">
        <v>470</v>
      </c>
      <c r="I1110" s="1229">
        <v>470</v>
      </c>
      <c r="J1110" s="1229">
        <v>470</v>
      </c>
      <c r="K1110" s="1229">
        <v>470</v>
      </c>
      <c r="L1110" s="1229">
        <v>470</v>
      </c>
      <c r="M1110" s="1229">
        <v>470</v>
      </c>
      <c r="N1110" s="1229">
        <v>470</v>
      </c>
      <c r="O1110" s="1179">
        <f t="shared" ref="O1110:O1115" si="280">SUM(C1110:N1110)/12</f>
        <v>470</v>
      </c>
      <c r="P1110" s="1180">
        <f>O1104/M!$Q$14</f>
        <v>1.6664362550768391E-3</v>
      </c>
      <c r="Q1110" s="1235"/>
      <c r="R1110" s="1235"/>
      <c r="S1110" s="1235"/>
      <c r="T1110" s="1235"/>
      <c r="U1110" s="1235"/>
      <c r="V1110" s="1235"/>
      <c r="W1110" s="1235"/>
    </row>
    <row r="1111" spans="1:23">
      <c r="A1111" s="2218"/>
      <c r="B1111" s="1176" t="s">
        <v>400</v>
      </c>
      <c r="C1111" s="1228">
        <v>102</v>
      </c>
      <c r="D1111" s="1228">
        <v>102</v>
      </c>
      <c r="E1111" s="1228">
        <v>102</v>
      </c>
      <c r="F1111" s="1228">
        <v>102</v>
      </c>
      <c r="G1111" s="1228">
        <v>102</v>
      </c>
      <c r="H1111" s="1228">
        <v>102</v>
      </c>
      <c r="I1111" s="1229">
        <v>102</v>
      </c>
      <c r="J1111" s="1229">
        <v>102</v>
      </c>
      <c r="K1111" s="1229">
        <v>102</v>
      </c>
      <c r="L1111" s="1229">
        <v>102</v>
      </c>
      <c r="M1111" s="1229">
        <v>102</v>
      </c>
      <c r="N1111" s="1229">
        <v>102</v>
      </c>
      <c r="O1111" s="1179">
        <f t="shared" si="280"/>
        <v>102</v>
      </c>
      <c r="P1111" s="1180">
        <f>O1105/M!$Q$14</f>
        <v>2.6580779189723396E-2</v>
      </c>
      <c r="Q1111" s="1235"/>
      <c r="R1111" s="1235"/>
      <c r="S1111" s="1235"/>
      <c r="T1111" s="1235"/>
      <c r="U1111" s="1235"/>
      <c r="V1111" s="1235"/>
      <c r="W1111" s="1235"/>
    </row>
    <row r="1112" spans="1:23">
      <c r="A1112" s="2218"/>
      <c r="B1112" s="1176" t="s">
        <v>454</v>
      </c>
      <c r="C1112" s="1228">
        <v>29</v>
      </c>
      <c r="D1112" s="1228">
        <v>400</v>
      </c>
      <c r="E1112" s="1228">
        <v>0</v>
      </c>
      <c r="F1112" s="1228">
        <v>0</v>
      </c>
      <c r="G1112" s="1228">
        <v>0</v>
      </c>
      <c r="H1112" s="1228">
        <v>29</v>
      </c>
      <c r="I1112" s="1229">
        <v>0</v>
      </c>
      <c r="J1112" s="1229">
        <v>0</v>
      </c>
      <c r="K1112" s="1229">
        <v>0</v>
      </c>
      <c r="L1112" s="1229">
        <v>0</v>
      </c>
      <c r="M1112" s="1229">
        <v>0</v>
      </c>
      <c r="N1112" s="1229">
        <v>0</v>
      </c>
      <c r="O1112" s="1179">
        <f t="shared" si="280"/>
        <v>38.166666666666664</v>
      </c>
      <c r="P1112" s="1180">
        <f>O1106/M!$Q$14</f>
        <v>3.0489057940419301E-3</v>
      </c>
      <c r="Q1112" s="1235"/>
      <c r="R1112" s="1235"/>
      <c r="S1112" s="1235"/>
      <c r="T1112" s="1235"/>
      <c r="U1112" s="1235"/>
      <c r="V1112" s="1235"/>
      <c r="W1112" s="1235"/>
    </row>
    <row r="1113" spans="1:23">
      <c r="A1113" s="2218"/>
      <c r="B1113" s="1176" t="s">
        <v>407</v>
      </c>
      <c r="C1113" s="1228">
        <v>0</v>
      </c>
      <c r="D1113" s="1228">
        <v>0</v>
      </c>
      <c r="E1113" s="1228">
        <v>0</v>
      </c>
      <c r="F1113" s="1228">
        <v>0</v>
      </c>
      <c r="G1113" s="1228">
        <v>0</v>
      </c>
      <c r="H1113" s="1228">
        <v>0</v>
      </c>
      <c r="I1113" s="1229">
        <v>0</v>
      </c>
      <c r="J1113" s="1229">
        <v>0</v>
      </c>
      <c r="K1113" s="1229">
        <v>0</v>
      </c>
      <c r="L1113" s="1229">
        <v>0</v>
      </c>
      <c r="M1113" s="1229">
        <v>0</v>
      </c>
      <c r="N1113" s="1229">
        <v>0</v>
      </c>
      <c r="O1113" s="1179">
        <f t="shared" si="280"/>
        <v>0</v>
      </c>
      <c r="P1113" s="1180">
        <f>O1107/M!$Q$14</f>
        <v>3.4374918266159016E-3</v>
      </c>
      <c r="Q1113" s="1235"/>
      <c r="R1113" s="1235"/>
      <c r="S1113" s="1235"/>
      <c r="T1113" s="1235"/>
      <c r="U1113" s="1235"/>
      <c r="V1113" s="1235"/>
      <c r="W1113" s="1235"/>
    </row>
    <row r="1114" spans="1:23">
      <c r="A1114" s="2218"/>
      <c r="B1114" s="1176" t="s">
        <v>408</v>
      </c>
      <c r="C1114" s="1228">
        <v>0</v>
      </c>
      <c r="D1114" s="1228">
        <v>0</v>
      </c>
      <c r="E1114" s="1228">
        <v>0</v>
      </c>
      <c r="F1114" s="1228">
        <v>80</v>
      </c>
      <c r="G1114" s="1228">
        <v>580</v>
      </c>
      <c r="H1114" s="1228">
        <v>0</v>
      </c>
      <c r="I1114" s="1229">
        <v>0</v>
      </c>
      <c r="J1114" s="1229">
        <v>0</v>
      </c>
      <c r="K1114" s="1229">
        <v>0</v>
      </c>
      <c r="L1114" s="1229">
        <v>0</v>
      </c>
      <c r="M1114" s="1229">
        <v>1</v>
      </c>
      <c r="N1114" s="1229">
        <v>0</v>
      </c>
      <c r="O1114" s="1179">
        <f t="shared" si="280"/>
        <v>55.083333333333336</v>
      </c>
      <c r="P1114" s="2205">
        <f>O1108/M!$Q$14</f>
        <v>6.4796720931709753E-2</v>
      </c>
      <c r="Q1114" s="1235"/>
      <c r="R1114" s="1235"/>
      <c r="S1114" s="1235"/>
      <c r="T1114" s="1235"/>
      <c r="U1114" s="1235"/>
      <c r="V1114" s="1235"/>
      <c r="W1114" s="1235"/>
    </row>
    <row r="1115" spans="1:23">
      <c r="A1115" s="2219"/>
      <c r="B1115" s="1176" t="s">
        <v>409</v>
      </c>
      <c r="C1115" s="1228">
        <v>0</v>
      </c>
      <c r="D1115" s="1228">
        <v>25</v>
      </c>
      <c r="E1115" s="1228">
        <v>0</v>
      </c>
      <c r="F1115" s="1228">
        <v>117</v>
      </c>
      <c r="G1115" s="1228">
        <v>0</v>
      </c>
      <c r="H1115" s="1228">
        <v>0</v>
      </c>
      <c r="I1115" s="1229">
        <v>21</v>
      </c>
      <c r="J1115" s="1229">
        <v>0</v>
      </c>
      <c r="K1115" s="1229">
        <v>0</v>
      </c>
      <c r="L1115" s="1229">
        <v>503</v>
      </c>
      <c r="M1115" s="1229">
        <v>0</v>
      </c>
      <c r="N1115" s="1229">
        <v>22</v>
      </c>
      <c r="O1115" s="1179">
        <f t="shared" si="280"/>
        <v>57.333333333333336</v>
      </c>
      <c r="P1115" s="2206"/>
      <c r="Q1115" s="1235"/>
      <c r="R1115" s="1235"/>
      <c r="S1115" s="1235"/>
      <c r="T1115" s="1235"/>
      <c r="U1115" s="1235"/>
      <c r="V1115" s="1235"/>
      <c r="W1115" s="1235"/>
    </row>
    <row r="1116" spans="1:23">
      <c r="A1116" s="2191" t="s">
        <v>277</v>
      </c>
      <c r="B1116" s="2192"/>
      <c r="C1116" s="2203">
        <f t="shared" ref="C1116:N1116" si="281">SUM(C1118:C1121)</f>
        <v>270</v>
      </c>
      <c r="D1116" s="2203">
        <f t="shared" si="281"/>
        <v>195</v>
      </c>
      <c r="E1116" s="2203">
        <f t="shared" si="281"/>
        <v>222</v>
      </c>
      <c r="F1116" s="2203">
        <f t="shared" si="281"/>
        <v>360</v>
      </c>
      <c r="G1116" s="2203">
        <f t="shared" si="281"/>
        <v>365</v>
      </c>
      <c r="H1116" s="2203">
        <f t="shared" si="281"/>
        <v>432</v>
      </c>
      <c r="I1116" s="2203">
        <f t="shared" si="281"/>
        <v>199</v>
      </c>
      <c r="J1116" s="2203">
        <f t="shared" si="281"/>
        <v>455</v>
      </c>
      <c r="K1116" s="2203">
        <f t="shared" si="281"/>
        <v>458</v>
      </c>
      <c r="L1116" s="2203">
        <f t="shared" si="281"/>
        <v>396</v>
      </c>
      <c r="M1116" s="2203">
        <f t="shared" si="281"/>
        <v>273</v>
      </c>
      <c r="N1116" s="2203">
        <f t="shared" si="281"/>
        <v>266</v>
      </c>
      <c r="O1116" s="2203">
        <f>SUM(O1118:O1121)</f>
        <v>324.25</v>
      </c>
      <c r="P1116" s="1180">
        <f>O1110/M!$Q$14</f>
        <v>4.2146638917638445E-2</v>
      </c>
      <c r="Q1116" s="1235"/>
      <c r="R1116" s="1235"/>
      <c r="S1116" s="1235"/>
      <c r="T1116" s="1235"/>
      <c r="U1116" s="1235"/>
      <c r="V1116" s="1235"/>
      <c r="W1116" s="1235"/>
    </row>
    <row r="1117" spans="1:23">
      <c r="A1117" s="2193"/>
      <c r="B1117" s="2194"/>
      <c r="C1117" s="2204"/>
      <c r="D1117" s="2204"/>
      <c r="E1117" s="2204"/>
      <c r="F1117" s="2204"/>
      <c r="G1117" s="2204"/>
      <c r="H1117" s="2204"/>
      <c r="I1117" s="2204"/>
      <c r="J1117" s="2204"/>
      <c r="K1117" s="2204"/>
      <c r="L1117" s="2204"/>
      <c r="M1117" s="2204"/>
      <c r="N1117" s="2204"/>
      <c r="O1117" s="2204"/>
      <c r="P1117" s="1180">
        <f>O1111/M!$Q$14</f>
        <v>9.1467173821257897E-3</v>
      </c>
      <c r="Q1117" s="1235"/>
      <c r="R1117" s="1235"/>
      <c r="S1117" s="1235"/>
      <c r="T1117" s="1235"/>
      <c r="U1117" s="1235"/>
      <c r="V1117" s="1235"/>
      <c r="W1117" s="1235"/>
    </row>
    <row r="1118" spans="1:23">
      <c r="A1118" s="2217"/>
      <c r="B1118" s="1176" t="s">
        <v>410</v>
      </c>
      <c r="C1118" s="1228">
        <v>270</v>
      </c>
      <c r="D1118" s="1228">
        <v>195</v>
      </c>
      <c r="E1118" s="1228">
        <v>199</v>
      </c>
      <c r="F1118" s="1228">
        <v>360</v>
      </c>
      <c r="G1118" s="1228">
        <v>270</v>
      </c>
      <c r="H1118" s="1228">
        <v>238</v>
      </c>
      <c r="I1118" s="1229">
        <v>185</v>
      </c>
      <c r="J1118" s="1229">
        <v>266</v>
      </c>
      <c r="K1118" s="1229">
        <v>406</v>
      </c>
      <c r="L1118" s="1229">
        <v>340</v>
      </c>
      <c r="M1118" s="1229">
        <v>241</v>
      </c>
      <c r="N1118" s="1229">
        <v>234</v>
      </c>
      <c r="O1118" s="1179">
        <f>SUM(C1118:N1118)/12</f>
        <v>267</v>
      </c>
      <c r="P1118" s="1180">
        <f>O1112/M!$Q$14</f>
        <v>3.4225462099784407E-3</v>
      </c>
      <c r="Q1118" s="1235"/>
      <c r="R1118" s="1235"/>
      <c r="S1118" s="1235"/>
      <c r="T1118" s="1235"/>
      <c r="U1118" s="1235"/>
      <c r="V1118" s="1235"/>
      <c r="W1118" s="1235"/>
    </row>
    <row r="1119" spans="1:23">
      <c r="A1119" s="2218"/>
      <c r="B1119" s="1176" t="s">
        <v>457</v>
      </c>
      <c r="C1119" s="1228">
        <v>0</v>
      </c>
      <c r="D1119" s="1228">
        <v>0</v>
      </c>
      <c r="E1119" s="1228">
        <v>0</v>
      </c>
      <c r="F1119" s="1228">
        <v>0</v>
      </c>
      <c r="G1119" s="1228">
        <v>60</v>
      </c>
      <c r="H1119" s="1228">
        <v>116</v>
      </c>
      <c r="I1119" s="1229">
        <v>0</v>
      </c>
      <c r="J1119" s="1229">
        <v>74</v>
      </c>
      <c r="K1119" s="1229">
        <v>0</v>
      </c>
      <c r="L1119" s="1229">
        <v>0</v>
      </c>
      <c r="M1119" s="1229">
        <v>0</v>
      </c>
      <c r="N1119" s="1229">
        <v>7</v>
      </c>
      <c r="O1119" s="1179">
        <f>SUM(C1119:N1119)/12</f>
        <v>21.416666666666668</v>
      </c>
      <c r="P1119" s="1180">
        <f>O1113/M!$Q$14</f>
        <v>0</v>
      </c>
      <c r="Q1119" s="1235"/>
      <c r="R1119" s="1235"/>
      <c r="S1119" s="1235"/>
      <c r="T1119" s="1235"/>
      <c r="U1119" s="1235"/>
      <c r="V1119" s="1235"/>
      <c r="W1119" s="1235"/>
    </row>
    <row r="1120" spans="1:23">
      <c r="A1120" s="2218"/>
      <c r="B1120" s="1176" t="s">
        <v>458</v>
      </c>
      <c r="C1120" s="1228">
        <v>0</v>
      </c>
      <c r="D1120" s="1228">
        <v>0</v>
      </c>
      <c r="E1120" s="1228">
        <v>23</v>
      </c>
      <c r="F1120" s="1228">
        <v>0</v>
      </c>
      <c r="G1120" s="1228">
        <v>35</v>
      </c>
      <c r="H1120" s="1228">
        <v>33</v>
      </c>
      <c r="I1120" s="1229">
        <v>14</v>
      </c>
      <c r="J1120" s="1229">
        <v>70</v>
      </c>
      <c r="K1120" s="1229">
        <v>52</v>
      </c>
      <c r="L1120" s="1229">
        <v>6</v>
      </c>
      <c r="M1120" s="1229">
        <v>7</v>
      </c>
      <c r="N1120" s="1229">
        <v>0</v>
      </c>
      <c r="O1120" s="1179">
        <f>SUM(C1120:N1120)/12</f>
        <v>20</v>
      </c>
      <c r="P1120" s="1180">
        <f>O1114/M!$Q$14</f>
        <v>4.9395262986806762E-3</v>
      </c>
      <c r="Q1120" s="1235"/>
      <c r="R1120" s="1235"/>
      <c r="S1120" s="1235"/>
      <c r="T1120" s="1235"/>
      <c r="U1120" s="1235"/>
      <c r="V1120" s="1235"/>
      <c r="W1120" s="1235"/>
    </row>
    <row r="1121" spans="1:23">
      <c r="A1121" s="2219"/>
      <c r="B1121" s="1176" t="s">
        <v>459</v>
      </c>
      <c r="C1121" s="1228">
        <v>0</v>
      </c>
      <c r="D1121" s="1228">
        <v>0</v>
      </c>
      <c r="E1121" s="1228">
        <v>0</v>
      </c>
      <c r="F1121" s="1228">
        <v>0</v>
      </c>
      <c r="G1121" s="1228">
        <v>0</v>
      </c>
      <c r="H1121" s="1228">
        <v>45</v>
      </c>
      <c r="I1121" s="1229">
        <v>0</v>
      </c>
      <c r="J1121" s="1229">
        <v>45</v>
      </c>
      <c r="K1121" s="1229">
        <v>0</v>
      </c>
      <c r="L1121" s="1229">
        <v>50</v>
      </c>
      <c r="M1121" s="1229">
        <v>25</v>
      </c>
      <c r="N1121" s="1229">
        <v>25</v>
      </c>
      <c r="O1121" s="1179">
        <f>SUM(C1121:N1121)/12</f>
        <v>15.833333333333334</v>
      </c>
      <c r="P1121" s="1180">
        <f>O1115/M!$Q$14</f>
        <v>5.1412921232863919E-3</v>
      </c>
      <c r="Q1121" s="1235"/>
      <c r="R1121" s="1235"/>
      <c r="S1121" s="1235"/>
      <c r="T1121" s="1235"/>
      <c r="U1121" s="1235"/>
      <c r="V1121" s="1235"/>
      <c r="W1121" s="1235"/>
    </row>
    <row r="1122" spans="1:23">
      <c r="A1122" s="2191" t="s">
        <v>278</v>
      </c>
      <c r="B1122" s="2192"/>
      <c r="C1122" s="2203">
        <f t="shared" ref="C1122:J1122" si="282">SUM(C1124:C1125)</f>
        <v>620</v>
      </c>
      <c r="D1122" s="2203">
        <f t="shared" si="282"/>
        <v>611</v>
      </c>
      <c r="E1122" s="2203">
        <f t="shared" si="282"/>
        <v>623</v>
      </c>
      <c r="F1122" s="2203">
        <f t="shared" si="282"/>
        <v>767</v>
      </c>
      <c r="G1122" s="2203">
        <f t="shared" si="282"/>
        <v>881</v>
      </c>
      <c r="H1122" s="2203">
        <f t="shared" si="282"/>
        <v>843</v>
      </c>
      <c r="I1122" s="2203">
        <f t="shared" si="282"/>
        <v>1019</v>
      </c>
      <c r="J1122" s="2203">
        <f t="shared" si="282"/>
        <v>798</v>
      </c>
      <c r="K1122" s="2203">
        <f>SUM(K1124:K1125)</f>
        <v>702</v>
      </c>
      <c r="L1122" s="2203">
        <f>SUM(L1124:L1125)</f>
        <v>780</v>
      </c>
      <c r="M1122" s="2203">
        <f>SUM(M1124:M1125)</f>
        <v>840</v>
      </c>
      <c r="N1122" s="2203">
        <f>SUM(N1124:N1125)</f>
        <v>920</v>
      </c>
      <c r="O1122" s="2203">
        <f>SUM(O1124:O1125)</f>
        <v>783.66666666666674</v>
      </c>
      <c r="P1122" s="2205">
        <f>O1116/M!$Q$14</f>
        <v>2.9076697168179289E-2</v>
      </c>
      <c r="Q1122" s="1235"/>
      <c r="R1122" s="1235"/>
      <c r="S1122" s="1235"/>
      <c r="T1122" s="1235"/>
      <c r="U1122" s="1235"/>
      <c r="V1122" s="1235"/>
      <c r="W1122" s="1235"/>
    </row>
    <row r="1123" spans="1:23">
      <c r="A1123" s="2193"/>
      <c r="B1123" s="2194"/>
      <c r="C1123" s="2204"/>
      <c r="D1123" s="2204"/>
      <c r="E1123" s="2204"/>
      <c r="F1123" s="2204"/>
      <c r="G1123" s="2204"/>
      <c r="H1123" s="2204"/>
      <c r="I1123" s="2204"/>
      <c r="J1123" s="2204"/>
      <c r="K1123" s="2204"/>
      <c r="L1123" s="2204"/>
      <c r="M1123" s="2204"/>
      <c r="N1123" s="2204"/>
      <c r="O1123" s="2204"/>
      <c r="P1123" s="2206"/>
      <c r="Q1123" s="1235"/>
      <c r="R1123" s="1235"/>
      <c r="S1123" s="1235"/>
      <c r="T1123" s="1235"/>
      <c r="U1123" s="1235"/>
      <c r="V1123" s="1235"/>
      <c r="W1123" s="1235"/>
    </row>
    <row r="1124" spans="1:23">
      <c r="A1124" s="2217"/>
      <c r="B1124" s="1176" t="s">
        <v>414</v>
      </c>
      <c r="C1124" s="1228">
        <v>579</v>
      </c>
      <c r="D1124" s="1228">
        <v>514</v>
      </c>
      <c r="E1124" s="1228">
        <v>503</v>
      </c>
      <c r="F1124" s="1228">
        <v>684</v>
      </c>
      <c r="G1124" s="1228">
        <v>680</v>
      </c>
      <c r="H1124" s="1228">
        <v>654</v>
      </c>
      <c r="I1124" s="1229">
        <v>849</v>
      </c>
      <c r="J1124" s="1229">
        <v>641</v>
      </c>
      <c r="K1124" s="1229">
        <v>549</v>
      </c>
      <c r="L1124" s="1229">
        <v>695</v>
      </c>
      <c r="M1124" s="1229">
        <v>710</v>
      </c>
      <c r="N1124" s="1229">
        <v>632</v>
      </c>
      <c r="O1124" s="1179">
        <f>SUM(C1124:N1124)/12</f>
        <v>640.83333333333337</v>
      </c>
      <c r="P1124" s="1180">
        <f>O1118/M!$Q$14</f>
        <v>2.3942877853211628E-2</v>
      </c>
      <c r="Q1124" s="1235"/>
      <c r="R1124" s="1235"/>
      <c r="S1124" s="1235"/>
      <c r="T1124" s="1235"/>
      <c r="U1124" s="1235"/>
      <c r="V1124" s="1235"/>
      <c r="W1124" s="1235"/>
    </row>
    <row r="1125" spans="1:23">
      <c r="A1125" s="2219"/>
      <c r="B1125" s="1176" t="s">
        <v>278</v>
      </c>
      <c r="C1125" s="1228">
        <v>41</v>
      </c>
      <c r="D1125" s="1228">
        <v>97</v>
      </c>
      <c r="E1125" s="1228">
        <v>120</v>
      </c>
      <c r="F1125" s="1228">
        <v>83</v>
      </c>
      <c r="G1125" s="1228">
        <v>201</v>
      </c>
      <c r="H1125" s="1228">
        <v>189</v>
      </c>
      <c r="I1125" s="1229">
        <v>170</v>
      </c>
      <c r="J1125" s="1229">
        <v>157</v>
      </c>
      <c r="K1125" s="1229">
        <v>153</v>
      </c>
      <c r="L1125" s="1229">
        <v>85</v>
      </c>
      <c r="M1125" s="1229">
        <v>130</v>
      </c>
      <c r="N1125" s="1229">
        <v>288</v>
      </c>
      <c r="O1125" s="1179">
        <f>SUM(C1125:N1125)/12</f>
        <v>142.83333333333334</v>
      </c>
      <c r="P1125" s="1180">
        <f>O1119/M!$Q$14</f>
        <v>1.9205117379136668E-3</v>
      </c>
      <c r="Q1125" s="1235"/>
      <c r="R1125" s="1235"/>
      <c r="S1125" s="1235"/>
      <c r="T1125" s="1235"/>
      <c r="U1125" s="1235"/>
      <c r="V1125" s="1235"/>
      <c r="W1125" s="1235"/>
    </row>
    <row r="1126" spans="1:23">
      <c r="A1126" s="2191" t="s">
        <v>279</v>
      </c>
      <c r="B1126" s="2192"/>
      <c r="C1126" s="2203">
        <f t="shared" ref="C1126:N1126" si="283">SUM(C1128:C1135)</f>
        <v>491</v>
      </c>
      <c r="D1126" s="2203">
        <f t="shared" si="283"/>
        <v>435</v>
      </c>
      <c r="E1126" s="2203">
        <f t="shared" si="283"/>
        <v>373</v>
      </c>
      <c r="F1126" s="2203">
        <f t="shared" si="283"/>
        <v>369</v>
      </c>
      <c r="G1126" s="2203">
        <f t="shared" si="283"/>
        <v>354</v>
      </c>
      <c r="H1126" s="2203">
        <f t="shared" si="283"/>
        <v>345</v>
      </c>
      <c r="I1126" s="2203">
        <f t="shared" si="283"/>
        <v>564</v>
      </c>
      <c r="J1126" s="2203">
        <f t="shared" si="283"/>
        <v>488</v>
      </c>
      <c r="K1126" s="2203">
        <f t="shared" si="283"/>
        <v>407</v>
      </c>
      <c r="L1126" s="2203">
        <f t="shared" si="283"/>
        <v>322</v>
      </c>
      <c r="M1126" s="2203">
        <f t="shared" si="283"/>
        <v>410</v>
      </c>
      <c r="N1126" s="2203">
        <f t="shared" si="283"/>
        <v>462</v>
      </c>
      <c r="O1126" s="2203">
        <f>SUM(O1128:O1135)</f>
        <v>418.33333333333331</v>
      </c>
      <c r="P1126" s="1180">
        <f>O1120/M!$Q$14</f>
        <v>1.7934739964952529E-3</v>
      </c>
      <c r="Q1126" s="1235"/>
      <c r="R1126" s="1235"/>
      <c r="S1126" s="1235"/>
      <c r="T1126" s="1235"/>
      <c r="U1126" s="1235"/>
      <c r="V1126" s="1235"/>
      <c r="W1126" s="1235"/>
    </row>
    <row r="1127" spans="1:23">
      <c r="A1127" s="2193"/>
      <c r="B1127" s="2194"/>
      <c r="C1127" s="2204"/>
      <c r="D1127" s="2204"/>
      <c r="E1127" s="2204"/>
      <c r="F1127" s="2204"/>
      <c r="G1127" s="2204"/>
      <c r="H1127" s="2204"/>
      <c r="I1127" s="2204"/>
      <c r="J1127" s="2204"/>
      <c r="K1127" s="2204"/>
      <c r="L1127" s="2204"/>
      <c r="M1127" s="2204"/>
      <c r="N1127" s="2204"/>
      <c r="O1127" s="2204"/>
      <c r="P1127" s="1180">
        <f>O1121/M!$Q$14</f>
        <v>1.419833580558742E-3</v>
      </c>
      <c r="Q1127" s="1235"/>
      <c r="R1127" s="1235"/>
      <c r="S1127" s="1235"/>
      <c r="T1127" s="1235"/>
      <c r="U1127" s="1235"/>
      <c r="V1127" s="1235"/>
      <c r="W1127" s="1235"/>
    </row>
    <row r="1128" spans="1:23">
      <c r="A1128" s="2217"/>
      <c r="B1128" s="1176" t="s">
        <v>415</v>
      </c>
      <c r="C1128" s="1228">
        <v>113</v>
      </c>
      <c r="D1128" s="1228">
        <v>104</v>
      </c>
      <c r="E1128" s="1228">
        <v>107</v>
      </c>
      <c r="F1128" s="1228">
        <v>122</v>
      </c>
      <c r="G1128" s="1228">
        <v>144</v>
      </c>
      <c r="H1128" s="1228">
        <v>146</v>
      </c>
      <c r="I1128" s="1229">
        <v>312</v>
      </c>
      <c r="J1128" s="1229">
        <v>247</v>
      </c>
      <c r="K1128" s="1229">
        <v>164</v>
      </c>
      <c r="L1128" s="1229">
        <v>91</v>
      </c>
      <c r="M1128" s="1229">
        <v>103</v>
      </c>
      <c r="N1128" s="1229">
        <v>113</v>
      </c>
      <c r="O1128" s="1179">
        <f t="shared" ref="O1128:O1135" si="284">SUM(C1128:N1128)/12</f>
        <v>147.16666666666666</v>
      </c>
      <c r="P1128" s="2205">
        <f>O1122/M!$Q$14</f>
        <v>7.0274289429338999E-2</v>
      </c>
      <c r="Q1128" s="1235"/>
      <c r="R1128" s="1235"/>
      <c r="S1128" s="1235"/>
      <c r="T1128" s="1235"/>
      <c r="U1128" s="1235"/>
      <c r="V1128" s="1235"/>
      <c r="W1128" s="1235"/>
    </row>
    <row r="1129" spans="1:23">
      <c r="A1129" s="2218"/>
      <c r="B1129" s="1176" t="s">
        <v>416</v>
      </c>
      <c r="C1129" s="1182">
        <v>0</v>
      </c>
      <c r="D1129" s="1182">
        <v>0</v>
      </c>
      <c r="E1129" s="1182">
        <v>0</v>
      </c>
      <c r="F1129" s="1182">
        <v>0</v>
      </c>
      <c r="G1129" s="1182">
        <v>0</v>
      </c>
      <c r="H1129" s="1182">
        <v>0</v>
      </c>
      <c r="I1129" s="1182">
        <v>0</v>
      </c>
      <c r="J1129" s="1182">
        <v>0</v>
      </c>
      <c r="K1129" s="1182">
        <v>0</v>
      </c>
      <c r="L1129" s="1182">
        <v>0</v>
      </c>
      <c r="M1129" s="1182">
        <v>0</v>
      </c>
      <c r="N1129" s="1182">
        <v>0</v>
      </c>
      <c r="O1129" s="1179">
        <f t="shared" si="284"/>
        <v>0</v>
      </c>
      <c r="P1129" s="2206"/>
      <c r="Q1129" s="1235"/>
      <c r="R1129" s="1235"/>
      <c r="S1129" s="1235"/>
      <c r="T1129" s="1235"/>
      <c r="U1129" s="1235"/>
      <c r="V1129" s="1235"/>
      <c r="W1129" s="1235"/>
    </row>
    <row r="1130" spans="1:23">
      <c r="A1130" s="2218"/>
      <c r="B1130" s="1176" t="s">
        <v>417</v>
      </c>
      <c r="C1130" s="1182">
        <v>0</v>
      </c>
      <c r="D1130" s="1182">
        <v>0</v>
      </c>
      <c r="E1130" s="1182">
        <v>0</v>
      </c>
      <c r="F1130" s="1182">
        <v>0</v>
      </c>
      <c r="G1130" s="1182">
        <v>0</v>
      </c>
      <c r="H1130" s="1182">
        <v>0</v>
      </c>
      <c r="I1130" s="1182">
        <v>0</v>
      </c>
      <c r="J1130" s="1182">
        <v>0</v>
      </c>
      <c r="K1130" s="1182">
        <v>0</v>
      </c>
      <c r="L1130" s="1182">
        <v>0</v>
      </c>
      <c r="M1130" s="1182">
        <v>0</v>
      </c>
      <c r="N1130" s="1182">
        <v>0</v>
      </c>
      <c r="O1130" s="1179">
        <f t="shared" si="284"/>
        <v>0</v>
      </c>
      <c r="P1130" s="1180">
        <f>O1124/M!$Q$14</f>
        <v>5.7465895971035401E-2</v>
      </c>
      <c r="Q1130" s="1235"/>
      <c r="R1130" s="1235"/>
      <c r="S1130" s="1235"/>
      <c r="T1130" s="1235"/>
      <c r="U1130" s="1235"/>
      <c r="V1130" s="1235"/>
      <c r="W1130" s="1235"/>
    </row>
    <row r="1131" spans="1:23">
      <c r="A1131" s="2218"/>
      <c r="B1131" s="1176" t="s">
        <v>410</v>
      </c>
      <c r="C1131" s="1177">
        <v>205</v>
      </c>
      <c r="D1131" s="1177">
        <v>150</v>
      </c>
      <c r="E1131" s="1177">
        <v>95</v>
      </c>
      <c r="F1131" s="1177">
        <v>76</v>
      </c>
      <c r="G1131" s="1177">
        <v>38</v>
      </c>
      <c r="H1131" s="1177">
        <v>28</v>
      </c>
      <c r="I1131" s="1178">
        <v>44</v>
      </c>
      <c r="J1131" s="1178">
        <v>34</v>
      </c>
      <c r="K1131" s="1178">
        <v>36</v>
      </c>
      <c r="L1131" s="1178">
        <v>39</v>
      </c>
      <c r="M1131" s="1178">
        <v>140</v>
      </c>
      <c r="N1131" s="1178">
        <v>183</v>
      </c>
      <c r="O1131" s="1179">
        <f t="shared" si="284"/>
        <v>89</v>
      </c>
      <c r="P1131" s="1180">
        <f>O1125/M!$Q$14</f>
        <v>1.2808393458303599E-2</v>
      </c>
      <c r="Q1131" s="1235"/>
      <c r="R1131" s="1235"/>
      <c r="S1131" s="1235"/>
      <c r="T1131" s="1235"/>
      <c r="U1131" s="1235"/>
      <c r="V1131" s="1235"/>
      <c r="W1131" s="1235"/>
    </row>
    <row r="1132" spans="1:23">
      <c r="A1132" s="2218"/>
      <c r="B1132" s="1176" t="s">
        <v>418</v>
      </c>
      <c r="C1132" s="1177">
        <v>65</v>
      </c>
      <c r="D1132" s="1177">
        <v>65</v>
      </c>
      <c r="E1132" s="1177">
        <v>65</v>
      </c>
      <c r="F1132" s="1177">
        <v>65</v>
      </c>
      <c r="G1132" s="1177">
        <v>65</v>
      </c>
      <c r="H1132" s="1177">
        <v>65</v>
      </c>
      <c r="I1132" s="1178">
        <v>102</v>
      </c>
      <c r="J1132" s="1178">
        <v>102</v>
      </c>
      <c r="K1132" s="1178">
        <v>102</v>
      </c>
      <c r="L1132" s="1178">
        <v>87</v>
      </c>
      <c r="M1132" s="1178">
        <v>61</v>
      </c>
      <c r="N1132" s="1178">
        <v>61</v>
      </c>
      <c r="O1132" s="1179">
        <f t="shared" si="284"/>
        <v>75.416666666666671</v>
      </c>
      <c r="P1132" s="2205">
        <f>O1126/M!$Q$14</f>
        <v>3.7513497760025709E-2</v>
      </c>
      <c r="Q1132" s="1235"/>
      <c r="R1132" s="1235"/>
      <c r="S1132" s="1235"/>
      <c r="T1132" s="1235"/>
      <c r="U1132" s="1235"/>
      <c r="V1132" s="1235"/>
      <c r="W1132" s="1235"/>
    </row>
    <row r="1133" spans="1:23">
      <c r="A1133" s="2218"/>
      <c r="B1133" s="1176" t="s">
        <v>419</v>
      </c>
      <c r="C1133" s="1177">
        <v>38</v>
      </c>
      <c r="D1133" s="1177">
        <v>38</v>
      </c>
      <c r="E1133" s="1177">
        <v>35</v>
      </c>
      <c r="F1133" s="1177">
        <v>35</v>
      </c>
      <c r="G1133" s="1177">
        <v>36</v>
      </c>
      <c r="H1133" s="1177">
        <v>36</v>
      </c>
      <c r="I1133" s="1178">
        <v>35</v>
      </c>
      <c r="J1133" s="1178">
        <v>35</v>
      </c>
      <c r="K1133" s="1178">
        <v>35</v>
      </c>
      <c r="L1133" s="1178">
        <v>35</v>
      </c>
      <c r="M1133" s="1178">
        <v>35</v>
      </c>
      <c r="N1133" s="1178">
        <v>35</v>
      </c>
      <c r="O1133" s="1179">
        <f t="shared" si="284"/>
        <v>35.666666666666664</v>
      </c>
      <c r="P1133" s="2206"/>
      <c r="Q1133" s="1235"/>
      <c r="R1133" s="1235"/>
      <c r="S1133" s="1235"/>
      <c r="T1133" s="1235"/>
      <c r="U1133" s="1235"/>
      <c r="V1133" s="1235"/>
      <c r="W1133" s="1235"/>
    </row>
    <row r="1134" spans="1:23">
      <c r="A1134" s="2218"/>
      <c r="B1134" s="1176" t="s">
        <v>460</v>
      </c>
      <c r="C1134" s="1177">
        <v>0</v>
      </c>
      <c r="D1134" s="1177">
        <v>0</v>
      </c>
      <c r="E1134" s="1177">
        <v>0</v>
      </c>
      <c r="F1134" s="1177">
        <v>0</v>
      </c>
      <c r="G1134" s="1177">
        <v>0</v>
      </c>
      <c r="H1134" s="1177">
        <v>0</v>
      </c>
      <c r="I1134" s="1178">
        <v>0</v>
      </c>
      <c r="J1134" s="1178">
        <v>0</v>
      </c>
      <c r="K1134" s="1178">
        <v>0</v>
      </c>
      <c r="L1134" s="1178">
        <v>0</v>
      </c>
      <c r="M1134" s="1178">
        <v>0</v>
      </c>
      <c r="N1134" s="1178">
        <v>0</v>
      </c>
      <c r="O1134" s="1179">
        <f t="shared" si="284"/>
        <v>0</v>
      </c>
      <c r="P1134" s="1180">
        <f>O1128/M!$Q$14</f>
        <v>1.3196979490877569E-2</v>
      </c>
      <c r="Q1134" s="1235"/>
      <c r="R1134" s="1235"/>
      <c r="S1134" s="1235"/>
      <c r="T1134" s="1235"/>
      <c r="U1134" s="1235"/>
      <c r="V1134" s="1235"/>
      <c r="W1134" s="1235"/>
    </row>
    <row r="1135" spans="1:23">
      <c r="A1135" s="2219"/>
      <c r="B1135" s="1176" t="s">
        <v>421</v>
      </c>
      <c r="C1135" s="1228">
        <v>70</v>
      </c>
      <c r="D1135" s="1228">
        <v>78</v>
      </c>
      <c r="E1135" s="1228">
        <v>71</v>
      </c>
      <c r="F1135" s="1228">
        <v>71</v>
      </c>
      <c r="G1135" s="1228">
        <v>71</v>
      </c>
      <c r="H1135" s="1228">
        <v>70</v>
      </c>
      <c r="I1135" s="1229">
        <v>71</v>
      </c>
      <c r="J1135" s="1229">
        <v>70</v>
      </c>
      <c r="K1135" s="1229">
        <v>70</v>
      </c>
      <c r="L1135" s="1229">
        <v>70</v>
      </c>
      <c r="M1135" s="1229">
        <v>71</v>
      </c>
      <c r="N1135" s="1229">
        <v>70</v>
      </c>
      <c r="O1135" s="1179">
        <f t="shared" si="284"/>
        <v>71.083333333333329</v>
      </c>
      <c r="P1135" s="1180">
        <f>O1129/M!$Q$14</f>
        <v>0</v>
      </c>
      <c r="Q1135" s="1235"/>
      <c r="R1135" s="1235"/>
      <c r="S1135" s="1235"/>
      <c r="T1135" s="1235"/>
      <c r="U1135" s="1235"/>
      <c r="V1135" s="1235"/>
      <c r="W1135" s="1235"/>
    </row>
    <row r="1136" spans="1:23">
      <c r="A1136" s="2191" t="s">
        <v>280</v>
      </c>
      <c r="B1136" s="2192"/>
      <c r="C1136" s="2203">
        <f t="shared" ref="C1136:O1136" si="285">SUM(C1138:C1144)</f>
        <v>772</v>
      </c>
      <c r="D1136" s="2203">
        <f t="shared" si="285"/>
        <v>467</v>
      </c>
      <c r="E1136" s="2203">
        <f t="shared" si="285"/>
        <v>410</v>
      </c>
      <c r="F1136" s="2203">
        <f t="shared" si="285"/>
        <v>377</v>
      </c>
      <c r="G1136" s="2203">
        <f t="shared" si="285"/>
        <v>729</v>
      </c>
      <c r="H1136" s="2203">
        <f t="shared" si="285"/>
        <v>1863</v>
      </c>
      <c r="I1136" s="2203">
        <f t="shared" si="285"/>
        <v>313</v>
      </c>
      <c r="J1136" s="2203">
        <f t="shared" si="285"/>
        <v>366</v>
      </c>
      <c r="K1136" s="2203">
        <f t="shared" si="285"/>
        <v>1547</v>
      </c>
      <c r="L1136" s="2203">
        <f t="shared" si="285"/>
        <v>815</v>
      </c>
      <c r="M1136" s="2203">
        <f t="shared" si="285"/>
        <v>1141</v>
      </c>
      <c r="N1136" s="2203">
        <f t="shared" si="285"/>
        <v>2269</v>
      </c>
      <c r="O1136" s="2203">
        <f t="shared" si="285"/>
        <v>922.41666666666674</v>
      </c>
      <c r="P1136" s="1180">
        <f>O1130/M!$Q$14</f>
        <v>0</v>
      </c>
      <c r="Q1136" s="1235"/>
      <c r="R1136" s="1235"/>
      <c r="S1136" s="1235"/>
      <c r="T1136" s="1235"/>
      <c r="U1136" s="1235"/>
      <c r="V1136" s="1235"/>
      <c r="W1136" s="1235"/>
    </row>
    <row r="1137" spans="1:23">
      <c r="A1137" s="2193"/>
      <c r="B1137" s="2194"/>
      <c r="C1137" s="2204"/>
      <c r="D1137" s="2204"/>
      <c r="E1137" s="2204"/>
      <c r="F1137" s="2204"/>
      <c r="G1137" s="2204"/>
      <c r="H1137" s="2204"/>
      <c r="I1137" s="2204"/>
      <c r="J1137" s="2204"/>
      <c r="K1137" s="2204"/>
      <c r="L1137" s="2204"/>
      <c r="M1137" s="2204"/>
      <c r="N1137" s="2204"/>
      <c r="O1137" s="2204"/>
      <c r="P1137" s="1180">
        <f>O1131/M!$Q$14</f>
        <v>7.9809592844038765E-3</v>
      </c>
      <c r="Q1137" s="1235"/>
      <c r="R1137" s="1235"/>
      <c r="S1137" s="1235"/>
      <c r="T1137" s="1235"/>
      <c r="U1137" s="1235"/>
      <c r="V1137" s="1235"/>
      <c r="W1137" s="1235"/>
    </row>
    <row r="1138" spans="1:23">
      <c r="A1138" s="2217"/>
      <c r="B1138" s="1176" t="s">
        <v>280</v>
      </c>
      <c r="C1138" s="1228">
        <v>353</v>
      </c>
      <c r="D1138" s="1228">
        <v>194</v>
      </c>
      <c r="E1138" s="1228">
        <v>131</v>
      </c>
      <c r="F1138" s="1228">
        <v>257</v>
      </c>
      <c r="G1138" s="1228">
        <v>167</v>
      </c>
      <c r="H1138" s="1228">
        <v>454</v>
      </c>
      <c r="I1138" s="1229">
        <v>155</v>
      </c>
      <c r="J1138" s="1229">
        <v>91</v>
      </c>
      <c r="K1138" s="1229">
        <v>679</v>
      </c>
      <c r="L1138" s="1229">
        <v>242</v>
      </c>
      <c r="M1138" s="1229">
        <v>260</v>
      </c>
      <c r="N1138" s="1229">
        <v>661</v>
      </c>
      <c r="O1138" s="1179">
        <f t="shared" ref="O1138:O1144" si="286">SUM(C1138:N1138)/12</f>
        <v>303.66666666666669</v>
      </c>
      <c r="P1138" s="1180">
        <f>O1132/M!$Q$14</f>
        <v>6.76289152845085E-3</v>
      </c>
      <c r="Q1138" s="1235"/>
      <c r="R1138" s="1235"/>
      <c r="S1138" s="1235"/>
      <c r="T1138" s="1235"/>
      <c r="U1138" s="1235"/>
      <c r="V1138" s="1235"/>
      <c r="W1138" s="1235"/>
    </row>
    <row r="1139" spans="1:23">
      <c r="A1139" s="2218"/>
      <c r="B1139" s="1176" t="s">
        <v>423</v>
      </c>
      <c r="C1139" s="1228">
        <v>285</v>
      </c>
      <c r="D1139" s="1228">
        <v>167</v>
      </c>
      <c r="E1139" s="1228">
        <v>206</v>
      </c>
      <c r="F1139" s="1228">
        <v>20</v>
      </c>
      <c r="G1139" s="1228">
        <v>227</v>
      </c>
      <c r="H1139" s="1228">
        <v>20</v>
      </c>
      <c r="I1139" s="1229">
        <v>8</v>
      </c>
      <c r="J1139" s="1229">
        <v>88</v>
      </c>
      <c r="K1139" s="1229">
        <v>714</v>
      </c>
      <c r="L1139" s="1229">
        <v>230</v>
      </c>
      <c r="M1139" s="1229">
        <v>402</v>
      </c>
      <c r="N1139" s="1229">
        <v>176</v>
      </c>
      <c r="O1139" s="1179">
        <f t="shared" si="286"/>
        <v>211.91666666666666</v>
      </c>
      <c r="P1139" s="1180">
        <f>O1133/M!$Q$14</f>
        <v>3.1983619604165343E-3</v>
      </c>
      <c r="Q1139" s="1235"/>
      <c r="R1139" s="1235"/>
      <c r="S1139" s="1235"/>
      <c r="T1139" s="1235"/>
      <c r="U1139" s="1235"/>
      <c r="V1139" s="1235"/>
      <c r="W1139" s="1235"/>
    </row>
    <row r="1140" spans="1:23">
      <c r="A1140" s="2218"/>
      <c r="B1140" s="1176" t="s">
        <v>424</v>
      </c>
      <c r="C1140" s="1228">
        <v>0</v>
      </c>
      <c r="D1140" s="1228">
        <v>0</v>
      </c>
      <c r="E1140" s="1228">
        <v>0</v>
      </c>
      <c r="F1140" s="1228">
        <v>0</v>
      </c>
      <c r="G1140" s="1228">
        <v>0</v>
      </c>
      <c r="H1140" s="1228">
        <v>0</v>
      </c>
      <c r="I1140" s="1229">
        <v>0</v>
      </c>
      <c r="J1140" s="1229">
        <v>0</v>
      </c>
      <c r="K1140" s="1229">
        <v>0</v>
      </c>
      <c r="L1140" s="1229">
        <v>0</v>
      </c>
      <c r="M1140" s="1229">
        <v>0</v>
      </c>
      <c r="N1140" s="1229">
        <v>0</v>
      </c>
      <c r="O1140" s="1179">
        <f t="shared" si="286"/>
        <v>0</v>
      </c>
      <c r="P1140" s="1180">
        <f>O1134/M!$Q$14</f>
        <v>0</v>
      </c>
      <c r="Q1140" s="1235"/>
      <c r="R1140" s="1235"/>
      <c r="S1140" s="1235"/>
      <c r="T1140" s="1235"/>
      <c r="U1140" s="1235"/>
      <c r="V1140" s="1235"/>
      <c r="W1140" s="1235"/>
    </row>
    <row r="1141" spans="1:23">
      <c r="A1141" s="2218"/>
      <c r="B1141" s="1176" t="s">
        <v>425</v>
      </c>
      <c r="C1141" s="1228">
        <v>0</v>
      </c>
      <c r="D1141" s="1228">
        <v>0</v>
      </c>
      <c r="E1141" s="1228">
        <v>30</v>
      </c>
      <c r="F1141" s="1228">
        <v>0</v>
      </c>
      <c r="G1141" s="1228">
        <v>0</v>
      </c>
      <c r="H1141" s="1228">
        <v>300</v>
      </c>
      <c r="I1141" s="1229">
        <v>0</v>
      </c>
      <c r="J1141" s="1229">
        <v>0</v>
      </c>
      <c r="K1141" s="1229">
        <v>0</v>
      </c>
      <c r="L1141" s="1229">
        <v>0</v>
      </c>
      <c r="M1141" s="1229">
        <v>10</v>
      </c>
      <c r="N1141" s="1229">
        <v>0</v>
      </c>
      <c r="O1141" s="1179">
        <f t="shared" si="286"/>
        <v>28.333333333333332</v>
      </c>
      <c r="P1141" s="1180">
        <f>O1135/M!$Q$14</f>
        <v>6.374305495876878E-3</v>
      </c>
      <c r="Q1141" s="1235"/>
      <c r="R1141" s="1235"/>
      <c r="S1141" s="1235"/>
      <c r="T1141" s="1235"/>
      <c r="U1141" s="1235"/>
      <c r="V1141" s="1235"/>
      <c r="W1141" s="1235"/>
    </row>
    <row r="1142" spans="1:23">
      <c r="A1142" s="2218"/>
      <c r="B1142" s="1176" t="s">
        <v>667</v>
      </c>
      <c r="C1142" s="1228">
        <v>102</v>
      </c>
      <c r="D1142" s="1228">
        <v>103</v>
      </c>
      <c r="E1142" s="1228">
        <v>30</v>
      </c>
      <c r="F1142" s="1228">
        <v>0</v>
      </c>
      <c r="G1142" s="1228">
        <v>80</v>
      </c>
      <c r="H1142" s="1228">
        <v>922</v>
      </c>
      <c r="I1142" s="1229">
        <v>105</v>
      </c>
      <c r="J1142" s="1229">
        <v>157</v>
      </c>
      <c r="K1142" s="1229">
        <v>108</v>
      </c>
      <c r="L1142" s="1229">
        <v>198</v>
      </c>
      <c r="M1142" s="1229">
        <v>159</v>
      </c>
      <c r="N1142" s="1229">
        <v>130</v>
      </c>
      <c r="O1142" s="1179">
        <f t="shared" si="286"/>
        <v>174.5</v>
      </c>
      <c r="P1142" s="2205">
        <f>O1136/M!$Q$14</f>
        <v>8.2716515280024827E-2</v>
      </c>
      <c r="Q1142" s="1235"/>
      <c r="R1142" s="1235"/>
      <c r="S1142" s="1235"/>
      <c r="T1142" s="1235"/>
      <c r="U1142" s="1235"/>
      <c r="V1142" s="1235"/>
      <c r="W1142" s="1235"/>
    </row>
    <row r="1143" spans="1:23">
      <c r="A1143" s="2218"/>
      <c r="B1143" s="1176" t="s">
        <v>427</v>
      </c>
      <c r="C1143" s="1228">
        <v>0</v>
      </c>
      <c r="D1143" s="1228">
        <v>0</v>
      </c>
      <c r="E1143" s="1228">
        <v>0</v>
      </c>
      <c r="F1143" s="1228">
        <v>0</v>
      </c>
      <c r="G1143" s="1228">
        <v>0</v>
      </c>
      <c r="H1143" s="1228">
        <v>0</v>
      </c>
      <c r="I1143" s="1229">
        <v>0</v>
      </c>
      <c r="J1143" s="1229">
        <v>0</v>
      </c>
      <c r="K1143" s="1229">
        <v>0</v>
      </c>
      <c r="L1143" s="1229">
        <v>0</v>
      </c>
      <c r="M1143" s="1229">
        <v>0</v>
      </c>
      <c r="N1143" s="1229">
        <v>0</v>
      </c>
      <c r="O1143" s="1179">
        <f t="shared" si="286"/>
        <v>0</v>
      </c>
      <c r="P1143" s="2206"/>
      <c r="Q1143" s="1235"/>
      <c r="R1143" s="1235"/>
      <c r="S1143" s="1235"/>
      <c r="T1143" s="1235"/>
      <c r="U1143" s="1235"/>
      <c r="V1143" s="1235"/>
      <c r="W1143" s="1235"/>
    </row>
    <row r="1144" spans="1:23">
      <c r="A1144" s="2219"/>
      <c r="B1144" s="1176" t="s">
        <v>381</v>
      </c>
      <c r="C1144" s="1228">
        <v>32</v>
      </c>
      <c r="D1144" s="1228">
        <v>3</v>
      </c>
      <c r="E1144" s="1228">
        <v>13</v>
      </c>
      <c r="F1144" s="1228">
        <v>100</v>
      </c>
      <c r="G1144" s="1228">
        <v>255</v>
      </c>
      <c r="H1144" s="1228">
        <v>167</v>
      </c>
      <c r="I1144" s="1229">
        <v>45</v>
      </c>
      <c r="J1144" s="1229">
        <v>30</v>
      </c>
      <c r="K1144" s="1229">
        <v>46</v>
      </c>
      <c r="L1144" s="1229">
        <v>145</v>
      </c>
      <c r="M1144" s="1229">
        <v>310</v>
      </c>
      <c r="N1144" s="1229">
        <v>1302</v>
      </c>
      <c r="O1144" s="1179">
        <f t="shared" si="286"/>
        <v>204</v>
      </c>
      <c r="P1144" s="1180">
        <f>O1138/M!$Q$14</f>
        <v>2.7230913513452925E-2</v>
      </c>
      <c r="Q1144" s="1235"/>
      <c r="R1144" s="1235"/>
      <c r="S1144" s="1235"/>
      <c r="T1144" s="1235"/>
      <c r="U1144" s="1235"/>
      <c r="V1144" s="1235"/>
      <c r="W1144" s="1235"/>
    </row>
    <row r="1145" spans="1:23">
      <c r="A1145" s="2191" t="s">
        <v>428</v>
      </c>
      <c r="B1145" s="2192"/>
      <c r="C1145" s="2203">
        <f>SUM(C1147:C1148)</f>
        <v>3230</v>
      </c>
      <c r="D1145" s="2203">
        <f t="shared" ref="D1145:N1145" si="287">SUM(D1147:D1148)</f>
        <v>3055</v>
      </c>
      <c r="E1145" s="2203">
        <f t="shared" si="287"/>
        <v>3055</v>
      </c>
      <c r="F1145" s="2203">
        <f t="shared" si="287"/>
        <v>3055</v>
      </c>
      <c r="G1145" s="2203">
        <f t="shared" si="287"/>
        <v>2655</v>
      </c>
      <c r="H1145" s="2203">
        <f t="shared" si="287"/>
        <v>2855</v>
      </c>
      <c r="I1145" s="2203">
        <f t="shared" si="287"/>
        <v>3055</v>
      </c>
      <c r="J1145" s="2203">
        <f t="shared" si="287"/>
        <v>2655</v>
      </c>
      <c r="K1145" s="2203">
        <f t="shared" si="287"/>
        <v>2855</v>
      </c>
      <c r="L1145" s="2203">
        <f t="shared" si="287"/>
        <v>3070</v>
      </c>
      <c r="M1145" s="2203">
        <f t="shared" si="287"/>
        <v>2930</v>
      </c>
      <c r="N1145" s="2203">
        <f t="shared" si="287"/>
        <v>2344</v>
      </c>
      <c r="O1145" s="2203">
        <f>SUM(O1147:O1148)</f>
        <v>2901.166666666667</v>
      </c>
      <c r="P1145" s="1180">
        <f>O1139/M!$Q$14</f>
        <v>1.9003351554530951E-2</v>
      </c>
      <c r="Q1145" s="1235"/>
      <c r="R1145" s="1235"/>
      <c r="S1145" s="1235"/>
      <c r="T1145" s="1235"/>
      <c r="U1145" s="1235"/>
      <c r="V1145" s="1235"/>
      <c r="W1145" s="1235"/>
    </row>
    <row r="1146" spans="1:23">
      <c r="A1146" s="2193"/>
      <c r="B1146" s="2194"/>
      <c r="C1146" s="2204"/>
      <c r="D1146" s="2204"/>
      <c r="E1146" s="2204"/>
      <c r="F1146" s="2204"/>
      <c r="G1146" s="2204"/>
      <c r="H1146" s="2204"/>
      <c r="I1146" s="2204"/>
      <c r="J1146" s="2204"/>
      <c r="K1146" s="2204"/>
      <c r="L1146" s="2204"/>
      <c r="M1146" s="2204"/>
      <c r="N1146" s="2204"/>
      <c r="O1146" s="2204"/>
      <c r="P1146" s="1180">
        <f>O1140/M!$Q$14</f>
        <v>0</v>
      </c>
      <c r="Q1146" s="1235"/>
      <c r="R1146" s="1235"/>
      <c r="S1146" s="1235"/>
      <c r="T1146" s="1235"/>
      <c r="U1146" s="1235"/>
      <c r="V1146" s="1235"/>
      <c r="W1146" s="1235"/>
    </row>
    <row r="1147" spans="1:23">
      <c r="A1147" s="2217"/>
      <c r="B1147" s="1176" t="s">
        <v>429</v>
      </c>
      <c r="C1147" s="1177">
        <v>175</v>
      </c>
      <c r="D1147" s="1177">
        <v>0</v>
      </c>
      <c r="E1147" s="1177">
        <v>0</v>
      </c>
      <c r="F1147" s="1177">
        <v>0</v>
      </c>
      <c r="G1147" s="1177">
        <v>0</v>
      </c>
      <c r="H1147" s="1177">
        <v>0</v>
      </c>
      <c r="I1147" s="1177">
        <v>0</v>
      </c>
      <c r="J1147" s="1177">
        <v>0</v>
      </c>
      <c r="K1147" s="1177">
        <v>0</v>
      </c>
      <c r="L1147" s="1177">
        <v>0</v>
      </c>
      <c r="M1147" s="1177">
        <v>0</v>
      </c>
      <c r="N1147" s="1177">
        <v>0</v>
      </c>
      <c r="O1147" s="1179">
        <f>SUM(C1147:N1147)/12</f>
        <v>14.583333333333334</v>
      </c>
      <c r="P1147" s="1180">
        <f>O1141/M!$Q$14</f>
        <v>2.5407548283682751E-3</v>
      </c>
      <c r="Q1147" s="1235"/>
      <c r="R1147" s="1235"/>
      <c r="S1147" s="1235"/>
      <c r="T1147" s="1235"/>
      <c r="U1147" s="1235"/>
      <c r="V1147" s="1235"/>
      <c r="W1147" s="1235"/>
    </row>
    <row r="1148" spans="1:23">
      <c r="A1148" s="2218"/>
      <c r="B1148" s="1176" t="s">
        <v>430</v>
      </c>
      <c r="C1148" s="1177">
        <v>3055</v>
      </c>
      <c r="D1148" s="1177">
        <v>3055</v>
      </c>
      <c r="E1148" s="1177">
        <v>3055</v>
      </c>
      <c r="F1148" s="1177">
        <v>3055</v>
      </c>
      <c r="G1148" s="1177">
        <v>2655</v>
      </c>
      <c r="H1148" s="1177">
        <v>2855</v>
      </c>
      <c r="I1148" s="1177">
        <v>3055</v>
      </c>
      <c r="J1148" s="1177">
        <v>2655</v>
      </c>
      <c r="K1148" s="1177">
        <v>2855</v>
      </c>
      <c r="L1148" s="1177">
        <v>3070</v>
      </c>
      <c r="M1148" s="1177">
        <v>2930</v>
      </c>
      <c r="N1148" s="1177">
        <v>2344</v>
      </c>
      <c r="O1148" s="1179">
        <f>SUM(C1148:N1148)/12</f>
        <v>2886.5833333333335</v>
      </c>
      <c r="P1148" s="1180">
        <f>O1142/M!$Q$14</f>
        <v>1.5648060619421082E-2</v>
      </c>
      <c r="Q1148" s="1235"/>
      <c r="R1148" s="1235"/>
      <c r="S1148" s="1235"/>
      <c r="T1148" s="1235"/>
      <c r="U1148" s="1235"/>
      <c r="V1148" s="1235"/>
      <c r="W1148" s="1235"/>
    </row>
    <row r="1149" spans="1:23">
      <c r="A1149" s="2191" t="s">
        <v>668</v>
      </c>
      <c r="B1149" s="2192"/>
      <c r="C1149" s="2203">
        <f>SUM(C1151:C1154)</f>
        <v>383.08333333333337</v>
      </c>
      <c r="D1149" s="2203">
        <f t="shared" ref="D1149:N1149" si="288">SUM(D1151:D1154)</f>
        <v>413.08333333333337</v>
      </c>
      <c r="E1149" s="2203">
        <f t="shared" si="288"/>
        <v>383.08333333333337</v>
      </c>
      <c r="F1149" s="2203">
        <f t="shared" si="288"/>
        <v>383.08333333333337</v>
      </c>
      <c r="G1149" s="2203">
        <f t="shared" si="288"/>
        <v>408.08333333333337</v>
      </c>
      <c r="H1149" s="2203">
        <f t="shared" si="288"/>
        <v>558.08333333333337</v>
      </c>
      <c r="I1149" s="2203">
        <f t="shared" si="288"/>
        <v>383.08333333333337</v>
      </c>
      <c r="J1149" s="2203">
        <f t="shared" si="288"/>
        <v>408.08333333333337</v>
      </c>
      <c r="K1149" s="2203">
        <f t="shared" si="288"/>
        <v>383.08333333333337</v>
      </c>
      <c r="L1149" s="2203">
        <f t="shared" si="288"/>
        <v>425.08333333333337</v>
      </c>
      <c r="M1149" s="2203">
        <f t="shared" si="288"/>
        <v>458.08333333333337</v>
      </c>
      <c r="N1149" s="2203">
        <f t="shared" si="288"/>
        <v>563.08333333333337</v>
      </c>
      <c r="O1149" s="2203">
        <f>SUM(O1151:O1159)</f>
        <v>2094</v>
      </c>
      <c r="P1149" s="1180">
        <f>O1143/M!$Q$14</f>
        <v>0</v>
      </c>
      <c r="Q1149" s="1235"/>
      <c r="R1149" s="1235"/>
      <c r="S1149" s="1235"/>
      <c r="T1149" s="1235"/>
      <c r="U1149" s="1235"/>
      <c r="V1149" s="1235"/>
      <c r="W1149" s="1235"/>
    </row>
    <row r="1150" spans="1:23">
      <c r="A1150" s="2193"/>
      <c r="B1150" s="2194"/>
      <c r="C1150" s="2204"/>
      <c r="D1150" s="2204"/>
      <c r="E1150" s="2204"/>
      <c r="F1150" s="2204"/>
      <c r="G1150" s="2204"/>
      <c r="H1150" s="2204"/>
      <c r="I1150" s="2204"/>
      <c r="J1150" s="2204"/>
      <c r="K1150" s="2204"/>
      <c r="L1150" s="2204"/>
      <c r="M1150" s="2204"/>
      <c r="N1150" s="2204"/>
      <c r="O1150" s="2204"/>
      <c r="P1150" s="1180">
        <f>O1144/M!$Q$14</f>
        <v>1.8293434764251579E-2</v>
      </c>
      <c r="Q1150" s="1235"/>
      <c r="R1150" s="1235"/>
      <c r="S1150" s="1235"/>
      <c r="T1150" s="1235"/>
      <c r="U1150" s="1235"/>
      <c r="V1150" s="1235"/>
      <c r="W1150" s="1235"/>
    </row>
    <row r="1151" spans="1:23">
      <c r="A1151" s="1183"/>
      <c r="B1151" s="1176" t="s">
        <v>432</v>
      </c>
      <c r="C1151" s="1184">
        <f>(FinSnapshot!$L$94 +FinSnapshot!$L$96+FinSnapshot!$L$102+FinSnapshot!$L$104)/12</f>
        <v>290.66666666666669</v>
      </c>
      <c r="D1151" s="1184">
        <f>(FinSnapshot!$L$94 +FinSnapshot!$L$96+FinSnapshot!$L$102+FinSnapshot!$L$104)/12</f>
        <v>290.66666666666669</v>
      </c>
      <c r="E1151" s="1184">
        <f>(FinSnapshot!$L$94 +FinSnapshot!$L$96+FinSnapshot!$L$102+FinSnapshot!$L$104)/12</f>
        <v>290.66666666666669</v>
      </c>
      <c r="F1151" s="1184">
        <f>(FinSnapshot!$L$94 +FinSnapshot!$L$96+FinSnapshot!$L$102+FinSnapshot!$L$104)/12</f>
        <v>290.66666666666669</v>
      </c>
      <c r="G1151" s="1184">
        <f>(FinSnapshot!$L$94 +FinSnapshot!$L$96+FinSnapshot!$L$102+FinSnapshot!$L$104)/12</f>
        <v>290.66666666666669</v>
      </c>
      <c r="H1151" s="1184">
        <f>(FinSnapshot!$L$94 +FinSnapshot!$L$96+FinSnapshot!$L$102+FinSnapshot!$L$104)/12</f>
        <v>290.66666666666669</v>
      </c>
      <c r="I1151" s="1184">
        <f>(FinSnapshot!$L$94 +FinSnapshot!$L$96+FinSnapshot!$L$102+FinSnapshot!$L$104)/12</f>
        <v>290.66666666666669</v>
      </c>
      <c r="J1151" s="1184">
        <f>(FinSnapshot!$L$94 +FinSnapshot!$L$96+FinSnapshot!$L$102+FinSnapshot!$L$104)/12</f>
        <v>290.66666666666669</v>
      </c>
      <c r="K1151" s="1184">
        <f>(FinSnapshot!$L$94 +FinSnapshot!$L$96+FinSnapshot!$L$102+FinSnapshot!$L$104)/12</f>
        <v>290.66666666666669</v>
      </c>
      <c r="L1151" s="1184">
        <f>(FinSnapshot!$L$94 +FinSnapshot!$L$96+FinSnapshot!$L$102+FinSnapshot!$L$104)/12</f>
        <v>290.66666666666669</v>
      </c>
      <c r="M1151" s="1184">
        <f>(FinSnapshot!$L$94 +FinSnapshot!$L$96+FinSnapshot!$L$102+FinSnapshot!$L$104)/12</f>
        <v>290.66666666666669</v>
      </c>
      <c r="N1151" s="1184">
        <f>(FinSnapshot!$L$94 +FinSnapshot!$L$96+FinSnapshot!$L$102+FinSnapshot!$L$104)/12</f>
        <v>290.66666666666669</v>
      </c>
      <c r="O1151" s="1179">
        <f>SUM(C1151:N1151)/12</f>
        <v>290.66666666666663</v>
      </c>
      <c r="P1151" s="2205">
        <f>O1145/M!$Q$14</f>
        <v>0.26015834880827393</v>
      </c>
      <c r="Q1151" s="1235"/>
      <c r="R1151" s="1235"/>
      <c r="S1151" s="1235"/>
      <c r="T1151" s="1235"/>
      <c r="U1151" s="1235"/>
      <c r="V1151" s="1235"/>
      <c r="W1151" s="1235"/>
    </row>
    <row r="1152" spans="1:23">
      <c r="A1152" s="1183"/>
      <c r="B1152" s="1176" t="s">
        <v>284</v>
      </c>
      <c r="C1152" s="1228">
        <v>0</v>
      </c>
      <c r="D1152" s="1228">
        <v>30</v>
      </c>
      <c r="E1152" s="1228">
        <v>0</v>
      </c>
      <c r="F1152" s="1228">
        <v>0</v>
      </c>
      <c r="G1152" s="1228">
        <v>25</v>
      </c>
      <c r="H1152" s="1228">
        <v>175</v>
      </c>
      <c r="I1152" s="1228">
        <v>0</v>
      </c>
      <c r="J1152" s="1228">
        <v>25</v>
      </c>
      <c r="K1152" s="1228">
        <v>0</v>
      </c>
      <c r="L1152" s="1228">
        <v>42</v>
      </c>
      <c r="M1152" s="1228">
        <v>75</v>
      </c>
      <c r="N1152" s="1228">
        <v>180</v>
      </c>
      <c r="O1152" s="1179">
        <f>SUM(C1152:N1152)/12</f>
        <v>46</v>
      </c>
      <c r="P1152" s="2206"/>
      <c r="Q1152" s="1235"/>
      <c r="R1152" s="1235"/>
      <c r="S1152" s="1235"/>
      <c r="T1152" s="1235"/>
      <c r="U1152" s="1235"/>
      <c r="V1152" s="1235"/>
      <c r="W1152" s="1235"/>
    </row>
    <row r="1153" spans="1:23">
      <c r="A1153" s="1183"/>
      <c r="B1153" s="1176" t="s">
        <v>433</v>
      </c>
      <c r="C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D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E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F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G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H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I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J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K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L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M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N1153" s="1242">
        <f>(FinSnapshot!$L$93+ FinSnapshot!$L$95+ FinSnapshot!$L$96+ FinSnapshot!$L$103 + FinSnapshot!$L$105+ FinSnapshot!$L$107+ FinSnapshot!$L$108+ FinSnapshot!$L$101+FinSnapshot!$L$95+FinSnapshot!$L$103)/12</f>
        <v>92.416666666666671</v>
      </c>
      <c r="O1153" s="1179">
        <f>SUM(C1153:N1153)/12</f>
        <v>92.416666666666643</v>
      </c>
      <c r="P1153" s="1180">
        <f>O1147/M!$Q$14</f>
        <v>1.3077414557777886E-3</v>
      </c>
      <c r="Q1153" s="1235"/>
      <c r="R1153" s="1235"/>
      <c r="S1153" s="1235"/>
      <c r="T1153" s="1235"/>
      <c r="U1153" s="1235"/>
      <c r="V1153" s="1235"/>
      <c r="W1153" s="1235"/>
    </row>
    <row r="1154" spans="1:23">
      <c r="A1154" s="1183"/>
      <c r="B1154" s="1176" t="s">
        <v>434</v>
      </c>
      <c r="C1154" s="1184">
        <v>0</v>
      </c>
      <c r="D1154" s="1184">
        <v>0</v>
      </c>
      <c r="E1154" s="1184">
        <v>0</v>
      </c>
      <c r="F1154" s="1184">
        <v>0</v>
      </c>
      <c r="G1154" s="1184">
        <v>0</v>
      </c>
      <c r="H1154" s="1184">
        <v>0</v>
      </c>
      <c r="I1154" s="1184">
        <v>0</v>
      </c>
      <c r="J1154" s="1184">
        <v>0</v>
      </c>
      <c r="K1154" s="1184">
        <v>0</v>
      </c>
      <c r="L1154" s="1184">
        <v>0</v>
      </c>
      <c r="M1154" s="1184">
        <v>0</v>
      </c>
      <c r="N1154" s="1184">
        <v>0</v>
      </c>
      <c r="O1154" s="1179">
        <f>SUM(C1154:N1154)/12</f>
        <v>0</v>
      </c>
      <c r="P1154" s="1180">
        <f>O1148/M!$Q$14</f>
        <v>0.25885060735249615</v>
      </c>
      <c r="Q1154" s="1235"/>
      <c r="R1154" s="1235"/>
      <c r="S1154" s="1235"/>
      <c r="T1154" s="1235"/>
      <c r="U1154" s="1235"/>
      <c r="V1154" s="1235"/>
      <c r="W1154" s="1235"/>
    </row>
    <row r="1155" spans="1:23">
      <c r="A1155" s="2191" t="s">
        <v>435</v>
      </c>
      <c r="B1155" s="2192"/>
      <c r="C1155" s="2203">
        <f>SUM(C1157:C1159)</f>
        <v>0</v>
      </c>
      <c r="D1155" s="2203">
        <f t="shared" ref="D1155:N1155" si="289">SUM(D1157:D1159)</f>
        <v>0</v>
      </c>
      <c r="E1155" s="2203">
        <f t="shared" si="289"/>
        <v>0</v>
      </c>
      <c r="F1155" s="2203">
        <f t="shared" si="289"/>
        <v>249</v>
      </c>
      <c r="G1155" s="2203">
        <f t="shared" si="289"/>
        <v>0</v>
      </c>
      <c r="H1155" s="2203">
        <f t="shared" si="289"/>
        <v>35</v>
      </c>
      <c r="I1155" s="2203">
        <f t="shared" si="289"/>
        <v>0</v>
      </c>
      <c r="J1155" s="2203">
        <f t="shared" si="289"/>
        <v>0</v>
      </c>
      <c r="K1155" s="2203">
        <f t="shared" si="289"/>
        <v>0</v>
      </c>
      <c r="L1155" s="2203">
        <f t="shared" si="289"/>
        <v>0</v>
      </c>
      <c r="M1155" s="2203">
        <f t="shared" si="289"/>
        <v>0</v>
      </c>
      <c r="N1155" s="2203">
        <f t="shared" si="289"/>
        <v>5</v>
      </c>
      <c r="O1155" s="2203">
        <f>SUM(O1160:O1162)</f>
        <v>1640.8333333333333</v>
      </c>
      <c r="P1155" s="2205">
        <f>O1149/M!$Q$14</f>
        <v>0.18777672743305299</v>
      </c>
      <c r="Q1155" s="1235"/>
      <c r="R1155" s="1235"/>
      <c r="S1155" s="1235"/>
      <c r="T1155" s="1235"/>
      <c r="U1155" s="1235"/>
      <c r="V1155" s="1235"/>
      <c r="W1155" s="1235"/>
    </row>
    <row r="1156" spans="1:23">
      <c r="A1156" s="2193"/>
      <c r="B1156" s="2194"/>
      <c r="C1156" s="2204"/>
      <c r="D1156" s="2204"/>
      <c r="E1156" s="2204"/>
      <c r="F1156" s="2204"/>
      <c r="G1156" s="2204"/>
      <c r="H1156" s="2204"/>
      <c r="I1156" s="2204"/>
      <c r="J1156" s="2204"/>
      <c r="K1156" s="2204"/>
      <c r="L1156" s="2204"/>
      <c r="M1156" s="2204"/>
      <c r="N1156" s="2204"/>
      <c r="O1156" s="2204"/>
      <c r="P1156" s="2206"/>
      <c r="Q1156" s="1235"/>
      <c r="R1156" s="1235"/>
      <c r="S1156" s="1235"/>
      <c r="T1156" s="1235"/>
      <c r="U1156" s="1235"/>
      <c r="V1156" s="1235"/>
      <c r="W1156" s="1235"/>
    </row>
    <row r="1157" spans="1:23">
      <c r="A1157" s="1183"/>
      <c r="B1157" s="1176" t="s">
        <v>405</v>
      </c>
      <c r="C1157" s="1228">
        <v>0</v>
      </c>
      <c r="D1157" s="1228">
        <v>0</v>
      </c>
      <c r="E1157" s="1228">
        <v>0</v>
      </c>
      <c r="F1157" s="1228">
        <v>0</v>
      </c>
      <c r="G1157" s="1228">
        <v>0</v>
      </c>
      <c r="H1157" s="1228">
        <v>0</v>
      </c>
      <c r="I1157" s="1229">
        <v>0</v>
      </c>
      <c r="J1157" s="1229">
        <v>0</v>
      </c>
      <c r="K1157" s="1229">
        <v>0</v>
      </c>
      <c r="L1157" s="1229">
        <v>0</v>
      </c>
      <c r="M1157" s="1229">
        <v>0</v>
      </c>
      <c r="N1157" s="1229">
        <v>0</v>
      </c>
      <c r="O1157" s="1179">
        <f>SUM(C1157:N1157)/12</f>
        <v>0</v>
      </c>
      <c r="P1157" s="1180">
        <f>O1151/M!$Q$14</f>
        <v>2.6065155415731008E-2</v>
      </c>
      <c r="Q1157" s="1235"/>
      <c r="R1157" s="1235"/>
      <c r="S1157" s="1235"/>
      <c r="T1157" s="1235"/>
      <c r="U1157" s="1235"/>
      <c r="V1157" s="1235"/>
      <c r="W1157" s="1235"/>
    </row>
    <row r="1158" spans="1:23">
      <c r="A1158" s="1183"/>
      <c r="B1158" s="1176" t="s">
        <v>436</v>
      </c>
      <c r="C1158" s="1228">
        <v>0</v>
      </c>
      <c r="D1158" s="1228">
        <v>0</v>
      </c>
      <c r="E1158" s="1228">
        <v>0</v>
      </c>
      <c r="F1158" s="1228">
        <v>95</v>
      </c>
      <c r="G1158" s="1228">
        <v>0</v>
      </c>
      <c r="H1158" s="1228">
        <v>35</v>
      </c>
      <c r="I1158" s="1229">
        <v>0</v>
      </c>
      <c r="J1158" s="1229">
        <v>0</v>
      </c>
      <c r="K1158" s="1229">
        <v>0</v>
      </c>
      <c r="L1158" s="1229">
        <v>0</v>
      </c>
      <c r="M1158" s="1229">
        <v>0</v>
      </c>
      <c r="N1158" s="1229">
        <v>5</v>
      </c>
      <c r="O1158" s="1179">
        <f>SUM(C1158:N1158)/12</f>
        <v>11.25</v>
      </c>
      <c r="P1158" s="1180">
        <f>O1152/M!$Q$14</f>
        <v>4.1249901919390821E-3</v>
      </c>
      <c r="Q1158" s="1235"/>
      <c r="R1158" s="1235"/>
      <c r="S1158" s="1235"/>
      <c r="T1158" s="1235"/>
      <c r="U1158" s="1235"/>
      <c r="V1158" s="1235"/>
      <c r="W1158" s="1235"/>
    </row>
    <row r="1159" spans="1:23">
      <c r="A1159" s="1183"/>
      <c r="B1159" s="1176" t="s">
        <v>130</v>
      </c>
      <c r="C1159" s="1228">
        <v>0</v>
      </c>
      <c r="D1159" s="1228">
        <v>0</v>
      </c>
      <c r="E1159" s="1228">
        <v>0</v>
      </c>
      <c r="F1159" s="1228">
        <v>154</v>
      </c>
      <c r="G1159" s="1228">
        <v>0</v>
      </c>
      <c r="H1159" s="1228">
        <v>0</v>
      </c>
      <c r="I1159" s="1229">
        <v>0</v>
      </c>
      <c r="J1159" s="1229">
        <v>0</v>
      </c>
      <c r="K1159" s="1229">
        <v>0</v>
      </c>
      <c r="L1159" s="1229">
        <v>0</v>
      </c>
      <c r="M1159" s="1229">
        <v>0</v>
      </c>
      <c r="N1159" s="1229">
        <v>0</v>
      </c>
      <c r="O1159" s="1179">
        <f>SUM(C1159:N1159)/12</f>
        <v>12.833333333333334</v>
      </c>
      <c r="P1159" s="1180">
        <f>O1153/M!$Q$14</f>
        <v>8.2873444254718126E-3</v>
      </c>
      <c r="Q1159" s="1235"/>
      <c r="R1159" s="1235"/>
      <c r="S1159" s="1235"/>
      <c r="T1159" s="1235"/>
      <c r="U1159" s="1235"/>
      <c r="V1159" s="1235"/>
      <c r="W1159" s="1235"/>
    </row>
    <row r="1160" spans="1:23">
      <c r="A1160" s="2191" t="s">
        <v>286</v>
      </c>
      <c r="B1160" s="2192"/>
      <c r="C1160" s="2203">
        <f t="shared" ref="C1160:N1160" si="290">SUM(C1162:C1163)</f>
        <v>375</v>
      </c>
      <c r="D1160" s="2203">
        <f t="shared" si="290"/>
        <v>0</v>
      </c>
      <c r="E1160" s="2203">
        <f t="shared" si="290"/>
        <v>1000</v>
      </c>
      <c r="F1160" s="2203">
        <f t="shared" si="290"/>
        <v>1000</v>
      </c>
      <c r="G1160" s="2203">
        <f t="shared" si="290"/>
        <v>2000</v>
      </c>
      <c r="H1160" s="2203">
        <f t="shared" si="290"/>
        <v>0</v>
      </c>
      <c r="I1160" s="2203">
        <f t="shared" si="290"/>
        <v>0</v>
      </c>
      <c r="J1160" s="2203">
        <f t="shared" si="290"/>
        <v>1470</v>
      </c>
      <c r="K1160" s="2203">
        <f t="shared" si="290"/>
        <v>0</v>
      </c>
      <c r="L1160" s="2203">
        <f t="shared" si="290"/>
        <v>0</v>
      </c>
      <c r="M1160" s="2203">
        <f t="shared" si="290"/>
        <v>2000</v>
      </c>
      <c r="N1160" s="2203">
        <f t="shared" si="290"/>
        <v>2000</v>
      </c>
      <c r="O1160" s="2203">
        <f>SUM(O1162:O1163)</f>
        <v>820.41666666666663</v>
      </c>
      <c r="P1160" s="1180">
        <f>O1154/M!$Q$14</f>
        <v>0</v>
      </c>
      <c r="Q1160" s="1235"/>
      <c r="R1160" s="1235"/>
      <c r="S1160" s="1235"/>
      <c r="T1160" s="1235"/>
      <c r="U1160" s="1235"/>
      <c r="V1160" s="1235"/>
      <c r="W1160" s="1235"/>
    </row>
    <row r="1161" spans="1:23">
      <c r="A1161" s="2193"/>
      <c r="B1161" s="2194"/>
      <c r="C1161" s="2204"/>
      <c r="D1161" s="2204"/>
      <c r="E1161" s="2204"/>
      <c r="F1161" s="2204"/>
      <c r="G1161" s="2204"/>
      <c r="H1161" s="2204"/>
      <c r="I1161" s="2204"/>
      <c r="J1161" s="2204"/>
      <c r="K1161" s="2204"/>
      <c r="L1161" s="2204"/>
      <c r="M1161" s="2204"/>
      <c r="N1161" s="2204"/>
      <c r="O1161" s="2204"/>
      <c r="P1161" s="2205">
        <f>O1155/M!$Q$14</f>
        <v>0.14713959579579805</v>
      </c>
      <c r="Q1161" s="1235"/>
      <c r="R1161" s="1235"/>
      <c r="S1161" s="1235"/>
      <c r="T1161" s="1235"/>
      <c r="U1161" s="1235"/>
      <c r="V1161" s="1235"/>
      <c r="W1161" s="1235"/>
    </row>
    <row r="1162" spans="1:23">
      <c r="A1162" s="2217"/>
      <c r="B1162" s="1176" t="s">
        <v>82</v>
      </c>
      <c r="C1162" s="1228">
        <v>375</v>
      </c>
      <c r="D1162" s="1228">
        <v>0</v>
      </c>
      <c r="E1162" s="1228">
        <v>1000</v>
      </c>
      <c r="F1162" s="1228">
        <v>1000</v>
      </c>
      <c r="G1162" s="1228">
        <v>2000</v>
      </c>
      <c r="H1162" s="1228">
        <v>0</v>
      </c>
      <c r="I1162" s="1229">
        <v>0</v>
      </c>
      <c r="J1162" s="1229">
        <v>1470</v>
      </c>
      <c r="K1162" s="1229">
        <v>0</v>
      </c>
      <c r="L1162" s="1229">
        <v>0</v>
      </c>
      <c r="M1162" s="1229">
        <v>2000</v>
      </c>
      <c r="N1162" s="1229">
        <v>2000</v>
      </c>
      <c r="O1162" s="1179">
        <f>SUM(C1162:N1162)/12</f>
        <v>820.41666666666663</v>
      </c>
      <c r="P1162" s="2206"/>
      <c r="Q1162" s="1235"/>
      <c r="R1162" s="1235"/>
      <c r="S1162" s="1235"/>
      <c r="T1162" s="1235"/>
      <c r="U1162" s="1235"/>
      <c r="V1162" s="1235"/>
      <c r="W1162" s="1235"/>
    </row>
    <row r="1163" spans="1:23">
      <c r="A1163" s="2219"/>
      <c r="B1163" s="1176" t="s">
        <v>83</v>
      </c>
      <c r="C1163" s="1228">
        <v>0</v>
      </c>
      <c r="D1163" s="1228">
        <v>0</v>
      </c>
      <c r="E1163" s="1228">
        <v>0</v>
      </c>
      <c r="F1163" s="1228">
        <v>0</v>
      </c>
      <c r="G1163" s="1228">
        <v>0</v>
      </c>
      <c r="H1163" s="1228">
        <v>0</v>
      </c>
      <c r="I1163" s="1229">
        <v>0</v>
      </c>
      <c r="J1163" s="1229">
        <v>0</v>
      </c>
      <c r="K1163" s="1229">
        <v>0</v>
      </c>
      <c r="L1163" s="1229">
        <v>0</v>
      </c>
      <c r="M1163" s="1229">
        <v>0</v>
      </c>
      <c r="N1163" s="1229">
        <v>0</v>
      </c>
      <c r="O1163" s="1179">
        <f>SUM(C1163:N1163)/12</f>
        <v>0</v>
      </c>
      <c r="P1163" s="1180">
        <f>O1157/M!$Q$14</f>
        <v>0</v>
      </c>
      <c r="Q1163" s="1235"/>
      <c r="R1163" s="1235"/>
      <c r="S1163" s="1235"/>
      <c r="T1163" s="1235"/>
      <c r="U1163" s="1235"/>
      <c r="V1163" s="1235"/>
      <c r="W1163" s="1235"/>
    </row>
    <row r="1164" spans="1:23">
      <c r="A1164" s="1187" t="s">
        <v>437</v>
      </c>
      <c r="B1164" s="1188"/>
      <c r="C1164" s="1189">
        <f t="shared" ref="C1164:N1164" si="291">C1094+C1108+C1116+C1122+C1126+C1136+C1145+C1149+C1155+C1160</f>
        <v>9285.5332331258105</v>
      </c>
      <c r="D1164" s="1189">
        <f t="shared" si="291"/>
        <v>8761.5332331258105</v>
      </c>
      <c r="E1164" s="1189">
        <f t="shared" si="291"/>
        <v>9062.5332331258105</v>
      </c>
      <c r="F1164" s="1189">
        <f t="shared" si="291"/>
        <v>9753.5332331258105</v>
      </c>
      <c r="G1164" s="1189">
        <f t="shared" si="291"/>
        <v>10968.533233125811</v>
      </c>
      <c r="H1164" s="1189">
        <f t="shared" si="291"/>
        <v>10179.533233125811</v>
      </c>
      <c r="I1164" s="1189">
        <f t="shared" si="291"/>
        <v>8539.5332331258105</v>
      </c>
      <c r="J1164" s="1189">
        <f t="shared" si="291"/>
        <v>9616.5332331258105</v>
      </c>
      <c r="K1164" s="1189">
        <f t="shared" si="291"/>
        <v>9328.5332331258105</v>
      </c>
      <c r="L1164" s="1189">
        <f t="shared" si="291"/>
        <v>9311.5332331258105</v>
      </c>
      <c r="M1164" s="1189">
        <f t="shared" si="291"/>
        <v>11229.533233125811</v>
      </c>
      <c r="N1164" s="1189">
        <f t="shared" si="291"/>
        <v>11827.533233125811</v>
      </c>
      <c r="O1164" s="1189">
        <f>SUM(C1164:N1164)/12</f>
        <v>9822.0332331258105</v>
      </c>
      <c r="P1164" s="1180">
        <f>O1158/M!$Q$14</f>
        <v>1.0088291230285799E-3</v>
      </c>
      <c r="Q1164" s="1235"/>
      <c r="R1164" s="1235"/>
      <c r="S1164" s="1235"/>
      <c r="T1164" s="1235"/>
      <c r="U1164" s="1235"/>
      <c r="V1164" s="1235"/>
      <c r="W1164" s="1235"/>
    </row>
    <row r="1165" spans="1:23">
      <c r="A1165" s="1191" t="s">
        <v>658</v>
      </c>
      <c r="B1165" s="1192"/>
      <c r="C1165" s="1193">
        <f>C1164/M!$Q$14</f>
        <v>0.83266811986018174</v>
      </c>
      <c r="D1165" s="1193">
        <f>D1164/M!$Q$14</f>
        <v>0.78567910115200612</v>
      </c>
      <c r="E1165" s="1193">
        <f>E1164/M!$Q$14</f>
        <v>0.81267088479925964</v>
      </c>
      <c r="F1165" s="1193">
        <f>F1164/M!$Q$14</f>
        <v>0.87463541137817069</v>
      </c>
      <c r="G1165" s="1193">
        <f>G1164/M!$Q$14</f>
        <v>0.98358895666525725</v>
      </c>
      <c r="H1165" s="1193">
        <f>H1164/M!$Q$14</f>
        <v>0.91283640750351958</v>
      </c>
      <c r="I1165" s="1193">
        <f>I1164/M!$Q$14</f>
        <v>0.76577153979090884</v>
      </c>
      <c r="J1165" s="1193">
        <f>J1164/M!$Q$14</f>
        <v>0.86235011450217824</v>
      </c>
      <c r="K1165" s="1193">
        <f>K1164/M!$Q$14</f>
        <v>0.83652408895264652</v>
      </c>
      <c r="L1165" s="1193">
        <f>L1164/M!$Q$14</f>
        <v>0.83499963605562555</v>
      </c>
      <c r="M1165" s="1193">
        <f>M1164/M!$Q$14</f>
        <v>1.0069937923195202</v>
      </c>
      <c r="N1165" s="1193">
        <f>N1164/M!$Q$14</f>
        <v>1.0606186648147284</v>
      </c>
      <c r="O1165" s="1193">
        <f>O1164/M!$Q$14</f>
        <v>0.88077805981616697</v>
      </c>
      <c r="P1165" s="1180">
        <f>O1159/M!$Q$14</f>
        <v>1.1508124810844541E-3</v>
      </c>
      <c r="Q1165" s="1235"/>
      <c r="R1165" s="1235"/>
      <c r="S1165" s="1235"/>
      <c r="T1165" s="1235"/>
      <c r="U1165" s="1235"/>
      <c r="V1165" s="1235"/>
      <c r="W1165" s="1235"/>
    </row>
    <row r="1166" spans="1:23">
      <c r="A1166" s="1235"/>
      <c r="B1166" s="1235"/>
      <c r="C1166" s="1235"/>
      <c r="D1166" s="1235"/>
      <c r="E1166" s="1235"/>
      <c r="F1166" s="1235"/>
      <c r="G1166" s="1235"/>
      <c r="H1166" s="1235"/>
      <c r="I1166" s="1235"/>
      <c r="J1166" s="1235"/>
      <c r="K1166" s="1235"/>
      <c r="L1166" s="1235"/>
      <c r="M1166" s="1235"/>
      <c r="N1166" s="1235"/>
      <c r="O1166" s="1235"/>
      <c r="P1166" s="2205">
        <f>O1160/M!$Q$14</f>
        <v>7.3569797897899025E-2</v>
      </c>
      <c r="Q1166" s="1235"/>
      <c r="R1166" s="1235"/>
      <c r="S1166" s="1235"/>
      <c r="T1166" s="1235"/>
      <c r="U1166" s="1235"/>
      <c r="V1166" s="1235"/>
      <c r="W1166" s="1235"/>
    </row>
    <row r="1167" spans="1:23">
      <c r="A1167" s="1235"/>
      <c r="B1167" s="1235"/>
      <c r="C1167" s="1235"/>
      <c r="D1167" s="1235"/>
      <c r="E1167" s="1235"/>
      <c r="F1167" s="1235"/>
      <c r="G1167" s="1235"/>
      <c r="H1167" s="1235"/>
      <c r="I1167" s="1235"/>
      <c r="J1167" s="1235"/>
      <c r="K1167" s="1235"/>
      <c r="L1167" s="1235"/>
      <c r="M1167" s="1235"/>
      <c r="N1167" s="1235"/>
      <c r="O1167" s="1235"/>
      <c r="P1167" s="2206"/>
      <c r="Q1167" s="1235"/>
      <c r="R1167" s="1235"/>
      <c r="S1167" s="1235"/>
      <c r="T1167" s="1235"/>
      <c r="U1167" s="1235"/>
      <c r="V1167" s="1235"/>
      <c r="W1167" s="1235"/>
    </row>
    <row r="1168" spans="1:23">
      <c r="A1168" s="1235"/>
      <c r="B1168" s="1235"/>
      <c r="C1168" s="1235"/>
      <c r="D1168" s="1235"/>
      <c r="E1168" s="1235"/>
      <c r="F1168" s="1235"/>
      <c r="G1168" s="1235"/>
      <c r="H1168" s="1235"/>
      <c r="I1168" s="1235"/>
      <c r="J1168" s="1235"/>
      <c r="K1168" s="1235"/>
      <c r="L1168" s="1235"/>
      <c r="M1168" s="1235"/>
      <c r="N1168" s="1235"/>
      <c r="O1168" s="1235"/>
      <c r="P1168" s="1180">
        <f>O1162/M!$Q$14</f>
        <v>7.3569797897899025E-2</v>
      </c>
      <c r="Q1168" s="1235"/>
      <c r="R1168" s="1235"/>
      <c r="S1168" s="1235"/>
      <c r="T1168" s="1235"/>
      <c r="U1168" s="1235"/>
      <c r="V1168" s="1235"/>
      <c r="W1168" s="1235"/>
    </row>
    <row r="1169" spans="1:23">
      <c r="A1169" s="2195">
        <v>2011</v>
      </c>
      <c r="B1169" s="2196"/>
      <c r="C1169" s="2196"/>
      <c r="D1169" s="2196"/>
      <c r="E1169" s="2196"/>
      <c r="F1169" s="2196"/>
      <c r="G1169" s="2196"/>
      <c r="H1169" s="2196"/>
      <c r="I1169" s="2196"/>
      <c r="J1169" s="2196"/>
      <c r="K1169" s="2196"/>
      <c r="L1169" s="2196"/>
      <c r="M1169" s="2196"/>
      <c r="N1169" s="2196"/>
      <c r="O1169" s="2196"/>
      <c r="P1169" s="1180">
        <f>O1163/M!$Q$14</f>
        <v>0</v>
      </c>
      <c r="Q1169" s="1235"/>
      <c r="R1169" s="1235"/>
      <c r="S1169" s="1235"/>
      <c r="T1169" s="1235"/>
      <c r="U1169" s="1235"/>
      <c r="V1169" s="1235"/>
      <c r="W1169" s="1235"/>
    </row>
    <row r="1170" spans="1:23">
      <c r="A1170" s="1171" t="s">
        <v>388</v>
      </c>
      <c r="B1170" s="1172"/>
      <c r="C1170" s="1173" t="s">
        <v>309</v>
      </c>
      <c r="D1170" s="1173" t="s">
        <v>311</v>
      </c>
      <c r="E1170" s="1173" t="s">
        <v>312</v>
      </c>
      <c r="F1170" s="1173" t="s">
        <v>313</v>
      </c>
      <c r="G1170" s="1173" t="s">
        <v>314</v>
      </c>
      <c r="H1170" s="1173" t="s">
        <v>315</v>
      </c>
      <c r="I1170" s="1173" t="s">
        <v>316</v>
      </c>
      <c r="J1170" s="1173" t="s">
        <v>317</v>
      </c>
      <c r="K1170" s="1173" t="s">
        <v>318</v>
      </c>
      <c r="L1170" s="1173" t="s">
        <v>319</v>
      </c>
      <c r="M1170" s="1173" t="s">
        <v>320</v>
      </c>
      <c r="N1170" s="1173" t="s">
        <v>321</v>
      </c>
      <c r="O1170" s="1174" t="s">
        <v>660</v>
      </c>
      <c r="P1170" s="1190">
        <f>O1164/M!$Q$14</f>
        <v>0.88077805981616697</v>
      </c>
      <c r="Q1170" s="1235"/>
      <c r="R1170" s="1235"/>
      <c r="S1170" s="1235"/>
      <c r="T1170" s="1235"/>
      <c r="U1170" s="1235"/>
      <c r="V1170" s="1235"/>
      <c r="W1170" s="1235"/>
    </row>
    <row r="1171" spans="1:23">
      <c r="A1171" s="2191" t="s">
        <v>56</v>
      </c>
      <c r="B1171" s="2192"/>
      <c r="C1171" s="2203">
        <f t="shared" ref="C1171:I1171" si="292">C1173+ SUM(C1179:C1184)</f>
        <v>2543.4498997924766</v>
      </c>
      <c r="D1171" s="2203">
        <f t="shared" si="292"/>
        <v>2588.449899792477</v>
      </c>
      <c r="E1171" s="2203">
        <f t="shared" si="292"/>
        <v>2424.449899792477</v>
      </c>
      <c r="F1171" s="2203">
        <f t="shared" si="292"/>
        <v>2424.4498997924766</v>
      </c>
      <c r="G1171" s="2203">
        <f t="shared" si="292"/>
        <v>3531.449899792477</v>
      </c>
      <c r="H1171" s="2203">
        <f t="shared" si="292"/>
        <v>2615.449899792477</v>
      </c>
      <c r="I1171" s="2203">
        <f t="shared" si="292"/>
        <v>2406.4498997924766</v>
      </c>
      <c r="J1171" s="2203">
        <f t="shared" ref="J1171:O1171" si="293">J1173+ SUM(J1179:J1184)</f>
        <v>2397.449899792477</v>
      </c>
      <c r="K1171" s="2203">
        <f t="shared" si="293"/>
        <v>2747.449899792477</v>
      </c>
      <c r="L1171" s="2203">
        <f t="shared" si="293"/>
        <v>2421.4498997924766</v>
      </c>
      <c r="M1171" s="2203">
        <f t="shared" si="293"/>
        <v>2397.4498997924766</v>
      </c>
      <c r="N1171" s="2203">
        <f t="shared" si="293"/>
        <v>2397.4498997924766</v>
      </c>
      <c r="O1171" s="2203">
        <f t="shared" si="293"/>
        <v>2574.616566459144</v>
      </c>
      <c r="P1171" s="1194"/>
      <c r="Q1171" s="1235"/>
      <c r="R1171" s="1235"/>
      <c r="S1171" s="1235"/>
      <c r="T1171" s="1235"/>
      <c r="U1171" s="1235"/>
      <c r="V1171" s="1235"/>
      <c r="W1171" s="1235"/>
    </row>
    <row r="1172" spans="1:23">
      <c r="A1172" s="2193"/>
      <c r="B1172" s="2194"/>
      <c r="C1172" s="2204"/>
      <c r="D1172" s="2204"/>
      <c r="E1172" s="2204"/>
      <c r="F1172" s="2204"/>
      <c r="G1172" s="2204"/>
      <c r="H1172" s="2204"/>
      <c r="I1172" s="2204"/>
      <c r="J1172" s="2204"/>
      <c r="K1172" s="2204"/>
      <c r="L1172" s="2204"/>
      <c r="M1172" s="2204"/>
      <c r="N1172" s="2204"/>
      <c r="O1172" s="2204"/>
      <c r="P1172" s="1235"/>
      <c r="Q1172" s="1235"/>
      <c r="R1172" s="1235"/>
      <c r="S1172" s="1235"/>
      <c r="T1172" s="1235"/>
      <c r="U1172" s="1235"/>
      <c r="V1172" s="1235"/>
      <c r="W1172" s="1235"/>
    </row>
    <row r="1173" spans="1:23">
      <c r="A1173" s="2217"/>
      <c r="B1173" s="1176" t="s">
        <v>662</v>
      </c>
      <c r="C1173" s="1228">
        <v>1755.4498997924768</v>
      </c>
      <c r="D1173" s="1228">
        <v>1755.449899792477</v>
      </c>
      <c r="E1173" s="1228">
        <v>1755.449899792477</v>
      </c>
      <c r="F1173" s="1228">
        <v>1755.4498997924768</v>
      </c>
      <c r="G1173" s="1228">
        <v>1755.449899792477</v>
      </c>
      <c r="H1173" s="1228">
        <v>1755.449899792477</v>
      </c>
      <c r="I1173" s="1229">
        <v>1755.4498997924768</v>
      </c>
      <c r="J1173" s="1229">
        <v>1755.449899792477</v>
      </c>
      <c r="K1173" s="1229">
        <v>1755.449899792477</v>
      </c>
      <c r="L1173" s="1229">
        <v>1755.4498997924768</v>
      </c>
      <c r="M1173" s="1229">
        <v>1755.4498997924768</v>
      </c>
      <c r="N1173" s="1229">
        <v>1755.4498997924768</v>
      </c>
      <c r="O1173" s="1179">
        <f t="shared" ref="O1173:O1184" si="294">SUM(C1173:N1173)/12</f>
        <v>1755.4498997924773</v>
      </c>
      <c r="P1173" s="1235"/>
      <c r="Q1173" s="1235"/>
      <c r="R1173" s="1235"/>
      <c r="S1173" s="1235"/>
      <c r="T1173" s="1235"/>
      <c r="U1173" s="1235"/>
      <c r="V1173" s="1235"/>
      <c r="W1173" s="1235"/>
    </row>
    <row r="1174" spans="1:23">
      <c r="A1174" s="2218"/>
      <c r="B1174" s="1176" t="s">
        <v>663</v>
      </c>
      <c r="C1174" s="1178">
        <v>974.18561053243855</v>
      </c>
      <c r="D1174" s="1178">
        <v>972.92542215046331</v>
      </c>
      <c r="E1174" s="1178">
        <v>971.65945790507067</v>
      </c>
      <c r="F1174" s="1178">
        <v>970.38769132355344</v>
      </c>
      <c r="G1174" s="1178">
        <v>969.11009581187079</v>
      </c>
      <c r="H1174" s="1178">
        <v>967.82664465409289</v>
      </c>
      <c r="I1174" s="1178">
        <v>966.53731101184178</v>
      </c>
      <c r="J1174" s="1178">
        <v>965.24206792373059</v>
      </c>
      <c r="K1174" s="1178">
        <v>963.94088830479859</v>
      </c>
      <c r="L1174" s="1178">
        <v>962.63374494594666</v>
      </c>
      <c r="M1174" s="1178">
        <v>961.32061051336677</v>
      </c>
      <c r="N1174" s="1178">
        <v>960.00145754797074</v>
      </c>
      <c r="O1174" s="1179">
        <f t="shared" si="294"/>
        <v>967.1475835520954</v>
      </c>
      <c r="P1174" s="1235"/>
      <c r="Q1174" s="1235"/>
      <c r="R1174" s="1235"/>
      <c r="S1174" s="1235"/>
      <c r="T1174" s="1235"/>
      <c r="U1174" s="1235"/>
      <c r="V1174" s="1235"/>
      <c r="W1174" s="1235"/>
    </row>
    <row r="1175" spans="1:23">
      <c r="A1175" s="2218"/>
      <c r="B1175" s="1176" t="s">
        <v>664</v>
      </c>
      <c r="C1175" s="1178">
        <v>274.9501924309676</v>
      </c>
      <c r="D1175" s="1178">
        <v>276.21038081294284</v>
      </c>
      <c r="E1175" s="1178">
        <v>277.47634505833548</v>
      </c>
      <c r="F1175" s="1178">
        <v>278.74811163985271</v>
      </c>
      <c r="G1175" s="1178">
        <v>280.02570715153536</v>
      </c>
      <c r="H1175" s="1178">
        <v>281.30915830931326</v>
      </c>
      <c r="I1175" s="1178">
        <v>282.59849195156437</v>
      </c>
      <c r="J1175" s="1178">
        <v>283.89373503967556</v>
      </c>
      <c r="K1175" s="1178">
        <v>285.19491465860756</v>
      </c>
      <c r="L1175" s="1178">
        <v>286.50205801745949</v>
      </c>
      <c r="M1175" s="1178">
        <v>287.81519245003938</v>
      </c>
      <c r="N1175" s="1178">
        <v>289.1343454154354</v>
      </c>
      <c r="O1175" s="1179">
        <f t="shared" si="294"/>
        <v>281.98821941131075</v>
      </c>
      <c r="P1175" s="2197"/>
      <c r="Q1175" s="1235"/>
      <c r="R1175" s="1235"/>
      <c r="S1175" s="1235"/>
      <c r="T1175" s="1235"/>
      <c r="U1175" s="1235"/>
      <c r="V1175" s="1235"/>
      <c r="W1175" s="1235"/>
    </row>
    <row r="1176" spans="1:23">
      <c r="A1176" s="2218"/>
      <c r="B1176" s="1176" t="s">
        <v>450</v>
      </c>
      <c r="C1176" s="1178">
        <v>0</v>
      </c>
      <c r="D1176" s="1178">
        <v>0</v>
      </c>
      <c r="E1176" s="1178">
        <v>0</v>
      </c>
      <c r="F1176" s="1178">
        <v>0</v>
      </c>
      <c r="G1176" s="1178">
        <v>0</v>
      </c>
      <c r="H1176" s="1178">
        <v>0</v>
      </c>
      <c r="I1176" s="1178">
        <v>0</v>
      </c>
      <c r="J1176" s="1178">
        <v>0</v>
      </c>
      <c r="K1176" s="1178">
        <v>0</v>
      </c>
      <c r="L1176" s="1178">
        <v>0</v>
      </c>
      <c r="M1176" s="1178">
        <v>0</v>
      </c>
      <c r="N1176" s="1178">
        <v>0</v>
      </c>
      <c r="O1176" s="1179">
        <f t="shared" si="294"/>
        <v>0</v>
      </c>
      <c r="P1176" s="1175" t="s">
        <v>661</v>
      </c>
      <c r="Q1176" s="1235"/>
      <c r="R1176" s="1235"/>
      <c r="S1176" s="1235"/>
      <c r="T1176" s="1235"/>
      <c r="U1176" s="1235"/>
      <c r="V1176" s="1235"/>
      <c r="W1176" s="1235"/>
    </row>
    <row r="1177" spans="1:23">
      <c r="A1177" s="2218"/>
      <c r="B1177" s="1176" t="s">
        <v>665</v>
      </c>
      <c r="C1177" s="1178">
        <v>146.07083333976317</v>
      </c>
      <c r="D1177" s="1178">
        <v>144.26961702231662</v>
      </c>
      <c r="E1177" s="1178">
        <v>142.45939462328286</v>
      </c>
      <c r="F1177" s="1178">
        <v>140.64012111225392</v>
      </c>
      <c r="G1177" s="1178">
        <v>138.81175123366984</v>
      </c>
      <c r="H1177" s="1178">
        <v>136.97423950569285</v>
      </c>
      <c r="I1177" s="1178">
        <v>135.12754021907594</v>
      </c>
      <c r="J1177" s="1178">
        <v>133.27160743602596</v>
      </c>
      <c r="K1177" s="1178">
        <v>131.40639498906074</v>
      </c>
      <c r="L1177" s="1178">
        <v>129.53185647986069</v>
      </c>
      <c r="M1177" s="1178">
        <v>127.64794527811466</v>
      </c>
      <c r="N1177" s="1178">
        <v>125.75461452035988</v>
      </c>
      <c r="O1177" s="1179">
        <f t="shared" si="294"/>
        <v>135.99715964662309</v>
      </c>
      <c r="P1177" s="2205">
        <f>O1171/M!$Q$14</f>
        <v>0.23087539314451835</v>
      </c>
      <c r="Q1177" s="1235"/>
      <c r="R1177" s="1235"/>
      <c r="S1177" s="1235"/>
      <c r="T1177" s="1235"/>
      <c r="U1177" s="1235"/>
      <c r="V1177" s="1235"/>
      <c r="W1177" s="1235"/>
    </row>
    <row r="1178" spans="1:23">
      <c r="A1178" s="2218"/>
      <c r="B1178" s="1176" t="s">
        <v>664</v>
      </c>
      <c r="C1178" s="1178">
        <v>360.24326348930759</v>
      </c>
      <c r="D1178" s="1178">
        <v>362.04447980675411</v>
      </c>
      <c r="E1178" s="1178">
        <v>363.85470220578793</v>
      </c>
      <c r="F1178" s="1178">
        <v>365.67397571681681</v>
      </c>
      <c r="G1178" s="1178">
        <v>367.50234559540093</v>
      </c>
      <c r="H1178" s="1178">
        <v>369.33985732337794</v>
      </c>
      <c r="I1178" s="1178">
        <v>371.1865566099948</v>
      </c>
      <c r="J1178" s="1178">
        <v>373.04248939304478</v>
      </c>
      <c r="K1178" s="1178">
        <v>374.90770184001002</v>
      </c>
      <c r="L1178" s="1178">
        <v>376.78224034921004</v>
      </c>
      <c r="M1178" s="1178">
        <v>378.6661515509561</v>
      </c>
      <c r="N1178" s="1178">
        <v>380.55948230871087</v>
      </c>
      <c r="O1178" s="1179">
        <f t="shared" si="294"/>
        <v>370.3169371824477</v>
      </c>
      <c r="P1178" s="2206"/>
      <c r="Q1178" s="1235"/>
      <c r="R1178" s="1235"/>
      <c r="S1178" s="1235"/>
      <c r="T1178" s="1235"/>
      <c r="U1178" s="1235"/>
      <c r="V1178" s="1235"/>
      <c r="W1178" s="1235"/>
    </row>
    <row r="1179" spans="1:23">
      <c r="A1179" s="2218"/>
      <c r="B1179" s="1176" t="s">
        <v>287</v>
      </c>
      <c r="C1179" s="1178">
        <v>312</v>
      </c>
      <c r="D1179" s="1178">
        <v>312</v>
      </c>
      <c r="E1179" s="1178">
        <v>312</v>
      </c>
      <c r="F1179" s="1178">
        <v>312</v>
      </c>
      <c r="G1179" s="1178">
        <v>312</v>
      </c>
      <c r="H1179" s="1178">
        <v>312</v>
      </c>
      <c r="I1179" s="1178">
        <v>312</v>
      </c>
      <c r="J1179" s="1178">
        <v>303</v>
      </c>
      <c r="K1179" s="1178">
        <v>303</v>
      </c>
      <c r="L1179" s="1178">
        <v>303</v>
      </c>
      <c r="M1179" s="1178">
        <v>303</v>
      </c>
      <c r="N1179" s="1178">
        <v>303</v>
      </c>
      <c r="O1179" s="1179">
        <f t="shared" si="294"/>
        <v>308.25</v>
      </c>
      <c r="P1179" s="1180">
        <f>O1173/M!$Q$14</f>
        <v>0.15741768737140027</v>
      </c>
      <c r="Q1179" s="1235"/>
      <c r="R1179" s="1235"/>
      <c r="S1179" s="1235"/>
      <c r="T1179" s="1235"/>
      <c r="U1179" s="1235"/>
      <c r="V1179" s="1235"/>
      <c r="W1179" s="1235"/>
    </row>
    <row r="1180" spans="1:23">
      <c r="A1180" s="2218"/>
      <c r="B1180" s="1176" t="s">
        <v>453</v>
      </c>
      <c r="C1180" s="1178">
        <v>25</v>
      </c>
      <c r="D1180" s="1178">
        <v>25</v>
      </c>
      <c r="E1180" s="1178">
        <v>25</v>
      </c>
      <c r="F1180" s="1178">
        <v>25</v>
      </c>
      <c r="G1180" s="1178">
        <v>25</v>
      </c>
      <c r="H1180" s="1178">
        <v>25</v>
      </c>
      <c r="I1180" s="1178">
        <v>25</v>
      </c>
      <c r="J1180" s="1178">
        <v>25</v>
      </c>
      <c r="K1180" s="1178">
        <v>25</v>
      </c>
      <c r="L1180" s="1178">
        <v>25</v>
      </c>
      <c r="M1180" s="1178">
        <v>25</v>
      </c>
      <c r="N1180" s="1178">
        <v>25</v>
      </c>
      <c r="O1180" s="1179">
        <f t="shared" si="294"/>
        <v>25</v>
      </c>
      <c r="P1180" s="1180">
        <f>O1174/M!$Q$14</f>
        <v>8.6727702093695153E-2</v>
      </c>
      <c r="Q1180" s="1235"/>
      <c r="R1180" s="1235"/>
      <c r="S1180" s="1235"/>
      <c r="T1180" s="1235"/>
      <c r="U1180" s="1235"/>
      <c r="V1180" s="1235"/>
      <c r="W1180" s="1235"/>
    </row>
    <row r="1181" spans="1:23">
      <c r="A1181" s="2218"/>
      <c r="B1181" s="1176" t="s">
        <v>400</v>
      </c>
      <c r="C1181" s="1178">
        <v>0</v>
      </c>
      <c r="D1181" s="1178">
        <v>0</v>
      </c>
      <c r="E1181" s="1178">
        <v>0</v>
      </c>
      <c r="F1181" s="1178">
        <v>0</v>
      </c>
      <c r="G1181" s="1178">
        <v>0</v>
      </c>
      <c r="H1181" s="1178">
        <v>209</v>
      </c>
      <c r="I1181" s="1178">
        <v>0</v>
      </c>
      <c r="J1181" s="1178">
        <v>0</v>
      </c>
      <c r="K1181" s="1178">
        <v>0</v>
      </c>
      <c r="L1181" s="1178">
        <v>0</v>
      </c>
      <c r="M1181" s="1178">
        <v>0</v>
      </c>
      <c r="N1181" s="1178">
        <v>0</v>
      </c>
      <c r="O1181" s="1179">
        <f t="shared" si="294"/>
        <v>17.416666666666668</v>
      </c>
      <c r="P1181" s="1180">
        <f>O1175/M!$Q$14</f>
        <v>2.5286926941609188E-2</v>
      </c>
      <c r="Q1181" s="1235"/>
      <c r="R1181" s="1235"/>
      <c r="S1181" s="1235"/>
      <c r="T1181" s="1235"/>
      <c r="U1181" s="1235"/>
      <c r="V1181" s="1235"/>
      <c r="W1181" s="1235"/>
    </row>
    <row r="1182" spans="1:23">
      <c r="A1182" s="2218"/>
      <c r="B1182" s="1176" t="s">
        <v>401</v>
      </c>
      <c r="C1182" s="1178">
        <v>298</v>
      </c>
      <c r="D1182" s="1178">
        <v>345</v>
      </c>
      <c r="E1182" s="1178">
        <v>298</v>
      </c>
      <c r="F1182" s="1178">
        <v>298</v>
      </c>
      <c r="G1182" s="1178">
        <v>1138</v>
      </c>
      <c r="H1182" s="1178">
        <v>280</v>
      </c>
      <c r="I1182" s="1178">
        <v>280</v>
      </c>
      <c r="J1182" s="1178">
        <v>280</v>
      </c>
      <c r="K1182" s="1178">
        <v>280</v>
      </c>
      <c r="L1182" s="1178">
        <v>280</v>
      </c>
      <c r="M1182" s="1178">
        <v>280</v>
      </c>
      <c r="N1182" s="1178">
        <v>280</v>
      </c>
      <c r="O1182" s="1179">
        <f t="shared" si="294"/>
        <v>361.41666666666669</v>
      </c>
      <c r="P1182" s="1180">
        <f>O1176/M!$Q$14</f>
        <v>0</v>
      </c>
      <c r="Q1182" s="1235"/>
      <c r="R1182" s="1235"/>
      <c r="S1182" s="1235"/>
      <c r="T1182" s="1235"/>
      <c r="U1182" s="1235"/>
      <c r="V1182" s="1235"/>
      <c r="W1182" s="1235"/>
    </row>
    <row r="1183" spans="1:23">
      <c r="A1183" s="2218"/>
      <c r="B1183" s="1176" t="s">
        <v>402</v>
      </c>
      <c r="C1183" s="1178">
        <v>34</v>
      </c>
      <c r="D1183" s="1178">
        <v>34</v>
      </c>
      <c r="E1183" s="1178">
        <v>34</v>
      </c>
      <c r="F1183" s="1178">
        <v>34</v>
      </c>
      <c r="G1183" s="1178">
        <v>34</v>
      </c>
      <c r="H1183" s="1178">
        <v>34</v>
      </c>
      <c r="I1183" s="1178">
        <v>34</v>
      </c>
      <c r="J1183" s="1178">
        <v>34</v>
      </c>
      <c r="K1183" s="1178">
        <v>34</v>
      </c>
      <c r="L1183" s="1178">
        <v>34</v>
      </c>
      <c r="M1183" s="1178">
        <v>34</v>
      </c>
      <c r="N1183" s="1178">
        <v>34</v>
      </c>
      <c r="O1183" s="1179">
        <f t="shared" si="294"/>
        <v>34</v>
      </c>
      <c r="P1183" s="1180">
        <f>O1177/M!$Q$14</f>
        <v>1.2195368471171603E-2</v>
      </c>
      <c r="Q1183" s="1235"/>
      <c r="R1183" s="1235"/>
      <c r="S1183" s="1235"/>
      <c r="T1183" s="1235"/>
      <c r="U1183" s="1235"/>
      <c r="V1183" s="1235"/>
      <c r="W1183" s="1235"/>
    </row>
    <row r="1184" spans="1:23">
      <c r="A1184" s="2219"/>
      <c r="B1184" s="1176" t="s">
        <v>403</v>
      </c>
      <c r="C1184" s="1178">
        <v>119</v>
      </c>
      <c r="D1184" s="1178">
        <v>117</v>
      </c>
      <c r="E1184" s="1178">
        <v>0</v>
      </c>
      <c r="F1184" s="1178">
        <v>0</v>
      </c>
      <c r="G1184" s="1178">
        <v>267</v>
      </c>
      <c r="H1184" s="1178">
        <v>0</v>
      </c>
      <c r="I1184" s="1178">
        <v>0</v>
      </c>
      <c r="J1184" s="1178">
        <v>0</v>
      </c>
      <c r="K1184" s="1178">
        <v>350</v>
      </c>
      <c r="L1184" s="1178">
        <v>24</v>
      </c>
      <c r="M1184" s="1178">
        <v>0</v>
      </c>
      <c r="N1184" s="1178">
        <v>0</v>
      </c>
      <c r="O1184" s="1179">
        <f t="shared" si="294"/>
        <v>73.083333333333329</v>
      </c>
      <c r="P1184" s="1180">
        <f>O1178/M!$Q$14</f>
        <v>3.3207689864924304E-2</v>
      </c>
      <c r="Q1184" s="1235"/>
      <c r="R1184" s="1235"/>
      <c r="S1184" s="1235"/>
      <c r="T1184" s="1235"/>
      <c r="U1184" s="1235"/>
      <c r="V1184" s="1235"/>
      <c r="W1184" s="1235"/>
    </row>
    <row r="1185" spans="1:23">
      <c r="A1185" s="2191" t="s">
        <v>276</v>
      </c>
      <c r="B1185" s="2192"/>
      <c r="C1185" s="2203">
        <f t="shared" ref="C1185:N1185" si="295">SUM(C1187:C1192)</f>
        <v>568</v>
      </c>
      <c r="D1185" s="2203">
        <f t="shared" si="295"/>
        <v>962</v>
      </c>
      <c r="E1185" s="2203">
        <f t="shared" si="295"/>
        <v>747</v>
      </c>
      <c r="F1185" s="2203">
        <f t="shared" si="295"/>
        <v>568</v>
      </c>
      <c r="G1185" s="2203">
        <f t="shared" si="295"/>
        <v>1893</v>
      </c>
      <c r="H1185" s="2203">
        <f t="shared" si="295"/>
        <v>645</v>
      </c>
      <c r="I1185" s="2203">
        <f t="shared" si="295"/>
        <v>618</v>
      </c>
      <c r="J1185" s="2203">
        <f t="shared" si="295"/>
        <v>1206</v>
      </c>
      <c r="K1185" s="2203">
        <f t="shared" si="295"/>
        <v>568</v>
      </c>
      <c r="L1185" s="2203">
        <f t="shared" si="295"/>
        <v>718</v>
      </c>
      <c r="M1185" s="2203">
        <f t="shared" si="295"/>
        <v>568</v>
      </c>
      <c r="N1185" s="2203">
        <f t="shared" si="295"/>
        <v>568</v>
      </c>
      <c r="O1185" s="2203">
        <f>SUM(O1187:O1192)</f>
        <v>802.41666666666663</v>
      </c>
      <c r="P1185" s="1180">
        <f>O1179/M!$Q$14</f>
        <v>2.7641917970983088E-2</v>
      </c>
      <c r="Q1185" s="1235"/>
      <c r="R1185" s="1235"/>
      <c r="S1185" s="1235"/>
      <c r="T1185" s="1235"/>
      <c r="U1185" s="1235"/>
      <c r="V1185" s="1235"/>
      <c r="W1185" s="1235"/>
    </row>
    <row r="1186" spans="1:23">
      <c r="A1186" s="2193"/>
      <c r="B1186" s="2194"/>
      <c r="C1186" s="2204"/>
      <c r="D1186" s="2204"/>
      <c r="E1186" s="2204"/>
      <c r="F1186" s="2204"/>
      <c r="G1186" s="2204"/>
      <c r="H1186" s="2204"/>
      <c r="I1186" s="2204"/>
      <c r="J1186" s="2204"/>
      <c r="K1186" s="2204"/>
      <c r="L1186" s="2204"/>
      <c r="M1186" s="2204"/>
      <c r="N1186" s="2204"/>
      <c r="O1186" s="2204"/>
      <c r="P1186" s="1180">
        <f>O1180/M!$Q$14</f>
        <v>2.2418424956190662E-3</v>
      </c>
      <c r="Q1186" s="1235"/>
      <c r="R1186" s="1235"/>
      <c r="S1186" s="1235"/>
      <c r="T1186" s="1235"/>
      <c r="U1186" s="1235"/>
      <c r="V1186" s="1235"/>
      <c r="W1186" s="1235"/>
    </row>
    <row r="1187" spans="1:23">
      <c r="A1187" s="2217"/>
      <c r="B1187" s="1176" t="s">
        <v>666</v>
      </c>
      <c r="C1187" s="1228">
        <v>470</v>
      </c>
      <c r="D1187" s="1228">
        <v>470</v>
      </c>
      <c r="E1187" s="1228">
        <v>470</v>
      </c>
      <c r="F1187" s="1228">
        <v>470</v>
      </c>
      <c r="G1187" s="1228">
        <v>470</v>
      </c>
      <c r="H1187" s="1228">
        <v>470</v>
      </c>
      <c r="I1187" s="1229">
        <v>470</v>
      </c>
      <c r="J1187" s="1229">
        <v>470</v>
      </c>
      <c r="K1187" s="1229">
        <v>470</v>
      </c>
      <c r="L1187" s="1229">
        <v>470</v>
      </c>
      <c r="M1187" s="1229">
        <v>470</v>
      </c>
      <c r="N1187" s="1229">
        <v>470</v>
      </c>
      <c r="O1187" s="1179">
        <f t="shared" ref="O1187:O1192" si="296">SUM(C1187:N1187)/12</f>
        <v>470</v>
      </c>
      <c r="P1187" s="1180">
        <f>O1181/M!$Q$14</f>
        <v>1.5618169386146163E-3</v>
      </c>
      <c r="Q1187" s="1235"/>
      <c r="R1187" s="1235"/>
      <c r="S1187" s="1235"/>
      <c r="T1187" s="1235"/>
      <c r="U1187" s="1235"/>
      <c r="V1187" s="1235"/>
      <c r="W1187" s="1235"/>
    </row>
    <row r="1188" spans="1:23">
      <c r="A1188" s="2218"/>
      <c r="B1188" s="1176" t="s">
        <v>400</v>
      </c>
      <c r="C1188" s="1228">
        <v>98</v>
      </c>
      <c r="D1188" s="1228">
        <v>98</v>
      </c>
      <c r="E1188" s="1228">
        <v>98</v>
      </c>
      <c r="F1188" s="1228">
        <v>98</v>
      </c>
      <c r="G1188" s="1228">
        <v>98</v>
      </c>
      <c r="H1188" s="1228">
        <v>98</v>
      </c>
      <c r="I1188" s="1229">
        <v>98</v>
      </c>
      <c r="J1188" s="1229">
        <v>98</v>
      </c>
      <c r="K1188" s="1229">
        <v>98</v>
      </c>
      <c r="L1188" s="1229">
        <v>98</v>
      </c>
      <c r="M1188" s="1229">
        <v>98</v>
      </c>
      <c r="N1188" s="1229">
        <v>98</v>
      </c>
      <c r="O1188" s="1179">
        <f t="shared" si="296"/>
        <v>98</v>
      </c>
      <c r="P1188" s="1180">
        <f>O1182/M!$Q$14</f>
        <v>3.2409569678332972E-2</v>
      </c>
      <c r="Q1188" s="1235"/>
      <c r="R1188" s="1235"/>
      <c r="S1188" s="1235"/>
      <c r="T1188" s="1235"/>
      <c r="U1188" s="1235"/>
      <c r="V1188" s="1235"/>
      <c r="W1188" s="1235"/>
    </row>
    <row r="1189" spans="1:23">
      <c r="A1189" s="2218"/>
      <c r="B1189" s="1176" t="s">
        <v>454</v>
      </c>
      <c r="C1189" s="1228">
        <v>0</v>
      </c>
      <c r="D1189" s="1228">
        <v>394</v>
      </c>
      <c r="E1189" s="1228">
        <v>139</v>
      </c>
      <c r="F1189" s="1228">
        <v>0</v>
      </c>
      <c r="G1189" s="1228">
        <v>0</v>
      </c>
      <c r="H1189" s="1228">
        <v>77</v>
      </c>
      <c r="I1189" s="1229">
        <v>50</v>
      </c>
      <c r="J1189" s="1229">
        <v>0</v>
      </c>
      <c r="K1189" s="1229">
        <v>0</v>
      </c>
      <c r="L1189" s="1229">
        <v>0</v>
      </c>
      <c r="M1189" s="1229">
        <v>0</v>
      </c>
      <c r="N1189" s="1229">
        <v>0</v>
      </c>
      <c r="O1189" s="1179">
        <f t="shared" si="296"/>
        <v>55</v>
      </c>
      <c r="P1189" s="1180">
        <f>O1183/M!$Q$14</f>
        <v>3.0489057940419301E-3</v>
      </c>
      <c r="Q1189" s="1235"/>
      <c r="R1189" s="1235"/>
      <c r="S1189" s="1235"/>
      <c r="T1189" s="1235"/>
      <c r="U1189" s="1235"/>
      <c r="V1189" s="1235"/>
      <c r="W1189" s="1235"/>
    </row>
    <row r="1190" spans="1:23">
      <c r="A1190" s="2218"/>
      <c r="B1190" s="1176" t="s">
        <v>407</v>
      </c>
      <c r="C1190" s="1228">
        <v>0</v>
      </c>
      <c r="D1190" s="1228">
        <v>0</v>
      </c>
      <c r="E1190" s="1228">
        <v>0</v>
      </c>
      <c r="F1190" s="1228">
        <v>0</v>
      </c>
      <c r="G1190" s="1228">
        <v>0</v>
      </c>
      <c r="H1190" s="1228">
        <v>0</v>
      </c>
      <c r="I1190" s="1229">
        <v>0</v>
      </c>
      <c r="J1190" s="1229">
        <v>0</v>
      </c>
      <c r="K1190" s="1229">
        <v>0</v>
      </c>
      <c r="L1190" s="1229">
        <v>0</v>
      </c>
      <c r="M1190" s="1229">
        <v>0</v>
      </c>
      <c r="N1190" s="1229">
        <v>0</v>
      </c>
      <c r="O1190" s="1179">
        <f t="shared" si="296"/>
        <v>0</v>
      </c>
      <c r="P1190" s="1180">
        <f>O1184/M!$Q$14</f>
        <v>6.5536528955264031E-3</v>
      </c>
      <c r="Q1190" s="1235"/>
      <c r="R1190" s="1235"/>
      <c r="S1190" s="1235"/>
      <c r="T1190" s="1235"/>
      <c r="U1190" s="1235"/>
      <c r="V1190" s="1235"/>
      <c r="W1190" s="1235"/>
    </row>
    <row r="1191" spans="1:23">
      <c r="A1191" s="2218"/>
      <c r="B1191" s="1176" t="s">
        <v>408</v>
      </c>
      <c r="C1191" s="1228">
        <v>0</v>
      </c>
      <c r="D1191" s="1228">
        <v>0</v>
      </c>
      <c r="E1191" s="1228">
        <v>0</v>
      </c>
      <c r="F1191" s="1228">
        <v>0</v>
      </c>
      <c r="G1191" s="1228">
        <v>741</v>
      </c>
      <c r="H1191" s="1228">
        <v>0</v>
      </c>
      <c r="I1191" s="1229">
        <v>0</v>
      </c>
      <c r="J1191" s="1229">
        <v>426</v>
      </c>
      <c r="K1191" s="1229">
        <v>0</v>
      </c>
      <c r="L1191" s="1229">
        <v>0</v>
      </c>
      <c r="M1191" s="1229">
        <v>0</v>
      </c>
      <c r="N1191" s="1229">
        <v>0</v>
      </c>
      <c r="O1191" s="1179">
        <f t="shared" si="296"/>
        <v>97.25</v>
      </c>
      <c r="P1191" s="2205">
        <f>O1185/M!$Q$14</f>
        <v>7.1955671301053292E-2</v>
      </c>
      <c r="Q1191" s="1235"/>
      <c r="R1191" s="1235"/>
      <c r="S1191" s="1235"/>
      <c r="T1191" s="1235"/>
      <c r="U1191" s="1235"/>
      <c r="V1191" s="1235"/>
      <c r="W1191" s="1235"/>
    </row>
    <row r="1192" spans="1:23">
      <c r="A1192" s="2219"/>
      <c r="B1192" s="1176" t="s">
        <v>409</v>
      </c>
      <c r="C1192" s="1228">
        <v>0</v>
      </c>
      <c r="D1192" s="1228">
        <v>0</v>
      </c>
      <c r="E1192" s="1228">
        <v>40</v>
      </c>
      <c r="F1192" s="1228">
        <v>0</v>
      </c>
      <c r="G1192" s="1228">
        <v>584</v>
      </c>
      <c r="H1192" s="1228">
        <v>0</v>
      </c>
      <c r="I1192" s="1229">
        <v>0</v>
      </c>
      <c r="J1192" s="1229">
        <v>212</v>
      </c>
      <c r="K1192" s="1229">
        <v>0</v>
      </c>
      <c r="L1192" s="1229">
        <v>150</v>
      </c>
      <c r="M1192" s="1229">
        <v>0</v>
      </c>
      <c r="N1192" s="1229">
        <v>0</v>
      </c>
      <c r="O1192" s="1179">
        <f t="shared" si="296"/>
        <v>82.166666666666671</v>
      </c>
      <c r="P1192" s="2206"/>
      <c r="Q1192" s="1235"/>
      <c r="R1192" s="1235"/>
      <c r="S1192" s="1235"/>
      <c r="T1192" s="1235"/>
      <c r="U1192" s="1235"/>
      <c r="V1192" s="1235"/>
      <c r="W1192" s="1235"/>
    </row>
    <row r="1193" spans="1:23">
      <c r="A1193" s="2191" t="s">
        <v>277</v>
      </c>
      <c r="B1193" s="2192"/>
      <c r="C1193" s="2203">
        <f t="shared" ref="C1193:N1193" si="297">SUM(C1195:C1198)</f>
        <v>126</v>
      </c>
      <c r="D1193" s="2203">
        <f t="shared" si="297"/>
        <v>228</v>
      </c>
      <c r="E1193" s="2203">
        <f t="shared" si="297"/>
        <v>314</v>
      </c>
      <c r="F1193" s="2203">
        <f t="shared" si="297"/>
        <v>465</v>
      </c>
      <c r="G1193" s="2203">
        <f t="shared" si="297"/>
        <v>340</v>
      </c>
      <c r="H1193" s="2203">
        <f t="shared" si="297"/>
        <v>214</v>
      </c>
      <c r="I1193" s="2203">
        <f t="shared" si="297"/>
        <v>236</v>
      </c>
      <c r="J1193" s="2203">
        <f t="shared" si="297"/>
        <v>267</v>
      </c>
      <c r="K1193" s="2203">
        <f t="shared" si="297"/>
        <v>320</v>
      </c>
      <c r="L1193" s="2203">
        <f t="shared" si="297"/>
        <v>266</v>
      </c>
      <c r="M1193" s="2203">
        <f t="shared" si="297"/>
        <v>200</v>
      </c>
      <c r="N1193" s="2203">
        <f t="shared" si="297"/>
        <v>187</v>
      </c>
      <c r="O1193" s="2203">
        <f>SUM(O1195:O1198)</f>
        <v>263.58333333333331</v>
      </c>
      <c r="P1193" s="1180">
        <f>O1187/M!$Q$14</f>
        <v>4.2146638917638445E-2</v>
      </c>
      <c r="Q1193" s="1235"/>
      <c r="R1193" s="1235"/>
      <c r="S1193" s="1235"/>
      <c r="T1193" s="1235"/>
      <c r="U1193" s="1235"/>
      <c r="V1193" s="1235"/>
      <c r="W1193" s="1235"/>
    </row>
    <row r="1194" spans="1:23">
      <c r="A1194" s="2193"/>
      <c r="B1194" s="2194"/>
      <c r="C1194" s="2204"/>
      <c r="D1194" s="2204"/>
      <c r="E1194" s="2204"/>
      <c r="F1194" s="2204"/>
      <c r="G1194" s="2204"/>
      <c r="H1194" s="2204"/>
      <c r="I1194" s="2204"/>
      <c r="J1194" s="2204"/>
      <c r="K1194" s="2204"/>
      <c r="L1194" s="2204"/>
      <c r="M1194" s="2204"/>
      <c r="N1194" s="2204"/>
      <c r="O1194" s="2204"/>
      <c r="P1194" s="1180">
        <f>O1188/M!$Q$14</f>
        <v>8.7880225828267395E-3</v>
      </c>
      <c r="Q1194" s="1235"/>
      <c r="R1194" s="1235"/>
      <c r="S1194" s="1235"/>
      <c r="T1194" s="1235"/>
      <c r="U1194" s="1235"/>
      <c r="V1194" s="1235"/>
      <c r="W1194" s="1235"/>
    </row>
    <row r="1195" spans="1:23">
      <c r="A1195" s="2217"/>
      <c r="B1195" s="1176" t="s">
        <v>410</v>
      </c>
      <c r="C1195" s="1228">
        <v>113</v>
      </c>
      <c r="D1195" s="1228">
        <v>169</v>
      </c>
      <c r="E1195" s="1228">
        <v>291</v>
      </c>
      <c r="F1195" s="1228">
        <v>316</v>
      </c>
      <c r="G1195" s="1228">
        <v>256</v>
      </c>
      <c r="H1195" s="1228">
        <v>199</v>
      </c>
      <c r="I1195" s="1229">
        <v>177</v>
      </c>
      <c r="J1195" s="1229">
        <v>267</v>
      </c>
      <c r="K1195" s="1229">
        <v>278</v>
      </c>
      <c r="L1195" s="1229">
        <v>210</v>
      </c>
      <c r="M1195" s="1229">
        <v>150</v>
      </c>
      <c r="N1195" s="1229">
        <v>147</v>
      </c>
      <c r="O1195" s="1179">
        <f>SUM(C1195:N1195)/12</f>
        <v>214.41666666666666</v>
      </c>
      <c r="P1195" s="1180">
        <f>O1189/M!$Q$14</f>
        <v>4.932053490361946E-3</v>
      </c>
      <c r="Q1195" s="1235"/>
      <c r="R1195" s="1235"/>
      <c r="S1195" s="1235"/>
      <c r="T1195" s="1235"/>
      <c r="U1195" s="1235"/>
      <c r="V1195" s="1235"/>
      <c r="W1195" s="1235"/>
    </row>
    <row r="1196" spans="1:23">
      <c r="A1196" s="2218"/>
      <c r="B1196" s="1176" t="s">
        <v>457</v>
      </c>
      <c r="C1196" s="1228">
        <v>3</v>
      </c>
      <c r="D1196" s="1228">
        <v>0</v>
      </c>
      <c r="E1196" s="1228">
        <v>0</v>
      </c>
      <c r="F1196" s="1228">
        <v>86</v>
      </c>
      <c r="G1196" s="1228">
        <v>0</v>
      </c>
      <c r="H1196" s="1228">
        <v>10</v>
      </c>
      <c r="I1196" s="1229">
        <v>0</v>
      </c>
      <c r="J1196" s="1229">
        <v>0</v>
      </c>
      <c r="K1196" s="1229">
        <v>0</v>
      </c>
      <c r="L1196" s="1229">
        <v>0</v>
      </c>
      <c r="M1196" s="1229">
        <v>0</v>
      </c>
      <c r="N1196" s="1229">
        <v>0</v>
      </c>
      <c r="O1196" s="1179">
        <f>SUM(C1196:N1196)/12</f>
        <v>8.25</v>
      </c>
      <c r="P1196" s="1180">
        <f>O1190/M!$Q$14</f>
        <v>0</v>
      </c>
      <c r="Q1196" s="1235"/>
      <c r="R1196" s="1235"/>
      <c r="S1196" s="1235"/>
      <c r="T1196" s="1235"/>
      <c r="U1196" s="1235"/>
      <c r="V1196" s="1235"/>
      <c r="W1196" s="1235"/>
    </row>
    <row r="1197" spans="1:23">
      <c r="A1197" s="2218"/>
      <c r="B1197" s="1176" t="s">
        <v>458</v>
      </c>
      <c r="C1197" s="1228">
        <v>10</v>
      </c>
      <c r="D1197" s="1228">
        <v>34</v>
      </c>
      <c r="E1197" s="1228">
        <v>23</v>
      </c>
      <c r="F1197" s="1228">
        <v>18</v>
      </c>
      <c r="G1197" s="1228">
        <v>84</v>
      </c>
      <c r="H1197" s="1228">
        <v>5</v>
      </c>
      <c r="I1197" s="1229">
        <v>14</v>
      </c>
      <c r="J1197" s="1229">
        <v>0</v>
      </c>
      <c r="K1197" s="1229">
        <v>12</v>
      </c>
      <c r="L1197" s="1229">
        <v>6</v>
      </c>
      <c r="M1197" s="1229">
        <v>50</v>
      </c>
      <c r="N1197" s="1229">
        <v>40</v>
      </c>
      <c r="O1197" s="1179">
        <f>SUM(C1197:N1197)/12</f>
        <v>24.666666666666668</v>
      </c>
      <c r="P1197" s="1180">
        <f>O1191/M!$Q$14</f>
        <v>8.7207673079581684E-3</v>
      </c>
      <c r="Q1197" s="1235"/>
      <c r="R1197" s="1235"/>
      <c r="S1197" s="1235"/>
      <c r="T1197" s="1235"/>
      <c r="U1197" s="1235"/>
      <c r="V1197" s="1235"/>
      <c r="W1197" s="1235"/>
    </row>
    <row r="1198" spans="1:23">
      <c r="A1198" s="2219"/>
      <c r="B1198" s="1176" t="s">
        <v>459</v>
      </c>
      <c r="C1198" s="1228">
        <v>0</v>
      </c>
      <c r="D1198" s="1228">
        <v>25</v>
      </c>
      <c r="E1198" s="1228">
        <v>0</v>
      </c>
      <c r="F1198" s="1228">
        <v>45</v>
      </c>
      <c r="G1198" s="1228">
        <v>0</v>
      </c>
      <c r="H1198" s="1228">
        <v>0</v>
      </c>
      <c r="I1198" s="1229">
        <v>45</v>
      </c>
      <c r="J1198" s="1229">
        <v>0</v>
      </c>
      <c r="K1198" s="1229">
        <v>30</v>
      </c>
      <c r="L1198" s="1229">
        <v>50</v>
      </c>
      <c r="M1198" s="1229">
        <v>0</v>
      </c>
      <c r="N1198" s="1229">
        <v>0</v>
      </c>
      <c r="O1198" s="1179">
        <f>SUM(C1198:N1198)/12</f>
        <v>16.25</v>
      </c>
      <c r="P1198" s="1180">
        <f>O1192/M!$Q$14</f>
        <v>7.3681890022679981E-3</v>
      </c>
      <c r="Q1198" s="1235"/>
      <c r="R1198" s="1235"/>
      <c r="S1198" s="1235"/>
      <c r="T1198" s="1235"/>
      <c r="U1198" s="1235"/>
      <c r="V1198" s="1235"/>
      <c r="W1198" s="1235"/>
    </row>
    <row r="1199" spans="1:23">
      <c r="A1199" s="2191" t="s">
        <v>278</v>
      </c>
      <c r="B1199" s="2192"/>
      <c r="C1199" s="2203">
        <f t="shared" ref="C1199:J1199" si="298">SUM(C1201:C1202)</f>
        <v>392</v>
      </c>
      <c r="D1199" s="2203">
        <f t="shared" si="298"/>
        <v>345</v>
      </c>
      <c r="E1199" s="2203">
        <f t="shared" si="298"/>
        <v>398</v>
      </c>
      <c r="F1199" s="2203">
        <f t="shared" si="298"/>
        <v>772</v>
      </c>
      <c r="G1199" s="2203">
        <f t="shared" si="298"/>
        <v>684</v>
      </c>
      <c r="H1199" s="2203">
        <f t="shared" si="298"/>
        <v>578</v>
      </c>
      <c r="I1199" s="2203">
        <f t="shared" si="298"/>
        <v>613</v>
      </c>
      <c r="J1199" s="2203">
        <f t="shared" si="298"/>
        <v>641</v>
      </c>
      <c r="K1199" s="2203">
        <f>SUM(K1201:K1202)</f>
        <v>799</v>
      </c>
      <c r="L1199" s="2203">
        <f>SUM(L1201:L1202)</f>
        <v>699</v>
      </c>
      <c r="M1199" s="2203">
        <f>SUM(M1201:M1202)</f>
        <v>605</v>
      </c>
      <c r="N1199" s="2203">
        <f>SUM(N1201:N1202)</f>
        <v>712</v>
      </c>
      <c r="O1199" s="2203">
        <f>SUM(O1201:O1202)</f>
        <v>603.16666666666663</v>
      </c>
      <c r="P1199" s="2205">
        <f>O1193/M!$Q$14</f>
        <v>2.3636492712143686E-2</v>
      </c>
      <c r="Q1199" s="1235"/>
      <c r="R1199" s="1235"/>
      <c r="S1199" s="1235"/>
      <c r="T1199" s="1235"/>
      <c r="U1199" s="1235"/>
      <c r="V1199" s="1235"/>
      <c r="W1199" s="1235"/>
    </row>
    <row r="1200" spans="1:23">
      <c r="A1200" s="2193"/>
      <c r="B1200" s="2194"/>
      <c r="C1200" s="2204"/>
      <c r="D1200" s="2204"/>
      <c r="E1200" s="2204"/>
      <c r="F1200" s="2204"/>
      <c r="G1200" s="2204"/>
      <c r="H1200" s="2204"/>
      <c r="I1200" s="2204"/>
      <c r="J1200" s="2204"/>
      <c r="K1200" s="2204"/>
      <c r="L1200" s="2204"/>
      <c r="M1200" s="2204"/>
      <c r="N1200" s="2204"/>
      <c r="O1200" s="2204"/>
      <c r="P1200" s="2206"/>
      <c r="Q1200" s="1235"/>
      <c r="R1200" s="1235"/>
      <c r="S1200" s="1235"/>
      <c r="T1200" s="1235"/>
      <c r="U1200" s="1235"/>
      <c r="V1200" s="1235"/>
      <c r="W1200" s="1235"/>
    </row>
    <row r="1201" spans="1:23">
      <c r="A1201" s="2217"/>
      <c r="B1201" s="1176" t="s">
        <v>414</v>
      </c>
      <c r="C1201" s="1228">
        <v>195</v>
      </c>
      <c r="D1201" s="1228">
        <v>335</v>
      </c>
      <c r="E1201" s="1228">
        <v>356</v>
      </c>
      <c r="F1201" s="1228">
        <v>573</v>
      </c>
      <c r="G1201" s="1228">
        <v>503</v>
      </c>
      <c r="H1201" s="1228">
        <v>464</v>
      </c>
      <c r="I1201" s="1229">
        <v>560</v>
      </c>
      <c r="J1201" s="1229">
        <v>580</v>
      </c>
      <c r="K1201" s="1229">
        <v>654</v>
      </c>
      <c r="L1201" s="1229">
        <v>641</v>
      </c>
      <c r="M1201" s="1229">
        <v>563</v>
      </c>
      <c r="N1201" s="1229">
        <v>627</v>
      </c>
      <c r="O1201" s="1179">
        <f>SUM(C1201:N1201)/12</f>
        <v>504.25</v>
      </c>
      <c r="P1201" s="1180">
        <f>O1195/M!$Q$14</f>
        <v>1.9227535804092859E-2</v>
      </c>
      <c r="Q1201" s="1235"/>
      <c r="R1201" s="1235"/>
      <c r="S1201" s="1235"/>
      <c r="T1201" s="1235"/>
      <c r="U1201" s="1235"/>
      <c r="V1201" s="1235"/>
      <c r="W1201" s="1235"/>
    </row>
    <row r="1202" spans="1:23">
      <c r="A1202" s="2219"/>
      <c r="B1202" s="1176" t="s">
        <v>278</v>
      </c>
      <c r="C1202" s="1228">
        <v>197</v>
      </c>
      <c r="D1202" s="1228">
        <v>10</v>
      </c>
      <c r="E1202" s="1228">
        <v>42</v>
      </c>
      <c r="F1202" s="1228">
        <v>199</v>
      </c>
      <c r="G1202" s="1228">
        <v>181</v>
      </c>
      <c r="H1202" s="1228">
        <v>114</v>
      </c>
      <c r="I1202" s="1229">
        <v>53</v>
      </c>
      <c r="J1202" s="1229">
        <v>61</v>
      </c>
      <c r="K1202" s="1229">
        <v>145</v>
      </c>
      <c r="L1202" s="1229">
        <v>58</v>
      </c>
      <c r="M1202" s="1229">
        <v>42</v>
      </c>
      <c r="N1202" s="1229">
        <v>85</v>
      </c>
      <c r="O1202" s="1179">
        <f>SUM(C1202:N1202)/12</f>
        <v>98.916666666666671</v>
      </c>
      <c r="P1202" s="1180">
        <f>O1196/M!$Q$14</f>
        <v>7.3980802355429187E-4</v>
      </c>
      <c r="Q1202" s="1235"/>
      <c r="R1202" s="1235"/>
      <c r="S1202" s="1235"/>
      <c r="T1202" s="1235"/>
      <c r="U1202" s="1235"/>
      <c r="V1202" s="1235"/>
      <c r="W1202" s="1235"/>
    </row>
    <row r="1203" spans="1:23">
      <c r="A1203" s="2191" t="s">
        <v>279</v>
      </c>
      <c r="B1203" s="2192"/>
      <c r="C1203" s="2203">
        <f t="shared" ref="C1203:N1203" si="299">SUM(C1205:C1212)</f>
        <v>429</v>
      </c>
      <c r="D1203" s="2203">
        <f t="shared" si="299"/>
        <v>407</v>
      </c>
      <c r="E1203" s="2203">
        <f t="shared" si="299"/>
        <v>398</v>
      </c>
      <c r="F1203" s="2203">
        <f t="shared" si="299"/>
        <v>364</v>
      </c>
      <c r="G1203" s="2203">
        <f t="shared" si="299"/>
        <v>350</v>
      </c>
      <c r="H1203" s="2203">
        <f t="shared" si="299"/>
        <v>390</v>
      </c>
      <c r="I1203" s="2203">
        <f t="shared" si="299"/>
        <v>450</v>
      </c>
      <c r="J1203" s="2203">
        <f t="shared" si="299"/>
        <v>416</v>
      </c>
      <c r="K1203" s="2203">
        <f t="shared" si="299"/>
        <v>281</v>
      </c>
      <c r="L1203" s="2203">
        <f t="shared" si="299"/>
        <v>260</v>
      </c>
      <c r="M1203" s="2203">
        <f t="shared" si="299"/>
        <v>384</v>
      </c>
      <c r="N1203" s="2203">
        <f t="shared" si="299"/>
        <v>539</v>
      </c>
      <c r="O1203" s="2203">
        <f>SUM(O1205:O1212)</f>
        <v>389.00000000000006</v>
      </c>
      <c r="P1203" s="1180">
        <f>O1197/M!$Q$14</f>
        <v>2.2119512623441453E-3</v>
      </c>
      <c r="Q1203" s="1235"/>
      <c r="R1203" s="1235"/>
      <c r="S1203" s="1235"/>
      <c r="T1203" s="1235"/>
      <c r="U1203" s="1235"/>
      <c r="V1203" s="1235"/>
      <c r="W1203" s="1235"/>
    </row>
    <row r="1204" spans="1:23">
      <c r="A1204" s="2193"/>
      <c r="B1204" s="2194"/>
      <c r="C1204" s="2204"/>
      <c r="D1204" s="2204"/>
      <c r="E1204" s="2204"/>
      <c r="F1204" s="2204"/>
      <c r="G1204" s="2204"/>
      <c r="H1204" s="2204"/>
      <c r="I1204" s="2204"/>
      <c r="J1204" s="2204"/>
      <c r="K1204" s="2204"/>
      <c r="L1204" s="2204"/>
      <c r="M1204" s="2204"/>
      <c r="N1204" s="2204"/>
      <c r="O1204" s="2204"/>
      <c r="P1204" s="1180">
        <f>O1198/M!$Q$14</f>
        <v>1.4571976221523931E-3</v>
      </c>
      <c r="Q1204" s="1235"/>
      <c r="R1204" s="1235"/>
      <c r="S1204" s="1235"/>
      <c r="T1204" s="1235"/>
      <c r="U1204" s="1235"/>
      <c r="V1204" s="1235"/>
      <c r="W1204" s="1235"/>
    </row>
    <row r="1205" spans="1:23">
      <c r="A1205" s="2217"/>
      <c r="B1205" s="1176" t="s">
        <v>415</v>
      </c>
      <c r="C1205" s="1177">
        <v>74</v>
      </c>
      <c r="D1205" s="1177">
        <v>83</v>
      </c>
      <c r="E1205" s="1177">
        <v>92</v>
      </c>
      <c r="F1205" s="1177">
        <v>79</v>
      </c>
      <c r="G1205" s="1177">
        <v>106</v>
      </c>
      <c r="H1205" s="1177">
        <v>145</v>
      </c>
      <c r="I1205" s="1178">
        <v>206</v>
      </c>
      <c r="J1205" s="1178">
        <v>205</v>
      </c>
      <c r="K1205" s="1178">
        <v>79</v>
      </c>
      <c r="L1205" s="1178">
        <v>38</v>
      </c>
      <c r="M1205" s="1178">
        <v>120</v>
      </c>
      <c r="N1205" s="1178">
        <v>99</v>
      </c>
      <c r="O1205" s="1179">
        <f t="shared" ref="O1205:O1212" si="300">SUM(C1205:N1205)/12</f>
        <v>110.5</v>
      </c>
      <c r="P1205" s="2205">
        <f>O1199/M!$Q$14</f>
        <v>5.4088186610969334E-2</v>
      </c>
      <c r="Q1205" s="1235"/>
      <c r="R1205" s="1235"/>
      <c r="S1205" s="1235"/>
      <c r="T1205" s="1235"/>
      <c r="U1205" s="1235"/>
      <c r="V1205" s="1235"/>
      <c r="W1205" s="1235"/>
    </row>
    <row r="1206" spans="1:23">
      <c r="A1206" s="2218"/>
      <c r="B1206" s="1176" t="s">
        <v>416</v>
      </c>
      <c r="C1206" s="1182">
        <v>0</v>
      </c>
      <c r="D1206" s="1182">
        <v>0</v>
      </c>
      <c r="E1206" s="1182">
        <v>0</v>
      </c>
      <c r="F1206" s="1182">
        <v>0</v>
      </c>
      <c r="G1206" s="1182">
        <v>0</v>
      </c>
      <c r="H1206" s="1182">
        <v>0</v>
      </c>
      <c r="I1206" s="1182">
        <v>0</v>
      </c>
      <c r="J1206" s="1182">
        <v>0</v>
      </c>
      <c r="K1206" s="1182">
        <v>0</v>
      </c>
      <c r="L1206" s="1182">
        <v>0</v>
      </c>
      <c r="M1206" s="1182">
        <v>0</v>
      </c>
      <c r="N1206" s="1182">
        <v>0</v>
      </c>
      <c r="O1206" s="1179">
        <f t="shared" si="300"/>
        <v>0</v>
      </c>
      <c r="P1206" s="2206"/>
      <c r="Q1206" s="1235"/>
      <c r="R1206" s="1235"/>
      <c r="S1206" s="1235"/>
      <c r="T1206" s="1235"/>
      <c r="U1206" s="1235"/>
      <c r="V1206" s="1235"/>
      <c r="W1206" s="1235"/>
    </row>
    <row r="1207" spans="1:23">
      <c r="A1207" s="2218"/>
      <c r="B1207" s="1176" t="s">
        <v>417</v>
      </c>
      <c r="C1207" s="1182">
        <v>0</v>
      </c>
      <c r="D1207" s="1182">
        <v>0</v>
      </c>
      <c r="E1207" s="1182">
        <v>0</v>
      </c>
      <c r="F1207" s="1182">
        <v>0</v>
      </c>
      <c r="G1207" s="1182">
        <v>0</v>
      </c>
      <c r="H1207" s="1182">
        <v>0</v>
      </c>
      <c r="I1207" s="1182">
        <v>0</v>
      </c>
      <c r="J1207" s="1182">
        <v>0</v>
      </c>
      <c r="K1207" s="1182">
        <v>0</v>
      </c>
      <c r="L1207" s="1182">
        <v>0</v>
      </c>
      <c r="M1207" s="1182">
        <v>0</v>
      </c>
      <c r="N1207" s="1182">
        <v>0</v>
      </c>
      <c r="O1207" s="1179">
        <f t="shared" si="300"/>
        <v>0</v>
      </c>
      <c r="P1207" s="1180">
        <f>O1201/M!$Q$14</f>
        <v>4.5217963136636563E-2</v>
      </c>
      <c r="Q1207" s="1235"/>
      <c r="R1207" s="1235"/>
      <c r="S1207" s="1235"/>
      <c r="T1207" s="1235"/>
      <c r="U1207" s="1235"/>
      <c r="V1207" s="1235"/>
      <c r="W1207" s="1235"/>
    </row>
    <row r="1208" spans="1:23">
      <c r="A1208" s="2218"/>
      <c r="B1208" s="1176" t="s">
        <v>410</v>
      </c>
      <c r="C1208" s="1177">
        <v>133</v>
      </c>
      <c r="D1208" s="1177">
        <v>122</v>
      </c>
      <c r="E1208" s="1177">
        <v>102</v>
      </c>
      <c r="F1208" s="1177">
        <v>81</v>
      </c>
      <c r="G1208" s="1177">
        <v>35</v>
      </c>
      <c r="H1208" s="1177">
        <v>41</v>
      </c>
      <c r="I1208" s="1178">
        <v>40</v>
      </c>
      <c r="J1208" s="1178">
        <v>38</v>
      </c>
      <c r="K1208" s="1178">
        <v>37</v>
      </c>
      <c r="L1208" s="1178">
        <v>57</v>
      </c>
      <c r="M1208" s="1178">
        <v>95</v>
      </c>
      <c r="N1208" s="1178">
        <v>95</v>
      </c>
      <c r="O1208" s="1179">
        <f t="shared" si="300"/>
        <v>73</v>
      </c>
      <c r="P1208" s="1180">
        <f>O1202/M!$Q$14</f>
        <v>8.8702234743327727E-3</v>
      </c>
      <c r="Q1208" s="1235"/>
      <c r="R1208" s="1235"/>
      <c r="S1208" s="1235"/>
      <c r="T1208" s="1235"/>
      <c r="U1208" s="1235"/>
      <c r="V1208" s="1235"/>
      <c r="W1208" s="1235"/>
    </row>
    <row r="1209" spans="1:23">
      <c r="A1209" s="2218"/>
      <c r="B1209" s="1176" t="s">
        <v>418</v>
      </c>
      <c r="C1209" s="1177">
        <v>60</v>
      </c>
      <c r="D1209" s="1177">
        <v>60</v>
      </c>
      <c r="E1209" s="1177">
        <v>60</v>
      </c>
      <c r="F1209" s="1177">
        <v>60</v>
      </c>
      <c r="G1209" s="1177">
        <v>60</v>
      </c>
      <c r="H1209" s="1177">
        <v>60</v>
      </c>
      <c r="I1209" s="1178">
        <v>60</v>
      </c>
      <c r="J1209" s="1178">
        <v>60</v>
      </c>
      <c r="K1209" s="1178">
        <v>60</v>
      </c>
      <c r="L1209" s="1178">
        <v>60</v>
      </c>
      <c r="M1209" s="1178">
        <v>60</v>
      </c>
      <c r="N1209" s="1178">
        <v>70</v>
      </c>
      <c r="O1209" s="1179">
        <f t="shared" si="300"/>
        <v>60.833333333333336</v>
      </c>
      <c r="P1209" s="2205">
        <f>O1203/M!$Q$14</f>
        <v>3.4883069231832674E-2</v>
      </c>
      <c r="Q1209" s="1235"/>
      <c r="R1209" s="1235"/>
      <c r="S1209" s="1235"/>
      <c r="T1209" s="1235"/>
      <c r="U1209" s="1235"/>
      <c r="V1209" s="1235"/>
      <c r="W1209" s="1235"/>
    </row>
    <row r="1210" spans="1:23">
      <c r="A1210" s="2218"/>
      <c r="B1210" s="1176" t="s">
        <v>419</v>
      </c>
      <c r="C1210" s="1177">
        <v>35</v>
      </c>
      <c r="D1210" s="1177">
        <v>35</v>
      </c>
      <c r="E1210" s="1177">
        <v>35</v>
      </c>
      <c r="F1210" s="1177">
        <v>35</v>
      </c>
      <c r="G1210" s="1177">
        <v>35</v>
      </c>
      <c r="H1210" s="1177">
        <v>35</v>
      </c>
      <c r="I1210" s="1178">
        <v>35</v>
      </c>
      <c r="J1210" s="1178">
        <v>35</v>
      </c>
      <c r="K1210" s="1178">
        <v>35</v>
      </c>
      <c r="L1210" s="1178">
        <v>35</v>
      </c>
      <c r="M1210" s="1178">
        <v>35</v>
      </c>
      <c r="N1210" s="1178">
        <v>35</v>
      </c>
      <c r="O1210" s="1179">
        <f t="shared" si="300"/>
        <v>35</v>
      </c>
      <c r="P1210" s="2206"/>
      <c r="Q1210" s="1235"/>
      <c r="R1210" s="1235"/>
      <c r="S1210" s="1235"/>
      <c r="T1210" s="1235"/>
      <c r="U1210" s="1235"/>
      <c r="V1210" s="1235"/>
      <c r="W1210" s="1235"/>
    </row>
    <row r="1211" spans="1:23">
      <c r="A1211" s="2218"/>
      <c r="B1211" s="1176" t="s">
        <v>460</v>
      </c>
      <c r="C1211" s="1177">
        <v>2</v>
      </c>
      <c r="D1211" s="1177">
        <v>0</v>
      </c>
      <c r="E1211" s="1177">
        <v>0</v>
      </c>
      <c r="F1211" s="1177">
        <v>0</v>
      </c>
      <c r="G1211" s="1177">
        <v>0</v>
      </c>
      <c r="H1211" s="1177">
        <v>0</v>
      </c>
      <c r="I1211" s="1178">
        <v>0</v>
      </c>
      <c r="J1211" s="1178">
        <v>0</v>
      </c>
      <c r="K1211" s="1178">
        <v>0</v>
      </c>
      <c r="L1211" s="1178">
        <v>0</v>
      </c>
      <c r="M1211" s="1178">
        <v>0</v>
      </c>
      <c r="N1211" s="1178">
        <v>0</v>
      </c>
      <c r="O1211" s="1179">
        <f t="shared" si="300"/>
        <v>0.16666666666666666</v>
      </c>
      <c r="P1211" s="1180">
        <f>O1205/M!$Q$14</f>
        <v>9.9089438306362732E-3</v>
      </c>
      <c r="Q1211" s="1235"/>
      <c r="R1211" s="1235"/>
      <c r="S1211" s="1235"/>
      <c r="T1211" s="1235"/>
      <c r="U1211" s="1235"/>
      <c r="V1211" s="1235"/>
      <c r="W1211" s="1235"/>
    </row>
    <row r="1212" spans="1:23">
      <c r="A1212" s="2219"/>
      <c r="B1212" s="1176" t="s">
        <v>421</v>
      </c>
      <c r="C1212" s="1177">
        <v>125</v>
      </c>
      <c r="D1212" s="1177">
        <v>107</v>
      </c>
      <c r="E1212" s="1177">
        <v>109</v>
      </c>
      <c r="F1212" s="1177">
        <v>109</v>
      </c>
      <c r="G1212" s="1177">
        <v>114</v>
      </c>
      <c r="H1212" s="1177">
        <v>109</v>
      </c>
      <c r="I1212" s="1178">
        <v>109</v>
      </c>
      <c r="J1212" s="1178">
        <v>78</v>
      </c>
      <c r="K1212" s="1178">
        <v>70</v>
      </c>
      <c r="L1212" s="1178">
        <v>70</v>
      </c>
      <c r="M1212" s="1178">
        <v>74</v>
      </c>
      <c r="N1212" s="1178">
        <v>240</v>
      </c>
      <c r="O1212" s="1179">
        <f t="shared" si="300"/>
        <v>109.5</v>
      </c>
      <c r="P1212" s="1180">
        <f>O1206/M!$Q$14</f>
        <v>0</v>
      </c>
      <c r="Q1212" s="1235"/>
      <c r="R1212" s="1235"/>
      <c r="S1212" s="1235"/>
      <c r="T1212" s="1235"/>
      <c r="U1212" s="1235"/>
      <c r="V1212" s="1235"/>
      <c r="W1212" s="1235"/>
    </row>
    <row r="1213" spans="1:23">
      <c r="A1213" s="2191" t="s">
        <v>280</v>
      </c>
      <c r="B1213" s="2192"/>
      <c r="C1213" s="2203">
        <f t="shared" ref="C1213:O1213" si="301">SUM(C1215:C1221)</f>
        <v>3924</v>
      </c>
      <c r="D1213" s="2203">
        <f t="shared" si="301"/>
        <v>704</v>
      </c>
      <c r="E1213" s="2203">
        <f t="shared" si="301"/>
        <v>430</v>
      </c>
      <c r="F1213" s="2203">
        <f t="shared" si="301"/>
        <v>777</v>
      </c>
      <c r="G1213" s="2203">
        <f t="shared" si="301"/>
        <v>1197</v>
      </c>
      <c r="H1213" s="2203">
        <f t="shared" si="301"/>
        <v>580</v>
      </c>
      <c r="I1213" s="2203">
        <f t="shared" si="301"/>
        <v>312</v>
      </c>
      <c r="J1213" s="2203">
        <f t="shared" si="301"/>
        <v>489</v>
      </c>
      <c r="K1213" s="2203">
        <f t="shared" si="301"/>
        <v>657</v>
      </c>
      <c r="L1213" s="2203">
        <f t="shared" si="301"/>
        <v>606</v>
      </c>
      <c r="M1213" s="2203">
        <f t="shared" si="301"/>
        <v>860</v>
      </c>
      <c r="N1213" s="2203">
        <f t="shared" si="301"/>
        <v>509</v>
      </c>
      <c r="O1213" s="2203">
        <f t="shared" si="301"/>
        <v>920.41666666666663</v>
      </c>
      <c r="P1213" s="1180">
        <f>O1207/M!$Q$14</f>
        <v>0</v>
      </c>
      <c r="Q1213" s="1235"/>
      <c r="R1213" s="1235"/>
      <c r="S1213" s="1235"/>
      <c r="T1213" s="1235"/>
      <c r="U1213" s="1235"/>
      <c r="V1213" s="1235"/>
      <c r="W1213" s="1235"/>
    </row>
    <row r="1214" spans="1:23">
      <c r="A1214" s="2193"/>
      <c r="B1214" s="2194"/>
      <c r="C1214" s="2204"/>
      <c r="D1214" s="2204"/>
      <c r="E1214" s="2204"/>
      <c r="F1214" s="2204"/>
      <c r="G1214" s="2204"/>
      <c r="H1214" s="2204"/>
      <c r="I1214" s="2204"/>
      <c r="J1214" s="2204"/>
      <c r="K1214" s="2204"/>
      <c r="L1214" s="2204"/>
      <c r="M1214" s="2204"/>
      <c r="N1214" s="2204"/>
      <c r="O1214" s="2204"/>
      <c r="P1214" s="1180">
        <f>O1208/M!$Q$14</f>
        <v>6.5461800872076738E-3</v>
      </c>
      <c r="Q1214" s="1235"/>
      <c r="R1214" s="1235"/>
      <c r="S1214" s="1235"/>
      <c r="T1214" s="1235"/>
      <c r="U1214" s="1235"/>
      <c r="V1214" s="1235"/>
      <c r="W1214" s="1235"/>
    </row>
    <row r="1215" spans="1:23">
      <c r="A1215" s="2217"/>
      <c r="B1215" s="1176" t="s">
        <v>280</v>
      </c>
      <c r="C1215" s="1177">
        <v>70</v>
      </c>
      <c r="D1215" s="1177">
        <v>233</v>
      </c>
      <c r="E1215" s="1177">
        <v>172</v>
      </c>
      <c r="F1215" s="1177">
        <v>503</v>
      </c>
      <c r="G1215" s="1177">
        <v>188</v>
      </c>
      <c r="H1215" s="1177">
        <v>187</v>
      </c>
      <c r="I1215" s="1178">
        <v>192</v>
      </c>
      <c r="J1215" s="1178">
        <v>409</v>
      </c>
      <c r="K1215" s="1178">
        <v>60</v>
      </c>
      <c r="L1215" s="1178">
        <v>503</v>
      </c>
      <c r="M1215" s="1178">
        <v>315</v>
      </c>
      <c r="N1215" s="1178">
        <v>437</v>
      </c>
      <c r="O1215" s="1179">
        <f t="shared" ref="O1215:O1221" si="302">SUM(C1215:N1215)/12</f>
        <v>272.41666666666669</v>
      </c>
      <c r="P1215" s="1180">
        <f>O1209/M!$Q$14</f>
        <v>5.4551500726730618E-3</v>
      </c>
      <c r="Q1215" s="1235"/>
      <c r="R1215" s="1235"/>
      <c r="S1215" s="1235"/>
      <c r="T1215" s="1235"/>
      <c r="U1215" s="1235"/>
      <c r="V1215" s="1235"/>
      <c r="W1215" s="1235"/>
    </row>
    <row r="1216" spans="1:23">
      <c r="A1216" s="2218"/>
      <c r="B1216" s="1176" t="s">
        <v>423</v>
      </c>
      <c r="C1216" s="1177">
        <v>290</v>
      </c>
      <c r="D1216" s="1177">
        <v>105</v>
      </c>
      <c r="E1216" s="1177">
        <v>7</v>
      </c>
      <c r="F1216" s="1177">
        <v>47</v>
      </c>
      <c r="G1216" s="1177">
        <v>132</v>
      </c>
      <c r="H1216" s="1177">
        <v>248</v>
      </c>
      <c r="I1216" s="1178">
        <v>100</v>
      </c>
      <c r="J1216" s="1178">
        <v>0</v>
      </c>
      <c r="K1216" s="1178">
        <v>17</v>
      </c>
      <c r="L1216" s="1178">
        <v>0</v>
      </c>
      <c r="M1216" s="1178">
        <v>355</v>
      </c>
      <c r="N1216" s="1178">
        <v>40</v>
      </c>
      <c r="O1216" s="1179">
        <f t="shared" si="302"/>
        <v>111.75</v>
      </c>
      <c r="P1216" s="1180">
        <f>O1210/M!$Q$14</f>
        <v>3.1385794938666926E-3</v>
      </c>
      <c r="Q1216" s="1235"/>
      <c r="R1216" s="1235"/>
      <c r="S1216" s="1235"/>
      <c r="T1216" s="1235"/>
      <c r="U1216" s="1235"/>
      <c r="V1216" s="1235"/>
      <c r="W1216" s="1235"/>
    </row>
    <row r="1217" spans="1:23">
      <c r="A1217" s="2218"/>
      <c r="B1217" s="1176" t="s">
        <v>424</v>
      </c>
      <c r="C1217" s="1177">
        <v>0</v>
      </c>
      <c r="D1217" s="1177">
        <v>0</v>
      </c>
      <c r="E1217" s="1177">
        <v>0</v>
      </c>
      <c r="F1217" s="1177">
        <v>0</v>
      </c>
      <c r="G1217" s="1177">
        <v>0</v>
      </c>
      <c r="H1217" s="1177">
        <v>0</v>
      </c>
      <c r="I1217" s="1178">
        <v>0</v>
      </c>
      <c r="J1217" s="1178">
        <v>0</v>
      </c>
      <c r="K1217" s="1178">
        <v>475</v>
      </c>
      <c r="L1217" s="1178">
        <v>0</v>
      </c>
      <c r="M1217" s="1178">
        <v>0</v>
      </c>
      <c r="N1217" s="1178">
        <v>0</v>
      </c>
      <c r="O1217" s="1179">
        <f t="shared" si="302"/>
        <v>39.583333333333336</v>
      </c>
      <c r="P1217" s="1180">
        <f>O1211/M!$Q$14</f>
        <v>1.494561663746044E-5</v>
      </c>
      <c r="Q1217" s="1235"/>
      <c r="R1217" s="1235"/>
      <c r="S1217" s="1235"/>
      <c r="T1217" s="1235"/>
      <c r="U1217" s="1235"/>
      <c r="V1217" s="1235"/>
      <c r="W1217" s="1235"/>
    </row>
    <row r="1218" spans="1:23">
      <c r="A1218" s="2218"/>
      <c r="B1218" s="1176" t="s">
        <v>425</v>
      </c>
      <c r="C1218" s="1177">
        <v>0</v>
      </c>
      <c r="D1218" s="1177">
        <v>65</v>
      </c>
      <c r="E1218" s="1177">
        <v>0</v>
      </c>
      <c r="F1218" s="1177">
        <v>158</v>
      </c>
      <c r="G1218" s="1177">
        <v>0</v>
      </c>
      <c r="H1218" s="1177">
        <v>0</v>
      </c>
      <c r="I1218" s="1178">
        <v>0</v>
      </c>
      <c r="J1218" s="1178">
        <v>50</v>
      </c>
      <c r="K1218" s="1178">
        <v>0</v>
      </c>
      <c r="L1218" s="1178">
        <v>0</v>
      </c>
      <c r="M1218" s="1178">
        <v>175</v>
      </c>
      <c r="N1218" s="1178">
        <v>0</v>
      </c>
      <c r="O1218" s="1179">
        <f t="shared" si="302"/>
        <v>37.333333333333336</v>
      </c>
      <c r="P1218" s="1180">
        <f>O1212/M!$Q$14</f>
        <v>9.8192701308115107E-3</v>
      </c>
      <c r="Q1218" s="1235"/>
      <c r="R1218" s="1235"/>
      <c r="S1218" s="1235"/>
      <c r="T1218" s="1235"/>
      <c r="U1218" s="1235"/>
      <c r="V1218" s="1235"/>
      <c r="W1218" s="1235"/>
    </row>
    <row r="1219" spans="1:23">
      <c r="A1219" s="2218"/>
      <c r="B1219" s="1176" t="s">
        <v>667</v>
      </c>
      <c r="C1219" s="1177">
        <v>3034</v>
      </c>
      <c r="D1219" s="1177">
        <v>172</v>
      </c>
      <c r="E1219" s="1177">
        <v>251</v>
      </c>
      <c r="F1219" s="1177">
        <v>16</v>
      </c>
      <c r="G1219" s="1177">
        <v>177</v>
      </c>
      <c r="H1219" s="1177">
        <v>145</v>
      </c>
      <c r="I1219" s="1178">
        <v>20</v>
      </c>
      <c r="J1219" s="1178">
        <v>30</v>
      </c>
      <c r="K1219" s="1178">
        <v>93</v>
      </c>
      <c r="L1219" s="1178">
        <v>103</v>
      </c>
      <c r="M1219" s="1178">
        <v>15</v>
      </c>
      <c r="N1219" s="1178">
        <v>20</v>
      </c>
      <c r="O1219" s="1179">
        <f t="shared" si="302"/>
        <v>339.66666666666669</v>
      </c>
      <c r="P1219" s="2205">
        <f>O1213/M!$Q$14</f>
        <v>8.2537167880375281E-2</v>
      </c>
      <c r="Q1219" s="1235"/>
      <c r="R1219" s="1235"/>
      <c r="S1219" s="1235"/>
      <c r="T1219" s="1235"/>
      <c r="U1219" s="1235"/>
      <c r="V1219" s="1235"/>
      <c r="W1219" s="1235"/>
    </row>
    <row r="1220" spans="1:23">
      <c r="A1220" s="2218"/>
      <c r="B1220" s="1176" t="s">
        <v>427</v>
      </c>
      <c r="C1220" s="1177">
        <v>0</v>
      </c>
      <c r="D1220" s="1177">
        <v>0</v>
      </c>
      <c r="E1220" s="1177">
        <v>0</v>
      </c>
      <c r="F1220" s="1177">
        <v>0</v>
      </c>
      <c r="G1220" s="1177">
        <v>0</v>
      </c>
      <c r="H1220" s="1177">
        <v>0</v>
      </c>
      <c r="I1220" s="1178">
        <v>0</v>
      </c>
      <c r="J1220" s="1178">
        <v>0</v>
      </c>
      <c r="K1220" s="1178">
        <v>0</v>
      </c>
      <c r="L1220" s="1178">
        <v>0</v>
      </c>
      <c r="M1220" s="1178">
        <v>0</v>
      </c>
      <c r="N1220" s="1178">
        <v>0</v>
      </c>
      <c r="O1220" s="1179">
        <f t="shared" si="302"/>
        <v>0</v>
      </c>
      <c r="P1220" s="2206"/>
      <c r="Q1220" s="1235"/>
      <c r="R1220" s="1235"/>
      <c r="S1220" s="1235"/>
      <c r="T1220" s="1235"/>
      <c r="U1220" s="1235"/>
      <c r="V1220" s="1235"/>
      <c r="W1220" s="1235"/>
    </row>
    <row r="1221" spans="1:23">
      <c r="A1221" s="2219"/>
      <c r="B1221" s="1176" t="s">
        <v>381</v>
      </c>
      <c r="C1221" s="1228">
        <v>530</v>
      </c>
      <c r="D1221" s="1228">
        <v>129</v>
      </c>
      <c r="E1221" s="1228">
        <v>0</v>
      </c>
      <c r="F1221" s="1228">
        <v>53</v>
      </c>
      <c r="G1221" s="1228">
        <v>700</v>
      </c>
      <c r="H1221" s="1228">
        <v>0</v>
      </c>
      <c r="I1221" s="1229">
        <v>0</v>
      </c>
      <c r="J1221" s="1229">
        <v>0</v>
      </c>
      <c r="K1221" s="1229">
        <v>12</v>
      </c>
      <c r="L1221" s="1229">
        <v>0</v>
      </c>
      <c r="M1221" s="1229">
        <v>0</v>
      </c>
      <c r="N1221" s="1229">
        <v>12</v>
      </c>
      <c r="O1221" s="1179">
        <f t="shared" si="302"/>
        <v>119.66666666666667</v>
      </c>
      <c r="P1221" s="1180">
        <f>O1215/M!$Q$14</f>
        <v>2.4428610393929094E-2</v>
      </c>
      <c r="Q1221" s="1235"/>
      <c r="R1221" s="1235"/>
      <c r="S1221" s="1235"/>
      <c r="T1221" s="1235"/>
      <c r="U1221" s="1235"/>
      <c r="V1221" s="1235"/>
      <c r="W1221" s="1235"/>
    </row>
    <row r="1222" spans="1:23">
      <c r="A1222" s="2191" t="s">
        <v>428</v>
      </c>
      <c r="B1222" s="2192"/>
      <c r="C1222" s="2203">
        <f>SUM(C1224:C1225)</f>
        <v>475</v>
      </c>
      <c r="D1222" s="2203">
        <f t="shared" ref="D1222:N1222" si="303">SUM(D1224:D1225)</f>
        <v>3580</v>
      </c>
      <c r="E1222" s="2203">
        <f t="shared" si="303"/>
        <v>1300</v>
      </c>
      <c r="F1222" s="2203">
        <f t="shared" si="303"/>
        <v>1300</v>
      </c>
      <c r="G1222" s="2203">
        <f t="shared" si="303"/>
        <v>1300</v>
      </c>
      <c r="H1222" s="2203">
        <f t="shared" si="303"/>
        <v>1355</v>
      </c>
      <c r="I1222" s="2203">
        <f t="shared" si="303"/>
        <v>1300</v>
      </c>
      <c r="J1222" s="2203">
        <f t="shared" si="303"/>
        <v>1315</v>
      </c>
      <c r="K1222" s="2203">
        <f t="shared" si="303"/>
        <v>1395</v>
      </c>
      <c r="L1222" s="2203">
        <f t="shared" si="303"/>
        <v>1755</v>
      </c>
      <c r="M1222" s="2203">
        <f t="shared" si="303"/>
        <v>2493</v>
      </c>
      <c r="N1222" s="2203">
        <f t="shared" si="303"/>
        <v>1330</v>
      </c>
      <c r="O1222" s="2203">
        <f>SUM(O1224:O1225)</f>
        <v>1574.8333333333333</v>
      </c>
      <c r="P1222" s="1180">
        <f>O1216/M!$Q$14</f>
        <v>1.0021035955417226E-2</v>
      </c>
      <c r="Q1222" s="1235"/>
      <c r="R1222" s="1235"/>
      <c r="S1222" s="1235"/>
      <c r="T1222" s="1235"/>
      <c r="U1222" s="1235"/>
      <c r="V1222" s="1235"/>
      <c r="W1222" s="1235"/>
    </row>
    <row r="1223" spans="1:23">
      <c r="A1223" s="2193"/>
      <c r="B1223" s="2194"/>
      <c r="C1223" s="2204"/>
      <c r="D1223" s="2204"/>
      <c r="E1223" s="2204"/>
      <c r="F1223" s="2204"/>
      <c r="G1223" s="2204"/>
      <c r="H1223" s="2204"/>
      <c r="I1223" s="2204"/>
      <c r="J1223" s="2204"/>
      <c r="K1223" s="2204"/>
      <c r="L1223" s="2204"/>
      <c r="M1223" s="2204"/>
      <c r="N1223" s="2204"/>
      <c r="O1223" s="2204"/>
      <c r="P1223" s="1180">
        <f>O1217/M!$Q$14</f>
        <v>3.5495839513968552E-3</v>
      </c>
      <c r="Q1223" s="1235"/>
      <c r="R1223" s="1235"/>
      <c r="S1223" s="1235"/>
      <c r="T1223" s="1235"/>
      <c r="U1223" s="1235"/>
      <c r="V1223" s="1235"/>
      <c r="W1223" s="1235"/>
    </row>
    <row r="1224" spans="1:23">
      <c r="A1224" s="2217"/>
      <c r="B1224" s="1176" t="s">
        <v>429</v>
      </c>
      <c r="C1224" s="1177">
        <v>175</v>
      </c>
      <c r="D1224" s="1177">
        <v>2280</v>
      </c>
      <c r="E1224" s="1177">
        <v>0</v>
      </c>
      <c r="F1224" s="1177">
        <v>0</v>
      </c>
      <c r="G1224" s="1177">
        <v>0</v>
      </c>
      <c r="H1224" s="1177">
        <v>0</v>
      </c>
      <c r="I1224" s="1177">
        <v>0</v>
      </c>
      <c r="J1224" s="1177">
        <v>0</v>
      </c>
      <c r="K1224" s="1177">
        <v>0</v>
      </c>
      <c r="L1224" s="1177">
        <v>0</v>
      </c>
      <c r="M1224" s="1177">
        <v>0</v>
      </c>
      <c r="N1224" s="1177">
        <v>0</v>
      </c>
      <c r="O1224" s="1179">
        <f>SUM(C1224:N1224)/12</f>
        <v>204.58333333333334</v>
      </c>
      <c r="P1224" s="1180">
        <f>O1218/M!$Q$14</f>
        <v>3.347818126791139E-3</v>
      </c>
      <c r="Q1224" s="1235"/>
      <c r="R1224" s="1235"/>
      <c r="S1224" s="1235"/>
      <c r="T1224" s="1235"/>
      <c r="U1224" s="1235"/>
      <c r="V1224" s="1235"/>
      <c r="W1224" s="1235"/>
    </row>
    <row r="1225" spans="1:23">
      <c r="A1225" s="2218"/>
      <c r="B1225" s="1176" t="s">
        <v>430</v>
      </c>
      <c r="C1225" s="1177">
        <v>300</v>
      </c>
      <c r="D1225" s="1177">
        <v>1300</v>
      </c>
      <c r="E1225" s="1177">
        <v>1300</v>
      </c>
      <c r="F1225" s="1177">
        <v>1300</v>
      </c>
      <c r="G1225" s="1177">
        <v>1300</v>
      </c>
      <c r="H1225" s="1177">
        <v>1355</v>
      </c>
      <c r="I1225" s="1177">
        <v>1300</v>
      </c>
      <c r="J1225" s="1177">
        <v>1315</v>
      </c>
      <c r="K1225" s="1177">
        <v>1395</v>
      </c>
      <c r="L1225" s="1177">
        <v>1755</v>
      </c>
      <c r="M1225" s="1177">
        <v>2493</v>
      </c>
      <c r="N1225" s="1177">
        <v>1330</v>
      </c>
      <c r="O1225" s="1179">
        <f>SUM(C1225:N1225)/12</f>
        <v>1370.25</v>
      </c>
      <c r="P1225" s="1180">
        <f>O1219/M!$Q$14</f>
        <v>3.0459166707144381E-2</v>
      </c>
      <c r="Q1225" s="1235"/>
      <c r="R1225" s="1235"/>
      <c r="S1225" s="1235"/>
      <c r="T1225" s="1235"/>
      <c r="U1225" s="1235"/>
      <c r="V1225" s="1235"/>
      <c r="W1225" s="1235"/>
    </row>
    <row r="1226" spans="1:23">
      <c r="A1226" s="2191" t="s">
        <v>668</v>
      </c>
      <c r="B1226" s="2192"/>
      <c r="C1226" s="2203">
        <f>SUM(C1228:C1231)</f>
        <v>342.16666666666663</v>
      </c>
      <c r="D1226" s="2203">
        <f t="shared" ref="D1226:N1226" si="304">SUM(D1228:D1231)</f>
        <v>109.25</v>
      </c>
      <c r="E1226" s="2203">
        <f t="shared" si="304"/>
        <v>119.25</v>
      </c>
      <c r="F1226" s="2203">
        <f t="shared" si="304"/>
        <v>145.25</v>
      </c>
      <c r="G1226" s="2203">
        <f t="shared" si="304"/>
        <v>172.25</v>
      </c>
      <c r="H1226" s="2203">
        <f t="shared" si="304"/>
        <v>139.25</v>
      </c>
      <c r="I1226" s="2203">
        <f t="shared" si="304"/>
        <v>109.25</v>
      </c>
      <c r="J1226" s="2203">
        <f t="shared" si="304"/>
        <v>105.25</v>
      </c>
      <c r="K1226" s="2203">
        <f t="shared" si="304"/>
        <v>94.25</v>
      </c>
      <c r="L1226" s="2203">
        <f t="shared" si="304"/>
        <v>234.25</v>
      </c>
      <c r="M1226" s="2203">
        <f t="shared" si="304"/>
        <v>199.25</v>
      </c>
      <c r="N1226" s="2203">
        <f t="shared" si="304"/>
        <v>94.25</v>
      </c>
      <c r="O1226" s="2203">
        <f>SUM(O1228:O1231)</f>
        <v>155.32638888888889</v>
      </c>
      <c r="P1226" s="1180">
        <f>O1220/M!$Q$14</f>
        <v>0</v>
      </c>
      <c r="Q1226" s="1235"/>
      <c r="R1226" s="1235"/>
      <c r="S1226" s="1235"/>
      <c r="T1226" s="1235"/>
      <c r="U1226" s="1235"/>
      <c r="V1226" s="1235"/>
      <c r="W1226" s="1235"/>
    </row>
    <row r="1227" spans="1:23">
      <c r="A1227" s="2193"/>
      <c r="B1227" s="2194"/>
      <c r="C1227" s="2204"/>
      <c r="D1227" s="2204"/>
      <c r="E1227" s="2204"/>
      <c r="F1227" s="2204"/>
      <c r="G1227" s="2204"/>
      <c r="H1227" s="2204"/>
      <c r="I1227" s="2204"/>
      <c r="J1227" s="2204"/>
      <c r="K1227" s="2204"/>
      <c r="L1227" s="2204"/>
      <c r="M1227" s="2204"/>
      <c r="N1227" s="2204"/>
      <c r="O1227" s="2204"/>
      <c r="P1227" s="1180">
        <f>O1221/M!$Q$14</f>
        <v>1.0730952745696597E-2</v>
      </c>
      <c r="Q1227" s="1235"/>
      <c r="R1227" s="1235"/>
      <c r="S1227" s="1235"/>
      <c r="T1227" s="1235"/>
      <c r="U1227" s="1235"/>
      <c r="V1227" s="1235"/>
      <c r="W1227" s="1235"/>
    </row>
    <row r="1228" spans="1:23">
      <c r="A1228" s="1183"/>
      <c r="B1228" s="1176" t="s">
        <v>432</v>
      </c>
      <c r="C1228" s="1184">
        <f>(FinSnapshot!$H$94 +FinSnapshot!$H$96+FinSnapshot!$H$102+FinSnapshot!$H$104)/12</f>
        <v>148.16666666666666</v>
      </c>
      <c r="D1228" s="1184">
        <f>(FinSnapshot!$B$94 +FinSnapshot!$B$96+FinSnapshot!$B$102+FinSnapshot!$B$104)/12</f>
        <v>72.25</v>
      </c>
      <c r="E1228" s="1184">
        <f>(FinSnapshot!$B$94 +FinSnapshot!$B$96+FinSnapshot!$B$102+FinSnapshot!$B$104)/12</f>
        <v>72.25</v>
      </c>
      <c r="F1228" s="1184">
        <f>(FinSnapshot!$B$94 +FinSnapshot!$B$96+FinSnapshot!$B$102+FinSnapshot!$B$104)/12</f>
        <v>72.25</v>
      </c>
      <c r="G1228" s="1184">
        <f>(FinSnapshot!$B$94 +FinSnapshot!$B$96+FinSnapshot!$B$102+FinSnapshot!$B$104)/12</f>
        <v>72.25</v>
      </c>
      <c r="H1228" s="1184">
        <f>(FinSnapshot!$B$94 +FinSnapshot!$B$96+FinSnapshot!$B$102+FinSnapshot!$B$104)/12</f>
        <v>72.25</v>
      </c>
      <c r="I1228" s="1184">
        <f>(FinSnapshot!$B$94 +FinSnapshot!$B$96+FinSnapshot!$B$102+FinSnapshot!$B$104)/12</f>
        <v>72.25</v>
      </c>
      <c r="J1228" s="1184">
        <f>(FinSnapshot!$B$94 +FinSnapshot!$B$96+FinSnapshot!$B$102+FinSnapshot!$B$104)/12</f>
        <v>72.25</v>
      </c>
      <c r="K1228" s="1184">
        <f>(FinSnapshot!$B$94 +FinSnapshot!$B$96+FinSnapshot!$B$102+FinSnapshot!$B$104)/12</f>
        <v>72.25</v>
      </c>
      <c r="L1228" s="1184">
        <f>(FinSnapshot!$B$94 +FinSnapshot!$B$96+FinSnapshot!$B$102+FinSnapshot!$B$104)/12</f>
        <v>72.25</v>
      </c>
      <c r="M1228" s="1184">
        <f>(FinSnapshot!$B$94 +FinSnapshot!$B$96+FinSnapshot!$B$102+FinSnapshot!$B$104)/12</f>
        <v>72.25</v>
      </c>
      <c r="N1228" s="1184">
        <f>(FinSnapshot!$B$94 +FinSnapshot!$B$96+FinSnapshot!$B$102+FinSnapshot!$B$104)/12</f>
        <v>72.25</v>
      </c>
      <c r="O1228" s="1179">
        <f>SUM(C1228:N1228)/12</f>
        <v>78.576388888888886</v>
      </c>
      <c r="P1228" s="2205">
        <f>O1222/M!$Q$14</f>
        <v>0.14122113160736371</v>
      </c>
      <c r="Q1228" s="1235"/>
      <c r="R1228" s="1235"/>
      <c r="S1228" s="1235"/>
      <c r="T1228" s="1235"/>
      <c r="U1228" s="1235"/>
      <c r="V1228" s="1235"/>
      <c r="W1228" s="1235"/>
    </row>
    <row r="1229" spans="1:23">
      <c r="A1229" s="1183"/>
      <c r="B1229" s="1176" t="s">
        <v>284</v>
      </c>
      <c r="C1229" s="1228">
        <v>145</v>
      </c>
      <c r="D1229" s="1228">
        <v>15</v>
      </c>
      <c r="E1229" s="1228">
        <v>25</v>
      </c>
      <c r="F1229" s="1228">
        <v>51</v>
      </c>
      <c r="G1229" s="1228">
        <v>78</v>
      </c>
      <c r="H1229" s="1228">
        <v>45</v>
      </c>
      <c r="I1229" s="1229">
        <v>15</v>
      </c>
      <c r="J1229" s="1229">
        <v>11</v>
      </c>
      <c r="K1229" s="1229">
        <v>0</v>
      </c>
      <c r="L1229" s="1229">
        <v>140</v>
      </c>
      <c r="M1229" s="1229">
        <v>105</v>
      </c>
      <c r="N1229" s="1229">
        <v>0</v>
      </c>
      <c r="O1229" s="1179">
        <f>SUM(C1229:N1229)/12</f>
        <v>52.5</v>
      </c>
      <c r="P1229" s="2206"/>
      <c r="Q1229" s="1235"/>
      <c r="R1229" s="1235"/>
      <c r="S1229" s="1235"/>
      <c r="T1229" s="1235"/>
      <c r="U1229" s="1235"/>
      <c r="V1229" s="1235"/>
      <c r="W1229" s="1235"/>
    </row>
    <row r="1230" spans="1:23">
      <c r="A1230" s="1183"/>
      <c r="B1230" s="1176" t="s">
        <v>433</v>
      </c>
      <c r="C1230" s="1178">
        <f>(FinSnapshot!$H$93+ FinSnapshot!$H$95+ FinSnapshot!$H$96+ FinSnapshot!$H$103 + FinSnapshot!$H$105+ FinSnapshot!$H$107+ FinSnapshot!$H$108+ FinSnapshot!$H$101+FinSnapshot!$H$95+FinSnapshot!$H$103)/12</f>
        <v>49</v>
      </c>
      <c r="D1230" s="1178">
        <f>(FinSnapshot!$C$93+ FinSnapshot!$C$95+ FinSnapshot!$C$96+ FinSnapshot!$C$103 + FinSnapshot!$C$105+ FinSnapshot!$C$107+ FinSnapshot!$C$108+ FinSnapshot!$C$101+FinSnapshot!$C$95+FinSnapshot!$C$103)/12</f>
        <v>22</v>
      </c>
      <c r="E1230" s="1178">
        <f>(FinSnapshot!$C$93+ FinSnapshot!$C$95+ FinSnapshot!$C$96+ FinSnapshot!$C$103 + FinSnapshot!$C$105+ FinSnapshot!$C$107+ FinSnapshot!$C$108+ FinSnapshot!$C$101+FinSnapshot!$C$95+FinSnapshot!$C$103)/12</f>
        <v>22</v>
      </c>
      <c r="F1230" s="1178">
        <f>(FinSnapshot!$C$93+ FinSnapshot!$C$95+ FinSnapshot!$C$96+ FinSnapshot!$C$103 + FinSnapshot!$C$105+ FinSnapshot!$C$107+ FinSnapshot!$C$108+ FinSnapshot!$C$101+FinSnapshot!$C$95+FinSnapshot!$C$103)/12</f>
        <v>22</v>
      </c>
      <c r="G1230" s="1178">
        <f>(FinSnapshot!$C$93+ FinSnapshot!$C$95+ FinSnapshot!$C$96+ FinSnapshot!$C$103 + FinSnapshot!$C$105+ FinSnapshot!$C$107+ FinSnapshot!$C$108+ FinSnapshot!$C$101+FinSnapshot!$C$95+FinSnapshot!$C$103)/12</f>
        <v>22</v>
      </c>
      <c r="H1230" s="1178">
        <f>(FinSnapshot!$C$93+ FinSnapshot!$C$95+ FinSnapshot!$C$96+ FinSnapshot!$C$103 + FinSnapshot!$C$105+ FinSnapshot!$C$107+ FinSnapshot!$C$108+ FinSnapshot!$C$101+FinSnapshot!$C$95+FinSnapshot!$C$103)/12</f>
        <v>22</v>
      </c>
      <c r="I1230" s="1178">
        <f>(FinSnapshot!$C$93+ FinSnapshot!$C$95+ FinSnapshot!$C$96+ FinSnapshot!$C$103 + FinSnapshot!$C$105+ FinSnapshot!$C$107+ FinSnapshot!$C$108+ FinSnapshot!$C$101+FinSnapshot!$C$95+FinSnapshot!$C$103)/12</f>
        <v>22</v>
      </c>
      <c r="J1230" s="1178">
        <f>(FinSnapshot!$C$93+ FinSnapshot!$C$95+ FinSnapshot!$C$96+ FinSnapshot!$C$103 + FinSnapshot!$C$105+ FinSnapshot!$C$107+ FinSnapshot!$C$108+ FinSnapshot!$C$101+FinSnapshot!$C$95+FinSnapshot!$C$103)/12</f>
        <v>22</v>
      </c>
      <c r="K1230" s="1178">
        <f>(FinSnapshot!$C$93+ FinSnapshot!$C$95+ FinSnapshot!$C$96+ FinSnapshot!$C$103 + FinSnapshot!$C$105+ FinSnapshot!$C$107+ FinSnapshot!$C$108+ FinSnapshot!$C$101+FinSnapshot!$C$95+FinSnapshot!$C$103)/12</f>
        <v>22</v>
      </c>
      <c r="L1230" s="1178">
        <f>(FinSnapshot!$C$93+ FinSnapshot!$C$95+ FinSnapshot!$C$96+ FinSnapshot!$C$103 + FinSnapshot!$C$105+ FinSnapshot!$C$107+ FinSnapshot!$C$108+ FinSnapshot!$C$101+FinSnapshot!$C$95+FinSnapshot!$C$103)/12</f>
        <v>22</v>
      </c>
      <c r="M1230" s="1178">
        <f>(FinSnapshot!$C$93+ FinSnapshot!$C$95+ FinSnapshot!$C$96+ FinSnapshot!$C$103 + FinSnapshot!$C$105+ FinSnapshot!$C$107+ FinSnapshot!$C$108+ FinSnapshot!$C$101+FinSnapshot!$C$95+FinSnapshot!$C$103)/12</f>
        <v>22</v>
      </c>
      <c r="N1230" s="1178">
        <f>(FinSnapshot!$C$93+ FinSnapshot!$C$95+ FinSnapshot!$C$96+ FinSnapshot!$C$103 + FinSnapshot!$C$105+ FinSnapshot!$C$107+ FinSnapshot!$C$108+ FinSnapshot!$C$101+FinSnapshot!$C$95+FinSnapshot!$C$103)/12</f>
        <v>22</v>
      </c>
      <c r="O1230" s="1179">
        <f>SUM(C1230:N1230)/12</f>
        <v>24.25</v>
      </c>
      <c r="P1230" s="1180">
        <f>O1224/M!$Q$14</f>
        <v>1.8345744422482692E-2</v>
      </c>
      <c r="Q1230" s="1235"/>
      <c r="R1230" s="1235"/>
      <c r="S1230" s="1235"/>
      <c r="T1230" s="1235"/>
      <c r="U1230" s="1235"/>
      <c r="V1230" s="1235"/>
      <c r="W1230" s="1235"/>
    </row>
    <row r="1231" spans="1:23">
      <c r="A1231" s="1183"/>
      <c r="B1231" s="1176" t="s">
        <v>434</v>
      </c>
      <c r="C1231" s="1184">
        <v>0</v>
      </c>
      <c r="D1231" s="1184">
        <v>0</v>
      </c>
      <c r="E1231" s="1184">
        <v>0</v>
      </c>
      <c r="F1231" s="1184">
        <v>0</v>
      </c>
      <c r="G1231" s="1184">
        <v>0</v>
      </c>
      <c r="H1231" s="1184">
        <v>0</v>
      </c>
      <c r="I1231" s="1184">
        <v>0</v>
      </c>
      <c r="J1231" s="1184">
        <v>0</v>
      </c>
      <c r="K1231" s="1184">
        <v>0</v>
      </c>
      <c r="L1231" s="1184">
        <v>0</v>
      </c>
      <c r="M1231" s="1184">
        <v>0</v>
      </c>
      <c r="N1231" s="1184">
        <v>0</v>
      </c>
      <c r="O1231" s="1179">
        <f>SUM(C1231:N1231)/12</f>
        <v>0</v>
      </c>
      <c r="P1231" s="1180">
        <f>O1225/M!$Q$14</f>
        <v>0.12287538718488102</v>
      </c>
      <c r="Q1231" s="1235"/>
      <c r="R1231" s="1235"/>
      <c r="S1231" s="1235"/>
      <c r="T1231" s="1235"/>
      <c r="U1231" s="1235"/>
      <c r="V1231" s="1235"/>
      <c r="W1231" s="1235"/>
    </row>
    <row r="1232" spans="1:23">
      <c r="A1232" s="2191" t="s">
        <v>435</v>
      </c>
      <c r="B1232" s="2192"/>
      <c r="C1232" s="2203">
        <f>SUM(C1234:C1236)</f>
        <v>0</v>
      </c>
      <c r="D1232" s="2203">
        <f t="shared" ref="D1232:N1232" si="305">SUM(D1234:D1236)</f>
        <v>101</v>
      </c>
      <c r="E1232" s="2203">
        <f t="shared" si="305"/>
        <v>0</v>
      </c>
      <c r="F1232" s="2203">
        <f t="shared" si="305"/>
        <v>249</v>
      </c>
      <c r="G1232" s="2203">
        <f t="shared" si="305"/>
        <v>0</v>
      </c>
      <c r="H1232" s="2203">
        <f t="shared" si="305"/>
        <v>0</v>
      </c>
      <c r="I1232" s="2203">
        <f t="shared" si="305"/>
        <v>0</v>
      </c>
      <c r="J1232" s="2203">
        <f t="shared" si="305"/>
        <v>0</v>
      </c>
      <c r="K1232" s="2203">
        <f t="shared" si="305"/>
        <v>0</v>
      </c>
      <c r="L1232" s="2203">
        <f t="shared" si="305"/>
        <v>100</v>
      </c>
      <c r="M1232" s="2203">
        <f t="shared" si="305"/>
        <v>30</v>
      </c>
      <c r="N1232" s="2203">
        <f t="shared" si="305"/>
        <v>0</v>
      </c>
      <c r="O1232" s="2203">
        <f>SUM(O1234:O1236)</f>
        <v>40</v>
      </c>
      <c r="P1232" s="2205">
        <f>O1226/M!$Q$14</f>
        <v>1.3928691972086571E-2</v>
      </c>
      <c r="Q1232" s="1235"/>
      <c r="R1232" s="1235"/>
      <c r="S1232" s="1235"/>
      <c r="T1232" s="1235"/>
      <c r="U1232" s="1235"/>
      <c r="V1232" s="1235"/>
      <c r="W1232" s="1235"/>
    </row>
    <row r="1233" spans="1:23">
      <c r="A1233" s="2193"/>
      <c r="B1233" s="2194"/>
      <c r="C1233" s="2204"/>
      <c r="D1233" s="2204"/>
      <c r="E1233" s="2204"/>
      <c r="F1233" s="2204"/>
      <c r="G1233" s="2204"/>
      <c r="H1233" s="2204"/>
      <c r="I1233" s="2204"/>
      <c r="J1233" s="2204"/>
      <c r="K1233" s="2204"/>
      <c r="L1233" s="2204"/>
      <c r="M1233" s="2204"/>
      <c r="N1233" s="2204"/>
      <c r="O1233" s="2204"/>
      <c r="P1233" s="2206"/>
      <c r="Q1233" s="1235"/>
      <c r="R1233" s="1235"/>
      <c r="S1233" s="1235"/>
      <c r="T1233" s="1235"/>
      <c r="U1233" s="1235"/>
      <c r="V1233" s="1235"/>
      <c r="W1233" s="1235"/>
    </row>
    <row r="1234" spans="1:23">
      <c r="A1234" s="1183"/>
      <c r="B1234" s="1176" t="s">
        <v>405</v>
      </c>
      <c r="C1234" s="1177">
        <v>0</v>
      </c>
      <c r="D1234" s="1177">
        <v>0</v>
      </c>
      <c r="E1234" s="1177">
        <v>0</v>
      </c>
      <c r="F1234" s="1177">
        <v>0</v>
      </c>
      <c r="G1234" s="1177">
        <v>0</v>
      </c>
      <c r="H1234" s="1177">
        <v>0</v>
      </c>
      <c r="I1234" s="1178">
        <v>0</v>
      </c>
      <c r="J1234" s="1178">
        <v>0</v>
      </c>
      <c r="K1234" s="1178">
        <v>0</v>
      </c>
      <c r="L1234" s="1178">
        <v>0</v>
      </c>
      <c r="M1234" s="1178">
        <v>0</v>
      </c>
      <c r="N1234" s="1178">
        <v>0</v>
      </c>
      <c r="O1234" s="1179">
        <f>SUM(C1234:N1234)/12</f>
        <v>0</v>
      </c>
      <c r="P1234" s="1186"/>
      <c r="Q1234" s="1235"/>
      <c r="R1234" s="1235"/>
      <c r="S1234" s="1235"/>
      <c r="T1234" s="1235"/>
      <c r="U1234" s="1235"/>
      <c r="V1234" s="1235"/>
      <c r="W1234" s="1235"/>
    </row>
    <row r="1235" spans="1:23">
      <c r="A1235" s="1183"/>
      <c r="B1235" s="1176" t="s">
        <v>436</v>
      </c>
      <c r="C1235" s="1177">
        <v>0</v>
      </c>
      <c r="D1235" s="1177">
        <v>101</v>
      </c>
      <c r="E1235" s="1177">
        <v>0</v>
      </c>
      <c r="F1235" s="1177">
        <v>95</v>
      </c>
      <c r="G1235" s="1177">
        <v>0</v>
      </c>
      <c r="H1235" s="1177">
        <v>0</v>
      </c>
      <c r="I1235" s="1178">
        <v>0</v>
      </c>
      <c r="J1235" s="1178">
        <v>0</v>
      </c>
      <c r="K1235" s="1178">
        <v>0</v>
      </c>
      <c r="L1235" s="1178">
        <v>100</v>
      </c>
      <c r="M1235" s="1178">
        <v>30</v>
      </c>
      <c r="N1235" s="1178">
        <v>0</v>
      </c>
      <c r="O1235" s="1179">
        <f>SUM(C1235:N1235)/12</f>
        <v>27.166666666666668</v>
      </c>
      <c r="P1235" s="1180">
        <f>O1229/M!$Q$14</f>
        <v>4.7078692408000387E-3</v>
      </c>
      <c r="Q1235" s="1235"/>
      <c r="R1235" s="1235"/>
      <c r="S1235" s="1235"/>
      <c r="T1235" s="1235"/>
      <c r="U1235" s="1235"/>
      <c r="V1235" s="1235"/>
      <c r="W1235" s="1235"/>
    </row>
    <row r="1236" spans="1:23">
      <c r="A1236" s="1183"/>
      <c r="B1236" s="1176" t="s">
        <v>130</v>
      </c>
      <c r="C1236" s="1177">
        <v>0</v>
      </c>
      <c r="D1236" s="1177">
        <v>0</v>
      </c>
      <c r="E1236" s="1177">
        <v>0</v>
      </c>
      <c r="F1236" s="1177">
        <v>154</v>
      </c>
      <c r="G1236" s="1177">
        <v>0</v>
      </c>
      <c r="H1236" s="1177">
        <v>0</v>
      </c>
      <c r="I1236" s="1178">
        <v>0</v>
      </c>
      <c r="J1236" s="1178">
        <v>0</v>
      </c>
      <c r="K1236" s="1178">
        <v>0</v>
      </c>
      <c r="L1236" s="1178">
        <v>0</v>
      </c>
      <c r="M1236" s="1178">
        <v>0</v>
      </c>
      <c r="N1236" s="1178">
        <v>0</v>
      </c>
      <c r="O1236" s="1179">
        <f>SUM(C1236:N1236)/12</f>
        <v>12.833333333333334</v>
      </c>
      <c r="P1236" s="1180">
        <f>O1230/M!$Q$14</f>
        <v>2.1745872207504942E-3</v>
      </c>
      <c r="Q1236" s="1235"/>
      <c r="R1236" s="1235"/>
      <c r="S1236" s="1235"/>
      <c r="T1236" s="1235"/>
      <c r="U1236" s="1235"/>
      <c r="V1236" s="1235"/>
      <c r="W1236" s="1235"/>
    </row>
    <row r="1237" spans="1:23">
      <c r="A1237" s="2191" t="s">
        <v>286</v>
      </c>
      <c r="B1237" s="2192"/>
      <c r="C1237" s="2203">
        <f t="shared" ref="C1237:N1237" si="306">SUM(C1239:C1240)</f>
        <v>375</v>
      </c>
      <c r="D1237" s="2203">
        <f t="shared" si="306"/>
        <v>0</v>
      </c>
      <c r="E1237" s="2203">
        <f t="shared" si="306"/>
        <v>0</v>
      </c>
      <c r="F1237" s="2203">
        <f t="shared" si="306"/>
        <v>1000</v>
      </c>
      <c r="G1237" s="2203">
        <f t="shared" si="306"/>
        <v>0</v>
      </c>
      <c r="H1237" s="2203">
        <f t="shared" si="306"/>
        <v>0</v>
      </c>
      <c r="I1237" s="2203">
        <f t="shared" si="306"/>
        <v>1000</v>
      </c>
      <c r="J1237" s="2203">
        <f t="shared" si="306"/>
        <v>1000</v>
      </c>
      <c r="K1237" s="2203">
        <f t="shared" si="306"/>
        <v>1000</v>
      </c>
      <c r="L1237" s="2203">
        <f t="shared" si="306"/>
        <v>0</v>
      </c>
      <c r="M1237" s="2203">
        <f t="shared" si="306"/>
        <v>2500</v>
      </c>
      <c r="N1237" s="2203">
        <f t="shared" si="306"/>
        <v>2000</v>
      </c>
      <c r="O1237" s="2203">
        <f>SUM(O1239:O1240)</f>
        <v>739.58333333333337</v>
      </c>
      <c r="P1237" s="1186"/>
      <c r="Q1237" s="1235"/>
      <c r="R1237" s="1235"/>
      <c r="S1237" s="1235"/>
      <c r="T1237" s="1235"/>
      <c r="U1237" s="1235"/>
      <c r="V1237" s="1235"/>
      <c r="W1237" s="1235"/>
    </row>
    <row r="1238" spans="1:23">
      <c r="A1238" s="2193"/>
      <c r="B1238" s="2194"/>
      <c r="C1238" s="2204"/>
      <c r="D1238" s="2204"/>
      <c r="E1238" s="2204"/>
      <c r="F1238" s="2204"/>
      <c r="G1238" s="2204"/>
      <c r="H1238" s="2204"/>
      <c r="I1238" s="2204"/>
      <c r="J1238" s="2204"/>
      <c r="K1238" s="2204"/>
      <c r="L1238" s="2204"/>
      <c r="M1238" s="2204"/>
      <c r="N1238" s="2204"/>
      <c r="O1238" s="2204"/>
      <c r="P1238" s="2205">
        <f>O1232/M!$Q$14</f>
        <v>3.5869479929905058E-3</v>
      </c>
      <c r="Q1238" s="1235"/>
      <c r="R1238" s="1235"/>
      <c r="S1238" s="1235"/>
      <c r="T1238" s="1235"/>
      <c r="U1238" s="1235"/>
      <c r="V1238" s="1235"/>
      <c r="W1238" s="1235"/>
    </row>
    <row r="1239" spans="1:23">
      <c r="A1239" s="2217"/>
      <c r="B1239" s="1176" t="s">
        <v>82</v>
      </c>
      <c r="C1239" s="1177">
        <v>375</v>
      </c>
      <c r="D1239" s="1177">
        <v>0</v>
      </c>
      <c r="E1239" s="1177">
        <v>0</v>
      </c>
      <c r="F1239" s="1177">
        <v>1000</v>
      </c>
      <c r="G1239" s="1177">
        <v>0</v>
      </c>
      <c r="H1239" s="1177">
        <v>0</v>
      </c>
      <c r="I1239" s="1178">
        <v>1000</v>
      </c>
      <c r="J1239" s="1178">
        <v>1000</v>
      </c>
      <c r="K1239" s="1178">
        <v>1000</v>
      </c>
      <c r="L1239" s="1178">
        <v>0</v>
      </c>
      <c r="M1239" s="1178">
        <v>2500</v>
      </c>
      <c r="N1239" s="1178">
        <v>2000</v>
      </c>
      <c r="O1239" s="1179">
        <f>SUM(C1239:N1239)/12</f>
        <v>739.58333333333337</v>
      </c>
      <c r="P1239" s="2206"/>
      <c r="Q1239" s="1235"/>
      <c r="R1239" s="1235"/>
      <c r="S1239" s="1235"/>
      <c r="T1239" s="1235"/>
      <c r="U1239" s="1235"/>
      <c r="V1239" s="1235"/>
      <c r="W1239" s="1235"/>
    </row>
    <row r="1240" spans="1:23">
      <c r="A1240" s="2219"/>
      <c r="B1240" s="1176" t="s">
        <v>83</v>
      </c>
      <c r="C1240" s="1177">
        <v>0</v>
      </c>
      <c r="D1240" s="1177">
        <v>0</v>
      </c>
      <c r="E1240" s="1177">
        <v>0</v>
      </c>
      <c r="F1240" s="1177">
        <v>0</v>
      </c>
      <c r="G1240" s="1177">
        <v>0</v>
      </c>
      <c r="H1240" s="1177">
        <v>0</v>
      </c>
      <c r="I1240" s="1178">
        <v>0</v>
      </c>
      <c r="J1240" s="1178">
        <v>0</v>
      </c>
      <c r="K1240" s="1178">
        <v>0</v>
      </c>
      <c r="L1240" s="1178">
        <v>0</v>
      </c>
      <c r="M1240" s="1178">
        <v>0</v>
      </c>
      <c r="N1240" s="1178">
        <v>0</v>
      </c>
      <c r="O1240" s="1179">
        <f>SUM(C1240:N1240)/12</f>
        <v>0</v>
      </c>
      <c r="P1240" s="1180">
        <f>O1234/M!$Q$14</f>
        <v>0</v>
      </c>
      <c r="Q1240" s="1235"/>
      <c r="R1240" s="1235"/>
      <c r="S1240" s="1235"/>
      <c r="T1240" s="1235"/>
      <c r="U1240" s="1235"/>
      <c r="V1240" s="1235"/>
      <c r="W1240" s="1235"/>
    </row>
    <row r="1241" spans="1:23">
      <c r="A1241" s="1187" t="s">
        <v>437</v>
      </c>
      <c r="B1241" s="1188"/>
      <c r="C1241" s="1189">
        <f t="shared" ref="C1241:O1241" si="307">C1171+C1185+C1193+C1199+C1203+C1213+C1222+C1226+C1232+C1237</f>
        <v>9174.6165664591426</v>
      </c>
      <c r="D1241" s="1189">
        <f t="shared" si="307"/>
        <v>9024.6998997924766</v>
      </c>
      <c r="E1241" s="1189">
        <f t="shared" si="307"/>
        <v>6130.6998997924766</v>
      </c>
      <c r="F1241" s="1189">
        <f t="shared" si="307"/>
        <v>8064.6998997924766</v>
      </c>
      <c r="G1241" s="1189">
        <f t="shared" si="307"/>
        <v>9467.6998997924766</v>
      </c>
      <c r="H1241" s="1189">
        <f t="shared" si="307"/>
        <v>6516.6998997924766</v>
      </c>
      <c r="I1241" s="1189">
        <f t="shared" si="307"/>
        <v>7044.6998997924766</v>
      </c>
      <c r="J1241" s="1189">
        <f t="shared" si="307"/>
        <v>7836.6998997924766</v>
      </c>
      <c r="K1241" s="1189">
        <f t="shared" si="307"/>
        <v>7861.6998997924766</v>
      </c>
      <c r="L1241" s="1189">
        <f t="shared" si="307"/>
        <v>7059.6998997924766</v>
      </c>
      <c r="M1241" s="1189">
        <f t="shared" si="307"/>
        <v>10236.699899792477</v>
      </c>
      <c r="N1241" s="1189">
        <f t="shared" si="307"/>
        <v>8336.6998997924766</v>
      </c>
      <c r="O1241" s="1189">
        <f t="shared" si="307"/>
        <v>8062.9429553480322</v>
      </c>
      <c r="P1241" s="1180">
        <f>O1235/M!$Q$14</f>
        <v>2.4361355119060521E-3</v>
      </c>
      <c r="Q1241" s="1235"/>
      <c r="R1241" s="1235"/>
      <c r="S1241" s="1235"/>
      <c r="T1241" s="1235"/>
      <c r="U1241" s="1235"/>
      <c r="V1241" s="1235"/>
      <c r="W1241" s="1235"/>
    </row>
    <row r="1242" spans="1:23">
      <c r="A1242" s="1191" t="s">
        <v>658</v>
      </c>
      <c r="B1242" s="1192"/>
      <c r="C1242" s="1193">
        <f>C1241/M!$Q$14</f>
        <v>0.82272181198795169</v>
      </c>
      <c r="D1242" s="1193">
        <f>D1241/M!$Q$14</f>
        <v>0.80927822982255615</v>
      </c>
      <c r="E1242" s="1193">
        <f>E1241/M!$Q$14</f>
        <v>0.54976254252969303</v>
      </c>
      <c r="F1242" s="1193">
        <f>F1241/M!$Q$14</f>
        <v>0.72319147799078398</v>
      </c>
      <c r="G1242" s="1193">
        <f>G1241/M!$Q$14</f>
        <v>0.849003678844926</v>
      </c>
      <c r="H1242" s="1193">
        <f>H1241/M!$Q$14</f>
        <v>0.58437659066205139</v>
      </c>
      <c r="I1242" s="1193">
        <f>I1241/M!$Q$14</f>
        <v>0.63172430416952607</v>
      </c>
      <c r="J1242" s="1193">
        <f>J1241/M!$Q$14</f>
        <v>0.7027458744307381</v>
      </c>
      <c r="K1242" s="1193">
        <f>K1241/M!$Q$14</f>
        <v>0.7049877169263572</v>
      </c>
      <c r="L1242" s="1193">
        <f>L1241/M!$Q$14</f>
        <v>0.63306940966689751</v>
      </c>
      <c r="M1242" s="1193">
        <f>M1241/M!$Q$14</f>
        <v>0.91796275401016847</v>
      </c>
      <c r="N1242" s="1193">
        <f>N1241/M!$Q$14</f>
        <v>0.74758272434311945</v>
      </c>
      <c r="O1242" s="1193">
        <f>O1241/M!$Q$14</f>
        <v>0.72303392628206409</v>
      </c>
      <c r="P1242" s="1180">
        <f>O1236/M!$Q$14</f>
        <v>1.1508124810844541E-3</v>
      </c>
      <c r="Q1242" s="1235"/>
      <c r="R1242" s="1235"/>
      <c r="S1242" s="1235"/>
      <c r="T1242" s="1235"/>
      <c r="U1242" s="1235"/>
      <c r="V1242" s="1235"/>
      <c r="W1242" s="1235"/>
    </row>
    <row r="1243" spans="1:23">
      <c r="A1243" s="1235"/>
      <c r="B1243" s="1235"/>
      <c r="C1243" s="1235"/>
      <c r="D1243" s="1235"/>
      <c r="E1243" s="1235"/>
      <c r="F1243" s="1235"/>
      <c r="G1243" s="1235"/>
      <c r="H1243" s="1235"/>
      <c r="I1243" s="1235"/>
      <c r="J1243" s="1235"/>
      <c r="K1243" s="1235"/>
      <c r="L1243" s="1235"/>
      <c r="M1243" s="1235"/>
      <c r="N1243" s="1235"/>
      <c r="O1243" s="1235"/>
      <c r="P1243" s="2205">
        <f>O1237/M!$Q$14</f>
        <v>6.6321173828730706E-2</v>
      </c>
      <c r="Q1243" s="1235"/>
      <c r="R1243" s="1235"/>
      <c r="S1243" s="1235"/>
      <c r="T1243" s="1235"/>
      <c r="U1243" s="1235"/>
      <c r="V1243" s="1235"/>
      <c r="W1243" s="1235"/>
    </row>
    <row r="1244" spans="1:23">
      <c r="A1244" s="1235"/>
      <c r="B1244" s="1235"/>
      <c r="C1244" s="1235"/>
      <c r="D1244" s="1235"/>
      <c r="E1244" s="1235"/>
      <c r="F1244" s="1235"/>
      <c r="G1244" s="1235"/>
      <c r="H1244" s="1235"/>
      <c r="I1244" s="1235"/>
      <c r="J1244" s="1235"/>
      <c r="K1244" s="1235"/>
      <c r="L1244" s="1235"/>
      <c r="M1244" s="1235"/>
      <c r="N1244" s="1235"/>
      <c r="O1244" s="1235"/>
      <c r="P1244" s="2206"/>
      <c r="Q1244" s="1235"/>
      <c r="R1244" s="1235"/>
      <c r="S1244" s="1235"/>
      <c r="T1244" s="1235"/>
      <c r="U1244" s="1235"/>
      <c r="V1244" s="1235"/>
      <c r="W1244" s="1235"/>
    </row>
    <row r="1245" spans="1:23">
      <c r="A1245" s="1235"/>
      <c r="B1245" s="1235"/>
      <c r="C1245" s="1235"/>
      <c r="D1245" s="1235"/>
      <c r="E1245" s="1235"/>
      <c r="F1245" s="1235"/>
      <c r="G1245" s="1235"/>
      <c r="H1245" s="1235"/>
      <c r="I1245" s="1235"/>
      <c r="J1245" s="1235"/>
      <c r="K1245" s="1235"/>
      <c r="L1245" s="1235"/>
      <c r="M1245" s="1235"/>
      <c r="N1245" s="1235"/>
      <c r="O1245" s="1235"/>
      <c r="P1245" s="1180">
        <f>O1239/M!$Q$14</f>
        <v>6.6321173828730706E-2</v>
      </c>
      <c r="Q1245" s="1235"/>
      <c r="R1245" s="1235"/>
      <c r="S1245" s="1235"/>
      <c r="T1245" s="1235"/>
      <c r="U1245" s="1235"/>
      <c r="V1245" s="1235"/>
      <c r="W1245" s="1235"/>
    </row>
    <row r="1246" spans="1:23">
      <c r="A1246" s="1235"/>
      <c r="B1246" s="1235"/>
      <c r="C1246" s="1235"/>
      <c r="D1246" s="1235"/>
      <c r="E1246" s="1235"/>
      <c r="F1246" s="1235"/>
      <c r="G1246" s="1235"/>
      <c r="H1246" s="1235"/>
      <c r="I1246" s="1235"/>
      <c r="J1246" s="1235"/>
      <c r="K1246" s="1235"/>
      <c r="L1246" s="1235"/>
      <c r="M1246" s="1235"/>
      <c r="N1246" s="1235"/>
      <c r="O1246" s="1235"/>
      <c r="P1246" s="1180">
        <f>O1240/M!$Q$14</f>
        <v>0</v>
      </c>
      <c r="Q1246" s="1235"/>
      <c r="R1246" s="1235"/>
      <c r="S1246" s="1235"/>
      <c r="T1246" s="1235"/>
      <c r="U1246" s="1235"/>
      <c r="V1246" s="1235"/>
      <c r="W1246" s="1235"/>
    </row>
    <row r="1247" spans="1:23">
      <c r="A1247" s="2195">
        <v>2010</v>
      </c>
      <c r="B1247" s="2196"/>
      <c r="C1247" s="2196"/>
      <c r="D1247" s="2196"/>
      <c r="E1247" s="2196"/>
      <c r="F1247" s="2196"/>
      <c r="G1247" s="2196"/>
      <c r="H1247" s="2196"/>
      <c r="I1247" s="2196"/>
      <c r="J1247" s="2196"/>
      <c r="K1247" s="2196"/>
      <c r="L1247" s="2196"/>
      <c r="M1247" s="2196"/>
      <c r="N1247" s="2196"/>
      <c r="O1247" s="2196"/>
      <c r="P1247" s="1190">
        <f>O1241/M!$Q$14</f>
        <v>0.72303392628206409</v>
      </c>
      <c r="Q1247" s="1235"/>
      <c r="R1247" s="1235"/>
      <c r="S1247" s="1235"/>
      <c r="T1247" s="1235"/>
      <c r="U1247" s="1235"/>
      <c r="V1247" s="1235"/>
      <c r="W1247" s="1235"/>
    </row>
    <row r="1248" spans="1:23">
      <c r="A1248" s="1171" t="s">
        <v>388</v>
      </c>
      <c r="B1248" s="1172"/>
      <c r="C1248" s="1173" t="s">
        <v>309</v>
      </c>
      <c r="D1248" s="1173" t="s">
        <v>311</v>
      </c>
      <c r="E1248" s="1173" t="s">
        <v>312</v>
      </c>
      <c r="F1248" s="1173" t="s">
        <v>313</v>
      </c>
      <c r="G1248" s="1173" t="s">
        <v>314</v>
      </c>
      <c r="H1248" s="1173" t="s">
        <v>315</v>
      </c>
      <c r="I1248" s="1173" t="s">
        <v>316</v>
      </c>
      <c r="J1248" s="1173" t="s">
        <v>317</v>
      </c>
      <c r="K1248" s="1173" t="s">
        <v>318</v>
      </c>
      <c r="L1248" s="1173" t="s">
        <v>319</v>
      </c>
      <c r="M1248" s="1173" t="s">
        <v>320</v>
      </c>
      <c r="N1248" s="1173" t="s">
        <v>321</v>
      </c>
      <c r="O1248" s="1174" t="s">
        <v>660</v>
      </c>
      <c r="P1248" s="1194"/>
      <c r="Q1248" s="1235"/>
      <c r="R1248" s="1235"/>
      <c r="S1248" s="1235"/>
      <c r="T1248" s="1235"/>
      <c r="U1248" s="1235"/>
      <c r="V1248" s="1235"/>
      <c r="W1248" s="1235"/>
    </row>
    <row r="1249" spans="1:23">
      <c r="A1249" s="2191" t="s">
        <v>56</v>
      </c>
      <c r="B1249" s="2192"/>
      <c r="C1249" s="2203">
        <f t="shared" ref="C1249:I1249" si="308">C1251+ SUM(C1257:C1262)</f>
        <v>2424.449899792477</v>
      </c>
      <c r="D1249" s="2203">
        <f t="shared" si="308"/>
        <v>2471.449899792477</v>
      </c>
      <c r="E1249" s="2203">
        <f t="shared" si="308"/>
        <v>2424.4498997924766</v>
      </c>
      <c r="F1249" s="2203">
        <f t="shared" si="308"/>
        <v>2424.449899792477</v>
      </c>
      <c r="G1249" s="2203">
        <f t="shared" si="308"/>
        <v>2448.4498997924766</v>
      </c>
      <c r="H1249" s="2203">
        <f t="shared" si="308"/>
        <v>2653.4498997924766</v>
      </c>
      <c r="I1249" s="2203">
        <f t="shared" si="308"/>
        <v>2448.449899792477</v>
      </c>
      <c r="J1249" s="2203">
        <f t="shared" ref="J1249:O1249" si="309">J1251+ SUM(J1257:J1262)</f>
        <v>2439.449899792477</v>
      </c>
      <c r="K1249" s="2203">
        <f t="shared" si="309"/>
        <v>2439.449899792477</v>
      </c>
      <c r="L1249" s="2203">
        <f t="shared" si="309"/>
        <v>2439.449899792477</v>
      </c>
      <c r="M1249" s="2203">
        <f t="shared" si="309"/>
        <v>2439.4498997924766</v>
      </c>
      <c r="N1249" s="2203">
        <f t="shared" si="309"/>
        <v>2442.449899792477</v>
      </c>
      <c r="O1249" s="2203">
        <f t="shared" si="309"/>
        <v>2457.9498997924775</v>
      </c>
      <c r="P1249" s="1235"/>
      <c r="Q1249" s="1235"/>
      <c r="R1249" s="1235"/>
      <c r="S1249" s="1235"/>
      <c r="T1249" s="1235"/>
      <c r="U1249" s="1235"/>
      <c r="V1249" s="1235"/>
      <c r="W1249" s="1235"/>
    </row>
    <row r="1250" spans="1:23">
      <c r="A1250" s="2193"/>
      <c r="B1250" s="2194"/>
      <c r="C1250" s="2204"/>
      <c r="D1250" s="2204"/>
      <c r="E1250" s="2204"/>
      <c r="F1250" s="2204"/>
      <c r="G1250" s="2204"/>
      <c r="H1250" s="2204"/>
      <c r="I1250" s="2204"/>
      <c r="J1250" s="2204"/>
      <c r="K1250" s="2204"/>
      <c r="L1250" s="2204"/>
      <c r="M1250" s="2204"/>
      <c r="N1250" s="2204"/>
      <c r="O1250" s="2204"/>
      <c r="P1250" s="1235"/>
      <c r="Q1250" s="1235"/>
      <c r="R1250" s="1235"/>
      <c r="S1250" s="1235"/>
      <c r="T1250" s="1235"/>
      <c r="U1250" s="1235"/>
      <c r="V1250" s="1235"/>
      <c r="W1250" s="1235"/>
    </row>
    <row r="1251" spans="1:23">
      <c r="A1251" s="2217"/>
      <c r="B1251" s="1176" t="s">
        <v>662</v>
      </c>
      <c r="C1251" s="1228">
        <v>1755.449899792477</v>
      </c>
      <c r="D1251" s="1228">
        <v>1755.449899792477</v>
      </c>
      <c r="E1251" s="1228">
        <v>1755.4498997924768</v>
      </c>
      <c r="F1251" s="1228">
        <v>1755.449899792477</v>
      </c>
      <c r="G1251" s="1228">
        <v>1755.4498997924768</v>
      </c>
      <c r="H1251" s="1228">
        <v>1755.4498997924768</v>
      </c>
      <c r="I1251" s="1229">
        <v>1755.449899792477</v>
      </c>
      <c r="J1251" s="1229">
        <v>1755.449899792477</v>
      </c>
      <c r="K1251" s="1229">
        <v>1755.449899792477</v>
      </c>
      <c r="L1251" s="1229">
        <v>1755.449899792477</v>
      </c>
      <c r="M1251" s="1229">
        <v>1755.4498997924768</v>
      </c>
      <c r="N1251" s="1229">
        <v>1755.449899792477</v>
      </c>
      <c r="O1251" s="1179">
        <f t="shared" ref="O1251:O1262" si="310">SUM(C1251:N1251)/12</f>
        <v>1755.4498997924773</v>
      </c>
      <c r="P1251" s="1235"/>
      <c r="Q1251" s="1235"/>
      <c r="R1251" s="1235"/>
      <c r="S1251" s="1235"/>
      <c r="T1251" s="1235"/>
      <c r="U1251" s="1235"/>
      <c r="V1251" s="1235"/>
      <c r="W1251" s="1235"/>
    </row>
    <row r="1252" spans="1:23">
      <c r="A1252" s="2218"/>
      <c r="B1252" s="1176" t="s">
        <v>663</v>
      </c>
      <c r="C1252" s="1178">
        <v>988.86682661309317</v>
      </c>
      <c r="D1252" s="1178">
        <v>987.67392713815434</v>
      </c>
      <c r="E1252" s="1178">
        <v>986.47556020728859</v>
      </c>
      <c r="F1252" s="1178">
        <v>985.2717007613229</v>
      </c>
      <c r="G1252" s="1178">
        <v>984.06232362623007</v>
      </c>
      <c r="H1252" s="1178">
        <v>982.84740351260132</v>
      </c>
      <c r="I1252" s="1178">
        <v>981.62691501511847</v>
      </c>
      <c r="J1252" s="1178">
        <v>980.4008326120221</v>
      </c>
      <c r="K1252" s="1178">
        <v>979.16913066457835</v>
      </c>
      <c r="L1252" s="1178">
        <v>977.93178341654209</v>
      </c>
      <c r="M1252" s="1178">
        <v>976.68876499361886</v>
      </c>
      <c r="N1252" s="1178">
        <v>975.44004940292416</v>
      </c>
      <c r="O1252" s="1179">
        <f t="shared" si="310"/>
        <v>982.20460149695793</v>
      </c>
      <c r="P1252" s="1235"/>
      <c r="Q1252" s="1235"/>
      <c r="R1252" s="1235"/>
      <c r="S1252" s="1235"/>
      <c r="T1252" s="1235"/>
      <c r="U1252" s="1235"/>
      <c r="V1252" s="1235"/>
      <c r="W1252" s="1235"/>
    </row>
    <row r="1253" spans="1:23">
      <c r="A1253" s="2218"/>
      <c r="B1253" s="1176" t="s">
        <v>664</v>
      </c>
      <c r="C1253" s="1178">
        <v>260.26897635031298</v>
      </c>
      <c r="D1253" s="1178">
        <v>261.46187582525181</v>
      </c>
      <c r="E1253" s="1178">
        <v>262.66024275611755</v>
      </c>
      <c r="F1253" s="1178">
        <v>263.86410220208325</v>
      </c>
      <c r="G1253" s="1178">
        <v>265.07347933717608</v>
      </c>
      <c r="H1253" s="1178">
        <v>266.28839945080483</v>
      </c>
      <c r="I1253" s="1178">
        <v>267.50888794828768</v>
      </c>
      <c r="J1253" s="1178">
        <v>268.73497035138405</v>
      </c>
      <c r="K1253" s="1178">
        <v>269.9666722988278</v>
      </c>
      <c r="L1253" s="1178">
        <v>271.20401954686406</v>
      </c>
      <c r="M1253" s="1178">
        <v>272.44703796978729</v>
      </c>
      <c r="N1253" s="1178">
        <v>273.69575356048199</v>
      </c>
      <c r="O1253" s="1179">
        <f t="shared" si="310"/>
        <v>266.93120146644827</v>
      </c>
      <c r="P1253" s="2197"/>
      <c r="Q1253" s="1235"/>
      <c r="R1253" s="1235"/>
      <c r="S1253" s="1235"/>
      <c r="T1253" s="1235"/>
      <c r="U1253" s="1235"/>
      <c r="V1253" s="1235"/>
      <c r="W1253" s="1235"/>
    </row>
    <row r="1254" spans="1:23">
      <c r="A1254" s="2218"/>
      <c r="B1254" s="1176" t="s">
        <v>450</v>
      </c>
      <c r="C1254" s="1178">
        <v>0</v>
      </c>
      <c r="D1254" s="1178">
        <v>0</v>
      </c>
      <c r="E1254" s="1178">
        <v>0</v>
      </c>
      <c r="F1254" s="1178">
        <v>0</v>
      </c>
      <c r="G1254" s="1178">
        <v>0</v>
      </c>
      <c r="H1254" s="1178">
        <v>0</v>
      </c>
      <c r="I1254" s="1178">
        <v>0</v>
      </c>
      <c r="J1254" s="1178">
        <v>0</v>
      </c>
      <c r="K1254" s="1178">
        <v>0</v>
      </c>
      <c r="L1254" s="1178">
        <v>0</v>
      </c>
      <c r="M1254" s="1178">
        <v>0</v>
      </c>
      <c r="N1254" s="1178">
        <v>0</v>
      </c>
      <c r="O1254" s="1179">
        <f t="shared" si="310"/>
        <v>0</v>
      </c>
      <c r="P1254" s="1175" t="s">
        <v>661</v>
      </c>
      <c r="Q1254" s="1235"/>
      <c r="R1254" s="1235"/>
      <c r="S1254" s="1235"/>
      <c r="T1254" s="1235"/>
      <c r="U1254" s="1235"/>
      <c r="V1254" s="1235"/>
      <c r="W1254" s="1235"/>
    </row>
    <row r="1255" spans="1:23">
      <c r="A1255" s="2218"/>
      <c r="B1255" s="1176" t="s">
        <v>665</v>
      </c>
      <c r="C1255" s="1178">
        <v>166.99904336981572</v>
      </c>
      <c r="D1255" s="1178">
        <v>165.30246810251944</v>
      </c>
      <c r="E1255" s="1178">
        <v>163.59740995888669</v>
      </c>
      <c r="F1255" s="1178">
        <v>161.88382652453578</v>
      </c>
      <c r="G1255" s="1178">
        <v>160.16167517301309</v>
      </c>
      <c r="H1255" s="1178">
        <v>158.43091306473281</v>
      </c>
      <c r="I1255" s="1178">
        <v>156.69149714591111</v>
      </c>
      <c r="J1255" s="1178">
        <v>154.94338414749532</v>
      </c>
      <c r="K1255" s="1178">
        <v>153.18653058408745</v>
      </c>
      <c r="L1255" s="1178">
        <v>151.42089275286253</v>
      </c>
      <c r="M1255" s="1178">
        <v>149.64642673248147</v>
      </c>
      <c r="N1255" s="1178">
        <v>147.86308838199852</v>
      </c>
      <c r="O1255" s="1179">
        <f t="shared" si="310"/>
        <v>157.51059632819502</v>
      </c>
      <c r="P1255" s="2205">
        <f>O1249/M!$Q$14</f>
        <v>0.22041346149829605</v>
      </c>
      <c r="Q1255" s="1235"/>
      <c r="R1255" s="1235"/>
      <c r="S1255" s="1235"/>
      <c r="T1255" s="1235"/>
      <c r="U1255" s="1235"/>
      <c r="V1255" s="1235"/>
      <c r="W1255" s="1235"/>
    </row>
    <row r="1256" spans="1:23">
      <c r="A1256" s="2218"/>
      <c r="B1256" s="1176" t="s">
        <v>664</v>
      </c>
      <c r="C1256" s="1178">
        <v>339.31505345925507</v>
      </c>
      <c r="D1256" s="1178">
        <v>341.01162872655129</v>
      </c>
      <c r="E1256" s="1178">
        <v>342.71668687018405</v>
      </c>
      <c r="F1256" s="1178">
        <v>344.43027030453499</v>
      </c>
      <c r="G1256" s="1178">
        <v>346.15242165605764</v>
      </c>
      <c r="H1256" s="1178">
        <v>347.88318376433796</v>
      </c>
      <c r="I1256" s="1178">
        <v>349.62259968315965</v>
      </c>
      <c r="J1256" s="1178">
        <v>351.37071268157547</v>
      </c>
      <c r="K1256" s="1178">
        <v>353.12756624498331</v>
      </c>
      <c r="L1256" s="1178">
        <v>354.89320407620824</v>
      </c>
      <c r="M1256" s="1178">
        <v>356.66767009658929</v>
      </c>
      <c r="N1256" s="1178">
        <v>358.45100844707224</v>
      </c>
      <c r="O1256" s="1179">
        <f t="shared" si="310"/>
        <v>348.80350050087577</v>
      </c>
      <c r="P1256" s="2206"/>
      <c r="Q1256" s="1235"/>
      <c r="R1256" s="1235"/>
      <c r="S1256" s="1235"/>
      <c r="T1256" s="1235"/>
      <c r="U1256" s="1235"/>
      <c r="V1256" s="1235"/>
      <c r="W1256" s="1235"/>
    </row>
    <row r="1257" spans="1:23">
      <c r="A1257" s="2218"/>
      <c r="B1257" s="1176" t="s">
        <v>287</v>
      </c>
      <c r="C1257" s="1178">
        <v>312</v>
      </c>
      <c r="D1257" s="1178">
        <v>312</v>
      </c>
      <c r="E1257" s="1178">
        <v>312</v>
      </c>
      <c r="F1257" s="1178">
        <v>312</v>
      </c>
      <c r="G1257" s="1178">
        <v>312</v>
      </c>
      <c r="H1257" s="1178">
        <v>312</v>
      </c>
      <c r="I1257" s="1178">
        <v>312</v>
      </c>
      <c r="J1257" s="1178">
        <v>303</v>
      </c>
      <c r="K1257" s="1178">
        <v>303</v>
      </c>
      <c r="L1257" s="1178">
        <v>303</v>
      </c>
      <c r="M1257" s="1178">
        <v>303</v>
      </c>
      <c r="N1257" s="1178">
        <v>303</v>
      </c>
      <c r="O1257" s="1179">
        <f t="shared" si="310"/>
        <v>308.25</v>
      </c>
      <c r="P1257" s="1180">
        <f>O1251/M!$Q$14</f>
        <v>0.15741768737140027</v>
      </c>
      <c r="Q1257" s="1235"/>
      <c r="R1257" s="1235"/>
      <c r="S1257" s="1235"/>
      <c r="T1257" s="1235"/>
      <c r="U1257" s="1235"/>
      <c r="V1257" s="1235"/>
      <c r="W1257" s="1235"/>
    </row>
    <row r="1258" spans="1:23">
      <c r="A1258" s="2218"/>
      <c r="B1258" s="1176" t="s">
        <v>453</v>
      </c>
      <c r="C1258" s="1178">
        <v>25</v>
      </c>
      <c r="D1258" s="1178">
        <v>25</v>
      </c>
      <c r="E1258" s="1178">
        <v>25</v>
      </c>
      <c r="F1258" s="1178">
        <v>25</v>
      </c>
      <c r="G1258" s="1178">
        <v>25</v>
      </c>
      <c r="H1258" s="1178">
        <v>25</v>
      </c>
      <c r="I1258" s="1178">
        <v>25</v>
      </c>
      <c r="J1258" s="1178">
        <v>25</v>
      </c>
      <c r="K1258" s="1178">
        <v>25</v>
      </c>
      <c r="L1258" s="1178">
        <v>25</v>
      </c>
      <c r="M1258" s="1178">
        <v>25</v>
      </c>
      <c r="N1258" s="1178">
        <v>25</v>
      </c>
      <c r="O1258" s="1179">
        <f t="shared" si="310"/>
        <v>25</v>
      </c>
      <c r="P1258" s="1180">
        <f>O1252/M!$Q$14</f>
        <v>8.8077920601138823E-2</v>
      </c>
      <c r="Q1258" s="1235"/>
      <c r="R1258" s="1235"/>
      <c r="S1258" s="1235"/>
      <c r="T1258" s="1235"/>
      <c r="U1258" s="1235"/>
      <c r="V1258" s="1235"/>
      <c r="W1258" s="1235"/>
    </row>
    <row r="1259" spans="1:23">
      <c r="A1259" s="2218"/>
      <c r="B1259" s="1176" t="s">
        <v>400</v>
      </c>
      <c r="C1259" s="1178">
        <v>0</v>
      </c>
      <c r="D1259" s="1178">
        <v>0</v>
      </c>
      <c r="E1259" s="1178">
        <v>0</v>
      </c>
      <c r="F1259" s="1178">
        <v>0</v>
      </c>
      <c r="G1259" s="1178">
        <v>0</v>
      </c>
      <c r="H1259" s="1178">
        <v>205</v>
      </c>
      <c r="I1259" s="1178">
        <v>0</v>
      </c>
      <c r="J1259" s="1178">
        <v>0</v>
      </c>
      <c r="K1259" s="1178">
        <v>0</v>
      </c>
      <c r="L1259" s="1178">
        <v>0</v>
      </c>
      <c r="M1259" s="1178">
        <v>0</v>
      </c>
      <c r="N1259" s="1178">
        <v>0</v>
      </c>
      <c r="O1259" s="1179">
        <f t="shared" si="310"/>
        <v>17.083333333333332</v>
      </c>
      <c r="P1259" s="1180">
        <f>O1253/M!$Q$14</f>
        <v>2.3936708434165527E-2</v>
      </c>
      <c r="Q1259" s="1235"/>
      <c r="R1259" s="1235"/>
      <c r="S1259" s="1235"/>
      <c r="T1259" s="1235"/>
      <c r="U1259" s="1235"/>
      <c r="V1259" s="1235"/>
      <c r="W1259" s="1235"/>
    </row>
    <row r="1260" spans="1:23">
      <c r="A1260" s="2218"/>
      <c r="B1260" s="1176" t="s">
        <v>401</v>
      </c>
      <c r="C1260" s="1178">
        <v>298</v>
      </c>
      <c r="D1260" s="1178">
        <v>345</v>
      </c>
      <c r="E1260" s="1178">
        <v>298</v>
      </c>
      <c r="F1260" s="1178">
        <v>298</v>
      </c>
      <c r="G1260" s="1178">
        <v>322</v>
      </c>
      <c r="H1260" s="1178">
        <v>322</v>
      </c>
      <c r="I1260" s="1178">
        <v>322</v>
      </c>
      <c r="J1260" s="1178">
        <v>322</v>
      </c>
      <c r="K1260" s="1178">
        <v>322</v>
      </c>
      <c r="L1260" s="1178">
        <v>322</v>
      </c>
      <c r="M1260" s="1178">
        <v>322</v>
      </c>
      <c r="N1260" s="1178">
        <v>322</v>
      </c>
      <c r="O1260" s="1179">
        <f t="shared" si="310"/>
        <v>317.91666666666669</v>
      </c>
      <c r="P1260" s="1180">
        <f>O1254/M!$Q$14</f>
        <v>0</v>
      </c>
      <c r="Q1260" s="1235"/>
      <c r="R1260" s="1235"/>
      <c r="S1260" s="1235"/>
      <c r="T1260" s="1235"/>
      <c r="U1260" s="1235"/>
      <c r="V1260" s="1235"/>
      <c r="W1260" s="1235"/>
    </row>
    <row r="1261" spans="1:23">
      <c r="A1261" s="2218"/>
      <c r="B1261" s="1176" t="s">
        <v>402</v>
      </c>
      <c r="C1261" s="1178">
        <v>34</v>
      </c>
      <c r="D1261" s="1178">
        <v>34</v>
      </c>
      <c r="E1261" s="1178">
        <v>34</v>
      </c>
      <c r="F1261" s="1178">
        <v>34</v>
      </c>
      <c r="G1261" s="1178">
        <v>34</v>
      </c>
      <c r="H1261" s="1178">
        <v>34</v>
      </c>
      <c r="I1261" s="1178">
        <v>34</v>
      </c>
      <c r="J1261" s="1178">
        <v>34</v>
      </c>
      <c r="K1261" s="1178">
        <v>34</v>
      </c>
      <c r="L1261" s="1178">
        <v>34</v>
      </c>
      <c r="M1261" s="1178">
        <v>34</v>
      </c>
      <c r="N1261" s="1178">
        <v>34</v>
      </c>
      <c r="O1261" s="1179">
        <f t="shared" si="310"/>
        <v>34</v>
      </c>
      <c r="P1261" s="1180">
        <f>O1255/M!$Q$14</f>
        <v>1.4124557934353922E-2</v>
      </c>
      <c r="Q1261" s="1235"/>
      <c r="R1261" s="1235"/>
      <c r="S1261" s="1235"/>
      <c r="T1261" s="1235"/>
      <c r="U1261" s="1235"/>
      <c r="V1261" s="1235"/>
      <c r="W1261" s="1235"/>
    </row>
    <row r="1262" spans="1:23">
      <c r="A1262" s="2219"/>
      <c r="B1262" s="1176" t="s">
        <v>403</v>
      </c>
      <c r="C1262" s="1178">
        <v>0</v>
      </c>
      <c r="D1262" s="1178">
        <v>0</v>
      </c>
      <c r="E1262" s="1178">
        <v>0</v>
      </c>
      <c r="F1262" s="1178">
        <v>0</v>
      </c>
      <c r="G1262" s="1178">
        <v>0</v>
      </c>
      <c r="H1262" s="1178">
        <v>0</v>
      </c>
      <c r="I1262" s="1178">
        <v>0</v>
      </c>
      <c r="J1262" s="1178">
        <v>0</v>
      </c>
      <c r="K1262" s="1178">
        <v>0</v>
      </c>
      <c r="L1262" s="1178">
        <v>0</v>
      </c>
      <c r="M1262" s="1178">
        <v>0</v>
      </c>
      <c r="N1262" s="1178">
        <v>3</v>
      </c>
      <c r="O1262" s="1179">
        <f t="shared" si="310"/>
        <v>0.25</v>
      </c>
      <c r="P1262" s="1180">
        <f>O1256/M!$Q$14</f>
        <v>3.1278500401741981E-2</v>
      </c>
      <c r="Q1262" s="1235"/>
      <c r="R1262" s="1235"/>
      <c r="S1262" s="1235"/>
      <c r="T1262" s="1235"/>
      <c r="U1262" s="1235"/>
      <c r="V1262" s="1235"/>
      <c r="W1262" s="1235"/>
    </row>
    <row r="1263" spans="1:23">
      <c r="A1263" s="2191" t="s">
        <v>276</v>
      </c>
      <c r="B1263" s="2192"/>
      <c r="C1263" s="2203">
        <f t="shared" ref="C1263:N1263" si="311">SUM(C1265:C1270)</f>
        <v>1861</v>
      </c>
      <c r="D1263" s="2203">
        <f t="shared" si="311"/>
        <v>586</v>
      </c>
      <c r="E1263" s="2203">
        <f t="shared" si="311"/>
        <v>735</v>
      </c>
      <c r="F1263" s="2203">
        <f t="shared" si="311"/>
        <v>700</v>
      </c>
      <c r="G1263" s="2203">
        <f t="shared" si="311"/>
        <v>1157</v>
      </c>
      <c r="H1263" s="2203">
        <f t="shared" si="311"/>
        <v>586</v>
      </c>
      <c r="I1263" s="2203">
        <f t="shared" si="311"/>
        <v>586</v>
      </c>
      <c r="J1263" s="2203">
        <f t="shared" si="311"/>
        <v>595</v>
      </c>
      <c r="K1263" s="2203">
        <f t="shared" si="311"/>
        <v>655</v>
      </c>
      <c r="L1263" s="2203">
        <f t="shared" si="311"/>
        <v>558</v>
      </c>
      <c r="M1263" s="2203">
        <f t="shared" si="311"/>
        <v>558</v>
      </c>
      <c r="N1263" s="2203">
        <f t="shared" si="311"/>
        <v>730</v>
      </c>
      <c r="O1263" s="2203">
        <f>SUM(O1265:O1270)</f>
        <v>775.58333333333337</v>
      </c>
      <c r="P1263" s="1180">
        <f>O1257/M!$Q$14</f>
        <v>2.7641917970983088E-2</v>
      </c>
      <c r="Q1263" s="1235"/>
      <c r="R1263" s="1235"/>
      <c r="S1263" s="1235"/>
      <c r="T1263" s="1235"/>
      <c r="U1263" s="1235"/>
      <c r="V1263" s="1235"/>
      <c r="W1263" s="1235"/>
    </row>
    <row r="1264" spans="1:23">
      <c r="A1264" s="2193"/>
      <c r="B1264" s="2194"/>
      <c r="C1264" s="2204"/>
      <c r="D1264" s="2204"/>
      <c r="E1264" s="2204"/>
      <c r="F1264" s="2204"/>
      <c r="G1264" s="2204"/>
      <c r="H1264" s="2204"/>
      <c r="I1264" s="2204"/>
      <c r="J1264" s="2204"/>
      <c r="K1264" s="2204"/>
      <c r="L1264" s="2204"/>
      <c r="M1264" s="2204"/>
      <c r="N1264" s="2204"/>
      <c r="O1264" s="2204"/>
      <c r="P1264" s="1180">
        <f>O1258/M!$Q$14</f>
        <v>2.2418424956190662E-3</v>
      </c>
      <c r="Q1264" s="1235"/>
      <c r="R1264" s="1235"/>
      <c r="S1264" s="1235"/>
      <c r="T1264" s="1235"/>
      <c r="U1264" s="1235"/>
      <c r="V1264" s="1235"/>
      <c r="W1264" s="1235"/>
    </row>
    <row r="1265" spans="1:23">
      <c r="A1265" s="2217"/>
      <c r="B1265" s="1176" t="s">
        <v>666</v>
      </c>
      <c r="C1265" s="1228">
        <v>470</v>
      </c>
      <c r="D1265" s="1228">
        <v>470</v>
      </c>
      <c r="E1265" s="1228">
        <v>470</v>
      </c>
      <c r="F1265" s="1228">
        <v>470</v>
      </c>
      <c r="G1265" s="1228">
        <v>470</v>
      </c>
      <c r="H1265" s="1228">
        <v>470</v>
      </c>
      <c r="I1265" s="1229">
        <v>470</v>
      </c>
      <c r="J1265" s="1229">
        <v>470</v>
      </c>
      <c r="K1265" s="1229">
        <v>470</v>
      </c>
      <c r="L1265" s="1229">
        <v>470</v>
      </c>
      <c r="M1265" s="1229">
        <v>470</v>
      </c>
      <c r="N1265" s="1229">
        <v>470</v>
      </c>
      <c r="O1265" s="1179">
        <f t="shared" ref="O1265:O1270" si="312">SUM(C1265:N1265)/12</f>
        <v>470</v>
      </c>
      <c r="P1265" s="1180">
        <f>O1259/M!$Q$14</f>
        <v>1.5319257053396952E-3</v>
      </c>
      <c r="Q1265" s="1235"/>
      <c r="R1265" s="1235"/>
      <c r="S1265" s="1235"/>
      <c r="T1265" s="1235"/>
      <c r="U1265" s="1235"/>
      <c r="V1265" s="1235"/>
      <c r="W1265" s="1235"/>
    </row>
    <row r="1266" spans="1:23">
      <c r="A1266" s="2218"/>
      <c r="B1266" s="1176" t="s">
        <v>400</v>
      </c>
      <c r="C1266" s="1228">
        <v>118</v>
      </c>
      <c r="D1266" s="1228">
        <v>116</v>
      </c>
      <c r="E1266" s="1228">
        <v>116</v>
      </c>
      <c r="F1266" s="1228">
        <v>116</v>
      </c>
      <c r="G1266" s="1228">
        <v>116</v>
      </c>
      <c r="H1266" s="1228">
        <v>116</v>
      </c>
      <c r="I1266" s="1229">
        <v>116</v>
      </c>
      <c r="J1266" s="1229">
        <v>125</v>
      </c>
      <c r="K1266" s="1229">
        <v>125</v>
      </c>
      <c r="L1266" s="1229">
        <v>88</v>
      </c>
      <c r="M1266" s="1229">
        <v>88</v>
      </c>
      <c r="N1266" s="1229">
        <v>88</v>
      </c>
      <c r="O1266" s="1179">
        <f t="shared" si="312"/>
        <v>110.66666666666667</v>
      </c>
      <c r="P1266" s="1180">
        <f>O1260/M!$Q$14</f>
        <v>2.8508763735955796E-2</v>
      </c>
      <c r="Q1266" s="1235"/>
      <c r="R1266" s="1235"/>
      <c r="S1266" s="1235"/>
      <c r="T1266" s="1235"/>
      <c r="U1266" s="1235"/>
      <c r="V1266" s="1235"/>
      <c r="W1266" s="1235"/>
    </row>
    <row r="1267" spans="1:23">
      <c r="A1267" s="2218"/>
      <c r="B1267" s="1176" t="s">
        <v>454</v>
      </c>
      <c r="C1267" s="1228">
        <v>0</v>
      </c>
      <c r="D1267" s="1228">
        <v>0</v>
      </c>
      <c r="E1267" s="1228">
        <v>139</v>
      </c>
      <c r="F1267" s="1228">
        <v>29</v>
      </c>
      <c r="G1267" s="1228">
        <v>544</v>
      </c>
      <c r="H1267" s="1228">
        <v>0</v>
      </c>
      <c r="I1267" s="1229">
        <v>0</v>
      </c>
      <c r="J1267" s="1229">
        <v>0</v>
      </c>
      <c r="K1267" s="1229">
        <v>0</v>
      </c>
      <c r="L1267" s="1229">
        <v>0</v>
      </c>
      <c r="M1267" s="1229">
        <v>0</v>
      </c>
      <c r="N1267" s="1229">
        <v>0</v>
      </c>
      <c r="O1267" s="1179">
        <f t="shared" si="312"/>
        <v>59.333333333333336</v>
      </c>
      <c r="P1267" s="1180">
        <f>O1261/M!$Q$14</f>
        <v>3.0489057940419301E-3</v>
      </c>
      <c r="Q1267" s="1235"/>
      <c r="R1267" s="1235"/>
      <c r="S1267" s="1235"/>
      <c r="T1267" s="1235"/>
      <c r="U1267" s="1235"/>
      <c r="V1267" s="1235"/>
      <c r="W1267" s="1235"/>
    </row>
    <row r="1268" spans="1:23">
      <c r="A1268" s="2218"/>
      <c r="B1268" s="1176" t="s">
        <v>407</v>
      </c>
      <c r="C1268" s="1228">
        <v>975</v>
      </c>
      <c r="D1268" s="1228">
        <v>0</v>
      </c>
      <c r="E1268" s="1228">
        <v>0</v>
      </c>
      <c r="F1268" s="1228">
        <v>0</v>
      </c>
      <c r="G1268" s="1228">
        <v>0</v>
      </c>
      <c r="H1268" s="1228">
        <v>0</v>
      </c>
      <c r="I1268" s="1229">
        <v>0</v>
      </c>
      <c r="J1268" s="1229">
        <v>0</v>
      </c>
      <c r="K1268" s="1229">
        <v>0</v>
      </c>
      <c r="L1268" s="1229">
        <v>0</v>
      </c>
      <c r="M1268" s="1229">
        <v>0</v>
      </c>
      <c r="N1268" s="1229">
        <v>0</v>
      </c>
      <c r="O1268" s="1179">
        <f t="shared" si="312"/>
        <v>81.25</v>
      </c>
      <c r="P1268" s="1180">
        <f>O1262/M!$Q$14</f>
        <v>2.2418424956190664E-5</v>
      </c>
      <c r="Q1268" s="1235"/>
      <c r="R1268" s="1235"/>
      <c r="S1268" s="1235"/>
      <c r="T1268" s="1235"/>
      <c r="U1268" s="1235"/>
      <c r="V1268" s="1235"/>
      <c r="W1268" s="1235"/>
    </row>
    <row r="1269" spans="1:23">
      <c r="A1269" s="2218"/>
      <c r="B1269" s="1176" t="s">
        <v>408</v>
      </c>
      <c r="C1269" s="1228">
        <v>71</v>
      </c>
      <c r="D1269" s="1228">
        <v>0</v>
      </c>
      <c r="E1269" s="1228">
        <v>0</v>
      </c>
      <c r="F1269" s="1228">
        <v>0</v>
      </c>
      <c r="G1269" s="1228">
        <v>0</v>
      </c>
      <c r="H1269" s="1228">
        <v>0</v>
      </c>
      <c r="I1269" s="1229">
        <v>0</v>
      </c>
      <c r="J1269" s="1229">
        <v>0</v>
      </c>
      <c r="K1269" s="1229">
        <v>0</v>
      </c>
      <c r="L1269" s="1229">
        <v>0</v>
      </c>
      <c r="M1269" s="1229">
        <v>0</v>
      </c>
      <c r="N1269" s="1229">
        <v>121</v>
      </c>
      <c r="O1269" s="1179">
        <f t="shared" si="312"/>
        <v>16</v>
      </c>
      <c r="P1269" s="2205">
        <f>O1263/M!$Q$14</f>
        <v>6.9549427022422172E-2</v>
      </c>
      <c r="Q1269" s="1235"/>
      <c r="R1269" s="1235"/>
      <c r="S1269" s="1235"/>
      <c r="T1269" s="1235"/>
      <c r="U1269" s="1235"/>
      <c r="V1269" s="1235"/>
      <c r="W1269" s="1235"/>
    </row>
    <row r="1270" spans="1:23">
      <c r="A1270" s="2219"/>
      <c r="B1270" s="1176" t="s">
        <v>409</v>
      </c>
      <c r="C1270" s="1228">
        <v>227</v>
      </c>
      <c r="D1270" s="1228">
        <v>0</v>
      </c>
      <c r="E1270" s="1228">
        <v>10</v>
      </c>
      <c r="F1270" s="1228">
        <v>85</v>
      </c>
      <c r="G1270" s="1228">
        <v>27</v>
      </c>
      <c r="H1270" s="1228">
        <v>0</v>
      </c>
      <c r="I1270" s="1229">
        <v>0</v>
      </c>
      <c r="J1270" s="1229">
        <v>0</v>
      </c>
      <c r="K1270" s="1229">
        <v>60</v>
      </c>
      <c r="L1270" s="1229">
        <v>0</v>
      </c>
      <c r="M1270" s="1229">
        <v>0</v>
      </c>
      <c r="N1270" s="1229">
        <v>51</v>
      </c>
      <c r="O1270" s="1179">
        <f t="shared" si="312"/>
        <v>38.333333333333336</v>
      </c>
      <c r="P1270" s="2206"/>
      <c r="Q1270" s="1235"/>
      <c r="R1270" s="1235"/>
      <c r="S1270" s="1235"/>
      <c r="T1270" s="1235"/>
      <c r="U1270" s="1235"/>
      <c r="V1270" s="1235"/>
      <c r="W1270" s="1235"/>
    </row>
    <row r="1271" spans="1:23">
      <c r="A1271" s="2191" t="s">
        <v>277</v>
      </c>
      <c r="B1271" s="2192"/>
      <c r="C1271" s="2203">
        <f t="shared" ref="C1271:N1271" si="313">SUM(C1273:C1276)</f>
        <v>440</v>
      </c>
      <c r="D1271" s="2203">
        <f t="shared" si="313"/>
        <v>310</v>
      </c>
      <c r="E1271" s="2203">
        <f t="shared" si="313"/>
        <v>179</v>
      </c>
      <c r="F1271" s="2203">
        <f t="shared" si="313"/>
        <v>266</v>
      </c>
      <c r="G1271" s="2203">
        <f t="shared" si="313"/>
        <v>423</v>
      </c>
      <c r="H1271" s="2203">
        <f t="shared" si="313"/>
        <v>280</v>
      </c>
      <c r="I1271" s="2203">
        <f t="shared" si="313"/>
        <v>170</v>
      </c>
      <c r="J1271" s="2203">
        <f t="shared" si="313"/>
        <v>374</v>
      </c>
      <c r="K1271" s="2203">
        <f t="shared" si="313"/>
        <v>406</v>
      </c>
      <c r="L1271" s="2203">
        <f t="shared" si="313"/>
        <v>402</v>
      </c>
      <c r="M1271" s="2203">
        <f t="shared" si="313"/>
        <v>588</v>
      </c>
      <c r="N1271" s="2203">
        <f t="shared" si="313"/>
        <v>514</v>
      </c>
      <c r="O1271" s="2203">
        <f>SUM(O1273:O1276)</f>
        <v>362.66666666666669</v>
      </c>
      <c r="P1271" s="1180">
        <f>O1265/M!$Q$14</f>
        <v>4.2146638917638445E-2</v>
      </c>
      <c r="Q1271" s="1235"/>
      <c r="R1271" s="1235"/>
      <c r="S1271" s="1235"/>
      <c r="T1271" s="1235"/>
      <c r="U1271" s="1235"/>
      <c r="V1271" s="1235"/>
      <c r="W1271" s="1235"/>
    </row>
    <row r="1272" spans="1:23">
      <c r="A1272" s="2193"/>
      <c r="B1272" s="2194"/>
      <c r="C1272" s="2204"/>
      <c r="D1272" s="2204"/>
      <c r="E1272" s="2204"/>
      <c r="F1272" s="2204"/>
      <c r="G1272" s="2204"/>
      <c r="H1272" s="2204"/>
      <c r="I1272" s="2204"/>
      <c r="J1272" s="2204"/>
      <c r="K1272" s="2204"/>
      <c r="L1272" s="2204"/>
      <c r="M1272" s="2204"/>
      <c r="N1272" s="2204"/>
      <c r="O1272" s="2204"/>
      <c r="P1272" s="1180">
        <f>O1266/M!$Q$14</f>
        <v>9.9238894472737336E-3</v>
      </c>
      <c r="Q1272" s="1235"/>
      <c r="R1272" s="1235"/>
      <c r="S1272" s="1235"/>
      <c r="T1272" s="1235"/>
      <c r="U1272" s="1235"/>
      <c r="V1272" s="1235"/>
      <c r="W1272" s="1235"/>
    </row>
    <row r="1273" spans="1:23">
      <c r="A1273" s="2217"/>
      <c r="B1273" s="1176" t="s">
        <v>410</v>
      </c>
      <c r="C1273" s="1228">
        <v>202</v>
      </c>
      <c r="D1273" s="1228">
        <v>240</v>
      </c>
      <c r="E1273" s="1228">
        <v>179</v>
      </c>
      <c r="F1273" s="1228">
        <v>210</v>
      </c>
      <c r="G1273" s="1228">
        <v>170</v>
      </c>
      <c r="H1273" s="1228">
        <v>264</v>
      </c>
      <c r="I1273" s="1229">
        <v>155</v>
      </c>
      <c r="J1273" s="1229">
        <v>240</v>
      </c>
      <c r="K1273" s="1229">
        <v>284</v>
      </c>
      <c r="L1273" s="1229">
        <v>337</v>
      </c>
      <c r="M1273" s="1229">
        <v>373</v>
      </c>
      <c r="N1273" s="1229">
        <v>433</v>
      </c>
      <c r="O1273" s="1179">
        <f>SUM(C1273:N1273)/12</f>
        <v>257.25</v>
      </c>
      <c r="P1273" s="1180">
        <f>O1267/M!$Q$14</f>
        <v>5.3206395229359171E-3</v>
      </c>
      <c r="Q1273" s="1235"/>
      <c r="R1273" s="1235"/>
      <c r="S1273" s="1235"/>
      <c r="T1273" s="1235"/>
      <c r="U1273" s="1235"/>
      <c r="V1273" s="1235"/>
      <c r="W1273" s="1235"/>
    </row>
    <row r="1274" spans="1:23">
      <c r="A1274" s="2218"/>
      <c r="B1274" s="1176" t="s">
        <v>457</v>
      </c>
      <c r="C1274" s="1228">
        <v>202</v>
      </c>
      <c r="D1274" s="1228">
        <v>0</v>
      </c>
      <c r="E1274" s="1228">
        <v>0</v>
      </c>
      <c r="F1274" s="1228">
        <v>0</v>
      </c>
      <c r="G1274" s="1228">
        <v>192</v>
      </c>
      <c r="H1274" s="1228">
        <v>0</v>
      </c>
      <c r="I1274" s="1229">
        <v>0</v>
      </c>
      <c r="J1274" s="1229">
        <v>45</v>
      </c>
      <c r="K1274" s="1229">
        <v>0</v>
      </c>
      <c r="L1274" s="1229">
        <v>0</v>
      </c>
      <c r="M1274" s="1229">
        <v>116</v>
      </c>
      <c r="N1274" s="1229">
        <v>0</v>
      </c>
      <c r="O1274" s="1179">
        <f>SUM(C1274:N1274)/12</f>
        <v>46.25</v>
      </c>
      <c r="P1274" s="1180">
        <f>O1268/M!$Q$14</f>
        <v>7.2859881107619649E-3</v>
      </c>
      <c r="Q1274" s="1235"/>
      <c r="R1274" s="1235"/>
      <c r="S1274" s="1235"/>
      <c r="T1274" s="1235"/>
      <c r="U1274" s="1235"/>
      <c r="V1274" s="1235"/>
      <c r="W1274" s="1235"/>
    </row>
    <row r="1275" spans="1:23">
      <c r="A1275" s="2218"/>
      <c r="B1275" s="1176" t="s">
        <v>458</v>
      </c>
      <c r="C1275" s="1228">
        <v>36</v>
      </c>
      <c r="D1275" s="1228">
        <v>25</v>
      </c>
      <c r="E1275" s="1228">
        <v>0</v>
      </c>
      <c r="F1275" s="1228">
        <v>11</v>
      </c>
      <c r="G1275" s="1228">
        <v>16</v>
      </c>
      <c r="H1275" s="1228">
        <v>16</v>
      </c>
      <c r="I1275" s="1229">
        <v>15</v>
      </c>
      <c r="J1275" s="1229">
        <v>44</v>
      </c>
      <c r="K1275" s="1229">
        <v>63</v>
      </c>
      <c r="L1275" s="1229">
        <v>20</v>
      </c>
      <c r="M1275" s="1229">
        <v>54</v>
      </c>
      <c r="N1275" s="1229">
        <v>36</v>
      </c>
      <c r="O1275" s="1179">
        <f>SUM(C1275:N1275)/12</f>
        <v>28</v>
      </c>
      <c r="P1275" s="1180">
        <f>O1269/M!$Q$14</f>
        <v>1.4347791971962025E-3</v>
      </c>
      <c r="Q1275" s="1235"/>
      <c r="R1275" s="1235"/>
      <c r="S1275" s="1235"/>
      <c r="T1275" s="1235"/>
      <c r="U1275" s="1235"/>
      <c r="V1275" s="1235"/>
      <c r="W1275" s="1235"/>
    </row>
    <row r="1276" spans="1:23">
      <c r="A1276" s="2219"/>
      <c r="B1276" s="1176" t="s">
        <v>459</v>
      </c>
      <c r="C1276" s="1228">
        <v>0</v>
      </c>
      <c r="D1276" s="1228">
        <v>45</v>
      </c>
      <c r="E1276" s="1228">
        <v>0</v>
      </c>
      <c r="F1276" s="1228">
        <v>45</v>
      </c>
      <c r="G1276" s="1228">
        <v>45</v>
      </c>
      <c r="H1276" s="1228">
        <v>0</v>
      </c>
      <c r="I1276" s="1229">
        <v>0</v>
      </c>
      <c r="J1276" s="1229">
        <v>45</v>
      </c>
      <c r="K1276" s="1229">
        <v>59</v>
      </c>
      <c r="L1276" s="1229">
        <v>45</v>
      </c>
      <c r="M1276" s="1229">
        <v>45</v>
      </c>
      <c r="N1276" s="1229">
        <v>45</v>
      </c>
      <c r="O1276" s="1179">
        <f>SUM(C1276:N1276)/12</f>
        <v>31.166666666666668</v>
      </c>
      <c r="P1276" s="1180">
        <f>O1270/M!$Q$14</f>
        <v>3.4374918266159016E-3</v>
      </c>
      <c r="Q1276" s="1235"/>
      <c r="R1276" s="1235"/>
      <c r="S1276" s="1235"/>
      <c r="T1276" s="1235"/>
      <c r="U1276" s="1235"/>
      <c r="V1276" s="1235"/>
      <c r="W1276" s="1235"/>
    </row>
    <row r="1277" spans="1:23">
      <c r="A1277" s="2191" t="s">
        <v>278</v>
      </c>
      <c r="B1277" s="2192"/>
      <c r="C1277" s="2203">
        <f t="shared" ref="C1277:J1277" si="314">SUM(C1279:C1280)</f>
        <v>422</v>
      </c>
      <c r="D1277" s="2203">
        <f t="shared" si="314"/>
        <v>368</v>
      </c>
      <c r="E1277" s="2203">
        <f t="shared" si="314"/>
        <v>469</v>
      </c>
      <c r="F1277" s="2203">
        <f t="shared" si="314"/>
        <v>720</v>
      </c>
      <c r="G1277" s="2203">
        <f t="shared" si="314"/>
        <v>715</v>
      </c>
      <c r="H1277" s="2203">
        <f t="shared" si="314"/>
        <v>536</v>
      </c>
      <c r="I1277" s="2203">
        <f t="shared" si="314"/>
        <v>644</v>
      </c>
      <c r="J1277" s="2203">
        <f t="shared" si="314"/>
        <v>643</v>
      </c>
      <c r="K1277" s="2203">
        <f>SUM(K1279:K1280)</f>
        <v>533</v>
      </c>
      <c r="L1277" s="2203">
        <f>SUM(L1279:L1280)</f>
        <v>503</v>
      </c>
      <c r="M1277" s="2203">
        <f>SUM(M1279:M1280)</f>
        <v>490</v>
      </c>
      <c r="N1277" s="2203">
        <f>SUM(N1279:N1280)</f>
        <v>362</v>
      </c>
      <c r="O1277" s="2203">
        <f>SUM(O1279:O1280)</f>
        <v>533.75</v>
      </c>
      <c r="P1277" s="2205">
        <f>O1271/M!$Q$14</f>
        <v>3.2521661803113923E-2</v>
      </c>
      <c r="Q1277" s="1235"/>
      <c r="R1277" s="1235"/>
      <c r="S1277" s="1235"/>
      <c r="T1277" s="1235"/>
      <c r="U1277" s="1235"/>
      <c r="V1277" s="1235"/>
      <c r="W1277" s="1235"/>
    </row>
    <row r="1278" spans="1:23">
      <c r="A1278" s="2193"/>
      <c r="B1278" s="2194"/>
      <c r="C1278" s="2204"/>
      <c r="D1278" s="2204"/>
      <c r="E1278" s="2204"/>
      <c r="F1278" s="2204"/>
      <c r="G1278" s="2204"/>
      <c r="H1278" s="2204"/>
      <c r="I1278" s="2204"/>
      <c r="J1278" s="2204"/>
      <c r="K1278" s="2204"/>
      <c r="L1278" s="2204"/>
      <c r="M1278" s="2204"/>
      <c r="N1278" s="2204"/>
      <c r="O1278" s="2204"/>
      <c r="P1278" s="2206"/>
      <c r="Q1278" s="1235"/>
      <c r="R1278" s="1235"/>
      <c r="S1278" s="1235"/>
      <c r="T1278" s="1235"/>
      <c r="U1278" s="1235"/>
      <c r="V1278" s="1235"/>
      <c r="W1278" s="1235"/>
    </row>
    <row r="1279" spans="1:23">
      <c r="A1279" s="2217"/>
      <c r="B1279" s="1176" t="s">
        <v>414</v>
      </c>
      <c r="C1279" s="1228">
        <v>399</v>
      </c>
      <c r="D1279" s="1228">
        <v>276</v>
      </c>
      <c r="E1279" s="1228">
        <v>469</v>
      </c>
      <c r="F1279" s="1228">
        <v>531</v>
      </c>
      <c r="G1279" s="1228">
        <v>474</v>
      </c>
      <c r="H1279" s="1228">
        <v>441</v>
      </c>
      <c r="I1279" s="1229">
        <v>554</v>
      </c>
      <c r="J1279" s="1229">
        <v>552</v>
      </c>
      <c r="K1279" s="1229">
        <v>456</v>
      </c>
      <c r="L1279" s="1229">
        <v>427</v>
      </c>
      <c r="M1279" s="1229">
        <v>366</v>
      </c>
      <c r="N1279" s="1229">
        <v>277</v>
      </c>
      <c r="O1279" s="1179">
        <f>SUM(C1279:N1279)/12</f>
        <v>435.16666666666669</v>
      </c>
      <c r="P1279" s="1180">
        <f>O1273/M!$Q$14</f>
        <v>2.306855927992019E-2</v>
      </c>
      <c r="Q1279" s="1235"/>
      <c r="R1279" s="1235"/>
      <c r="S1279" s="1235"/>
      <c r="T1279" s="1235"/>
      <c r="U1279" s="1235"/>
      <c r="V1279" s="1235"/>
      <c r="W1279" s="1235"/>
    </row>
    <row r="1280" spans="1:23">
      <c r="A1280" s="2219"/>
      <c r="B1280" s="1176" t="s">
        <v>278</v>
      </c>
      <c r="C1280" s="1228">
        <v>23</v>
      </c>
      <c r="D1280" s="1228">
        <v>92</v>
      </c>
      <c r="E1280" s="1228">
        <v>0</v>
      </c>
      <c r="F1280" s="1228">
        <v>189</v>
      </c>
      <c r="G1280" s="1228">
        <v>241</v>
      </c>
      <c r="H1280" s="1228">
        <v>95</v>
      </c>
      <c r="I1280" s="1229">
        <v>90</v>
      </c>
      <c r="J1280" s="1229">
        <v>91</v>
      </c>
      <c r="K1280" s="1229">
        <v>77</v>
      </c>
      <c r="L1280" s="1229">
        <v>76</v>
      </c>
      <c r="M1280" s="1229">
        <v>124</v>
      </c>
      <c r="N1280" s="1229">
        <v>85</v>
      </c>
      <c r="O1280" s="1179">
        <f>SUM(C1280:N1280)/12</f>
        <v>98.583333333333329</v>
      </c>
      <c r="P1280" s="1180">
        <f>O1274/M!$Q$14</f>
        <v>4.1474086168952727E-3</v>
      </c>
      <c r="Q1280" s="1235"/>
      <c r="R1280" s="1235"/>
      <c r="S1280" s="1235"/>
      <c r="T1280" s="1235"/>
      <c r="U1280" s="1235"/>
      <c r="V1280" s="1235"/>
      <c r="W1280" s="1235"/>
    </row>
    <row r="1281" spans="1:23">
      <c r="A1281" s="2191" t="s">
        <v>279</v>
      </c>
      <c r="B1281" s="2192"/>
      <c r="C1281" s="2203">
        <f t="shared" ref="C1281:N1281" si="315">SUM(C1283:C1290)</f>
        <v>493</v>
      </c>
      <c r="D1281" s="2203">
        <f t="shared" si="315"/>
        <v>443</v>
      </c>
      <c r="E1281" s="2203">
        <f t="shared" si="315"/>
        <v>403</v>
      </c>
      <c r="F1281" s="2203">
        <f t="shared" si="315"/>
        <v>403</v>
      </c>
      <c r="G1281" s="2203">
        <f t="shared" si="315"/>
        <v>341</v>
      </c>
      <c r="H1281" s="2203">
        <f t="shared" si="315"/>
        <v>385</v>
      </c>
      <c r="I1281" s="2203">
        <f t="shared" si="315"/>
        <v>449</v>
      </c>
      <c r="J1281" s="2203">
        <f t="shared" si="315"/>
        <v>435</v>
      </c>
      <c r="K1281" s="2203">
        <f t="shared" si="315"/>
        <v>401</v>
      </c>
      <c r="L1281" s="2203">
        <f t="shared" si="315"/>
        <v>376</v>
      </c>
      <c r="M1281" s="2203">
        <f t="shared" si="315"/>
        <v>398</v>
      </c>
      <c r="N1281" s="2203">
        <f t="shared" si="315"/>
        <v>388</v>
      </c>
      <c r="O1281" s="2203">
        <f>SUM(O1283:O1290)</f>
        <v>409.58333333333326</v>
      </c>
      <c r="P1281" s="1180">
        <f>O1275/M!$Q$14</f>
        <v>2.5108635950933543E-3</v>
      </c>
      <c r="Q1281" s="1235"/>
      <c r="R1281" s="1235"/>
      <c r="S1281" s="1235"/>
      <c r="T1281" s="1235"/>
      <c r="U1281" s="1235"/>
      <c r="V1281" s="1235"/>
      <c r="W1281" s="1235"/>
    </row>
    <row r="1282" spans="1:23">
      <c r="A1282" s="2193"/>
      <c r="B1282" s="2194"/>
      <c r="C1282" s="2204"/>
      <c r="D1282" s="2204"/>
      <c r="E1282" s="2204"/>
      <c r="F1282" s="2204"/>
      <c r="G1282" s="2204"/>
      <c r="H1282" s="2204"/>
      <c r="I1282" s="2204"/>
      <c r="J1282" s="2204"/>
      <c r="K1282" s="2204"/>
      <c r="L1282" s="2204"/>
      <c r="M1282" s="2204"/>
      <c r="N1282" s="2204"/>
      <c r="O1282" s="2204"/>
      <c r="P1282" s="1180">
        <f>O1276/M!$Q$14</f>
        <v>2.7948303112051028E-3</v>
      </c>
      <c r="Q1282" s="1235"/>
      <c r="R1282" s="1235"/>
      <c r="S1282" s="1235"/>
      <c r="T1282" s="1235"/>
      <c r="U1282" s="1235"/>
      <c r="V1282" s="1235"/>
      <c r="W1282" s="1235"/>
    </row>
    <row r="1283" spans="1:23">
      <c r="A1283" s="2217"/>
      <c r="B1283" s="1176" t="s">
        <v>415</v>
      </c>
      <c r="C1283" s="1228">
        <v>107</v>
      </c>
      <c r="D1283" s="1228">
        <v>92</v>
      </c>
      <c r="E1283" s="1228">
        <v>92</v>
      </c>
      <c r="F1283" s="1228">
        <v>93</v>
      </c>
      <c r="G1283" s="1228">
        <v>89</v>
      </c>
      <c r="H1283" s="1228">
        <v>140</v>
      </c>
      <c r="I1283" s="1229">
        <v>196</v>
      </c>
      <c r="J1283" s="1229">
        <v>185</v>
      </c>
      <c r="K1283" s="1229">
        <v>163</v>
      </c>
      <c r="L1283" s="1229">
        <v>110</v>
      </c>
      <c r="M1283" s="1229">
        <v>99</v>
      </c>
      <c r="N1283" s="1229">
        <v>87</v>
      </c>
      <c r="O1283" s="1179">
        <f t="shared" ref="O1283:O1290" si="316">SUM(C1283:N1283)/12</f>
        <v>121.08333333333333</v>
      </c>
      <c r="P1283" s="2205">
        <f>O1277/M!$Q$14</f>
        <v>4.7863337281467064E-2</v>
      </c>
      <c r="Q1283" s="1235"/>
      <c r="R1283" s="1235"/>
      <c r="S1283" s="1235"/>
      <c r="T1283" s="1235"/>
      <c r="U1283" s="1235"/>
      <c r="V1283" s="1235"/>
      <c r="W1283" s="1235"/>
    </row>
    <row r="1284" spans="1:23">
      <c r="A1284" s="2218"/>
      <c r="B1284" s="1176" t="s">
        <v>416</v>
      </c>
      <c r="C1284" s="1182">
        <v>0</v>
      </c>
      <c r="D1284" s="1182">
        <v>0</v>
      </c>
      <c r="E1284" s="1182">
        <v>0</v>
      </c>
      <c r="F1284" s="1182">
        <v>0</v>
      </c>
      <c r="G1284" s="1182">
        <v>0</v>
      </c>
      <c r="H1284" s="1182">
        <v>0</v>
      </c>
      <c r="I1284" s="1182">
        <v>0</v>
      </c>
      <c r="J1284" s="1182">
        <v>0</v>
      </c>
      <c r="K1284" s="1182">
        <v>0</v>
      </c>
      <c r="L1284" s="1182">
        <v>0</v>
      </c>
      <c r="M1284" s="1182">
        <v>0</v>
      </c>
      <c r="N1284" s="1182">
        <v>0</v>
      </c>
      <c r="O1284" s="1179">
        <f t="shared" si="316"/>
        <v>0</v>
      </c>
      <c r="P1284" s="2206"/>
      <c r="Q1284" s="1235"/>
      <c r="R1284" s="1235"/>
      <c r="S1284" s="1235"/>
      <c r="T1284" s="1235"/>
      <c r="U1284" s="1235"/>
      <c r="V1284" s="1235"/>
      <c r="W1284" s="1235"/>
    </row>
    <row r="1285" spans="1:23">
      <c r="A1285" s="2218"/>
      <c r="B1285" s="1176" t="s">
        <v>417</v>
      </c>
      <c r="C1285" s="1182">
        <v>0</v>
      </c>
      <c r="D1285" s="1182">
        <v>0</v>
      </c>
      <c r="E1285" s="1182">
        <v>0</v>
      </c>
      <c r="F1285" s="1182">
        <v>0</v>
      </c>
      <c r="G1285" s="1182">
        <v>0</v>
      </c>
      <c r="H1285" s="1182">
        <v>0</v>
      </c>
      <c r="I1285" s="1182">
        <v>0</v>
      </c>
      <c r="J1285" s="1182">
        <v>0</v>
      </c>
      <c r="K1285" s="1182">
        <v>0</v>
      </c>
      <c r="L1285" s="1182">
        <v>0</v>
      </c>
      <c r="M1285" s="1182">
        <v>0</v>
      </c>
      <c r="N1285" s="1182">
        <v>0</v>
      </c>
      <c r="O1285" s="1179">
        <f t="shared" si="316"/>
        <v>0</v>
      </c>
      <c r="P1285" s="1180">
        <f>O1279/M!$Q$14</f>
        <v>3.9023005040409217E-2</v>
      </c>
      <c r="Q1285" s="1235"/>
      <c r="R1285" s="1235"/>
      <c r="S1285" s="1235"/>
      <c r="T1285" s="1235"/>
      <c r="U1285" s="1235"/>
      <c r="V1285" s="1235"/>
      <c r="W1285" s="1235"/>
    </row>
    <row r="1286" spans="1:23">
      <c r="A1286" s="2218"/>
      <c r="B1286" s="1176" t="s">
        <v>410</v>
      </c>
      <c r="C1286" s="1228">
        <v>157</v>
      </c>
      <c r="D1286" s="1228">
        <v>147</v>
      </c>
      <c r="E1286" s="1228">
        <v>107</v>
      </c>
      <c r="F1286" s="1228">
        <v>81</v>
      </c>
      <c r="G1286" s="1228">
        <v>48</v>
      </c>
      <c r="H1286" s="1228">
        <v>41</v>
      </c>
      <c r="I1286" s="1229">
        <v>48</v>
      </c>
      <c r="J1286" s="1229">
        <v>42</v>
      </c>
      <c r="K1286" s="1229">
        <v>37</v>
      </c>
      <c r="L1286" s="1229">
        <v>57</v>
      </c>
      <c r="M1286" s="1229">
        <v>95</v>
      </c>
      <c r="N1286" s="1229">
        <v>95</v>
      </c>
      <c r="O1286" s="1179">
        <f t="shared" si="316"/>
        <v>79.583333333333329</v>
      </c>
      <c r="P1286" s="1180">
        <f>O1280/M!$Q$14</f>
        <v>8.8403322410578501E-3</v>
      </c>
      <c r="Q1286" s="1235"/>
      <c r="R1286" s="1235"/>
      <c r="S1286" s="1235"/>
      <c r="T1286" s="1235"/>
      <c r="U1286" s="1235"/>
      <c r="V1286" s="1235"/>
      <c r="W1286" s="1235"/>
    </row>
    <row r="1287" spans="1:23">
      <c r="A1287" s="2218"/>
      <c r="B1287" s="1176" t="s">
        <v>418</v>
      </c>
      <c r="C1287" s="1228">
        <v>60</v>
      </c>
      <c r="D1287" s="1228">
        <v>60</v>
      </c>
      <c r="E1287" s="1228">
        <v>60</v>
      </c>
      <c r="F1287" s="1228">
        <v>60</v>
      </c>
      <c r="G1287" s="1228">
        <v>60</v>
      </c>
      <c r="H1287" s="1228">
        <v>60</v>
      </c>
      <c r="I1287" s="1229">
        <v>60</v>
      </c>
      <c r="J1287" s="1229">
        <v>60</v>
      </c>
      <c r="K1287" s="1229">
        <v>60</v>
      </c>
      <c r="L1287" s="1229">
        <v>60</v>
      </c>
      <c r="M1287" s="1229">
        <v>60</v>
      </c>
      <c r="N1287" s="1229">
        <v>60</v>
      </c>
      <c r="O1287" s="1179">
        <f t="shared" si="316"/>
        <v>60</v>
      </c>
      <c r="P1287" s="2205">
        <f>O1281/M!$Q$14</f>
        <v>3.6728852886559027E-2</v>
      </c>
      <c r="Q1287" s="1235"/>
      <c r="R1287" s="1235"/>
      <c r="S1287" s="1235"/>
      <c r="T1287" s="1235"/>
      <c r="U1287" s="1235"/>
      <c r="V1287" s="1235"/>
      <c r="W1287" s="1235"/>
    </row>
    <row r="1288" spans="1:23">
      <c r="A1288" s="2218"/>
      <c r="B1288" s="1176" t="s">
        <v>419</v>
      </c>
      <c r="C1288" s="1228">
        <v>35</v>
      </c>
      <c r="D1288" s="1228">
        <v>35</v>
      </c>
      <c r="E1288" s="1228">
        <v>35</v>
      </c>
      <c r="F1288" s="1228">
        <v>35</v>
      </c>
      <c r="G1288" s="1228">
        <v>35</v>
      </c>
      <c r="H1288" s="1228">
        <v>35</v>
      </c>
      <c r="I1288" s="1229">
        <v>35</v>
      </c>
      <c r="J1288" s="1229">
        <v>35</v>
      </c>
      <c r="K1288" s="1229">
        <v>35</v>
      </c>
      <c r="L1288" s="1229">
        <v>35</v>
      </c>
      <c r="M1288" s="1229">
        <v>35</v>
      </c>
      <c r="N1288" s="1229">
        <v>35</v>
      </c>
      <c r="O1288" s="1179">
        <f t="shared" si="316"/>
        <v>35</v>
      </c>
      <c r="P1288" s="2206"/>
      <c r="Q1288" s="1235"/>
      <c r="R1288" s="1235"/>
      <c r="S1288" s="1235"/>
      <c r="T1288" s="1235"/>
      <c r="U1288" s="1235"/>
      <c r="V1288" s="1235"/>
      <c r="W1288" s="1235"/>
    </row>
    <row r="1289" spans="1:23">
      <c r="A1289" s="2218"/>
      <c r="B1289" s="1176" t="s">
        <v>460</v>
      </c>
      <c r="C1289" s="1228">
        <v>25</v>
      </c>
      <c r="D1289" s="1228">
        <v>0</v>
      </c>
      <c r="E1289" s="1228">
        <v>0</v>
      </c>
      <c r="F1289" s="1228">
        <v>25</v>
      </c>
      <c r="G1289" s="1228">
        <v>0</v>
      </c>
      <c r="H1289" s="1228">
        <v>0</v>
      </c>
      <c r="I1289" s="1229">
        <v>0</v>
      </c>
      <c r="J1289" s="1229">
        <v>0</v>
      </c>
      <c r="K1289" s="1229">
        <v>0</v>
      </c>
      <c r="L1289" s="1229">
        <v>0</v>
      </c>
      <c r="M1289" s="1229">
        <v>0</v>
      </c>
      <c r="N1289" s="1229">
        <v>2</v>
      </c>
      <c r="O1289" s="1179">
        <f t="shared" si="316"/>
        <v>4.333333333333333</v>
      </c>
      <c r="P1289" s="1180">
        <f>O1283/M!$Q$14</f>
        <v>1.0857990487115011E-2</v>
      </c>
      <c r="Q1289" s="1235"/>
      <c r="R1289" s="1235"/>
      <c r="S1289" s="1235"/>
      <c r="T1289" s="1235"/>
      <c r="U1289" s="1235"/>
      <c r="V1289" s="1235"/>
      <c r="W1289" s="1235"/>
    </row>
    <row r="1290" spans="1:23">
      <c r="A1290" s="2219"/>
      <c r="B1290" s="1176" t="s">
        <v>421</v>
      </c>
      <c r="C1290" s="1228">
        <v>109</v>
      </c>
      <c r="D1290" s="1228">
        <v>109</v>
      </c>
      <c r="E1290" s="1228">
        <v>109</v>
      </c>
      <c r="F1290" s="1228">
        <v>109</v>
      </c>
      <c r="G1290" s="1228">
        <v>109</v>
      </c>
      <c r="H1290" s="1228">
        <v>109</v>
      </c>
      <c r="I1290" s="1229">
        <v>110</v>
      </c>
      <c r="J1290" s="1229">
        <v>113</v>
      </c>
      <c r="K1290" s="1229">
        <v>106</v>
      </c>
      <c r="L1290" s="1229">
        <v>114</v>
      </c>
      <c r="M1290" s="1229">
        <v>109</v>
      </c>
      <c r="N1290" s="1229">
        <v>109</v>
      </c>
      <c r="O1290" s="1179">
        <f t="shared" si="316"/>
        <v>109.58333333333333</v>
      </c>
      <c r="P1290" s="1180">
        <f>O1284/M!$Q$14</f>
        <v>0</v>
      </c>
      <c r="Q1290" s="1235"/>
      <c r="R1290" s="1235"/>
      <c r="S1290" s="1235"/>
      <c r="T1290" s="1235"/>
      <c r="U1290" s="1235"/>
      <c r="V1290" s="1235"/>
      <c r="W1290" s="1235"/>
    </row>
    <row r="1291" spans="1:23">
      <c r="A1291" s="2191" t="s">
        <v>280</v>
      </c>
      <c r="B1291" s="2192"/>
      <c r="C1291" s="2203">
        <f t="shared" ref="C1291:O1291" si="317">SUM(C1293:C1299)</f>
        <v>884</v>
      </c>
      <c r="D1291" s="2203">
        <f t="shared" si="317"/>
        <v>471</v>
      </c>
      <c r="E1291" s="2203">
        <f t="shared" si="317"/>
        <v>326</v>
      </c>
      <c r="F1291" s="2203">
        <f t="shared" si="317"/>
        <v>1952</v>
      </c>
      <c r="G1291" s="2203">
        <f t="shared" si="317"/>
        <v>2448</v>
      </c>
      <c r="H1291" s="2203">
        <f t="shared" si="317"/>
        <v>367</v>
      </c>
      <c r="I1291" s="2203">
        <f t="shared" si="317"/>
        <v>908</v>
      </c>
      <c r="J1291" s="2203">
        <f t="shared" si="317"/>
        <v>825</v>
      </c>
      <c r="K1291" s="2203">
        <f t="shared" si="317"/>
        <v>642</v>
      </c>
      <c r="L1291" s="2203">
        <f t="shared" si="317"/>
        <v>140</v>
      </c>
      <c r="M1291" s="2203">
        <f t="shared" si="317"/>
        <v>937</v>
      </c>
      <c r="N1291" s="2203">
        <f t="shared" si="317"/>
        <v>4080</v>
      </c>
      <c r="O1291" s="2203">
        <f t="shared" si="317"/>
        <v>1165</v>
      </c>
      <c r="P1291" s="1180">
        <f>O1285/M!$Q$14</f>
        <v>0</v>
      </c>
      <c r="Q1291" s="1235"/>
      <c r="R1291" s="1235"/>
      <c r="S1291" s="1235"/>
      <c r="T1291" s="1235"/>
      <c r="U1291" s="1235"/>
      <c r="V1291" s="1235"/>
      <c r="W1291" s="1235"/>
    </row>
    <row r="1292" spans="1:23">
      <c r="A1292" s="2193"/>
      <c r="B1292" s="2194"/>
      <c r="C1292" s="2204"/>
      <c r="D1292" s="2204"/>
      <c r="E1292" s="2204"/>
      <c r="F1292" s="2204"/>
      <c r="G1292" s="2204"/>
      <c r="H1292" s="2204"/>
      <c r="I1292" s="2204"/>
      <c r="J1292" s="2204"/>
      <c r="K1292" s="2204"/>
      <c r="L1292" s="2204"/>
      <c r="M1292" s="2204"/>
      <c r="N1292" s="2204"/>
      <c r="O1292" s="2204"/>
      <c r="P1292" s="1180">
        <f>O1286/M!$Q$14</f>
        <v>7.1365319443873606E-3</v>
      </c>
      <c r="Q1292" s="1235"/>
      <c r="R1292" s="1235"/>
      <c r="S1292" s="1235"/>
      <c r="T1292" s="1235"/>
      <c r="U1292" s="1235"/>
      <c r="V1292" s="1235"/>
      <c r="W1292" s="1235"/>
    </row>
    <row r="1293" spans="1:23">
      <c r="A1293" s="2217"/>
      <c r="B1293" s="1176" t="s">
        <v>280</v>
      </c>
      <c r="C1293" s="1228">
        <v>700</v>
      </c>
      <c r="D1293" s="1228">
        <v>205</v>
      </c>
      <c r="E1293" s="1228">
        <v>94</v>
      </c>
      <c r="F1293" s="1228">
        <v>568</v>
      </c>
      <c r="G1293" s="1228">
        <v>1324</v>
      </c>
      <c r="H1293" s="1228">
        <v>247</v>
      </c>
      <c r="I1293" s="1229">
        <v>496</v>
      </c>
      <c r="J1293" s="1229">
        <v>213</v>
      </c>
      <c r="K1293" s="1229">
        <v>438</v>
      </c>
      <c r="L1293" s="1229">
        <v>60</v>
      </c>
      <c r="M1293" s="1229">
        <v>155</v>
      </c>
      <c r="N1293" s="1229">
        <v>554</v>
      </c>
      <c r="O1293" s="1179">
        <f t="shared" ref="O1293:O1299" si="318">SUM(C1293:N1293)/12</f>
        <v>421.16666666666669</v>
      </c>
      <c r="P1293" s="1180">
        <f>O1287/M!$Q$14</f>
        <v>5.3804219894857588E-3</v>
      </c>
      <c r="Q1293" s="1235"/>
      <c r="R1293" s="1235"/>
      <c r="S1293" s="1235"/>
      <c r="T1293" s="1235"/>
      <c r="U1293" s="1235"/>
      <c r="V1293" s="1235"/>
      <c r="W1293" s="1235"/>
    </row>
    <row r="1294" spans="1:23">
      <c r="A1294" s="2218"/>
      <c r="B1294" s="1176" t="s">
        <v>423</v>
      </c>
      <c r="C1294" s="1228">
        <v>0</v>
      </c>
      <c r="D1294" s="1228">
        <v>120</v>
      </c>
      <c r="E1294" s="1228">
        <v>175</v>
      </c>
      <c r="F1294" s="1228">
        <v>203</v>
      </c>
      <c r="G1294" s="1228">
        <v>29</v>
      </c>
      <c r="H1294" s="1228">
        <v>83</v>
      </c>
      <c r="I1294" s="1229">
        <v>57</v>
      </c>
      <c r="J1294" s="1229">
        <v>176</v>
      </c>
      <c r="K1294" s="1229">
        <v>194</v>
      </c>
      <c r="L1294" s="1229">
        <v>70</v>
      </c>
      <c r="M1294" s="1229">
        <v>123</v>
      </c>
      <c r="N1294" s="1229">
        <v>197</v>
      </c>
      <c r="O1294" s="1179">
        <f t="shared" si="318"/>
        <v>118.91666666666667</v>
      </c>
      <c r="P1294" s="1180">
        <f>O1288/M!$Q$14</f>
        <v>3.1385794938666926E-3</v>
      </c>
      <c r="Q1294" s="1235"/>
      <c r="R1294" s="1235"/>
      <c r="S1294" s="1235"/>
      <c r="T1294" s="1235"/>
      <c r="U1294" s="1235"/>
      <c r="V1294" s="1235"/>
      <c r="W1294" s="1235"/>
    </row>
    <row r="1295" spans="1:23">
      <c r="A1295" s="2218"/>
      <c r="B1295" s="1176" t="s">
        <v>424</v>
      </c>
      <c r="C1295" s="1228">
        <v>0</v>
      </c>
      <c r="D1295" s="1228">
        <v>0</v>
      </c>
      <c r="E1295" s="1228">
        <v>0</v>
      </c>
      <c r="F1295" s="1228">
        <v>0</v>
      </c>
      <c r="G1295" s="1228">
        <v>0</v>
      </c>
      <c r="H1295" s="1228">
        <v>0</v>
      </c>
      <c r="I1295" s="1229">
        <v>0</v>
      </c>
      <c r="J1295" s="1229">
        <v>0</v>
      </c>
      <c r="K1295" s="1229">
        <v>0</v>
      </c>
      <c r="L1295" s="1229">
        <v>0</v>
      </c>
      <c r="M1295" s="1229">
        <v>0</v>
      </c>
      <c r="N1295" s="1229">
        <v>0</v>
      </c>
      <c r="O1295" s="1179">
        <f t="shared" si="318"/>
        <v>0</v>
      </c>
      <c r="P1295" s="1180">
        <f>O1289/M!$Q$14</f>
        <v>3.8858603257397147E-4</v>
      </c>
      <c r="Q1295" s="1235"/>
      <c r="R1295" s="1235"/>
      <c r="S1295" s="1235"/>
      <c r="T1295" s="1235"/>
      <c r="U1295" s="1235"/>
      <c r="V1295" s="1235"/>
      <c r="W1295" s="1235"/>
    </row>
    <row r="1296" spans="1:23">
      <c r="A1296" s="2218"/>
      <c r="B1296" s="1176" t="s">
        <v>425</v>
      </c>
      <c r="C1296" s="1228">
        <v>75</v>
      </c>
      <c r="D1296" s="1228">
        <v>0</v>
      </c>
      <c r="E1296" s="1228">
        <v>0</v>
      </c>
      <c r="F1296" s="1228">
        <v>16</v>
      </c>
      <c r="G1296" s="1228">
        <v>0</v>
      </c>
      <c r="H1296" s="1228">
        <v>27</v>
      </c>
      <c r="I1296" s="1229">
        <v>90</v>
      </c>
      <c r="J1296" s="1229">
        <v>0</v>
      </c>
      <c r="K1296" s="1229">
        <v>0</v>
      </c>
      <c r="L1296" s="1229">
        <v>0</v>
      </c>
      <c r="M1296" s="1229">
        <v>16</v>
      </c>
      <c r="N1296" s="1229">
        <v>0</v>
      </c>
      <c r="O1296" s="1179">
        <f t="shared" si="318"/>
        <v>18.666666666666668</v>
      </c>
      <c r="P1296" s="1180">
        <f>O1290/M!$Q$14</f>
        <v>9.82674293913024E-3</v>
      </c>
      <c r="Q1296" s="1235"/>
      <c r="R1296" s="1235"/>
      <c r="S1296" s="1235"/>
      <c r="T1296" s="1235"/>
      <c r="U1296" s="1235"/>
      <c r="V1296" s="1235"/>
      <c r="W1296" s="1235"/>
    </row>
    <row r="1297" spans="1:23">
      <c r="A1297" s="2218"/>
      <c r="B1297" s="1176" t="s">
        <v>667</v>
      </c>
      <c r="C1297" s="1228">
        <v>109</v>
      </c>
      <c r="D1297" s="1228">
        <v>146</v>
      </c>
      <c r="E1297" s="1228">
        <v>57</v>
      </c>
      <c r="F1297" s="1228">
        <v>0</v>
      </c>
      <c r="G1297" s="1228">
        <v>26</v>
      </c>
      <c r="H1297" s="1228">
        <v>10</v>
      </c>
      <c r="I1297" s="1229">
        <v>229</v>
      </c>
      <c r="J1297" s="1229">
        <v>70</v>
      </c>
      <c r="K1297" s="1229">
        <v>10</v>
      </c>
      <c r="L1297" s="1229">
        <v>10</v>
      </c>
      <c r="M1297" s="1229">
        <v>643</v>
      </c>
      <c r="N1297" s="1229">
        <v>522</v>
      </c>
      <c r="O1297" s="1179">
        <f t="shared" si="318"/>
        <v>152.66666666666666</v>
      </c>
      <c r="P1297" s="2205">
        <f>O1291/M!$Q$14</f>
        <v>0.10446986029584848</v>
      </c>
      <c r="Q1297" s="1235"/>
      <c r="R1297" s="1235"/>
      <c r="S1297" s="1235"/>
      <c r="T1297" s="1235"/>
      <c r="U1297" s="1235"/>
      <c r="V1297" s="1235"/>
      <c r="W1297" s="1235"/>
    </row>
    <row r="1298" spans="1:23">
      <c r="A1298" s="2218"/>
      <c r="B1298" s="1176" t="s">
        <v>427</v>
      </c>
      <c r="C1298" s="1228">
        <v>0</v>
      </c>
      <c r="D1298" s="1228">
        <v>0</v>
      </c>
      <c r="E1298" s="1228">
        <v>0</v>
      </c>
      <c r="F1298" s="1228">
        <v>0</v>
      </c>
      <c r="G1298" s="1228">
        <v>0</v>
      </c>
      <c r="H1298" s="1228">
        <v>0</v>
      </c>
      <c r="I1298" s="1229">
        <v>0</v>
      </c>
      <c r="J1298" s="1229">
        <v>0</v>
      </c>
      <c r="K1298" s="1229">
        <v>0</v>
      </c>
      <c r="L1298" s="1229">
        <v>0</v>
      </c>
      <c r="M1298" s="1229">
        <v>0</v>
      </c>
      <c r="N1298" s="1229">
        <v>307</v>
      </c>
      <c r="O1298" s="1179">
        <f t="shared" si="318"/>
        <v>25.583333333333332</v>
      </c>
      <c r="P1298" s="2206"/>
      <c r="Q1298" s="1235"/>
      <c r="R1298" s="1235"/>
      <c r="S1298" s="1235"/>
      <c r="T1298" s="1235"/>
      <c r="U1298" s="1235"/>
      <c r="V1298" s="1235"/>
      <c r="W1298" s="1235"/>
    </row>
    <row r="1299" spans="1:23">
      <c r="A1299" s="2219"/>
      <c r="B1299" s="1176" t="s">
        <v>381</v>
      </c>
      <c r="C1299" s="1228">
        <v>0</v>
      </c>
      <c r="D1299" s="1228">
        <v>0</v>
      </c>
      <c r="E1299" s="1228">
        <v>0</v>
      </c>
      <c r="F1299" s="1228">
        <v>1165</v>
      </c>
      <c r="G1299" s="1228">
        <v>1069</v>
      </c>
      <c r="H1299" s="1228">
        <v>0</v>
      </c>
      <c r="I1299" s="1229">
        <v>36</v>
      </c>
      <c r="J1299" s="1229">
        <v>366</v>
      </c>
      <c r="K1299" s="1229">
        <v>0</v>
      </c>
      <c r="L1299" s="1229">
        <v>0</v>
      </c>
      <c r="M1299" s="1229">
        <v>0</v>
      </c>
      <c r="N1299" s="1229">
        <v>2500</v>
      </c>
      <c r="O1299" s="1179">
        <f t="shared" si="318"/>
        <v>428</v>
      </c>
      <c r="P1299" s="1180">
        <f>O1293/M!$Q$14</f>
        <v>3.7767573242862534E-2</v>
      </c>
      <c r="Q1299" s="1235"/>
      <c r="R1299" s="1235"/>
      <c r="S1299" s="1235"/>
      <c r="T1299" s="1235"/>
      <c r="U1299" s="1235"/>
      <c r="V1299" s="1235"/>
      <c r="W1299" s="1235"/>
    </row>
    <row r="1300" spans="1:23">
      <c r="A1300" s="2191" t="s">
        <v>428</v>
      </c>
      <c r="B1300" s="2192"/>
      <c r="C1300" s="2203">
        <f>SUM(C1302:C1303)</f>
        <v>3698</v>
      </c>
      <c r="D1300" s="2203">
        <f t="shared" ref="D1300:N1300" si="319">SUM(D1302:D1303)</f>
        <v>1414</v>
      </c>
      <c r="E1300" s="2203">
        <f t="shared" si="319"/>
        <v>1414</v>
      </c>
      <c r="F1300" s="2203">
        <f t="shared" si="319"/>
        <v>1414</v>
      </c>
      <c r="G1300" s="2203">
        <f t="shared" si="319"/>
        <v>2939</v>
      </c>
      <c r="H1300" s="2203">
        <f t="shared" si="319"/>
        <v>1414</v>
      </c>
      <c r="I1300" s="2203">
        <f t="shared" si="319"/>
        <v>1414</v>
      </c>
      <c r="J1300" s="2203">
        <f t="shared" si="319"/>
        <v>8383</v>
      </c>
      <c r="K1300" s="2203">
        <f t="shared" si="319"/>
        <v>6461</v>
      </c>
      <c r="L1300" s="2203">
        <f t="shared" si="319"/>
        <v>1304</v>
      </c>
      <c r="M1300" s="2203">
        <f t="shared" si="319"/>
        <v>1310</v>
      </c>
      <c r="N1300" s="2203">
        <f t="shared" si="319"/>
        <v>1300</v>
      </c>
      <c r="O1300" s="2203">
        <f>SUM(O1302:O1303)</f>
        <v>2705.416666666667</v>
      </c>
      <c r="P1300" s="1180">
        <f>O1294/M!$Q$14</f>
        <v>1.0663697470828026E-2</v>
      </c>
      <c r="Q1300" s="1235"/>
      <c r="R1300" s="1235"/>
      <c r="S1300" s="1235"/>
      <c r="T1300" s="1235"/>
      <c r="U1300" s="1235"/>
      <c r="V1300" s="1235"/>
      <c r="W1300" s="1235"/>
    </row>
    <row r="1301" spans="1:23">
      <c r="A1301" s="2193"/>
      <c r="B1301" s="2194"/>
      <c r="C1301" s="2204"/>
      <c r="D1301" s="2204"/>
      <c r="E1301" s="2204"/>
      <c r="F1301" s="2204"/>
      <c r="G1301" s="2204"/>
      <c r="H1301" s="2204"/>
      <c r="I1301" s="2204"/>
      <c r="J1301" s="2204"/>
      <c r="K1301" s="2204"/>
      <c r="L1301" s="2204"/>
      <c r="M1301" s="2204"/>
      <c r="N1301" s="2204"/>
      <c r="O1301" s="2204"/>
      <c r="P1301" s="1180">
        <f>O1295/M!$Q$14</f>
        <v>0</v>
      </c>
      <c r="Q1301" s="1235"/>
      <c r="R1301" s="1235"/>
      <c r="S1301" s="1235"/>
      <c r="T1301" s="1235"/>
      <c r="U1301" s="1235"/>
      <c r="V1301" s="1235"/>
      <c r="W1301" s="1235"/>
    </row>
    <row r="1302" spans="1:23">
      <c r="A1302" s="2217"/>
      <c r="B1302" s="1176" t="s">
        <v>429</v>
      </c>
      <c r="C1302" s="1177">
        <v>2284</v>
      </c>
      <c r="D1302" s="1177">
        <v>0</v>
      </c>
      <c r="E1302" s="1177">
        <v>0</v>
      </c>
      <c r="F1302" s="1177">
        <v>0</v>
      </c>
      <c r="G1302" s="1177">
        <v>1525</v>
      </c>
      <c r="H1302" s="1177">
        <v>0</v>
      </c>
      <c r="I1302" s="1177">
        <v>0</v>
      </c>
      <c r="J1302" s="1177">
        <v>7083</v>
      </c>
      <c r="K1302" s="1177">
        <v>5161</v>
      </c>
      <c r="L1302" s="1177">
        <v>4</v>
      </c>
      <c r="M1302" s="1177">
        <v>10</v>
      </c>
      <c r="N1302" s="1177">
        <v>0</v>
      </c>
      <c r="O1302" s="1179">
        <f>SUM(C1302:N1302)/12</f>
        <v>1338.9166666666667</v>
      </c>
      <c r="P1302" s="1180">
        <f>O1296/M!$Q$14</f>
        <v>1.6739090633955695E-3</v>
      </c>
      <c r="Q1302" s="1235"/>
      <c r="R1302" s="1235"/>
      <c r="S1302" s="1235"/>
      <c r="T1302" s="1235"/>
      <c r="U1302" s="1235"/>
      <c r="V1302" s="1235"/>
      <c r="W1302" s="1235"/>
    </row>
    <row r="1303" spans="1:23">
      <c r="A1303" s="2218"/>
      <c r="B1303" s="1176" t="s">
        <v>430</v>
      </c>
      <c r="C1303" s="1177">
        <v>1414</v>
      </c>
      <c r="D1303" s="1177">
        <v>1414</v>
      </c>
      <c r="E1303" s="1177">
        <v>1414</v>
      </c>
      <c r="F1303" s="1177">
        <v>1414</v>
      </c>
      <c r="G1303" s="1177">
        <v>1414</v>
      </c>
      <c r="H1303" s="1177">
        <v>1414</v>
      </c>
      <c r="I1303" s="1177">
        <v>1414</v>
      </c>
      <c r="J1303" s="1177">
        <v>1300</v>
      </c>
      <c r="K1303" s="1177">
        <v>1300</v>
      </c>
      <c r="L1303" s="1177">
        <v>1300</v>
      </c>
      <c r="M1303" s="1177">
        <v>1300</v>
      </c>
      <c r="N1303" s="1177">
        <v>1300</v>
      </c>
      <c r="O1303" s="1179">
        <f>SUM(C1303:N1303)/12</f>
        <v>1366.5</v>
      </c>
      <c r="P1303" s="1180">
        <f>O1297/M!$Q$14</f>
        <v>1.3690184839913763E-2</v>
      </c>
      <c r="Q1303" s="1235"/>
      <c r="R1303" s="1235"/>
      <c r="S1303" s="1235"/>
      <c r="T1303" s="1235"/>
      <c r="U1303" s="1235"/>
      <c r="V1303" s="1235"/>
      <c r="W1303" s="1235"/>
    </row>
    <row r="1304" spans="1:23">
      <c r="A1304" s="2191" t="s">
        <v>668</v>
      </c>
      <c r="B1304" s="2192"/>
      <c r="C1304" s="2203">
        <f>SUM(C1306:C1309)</f>
        <v>337.58333333333337</v>
      </c>
      <c r="D1304" s="2203">
        <f t="shared" ref="D1304:N1304" si="320">SUM(D1306:D1309)</f>
        <v>653.58333333333337</v>
      </c>
      <c r="E1304" s="2203">
        <f t="shared" si="320"/>
        <v>496.58333333333337</v>
      </c>
      <c r="F1304" s="2203">
        <f t="shared" si="320"/>
        <v>371.58333333333337</v>
      </c>
      <c r="G1304" s="2203">
        <f t="shared" si="320"/>
        <v>360.58333333333337</v>
      </c>
      <c r="H1304" s="2203">
        <f t="shared" si="320"/>
        <v>410.58333333333337</v>
      </c>
      <c r="I1304" s="2203">
        <f t="shared" si="320"/>
        <v>410.58333333333337</v>
      </c>
      <c r="J1304" s="2203">
        <f t="shared" si="320"/>
        <v>323.58333333333337</v>
      </c>
      <c r="K1304" s="2203">
        <f t="shared" si="320"/>
        <v>406.58333333333337</v>
      </c>
      <c r="L1304" s="2203">
        <f t="shared" si="320"/>
        <v>382.58333333333337</v>
      </c>
      <c r="M1304" s="2203">
        <f t="shared" si="320"/>
        <v>340.58333333333337</v>
      </c>
      <c r="N1304" s="2203">
        <f t="shared" si="320"/>
        <v>855.58333333333337</v>
      </c>
      <c r="O1304" s="2203">
        <f>SUM(O1306:O1314)</f>
        <v>1252.6666666666667</v>
      </c>
      <c r="P1304" s="1180">
        <f>O1298/M!$Q$14</f>
        <v>2.2941521538501776E-3</v>
      </c>
      <c r="Q1304" s="1235"/>
      <c r="R1304" s="1235"/>
      <c r="S1304" s="1235"/>
      <c r="T1304" s="1235"/>
      <c r="U1304" s="1235"/>
      <c r="V1304" s="1235"/>
      <c r="W1304" s="1235"/>
    </row>
    <row r="1305" spans="1:23">
      <c r="A1305" s="2193"/>
      <c r="B1305" s="2194"/>
      <c r="C1305" s="2204"/>
      <c r="D1305" s="2204"/>
      <c r="E1305" s="2204"/>
      <c r="F1305" s="2204"/>
      <c r="G1305" s="2204"/>
      <c r="H1305" s="2204"/>
      <c r="I1305" s="2204"/>
      <c r="J1305" s="2204"/>
      <c r="K1305" s="2204"/>
      <c r="L1305" s="2204"/>
      <c r="M1305" s="2204"/>
      <c r="N1305" s="2204"/>
      <c r="O1305" s="2204"/>
      <c r="P1305" s="1180">
        <f>O1299/M!$Q$14</f>
        <v>3.8380343524998417E-2</v>
      </c>
      <c r="Q1305" s="1235"/>
      <c r="R1305" s="1235"/>
      <c r="S1305" s="1235"/>
      <c r="T1305" s="1235"/>
      <c r="U1305" s="1235"/>
      <c r="V1305" s="1235"/>
      <c r="W1305" s="1235"/>
    </row>
    <row r="1306" spans="1:23">
      <c r="A1306" s="1183"/>
      <c r="B1306" s="1176" t="s">
        <v>432</v>
      </c>
      <c r="C1306" s="1184">
        <f>(FinSnapshot!$J$94 +FinSnapshot!$J$96+FinSnapshot!$J$102+FinSnapshot!$J$104)/12</f>
        <v>239.58333333333334</v>
      </c>
      <c r="D1306" s="1184">
        <f>(FinSnapshot!$J$94 +FinSnapshot!$J$96+FinSnapshot!$J$102+FinSnapshot!$J$104)/12</f>
        <v>239.58333333333334</v>
      </c>
      <c r="E1306" s="1184">
        <f>(FinSnapshot!$J$94 +FinSnapshot!$J$96+FinSnapshot!$J$102+FinSnapshot!$J$104)/12</f>
        <v>239.58333333333334</v>
      </c>
      <c r="F1306" s="1184">
        <f>(FinSnapshot!$J$94 +FinSnapshot!$J$96+FinSnapshot!$J$102+FinSnapshot!$J$104)/12</f>
        <v>239.58333333333334</v>
      </c>
      <c r="G1306" s="1184">
        <f>(FinSnapshot!$J$94 +FinSnapshot!$J$96+FinSnapshot!$J$102+FinSnapshot!$J$104)/12</f>
        <v>239.58333333333334</v>
      </c>
      <c r="H1306" s="1184">
        <f>(FinSnapshot!$J$94 +FinSnapshot!$J$96+FinSnapshot!$J$102+FinSnapshot!$J$104)/12</f>
        <v>239.58333333333334</v>
      </c>
      <c r="I1306" s="1184">
        <f>(FinSnapshot!$J$94 +FinSnapshot!$J$96+FinSnapshot!$J$102+FinSnapshot!$J$104)/12</f>
        <v>239.58333333333334</v>
      </c>
      <c r="J1306" s="1184">
        <f>(FinSnapshot!$J$94 +FinSnapshot!$J$96+FinSnapshot!$J$102+FinSnapshot!$J$104)/12</f>
        <v>239.58333333333334</v>
      </c>
      <c r="K1306" s="1184">
        <f>(FinSnapshot!$J$94 +FinSnapshot!$J$96+FinSnapshot!$J$102+FinSnapshot!$J$104)/12</f>
        <v>239.58333333333334</v>
      </c>
      <c r="L1306" s="1184">
        <f>(FinSnapshot!$J$94 +FinSnapshot!$J$96+FinSnapshot!$J$102+FinSnapshot!$J$104)/12</f>
        <v>239.58333333333334</v>
      </c>
      <c r="M1306" s="1184">
        <f>(FinSnapshot!$J$94 +FinSnapshot!$J$96+FinSnapshot!$J$102+FinSnapshot!$J$104)/12</f>
        <v>239.58333333333334</v>
      </c>
      <c r="N1306" s="1184">
        <f>(FinSnapshot!$J$94 +FinSnapshot!$J$96+FinSnapshot!$J$102+FinSnapshot!$J$104)/12</f>
        <v>239.58333333333334</v>
      </c>
      <c r="O1306" s="1179">
        <f>SUM(C1306:N1306)/12</f>
        <v>239.58333333333337</v>
      </c>
      <c r="P1306" s="2205">
        <f>O1300/M!$Q$14</f>
        <v>0.24260472206757663</v>
      </c>
      <c r="Q1306" s="1235"/>
      <c r="R1306" s="1235"/>
      <c r="S1306" s="1235"/>
      <c r="T1306" s="1235"/>
      <c r="U1306" s="1235"/>
      <c r="V1306" s="1235"/>
      <c r="W1306" s="1235"/>
    </row>
    <row r="1307" spans="1:23">
      <c r="A1307" s="1183"/>
      <c r="B1307" s="1176" t="s">
        <v>284</v>
      </c>
      <c r="C1307" s="1177">
        <v>22</v>
      </c>
      <c r="D1307" s="1177">
        <v>338</v>
      </c>
      <c r="E1307" s="1177">
        <v>181</v>
      </c>
      <c r="F1307" s="1177">
        <v>56</v>
      </c>
      <c r="G1307" s="1177">
        <v>45</v>
      </c>
      <c r="H1307" s="1177">
        <v>95</v>
      </c>
      <c r="I1307" s="1178">
        <v>95</v>
      </c>
      <c r="J1307" s="1178">
        <v>8</v>
      </c>
      <c r="K1307" s="1178">
        <v>91</v>
      </c>
      <c r="L1307" s="1178">
        <v>67</v>
      </c>
      <c r="M1307" s="1178">
        <v>25</v>
      </c>
      <c r="N1307" s="1178">
        <v>540</v>
      </c>
      <c r="O1307" s="1179">
        <f>SUM(C1307:N1307)/12</f>
        <v>130.25</v>
      </c>
      <c r="P1307" s="2206"/>
      <c r="Q1307" s="1235"/>
      <c r="R1307" s="1235"/>
      <c r="S1307" s="1235"/>
      <c r="T1307" s="1235"/>
      <c r="U1307" s="1235"/>
      <c r="V1307" s="1235"/>
      <c r="W1307" s="1235"/>
    </row>
    <row r="1308" spans="1:23">
      <c r="A1308" s="1183"/>
      <c r="B1308" s="1176" t="s">
        <v>433</v>
      </c>
      <c r="C1308" s="1178">
        <f>(FinSnapshot!$J$93+ FinSnapshot!$J$95+ FinSnapshot!$J$96+ FinSnapshot!$J$103 + FinSnapshot!$J$105+ FinSnapshot!$J$107+ FinSnapshot!$J$108+ FinSnapshot!$J$101+FinSnapshot!$J$95+FinSnapshot!$J$103)/12</f>
        <v>76</v>
      </c>
      <c r="D1308" s="1178">
        <f>(FinSnapshot!$J$93+ FinSnapshot!$J$95+ FinSnapshot!$J$96+ FinSnapshot!$J$103 + FinSnapshot!$J$105+ FinSnapshot!$J$107+ FinSnapshot!$J$108+ FinSnapshot!$J$101+FinSnapshot!$J$95+FinSnapshot!$J$103)/12</f>
        <v>76</v>
      </c>
      <c r="E1308" s="1178">
        <f>(FinSnapshot!$J$93+ FinSnapshot!$J$95+ FinSnapshot!$J$96+ FinSnapshot!$J$103 + FinSnapshot!$J$105+ FinSnapshot!$J$107+ FinSnapshot!$J$108+ FinSnapshot!$J$101+FinSnapshot!$J$95+FinSnapshot!$J$103)/12</f>
        <v>76</v>
      </c>
      <c r="F1308" s="1178">
        <f>(FinSnapshot!$J$93+ FinSnapshot!$J$95+ FinSnapshot!$J$96+ FinSnapshot!$J$103 + FinSnapshot!$J$105+ FinSnapshot!$J$107+ FinSnapshot!$J$108+ FinSnapshot!$J$101+FinSnapshot!$J$95+FinSnapshot!$J$103)/12</f>
        <v>76</v>
      </c>
      <c r="G1308" s="1178">
        <f>(FinSnapshot!$J$93+ FinSnapshot!$J$95+ FinSnapshot!$J$96+ FinSnapshot!$J$103 + FinSnapshot!$J$105+ FinSnapshot!$J$107+ FinSnapshot!$J$108+ FinSnapshot!$J$101+FinSnapshot!$J$95+FinSnapshot!$J$103)/12</f>
        <v>76</v>
      </c>
      <c r="H1308" s="1178">
        <f>(FinSnapshot!$J$93+ FinSnapshot!$J$95+ FinSnapshot!$J$96+ FinSnapshot!$J$103 + FinSnapshot!$J$105+ FinSnapshot!$J$107+ FinSnapshot!$J$108+ FinSnapshot!$J$101+FinSnapshot!$J$95+FinSnapshot!$J$103)/12</f>
        <v>76</v>
      </c>
      <c r="I1308" s="1178">
        <f>(FinSnapshot!$J$93+ FinSnapshot!$J$95+ FinSnapshot!$J$96+ FinSnapshot!$J$103 + FinSnapshot!$J$105+ FinSnapshot!$J$107+ FinSnapshot!$J$108+ FinSnapshot!$J$101+FinSnapshot!$J$95+FinSnapshot!$J$103)/12</f>
        <v>76</v>
      </c>
      <c r="J1308" s="1178">
        <f>(FinSnapshot!$J$93+ FinSnapshot!$J$95+ FinSnapshot!$J$96+ FinSnapshot!$J$103 + FinSnapshot!$J$105+ FinSnapshot!$J$107+ FinSnapshot!$J$108+ FinSnapshot!$J$101+FinSnapshot!$J$95+FinSnapshot!$J$103)/12</f>
        <v>76</v>
      </c>
      <c r="K1308" s="1178">
        <f>(FinSnapshot!$J$93+ FinSnapshot!$J$95+ FinSnapshot!$J$96+ FinSnapshot!$J$103 + FinSnapshot!$J$105+ FinSnapshot!$J$107+ FinSnapshot!$J$108+ FinSnapshot!$J$101+FinSnapshot!$J$95+FinSnapshot!$J$103)/12</f>
        <v>76</v>
      </c>
      <c r="L1308" s="1178">
        <f>(FinSnapshot!$J$93+ FinSnapshot!$J$95+ FinSnapshot!$J$96+ FinSnapshot!$J$103 + FinSnapshot!$J$105+ FinSnapshot!$J$107+ FinSnapshot!$J$108+ FinSnapshot!$J$101+FinSnapshot!$J$95+FinSnapshot!$J$103)/12</f>
        <v>76</v>
      </c>
      <c r="M1308" s="1178">
        <f>(FinSnapshot!$J$93+ FinSnapshot!$J$95+ FinSnapshot!$J$96+ FinSnapshot!$J$103 + FinSnapshot!$J$105+ FinSnapshot!$J$107+ FinSnapshot!$J$108+ FinSnapshot!$J$101+FinSnapshot!$J$95+FinSnapshot!$J$103)/12</f>
        <v>76</v>
      </c>
      <c r="N1308" s="1178">
        <f>(FinSnapshot!$J$93+ FinSnapshot!$J$95+ FinSnapshot!$J$96+ FinSnapshot!$J$103 + FinSnapshot!$J$105+ FinSnapshot!$J$107+ FinSnapshot!$J$108+ FinSnapshot!$J$101+FinSnapshot!$J$95+FinSnapshot!$J$103)/12</f>
        <v>76</v>
      </c>
      <c r="O1308" s="1179">
        <f>SUM(C1308:N1308)/12</f>
        <v>76</v>
      </c>
      <c r="P1308" s="1180">
        <f>O1302/M!$Q$14</f>
        <v>0.12006561125703846</v>
      </c>
      <c r="Q1308" s="1235"/>
      <c r="R1308" s="1235"/>
      <c r="S1308" s="1235"/>
      <c r="T1308" s="1235"/>
      <c r="U1308" s="1235"/>
      <c r="V1308" s="1235"/>
      <c r="W1308" s="1235"/>
    </row>
    <row r="1309" spans="1:23">
      <c r="A1309" s="1183"/>
      <c r="B1309" s="1176" t="s">
        <v>434</v>
      </c>
      <c r="C1309" s="1184">
        <v>0</v>
      </c>
      <c r="D1309" s="1184">
        <v>0</v>
      </c>
      <c r="E1309" s="1184">
        <v>0</v>
      </c>
      <c r="F1309" s="1184">
        <v>0</v>
      </c>
      <c r="G1309" s="1184">
        <v>0</v>
      </c>
      <c r="H1309" s="1184">
        <v>0</v>
      </c>
      <c r="I1309" s="1184">
        <v>0</v>
      </c>
      <c r="J1309" s="1184">
        <v>0</v>
      </c>
      <c r="K1309" s="1184">
        <v>0</v>
      </c>
      <c r="L1309" s="1184">
        <v>0</v>
      </c>
      <c r="M1309" s="1184">
        <v>0</v>
      </c>
      <c r="N1309" s="1184">
        <v>0</v>
      </c>
      <c r="O1309" s="1179">
        <f>SUM(C1309:N1309)/12</f>
        <v>0</v>
      </c>
      <c r="P1309" s="1180">
        <f>O1303/M!$Q$14</f>
        <v>0.12253911081053816</v>
      </c>
      <c r="Q1309" s="1235"/>
      <c r="R1309" s="1235"/>
      <c r="S1309" s="1235"/>
      <c r="T1309" s="1235"/>
      <c r="U1309" s="1235"/>
      <c r="V1309" s="1235"/>
      <c r="W1309" s="1235"/>
    </row>
    <row r="1310" spans="1:23">
      <c r="A1310" s="2191" t="s">
        <v>435</v>
      </c>
      <c r="B1310" s="2192"/>
      <c r="C1310" s="2203">
        <f>SUM(C1312:C1314)</f>
        <v>100</v>
      </c>
      <c r="D1310" s="2203">
        <f t="shared" ref="D1310:N1310" si="321">SUM(D1312:D1314)</f>
        <v>13</v>
      </c>
      <c r="E1310" s="2203">
        <f t="shared" si="321"/>
        <v>400</v>
      </c>
      <c r="F1310" s="2203">
        <f t="shared" si="321"/>
        <v>995</v>
      </c>
      <c r="G1310" s="2203">
        <f t="shared" si="321"/>
        <v>100</v>
      </c>
      <c r="H1310" s="2203">
        <f t="shared" si="321"/>
        <v>2520</v>
      </c>
      <c r="I1310" s="2203">
        <f t="shared" si="321"/>
        <v>0</v>
      </c>
      <c r="J1310" s="2203">
        <f t="shared" si="321"/>
        <v>45</v>
      </c>
      <c r="K1310" s="2203">
        <f t="shared" si="321"/>
        <v>20</v>
      </c>
      <c r="L1310" s="2203">
        <f t="shared" si="321"/>
        <v>76</v>
      </c>
      <c r="M1310" s="2203">
        <f t="shared" si="321"/>
        <v>12</v>
      </c>
      <c r="N1310" s="2203">
        <f t="shared" si="321"/>
        <v>560</v>
      </c>
      <c r="O1310" s="2203">
        <f>SUM(O1312:O1314)</f>
        <v>403.41666666666669</v>
      </c>
      <c r="P1310" s="2205">
        <f>O1304/M!$Q$14</f>
        <v>0.11233125464715268</v>
      </c>
      <c r="Q1310" s="1235"/>
      <c r="R1310" s="1235"/>
      <c r="S1310" s="1235"/>
      <c r="T1310" s="1235"/>
      <c r="U1310" s="1235"/>
      <c r="V1310" s="1235"/>
      <c r="W1310" s="1235"/>
    </row>
    <row r="1311" spans="1:23">
      <c r="A1311" s="2193"/>
      <c r="B1311" s="2194"/>
      <c r="C1311" s="2204"/>
      <c r="D1311" s="2204"/>
      <c r="E1311" s="2204"/>
      <c r="F1311" s="2204"/>
      <c r="G1311" s="2204"/>
      <c r="H1311" s="2204"/>
      <c r="I1311" s="2204"/>
      <c r="J1311" s="2204"/>
      <c r="K1311" s="2204"/>
      <c r="L1311" s="2204"/>
      <c r="M1311" s="2204"/>
      <c r="N1311" s="2204"/>
      <c r="O1311" s="2204"/>
      <c r="P1311" s="2206"/>
      <c r="Q1311" s="1235"/>
      <c r="R1311" s="1235"/>
      <c r="S1311" s="1235"/>
      <c r="T1311" s="1235"/>
      <c r="U1311" s="1235"/>
      <c r="V1311" s="1235"/>
      <c r="W1311" s="1235"/>
    </row>
    <row r="1312" spans="1:23">
      <c r="A1312" s="1183"/>
      <c r="B1312" s="1176" t="s">
        <v>405</v>
      </c>
      <c r="C1312" s="1228">
        <v>100</v>
      </c>
      <c r="D1312" s="1228">
        <v>0</v>
      </c>
      <c r="E1312" s="1228">
        <v>400</v>
      </c>
      <c r="F1312" s="1228">
        <v>100</v>
      </c>
      <c r="G1312" s="1228">
        <v>100</v>
      </c>
      <c r="H1312" s="1228">
        <v>100</v>
      </c>
      <c r="I1312" s="1229">
        <v>0</v>
      </c>
      <c r="J1312" s="1229">
        <v>0</v>
      </c>
      <c r="K1312" s="1229">
        <v>0</v>
      </c>
      <c r="L1312" s="1229">
        <v>0</v>
      </c>
      <c r="M1312" s="1229">
        <v>0</v>
      </c>
      <c r="N1312" s="1229">
        <v>0</v>
      </c>
      <c r="O1312" s="1179">
        <f>SUM(C1312:N1312)/12</f>
        <v>66.666666666666671</v>
      </c>
      <c r="P1312" s="1180">
        <f>O1306/M!$Q$14</f>
        <v>2.1484323916349388E-2</v>
      </c>
      <c r="Q1312" s="1235"/>
      <c r="R1312" s="1235"/>
      <c r="S1312" s="1235"/>
      <c r="T1312" s="1235"/>
      <c r="U1312" s="1235"/>
      <c r="V1312" s="1235"/>
      <c r="W1312" s="1235"/>
    </row>
    <row r="1313" spans="1:23">
      <c r="A1313" s="1183"/>
      <c r="B1313" s="1176" t="s">
        <v>436</v>
      </c>
      <c r="C1313" s="1228">
        <v>0</v>
      </c>
      <c r="D1313" s="1228">
        <v>0</v>
      </c>
      <c r="E1313" s="1228">
        <v>0</v>
      </c>
      <c r="F1313" s="1228">
        <v>0</v>
      </c>
      <c r="G1313" s="1228">
        <v>0</v>
      </c>
      <c r="H1313" s="1228">
        <v>0</v>
      </c>
      <c r="I1313" s="1229">
        <v>0</v>
      </c>
      <c r="J1313" s="1229">
        <v>0</v>
      </c>
      <c r="K1313" s="1229">
        <v>20</v>
      </c>
      <c r="L1313" s="1229">
        <v>12</v>
      </c>
      <c r="M1313" s="1229">
        <v>12</v>
      </c>
      <c r="N1313" s="1229">
        <v>8</v>
      </c>
      <c r="O1313" s="1179">
        <f>SUM(C1313:N1313)/12</f>
        <v>4.333333333333333</v>
      </c>
      <c r="P1313" s="1180">
        <f>O1307/M!$Q$14</f>
        <v>1.1679999402175335E-2</v>
      </c>
      <c r="Q1313" s="1235"/>
      <c r="R1313" s="1235"/>
      <c r="S1313" s="1235"/>
      <c r="T1313" s="1235"/>
      <c r="U1313" s="1235"/>
      <c r="V1313" s="1235"/>
      <c r="W1313" s="1235"/>
    </row>
    <row r="1314" spans="1:23">
      <c r="A1314" s="1183"/>
      <c r="B1314" s="1176" t="s">
        <v>130</v>
      </c>
      <c r="C1314" s="1228">
        <v>0</v>
      </c>
      <c r="D1314" s="1228">
        <v>13</v>
      </c>
      <c r="E1314" s="1228">
        <v>0</v>
      </c>
      <c r="F1314" s="1228">
        <v>895</v>
      </c>
      <c r="G1314" s="1228">
        <v>0</v>
      </c>
      <c r="H1314" s="1228">
        <v>2420</v>
      </c>
      <c r="I1314" s="1229">
        <v>0</v>
      </c>
      <c r="J1314" s="1229">
        <v>45</v>
      </c>
      <c r="K1314" s="1229">
        <v>0</v>
      </c>
      <c r="L1314" s="1229">
        <v>64</v>
      </c>
      <c r="M1314" s="1229">
        <v>0</v>
      </c>
      <c r="N1314" s="1229">
        <v>552</v>
      </c>
      <c r="O1314" s="1179">
        <f>SUM(C1314:N1314)/12</f>
        <v>332.41666666666669</v>
      </c>
      <c r="P1314" s="1180">
        <f>O1308/M!$Q$14</f>
        <v>6.8152011866819615E-3</v>
      </c>
      <c r="Q1314" s="1235"/>
      <c r="R1314" s="1235"/>
      <c r="S1314" s="1235"/>
      <c r="T1314" s="1235"/>
      <c r="U1314" s="1235"/>
      <c r="V1314" s="1235"/>
      <c r="W1314" s="1235"/>
    </row>
    <row r="1315" spans="1:23">
      <c r="A1315" s="2191" t="s">
        <v>286</v>
      </c>
      <c r="B1315" s="2192"/>
      <c r="C1315" s="2203">
        <f t="shared" ref="C1315:N1315" si="322">SUM(C1317:C1318)</f>
        <v>1010</v>
      </c>
      <c r="D1315" s="2203">
        <f t="shared" si="322"/>
        <v>500</v>
      </c>
      <c r="E1315" s="2203">
        <f t="shared" si="322"/>
        <v>818</v>
      </c>
      <c r="F1315" s="2203">
        <f t="shared" si="322"/>
        <v>650</v>
      </c>
      <c r="G1315" s="2203">
        <f t="shared" si="322"/>
        <v>760</v>
      </c>
      <c r="H1315" s="2203">
        <f t="shared" si="322"/>
        <v>260</v>
      </c>
      <c r="I1315" s="2203">
        <f t="shared" si="322"/>
        <v>760</v>
      </c>
      <c r="J1315" s="2203">
        <f t="shared" si="322"/>
        <v>260</v>
      </c>
      <c r="K1315" s="2203">
        <f t="shared" si="322"/>
        <v>760</v>
      </c>
      <c r="L1315" s="2203">
        <f t="shared" si="322"/>
        <v>760</v>
      </c>
      <c r="M1315" s="2203">
        <f t="shared" si="322"/>
        <v>760</v>
      </c>
      <c r="N1315" s="2203">
        <f t="shared" si="322"/>
        <v>760</v>
      </c>
      <c r="O1315" s="2203">
        <f>SUM(O1317:O1318)</f>
        <v>671.5</v>
      </c>
      <c r="P1315" s="1180">
        <f>O1309/M!$Q$14</f>
        <v>0</v>
      </c>
      <c r="Q1315" s="1235"/>
      <c r="R1315" s="1235"/>
      <c r="S1315" s="1235"/>
      <c r="T1315" s="1235"/>
      <c r="U1315" s="1235"/>
      <c r="V1315" s="1235"/>
      <c r="W1315" s="1235"/>
    </row>
    <row r="1316" spans="1:23">
      <c r="A1316" s="2193"/>
      <c r="B1316" s="2194"/>
      <c r="C1316" s="2204"/>
      <c r="D1316" s="2204"/>
      <c r="E1316" s="2204"/>
      <c r="F1316" s="2204"/>
      <c r="G1316" s="2204"/>
      <c r="H1316" s="2204"/>
      <c r="I1316" s="2204"/>
      <c r="J1316" s="2204"/>
      <c r="K1316" s="2204"/>
      <c r="L1316" s="2204"/>
      <c r="M1316" s="2204"/>
      <c r="N1316" s="2204"/>
      <c r="O1316" s="2204"/>
      <c r="P1316" s="2205">
        <f>O1310/M!$Q$14</f>
        <v>3.6175865070973E-2</v>
      </c>
      <c r="Q1316" s="1235"/>
      <c r="R1316" s="1235"/>
      <c r="S1316" s="1235"/>
      <c r="T1316" s="1235"/>
      <c r="U1316" s="1235"/>
      <c r="V1316" s="1235"/>
      <c r="W1316" s="1235"/>
    </row>
    <row r="1317" spans="1:23">
      <c r="A1317" s="2217"/>
      <c r="B1317" s="1176" t="s">
        <v>82</v>
      </c>
      <c r="C1317" s="1228">
        <v>500</v>
      </c>
      <c r="D1317" s="1228">
        <v>500</v>
      </c>
      <c r="E1317" s="1228">
        <v>500</v>
      </c>
      <c r="F1317" s="1228">
        <v>500</v>
      </c>
      <c r="G1317" s="1228">
        <v>500</v>
      </c>
      <c r="H1317" s="1228">
        <v>0</v>
      </c>
      <c r="I1317" s="1229">
        <v>500</v>
      </c>
      <c r="J1317" s="1229">
        <v>0</v>
      </c>
      <c r="K1317" s="1229">
        <v>500</v>
      </c>
      <c r="L1317" s="1229">
        <v>500</v>
      </c>
      <c r="M1317" s="1229">
        <v>500</v>
      </c>
      <c r="N1317" s="1229">
        <v>500</v>
      </c>
      <c r="O1317" s="1179">
        <f>SUM(C1317:N1317)/12</f>
        <v>416.66666666666669</v>
      </c>
      <c r="P1317" s="2206"/>
      <c r="Q1317" s="1235"/>
      <c r="R1317" s="1235"/>
      <c r="S1317" s="1235"/>
      <c r="T1317" s="1235"/>
      <c r="U1317" s="1235"/>
      <c r="V1317" s="1235"/>
      <c r="W1317" s="1235"/>
    </row>
    <row r="1318" spans="1:23">
      <c r="A1318" s="2219"/>
      <c r="B1318" s="1176" t="s">
        <v>83</v>
      </c>
      <c r="C1318" s="1228">
        <v>510</v>
      </c>
      <c r="D1318" s="1228">
        <v>0</v>
      </c>
      <c r="E1318" s="1228">
        <v>318</v>
      </c>
      <c r="F1318" s="1228">
        <v>150</v>
      </c>
      <c r="G1318" s="1228">
        <v>260</v>
      </c>
      <c r="H1318" s="1228">
        <v>260</v>
      </c>
      <c r="I1318" s="1229">
        <v>260</v>
      </c>
      <c r="J1318" s="1229">
        <v>260</v>
      </c>
      <c r="K1318" s="1229">
        <v>260</v>
      </c>
      <c r="L1318" s="1229">
        <v>260</v>
      </c>
      <c r="M1318" s="1229">
        <v>260</v>
      </c>
      <c r="N1318" s="1229">
        <v>260</v>
      </c>
      <c r="O1318" s="1179">
        <f>SUM(C1318:N1318)/12</f>
        <v>254.83333333333334</v>
      </c>
      <c r="P1318" s="1180">
        <f>O1312/M!$Q$14</f>
        <v>5.9782466549841767E-3</v>
      </c>
      <c r="Q1318" s="1235"/>
      <c r="R1318" s="1235"/>
      <c r="S1318" s="1235"/>
      <c r="T1318" s="1235"/>
      <c r="U1318" s="1235"/>
      <c r="V1318" s="1235"/>
      <c r="W1318" s="1235"/>
    </row>
    <row r="1319" spans="1:23">
      <c r="A1319" s="1187" t="s">
        <v>437</v>
      </c>
      <c r="B1319" s="1188"/>
      <c r="C1319" s="1189">
        <f t="shared" ref="C1319:N1319" si="323">C1249+C1263+C1271+C1277+C1281+C1291+C1300+C1304+C1310+C1315</f>
        <v>11670.033233125811</v>
      </c>
      <c r="D1319" s="1189">
        <f t="shared" si="323"/>
        <v>7230.0332331258096</v>
      </c>
      <c r="E1319" s="1189">
        <f t="shared" si="323"/>
        <v>7665.0332331258096</v>
      </c>
      <c r="F1319" s="1189">
        <f t="shared" si="323"/>
        <v>9896.0332331258105</v>
      </c>
      <c r="G1319" s="1189">
        <f t="shared" si="323"/>
        <v>11692.033233125811</v>
      </c>
      <c r="H1319" s="1189">
        <f t="shared" si="323"/>
        <v>9412.0332331258105</v>
      </c>
      <c r="I1319" s="1189">
        <f t="shared" si="323"/>
        <v>7790.0332331258096</v>
      </c>
      <c r="J1319" s="1189">
        <f t="shared" si="323"/>
        <v>14323.033233125811</v>
      </c>
      <c r="K1319" s="1189">
        <f t="shared" si="323"/>
        <v>12724.033233125811</v>
      </c>
      <c r="L1319" s="1189">
        <f t="shared" si="323"/>
        <v>6941.0332331258096</v>
      </c>
      <c r="M1319" s="1189">
        <f t="shared" si="323"/>
        <v>7833.0332331258096</v>
      </c>
      <c r="N1319" s="1189">
        <f t="shared" si="323"/>
        <v>11992.033233125811</v>
      </c>
      <c r="O1319" s="1189">
        <f>SUM(C1319:N1319)/12</f>
        <v>9930.6998997924766</v>
      </c>
      <c r="P1319" s="1180">
        <f>O1313/M!$Q$14</f>
        <v>3.8858603257397147E-4</v>
      </c>
      <c r="Q1319" s="1235"/>
      <c r="R1319" s="1235"/>
      <c r="S1319" s="1235"/>
      <c r="T1319" s="1235"/>
      <c r="U1319" s="1235"/>
      <c r="V1319" s="1235"/>
      <c r="W1319" s="1235"/>
    </row>
    <row r="1320" spans="1:23">
      <c r="A1320" s="1191" t="s">
        <v>658</v>
      </c>
      <c r="B1320" s="1192"/>
      <c r="C1320" s="1193">
        <f>C1319/M!$Q$14</f>
        <v>1.0464950570923284</v>
      </c>
      <c r="D1320" s="1193">
        <f>D1319/M!$Q$14</f>
        <v>0.64834382987038208</v>
      </c>
      <c r="E1320" s="1193">
        <f>E1319/M!$Q$14</f>
        <v>0.68735188929415381</v>
      </c>
      <c r="F1320" s="1193">
        <f>F1319/M!$Q$14</f>
        <v>0.88741391360319932</v>
      </c>
      <c r="G1320" s="1193">
        <f>G1319/M!$Q$14</f>
        <v>1.0484678784884731</v>
      </c>
      <c r="H1320" s="1193">
        <f>H1319/M!$Q$14</f>
        <v>0.84401184288801423</v>
      </c>
      <c r="I1320" s="1193">
        <f>I1319/M!$Q$14</f>
        <v>0.69856110177224917</v>
      </c>
      <c r="J1320" s="1193">
        <f>J1319/M!$Q$14</f>
        <v>1.2843993827274236</v>
      </c>
      <c r="K1320" s="1193">
        <f>K1319/M!$Q$14</f>
        <v>1.1410111367076281</v>
      </c>
      <c r="L1320" s="1193">
        <f>L1319/M!$Q$14</f>
        <v>0.62242813062102564</v>
      </c>
      <c r="M1320" s="1193">
        <f>M1319/M!$Q$14</f>
        <v>0.70241707086471394</v>
      </c>
      <c r="N1320" s="1193">
        <f>N1319/M!$Q$14</f>
        <v>1.0753699884359018</v>
      </c>
      <c r="O1320" s="1193">
        <f>O1319/M!$Q$14</f>
        <v>0.89052260186379106</v>
      </c>
      <c r="P1320" s="1180">
        <f>O1314/M!$Q$14</f>
        <v>2.9809032383414851E-2</v>
      </c>
      <c r="Q1320" s="1235"/>
      <c r="R1320" s="1235"/>
      <c r="S1320" s="1235"/>
      <c r="T1320" s="1235"/>
      <c r="U1320" s="1235"/>
      <c r="V1320" s="1235"/>
      <c r="W1320" s="1235"/>
    </row>
    <row r="1321" spans="1:23">
      <c r="A1321" s="1235"/>
      <c r="B1321" s="1235"/>
      <c r="C1321" s="1235"/>
      <c r="D1321" s="1235"/>
      <c r="E1321" s="1235"/>
      <c r="F1321" s="1235"/>
      <c r="G1321" s="1235"/>
      <c r="H1321" s="1235"/>
      <c r="I1321" s="1235"/>
      <c r="J1321" s="1235"/>
      <c r="K1321" s="1235"/>
      <c r="L1321" s="1235"/>
      <c r="M1321" s="1235"/>
      <c r="N1321" s="1235"/>
      <c r="O1321" s="1235"/>
      <c r="P1321" s="2205">
        <f>O1315/M!$Q$14</f>
        <v>6.0215889432328119E-2</v>
      </c>
      <c r="Q1321" s="1235"/>
      <c r="R1321" s="1235"/>
      <c r="S1321" s="1235"/>
      <c r="T1321" s="1235"/>
      <c r="U1321" s="1235"/>
      <c r="V1321" s="1235"/>
      <c r="W1321" s="1235"/>
    </row>
    <row r="1322" spans="1:23">
      <c r="A1322" s="1235"/>
      <c r="B1322" s="1235"/>
      <c r="C1322" s="1235"/>
      <c r="D1322" s="1235"/>
      <c r="E1322" s="1235"/>
      <c r="F1322" s="1235"/>
      <c r="G1322" s="1235"/>
      <c r="H1322" s="1235"/>
      <c r="I1322" s="1235"/>
      <c r="J1322" s="1235"/>
      <c r="K1322" s="1235"/>
      <c r="L1322" s="1235"/>
      <c r="M1322" s="1235"/>
      <c r="N1322" s="1235"/>
      <c r="O1322" s="1235"/>
      <c r="P1322" s="2206"/>
      <c r="Q1322" s="1235"/>
      <c r="R1322" s="1235"/>
      <c r="S1322" s="1235"/>
      <c r="T1322" s="1235"/>
      <c r="U1322" s="1235"/>
      <c r="V1322" s="1235"/>
      <c r="W1322" s="1235"/>
    </row>
    <row r="1323" spans="1:23">
      <c r="A1323" s="1235"/>
      <c r="B1323" s="1235"/>
      <c r="C1323" s="1235"/>
      <c r="D1323" s="1235"/>
      <c r="E1323" s="1235"/>
      <c r="F1323" s="1235"/>
      <c r="G1323" s="1235"/>
      <c r="H1323" s="1235"/>
      <c r="I1323" s="1235"/>
      <c r="J1323" s="1235"/>
      <c r="K1323" s="1235"/>
      <c r="L1323" s="1235"/>
      <c r="M1323" s="1235"/>
      <c r="N1323" s="1235"/>
      <c r="O1323" s="1235"/>
      <c r="P1323" s="1180">
        <f>O1317/M!$Q$14</f>
        <v>3.7364041593651108E-2</v>
      </c>
      <c r="Q1323" s="1235"/>
      <c r="R1323" s="1235"/>
      <c r="S1323" s="1235"/>
      <c r="T1323" s="1235"/>
      <c r="U1323" s="1235"/>
      <c r="V1323" s="1235"/>
      <c r="W1323" s="1235"/>
    </row>
    <row r="1324" spans="1:23">
      <c r="A1324" s="2195">
        <v>2009</v>
      </c>
      <c r="B1324" s="2196"/>
      <c r="C1324" s="2196"/>
      <c r="D1324" s="2196"/>
      <c r="E1324" s="2196"/>
      <c r="F1324" s="2196"/>
      <c r="G1324" s="2196"/>
      <c r="H1324" s="2196"/>
      <c r="I1324" s="2196"/>
      <c r="J1324" s="2196"/>
      <c r="K1324" s="2196"/>
      <c r="L1324" s="2196"/>
      <c r="M1324" s="2196"/>
      <c r="N1324" s="2196"/>
      <c r="O1324" s="2196"/>
      <c r="P1324" s="1180">
        <f>O1318/M!$Q$14</f>
        <v>2.2851847838677015E-2</v>
      </c>
      <c r="Q1324" s="1235"/>
      <c r="R1324" s="1235"/>
      <c r="S1324" s="1235"/>
      <c r="T1324" s="1235"/>
      <c r="U1324" s="1235"/>
      <c r="V1324" s="1235"/>
      <c r="W1324" s="1235"/>
    </row>
    <row r="1325" spans="1:23">
      <c r="A1325" s="1171" t="s">
        <v>388</v>
      </c>
      <c r="B1325" s="1172"/>
      <c r="C1325" s="1173" t="s">
        <v>309</v>
      </c>
      <c r="D1325" s="1173" t="s">
        <v>311</v>
      </c>
      <c r="E1325" s="1173" t="s">
        <v>312</v>
      </c>
      <c r="F1325" s="1173" t="s">
        <v>313</v>
      </c>
      <c r="G1325" s="1173" t="s">
        <v>314</v>
      </c>
      <c r="H1325" s="1173" t="s">
        <v>315</v>
      </c>
      <c r="I1325" s="1173" t="s">
        <v>316</v>
      </c>
      <c r="J1325" s="1173" t="s">
        <v>317</v>
      </c>
      <c r="K1325" s="1173" t="s">
        <v>318</v>
      </c>
      <c r="L1325" s="1173" t="s">
        <v>319</v>
      </c>
      <c r="M1325" s="1173" t="s">
        <v>320</v>
      </c>
      <c r="N1325" s="1173" t="s">
        <v>321</v>
      </c>
      <c r="O1325" s="1174" t="s">
        <v>660</v>
      </c>
      <c r="P1325" s="1190">
        <f>O1319/M!$Q$14</f>
        <v>0.89052260186379106</v>
      </c>
      <c r="Q1325" s="1235"/>
      <c r="R1325" s="1235"/>
      <c r="S1325" s="1235"/>
      <c r="T1325" s="1235"/>
      <c r="U1325" s="1235"/>
      <c r="V1325" s="1235"/>
      <c r="W1325" s="1235"/>
    </row>
    <row r="1326" spans="1:23">
      <c r="A1326" s="2191" t="s">
        <v>56</v>
      </c>
      <c r="B1326" s="2192"/>
      <c r="C1326" s="2203">
        <f t="shared" ref="C1326:I1326" si="324">C1328+ SUM(C1334:C1339)</f>
        <v>2604.9896480810407</v>
      </c>
      <c r="D1326" s="2203">
        <f t="shared" si="324"/>
        <v>2605.6573468224833</v>
      </c>
      <c r="E1326" s="2203">
        <f t="shared" si="324"/>
        <v>2559.3283840576337</v>
      </c>
      <c r="F1326" s="2203">
        <f t="shared" si="324"/>
        <v>2560.0027764789593</v>
      </c>
      <c r="G1326" s="2203">
        <f t="shared" si="324"/>
        <v>2560.6805408623918</v>
      </c>
      <c r="H1326" s="2203">
        <f t="shared" si="324"/>
        <v>2762.3616940677416</v>
      </c>
      <c r="I1326" s="2203">
        <f t="shared" si="324"/>
        <v>2679.0462530391178</v>
      </c>
      <c r="J1326" s="2203">
        <f t="shared" ref="J1326:O1326" si="325">J1328+ SUM(J1334:J1339)</f>
        <v>2562.7342348053508</v>
      </c>
      <c r="K1326" s="2203">
        <f t="shared" si="325"/>
        <v>2563.4256564804155</v>
      </c>
      <c r="L1326" s="2203">
        <f t="shared" si="325"/>
        <v>2588.1205352638549</v>
      </c>
      <c r="M1326" s="2203">
        <f t="shared" si="325"/>
        <v>2564.818888441212</v>
      </c>
      <c r="N1326" s="2203">
        <f t="shared" si="325"/>
        <v>2886.5207333844555</v>
      </c>
      <c r="O1326" s="2203">
        <f t="shared" si="325"/>
        <v>2624.8072243153879</v>
      </c>
      <c r="P1326" s="1194"/>
      <c r="Q1326" s="1235"/>
      <c r="R1326" s="1235"/>
      <c r="S1326" s="1235"/>
      <c r="T1326" s="1235"/>
      <c r="U1326" s="1235"/>
      <c r="V1326" s="1235"/>
      <c r="W1326" s="1235"/>
    </row>
    <row r="1327" spans="1:23">
      <c r="A1327" s="2193"/>
      <c r="B1327" s="2194"/>
      <c r="C1327" s="2204"/>
      <c r="D1327" s="2204"/>
      <c r="E1327" s="2204"/>
      <c r="F1327" s="2204"/>
      <c r="G1327" s="2204"/>
      <c r="H1327" s="2204"/>
      <c r="I1327" s="2204"/>
      <c r="J1327" s="2204"/>
      <c r="K1327" s="2204"/>
      <c r="L1327" s="2204"/>
      <c r="M1327" s="2204"/>
      <c r="N1327" s="2204"/>
      <c r="O1327" s="2204"/>
      <c r="P1327" s="1235"/>
      <c r="Q1327" s="1235"/>
      <c r="R1327" s="1235"/>
      <c r="S1327" s="1235"/>
      <c r="T1327" s="1235"/>
      <c r="U1327" s="1235"/>
      <c r="V1327" s="1235"/>
      <c r="W1327" s="1235"/>
    </row>
    <row r="1328" spans="1:23">
      <c r="A1328" s="2217"/>
      <c r="B1328" s="1176" t="s">
        <v>662</v>
      </c>
      <c r="C1328" s="1228">
        <v>1888.9896480810407</v>
      </c>
      <c r="D1328" s="1228">
        <v>1889.6573468224835</v>
      </c>
      <c r="E1328" s="1228">
        <v>1890.3283840576337</v>
      </c>
      <c r="F1328" s="1228">
        <v>1891.0027764789593</v>
      </c>
      <c r="G1328" s="1228">
        <v>1891.6805408623918</v>
      </c>
      <c r="H1328" s="1228">
        <v>1892.3616940677416</v>
      </c>
      <c r="I1328" s="1229">
        <v>1893.0462530391178</v>
      </c>
      <c r="J1328" s="1229">
        <v>1893.734234805351</v>
      </c>
      <c r="K1328" s="1229">
        <v>1894.4256564804155</v>
      </c>
      <c r="L1328" s="1229">
        <v>1895.1205352638549</v>
      </c>
      <c r="M1328" s="1229">
        <v>1895.8188884412118</v>
      </c>
      <c r="N1328" s="1229">
        <v>1896.5207333844555</v>
      </c>
      <c r="O1328" s="1179">
        <f t="shared" ref="O1328:O1339" si="326">SUM(C1328:N1328)/12</f>
        <v>1892.7238909820546</v>
      </c>
      <c r="P1328" s="1235"/>
      <c r="Q1328" s="1235"/>
      <c r="R1328" s="1235"/>
      <c r="S1328" s="1235"/>
      <c r="T1328" s="1235"/>
      <c r="U1328" s="1235"/>
      <c r="V1328" s="1235"/>
      <c r="W1328" s="1235"/>
    </row>
    <row r="1329" spans="1:23">
      <c r="A1329" s="2218"/>
      <c r="B1329" s="1176" t="s">
        <v>663</v>
      </c>
      <c r="C1329" s="1178">
        <v>911.36460206135087</v>
      </c>
      <c r="D1329" s="1178">
        <v>909.81648405721637</v>
      </c>
      <c r="E1329" s="1178">
        <v>908.26127051222966</v>
      </c>
      <c r="F1329" s="1178">
        <v>906.69892890516167</v>
      </c>
      <c r="G1329" s="1178">
        <v>905.12942656572807</v>
      </c>
      <c r="H1329" s="1178">
        <v>903.55273067390533</v>
      </c>
      <c r="I1329" s="1178">
        <v>901.96880825924518</v>
      </c>
      <c r="J1329" s="1178">
        <v>900.3776262001843</v>
      </c>
      <c r="K1329" s="1178">
        <v>898.77915122335298</v>
      </c>
      <c r="L1329" s="1178">
        <v>897.1733499028777</v>
      </c>
      <c r="M1329" s="1178">
        <v>895.5601886596836</v>
      </c>
      <c r="N1329" s="1178">
        <v>893.93963376079148</v>
      </c>
      <c r="O1329" s="1179">
        <f t="shared" si="326"/>
        <v>902.71851673181061</v>
      </c>
      <c r="P1329" s="1235"/>
      <c r="Q1329" s="1235"/>
      <c r="R1329" s="1235"/>
      <c r="S1329" s="1235"/>
      <c r="T1329" s="1235"/>
      <c r="U1329" s="1235"/>
      <c r="V1329" s="1235"/>
      <c r="W1329" s="1235"/>
    </row>
    <row r="1330" spans="1:23">
      <c r="A1330" s="2218"/>
      <c r="B1330" s="1176" t="s">
        <v>664</v>
      </c>
      <c r="C1330" s="1178">
        <v>337.77120090205528</v>
      </c>
      <c r="D1330" s="1178">
        <v>339.31931890618978</v>
      </c>
      <c r="E1330" s="1178">
        <v>340.87453245117649</v>
      </c>
      <c r="F1330" s="1178">
        <v>342.43687405824448</v>
      </c>
      <c r="G1330" s="1178">
        <v>344.00637639767808</v>
      </c>
      <c r="H1330" s="1178">
        <v>345.58307228950082</v>
      </c>
      <c r="I1330" s="1178">
        <v>347.16699470416097</v>
      </c>
      <c r="J1330" s="1178">
        <v>348.75817676322185</v>
      </c>
      <c r="K1330" s="1178">
        <v>350.35665174005317</v>
      </c>
      <c r="L1330" s="1178">
        <v>351.96245306052845</v>
      </c>
      <c r="M1330" s="1178">
        <v>353.57561430372255</v>
      </c>
      <c r="N1330" s="1178">
        <v>355.19616920261467</v>
      </c>
      <c r="O1330" s="1179">
        <f t="shared" si="326"/>
        <v>346.41728623159548</v>
      </c>
      <c r="P1330" s="2197"/>
      <c r="Q1330" s="1235"/>
      <c r="R1330" s="1235"/>
      <c r="S1330" s="1235"/>
      <c r="T1330" s="1235"/>
      <c r="U1330" s="1235"/>
      <c r="V1330" s="1235"/>
      <c r="W1330" s="1235"/>
    </row>
    <row r="1331" spans="1:23">
      <c r="A1331" s="2218"/>
      <c r="B1331" s="1176" t="s">
        <v>450</v>
      </c>
      <c r="C1331" s="1178">
        <v>0</v>
      </c>
      <c r="D1331" s="1178">
        <v>0</v>
      </c>
      <c r="E1331" s="1178">
        <v>0</v>
      </c>
      <c r="F1331" s="1178">
        <v>0</v>
      </c>
      <c r="G1331" s="1178">
        <v>0</v>
      </c>
      <c r="H1331" s="1178">
        <v>0</v>
      </c>
      <c r="I1331" s="1178">
        <v>0</v>
      </c>
      <c r="J1331" s="1178">
        <v>0</v>
      </c>
      <c r="K1331" s="1178">
        <v>0</v>
      </c>
      <c r="L1331" s="1178">
        <v>0</v>
      </c>
      <c r="M1331" s="1178">
        <v>0</v>
      </c>
      <c r="N1331" s="1178">
        <v>0</v>
      </c>
      <c r="O1331" s="1179">
        <f t="shared" si="326"/>
        <v>0</v>
      </c>
      <c r="P1331" s="1175" t="s">
        <v>661</v>
      </c>
      <c r="Q1331" s="1235"/>
      <c r="R1331" s="1235"/>
      <c r="S1331" s="1235"/>
      <c r="T1331" s="1235"/>
      <c r="U1331" s="1235"/>
      <c r="V1331" s="1235"/>
      <c r="W1331" s="1235"/>
    </row>
    <row r="1332" spans="1:23">
      <c r="A1332" s="2218"/>
      <c r="B1332" s="1176" t="s">
        <v>665</v>
      </c>
      <c r="C1332" s="1178">
        <v>186.71143614677203</v>
      </c>
      <c r="D1332" s="1178">
        <v>185.1134228433605</v>
      </c>
      <c r="E1332" s="1178">
        <v>183.50741947343195</v>
      </c>
      <c r="F1332" s="1178">
        <v>181.89338608665378</v>
      </c>
      <c r="G1332" s="1178">
        <v>180.27128253294168</v>
      </c>
      <c r="H1332" s="1178">
        <v>178.64106846146103</v>
      </c>
      <c r="I1332" s="1178">
        <v>177.00270331962301</v>
      </c>
      <c r="J1332" s="1178">
        <v>175.3561463520758</v>
      </c>
      <c r="K1332" s="1178">
        <v>173.7013565996908</v>
      </c>
      <c r="L1332" s="1178">
        <v>172.03829289854392</v>
      </c>
      <c r="M1332" s="1178">
        <v>170.36691387889127</v>
      </c>
      <c r="N1332" s="1178">
        <v>168.68717796414037</v>
      </c>
      <c r="O1332" s="1179">
        <f t="shared" si="326"/>
        <v>177.77421721313215</v>
      </c>
      <c r="P1332" s="2205">
        <f>O1326/M!$Q$14</f>
        <v>0.23537617513112655</v>
      </c>
      <c r="Q1332" s="1235"/>
      <c r="R1332" s="1235"/>
      <c r="S1332" s="1235"/>
      <c r="T1332" s="1235"/>
      <c r="U1332" s="1235"/>
      <c r="V1332" s="1235"/>
      <c r="W1332" s="1235"/>
    </row>
    <row r="1333" spans="1:23">
      <c r="A1333" s="2218"/>
      <c r="B1333" s="1176" t="s">
        <v>664</v>
      </c>
      <c r="C1333" s="1178">
        <v>453.14240897086262</v>
      </c>
      <c r="D1333" s="1178">
        <v>455.40812101571697</v>
      </c>
      <c r="E1333" s="1178">
        <v>457.68516162079555</v>
      </c>
      <c r="F1333" s="1178">
        <v>459.97358742889952</v>
      </c>
      <c r="G1333" s="1178">
        <v>462.273455366044</v>
      </c>
      <c r="H1333" s="1178">
        <v>464.5848226428742</v>
      </c>
      <c r="I1333" s="1178">
        <v>466.90774675608861</v>
      </c>
      <c r="J1333" s="1178">
        <v>469.24228548986906</v>
      </c>
      <c r="K1333" s="1178">
        <v>471.58849691731837</v>
      </c>
      <c r="L1333" s="1178">
        <v>473.94643940190497</v>
      </c>
      <c r="M1333" s="1178">
        <v>476.31617159891448</v>
      </c>
      <c r="N1333" s="1178">
        <v>478.69775245690909</v>
      </c>
      <c r="O1333" s="1179">
        <f t="shared" si="326"/>
        <v>465.8138708055165</v>
      </c>
      <c r="P1333" s="2206"/>
      <c r="Q1333" s="1235"/>
      <c r="R1333" s="1235"/>
      <c r="S1333" s="1235"/>
      <c r="T1333" s="1235"/>
      <c r="U1333" s="1235"/>
      <c r="V1333" s="1235"/>
      <c r="W1333" s="1235"/>
    </row>
    <row r="1334" spans="1:23">
      <c r="A1334" s="2218"/>
      <c r="B1334" s="1176" t="s">
        <v>287</v>
      </c>
      <c r="C1334" s="1178">
        <v>312</v>
      </c>
      <c r="D1334" s="1178">
        <v>312</v>
      </c>
      <c r="E1334" s="1178">
        <v>312</v>
      </c>
      <c r="F1334" s="1178">
        <v>312</v>
      </c>
      <c r="G1334" s="1178">
        <v>312</v>
      </c>
      <c r="H1334" s="1178">
        <v>312</v>
      </c>
      <c r="I1334" s="1178">
        <v>312</v>
      </c>
      <c r="J1334" s="1178">
        <v>312</v>
      </c>
      <c r="K1334" s="1178">
        <v>312</v>
      </c>
      <c r="L1334" s="1178">
        <v>312</v>
      </c>
      <c r="M1334" s="1178">
        <v>312</v>
      </c>
      <c r="N1334" s="1178">
        <v>312</v>
      </c>
      <c r="O1334" s="1179">
        <f t="shared" si="326"/>
        <v>312</v>
      </c>
      <c r="P1334" s="1180">
        <f>O1328/M!$Q$14</f>
        <v>0.16972755405108156</v>
      </c>
      <c r="Q1334" s="1235"/>
      <c r="R1334" s="1235"/>
      <c r="S1334" s="1235"/>
      <c r="T1334" s="1235"/>
      <c r="U1334" s="1235"/>
      <c r="V1334" s="1235"/>
      <c r="W1334" s="1235"/>
    </row>
    <row r="1335" spans="1:23">
      <c r="A1335" s="2218"/>
      <c r="B1335" s="1176" t="s">
        <v>453</v>
      </c>
      <c r="C1335" s="1178">
        <v>25</v>
      </c>
      <c r="D1335" s="1178">
        <v>25</v>
      </c>
      <c r="E1335" s="1178">
        <v>25</v>
      </c>
      <c r="F1335" s="1178">
        <v>25</v>
      </c>
      <c r="G1335" s="1178">
        <v>25</v>
      </c>
      <c r="H1335" s="1178">
        <v>25</v>
      </c>
      <c r="I1335" s="1178">
        <v>25</v>
      </c>
      <c r="J1335" s="1178">
        <v>25</v>
      </c>
      <c r="K1335" s="1178">
        <v>25</v>
      </c>
      <c r="L1335" s="1178">
        <v>25</v>
      </c>
      <c r="M1335" s="1178">
        <v>25</v>
      </c>
      <c r="N1335" s="1178">
        <v>25</v>
      </c>
      <c r="O1335" s="1179">
        <f t="shared" si="326"/>
        <v>25</v>
      </c>
      <c r="P1335" s="1180">
        <f>O1329/M!$Q$14</f>
        <v>8.0950109295663361E-2</v>
      </c>
      <c r="Q1335" s="1235"/>
      <c r="R1335" s="1235"/>
      <c r="S1335" s="1235"/>
      <c r="T1335" s="1235"/>
      <c r="U1335" s="1235"/>
      <c r="V1335" s="1235"/>
      <c r="W1335" s="1235"/>
    </row>
    <row r="1336" spans="1:23">
      <c r="A1336" s="2218"/>
      <c r="B1336" s="1176" t="s">
        <v>400</v>
      </c>
      <c r="C1336" s="1178">
        <v>0</v>
      </c>
      <c r="D1336" s="1178">
        <v>0</v>
      </c>
      <c r="E1336" s="1178">
        <v>0</v>
      </c>
      <c r="F1336" s="1178">
        <v>0</v>
      </c>
      <c r="G1336" s="1178">
        <v>0</v>
      </c>
      <c r="H1336" s="1178">
        <v>201</v>
      </c>
      <c r="I1336" s="1178">
        <v>0</v>
      </c>
      <c r="J1336" s="1178">
        <v>0</v>
      </c>
      <c r="K1336" s="1178">
        <v>0</v>
      </c>
      <c r="L1336" s="1178">
        <v>0</v>
      </c>
      <c r="M1336" s="1178">
        <v>0</v>
      </c>
      <c r="N1336" s="1178">
        <v>0</v>
      </c>
      <c r="O1336" s="1179">
        <f t="shared" si="326"/>
        <v>16.75</v>
      </c>
      <c r="P1336" s="1180">
        <f>O1330/M!$Q$14</f>
        <v>3.1064519739640976E-2</v>
      </c>
      <c r="Q1336" s="1235"/>
      <c r="R1336" s="1235"/>
      <c r="S1336" s="1235"/>
      <c r="T1336" s="1235"/>
      <c r="U1336" s="1235"/>
      <c r="V1336" s="1235"/>
      <c r="W1336" s="1235"/>
    </row>
    <row r="1337" spans="1:23">
      <c r="A1337" s="2218"/>
      <c r="B1337" s="1176" t="s">
        <v>401</v>
      </c>
      <c r="C1337" s="1178">
        <v>345</v>
      </c>
      <c r="D1337" s="1178">
        <v>345</v>
      </c>
      <c r="E1337" s="1178">
        <v>298</v>
      </c>
      <c r="F1337" s="1178">
        <v>298</v>
      </c>
      <c r="G1337" s="1178">
        <v>298</v>
      </c>
      <c r="H1337" s="1178">
        <v>298</v>
      </c>
      <c r="I1337" s="1178">
        <v>298</v>
      </c>
      <c r="J1337" s="1178">
        <v>298</v>
      </c>
      <c r="K1337" s="1178">
        <v>298</v>
      </c>
      <c r="L1337" s="1178">
        <v>298</v>
      </c>
      <c r="M1337" s="1178">
        <v>298</v>
      </c>
      <c r="N1337" s="1178">
        <v>298</v>
      </c>
      <c r="O1337" s="1179">
        <f t="shared" si="326"/>
        <v>305.83333333333331</v>
      </c>
      <c r="P1337" s="1180">
        <f>O1331/M!$Q$14</f>
        <v>0</v>
      </c>
      <c r="Q1337" s="1235"/>
      <c r="R1337" s="1235"/>
      <c r="S1337" s="1235"/>
      <c r="T1337" s="1235"/>
      <c r="U1337" s="1235"/>
      <c r="V1337" s="1235"/>
      <c r="W1337" s="1235"/>
    </row>
    <row r="1338" spans="1:23">
      <c r="A1338" s="2218"/>
      <c r="B1338" s="1176" t="s">
        <v>402</v>
      </c>
      <c r="C1338" s="1178">
        <v>34</v>
      </c>
      <c r="D1338" s="1178">
        <v>34</v>
      </c>
      <c r="E1338" s="1178">
        <v>34</v>
      </c>
      <c r="F1338" s="1178">
        <v>34</v>
      </c>
      <c r="G1338" s="1178">
        <v>34</v>
      </c>
      <c r="H1338" s="1178">
        <v>34</v>
      </c>
      <c r="I1338" s="1178">
        <v>34</v>
      </c>
      <c r="J1338" s="1178">
        <v>34</v>
      </c>
      <c r="K1338" s="1178">
        <v>34</v>
      </c>
      <c r="L1338" s="1178">
        <v>34</v>
      </c>
      <c r="M1338" s="1178">
        <v>34</v>
      </c>
      <c r="N1338" s="1178">
        <v>34</v>
      </c>
      <c r="O1338" s="1179">
        <f t="shared" si="326"/>
        <v>34</v>
      </c>
      <c r="P1338" s="1180">
        <f>O1332/M!$Q$14</f>
        <v>1.5941671790952565E-2</v>
      </c>
      <c r="Q1338" s="1235"/>
      <c r="R1338" s="1235"/>
      <c r="S1338" s="1235"/>
      <c r="T1338" s="1235"/>
      <c r="U1338" s="1235"/>
      <c r="V1338" s="1235"/>
      <c r="W1338" s="1235"/>
    </row>
    <row r="1339" spans="1:23">
      <c r="A1339" s="2219"/>
      <c r="B1339" s="1176" t="s">
        <v>403</v>
      </c>
      <c r="C1339" s="1178">
        <v>0</v>
      </c>
      <c r="D1339" s="1178">
        <v>0</v>
      </c>
      <c r="E1339" s="1178">
        <v>0</v>
      </c>
      <c r="F1339" s="1178">
        <v>0</v>
      </c>
      <c r="G1339" s="1178">
        <v>0</v>
      </c>
      <c r="H1339" s="1178">
        <v>0</v>
      </c>
      <c r="I1339" s="1178">
        <v>117</v>
      </c>
      <c r="J1339" s="1178">
        <v>0</v>
      </c>
      <c r="K1339" s="1178">
        <v>0</v>
      </c>
      <c r="L1339" s="1178">
        <v>24</v>
      </c>
      <c r="M1339" s="1178">
        <v>0</v>
      </c>
      <c r="N1339" s="1178">
        <v>321</v>
      </c>
      <c r="O1339" s="1179">
        <f t="shared" si="326"/>
        <v>38.5</v>
      </c>
      <c r="P1339" s="1180">
        <f>O1333/M!$Q$14</f>
        <v>4.1771253224824653E-2</v>
      </c>
      <c r="Q1339" s="1235"/>
      <c r="R1339" s="1235"/>
      <c r="S1339" s="1235"/>
      <c r="T1339" s="1235"/>
      <c r="U1339" s="1235"/>
      <c r="V1339" s="1235"/>
      <c r="W1339" s="1235"/>
    </row>
    <row r="1340" spans="1:23">
      <c r="A1340" s="2191" t="s">
        <v>276</v>
      </c>
      <c r="B1340" s="2192"/>
      <c r="C1340" s="2203">
        <f t="shared" ref="C1340:N1340" si="327">SUM(C1342:C1347)</f>
        <v>142</v>
      </c>
      <c r="D1340" s="2203">
        <f t="shared" si="327"/>
        <v>137</v>
      </c>
      <c r="E1340" s="2203">
        <f t="shared" si="327"/>
        <v>755</v>
      </c>
      <c r="F1340" s="2203">
        <f t="shared" si="327"/>
        <v>159</v>
      </c>
      <c r="G1340" s="2203">
        <f t="shared" si="327"/>
        <v>147</v>
      </c>
      <c r="H1340" s="2203">
        <f t="shared" si="327"/>
        <v>118</v>
      </c>
      <c r="I1340" s="2203">
        <f t="shared" si="327"/>
        <v>269</v>
      </c>
      <c r="J1340" s="2203">
        <f t="shared" si="327"/>
        <v>138</v>
      </c>
      <c r="K1340" s="2203">
        <f t="shared" si="327"/>
        <v>155</v>
      </c>
      <c r="L1340" s="2203">
        <f t="shared" si="327"/>
        <v>168</v>
      </c>
      <c r="M1340" s="2203">
        <f t="shared" si="327"/>
        <v>118</v>
      </c>
      <c r="N1340" s="2203">
        <f t="shared" si="327"/>
        <v>653</v>
      </c>
      <c r="O1340" s="2203">
        <f>SUM(O1342:O1347)</f>
        <v>246.58333333333337</v>
      </c>
      <c r="P1340" s="1180">
        <f>O1334/M!$Q$14</f>
        <v>2.7978194345325946E-2</v>
      </c>
      <c r="Q1340" s="1235"/>
      <c r="R1340" s="1235"/>
      <c r="S1340" s="1235"/>
      <c r="T1340" s="1235"/>
      <c r="U1340" s="1235"/>
      <c r="V1340" s="1235"/>
      <c r="W1340" s="1235"/>
    </row>
    <row r="1341" spans="1:23">
      <c r="A1341" s="2193"/>
      <c r="B1341" s="2194"/>
      <c r="C1341" s="2204"/>
      <c r="D1341" s="2204"/>
      <c r="E1341" s="2204"/>
      <c r="F1341" s="2204"/>
      <c r="G1341" s="2204"/>
      <c r="H1341" s="2204"/>
      <c r="I1341" s="2204"/>
      <c r="J1341" s="2204"/>
      <c r="K1341" s="2204"/>
      <c r="L1341" s="2204"/>
      <c r="M1341" s="2204"/>
      <c r="N1341" s="2204"/>
      <c r="O1341" s="2204"/>
      <c r="P1341" s="1180">
        <f>O1335/M!$Q$14</f>
        <v>2.2418424956190662E-3</v>
      </c>
      <c r="Q1341" s="1235"/>
      <c r="R1341" s="1235"/>
      <c r="S1341" s="1235"/>
      <c r="T1341" s="1235"/>
      <c r="U1341" s="1235"/>
      <c r="V1341" s="1235"/>
      <c r="W1341" s="1235"/>
    </row>
    <row r="1342" spans="1:23">
      <c r="A1342" s="2217"/>
      <c r="B1342" s="1176" t="s">
        <v>666</v>
      </c>
      <c r="C1342" s="1228">
        <v>0</v>
      </c>
      <c r="D1342" s="1228">
        <v>0</v>
      </c>
      <c r="E1342" s="1228">
        <v>0</v>
      </c>
      <c r="F1342" s="1228">
        <v>0</v>
      </c>
      <c r="G1342" s="1228">
        <v>0</v>
      </c>
      <c r="H1342" s="1228">
        <v>0</v>
      </c>
      <c r="I1342" s="1229">
        <v>0</v>
      </c>
      <c r="J1342" s="1229">
        <v>0</v>
      </c>
      <c r="K1342" s="1229">
        <v>0</v>
      </c>
      <c r="L1342" s="1229">
        <v>0</v>
      </c>
      <c r="M1342" s="1229">
        <v>0</v>
      </c>
      <c r="N1342" s="1229">
        <v>470</v>
      </c>
      <c r="O1342" s="1179">
        <f t="shared" ref="O1342:O1347" si="328">SUM(C1342:N1342)/12</f>
        <v>39.166666666666664</v>
      </c>
      <c r="P1342" s="1180">
        <f>O1336/M!$Q$14</f>
        <v>1.5020344720647744E-3</v>
      </c>
      <c r="Q1342" s="1235"/>
      <c r="R1342" s="1235"/>
      <c r="S1342" s="1235"/>
      <c r="T1342" s="1235"/>
      <c r="U1342" s="1235"/>
      <c r="V1342" s="1235"/>
      <c r="W1342" s="1235"/>
    </row>
    <row r="1343" spans="1:23">
      <c r="A1343" s="2218"/>
      <c r="B1343" s="1176" t="s">
        <v>400</v>
      </c>
      <c r="C1343" s="1228">
        <v>142</v>
      </c>
      <c r="D1343" s="1228">
        <v>118</v>
      </c>
      <c r="E1343" s="1228">
        <v>118</v>
      </c>
      <c r="F1343" s="1228">
        <v>118</v>
      </c>
      <c r="G1343" s="1228">
        <v>118</v>
      </c>
      <c r="H1343" s="1228">
        <v>118</v>
      </c>
      <c r="I1343" s="1229">
        <v>118</v>
      </c>
      <c r="J1343" s="1229">
        <v>118</v>
      </c>
      <c r="K1343" s="1229">
        <v>118</v>
      </c>
      <c r="L1343" s="1229">
        <v>118</v>
      </c>
      <c r="M1343" s="1229">
        <v>118</v>
      </c>
      <c r="N1343" s="1229">
        <v>183</v>
      </c>
      <c r="O1343" s="1179">
        <f t="shared" si="328"/>
        <v>125.41666666666667</v>
      </c>
      <c r="P1343" s="1180">
        <f>O1337/M!$Q$14</f>
        <v>2.7425206529739909E-2</v>
      </c>
      <c r="Q1343" s="1235"/>
      <c r="R1343" s="1235"/>
      <c r="S1343" s="1235"/>
      <c r="T1343" s="1235"/>
      <c r="U1343" s="1235"/>
      <c r="V1343" s="1235"/>
      <c r="W1343" s="1235"/>
    </row>
    <row r="1344" spans="1:23">
      <c r="A1344" s="2218"/>
      <c r="B1344" s="1176" t="s">
        <v>454</v>
      </c>
      <c r="C1344" s="1228">
        <v>0</v>
      </c>
      <c r="D1344" s="1228">
        <v>0</v>
      </c>
      <c r="E1344" s="1228">
        <v>139</v>
      </c>
      <c r="F1344" s="1228">
        <v>41</v>
      </c>
      <c r="G1344" s="1228">
        <v>29</v>
      </c>
      <c r="H1344" s="1228">
        <v>0</v>
      </c>
      <c r="I1344" s="1229">
        <v>0</v>
      </c>
      <c r="J1344" s="1229">
        <v>0</v>
      </c>
      <c r="K1344" s="1229">
        <v>0</v>
      </c>
      <c r="L1344" s="1229">
        <v>50</v>
      </c>
      <c r="M1344" s="1229">
        <v>0</v>
      </c>
      <c r="N1344" s="1229">
        <v>0</v>
      </c>
      <c r="O1344" s="1179">
        <f t="shared" si="328"/>
        <v>21.583333333333332</v>
      </c>
      <c r="P1344" s="1180">
        <f>O1338/M!$Q$14</f>
        <v>3.0489057940419301E-3</v>
      </c>
      <c r="Q1344" s="1235"/>
      <c r="R1344" s="1235"/>
      <c r="S1344" s="1235"/>
      <c r="T1344" s="1235"/>
      <c r="U1344" s="1235"/>
      <c r="V1344" s="1235"/>
      <c r="W1344" s="1235"/>
    </row>
    <row r="1345" spans="1:23">
      <c r="A1345" s="2218"/>
      <c r="B1345" s="1176" t="s">
        <v>407</v>
      </c>
      <c r="C1345" s="1228">
        <v>0</v>
      </c>
      <c r="D1345" s="1228">
        <v>19</v>
      </c>
      <c r="E1345" s="1228">
        <v>0</v>
      </c>
      <c r="F1345" s="1228">
        <v>0</v>
      </c>
      <c r="G1345" s="1228">
        <v>0</v>
      </c>
      <c r="H1345" s="1228">
        <v>0</v>
      </c>
      <c r="I1345" s="1229">
        <v>115</v>
      </c>
      <c r="J1345" s="1229">
        <v>20</v>
      </c>
      <c r="K1345" s="1229">
        <v>0</v>
      </c>
      <c r="L1345" s="1229">
        <v>0</v>
      </c>
      <c r="M1345" s="1229">
        <v>0</v>
      </c>
      <c r="N1345" s="1229">
        <v>0</v>
      </c>
      <c r="O1345" s="1179">
        <f t="shared" si="328"/>
        <v>12.833333333333334</v>
      </c>
      <c r="P1345" s="1180">
        <f>O1339/M!$Q$14</f>
        <v>3.452437443253362E-3</v>
      </c>
      <c r="Q1345" s="1235"/>
      <c r="R1345" s="1235"/>
      <c r="S1345" s="1235"/>
      <c r="T1345" s="1235"/>
      <c r="U1345" s="1235"/>
      <c r="V1345" s="1235"/>
      <c r="W1345" s="1235"/>
    </row>
    <row r="1346" spans="1:23">
      <c r="A1346" s="2218"/>
      <c r="B1346" s="1176" t="s">
        <v>408</v>
      </c>
      <c r="C1346" s="1228">
        <v>0</v>
      </c>
      <c r="D1346" s="1228">
        <v>0</v>
      </c>
      <c r="E1346" s="1228">
        <v>19</v>
      </c>
      <c r="F1346" s="1228">
        <v>0</v>
      </c>
      <c r="G1346" s="1228">
        <v>0</v>
      </c>
      <c r="H1346" s="1228">
        <v>0</v>
      </c>
      <c r="I1346" s="1229">
        <v>0</v>
      </c>
      <c r="J1346" s="1229">
        <v>0</v>
      </c>
      <c r="K1346" s="1229">
        <v>0</v>
      </c>
      <c r="L1346" s="1229">
        <v>0</v>
      </c>
      <c r="M1346" s="1229">
        <v>0</v>
      </c>
      <c r="N1346" s="1229">
        <v>0</v>
      </c>
      <c r="O1346" s="1179">
        <f t="shared" si="328"/>
        <v>1.5833333333333333</v>
      </c>
      <c r="P1346" s="2205">
        <f>O1340/M!$Q$14</f>
        <v>2.2112039815122726E-2</v>
      </c>
      <c r="Q1346" s="1235"/>
      <c r="R1346" s="1235"/>
      <c r="S1346" s="1235"/>
      <c r="T1346" s="1235"/>
      <c r="U1346" s="1235"/>
      <c r="V1346" s="1235"/>
      <c r="W1346" s="1235"/>
    </row>
    <row r="1347" spans="1:23">
      <c r="A1347" s="2219"/>
      <c r="B1347" s="1176" t="s">
        <v>409</v>
      </c>
      <c r="C1347" s="1228">
        <v>0</v>
      </c>
      <c r="D1347" s="1228">
        <v>0</v>
      </c>
      <c r="E1347" s="1228">
        <v>479</v>
      </c>
      <c r="F1347" s="1228">
        <v>0</v>
      </c>
      <c r="G1347" s="1228">
        <v>0</v>
      </c>
      <c r="H1347" s="1228">
        <v>0</v>
      </c>
      <c r="I1347" s="1229">
        <v>36</v>
      </c>
      <c r="J1347" s="1229">
        <v>0</v>
      </c>
      <c r="K1347" s="1229">
        <v>37</v>
      </c>
      <c r="L1347" s="1229">
        <v>0</v>
      </c>
      <c r="M1347" s="1229">
        <v>0</v>
      </c>
      <c r="N1347" s="1229">
        <v>0</v>
      </c>
      <c r="O1347" s="1179">
        <f t="shared" si="328"/>
        <v>46</v>
      </c>
      <c r="P1347" s="2206"/>
      <c r="Q1347" s="1235"/>
      <c r="R1347" s="1235"/>
      <c r="S1347" s="1235"/>
      <c r="T1347" s="1235"/>
      <c r="U1347" s="1235"/>
      <c r="V1347" s="1235"/>
      <c r="W1347" s="1235"/>
    </row>
    <row r="1348" spans="1:23">
      <c r="A1348" s="2191" t="s">
        <v>277</v>
      </c>
      <c r="B1348" s="2192"/>
      <c r="C1348" s="2203">
        <f t="shared" ref="C1348:N1348" si="329">SUM(C1350:C1353)</f>
        <v>390</v>
      </c>
      <c r="D1348" s="2203">
        <f t="shared" si="329"/>
        <v>260</v>
      </c>
      <c r="E1348" s="2203">
        <f t="shared" si="329"/>
        <v>331</v>
      </c>
      <c r="F1348" s="2203">
        <f t="shared" si="329"/>
        <v>260</v>
      </c>
      <c r="G1348" s="2203">
        <f t="shared" si="329"/>
        <v>229</v>
      </c>
      <c r="H1348" s="2203">
        <f t="shared" si="329"/>
        <v>157</v>
      </c>
      <c r="I1348" s="2203">
        <f t="shared" si="329"/>
        <v>271</v>
      </c>
      <c r="J1348" s="2203">
        <f t="shared" si="329"/>
        <v>276</v>
      </c>
      <c r="K1348" s="2203">
        <f t="shared" si="329"/>
        <v>400</v>
      </c>
      <c r="L1348" s="2203">
        <f t="shared" si="329"/>
        <v>251</v>
      </c>
      <c r="M1348" s="2203">
        <f t="shared" si="329"/>
        <v>217</v>
      </c>
      <c r="N1348" s="2203">
        <f t="shared" si="329"/>
        <v>358</v>
      </c>
      <c r="O1348" s="2203">
        <f>SUM(O1350:O1353)</f>
        <v>283.33333333333337</v>
      </c>
      <c r="P1348" s="1180">
        <f>O1342/M!$Q$14</f>
        <v>3.5122199098032037E-3</v>
      </c>
      <c r="Q1348" s="1235"/>
      <c r="R1348" s="1235"/>
      <c r="S1348" s="1235"/>
      <c r="T1348" s="1235"/>
      <c r="U1348" s="1235"/>
      <c r="V1348" s="1235"/>
      <c r="W1348" s="1235"/>
    </row>
    <row r="1349" spans="1:23">
      <c r="A1349" s="2193"/>
      <c r="B1349" s="2194"/>
      <c r="C1349" s="2204"/>
      <c r="D1349" s="2204"/>
      <c r="E1349" s="2204"/>
      <c r="F1349" s="2204"/>
      <c r="G1349" s="2204"/>
      <c r="H1349" s="2204"/>
      <c r="I1349" s="2204"/>
      <c r="J1349" s="2204"/>
      <c r="K1349" s="2204"/>
      <c r="L1349" s="2204"/>
      <c r="M1349" s="2204"/>
      <c r="N1349" s="2204"/>
      <c r="O1349" s="2204"/>
      <c r="P1349" s="1180">
        <f>O1343/M!$Q$14</f>
        <v>1.1246576519688982E-2</v>
      </c>
      <c r="Q1349" s="1235"/>
      <c r="R1349" s="1235"/>
      <c r="S1349" s="1235"/>
      <c r="T1349" s="1235"/>
      <c r="U1349" s="1235"/>
      <c r="V1349" s="1235"/>
      <c r="W1349" s="1235"/>
    </row>
    <row r="1350" spans="1:23">
      <c r="A1350" s="2217"/>
      <c r="B1350" s="1176" t="s">
        <v>410</v>
      </c>
      <c r="C1350" s="1228">
        <v>214</v>
      </c>
      <c r="D1350" s="1228">
        <v>195</v>
      </c>
      <c r="E1350" s="1228">
        <v>266</v>
      </c>
      <c r="F1350" s="1228">
        <v>202</v>
      </c>
      <c r="G1350" s="1228">
        <v>188</v>
      </c>
      <c r="H1350" s="1228">
        <v>152</v>
      </c>
      <c r="I1350" s="1229">
        <v>268</v>
      </c>
      <c r="J1350" s="1229">
        <v>276</v>
      </c>
      <c r="K1350" s="1229">
        <v>301</v>
      </c>
      <c r="L1350" s="1229">
        <v>241</v>
      </c>
      <c r="M1350" s="1229">
        <v>180</v>
      </c>
      <c r="N1350" s="1229">
        <v>296</v>
      </c>
      <c r="O1350" s="1179">
        <f>SUM(C1350:N1350)/12</f>
        <v>231.58333333333334</v>
      </c>
      <c r="P1350" s="1180">
        <f>O1344/M!$Q$14</f>
        <v>1.9354573545511272E-3</v>
      </c>
      <c r="Q1350" s="1235"/>
      <c r="R1350" s="1235"/>
      <c r="S1350" s="1235"/>
      <c r="T1350" s="1235"/>
      <c r="U1350" s="1235"/>
      <c r="V1350" s="1235"/>
      <c r="W1350" s="1235"/>
    </row>
    <row r="1351" spans="1:23">
      <c r="A1351" s="2218"/>
      <c r="B1351" s="1176" t="s">
        <v>457</v>
      </c>
      <c r="C1351" s="1228">
        <v>0</v>
      </c>
      <c r="D1351" s="1228">
        <v>0</v>
      </c>
      <c r="E1351" s="1228">
        <v>0</v>
      </c>
      <c r="F1351" s="1228">
        <v>0</v>
      </c>
      <c r="G1351" s="1228">
        <v>0</v>
      </c>
      <c r="H1351" s="1228">
        <v>0</v>
      </c>
      <c r="I1351" s="1229">
        <v>0</v>
      </c>
      <c r="J1351" s="1229">
        <v>0</v>
      </c>
      <c r="K1351" s="1229">
        <v>0</v>
      </c>
      <c r="L1351" s="1229">
        <v>0</v>
      </c>
      <c r="M1351" s="1229">
        <v>0</v>
      </c>
      <c r="N1351" s="1229">
        <v>0</v>
      </c>
      <c r="O1351" s="1179">
        <f>SUM(C1351:N1351)/12</f>
        <v>0</v>
      </c>
      <c r="P1351" s="1180">
        <f>O1345/M!$Q$14</f>
        <v>1.1508124810844541E-3</v>
      </c>
      <c r="Q1351" s="1235"/>
      <c r="R1351" s="1235"/>
      <c r="S1351" s="1235"/>
      <c r="T1351" s="1235"/>
      <c r="U1351" s="1235"/>
      <c r="V1351" s="1235"/>
      <c r="W1351" s="1235"/>
    </row>
    <row r="1352" spans="1:23">
      <c r="A1352" s="2218"/>
      <c r="B1352" s="1176" t="s">
        <v>458</v>
      </c>
      <c r="C1352" s="1228">
        <v>51</v>
      </c>
      <c r="D1352" s="1228">
        <v>55</v>
      </c>
      <c r="E1352" s="1228">
        <v>40</v>
      </c>
      <c r="F1352" s="1228">
        <v>33</v>
      </c>
      <c r="G1352" s="1228">
        <v>16</v>
      </c>
      <c r="H1352" s="1228">
        <v>5</v>
      </c>
      <c r="I1352" s="1229">
        <v>3</v>
      </c>
      <c r="J1352" s="1229">
        <v>0</v>
      </c>
      <c r="K1352" s="1229">
        <v>54</v>
      </c>
      <c r="L1352" s="1229">
        <v>0</v>
      </c>
      <c r="M1352" s="1229">
        <v>12</v>
      </c>
      <c r="N1352" s="1229">
        <v>37</v>
      </c>
      <c r="O1352" s="1179">
        <f>SUM(C1352:N1352)/12</f>
        <v>25.5</v>
      </c>
      <c r="P1352" s="1180">
        <f>O1346/M!$Q$14</f>
        <v>1.4198335805587419E-4</v>
      </c>
      <c r="Q1352" s="1235"/>
      <c r="R1352" s="1235"/>
      <c r="S1352" s="1235"/>
      <c r="T1352" s="1235"/>
      <c r="U1352" s="1235"/>
      <c r="V1352" s="1235"/>
      <c r="W1352" s="1235"/>
    </row>
    <row r="1353" spans="1:23">
      <c r="A1353" s="2219"/>
      <c r="B1353" s="1176" t="s">
        <v>459</v>
      </c>
      <c r="C1353" s="1228">
        <v>125</v>
      </c>
      <c r="D1353" s="1228">
        <v>10</v>
      </c>
      <c r="E1353" s="1228">
        <v>25</v>
      </c>
      <c r="F1353" s="1228">
        <v>25</v>
      </c>
      <c r="G1353" s="1228">
        <v>25</v>
      </c>
      <c r="H1353" s="1228">
        <v>0</v>
      </c>
      <c r="I1353" s="1229">
        <v>0</v>
      </c>
      <c r="J1353" s="1229">
        <v>0</v>
      </c>
      <c r="K1353" s="1229">
        <v>45</v>
      </c>
      <c r="L1353" s="1229">
        <v>10</v>
      </c>
      <c r="M1353" s="1229">
        <v>25</v>
      </c>
      <c r="N1353" s="1229">
        <v>25</v>
      </c>
      <c r="O1353" s="1179">
        <f>SUM(C1353:N1353)/12</f>
        <v>26.25</v>
      </c>
      <c r="P1353" s="1180">
        <f>O1347/M!$Q$14</f>
        <v>4.1249901919390821E-3</v>
      </c>
      <c r="Q1353" s="1235"/>
      <c r="R1353" s="1235"/>
      <c r="S1353" s="1235"/>
      <c r="T1353" s="1235"/>
      <c r="U1353" s="1235"/>
      <c r="V1353" s="1235"/>
      <c r="W1353" s="1235"/>
    </row>
    <row r="1354" spans="1:23">
      <c r="A1354" s="2191" t="s">
        <v>278</v>
      </c>
      <c r="B1354" s="2192"/>
      <c r="C1354" s="2203">
        <f t="shared" ref="C1354:J1354" si="330">SUM(C1356:C1357)</f>
        <v>317</v>
      </c>
      <c r="D1354" s="2203">
        <f t="shared" si="330"/>
        <v>175</v>
      </c>
      <c r="E1354" s="2203">
        <f t="shared" si="330"/>
        <v>361</v>
      </c>
      <c r="F1354" s="2203">
        <f t="shared" si="330"/>
        <v>493</v>
      </c>
      <c r="G1354" s="2203">
        <f t="shared" si="330"/>
        <v>544</v>
      </c>
      <c r="H1354" s="2203">
        <f t="shared" si="330"/>
        <v>459</v>
      </c>
      <c r="I1354" s="2203">
        <f t="shared" si="330"/>
        <v>459</v>
      </c>
      <c r="J1354" s="2203">
        <f t="shared" si="330"/>
        <v>629</v>
      </c>
      <c r="K1354" s="2203">
        <f>SUM(K1356:K1357)</f>
        <v>562</v>
      </c>
      <c r="L1354" s="2203">
        <f>SUM(L1356:L1357)</f>
        <v>676</v>
      </c>
      <c r="M1354" s="2203">
        <f>SUM(M1356:M1357)</f>
        <v>734</v>
      </c>
      <c r="N1354" s="2203">
        <f>SUM(N1356:N1357)</f>
        <v>706</v>
      </c>
      <c r="O1354" s="2203">
        <f>SUM(O1356:O1357)</f>
        <v>509.58333333333331</v>
      </c>
      <c r="P1354" s="2205">
        <f>O1348/M!$Q$14</f>
        <v>2.5407548283682753E-2</v>
      </c>
      <c r="Q1354" s="1235"/>
      <c r="R1354" s="1235"/>
      <c r="S1354" s="1235"/>
      <c r="T1354" s="1235"/>
      <c r="U1354" s="1235"/>
      <c r="V1354" s="1235"/>
      <c r="W1354" s="1235"/>
    </row>
    <row r="1355" spans="1:23">
      <c r="A1355" s="2193"/>
      <c r="B1355" s="2194"/>
      <c r="C1355" s="2204"/>
      <c r="D1355" s="2204"/>
      <c r="E1355" s="2204"/>
      <c r="F1355" s="2204"/>
      <c r="G1355" s="2204"/>
      <c r="H1355" s="2204"/>
      <c r="I1355" s="2204"/>
      <c r="J1355" s="2204"/>
      <c r="K1355" s="2204"/>
      <c r="L1355" s="2204"/>
      <c r="M1355" s="2204"/>
      <c r="N1355" s="2204"/>
      <c r="O1355" s="2204"/>
      <c r="P1355" s="2206"/>
      <c r="Q1355" s="1235"/>
      <c r="R1355" s="1235"/>
      <c r="S1355" s="1235"/>
      <c r="T1355" s="1235"/>
      <c r="U1355" s="1235"/>
      <c r="V1355" s="1235"/>
      <c r="W1355" s="1235"/>
    </row>
    <row r="1356" spans="1:23">
      <c r="A1356" s="2217"/>
      <c r="B1356" s="1176" t="s">
        <v>414</v>
      </c>
      <c r="C1356" s="1228">
        <v>289</v>
      </c>
      <c r="D1356" s="1228">
        <v>171</v>
      </c>
      <c r="E1356" s="1228">
        <v>361</v>
      </c>
      <c r="F1356" s="1228">
        <v>453</v>
      </c>
      <c r="G1356" s="1228">
        <v>499</v>
      </c>
      <c r="H1356" s="1228">
        <v>430</v>
      </c>
      <c r="I1356" s="1229">
        <v>420</v>
      </c>
      <c r="J1356" s="1229">
        <v>629</v>
      </c>
      <c r="K1356" s="1229">
        <v>526</v>
      </c>
      <c r="L1356" s="1229">
        <v>620</v>
      </c>
      <c r="M1356" s="1229">
        <v>734</v>
      </c>
      <c r="N1356" s="1229">
        <v>625</v>
      </c>
      <c r="O1356" s="1179">
        <f>SUM(C1356:N1356)/12</f>
        <v>479.75</v>
      </c>
      <c r="P1356" s="1180">
        <f>O1350/M!$Q$14</f>
        <v>2.0766934317751284E-2</v>
      </c>
      <c r="Q1356" s="1235"/>
      <c r="R1356" s="1235"/>
      <c r="S1356" s="1235"/>
      <c r="T1356" s="1235"/>
      <c r="U1356" s="1235"/>
      <c r="V1356" s="1235"/>
      <c r="W1356" s="1235"/>
    </row>
    <row r="1357" spans="1:23">
      <c r="A1357" s="2219"/>
      <c r="B1357" s="1176" t="s">
        <v>278</v>
      </c>
      <c r="C1357" s="1228">
        <v>28</v>
      </c>
      <c r="D1357" s="1228">
        <v>4</v>
      </c>
      <c r="E1357" s="1228">
        <v>0</v>
      </c>
      <c r="F1357" s="1228">
        <v>40</v>
      </c>
      <c r="G1357" s="1228">
        <v>45</v>
      </c>
      <c r="H1357" s="1228">
        <v>29</v>
      </c>
      <c r="I1357" s="1229">
        <v>39</v>
      </c>
      <c r="J1357" s="1229">
        <v>0</v>
      </c>
      <c r="K1357" s="1229">
        <v>36</v>
      </c>
      <c r="L1357" s="1229">
        <v>56</v>
      </c>
      <c r="M1357" s="1229">
        <v>0</v>
      </c>
      <c r="N1357" s="1229">
        <v>81</v>
      </c>
      <c r="O1357" s="1179">
        <f>SUM(C1357:N1357)/12</f>
        <v>29.833333333333332</v>
      </c>
      <c r="P1357" s="1180">
        <f>O1351/M!$Q$14</f>
        <v>0</v>
      </c>
      <c r="Q1357" s="1235"/>
      <c r="R1357" s="1235"/>
      <c r="S1357" s="1235"/>
      <c r="T1357" s="1235"/>
      <c r="U1357" s="1235"/>
      <c r="V1357" s="1235"/>
      <c r="W1357" s="1235"/>
    </row>
    <row r="1358" spans="1:23">
      <c r="A1358" s="2191" t="s">
        <v>279</v>
      </c>
      <c r="B1358" s="2192"/>
      <c r="C1358" s="2203">
        <f t="shared" ref="C1358:N1358" si="331">SUM(C1360:C1367)</f>
        <v>401</v>
      </c>
      <c r="D1358" s="2203">
        <f t="shared" si="331"/>
        <v>473</v>
      </c>
      <c r="E1358" s="2203">
        <f t="shared" si="331"/>
        <v>415</v>
      </c>
      <c r="F1358" s="2203">
        <f t="shared" si="331"/>
        <v>374</v>
      </c>
      <c r="G1358" s="2203">
        <f t="shared" si="331"/>
        <v>460</v>
      </c>
      <c r="H1358" s="2203">
        <f t="shared" si="331"/>
        <v>361</v>
      </c>
      <c r="I1358" s="2203">
        <f t="shared" si="331"/>
        <v>415</v>
      </c>
      <c r="J1358" s="2203">
        <f t="shared" si="331"/>
        <v>471</v>
      </c>
      <c r="K1358" s="2203">
        <f t="shared" si="331"/>
        <v>867</v>
      </c>
      <c r="L1358" s="2203">
        <f t="shared" si="331"/>
        <v>471</v>
      </c>
      <c r="M1358" s="2203">
        <f t="shared" si="331"/>
        <v>415</v>
      </c>
      <c r="N1358" s="2203">
        <f t="shared" si="331"/>
        <v>567</v>
      </c>
      <c r="O1358" s="2203">
        <f>SUM(O1360:O1367)</f>
        <v>474.16666666666663</v>
      </c>
      <c r="P1358" s="1180">
        <f>O1352/M!$Q$14</f>
        <v>2.2866793455314474E-3</v>
      </c>
      <c r="Q1358" s="1235"/>
      <c r="R1358" s="1235"/>
      <c r="S1358" s="1235"/>
      <c r="T1358" s="1235"/>
      <c r="U1358" s="1235"/>
      <c r="V1358" s="1235"/>
      <c r="W1358" s="1235"/>
    </row>
    <row r="1359" spans="1:23">
      <c r="A1359" s="2193"/>
      <c r="B1359" s="2194"/>
      <c r="C1359" s="2204"/>
      <c r="D1359" s="2204"/>
      <c r="E1359" s="2204"/>
      <c r="F1359" s="2204"/>
      <c r="G1359" s="2204"/>
      <c r="H1359" s="2204"/>
      <c r="I1359" s="2204"/>
      <c r="J1359" s="2204"/>
      <c r="K1359" s="2204"/>
      <c r="L1359" s="2204"/>
      <c r="M1359" s="2204"/>
      <c r="N1359" s="2204"/>
      <c r="O1359" s="2204"/>
      <c r="P1359" s="1180">
        <f>O1353/M!$Q$14</f>
        <v>2.3539346204000194E-3</v>
      </c>
      <c r="Q1359" s="1235"/>
      <c r="R1359" s="1235"/>
      <c r="S1359" s="1235"/>
      <c r="T1359" s="1235"/>
      <c r="U1359" s="1235"/>
      <c r="V1359" s="1235"/>
      <c r="W1359" s="1235"/>
    </row>
    <row r="1360" spans="1:23">
      <c r="A1360" s="2217"/>
      <c r="B1360" s="1176" t="s">
        <v>415</v>
      </c>
      <c r="C1360" s="1228">
        <v>105</v>
      </c>
      <c r="D1360" s="1228">
        <v>99</v>
      </c>
      <c r="E1360" s="1228">
        <v>72</v>
      </c>
      <c r="F1360" s="1228">
        <v>91</v>
      </c>
      <c r="G1360" s="1228">
        <v>149</v>
      </c>
      <c r="H1360" s="1228">
        <v>140</v>
      </c>
      <c r="I1360" s="1229">
        <v>198</v>
      </c>
      <c r="J1360" s="1229">
        <v>248</v>
      </c>
      <c r="K1360" s="1229">
        <v>163</v>
      </c>
      <c r="L1360" s="1229">
        <v>131</v>
      </c>
      <c r="M1360" s="1229">
        <v>140</v>
      </c>
      <c r="N1360" s="1229">
        <v>220</v>
      </c>
      <c r="O1360" s="1179">
        <f t="shared" ref="O1360:O1367" si="332">SUM(C1360:N1360)/12</f>
        <v>146.33333333333334</v>
      </c>
      <c r="P1360" s="2205">
        <f>O1354/M!$Q$14</f>
        <v>4.5696222869035297E-2</v>
      </c>
      <c r="Q1360" s="1235"/>
      <c r="R1360" s="1235"/>
      <c r="S1360" s="1235"/>
      <c r="T1360" s="1235"/>
      <c r="U1360" s="1235"/>
      <c r="V1360" s="1235"/>
      <c r="W1360" s="1235"/>
    </row>
    <row r="1361" spans="1:23">
      <c r="A1361" s="2218"/>
      <c r="B1361" s="1176" t="s">
        <v>416</v>
      </c>
      <c r="C1361" s="1182">
        <v>0</v>
      </c>
      <c r="D1361" s="1182">
        <v>0</v>
      </c>
      <c r="E1361" s="1182">
        <v>0</v>
      </c>
      <c r="F1361" s="1182">
        <v>0</v>
      </c>
      <c r="G1361" s="1182">
        <v>0</v>
      </c>
      <c r="H1361" s="1182">
        <v>0</v>
      </c>
      <c r="I1361" s="1182">
        <v>0</v>
      </c>
      <c r="J1361" s="1182">
        <v>0</v>
      </c>
      <c r="K1361" s="1182">
        <v>0</v>
      </c>
      <c r="L1361" s="1182">
        <v>0</v>
      </c>
      <c r="M1361" s="1182">
        <v>0</v>
      </c>
      <c r="N1361" s="1182">
        <v>0</v>
      </c>
      <c r="O1361" s="1179">
        <f t="shared" si="332"/>
        <v>0</v>
      </c>
      <c r="P1361" s="2206"/>
      <c r="Q1361" s="1235"/>
      <c r="R1361" s="1235"/>
      <c r="S1361" s="1235"/>
      <c r="T1361" s="1235"/>
      <c r="U1361" s="1235"/>
      <c r="V1361" s="1235"/>
      <c r="W1361" s="1235"/>
    </row>
    <row r="1362" spans="1:23">
      <c r="A1362" s="2218"/>
      <c r="B1362" s="1176" t="s">
        <v>417</v>
      </c>
      <c r="C1362" s="1182">
        <v>0</v>
      </c>
      <c r="D1362" s="1182">
        <v>0</v>
      </c>
      <c r="E1362" s="1182">
        <v>0</v>
      </c>
      <c r="F1362" s="1182">
        <v>0</v>
      </c>
      <c r="G1362" s="1182">
        <v>0</v>
      </c>
      <c r="H1362" s="1182">
        <v>0</v>
      </c>
      <c r="I1362" s="1182">
        <v>0</v>
      </c>
      <c r="J1362" s="1182">
        <v>0</v>
      </c>
      <c r="K1362" s="1182">
        <v>0</v>
      </c>
      <c r="L1362" s="1182">
        <v>0</v>
      </c>
      <c r="M1362" s="1182">
        <v>0</v>
      </c>
      <c r="N1362" s="1182">
        <v>0</v>
      </c>
      <c r="O1362" s="1179">
        <f t="shared" si="332"/>
        <v>0</v>
      </c>
      <c r="P1362" s="1180">
        <f>O1356/M!$Q$14</f>
        <v>4.3020957490929879E-2</v>
      </c>
      <c r="Q1362" s="1235"/>
      <c r="R1362" s="1235"/>
      <c r="S1362" s="1235"/>
      <c r="T1362" s="1235"/>
      <c r="U1362" s="1235"/>
      <c r="V1362" s="1235"/>
      <c r="W1362" s="1235"/>
    </row>
    <row r="1363" spans="1:23">
      <c r="A1363" s="2218"/>
      <c r="B1363" s="1176" t="s">
        <v>410</v>
      </c>
      <c r="C1363" s="1228">
        <v>120</v>
      </c>
      <c r="D1363" s="1228">
        <v>191</v>
      </c>
      <c r="E1363" s="1228">
        <v>147</v>
      </c>
      <c r="F1363" s="1228">
        <v>120</v>
      </c>
      <c r="G1363" s="1228">
        <v>103</v>
      </c>
      <c r="H1363" s="1228">
        <v>42</v>
      </c>
      <c r="I1363" s="1229">
        <v>37</v>
      </c>
      <c r="J1363" s="1229">
        <v>39</v>
      </c>
      <c r="K1363" s="1229">
        <v>34</v>
      </c>
      <c r="L1363" s="1229">
        <v>33</v>
      </c>
      <c r="M1363" s="1229">
        <v>45</v>
      </c>
      <c r="N1363" s="1229">
        <v>117</v>
      </c>
      <c r="O1363" s="1179">
        <f t="shared" si="332"/>
        <v>85.666666666666671</v>
      </c>
      <c r="P1363" s="1180">
        <f>O1357/M!$Q$14</f>
        <v>2.675265378105419E-3</v>
      </c>
      <c r="Q1363" s="1235"/>
      <c r="R1363" s="1235"/>
      <c r="S1363" s="1235"/>
      <c r="T1363" s="1235"/>
      <c r="U1363" s="1235"/>
      <c r="V1363" s="1235"/>
      <c r="W1363" s="1235"/>
    </row>
    <row r="1364" spans="1:23">
      <c r="A1364" s="2218"/>
      <c r="B1364" s="1176" t="s">
        <v>418</v>
      </c>
      <c r="C1364" s="1228">
        <v>60</v>
      </c>
      <c r="D1364" s="1228">
        <v>60</v>
      </c>
      <c r="E1364" s="1228">
        <v>60</v>
      </c>
      <c r="F1364" s="1228">
        <v>60</v>
      </c>
      <c r="G1364" s="1228">
        <v>60</v>
      </c>
      <c r="H1364" s="1228">
        <v>60</v>
      </c>
      <c r="I1364" s="1229">
        <v>85</v>
      </c>
      <c r="J1364" s="1229">
        <v>85</v>
      </c>
      <c r="K1364" s="1229">
        <v>95</v>
      </c>
      <c r="L1364" s="1229">
        <v>95</v>
      </c>
      <c r="M1364" s="1229">
        <v>95</v>
      </c>
      <c r="N1364" s="1229">
        <v>95</v>
      </c>
      <c r="O1364" s="1179">
        <f t="shared" si="332"/>
        <v>75.833333333333329</v>
      </c>
      <c r="P1364" s="2205">
        <f>O1358/M!$Q$14</f>
        <v>4.2520279333574953E-2</v>
      </c>
      <c r="Q1364" s="1235"/>
      <c r="R1364" s="1235"/>
      <c r="S1364" s="1235"/>
      <c r="T1364" s="1235"/>
      <c r="U1364" s="1235"/>
      <c r="V1364" s="1235"/>
      <c r="W1364" s="1235"/>
    </row>
    <row r="1365" spans="1:23">
      <c r="A1365" s="2218"/>
      <c r="B1365" s="1176" t="s">
        <v>419</v>
      </c>
      <c r="C1365" s="1228">
        <v>23</v>
      </c>
      <c r="D1365" s="1228">
        <v>30</v>
      </c>
      <c r="E1365" s="1228">
        <v>53</v>
      </c>
      <c r="F1365" s="1228">
        <v>15</v>
      </c>
      <c r="G1365" s="1228">
        <v>32</v>
      </c>
      <c r="H1365" s="1228">
        <v>32</v>
      </c>
      <c r="I1365" s="1229">
        <v>32</v>
      </c>
      <c r="J1365" s="1229">
        <v>32</v>
      </c>
      <c r="K1365" s="1229">
        <v>32</v>
      </c>
      <c r="L1365" s="1229">
        <v>32</v>
      </c>
      <c r="M1365" s="1229">
        <v>32</v>
      </c>
      <c r="N1365" s="1229">
        <v>32</v>
      </c>
      <c r="O1365" s="1179">
        <f t="shared" si="332"/>
        <v>31.416666666666668</v>
      </c>
      <c r="P1365" s="2206"/>
      <c r="Q1365" s="1235"/>
      <c r="R1365" s="1235"/>
      <c r="S1365" s="1235"/>
      <c r="T1365" s="1235"/>
      <c r="U1365" s="1235"/>
      <c r="V1365" s="1235"/>
      <c r="W1365" s="1235"/>
    </row>
    <row r="1366" spans="1:23">
      <c r="A1366" s="2218"/>
      <c r="B1366" s="1176" t="s">
        <v>460</v>
      </c>
      <c r="C1366" s="1228">
        <v>30</v>
      </c>
      <c r="D1366" s="1228">
        <v>25</v>
      </c>
      <c r="E1366" s="1228">
        <v>20</v>
      </c>
      <c r="F1366" s="1228">
        <v>25</v>
      </c>
      <c r="G1366" s="1228">
        <v>50</v>
      </c>
      <c r="H1366" s="1228">
        <v>25</v>
      </c>
      <c r="I1366" s="1229">
        <v>0</v>
      </c>
      <c r="J1366" s="1229">
        <v>0</v>
      </c>
      <c r="K1366" s="1229">
        <v>0</v>
      </c>
      <c r="L1366" s="1229">
        <v>0</v>
      </c>
      <c r="M1366" s="1229">
        <v>0</v>
      </c>
      <c r="N1366" s="1229">
        <v>0</v>
      </c>
      <c r="O1366" s="1179">
        <f t="shared" si="332"/>
        <v>14.583333333333334</v>
      </c>
      <c r="P1366" s="1180">
        <f>O1360/M!$Q$14</f>
        <v>1.3122251407690268E-2</v>
      </c>
      <c r="Q1366" s="1235"/>
      <c r="R1366" s="1235"/>
      <c r="S1366" s="1235"/>
      <c r="T1366" s="1235"/>
      <c r="U1366" s="1235"/>
      <c r="V1366" s="1235"/>
      <c r="W1366" s="1235"/>
    </row>
    <row r="1367" spans="1:23">
      <c r="A1367" s="2219"/>
      <c r="B1367" s="1176" t="s">
        <v>421</v>
      </c>
      <c r="C1367" s="1228">
        <v>63</v>
      </c>
      <c r="D1367" s="1228">
        <v>68</v>
      </c>
      <c r="E1367" s="1228">
        <v>63</v>
      </c>
      <c r="F1367" s="1228">
        <v>63</v>
      </c>
      <c r="G1367" s="1228">
        <v>66</v>
      </c>
      <c r="H1367" s="1228">
        <v>62</v>
      </c>
      <c r="I1367" s="1229">
        <v>63</v>
      </c>
      <c r="J1367" s="1229">
        <v>67</v>
      </c>
      <c r="K1367" s="1229">
        <v>543</v>
      </c>
      <c r="L1367" s="1229">
        <v>180</v>
      </c>
      <c r="M1367" s="1229">
        <v>103</v>
      </c>
      <c r="N1367" s="1229">
        <v>103</v>
      </c>
      <c r="O1367" s="1179">
        <f t="shared" si="332"/>
        <v>120.33333333333333</v>
      </c>
      <c r="P1367" s="1180">
        <f>O1361/M!$Q$14</f>
        <v>0</v>
      </c>
      <c r="Q1367" s="1235"/>
      <c r="R1367" s="1235"/>
      <c r="S1367" s="1235"/>
      <c r="T1367" s="1235"/>
      <c r="U1367" s="1235"/>
      <c r="V1367" s="1235"/>
      <c r="W1367" s="1235"/>
    </row>
    <row r="1368" spans="1:23">
      <c r="A1368" s="2191" t="s">
        <v>280</v>
      </c>
      <c r="B1368" s="2192"/>
      <c r="C1368" s="2203">
        <f t="shared" ref="C1368:O1368" si="333">SUM(C1370:C1376)</f>
        <v>170</v>
      </c>
      <c r="D1368" s="2203">
        <f t="shared" si="333"/>
        <v>202</v>
      </c>
      <c r="E1368" s="2203">
        <f t="shared" si="333"/>
        <v>338</v>
      </c>
      <c r="F1368" s="2203">
        <f t="shared" si="333"/>
        <v>456</v>
      </c>
      <c r="G1368" s="2203">
        <f t="shared" si="333"/>
        <v>255</v>
      </c>
      <c r="H1368" s="2203">
        <f t="shared" si="333"/>
        <v>236</v>
      </c>
      <c r="I1368" s="2203">
        <f t="shared" si="333"/>
        <v>372</v>
      </c>
      <c r="J1368" s="2203">
        <f t="shared" si="333"/>
        <v>403</v>
      </c>
      <c r="K1368" s="2203">
        <f t="shared" si="333"/>
        <v>511</v>
      </c>
      <c r="L1368" s="2203">
        <f t="shared" si="333"/>
        <v>647</v>
      </c>
      <c r="M1368" s="2203">
        <f t="shared" si="333"/>
        <v>809</v>
      </c>
      <c r="N1368" s="2203">
        <f t="shared" si="333"/>
        <v>639</v>
      </c>
      <c r="O1368" s="2203">
        <f t="shared" si="333"/>
        <v>419.83333333333331</v>
      </c>
      <c r="P1368" s="1180">
        <f>O1362/M!$Q$14</f>
        <v>0</v>
      </c>
      <c r="Q1368" s="1235"/>
      <c r="R1368" s="1235"/>
      <c r="S1368" s="1235"/>
      <c r="T1368" s="1235"/>
      <c r="U1368" s="1235"/>
      <c r="V1368" s="1235"/>
      <c r="W1368" s="1235"/>
    </row>
    <row r="1369" spans="1:23">
      <c r="A1369" s="2193"/>
      <c r="B1369" s="2194"/>
      <c r="C1369" s="2204"/>
      <c r="D1369" s="2204"/>
      <c r="E1369" s="2204"/>
      <c r="F1369" s="2204"/>
      <c r="G1369" s="2204"/>
      <c r="H1369" s="2204"/>
      <c r="I1369" s="2204"/>
      <c r="J1369" s="2204"/>
      <c r="K1369" s="2204"/>
      <c r="L1369" s="2204"/>
      <c r="M1369" s="2204"/>
      <c r="N1369" s="2204"/>
      <c r="O1369" s="2204"/>
      <c r="P1369" s="1180">
        <f>O1363/M!$Q$14</f>
        <v>7.6820469516546671E-3</v>
      </c>
      <c r="Q1369" s="1235"/>
      <c r="R1369" s="1235"/>
      <c r="S1369" s="1235"/>
      <c r="T1369" s="1235"/>
      <c r="U1369" s="1235"/>
      <c r="V1369" s="1235"/>
      <c r="W1369" s="1235"/>
    </row>
    <row r="1370" spans="1:23">
      <c r="A1370" s="2217"/>
      <c r="B1370" s="1176" t="s">
        <v>280</v>
      </c>
      <c r="C1370" s="1228">
        <v>51</v>
      </c>
      <c r="D1370" s="1228">
        <v>97</v>
      </c>
      <c r="E1370" s="1228">
        <v>183</v>
      </c>
      <c r="F1370" s="1228">
        <v>275</v>
      </c>
      <c r="G1370" s="1228">
        <v>175</v>
      </c>
      <c r="H1370" s="1228">
        <v>88</v>
      </c>
      <c r="I1370" s="1229">
        <v>314</v>
      </c>
      <c r="J1370" s="1229">
        <v>108</v>
      </c>
      <c r="K1370" s="1229">
        <v>311</v>
      </c>
      <c r="L1370" s="1229">
        <v>157</v>
      </c>
      <c r="M1370" s="1229">
        <v>323</v>
      </c>
      <c r="N1370" s="1229">
        <v>254</v>
      </c>
      <c r="O1370" s="1179">
        <f t="shared" ref="O1370:O1376" si="334">SUM(C1370:N1370)/12</f>
        <v>194.66666666666666</v>
      </c>
      <c r="P1370" s="1180">
        <f>O1364/M!$Q$14</f>
        <v>6.8002555700445002E-3</v>
      </c>
      <c r="Q1370" s="1235"/>
      <c r="R1370" s="1235"/>
      <c r="S1370" s="1235"/>
      <c r="T1370" s="1235"/>
      <c r="U1370" s="1235"/>
      <c r="V1370" s="1235"/>
      <c r="W1370" s="1235"/>
    </row>
    <row r="1371" spans="1:23">
      <c r="A1371" s="2218"/>
      <c r="B1371" s="1176" t="s">
        <v>423</v>
      </c>
      <c r="C1371" s="1228">
        <v>94</v>
      </c>
      <c r="D1371" s="1228">
        <v>12</v>
      </c>
      <c r="E1371" s="1228">
        <v>10</v>
      </c>
      <c r="F1371" s="1228">
        <v>83</v>
      </c>
      <c r="G1371" s="1228">
        <v>20</v>
      </c>
      <c r="H1371" s="1228">
        <v>30</v>
      </c>
      <c r="I1371" s="1229">
        <v>0</v>
      </c>
      <c r="J1371" s="1229">
        <v>54</v>
      </c>
      <c r="K1371" s="1229">
        <v>0</v>
      </c>
      <c r="L1371" s="1229">
        <v>70</v>
      </c>
      <c r="M1371" s="1229">
        <v>308</v>
      </c>
      <c r="N1371" s="1229">
        <v>109</v>
      </c>
      <c r="O1371" s="1179">
        <f t="shared" si="334"/>
        <v>65.833333333333329</v>
      </c>
      <c r="P1371" s="1180">
        <f>O1365/M!$Q$14</f>
        <v>2.8172487361612934E-3</v>
      </c>
      <c r="Q1371" s="1235"/>
      <c r="R1371" s="1235"/>
      <c r="S1371" s="1235"/>
      <c r="T1371" s="1235"/>
      <c r="U1371" s="1235"/>
      <c r="V1371" s="1235"/>
      <c r="W1371" s="1235"/>
    </row>
    <row r="1372" spans="1:23">
      <c r="A1372" s="2218"/>
      <c r="B1372" s="1176" t="s">
        <v>424</v>
      </c>
      <c r="C1372" s="1228">
        <v>0</v>
      </c>
      <c r="D1372" s="1228">
        <v>0</v>
      </c>
      <c r="E1372" s="1228">
        <v>0</v>
      </c>
      <c r="F1372" s="1228">
        <v>0</v>
      </c>
      <c r="G1372" s="1228">
        <v>0</v>
      </c>
      <c r="H1372" s="1228">
        <v>0</v>
      </c>
      <c r="I1372" s="1229">
        <v>0</v>
      </c>
      <c r="J1372" s="1229">
        <v>0</v>
      </c>
      <c r="K1372" s="1229">
        <v>0</v>
      </c>
      <c r="L1372" s="1229">
        <v>145</v>
      </c>
      <c r="M1372" s="1229">
        <v>50</v>
      </c>
      <c r="N1372" s="1229">
        <v>0</v>
      </c>
      <c r="O1372" s="1179">
        <f t="shared" si="334"/>
        <v>16.25</v>
      </c>
      <c r="P1372" s="1180">
        <f>O1366/M!$Q$14</f>
        <v>1.3077414557777886E-3</v>
      </c>
      <c r="Q1372" s="1235"/>
      <c r="R1372" s="1235"/>
      <c r="S1372" s="1235"/>
      <c r="T1372" s="1235"/>
      <c r="U1372" s="1235"/>
      <c r="V1372" s="1235"/>
      <c r="W1372" s="1235"/>
    </row>
    <row r="1373" spans="1:23">
      <c r="A1373" s="2218"/>
      <c r="B1373" s="1176" t="s">
        <v>425</v>
      </c>
      <c r="C1373" s="1228">
        <v>5</v>
      </c>
      <c r="D1373" s="1228">
        <v>0</v>
      </c>
      <c r="E1373" s="1228">
        <v>0</v>
      </c>
      <c r="F1373" s="1228">
        <v>26</v>
      </c>
      <c r="G1373" s="1228">
        <v>0</v>
      </c>
      <c r="H1373" s="1228">
        <v>0</v>
      </c>
      <c r="I1373" s="1229">
        <v>0</v>
      </c>
      <c r="J1373" s="1229">
        <v>0</v>
      </c>
      <c r="K1373" s="1229">
        <v>0</v>
      </c>
      <c r="L1373" s="1229">
        <v>0</v>
      </c>
      <c r="M1373" s="1229">
        <v>0</v>
      </c>
      <c r="N1373" s="1229">
        <v>0</v>
      </c>
      <c r="O1373" s="1179">
        <f t="shared" si="334"/>
        <v>2.5833333333333335</v>
      </c>
      <c r="P1373" s="1180">
        <f>O1367/M!$Q$14</f>
        <v>1.0790735212246438E-2</v>
      </c>
      <c r="Q1373" s="1235"/>
      <c r="R1373" s="1235"/>
      <c r="S1373" s="1235"/>
      <c r="T1373" s="1235"/>
      <c r="U1373" s="1235"/>
      <c r="V1373" s="1235"/>
      <c r="W1373" s="1235"/>
    </row>
    <row r="1374" spans="1:23">
      <c r="A1374" s="2218"/>
      <c r="B1374" s="1176" t="s">
        <v>667</v>
      </c>
      <c r="C1374" s="1228">
        <v>0</v>
      </c>
      <c r="D1374" s="1228">
        <v>73</v>
      </c>
      <c r="E1374" s="1228">
        <v>125</v>
      </c>
      <c r="F1374" s="1228">
        <v>52</v>
      </c>
      <c r="G1374" s="1228">
        <v>40</v>
      </c>
      <c r="H1374" s="1228">
        <v>98</v>
      </c>
      <c r="I1374" s="1229">
        <v>38</v>
      </c>
      <c r="J1374" s="1229">
        <v>221</v>
      </c>
      <c r="K1374" s="1229">
        <v>180</v>
      </c>
      <c r="L1374" s="1229">
        <v>255</v>
      </c>
      <c r="M1374" s="1229">
        <v>122</v>
      </c>
      <c r="N1374" s="1229">
        <v>276</v>
      </c>
      <c r="O1374" s="1179">
        <f t="shared" si="334"/>
        <v>123.33333333333333</v>
      </c>
      <c r="P1374" s="2205">
        <f>O1368/M!$Q$14</f>
        <v>3.7648008309762851E-2</v>
      </c>
      <c r="Q1374" s="1235"/>
      <c r="R1374" s="1235"/>
      <c r="S1374" s="1235"/>
      <c r="T1374" s="1235"/>
      <c r="U1374" s="1235"/>
      <c r="V1374" s="1235"/>
      <c r="W1374" s="1235"/>
    </row>
    <row r="1375" spans="1:23">
      <c r="A1375" s="2218"/>
      <c r="B1375" s="1176" t="s">
        <v>427</v>
      </c>
      <c r="C1375" s="1228">
        <v>20</v>
      </c>
      <c r="D1375" s="1228">
        <v>20</v>
      </c>
      <c r="E1375" s="1228">
        <v>20</v>
      </c>
      <c r="F1375" s="1228">
        <v>20</v>
      </c>
      <c r="G1375" s="1228">
        <v>20</v>
      </c>
      <c r="H1375" s="1228">
        <v>20</v>
      </c>
      <c r="I1375" s="1229">
        <v>20</v>
      </c>
      <c r="J1375" s="1229">
        <v>20</v>
      </c>
      <c r="K1375" s="1229">
        <v>20</v>
      </c>
      <c r="L1375" s="1229">
        <v>20</v>
      </c>
      <c r="M1375" s="1229">
        <v>0</v>
      </c>
      <c r="N1375" s="1229">
        <v>0</v>
      </c>
      <c r="O1375" s="1179">
        <f t="shared" si="334"/>
        <v>16.666666666666668</v>
      </c>
      <c r="P1375" s="2206"/>
      <c r="Q1375" s="1235"/>
      <c r="R1375" s="1235"/>
      <c r="S1375" s="1235"/>
      <c r="T1375" s="1235"/>
      <c r="U1375" s="1235"/>
      <c r="V1375" s="1235"/>
      <c r="W1375" s="1235"/>
    </row>
    <row r="1376" spans="1:23">
      <c r="A1376" s="2219"/>
      <c r="B1376" s="1176" t="s">
        <v>381</v>
      </c>
      <c r="C1376" s="1228">
        <v>0</v>
      </c>
      <c r="D1376" s="1228">
        <v>0</v>
      </c>
      <c r="E1376" s="1228">
        <v>0</v>
      </c>
      <c r="F1376" s="1228">
        <v>0</v>
      </c>
      <c r="G1376" s="1228">
        <v>0</v>
      </c>
      <c r="H1376" s="1228">
        <v>0</v>
      </c>
      <c r="I1376" s="1229">
        <v>0</v>
      </c>
      <c r="J1376" s="1229">
        <v>0</v>
      </c>
      <c r="K1376" s="1229">
        <v>0</v>
      </c>
      <c r="L1376" s="1229">
        <v>0</v>
      </c>
      <c r="M1376" s="1229">
        <v>6</v>
      </c>
      <c r="N1376" s="1229">
        <v>0</v>
      </c>
      <c r="O1376" s="1179">
        <f t="shared" si="334"/>
        <v>0.5</v>
      </c>
      <c r="P1376" s="1180">
        <f>O1370/M!$Q$14</f>
        <v>1.7456480232553796E-2</v>
      </c>
      <c r="Q1376" s="1235"/>
      <c r="R1376" s="1235"/>
      <c r="S1376" s="1235"/>
      <c r="T1376" s="1235"/>
      <c r="U1376" s="1235"/>
      <c r="V1376" s="1235"/>
      <c r="W1376" s="1235"/>
    </row>
    <row r="1377" spans="1:23">
      <c r="A1377" s="2191" t="s">
        <v>428</v>
      </c>
      <c r="B1377" s="2192"/>
      <c r="C1377" s="2203">
        <f>SUM(C1379:C1380)</f>
        <v>125</v>
      </c>
      <c r="D1377" s="2203">
        <f t="shared" ref="D1377:N1377" si="335">SUM(D1379:D1380)</f>
        <v>12282</v>
      </c>
      <c r="E1377" s="2203">
        <f t="shared" si="335"/>
        <v>0</v>
      </c>
      <c r="F1377" s="2203">
        <f t="shared" si="335"/>
        <v>0</v>
      </c>
      <c r="G1377" s="2203">
        <f t="shared" si="335"/>
        <v>0</v>
      </c>
      <c r="H1377" s="2203">
        <f t="shared" si="335"/>
        <v>0</v>
      </c>
      <c r="I1377" s="2203">
        <f t="shared" si="335"/>
        <v>0</v>
      </c>
      <c r="J1377" s="2203">
        <f t="shared" si="335"/>
        <v>0</v>
      </c>
      <c r="K1377" s="2203">
        <f t="shared" si="335"/>
        <v>0</v>
      </c>
      <c r="L1377" s="2203">
        <f t="shared" si="335"/>
        <v>0</v>
      </c>
      <c r="M1377" s="2203">
        <f t="shared" si="335"/>
        <v>2284</v>
      </c>
      <c r="N1377" s="2203">
        <f t="shared" si="335"/>
        <v>0</v>
      </c>
      <c r="O1377" s="2203">
        <f>SUM(O1379:O1380)</f>
        <v>1224.25</v>
      </c>
      <c r="P1377" s="1180">
        <f>O1371/M!$Q$14</f>
        <v>5.9035185717968737E-3</v>
      </c>
      <c r="Q1377" s="1235"/>
      <c r="R1377" s="1235"/>
      <c r="S1377" s="1235"/>
      <c r="T1377" s="1235"/>
      <c r="U1377" s="1235"/>
      <c r="V1377" s="1235"/>
      <c r="W1377" s="1235"/>
    </row>
    <row r="1378" spans="1:23">
      <c r="A1378" s="2193"/>
      <c r="B1378" s="2194"/>
      <c r="C1378" s="2204"/>
      <c r="D1378" s="2204"/>
      <c r="E1378" s="2204"/>
      <c r="F1378" s="2204"/>
      <c r="G1378" s="2204"/>
      <c r="H1378" s="2204"/>
      <c r="I1378" s="2204"/>
      <c r="J1378" s="2204"/>
      <c r="K1378" s="2204"/>
      <c r="L1378" s="2204"/>
      <c r="M1378" s="2204"/>
      <c r="N1378" s="2204"/>
      <c r="O1378" s="2204"/>
      <c r="P1378" s="1180">
        <f>O1372/M!$Q$14</f>
        <v>1.4571976221523931E-3</v>
      </c>
      <c r="Q1378" s="1235"/>
      <c r="R1378" s="1235"/>
      <c r="S1378" s="1235"/>
      <c r="T1378" s="1235"/>
      <c r="U1378" s="1235"/>
      <c r="V1378" s="1235"/>
      <c r="W1378" s="1235"/>
    </row>
    <row r="1379" spans="1:23">
      <c r="A1379" s="2217"/>
      <c r="B1379" s="1176" t="s">
        <v>429</v>
      </c>
      <c r="C1379" s="1177">
        <v>125</v>
      </c>
      <c r="D1379" s="1177">
        <v>12282</v>
      </c>
      <c r="E1379" s="1177">
        <v>0</v>
      </c>
      <c r="F1379" s="1177">
        <v>0</v>
      </c>
      <c r="G1379" s="1177">
        <v>0</v>
      </c>
      <c r="H1379" s="1177">
        <v>0</v>
      </c>
      <c r="I1379" s="1177">
        <v>0</v>
      </c>
      <c r="J1379" s="1177">
        <v>0</v>
      </c>
      <c r="K1379" s="1177">
        <v>0</v>
      </c>
      <c r="L1379" s="1177">
        <v>0</v>
      </c>
      <c r="M1379" s="1177">
        <v>2284</v>
      </c>
      <c r="N1379" s="1177">
        <v>0</v>
      </c>
      <c r="O1379" s="1179">
        <f>SUM(C1379:N1379)/12</f>
        <v>1224.25</v>
      </c>
      <c r="P1379" s="1180">
        <f>O1373/M!$Q$14</f>
        <v>2.3165705788063686E-4</v>
      </c>
      <c r="Q1379" s="1235"/>
      <c r="R1379" s="1235"/>
      <c r="S1379" s="1235"/>
      <c r="T1379" s="1235"/>
      <c r="U1379" s="1235"/>
      <c r="V1379" s="1235"/>
      <c r="W1379" s="1235"/>
    </row>
    <row r="1380" spans="1:23">
      <c r="A1380" s="2218"/>
      <c r="B1380" s="1176" t="s">
        <v>430</v>
      </c>
      <c r="C1380" s="1177">
        <v>0</v>
      </c>
      <c r="D1380" s="1177">
        <v>0</v>
      </c>
      <c r="E1380" s="1177">
        <v>0</v>
      </c>
      <c r="F1380" s="1177">
        <v>0</v>
      </c>
      <c r="G1380" s="1177">
        <v>0</v>
      </c>
      <c r="H1380" s="1177">
        <v>0</v>
      </c>
      <c r="I1380" s="1177">
        <v>0</v>
      </c>
      <c r="J1380" s="1177">
        <v>0</v>
      </c>
      <c r="K1380" s="1177">
        <v>0</v>
      </c>
      <c r="L1380" s="1177">
        <v>0</v>
      </c>
      <c r="M1380" s="1177">
        <v>0</v>
      </c>
      <c r="N1380" s="1177">
        <v>0</v>
      </c>
      <c r="O1380" s="1179">
        <f>SUM(C1380:N1380)/12</f>
        <v>0</v>
      </c>
      <c r="P1380" s="1180">
        <f>O1374/M!$Q$14</f>
        <v>1.1059756311720726E-2</v>
      </c>
      <c r="Q1380" s="1235"/>
      <c r="R1380" s="1235"/>
      <c r="S1380" s="1235"/>
      <c r="T1380" s="1235"/>
      <c r="U1380" s="1235"/>
      <c r="V1380" s="1235"/>
      <c r="W1380" s="1235"/>
    </row>
    <row r="1381" spans="1:23">
      <c r="A1381" s="2191" t="s">
        <v>668</v>
      </c>
      <c r="B1381" s="2192"/>
      <c r="C1381" s="2203">
        <f>SUM(C1383:C1386)</f>
        <v>353.83333333333331</v>
      </c>
      <c r="D1381" s="2203">
        <f t="shared" ref="D1381:N1381" si="336">SUM(D1383:D1386)</f>
        <v>208.83333333333331</v>
      </c>
      <c r="E1381" s="2203">
        <f t="shared" si="336"/>
        <v>218.83333333333331</v>
      </c>
      <c r="F1381" s="2203">
        <f t="shared" si="336"/>
        <v>277.83333333333331</v>
      </c>
      <c r="G1381" s="2203">
        <f t="shared" si="336"/>
        <v>908.83333333333326</v>
      </c>
      <c r="H1381" s="2203">
        <f t="shared" si="336"/>
        <v>248.83333333333331</v>
      </c>
      <c r="I1381" s="2203">
        <f t="shared" si="336"/>
        <v>208.83333333333331</v>
      </c>
      <c r="J1381" s="2203">
        <f t="shared" si="336"/>
        <v>280.83333333333331</v>
      </c>
      <c r="K1381" s="2203">
        <f t="shared" si="336"/>
        <v>250.83333333333331</v>
      </c>
      <c r="L1381" s="2203">
        <f t="shared" si="336"/>
        <v>372.83333333333331</v>
      </c>
      <c r="M1381" s="2203">
        <f t="shared" si="336"/>
        <v>208.83333333333331</v>
      </c>
      <c r="N1381" s="2203">
        <f t="shared" si="336"/>
        <v>297.83333333333331</v>
      </c>
      <c r="O1381" s="2203">
        <f>SUM(O1383:O1391)</f>
        <v>1126.5833333333335</v>
      </c>
      <c r="P1381" s="1180">
        <f>O1375/M!$Q$14</f>
        <v>1.4945616637460442E-3</v>
      </c>
      <c r="Q1381" s="1235"/>
      <c r="R1381" s="1235"/>
      <c r="S1381" s="1235"/>
      <c r="T1381" s="1235"/>
      <c r="U1381" s="1235"/>
      <c r="V1381" s="1235"/>
      <c r="W1381" s="1235"/>
    </row>
    <row r="1382" spans="1:23">
      <c r="A1382" s="2193"/>
      <c r="B1382" s="2194"/>
      <c r="C1382" s="2204"/>
      <c r="D1382" s="2204"/>
      <c r="E1382" s="2204"/>
      <c r="F1382" s="2204"/>
      <c r="G1382" s="2204"/>
      <c r="H1382" s="2204"/>
      <c r="I1382" s="2204"/>
      <c r="J1382" s="2204"/>
      <c r="K1382" s="2204"/>
      <c r="L1382" s="2204"/>
      <c r="M1382" s="2204"/>
      <c r="N1382" s="2204"/>
      <c r="O1382" s="2204"/>
      <c r="P1382" s="1180">
        <f>O1376/M!$Q$14</f>
        <v>4.4836849912381327E-5</v>
      </c>
      <c r="Q1382" s="1235"/>
      <c r="R1382" s="1235"/>
      <c r="S1382" s="1235"/>
      <c r="T1382" s="1235"/>
      <c r="U1382" s="1235"/>
      <c r="V1382" s="1235"/>
      <c r="W1382" s="1235"/>
    </row>
    <row r="1383" spans="1:23">
      <c r="A1383" s="1183"/>
      <c r="B1383" s="1176" t="s">
        <v>432</v>
      </c>
      <c r="C1383" s="1184">
        <f>(FinSnapshot!$I$94 +FinSnapshot!$I$96+FinSnapshot!$I$102+FinSnapshot!$I$104)/12</f>
        <v>165.91666666666666</v>
      </c>
      <c r="D1383" s="1184">
        <f>(FinSnapshot!$I$94 +FinSnapshot!$I$96+FinSnapshot!$I$102+FinSnapshot!$I$104)/12</f>
        <v>165.91666666666666</v>
      </c>
      <c r="E1383" s="1184">
        <f>(FinSnapshot!$I$94 +FinSnapshot!$I$96+FinSnapshot!$I$102+FinSnapshot!$I$104)/12</f>
        <v>165.91666666666666</v>
      </c>
      <c r="F1383" s="1184">
        <f>(FinSnapshot!$I$94 +FinSnapshot!$I$96+FinSnapshot!$I$102+FinSnapshot!$I$104)/12</f>
        <v>165.91666666666666</v>
      </c>
      <c r="G1383" s="1184">
        <f>(FinSnapshot!$I$94 +FinSnapshot!$I$96+FinSnapshot!$I$102+FinSnapshot!$I$104)/12</f>
        <v>165.91666666666666</v>
      </c>
      <c r="H1383" s="1184">
        <f>(FinSnapshot!$I$94 +FinSnapshot!$I$96+FinSnapshot!$I$102+FinSnapshot!$I$104)/12</f>
        <v>165.91666666666666</v>
      </c>
      <c r="I1383" s="1184">
        <f>(FinSnapshot!$I$94 +FinSnapshot!$I$96+FinSnapshot!$I$102+FinSnapshot!$I$104)/12</f>
        <v>165.91666666666666</v>
      </c>
      <c r="J1383" s="1184">
        <f>(FinSnapshot!$I$94 +FinSnapshot!$I$96+FinSnapshot!$I$102+FinSnapshot!$I$104)/12</f>
        <v>165.91666666666666</v>
      </c>
      <c r="K1383" s="1184">
        <f>(FinSnapshot!$I$94 +FinSnapshot!$I$96+FinSnapshot!$I$102+FinSnapshot!$I$104)/12</f>
        <v>165.91666666666666</v>
      </c>
      <c r="L1383" s="1184">
        <f>(FinSnapshot!$I$94 +FinSnapshot!$I$96+FinSnapshot!$I$102+FinSnapshot!$I$104)/12</f>
        <v>165.91666666666666</v>
      </c>
      <c r="M1383" s="1184">
        <f>(FinSnapshot!$I$94 +FinSnapshot!$I$96+FinSnapshot!$I$102+FinSnapshot!$I$104)/12</f>
        <v>165.91666666666666</v>
      </c>
      <c r="N1383" s="1184">
        <f>(FinSnapshot!$I$94 +FinSnapshot!$I$96+FinSnapshot!$I$102+FinSnapshot!$I$104)/12</f>
        <v>165.91666666666666</v>
      </c>
      <c r="O1383" s="1179">
        <f>SUM(C1383:N1383)/12</f>
        <v>165.91666666666669</v>
      </c>
      <c r="P1383" s="2205">
        <f>O1377/M!$Q$14</f>
        <v>0.10978302701046568</v>
      </c>
      <c r="Q1383" s="1235"/>
      <c r="R1383" s="1235"/>
      <c r="S1383" s="1235"/>
      <c r="T1383" s="1235"/>
      <c r="U1383" s="1235"/>
      <c r="V1383" s="1235"/>
      <c r="W1383" s="1235"/>
    </row>
    <row r="1384" spans="1:23">
      <c r="A1384" s="1183"/>
      <c r="B1384" s="1176" t="s">
        <v>284</v>
      </c>
      <c r="C1384" s="1228">
        <v>145</v>
      </c>
      <c r="D1384" s="1228">
        <v>0</v>
      </c>
      <c r="E1384" s="1228">
        <v>10</v>
      </c>
      <c r="F1384" s="1228">
        <v>69</v>
      </c>
      <c r="G1384" s="1228">
        <v>700</v>
      </c>
      <c r="H1384" s="1228">
        <v>40</v>
      </c>
      <c r="I1384" s="1228">
        <v>0</v>
      </c>
      <c r="J1384" s="1228">
        <v>72</v>
      </c>
      <c r="K1384" s="1228">
        <v>42</v>
      </c>
      <c r="L1384" s="1228">
        <v>164</v>
      </c>
      <c r="M1384" s="1228">
        <v>0</v>
      </c>
      <c r="N1384" s="1228">
        <v>89</v>
      </c>
      <c r="O1384" s="1179">
        <f>SUM(C1384:N1384)/12</f>
        <v>110.91666666666667</v>
      </c>
      <c r="P1384" s="2206"/>
      <c r="Q1384" s="1235"/>
      <c r="R1384" s="1235"/>
      <c r="S1384" s="1235"/>
      <c r="T1384" s="1235"/>
      <c r="U1384" s="1235"/>
      <c r="V1384" s="1235"/>
      <c r="W1384" s="1235"/>
    </row>
    <row r="1385" spans="1:23">
      <c r="A1385" s="1183"/>
      <c r="B1385" s="1176" t="s">
        <v>433</v>
      </c>
      <c r="C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D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E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F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G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H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I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J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K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L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M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N1385" s="1178">
        <f>(FinSnapshot!$I$93+ FinSnapshot!$I$95+ FinSnapshot!$I$96+ FinSnapshot!$I$103 + FinSnapshot!$I$105+ FinSnapshot!$I$107+ FinSnapshot!$I$108+ FinSnapshot!$I$101+FinSnapshot!$I$95+FinSnapshot!$I$103)/12</f>
        <v>42.916666666666664</v>
      </c>
      <c r="O1385" s="1179">
        <f>SUM(C1385:N1385)/12</f>
        <v>42.916666666666679</v>
      </c>
      <c r="P1385" s="1180">
        <f>O1379/M!$Q$14</f>
        <v>0.10978302701046568</v>
      </c>
      <c r="Q1385" s="1235"/>
      <c r="R1385" s="1235"/>
      <c r="S1385" s="1235"/>
      <c r="T1385" s="1235"/>
      <c r="U1385" s="1235"/>
      <c r="V1385" s="1235"/>
      <c r="W1385" s="1235"/>
    </row>
    <row r="1386" spans="1:23">
      <c r="A1386" s="1183"/>
      <c r="B1386" s="1176" t="s">
        <v>434</v>
      </c>
      <c r="C1386" s="1184">
        <v>0</v>
      </c>
      <c r="D1386" s="1184">
        <v>0</v>
      </c>
      <c r="E1386" s="1184">
        <v>0</v>
      </c>
      <c r="F1386" s="1184">
        <v>0</v>
      </c>
      <c r="G1386" s="1184">
        <v>0</v>
      </c>
      <c r="H1386" s="1184">
        <v>0</v>
      </c>
      <c r="I1386" s="1184">
        <v>0</v>
      </c>
      <c r="J1386" s="1184">
        <v>0</v>
      </c>
      <c r="K1386" s="1184">
        <v>0</v>
      </c>
      <c r="L1386" s="1184">
        <v>0</v>
      </c>
      <c r="M1386" s="1184">
        <v>0</v>
      </c>
      <c r="N1386" s="1184">
        <v>0</v>
      </c>
      <c r="O1386" s="1179">
        <f>SUM(C1386:N1386)/12</f>
        <v>0</v>
      </c>
      <c r="P1386" s="1180">
        <f>O1380/M!$Q$14</f>
        <v>0</v>
      </c>
      <c r="Q1386" s="1235"/>
      <c r="R1386" s="1235"/>
      <c r="S1386" s="1235"/>
      <c r="T1386" s="1235"/>
      <c r="U1386" s="1235"/>
      <c r="V1386" s="1235"/>
      <c r="W1386" s="1235"/>
    </row>
    <row r="1387" spans="1:23">
      <c r="A1387" s="2191" t="s">
        <v>435</v>
      </c>
      <c r="B1387" s="2192"/>
      <c r="C1387" s="2203">
        <f>SUM(C1389:C1391)</f>
        <v>100</v>
      </c>
      <c r="D1387" s="2203">
        <f t="shared" ref="D1387:N1387" si="337">SUM(D1389:D1391)</f>
        <v>13</v>
      </c>
      <c r="E1387" s="2203">
        <f t="shared" si="337"/>
        <v>400</v>
      </c>
      <c r="F1387" s="2203">
        <f t="shared" si="337"/>
        <v>995</v>
      </c>
      <c r="G1387" s="2203">
        <f t="shared" si="337"/>
        <v>100</v>
      </c>
      <c r="H1387" s="2203">
        <f t="shared" si="337"/>
        <v>2520</v>
      </c>
      <c r="I1387" s="2203">
        <f t="shared" si="337"/>
        <v>0</v>
      </c>
      <c r="J1387" s="2203">
        <f t="shared" si="337"/>
        <v>45</v>
      </c>
      <c r="K1387" s="2203">
        <f t="shared" si="337"/>
        <v>20</v>
      </c>
      <c r="L1387" s="2203">
        <f t="shared" si="337"/>
        <v>76</v>
      </c>
      <c r="M1387" s="2203">
        <f t="shared" si="337"/>
        <v>12</v>
      </c>
      <c r="N1387" s="2203">
        <f t="shared" si="337"/>
        <v>560</v>
      </c>
      <c r="O1387" s="2203">
        <f>SUM(O1389:O1391)</f>
        <v>403.41666666666669</v>
      </c>
      <c r="P1387" s="2205">
        <f>O1381/M!$Q$14</f>
        <v>0.10102489566091387</v>
      </c>
      <c r="Q1387" s="1235"/>
      <c r="R1387" s="1235"/>
      <c r="S1387" s="1235"/>
      <c r="T1387" s="1235"/>
      <c r="U1387" s="1235"/>
      <c r="V1387" s="1235"/>
      <c r="W1387" s="1235"/>
    </row>
    <row r="1388" spans="1:23">
      <c r="A1388" s="2193"/>
      <c r="B1388" s="2194"/>
      <c r="C1388" s="2204"/>
      <c r="D1388" s="2204"/>
      <c r="E1388" s="2204"/>
      <c r="F1388" s="2204"/>
      <c r="G1388" s="2204"/>
      <c r="H1388" s="2204"/>
      <c r="I1388" s="2204"/>
      <c r="J1388" s="2204"/>
      <c r="K1388" s="2204"/>
      <c r="L1388" s="2204"/>
      <c r="M1388" s="2204"/>
      <c r="N1388" s="2204"/>
      <c r="O1388" s="2204"/>
      <c r="P1388" s="2206"/>
      <c r="Q1388" s="1235"/>
      <c r="R1388" s="1235"/>
      <c r="S1388" s="1235"/>
      <c r="T1388" s="1235"/>
      <c r="U1388" s="1235"/>
      <c r="V1388" s="1235"/>
      <c r="W1388" s="1235"/>
    </row>
    <row r="1389" spans="1:23">
      <c r="A1389" s="1183"/>
      <c r="B1389" s="1176" t="s">
        <v>405</v>
      </c>
      <c r="C1389" s="1228">
        <v>100</v>
      </c>
      <c r="D1389" s="1228">
        <v>0</v>
      </c>
      <c r="E1389" s="1228">
        <v>400</v>
      </c>
      <c r="F1389" s="1228">
        <v>100</v>
      </c>
      <c r="G1389" s="1228">
        <v>100</v>
      </c>
      <c r="H1389" s="1228">
        <v>100</v>
      </c>
      <c r="I1389" s="1229">
        <v>0</v>
      </c>
      <c r="J1389" s="1229">
        <v>0</v>
      </c>
      <c r="K1389" s="1229">
        <v>0</v>
      </c>
      <c r="L1389" s="1229">
        <v>0</v>
      </c>
      <c r="M1389" s="1229">
        <v>0</v>
      </c>
      <c r="N1389" s="1229">
        <v>0</v>
      </c>
      <c r="O1389" s="1179">
        <f>SUM(C1389:N1389)/12</f>
        <v>66.666666666666671</v>
      </c>
      <c r="P1389" s="1180">
        <f>O1383/M!$Q$14</f>
        <v>1.4878361362591871E-2</v>
      </c>
      <c r="Q1389" s="1235"/>
      <c r="R1389" s="1235"/>
      <c r="S1389" s="1235"/>
      <c r="T1389" s="1235"/>
      <c r="U1389" s="1235"/>
      <c r="V1389" s="1235"/>
      <c r="W1389" s="1235"/>
    </row>
    <row r="1390" spans="1:23">
      <c r="A1390" s="1183"/>
      <c r="B1390" s="1176" t="s">
        <v>436</v>
      </c>
      <c r="C1390" s="1228">
        <v>0</v>
      </c>
      <c r="D1390" s="1228">
        <v>0</v>
      </c>
      <c r="E1390" s="1228">
        <v>0</v>
      </c>
      <c r="F1390" s="1228">
        <v>0</v>
      </c>
      <c r="G1390" s="1228">
        <v>0</v>
      </c>
      <c r="H1390" s="1228">
        <v>0</v>
      </c>
      <c r="I1390" s="1229">
        <v>0</v>
      </c>
      <c r="J1390" s="1229">
        <v>0</v>
      </c>
      <c r="K1390" s="1229">
        <v>20</v>
      </c>
      <c r="L1390" s="1229">
        <v>12</v>
      </c>
      <c r="M1390" s="1229">
        <v>12</v>
      </c>
      <c r="N1390" s="1229">
        <v>8</v>
      </c>
      <c r="O1390" s="1179">
        <f>SUM(C1390:N1390)/12</f>
        <v>4.333333333333333</v>
      </c>
      <c r="P1390" s="1180">
        <f>O1384/M!$Q$14</f>
        <v>9.9463078722299252E-3</v>
      </c>
      <c r="Q1390" s="1235"/>
      <c r="R1390" s="1235"/>
      <c r="S1390" s="1235"/>
      <c r="T1390" s="1235"/>
      <c r="U1390" s="1235"/>
      <c r="V1390" s="1235"/>
      <c r="W1390" s="1235"/>
    </row>
    <row r="1391" spans="1:23">
      <c r="A1391" s="1183"/>
      <c r="B1391" s="1176" t="s">
        <v>130</v>
      </c>
      <c r="C1391" s="1228">
        <v>0</v>
      </c>
      <c r="D1391" s="1228">
        <v>13</v>
      </c>
      <c r="E1391" s="1228">
        <v>0</v>
      </c>
      <c r="F1391" s="1228">
        <v>895</v>
      </c>
      <c r="G1391" s="1228">
        <v>0</v>
      </c>
      <c r="H1391" s="1228">
        <v>2420</v>
      </c>
      <c r="I1391" s="1229">
        <v>0</v>
      </c>
      <c r="J1391" s="1229">
        <v>45</v>
      </c>
      <c r="K1391" s="1229">
        <v>0</v>
      </c>
      <c r="L1391" s="1229">
        <v>64</v>
      </c>
      <c r="M1391" s="1229">
        <v>0</v>
      </c>
      <c r="N1391" s="1229">
        <v>552</v>
      </c>
      <c r="O1391" s="1179">
        <f>SUM(C1391:N1391)/12</f>
        <v>332.41666666666669</v>
      </c>
      <c r="P1391" s="1180">
        <f>O1385/M!$Q$14</f>
        <v>3.8484962841460646E-3</v>
      </c>
      <c r="Q1391" s="1235"/>
      <c r="R1391" s="1235"/>
      <c r="S1391" s="1235"/>
      <c r="T1391" s="1235"/>
      <c r="U1391" s="1235"/>
      <c r="V1391" s="1235"/>
      <c r="W1391" s="1235"/>
    </row>
    <row r="1392" spans="1:23">
      <c r="A1392" s="2191" t="s">
        <v>286</v>
      </c>
      <c r="B1392" s="2192"/>
      <c r="C1392" s="2203">
        <f t="shared" ref="C1392:N1392" si="338">SUM(C1394:C1395)</f>
        <v>0</v>
      </c>
      <c r="D1392" s="2203">
        <f t="shared" si="338"/>
        <v>260</v>
      </c>
      <c r="E1392" s="2203">
        <f t="shared" si="338"/>
        <v>1700</v>
      </c>
      <c r="F1392" s="2203">
        <f t="shared" si="338"/>
        <v>0</v>
      </c>
      <c r="G1392" s="2203">
        <f t="shared" si="338"/>
        <v>0</v>
      </c>
      <c r="H1392" s="2203">
        <f t="shared" si="338"/>
        <v>1000</v>
      </c>
      <c r="I1392" s="2203">
        <f t="shared" si="338"/>
        <v>0</v>
      </c>
      <c r="J1392" s="2203">
        <f t="shared" si="338"/>
        <v>0</v>
      </c>
      <c r="K1392" s="2203">
        <f t="shared" si="338"/>
        <v>0</v>
      </c>
      <c r="L1392" s="2203">
        <f t="shared" si="338"/>
        <v>0</v>
      </c>
      <c r="M1392" s="2203">
        <f t="shared" si="338"/>
        <v>1000</v>
      </c>
      <c r="N1392" s="2203">
        <f t="shared" si="338"/>
        <v>1001</v>
      </c>
      <c r="O1392" s="2203">
        <f>SUM(O1394:O1395)</f>
        <v>413.41666666666669</v>
      </c>
      <c r="P1392" s="1180">
        <f>O1386/M!$Q$14</f>
        <v>0</v>
      </c>
      <c r="Q1392" s="1235"/>
      <c r="R1392" s="1235"/>
      <c r="S1392" s="1235"/>
      <c r="T1392" s="1235"/>
      <c r="U1392" s="1235"/>
      <c r="V1392" s="1235"/>
      <c r="W1392" s="1235"/>
    </row>
    <row r="1393" spans="1:23">
      <c r="A1393" s="2193"/>
      <c r="B1393" s="2194"/>
      <c r="C1393" s="2204"/>
      <c r="D1393" s="2204"/>
      <c r="E1393" s="2204"/>
      <c r="F1393" s="2204"/>
      <c r="G1393" s="2204"/>
      <c r="H1393" s="2204"/>
      <c r="I1393" s="2204"/>
      <c r="J1393" s="2204"/>
      <c r="K1393" s="2204"/>
      <c r="L1393" s="2204"/>
      <c r="M1393" s="2204"/>
      <c r="N1393" s="2204"/>
      <c r="O1393" s="2204"/>
      <c r="P1393" s="2205">
        <f>O1387/M!$Q$14</f>
        <v>3.6175865070973E-2</v>
      </c>
      <c r="Q1393" s="1235"/>
      <c r="R1393" s="1235"/>
      <c r="S1393" s="1235"/>
      <c r="T1393" s="1235"/>
      <c r="U1393" s="1235"/>
      <c r="V1393" s="1235"/>
      <c r="W1393" s="1235"/>
    </row>
    <row r="1394" spans="1:23">
      <c r="A1394" s="2217"/>
      <c r="B1394" s="1176" t="s">
        <v>82</v>
      </c>
      <c r="C1394" s="1228">
        <v>0</v>
      </c>
      <c r="D1394" s="1228">
        <v>0</v>
      </c>
      <c r="E1394" s="1228">
        <v>1700</v>
      </c>
      <c r="F1394" s="1228">
        <v>0</v>
      </c>
      <c r="G1394" s="1228">
        <v>0</v>
      </c>
      <c r="H1394" s="1228">
        <v>1000</v>
      </c>
      <c r="I1394" s="1229">
        <v>0</v>
      </c>
      <c r="J1394" s="1229">
        <v>0</v>
      </c>
      <c r="K1394" s="1229">
        <v>0</v>
      </c>
      <c r="L1394" s="1229">
        <v>0</v>
      </c>
      <c r="M1394" s="1229">
        <v>0</v>
      </c>
      <c r="N1394" s="1229">
        <v>1001</v>
      </c>
      <c r="O1394" s="1179">
        <f>SUM(C1394:N1394)/12</f>
        <v>308.41666666666669</v>
      </c>
      <c r="P1394" s="2206"/>
      <c r="Q1394" s="1235"/>
      <c r="R1394" s="1235"/>
      <c r="S1394" s="1235"/>
      <c r="T1394" s="1235"/>
      <c r="U1394" s="1235"/>
      <c r="V1394" s="1235"/>
      <c r="W1394" s="1235"/>
    </row>
    <row r="1395" spans="1:23">
      <c r="A1395" s="2219"/>
      <c r="B1395" s="1176" t="s">
        <v>83</v>
      </c>
      <c r="C1395" s="1228">
        <v>0</v>
      </c>
      <c r="D1395" s="1228">
        <v>260</v>
      </c>
      <c r="E1395" s="1228">
        <v>0</v>
      </c>
      <c r="F1395" s="1228">
        <v>0</v>
      </c>
      <c r="G1395" s="1228">
        <v>0</v>
      </c>
      <c r="H1395" s="1228">
        <v>0</v>
      </c>
      <c r="I1395" s="1229">
        <v>0</v>
      </c>
      <c r="J1395" s="1229">
        <v>0</v>
      </c>
      <c r="K1395" s="1229">
        <v>0</v>
      </c>
      <c r="L1395" s="1229">
        <v>0</v>
      </c>
      <c r="M1395" s="1229">
        <v>1000</v>
      </c>
      <c r="N1395" s="1229">
        <v>0</v>
      </c>
      <c r="O1395" s="1179">
        <f>SUM(C1395:N1395)/12</f>
        <v>105</v>
      </c>
      <c r="P1395" s="1180">
        <f>O1389/M!$Q$14</f>
        <v>5.9782466549841767E-3</v>
      </c>
      <c r="Q1395" s="1235"/>
      <c r="R1395" s="1235"/>
      <c r="S1395" s="1235"/>
      <c r="T1395" s="1235"/>
      <c r="U1395" s="1235"/>
      <c r="V1395" s="1235"/>
      <c r="W1395" s="1235"/>
    </row>
    <row r="1396" spans="1:23">
      <c r="A1396" s="1187" t="s">
        <v>437</v>
      </c>
      <c r="B1396" s="1188"/>
      <c r="C1396" s="1189">
        <f t="shared" ref="C1396:N1396" si="339">C1326+C1340+C1348+C1354+C1358+C1368+C1377+C1381+C1387+C1392</f>
        <v>4603.8229814143733</v>
      </c>
      <c r="D1396" s="1189">
        <f t="shared" si="339"/>
        <v>16616.490680155817</v>
      </c>
      <c r="E1396" s="1189">
        <f t="shared" si="339"/>
        <v>7078.1617173909663</v>
      </c>
      <c r="F1396" s="1189">
        <f t="shared" si="339"/>
        <v>5574.8361098122923</v>
      </c>
      <c r="G1396" s="1189">
        <f t="shared" si="339"/>
        <v>5204.5138741957244</v>
      </c>
      <c r="H1396" s="1189">
        <f t="shared" si="339"/>
        <v>7862.1950274010751</v>
      </c>
      <c r="I1396" s="1189">
        <f t="shared" si="339"/>
        <v>4673.8795863724508</v>
      </c>
      <c r="J1396" s="1189">
        <f t="shared" si="339"/>
        <v>4805.5675681386838</v>
      </c>
      <c r="K1396" s="1189">
        <f t="shared" si="339"/>
        <v>5329.2589898137485</v>
      </c>
      <c r="L1396" s="1189">
        <f t="shared" si="339"/>
        <v>5249.9538685971884</v>
      </c>
      <c r="M1396" s="1189">
        <f t="shared" si="339"/>
        <v>8362.6522217745442</v>
      </c>
      <c r="N1396" s="1189">
        <f t="shared" si="339"/>
        <v>7668.3540667177886</v>
      </c>
      <c r="O1396" s="1189">
        <f>SUM(C1396:N1396)/12</f>
        <v>6919.1405576487205</v>
      </c>
      <c r="P1396" s="1180">
        <f>O1390/M!$Q$14</f>
        <v>3.8858603257397147E-4</v>
      </c>
      <c r="Q1396" s="1235"/>
      <c r="R1396" s="1235"/>
      <c r="S1396" s="1235"/>
      <c r="T1396" s="1235"/>
      <c r="U1396" s="1235"/>
      <c r="V1396" s="1235"/>
      <c r="W1396" s="1235"/>
    </row>
    <row r="1397" spans="1:23">
      <c r="A1397" s="1191" t="s">
        <v>658</v>
      </c>
      <c r="B1397" s="1192"/>
      <c r="C1397" s="1193">
        <f>C1396/M!$Q$14</f>
        <v>0.41284184008169633</v>
      </c>
      <c r="D1397" s="1193">
        <f>D1396/M!$Q$14</f>
        <v>1.4900621973932588</v>
      </c>
      <c r="E1397" s="1193">
        <f>E1396/M!$Q$14</f>
        <v>0.63472494915644395</v>
      </c>
      <c r="F1397" s="1193">
        <f>F1396/M!$Q$14</f>
        <v>0.49991617988355502</v>
      </c>
      <c r="G1397" s="1193">
        <f>G1396/M!$Q$14</f>
        <v>0.46670801488843988</v>
      </c>
      <c r="H1397" s="1193">
        <f>H1396/M!$Q$14</f>
        <v>0.70503211685090561</v>
      </c>
      <c r="I1397" s="1193">
        <f>I1396/M!$Q$14</f>
        <v>0.41912407504544896</v>
      </c>
      <c r="J1397" s="1193">
        <f>J1396/M!$Q$14</f>
        <v>0.43093302359288294</v>
      </c>
      <c r="K1397" s="1193">
        <f>K1396/M!$Q$14</f>
        <v>0.47789437094097592</v>
      </c>
      <c r="L1397" s="1193">
        <f>L1396/M!$Q$14</f>
        <v>0.47078278730643569</v>
      </c>
      <c r="M1397" s="1193">
        <f>M1396/M!$Q$14</f>
        <v>0.74990996507429497</v>
      </c>
      <c r="N1397" s="1193">
        <f>N1396/M!$Q$14</f>
        <v>0.68764968072884891</v>
      </c>
      <c r="O1397" s="1193">
        <f>O1396/M!$Q$14</f>
        <v>0.62046493341193221</v>
      </c>
      <c r="P1397" s="1180">
        <f>O1391/M!$Q$14</f>
        <v>2.9809032383414851E-2</v>
      </c>
      <c r="Q1397" s="1235"/>
      <c r="R1397" s="1235"/>
      <c r="S1397" s="1235"/>
      <c r="T1397" s="1235"/>
      <c r="U1397" s="1235"/>
      <c r="V1397" s="1235"/>
      <c r="W1397" s="1235"/>
    </row>
    <row r="1398" spans="1:23">
      <c r="A1398" s="1235"/>
      <c r="B1398" s="1235"/>
      <c r="C1398" s="1235"/>
      <c r="D1398" s="1235"/>
      <c r="E1398" s="1235"/>
      <c r="F1398" s="1235"/>
      <c r="G1398" s="1235"/>
      <c r="H1398" s="1235"/>
      <c r="I1398" s="1235"/>
      <c r="J1398" s="1235"/>
      <c r="K1398" s="1235"/>
      <c r="L1398" s="1235"/>
      <c r="M1398" s="1235"/>
      <c r="N1398" s="1235"/>
      <c r="O1398" s="1235"/>
      <c r="P1398" s="2205">
        <f>O1392/M!$Q$14</f>
        <v>3.7072602069220625E-2</v>
      </c>
      <c r="Q1398" s="1235"/>
      <c r="R1398" s="1235"/>
      <c r="S1398" s="1235"/>
      <c r="T1398" s="1235"/>
      <c r="U1398" s="1235"/>
      <c r="V1398" s="1235"/>
      <c r="W1398" s="1235"/>
    </row>
    <row r="1399" spans="1:23">
      <c r="A1399" s="1235"/>
      <c r="B1399" s="1235"/>
      <c r="C1399" s="1235"/>
      <c r="D1399" s="1235"/>
      <c r="E1399" s="1235"/>
      <c r="F1399" s="1235"/>
      <c r="G1399" s="1235"/>
      <c r="H1399" s="1235"/>
      <c r="I1399" s="1235"/>
      <c r="J1399" s="1235"/>
      <c r="K1399" s="1235"/>
      <c r="L1399" s="1235"/>
      <c r="M1399" s="1235"/>
      <c r="N1399" s="1235"/>
      <c r="O1399" s="1235"/>
      <c r="P1399" s="2206"/>
      <c r="Q1399" s="1235"/>
      <c r="R1399" s="1235"/>
      <c r="S1399" s="1235"/>
      <c r="T1399" s="1235"/>
      <c r="U1399" s="1235"/>
      <c r="V1399" s="1235"/>
      <c r="W1399" s="1235"/>
    </row>
    <row r="1400" spans="1:23">
      <c r="A1400" s="1235"/>
      <c r="B1400" s="1235"/>
      <c r="C1400" s="1235"/>
      <c r="D1400" s="1235"/>
      <c r="E1400" s="1235"/>
      <c r="F1400" s="1235"/>
      <c r="G1400" s="1235"/>
      <c r="H1400" s="1235"/>
      <c r="I1400" s="1235"/>
      <c r="J1400" s="1235"/>
      <c r="K1400" s="1235"/>
      <c r="L1400" s="1235"/>
      <c r="M1400" s="1235"/>
      <c r="N1400" s="1235"/>
      <c r="O1400" s="1235"/>
      <c r="P1400" s="1180">
        <f>O1394/M!$Q$14</f>
        <v>2.765686358762055E-2</v>
      </c>
      <c r="Q1400" s="1235"/>
      <c r="R1400" s="1235"/>
      <c r="S1400" s="1235"/>
      <c r="T1400" s="1235"/>
      <c r="U1400" s="1235"/>
      <c r="V1400" s="1235"/>
      <c r="W1400" s="1235"/>
    </row>
    <row r="1401" spans="1:23">
      <c r="A1401" s="2195">
        <v>2008</v>
      </c>
      <c r="B1401" s="2196"/>
      <c r="C1401" s="2196"/>
      <c r="D1401" s="2196"/>
      <c r="E1401" s="2196"/>
      <c r="F1401" s="2196"/>
      <c r="G1401" s="2196"/>
      <c r="H1401" s="2196"/>
      <c r="I1401" s="2196"/>
      <c r="J1401" s="2196"/>
      <c r="K1401" s="2196"/>
      <c r="L1401" s="2196"/>
      <c r="M1401" s="2196"/>
      <c r="N1401" s="2196"/>
      <c r="O1401" s="2196"/>
      <c r="P1401" s="1180">
        <f>O1395/M!$Q$14</f>
        <v>9.4157384816000774E-3</v>
      </c>
      <c r="Q1401" s="1235"/>
      <c r="R1401" s="1235"/>
      <c r="S1401" s="1235"/>
      <c r="T1401" s="1235"/>
      <c r="U1401" s="1235"/>
      <c r="V1401" s="1235"/>
      <c r="W1401" s="1235"/>
    </row>
    <row r="1402" spans="1:23">
      <c r="A1402" s="1171" t="s">
        <v>388</v>
      </c>
      <c r="B1402" s="1172"/>
      <c r="C1402" s="1173" t="s">
        <v>309</v>
      </c>
      <c r="D1402" s="1173" t="s">
        <v>311</v>
      </c>
      <c r="E1402" s="1173" t="s">
        <v>312</v>
      </c>
      <c r="F1402" s="1173" t="s">
        <v>313</v>
      </c>
      <c r="G1402" s="1173" t="s">
        <v>314</v>
      </c>
      <c r="H1402" s="1173" t="s">
        <v>315</v>
      </c>
      <c r="I1402" s="1173" t="s">
        <v>316</v>
      </c>
      <c r="J1402" s="1173" t="s">
        <v>317</v>
      </c>
      <c r="K1402" s="1173" t="s">
        <v>318</v>
      </c>
      <c r="L1402" s="1173" t="s">
        <v>319</v>
      </c>
      <c r="M1402" s="1173" t="s">
        <v>320</v>
      </c>
      <c r="N1402" s="1173" t="s">
        <v>321</v>
      </c>
      <c r="O1402" s="1174" t="s">
        <v>660</v>
      </c>
      <c r="P1402" s="1190">
        <f>O1396/M!$Q$14</f>
        <v>0.62046493341193221</v>
      </c>
      <c r="Q1402" s="1235"/>
      <c r="R1402" s="1235"/>
      <c r="S1402" s="1235"/>
      <c r="T1402" s="1235"/>
      <c r="U1402" s="1235"/>
      <c r="V1402" s="1235"/>
      <c r="W1402" s="1235"/>
    </row>
    <row r="1403" spans="1:23">
      <c r="A1403" s="2191" t="s">
        <v>56</v>
      </c>
      <c r="B1403" s="2192"/>
      <c r="C1403" s="2203">
        <f t="shared" ref="C1403:I1403" si="340">C1405+ SUM(C1411:C1416)</f>
        <v>2638.0828295710253</v>
      </c>
      <c r="D1403" s="2203">
        <f t="shared" si="340"/>
        <v>2638.0828295710253</v>
      </c>
      <c r="E1403" s="2203">
        <f t="shared" si="340"/>
        <v>2638.0828295710253</v>
      </c>
      <c r="F1403" s="2203">
        <f t="shared" si="340"/>
        <v>2638.0828295710253</v>
      </c>
      <c r="G1403" s="2203">
        <f t="shared" si="340"/>
        <v>2721.0828295710253</v>
      </c>
      <c r="H1403" s="2203">
        <f t="shared" si="340"/>
        <v>2466.0828295710253</v>
      </c>
      <c r="I1403" s="2203">
        <f t="shared" si="340"/>
        <v>3302.2684905934789</v>
      </c>
      <c r="J1403" s="2203">
        <f t="shared" ref="J1403:O1403" si="341">J1405+ SUM(J1411:J1416)</f>
        <v>2180.3140968290709</v>
      </c>
      <c r="K1403" s="2203">
        <f t="shared" si="341"/>
        <v>2376.8834512121621</v>
      </c>
      <c r="L1403" s="2203">
        <f t="shared" si="341"/>
        <v>2409.8756189692604</v>
      </c>
      <c r="M1403" s="2203">
        <f t="shared" si="341"/>
        <v>2456.8677475651443</v>
      </c>
      <c r="N1403" s="2203">
        <f t="shared" si="341"/>
        <v>2555.8598368040075</v>
      </c>
      <c r="O1403" s="2203">
        <f t="shared" si="341"/>
        <v>2585.130518283273</v>
      </c>
      <c r="P1403" s="1194"/>
      <c r="Q1403" s="1235"/>
      <c r="R1403" s="1235"/>
      <c r="S1403" s="1235"/>
      <c r="T1403" s="1235"/>
      <c r="U1403" s="1235"/>
      <c r="V1403" s="1235"/>
      <c r="W1403" s="1235"/>
    </row>
    <row r="1404" spans="1:23">
      <c r="A1404" s="2193"/>
      <c r="B1404" s="2194"/>
      <c r="C1404" s="2204"/>
      <c r="D1404" s="2204"/>
      <c r="E1404" s="2204"/>
      <c r="F1404" s="2204"/>
      <c r="G1404" s="2204"/>
      <c r="H1404" s="2204"/>
      <c r="I1404" s="2204"/>
      <c r="J1404" s="2204"/>
      <c r="K1404" s="2204"/>
      <c r="L1404" s="2204"/>
      <c r="M1404" s="2204"/>
      <c r="N1404" s="2204"/>
      <c r="O1404" s="2204"/>
      <c r="P1404" s="1235"/>
      <c r="Q1404" s="1235"/>
      <c r="R1404" s="1235"/>
      <c r="S1404" s="1235"/>
      <c r="T1404" s="1235"/>
      <c r="U1404" s="1235"/>
      <c r="V1404" s="1235"/>
      <c r="W1404" s="1235"/>
    </row>
    <row r="1405" spans="1:23">
      <c r="A1405" s="2217"/>
      <c r="B1405" s="1176" t="s">
        <v>662</v>
      </c>
      <c r="C1405" s="1228">
        <v>2013.0828295710253</v>
      </c>
      <c r="D1405" s="1228">
        <v>2013.0828295710253</v>
      </c>
      <c r="E1405" s="1228">
        <v>2013.0828295710253</v>
      </c>
      <c r="F1405" s="1228">
        <v>2013.0828295710255</v>
      </c>
      <c r="G1405" s="1228">
        <v>2013.0828295710255</v>
      </c>
      <c r="H1405" s="1228">
        <v>1813.0828295710253</v>
      </c>
      <c r="I1405" s="1229">
        <v>2363.2684905934789</v>
      </c>
      <c r="J1405" s="1229">
        <v>1486.3140968290709</v>
      </c>
      <c r="K1405" s="1229">
        <v>1753.8834512121621</v>
      </c>
      <c r="L1405" s="1229">
        <v>1753.8756189692604</v>
      </c>
      <c r="M1405" s="1229">
        <v>1753.8677475651443</v>
      </c>
      <c r="N1405" s="1229">
        <v>1753.8598368040077</v>
      </c>
      <c r="O1405" s="1179">
        <f t="shared" ref="O1405:O1416" si="342">SUM(C1405:N1405)/12</f>
        <v>1895.2971849499397</v>
      </c>
      <c r="P1405" s="1235"/>
      <c r="Q1405" s="1235"/>
      <c r="R1405" s="1235"/>
      <c r="S1405" s="1235"/>
      <c r="T1405" s="1235"/>
      <c r="U1405" s="1235"/>
      <c r="V1405" s="1235"/>
      <c r="W1405" s="1235"/>
    </row>
    <row r="1406" spans="1:23">
      <c r="A1406" s="2218"/>
      <c r="B1406" s="1176" t="s">
        <v>663</v>
      </c>
      <c r="C1406" s="1178">
        <v>967.5988931949878</v>
      </c>
      <c r="D1406" s="1178">
        <v>966.15035533858929</v>
      </c>
      <c r="E1406" s="1178">
        <v>964.69563101842914</v>
      </c>
      <c r="F1406" s="1178">
        <v>963.23469381315169</v>
      </c>
      <c r="G1406" s="1178">
        <v>961.76751718855985</v>
      </c>
      <c r="H1406" s="1178">
        <v>960.29407449713381</v>
      </c>
      <c r="I1406" s="1178">
        <v>803</v>
      </c>
      <c r="J1406" s="1178">
        <v>980</v>
      </c>
      <c r="K1406" s="1178">
        <v>1008.3333333333334</v>
      </c>
      <c r="L1406" s="1178">
        <v>1007.2296553475288</v>
      </c>
      <c r="M1406" s="1178">
        <v>1006.1209188376228</v>
      </c>
      <c r="N1406" s="1178">
        <v>1005.0071006187128</v>
      </c>
      <c r="O1406" s="1179">
        <f t="shared" si="342"/>
        <v>966.1193477656708</v>
      </c>
      <c r="P1406" s="1235"/>
      <c r="Q1406" s="1235"/>
      <c r="R1406" s="1235"/>
      <c r="S1406" s="1235"/>
      <c r="T1406" s="1235"/>
      <c r="U1406" s="1235"/>
      <c r="V1406" s="1235"/>
      <c r="W1406" s="1235"/>
    </row>
    <row r="1407" spans="1:23">
      <c r="A1407" s="2218"/>
      <c r="B1407" s="1176" t="s">
        <v>664</v>
      </c>
      <c r="C1407" s="1178">
        <v>339.16983954696684</v>
      </c>
      <c r="D1407" s="1178">
        <v>340.61837740336534</v>
      </c>
      <c r="E1407" s="1178">
        <v>342.0731017235255</v>
      </c>
      <c r="F1407" s="1178">
        <v>343.53403892880294</v>
      </c>
      <c r="G1407" s="1178">
        <v>345.00121555339479</v>
      </c>
      <c r="H1407" s="1178">
        <v>346.47465824482083</v>
      </c>
      <c r="I1407" s="1178">
        <v>347.95439376440811</v>
      </c>
      <c r="J1407" s="1178">
        <v>0</v>
      </c>
      <c r="K1407" s="1178">
        <v>240.80246963007278</v>
      </c>
      <c r="L1407" s="1178">
        <v>241.90614761587733</v>
      </c>
      <c r="M1407" s="1178">
        <v>243.0148841257834</v>
      </c>
      <c r="N1407" s="1178">
        <v>244.12870234469335</v>
      </c>
      <c r="O1407" s="1179">
        <f t="shared" si="342"/>
        <v>281.22315240680922</v>
      </c>
      <c r="P1407" s="2197"/>
      <c r="Q1407" s="1235"/>
      <c r="R1407" s="1235"/>
      <c r="S1407" s="1235"/>
      <c r="T1407" s="1235"/>
      <c r="U1407" s="1235"/>
      <c r="V1407" s="1235"/>
      <c r="W1407" s="1235"/>
    </row>
    <row r="1408" spans="1:23">
      <c r="A1408" s="2218"/>
      <c r="B1408" s="1176" t="s">
        <v>450</v>
      </c>
      <c r="C1408" s="1178">
        <v>0</v>
      </c>
      <c r="D1408" s="1178">
        <v>0</v>
      </c>
      <c r="E1408" s="1178">
        <v>0</v>
      </c>
      <c r="F1408" s="1178">
        <v>0</v>
      </c>
      <c r="G1408" s="1178">
        <v>0</v>
      </c>
      <c r="H1408" s="1178">
        <v>0</v>
      </c>
      <c r="I1408" s="1178">
        <v>706</v>
      </c>
      <c r="J1408" s="1178">
        <v>0</v>
      </c>
      <c r="K1408" s="1178">
        <v>0</v>
      </c>
      <c r="L1408" s="1178">
        <v>0</v>
      </c>
      <c r="M1408" s="1178">
        <v>0</v>
      </c>
      <c r="N1408" s="1178">
        <v>0</v>
      </c>
      <c r="O1408" s="1179">
        <f t="shared" si="342"/>
        <v>58.833333333333336</v>
      </c>
      <c r="P1408" s="1175" t="s">
        <v>661</v>
      </c>
      <c r="Q1408" s="1235"/>
      <c r="R1408" s="1235"/>
      <c r="S1408" s="1235"/>
      <c r="T1408" s="1235"/>
      <c r="U1408" s="1235"/>
      <c r="V1408" s="1235"/>
      <c r="W1408" s="1235"/>
    </row>
    <row r="1409" spans="1:23">
      <c r="A1409" s="2218"/>
      <c r="B1409" s="1176" t="s">
        <v>665</v>
      </c>
      <c r="C1409" s="1178">
        <v>210.20451048907788</v>
      </c>
      <c r="D1409" s="1178">
        <v>207.72396255737792</v>
      </c>
      <c r="E1409" s="1178">
        <v>205.23101188601947</v>
      </c>
      <c r="F1409" s="1178">
        <v>202.72559646130424</v>
      </c>
      <c r="G1409" s="1178">
        <v>200.20765395946538</v>
      </c>
      <c r="H1409" s="1178">
        <v>197.67712174511735</v>
      </c>
      <c r="I1409" s="1178">
        <v>196.13393686969758</v>
      </c>
      <c r="J1409" s="1178">
        <v>194.58303606990071</v>
      </c>
      <c r="K1409" s="1178">
        <v>191.45793218579004</v>
      </c>
      <c r="L1409" s="1178">
        <v>189.88365136257366</v>
      </c>
      <c r="M1409" s="1178">
        <v>188.30149913524119</v>
      </c>
      <c r="N1409" s="1178">
        <v>186.71143614677203</v>
      </c>
      <c r="O1409" s="1179">
        <f t="shared" si="342"/>
        <v>197.5701124056948</v>
      </c>
      <c r="P1409" s="2205">
        <f>O1403/M!$Q$14</f>
        <v>0.23181821810436731</v>
      </c>
      <c r="Q1409" s="1235"/>
      <c r="R1409" s="1235"/>
      <c r="S1409" s="1235"/>
      <c r="T1409" s="1235"/>
      <c r="U1409" s="1235"/>
      <c r="V1409" s="1235"/>
      <c r="W1409" s="1235"/>
    </row>
    <row r="1410" spans="1:23">
      <c r="A1410" s="2218"/>
      <c r="B1410" s="1176" t="s">
        <v>664</v>
      </c>
      <c r="C1410" s="1178">
        <v>496.10958633999292</v>
      </c>
      <c r="D1410" s="1178">
        <v>498.59013427169282</v>
      </c>
      <c r="E1410" s="1178">
        <v>501.08308494305129</v>
      </c>
      <c r="F1410" s="1178">
        <v>503.58850036776653</v>
      </c>
      <c r="G1410" s="1178">
        <v>506.10644286960542</v>
      </c>
      <c r="H1410" s="1178">
        <v>308.63697508395342</v>
      </c>
      <c r="I1410" s="1178">
        <v>310.18015995937321</v>
      </c>
      <c r="J1410" s="1178">
        <v>311.73106075917008</v>
      </c>
      <c r="K1410" s="1178">
        <v>313.28971606296591</v>
      </c>
      <c r="L1410" s="1178">
        <v>314.85616464328075</v>
      </c>
      <c r="M1410" s="1178">
        <v>316.43044546649708</v>
      </c>
      <c r="N1410" s="1178">
        <v>318.01259769382955</v>
      </c>
      <c r="O1410" s="1179">
        <f t="shared" si="342"/>
        <v>391.55123903843156</v>
      </c>
      <c r="P1410" s="2206"/>
      <c r="Q1410" s="1235"/>
      <c r="R1410" s="1235"/>
      <c r="S1410" s="1235"/>
      <c r="T1410" s="1235"/>
      <c r="U1410" s="1235"/>
      <c r="V1410" s="1235"/>
      <c r="W1410" s="1235"/>
    </row>
    <row r="1411" spans="1:23">
      <c r="A1411" s="2218"/>
      <c r="B1411" s="1176" t="s">
        <v>287</v>
      </c>
      <c r="C1411" s="1178">
        <v>312</v>
      </c>
      <c r="D1411" s="1178">
        <v>312</v>
      </c>
      <c r="E1411" s="1178">
        <v>312</v>
      </c>
      <c r="F1411" s="1178">
        <v>312</v>
      </c>
      <c r="G1411" s="1178">
        <v>312</v>
      </c>
      <c r="H1411" s="1178">
        <v>312</v>
      </c>
      <c r="I1411" s="1178">
        <v>312</v>
      </c>
      <c r="J1411" s="1178">
        <v>303</v>
      </c>
      <c r="K1411" s="1178">
        <v>303</v>
      </c>
      <c r="L1411" s="1178">
        <v>312</v>
      </c>
      <c r="M1411" s="1178">
        <v>312</v>
      </c>
      <c r="N1411" s="1178">
        <v>397</v>
      </c>
      <c r="O1411" s="1179">
        <f t="shared" si="342"/>
        <v>317.58333333333331</v>
      </c>
      <c r="P1411" s="1180">
        <f>O1405/M!$Q$14</f>
        <v>0.16995831084191856</v>
      </c>
      <c r="Q1411" s="1235"/>
      <c r="R1411" s="1235"/>
      <c r="S1411" s="1235"/>
      <c r="T1411" s="1235"/>
      <c r="U1411" s="1235"/>
      <c r="V1411" s="1235"/>
      <c r="W1411" s="1235"/>
    </row>
    <row r="1412" spans="1:23">
      <c r="A1412" s="2218"/>
      <c r="B1412" s="1176" t="s">
        <v>453</v>
      </c>
      <c r="C1412" s="1178">
        <v>25</v>
      </c>
      <c r="D1412" s="1178">
        <v>25</v>
      </c>
      <c r="E1412" s="1178">
        <v>25</v>
      </c>
      <c r="F1412" s="1178">
        <v>25</v>
      </c>
      <c r="G1412" s="1178">
        <v>25</v>
      </c>
      <c r="H1412" s="1178">
        <v>25</v>
      </c>
      <c r="I1412" s="1178">
        <v>25</v>
      </c>
      <c r="J1412" s="1178">
        <v>25</v>
      </c>
      <c r="K1412" s="1178">
        <v>25</v>
      </c>
      <c r="L1412" s="1178">
        <v>25</v>
      </c>
      <c r="M1412" s="1178">
        <v>25</v>
      </c>
      <c r="N1412" s="1178">
        <v>25</v>
      </c>
      <c r="O1412" s="1179">
        <f t="shared" si="342"/>
        <v>25</v>
      </c>
      <c r="P1412" s="1180">
        <f>O1406/M!$Q$14</f>
        <v>8.6635496386434238E-2</v>
      </c>
      <c r="Q1412" s="1235"/>
      <c r="R1412" s="1235"/>
      <c r="S1412" s="1235"/>
      <c r="T1412" s="1235"/>
      <c r="U1412" s="1235"/>
      <c r="V1412" s="1235"/>
      <c r="W1412" s="1235"/>
    </row>
    <row r="1413" spans="1:23">
      <c r="A1413" s="2218"/>
      <c r="B1413" s="1176" t="s">
        <v>400</v>
      </c>
      <c r="C1413" s="1178">
        <v>0</v>
      </c>
      <c r="D1413" s="1178">
        <v>0</v>
      </c>
      <c r="E1413" s="1178">
        <v>0</v>
      </c>
      <c r="F1413" s="1178">
        <v>0</v>
      </c>
      <c r="G1413" s="1178">
        <v>0</v>
      </c>
      <c r="H1413" s="1178">
        <v>16</v>
      </c>
      <c r="I1413" s="1178">
        <v>185</v>
      </c>
      <c r="J1413" s="1178">
        <v>0</v>
      </c>
      <c r="K1413" s="1178">
        <v>0</v>
      </c>
      <c r="L1413" s="1178">
        <v>0</v>
      </c>
      <c r="M1413" s="1178">
        <v>0</v>
      </c>
      <c r="N1413" s="1178">
        <v>0</v>
      </c>
      <c r="O1413" s="1179">
        <f t="shared" si="342"/>
        <v>16.75</v>
      </c>
      <c r="P1413" s="1180">
        <f>O1407/M!$Q$14</f>
        <v>2.5218320552701689E-2</v>
      </c>
      <c r="Q1413" s="1235"/>
      <c r="R1413" s="1235"/>
      <c r="S1413" s="1235"/>
      <c r="T1413" s="1235"/>
      <c r="U1413" s="1235"/>
      <c r="V1413" s="1235"/>
      <c r="W1413" s="1235"/>
    </row>
    <row r="1414" spans="1:23">
      <c r="A1414" s="2218"/>
      <c r="B1414" s="1176" t="s">
        <v>401</v>
      </c>
      <c r="C1414" s="1178">
        <v>249</v>
      </c>
      <c r="D1414" s="1178">
        <v>249</v>
      </c>
      <c r="E1414" s="1178">
        <v>249</v>
      </c>
      <c r="F1414" s="1178">
        <v>249</v>
      </c>
      <c r="G1414" s="1178">
        <v>332</v>
      </c>
      <c r="H1414" s="1178">
        <v>261</v>
      </c>
      <c r="I1414" s="1178">
        <v>261</v>
      </c>
      <c r="J1414" s="1178">
        <v>332</v>
      </c>
      <c r="K1414" s="1178">
        <v>261</v>
      </c>
      <c r="L1414" s="1178">
        <v>261</v>
      </c>
      <c r="M1414" s="1178">
        <v>332</v>
      </c>
      <c r="N1414" s="1178">
        <v>261</v>
      </c>
      <c r="O1414" s="1179">
        <f t="shared" si="342"/>
        <v>274.75</v>
      </c>
      <c r="P1414" s="1180">
        <f>O1408/M!$Q$14</f>
        <v>5.2758026730235358E-3</v>
      </c>
      <c r="Q1414" s="1235"/>
      <c r="R1414" s="1235"/>
      <c r="S1414" s="1235"/>
      <c r="T1414" s="1235"/>
      <c r="U1414" s="1235"/>
      <c r="V1414" s="1235"/>
      <c r="W1414" s="1235"/>
    </row>
    <row r="1415" spans="1:23">
      <c r="A1415" s="2218"/>
      <c r="B1415" s="1176" t="s">
        <v>402</v>
      </c>
      <c r="C1415" s="1178">
        <v>39</v>
      </c>
      <c r="D1415" s="1178">
        <v>39</v>
      </c>
      <c r="E1415" s="1178">
        <v>39</v>
      </c>
      <c r="F1415" s="1178">
        <v>39</v>
      </c>
      <c r="G1415" s="1178">
        <v>39</v>
      </c>
      <c r="H1415" s="1178">
        <v>39</v>
      </c>
      <c r="I1415" s="1178">
        <v>39</v>
      </c>
      <c r="J1415" s="1178">
        <v>34</v>
      </c>
      <c r="K1415" s="1178">
        <v>34</v>
      </c>
      <c r="L1415" s="1178">
        <v>34</v>
      </c>
      <c r="M1415" s="1178">
        <v>34</v>
      </c>
      <c r="N1415" s="1178">
        <v>34</v>
      </c>
      <c r="O1415" s="1179">
        <f t="shared" si="342"/>
        <v>36.916666666666664</v>
      </c>
      <c r="P1415" s="1180">
        <f>O1409/M!$Q$14</f>
        <v>1.7716842954212889E-2</v>
      </c>
      <c r="Q1415" s="1235"/>
      <c r="R1415" s="1235"/>
      <c r="S1415" s="1235"/>
      <c r="T1415" s="1235"/>
      <c r="U1415" s="1235"/>
      <c r="V1415" s="1235"/>
      <c r="W1415" s="1235"/>
    </row>
    <row r="1416" spans="1:23">
      <c r="A1416" s="2219"/>
      <c r="B1416" s="1176" t="s">
        <v>403</v>
      </c>
      <c r="C1416" s="1178">
        <v>0</v>
      </c>
      <c r="D1416" s="1178">
        <v>0</v>
      </c>
      <c r="E1416" s="1178">
        <v>0</v>
      </c>
      <c r="F1416" s="1178">
        <v>0</v>
      </c>
      <c r="G1416" s="1178">
        <v>0</v>
      </c>
      <c r="H1416" s="1178">
        <v>0</v>
      </c>
      <c r="I1416" s="1178">
        <v>117</v>
      </c>
      <c r="J1416" s="1178">
        <v>0</v>
      </c>
      <c r="K1416" s="1178">
        <v>0</v>
      </c>
      <c r="L1416" s="1178">
        <v>24</v>
      </c>
      <c r="M1416" s="1178">
        <v>0</v>
      </c>
      <c r="N1416" s="1178">
        <v>85</v>
      </c>
      <c r="O1416" s="1179">
        <f t="shared" si="342"/>
        <v>18.833333333333332</v>
      </c>
      <c r="P1416" s="1180">
        <f>O1410/M!$Q$14</f>
        <v>3.5111848275546198E-2</v>
      </c>
      <c r="Q1416" s="1235"/>
      <c r="R1416" s="1235"/>
      <c r="S1416" s="1235"/>
      <c r="T1416" s="1235"/>
      <c r="U1416" s="1235"/>
      <c r="V1416" s="1235"/>
      <c r="W1416" s="1235"/>
    </row>
    <row r="1417" spans="1:23">
      <c r="A1417" s="2191" t="s">
        <v>276</v>
      </c>
      <c r="B1417" s="2192"/>
      <c r="C1417" s="2203">
        <f t="shared" ref="C1417:N1417" si="343">SUM(C1419:C1424)</f>
        <v>884</v>
      </c>
      <c r="D1417" s="2203">
        <f t="shared" si="343"/>
        <v>200</v>
      </c>
      <c r="E1417" s="2203">
        <f t="shared" si="343"/>
        <v>978</v>
      </c>
      <c r="F1417" s="2203">
        <f t="shared" si="343"/>
        <v>303</v>
      </c>
      <c r="G1417" s="2203">
        <f t="shared" si="343"/>
        <v>170</v>
      </c>
      <c r="H1417" s="2203">
        <f t="shared" si="343"/>
        <v>522</v>
      </c>
      <c r="I1417" s="2203">
        <f t="shared" si="343"/>
        <v>141</v>
      </c>
      <c r="J1417" s="2203">
        <f t="shared" si="343"/>
        <v>141</v>
      </c>
      <c r="K1417" s="2203">
        <f t="shared" si="343"/>
        <v>479</v>
      </c>
      <c r="L1417" s="2203">
        <f t="shared" si="343"/>
        <v>141</v>
      </c>
      <c r="M1417" s="2203">
        <f t="shared" si="343"/>
        <v>163</v>
      </c>
      <c r="N1417" s="2203">
        <f t="shared" si="343"/>
        <v>141</v>
      </c>
      <c r="O1417" s="2203">
        <f>SUM(O1419:O1424)</f>
        <v>355.25000000000006</v>
      </c>
      <c r="P1417" s="1180">
        <f>O1411/M!$Q$14</f>
        <v>2.8478872502680871E-2</v>
      </c>
      <c r="Q1417" s="1235"/>
      <c r="R1417" s="1235"/>
      <c r="S1417" s="1235"/>
      <c r="T1417" s="1235"/>
      <c r="U1417" s="1235"/>
      <c r="V1417" s="1235"/>
      <c r="W1417" s="1235"/>
    </row>
    <row r="1418" spans="1:23">
      <c r="A1418" s="2193"/>
      <c r="B1418" s="2194"/>
      <c r="C1418" s="2204"/>
      <c r="D1418" s="2204"/>
      <c r="E1418" s="2204"/>
      <c r="F1418" s="2204"/>
      <c r="G1418" s="2204"/>
      <c r="H1418" s="2204"/>
      <c r="I1418" s="2204"/>
      <c r="J1418" s="2204"/>
      <c r="K1418" s="2204"/>
      <c r="L1418" s="2204"/>
      <c r="M1418" s="2204"/>
      <c r="N1418" s="2204"/>
      <c r="O1418" s="2204"/>
      <c r="P1418" s="1180">
        <f>O1412/M!$Q$14</f>
        <v>2.2418424956190662E-3</v>
      </c>
      <c r="Q1418" s="1235"/>
      <c r="R1418" s="1235"/>
      <c r="S1418" s="1235"/>
      <c r="T1418" s="1235"/>
      <c r="U1418" s="1235"/>
      <c r="V1418" s="1235"/>
      <c r="W1418" s="1235"/>
    </row>
    <row r="1419" spans="1:23">
      <c r="A1419" s="2217"/>
      <c r="B1419" s="1176" t="s">
        <v>666</v>
      </c>
      <c r="C1419" s="1228">
        <v>0</v>
      </c>
      <c r="D1419" s="1228">
        <v>0</v>
      </c>
      <c r="E1419" s="1228">
        <v>0</v>
      </c>
      <c r="F1419" s="1228">
        <v>0</v>
      </c>
      <c r="G1419" s="1228">
        <v>0</v>
      </c>
      <c r="H1419" s="1228">
        <v>0</v>
      </c>
      <c r="I1419" s="1229">
        <v>0</v>
      </c>
      <c r="J1419" s="1229">
        <v>0</v>
      </c>
      <c r="K1419" s="1229">
        <v>0</v>
      </c>
      <c r="L1419" s="1229">
        <v>0</v>
      </c>
      <c r="M1419" s="1229">
        <v>0</v>
      </c>
      <c r="N1419" s="1229">
        <v>0</v>
      </c>
      <c r="O1419" s="1179">
        <f t="shared" ref="O1419:O1424" si="344">SUM(C1419:N1419)/12</f>
        <v>0</v>
      </c>
      <c r="P1419" s="1180">
        <f>O1413/M!$Q$14</f>
        <v>1.5020344720647744E-3</v>
      </c>
      <c r="Q1419" s="1235"/>
      <c r="R1419" s="1235"/>
      <c r="S1419" s="1235"/>
      <c r="T1419" s="1235"/>
      <c r="U1419" s="1235"/>
      <c r="V1419" s="1235"/>
      <c r="W1419" s="1235"/>
    </row>
    <row r="1420" spans="1:23">
      <c r="A1420" s="2218"/>
      <c r="B1420" s="1176" t="s">
        <v>400</v>
      </c>
      <c r="C1420" s="1228">
        <v>145</v>
      </c>
      <c r="D1420" s="1228">
        <v>141</v>
      </c>
      <c r="E1420" s="1228">
        <v>141</v>
      </c>
      <c r="F1420" s="1228">
        <v>141</v>
      </c>
      <c r="G1420" s="1228">
        <v>141</v>
      </c>
      <c r="H1420" s="1228">
        <v>141</v>
      </c>
      <c r="I1420" s="1229">
        <v>141</v>
      </c>
      <c r="J1420" s="1229">
        <v>141</v>
      </c>
      <c r="K1420" s="1229">
        <v>141</v>
      </c>
      <c r="L1420" s="1229">
        <v>141</v>
      </c>
      <c r="M1420" s="1229">
        <v>141</v>
      </c>
      <c r="N1420" s="1229">
        <v>141</v>
      </c>
      <c r="O1420" s="1179">
        <f t="shared" si="344"/>
        <v>141.33333333333334</v>
      </c>
      <c r="P1420" s="1180">
        <f>O1414/M!$Q$14</f>
        <v>2.4637849026853537E-2</v>
      </c>
      <c r="Q1420" s="1235"/>
      <c r="R1420" s="1235"/>
      <c r="S1420" s="1235"/>
      <c r="T1420" s="1235"/>
      <c r="U1420" s="1235"/>
      <c r="V1420" s="1235"/>
      <c r="W1420" s="1235"/>
    </row>
    <row r="1421" spans="1:23">
      <c r="A1421" s="2218"/>
      <c r="B1421" s="1176" t="s">
        <v>454</v>
      </c>
      <c r="C1421" s="1228">
        <v>0</v>
      </c>
      <c r="D1421" s="1228">
        <v>0</v>
      </c>
      <c r="E1421" s="1228">
        <v>140</v>
      </c>
      <c r="F1421" s="1228">
        <v>0</v>
      </c>
      <c r="G1421" s="1228">
        <v>29</v>
      </c>
      <c r="H1421" s="1228">
        <v>0</v>
      </c>
      <c r="I1421" s="1229">
        <v>0</v>
      </c>
      <c r="J1421" s="1229">
        <v>0</v>
      </c>
      <c r="K1421" s="1229">
        <v>0</v>
      </c>
      <c r="L1421" s="1229">
        <v>0</v>
      </c>
      <c r="M1421" s="1229">
        <v>0</v>
      </c>
      <c r="N1421" s="1229">
        <v>0</v>
      </c>
      <c r="O1421" s="1179">
        <f t="shared" si="344"/>
        <v>14.083333333333334</v>
      </c>
      <c r="P1421" s="1180">
        <f>O1415/M!$Q$14</f>
        <v>3.3104540851974875E-3</v>
      </c>
      <c r="Q1421" s="1235"/>
      <c r="R1421" s="1235"/>
      <c r="S1421" s="1235"/>
      <c r="T1421" s="1235"/>
      <c r="U1421" s="1235"/>
      <c r="V1421" s="1235"/>
      <c r="W1421" s="1235"/>
    </row>
    <row r="1422" spans="1:23">
      <c r="A1422" s="2218"/>
      <c r="B1422" s="1176" t="s">
        <v>407</v>
      </c>
      <c r="C1422" s="1228">
        <v>0</v>
      </c>
      <c r="D1422" s="1228">
        <v>59</v>
      </c>
      <c r="E1422" s="1228">
        <v>0</v>
      </c>
      <c r="F1422" s="1228">
        <v>0</v>
      </c>
      <c r="G1422" s="1228">
        <v>0</v>
      </c>
      <c r="H1422" s="1228">
        <v>0</v>
      </c>
      <c r="I1422" s="1229">
        <v>0</v>
      </c>
      <c r="J1422" s="1229">
        <v>0</v>
      </c>
      <c r="K1422" s="1229">
        <v>0</v>
      </c>
      <c r="L1422" s="1229">
        <v>0</v>
      </c>
      <c r="M1422" s="1229">
        <v>0</v>
      </c>
      <c r="N1422" s="1229">
        <v>0</v>
      </c>
      <c r="O1422" s="1179">
        <f t="shared" si="344"/>
        <v>4.916666666666667</v>
      </c>
      <c r="P1422" s="1180">
        <f>O1416/M!$Q$14</f>
        <v>1.6888546800330297E-3</v>
      </c>
      <c r="Q1422" s="1235"/>
      <c r="R1422" s="1235"/>
      <c r="S1422" s="1235"/>
      <c r="T1422" s="1235"/>
      <c r="U1422" s="1235"/>
      <c r="V1422" s="1235"/>
      <c r="W1422" s="1235"/>
    </row>
    <row r="1423" spans="1:23">
      <c r="A1423" s="2218"/>
      <c r="B1423" s="1176" t="s">
        <v>408</v>
      </c>
      <c r="C1423" s="1228">
        <v>0</v>
      </c>
      <c r="D1423" s="1228">
        <v>0</v>
      </c>
      <c r="E1423" s="1228">
        <v>697</v>
      </c>
      <c r="F1423" s="1228">
        <v>0</v>
      </c>
      <c r="G1423" s="1228">
        <v>0</v>
      </c>
      <c r="H1423" s="1228">
        <v>381</v>
      </c>
      <c r="I1423" s="1229">
        <v>0</v>
      </c>
      <c r="J1423" s="1229">
        <v>0</v>
      </c>
      <c r="K1423" s="1229">
        <v>338</v>
      </c>
      <c r="L1423" s="1229">
        <v>0</v>
      </c>
      <c r="M1423" s="1229">
        <v>0</v>
      </c>
      <c r="N1423" s="1229">
        <v>0</v>
      </c>
      <c r="O1423" s="1179">
        <f t="shared" si="344"/>
        <v>118</v>
      </c>
      <c r="P1423" s="2205">
        <f>O1417/M!$Q$14</f>
        <v>3.1856581862746938E-2</v>
      </c>
      <c r="Q1423" s="1235"/>
      <c r="R1423" s="1235"/>
      <c r="S1423" s="1235"/>
      <c r="T1423" s="1235"/>
      <c r="U1423" s="1235"/>
      <c r="V1423" s="1235"/>
      <c r="W1423" s="1235"/>
    </row>
    <row r="1424" spans="1:23">
      <c r="A1424" s="2219"/>
      <c r="B1424" s="1176" t="s">
        <v>409</v>
      </c>
      <c r="C1424" s="1228">
        <v>739</v>
      </c>
      <c r="D1424" s="1228">
        <v>0</v>
      </c>
      <c r="E1424" s="1228">
        <v>0</v>
      </c>
      <c r="F1424" s="1228">
        <v>162</v>
      </c>
      <c r="G1424" s="1228">
        <v>0</v>
      </c>
      <c r="H1424" s="1228">
        <v>0</v>
      </c>
      <c r="I1424" s="1229">
        <v>0</v>
      </c>
      <c r="J1424" s="1229">
        <v>0</v>
      </c>
      <c r="K1424" s="1229">
        <v>0</v>
      </c>
      <c r="L1424" s="1229">
        <v>0</v>
      </c>
      <c r="M1424" s="1229">
        <v>22</v>
      </c>
      <c r="N1424" s="1229">
        <v>0</v>
      </c>
      <c r="O1424" s="1179">
        <f t="shared" si="344"/>
        <v>76.916666666666671</v>
      </c>
      <c r="P1424" s="2206"/>
      <c r="Q1424" s="1235"/>
      <c r="R1424" s="1235"/>
      <c r="S1424" s="1235"/>
      <c r="T1424" s="1235"/>
      <c r="U1424" s="1235"/>
      <c r="V1424" s="1235"/>
      <c r="W1424" s="1235"/>
    </row>
    <row r="1425" spans="1:23">
      <c r="A1425" s="2191" t="s">
        <v>277</v>
      </c>
      <c r="B1425" s="2192"/>
      <c r="C1425" s="2203">
        <f t="shared" ref="C1425:N1425" si="345">SUM(C1427:C1430)</f>
        <v>415</v>
      </c>
      <c r="D1425" s="2203">
        <f t="shared" si="345"/>
        <v>295</v>
      </c>
      <c r="E1425" s="2203">
        <f t="shared" si="345"/>
        <v>405</v>
      </c>
      <c r="F1425" s="2203">
        <f t="shared" si="345"/>
        <v>381</v>
      </c>
      <c r="G1425" s="2203">
        <f t="shared" si="345"/>
        <v>484</v>
      </c>
      <c r="H1425" s="2203">
        <f t="shared" si="345"/>
        <v>400</v>
      </c>
      <c r="I1425" s="2203">
        <f t="shared" si="345"/>
        <v>498</v>
      </c>
      <c r="J1425" s="2203">
        <f t="shared" si="345"/>
        <v>747</v>
      </c>
      <c r="K1425" s="2203">
        <f t="shared" si="345"/>
        <v>526</v>
      </c>
      <c r="L1425" s="2203">
        <f t="shared" si="345"/>
        <v>378</v>
      </c>
      <c r="M1425" s="2203">
        <f t="shared" si="345"/>
        <v>215</v>
      </c>
      <c r="N1425" s="2203">
        <f t="shared" si="345"/>
        <v>104</v>
      </c>
      <c r="O1425" s="2203">
        <f>SUM(O1427:O1430)</f>
        <v>403.99999999999994</v>
      </c>
      <c r="P1425" s="1180">
        <f>O1419/M!$Q$14</f>
        <v>0</v>
      </c>
      <c r="Q1425" s="1235"/>
      <c r="R1425" s="1235"/>
      <c r="S1425" s="1235"/>
      <c r="T1425" s="1235"/>
      <c r="U1425" s="1235"/>
      <c r="V1425" s="1235"/>
      <c r="W1425" s="1235"/>
    </row>
    <row r="1426" spans="1:23">
      <c r="A1426" s="2193"/>
      <c r="B1426" s="2194"/>
      <c r="C1426" s="2204"/>
      <c r="D1426" s="2204"/>
      <c r="E1426" s="2204"/>
      <c r="F1426" s="2204"/>
      <c r="G1426" s="2204"/>
      <c r="H1426" s="2204"/>
      <c r="I1426" s="2204"/>
      <c r="J1426" s="2204"/>
      <c r="K1426" s="2204"/>
      <c r="L1426" s="2204"/>
      <c r="M1426" s="2204"/>
      <c r="N1426" s="2204"/>
      <c r="O1426" s="2204"/>
      <c r="P1426" s="1180">
        <f>O1420/M!$Q$14</f>
        <v>1.2673882908566456E-2</v>
      </c>
      <c r="Q1426" s="1235"/>
      <c r="R1426" s="1235"/>
      <c r="S1426" s="1235"/>
      <c r="T1426" s="1235"/>
      <c r="U1426" s="1235"/>
      <c r="V1426" s="1235"/>
      <c r="W1426" s="1235"/>
    </row>
    <row r="1427" spans="1:23">
      <c r="A1427" s="2217"/>
      <c r="B1427" s="1176" t="s">
        <v>410</v>
      </c>
      <c r="C1427" s="1228">
        <v>278</v>
      </c>
      <c r="D1427" s="1228">
        <v>287</v>
      </c>
      <c r="E1427" s="1228">
        <v>405</v>
      </c>
      <c r="F1427" s="1228">
        <v>373</v>
      </c>
      <c r="G1427" s="1228">
        <v>384</v>
      </c>
      <c r="H1427" s="1228">
        <v>388</v>
      </c>
      <c r="I1427" s="1229">
        <v>432</v>
      </c>
      <c r="J1427" s="1229">
        <v>468</v>
      </c>
      <c r="K1427" s="1229">
        <v>304</v>
      </c>
      <c r="L1427" s="1229">
        <v>368</v>
      </c>
      <c r="M1427" s="1229">
        <v>158</v>
      </c>
      <c r="N1427" s="1229">
        <v>98</v>
      </c>
      <c r="O1427" s="1179">
        <f>SUM(C1427:N1427)/12</f>
        <v>328.58333333333331</v>
      </c>
      <c r="P1427" s="1180">
        <f>O1421/M!$Q$14</f>
        <v>1.2629046058654073E-3</v>
      </c>
      <c r="Q1427" s="1235"/>
      <c r="R1427" s="1235"/>
      <c r="S1427" s="1235"/>
      <c r="T1427" s="1235"/>
      <c r="U1427" s="1235"/>
      <c r="V1427" s="1235"/>
      <c r="W1427" s="1235"/>
    </row>
    <row r="1428" spans="1:23">
      <c r="A1428" s="2218"/>
      <c r="B1428" s="1176" t="s">
        <v>457</v>
      </c>
      <c r="C1428" s="1228">
        <v>112</v>
      </c>
      <c r="D1428" s="1228">
        <v>0</v>
      </c>
      <c r="E1428" s="1228">
        <v>0</v>
      </c>
      <c r="F1428" s="1228">
        <v>0</v>
      </c>
      <c r="G1428" s="1228">
        <v>75</v>
      </c>
      <c r="H1428" s="1228">
        <v>0</v>
      </c>
      <c r="I1428" s="1229">
        <v>48</v>
      </c>
      <c r="J1428" s="1229">
        <v>165</v>
      </c>
      <c r="K1428" s="1229">
        <v>132</v>
      </c>
      <c r="L1428" s="1229">
        <v>0</v>
      </c>
      <c r="M1428" s="1229">
        <v>0</v>
      </c>
      <c r="N1428" s="1229">
        <v>0</v>
      </c>
      <c r="O1428" s="1179">
        <f>SUM(C1428:N1428)/12</f>
        <v>44.333333333333336</v>
      </c>
      <c r="P1428" s="1180">
        <f>O1422/M!$Q$14</f>
        <v>4.4089569080508307E-4</v>
      </c>
      <c r="Q1428" s="1235"/>
      <c r="R1428" s="1235"/>
      <c r="S1428" s="1235"/>
      <c r="T1428" s="1235"/>
      <c r="U1428" s="1235"/>
      <c r="V1428" s="1235"/>
      <c r="W1428" s="1235"/>
    </row>
    <row r="1429" spans="1:23">
      <c r="A1429" s="2218"/>
      <c r="B1429" s="1176" t="s">
        <v>458</v>
      </c>
      <c r="C1429" s="1228">
        <v>0</v>
      </c>
      <c r="D1429" s="1228">
        <v>8</v>
      </c>
      <c r="E1429" s="1228">
        <v>0</v>
      </c>
      <c r="F1429" s="1228">
        <v>8</v>
      </c>
      <c r="G1429" s="1228">
        <v>0</v>
      </c>
      <c r="H1429" s="1228">
        <v>12</v>
      </c>
      <c r="I1429" s="1229">
        <v>18</v>
      </c>
      <c r="J1429" s="1229">
        <v>64</v>
      </c>
      <c r="K1429" s="1229">
        <v>40</v>
      </c>
      <c r="L1429" s="1229">
        <v>0</v>
      </c>
      <c r="M1429" s="1229">
        <v>12</v>
      </c>
      <c r="N1429" s="1229">
        <v>6</v>
      </c>
      <c r="O1429" s="1179">
        <f>SUM(C1429:N1429)/12</f>
        <v>14</v>
      </c>
      <c r="P1429" s="1180">
        <f>O1423/M!$Q$14</f>
        <v>1.0581496579321992E-2</v>
      </c>
      <c r="Q1429" s="1235"/>
      <c r="R1429" s="1235"/>
      <c r="S1429" s="1235"/>
      <c r="T1429" s="1235"/>
      <c r="U1429" s="1235"/>
      <c r="V1429" s="1235"/>
      <c r="W1429" s="1235"/>
    </row>
    <row r="1430" spans="1:23">
      <c r="A1430" s="2219"/>
      <c r="B1430" s="1176" t="s">
        <v>459</v>
      </c>
      <c r="C1430" s="1228">
        <v>25</v>
      </c>
      <c r="D1430" s="1228">
        <v>0</v>
      </c>
      <c r="E1430" s="1228">
        <v>0</v>
      </c>
      <c r="F1430" s="1228">
        <v>0</v>
      </c>
      <c r="G1430" s="1228">
        <v>25</v>
      </c>
      <c r="H1430" s="1228">
        <v>0</v>
      </c>
      <c r="I1430" s="1229">
        <v>0</v>
      </c>
      <c r="J1430" s="1229">
        <v>50</v>
      </c>
      <c r="K1430" s="1229">
        <v>50</v>
      </c>
      <c r="L1430" s="1229">
        <v>10</v>
      </c>
      <c r="M1430" s="1229">
        <v>45</v>
      </c>
      <c r="N1430" s="1229">
        <v>0</v>
      </c>
      <c r="O1430" s="1179">
        <f>SUM(C1430:N1430)/12</f>
        <v>17.083333333333332</v>
      </c>
      <c r="P1430" s="1180">
        <f>O1424/M!$Q$14</f>
        <v>6.8974020781879947E-3</v>
      </c>
      <c r="Q1430" s="1235"/>
      <c r="R1430" s="1235"/>
      <c r="S1430" s="1235"/>
      <c r="T1430" s="1235"/>
      <c r="U1430" s="1235"/>
      <c r="V1430" s="1235"/>
      <c r="W1430" s="1235"/>
    </row>
    <row r="1431" spans="1:23">
      <c r="A1431" s="2191" t="s">
        <v>278</v>
      </c>
      <c r="B1431" s="2192"/>
      <c r="C1431" s="2203">
        <f t="shared" ref="C1431:J1431" si="346">SUM(C1433:C1434)</f>
        <v>437</v>
      </c>
      <c r="D1431" s="2203">
        <f t="shared" si="346"/>
        <v>341</v>
      </c>
      <c r="E1431" s="2203">
        <f t="shared" si="346"/>
        <v>389</v>
      </c>
      <c r="F1431" s="2203">
        <f t="shared" si="346"/>
        <v>321</v>
      </c>
      <c r="G1431" s="2203">
        <f t="shared" si="346"/>
        <v>418</v>
      </c>
      <c r="H1431" s="2203">
        <f t="shared" si="346"/>
        <v>354</v>
      </c>
      <c r="I1431" s="2203">
        <f t="shared" si="346"/>
        <v>599</v>
      </c>
      <c r="J1431" s="2203">
        <f t="shared" si="346"/>
        <v>711</v>
      </c>
      <c r="K1431" s="2203">
        <f>SUM(K1433:K1434)</f>
        <v>844</v>
      </c>
      <c r="L1431" s="2203">
        <f>SUM(L1433:L1434)</f>
        <v>598</v>
      </c>
      <c r="M1431" s="2203">
        <f>SUM(M1433:M1434)</f>
        <v>436</v>
      </c>
      <c r="N1431" s="2203">
        <f>SUM(N1433:N1434)</f>
        <v>443</v>
      </c>
      <c r="O1431" s="2203">
        <f>SUM(O1433:O1434)</f>
        <v>490.91666666666669</v>
      </c>
      <c r="P1431" s="2205">
        <f>O1425/M!$Q$14</f>
        <v>3.6228174729204109E-2</v>
      </c>
      <c r="Q1431" s="1235"/>
      <c r="R1431" s="1235"/>
      <c r="S1431" s="1235"/>
      <c r="T1431" s="1235"/>
      <c r="U1431" s="1235"/>
      <c r="V1431" s="1235"/>
      <c r="W1431" s="1235"/>
    </row>
    <row r="1432" spans="1:23">
      <c r="A1432" s="2193"/>
      <c r="B1432" s="2194"/>
      <c r="C1432" s="2204"/>
      <c r="D1432" s="2204"/>
      <c r="E1432" s="2204"/>
      <c r="F1432" s="2204"/>
      <c r="G1432" s="2204"/>
      <c r="H1432" s="2204"/>
      <c r="I1432" s="2204"/>
      <c r="J1432" s="2204"/>
      <c r="K1432" s="2204"/>
      <c r="L1432" s="2204"/>
      <c r="M1432" s="2204"/>
      <c r="N1432" s="2204"/>
      <c r="O1432" s="2204"/>
      <c r="P1432" s="2206"/>
      <c r="Q1432" s="1235"/>
      <c r="R1432" s="1235"/>
      <c r="S1432" s="1235"/>
      <c r="T1432" s="1235"/>
      <c r="U1432" s="1235"/>
      <c r="V1432" s="1235"/>
      <c r="W1432" s="1235"/>
    </row>
    <row r="1433" spans="1:23">
      <c r="A1433" s="2217"/>
      <c r="B1433" s="1176" t="s">
        <v>414</v>
      </c>
      <c r="C1433" s="1228">
        <v>224</v>
      </c>
      <c r="D1433" s="1228">
        <v>250</v>
      </c>
      <c r="E1433" s="1228">
        <v>319</v>
      </c>
      <c r="F1433" s="1228">
        <v>291</v>
      </c>
      <c r="G1433" s="1228">
        <v>234</v>
      </c>
      <c r="H1433" s="1228">
        <v>326</v>
      </c>
      <c r="I1433" s="1229">
        <v>515</v>
      </c>
      <c r="J1433" s="1229">
        <v>549</v>
      </c>
      <c r="K1433" s="1229">
        <v>553</v>
      </c>
      <c r="L1433" s="1229">
        <v>484</v>
      </c>
      <c r="M1433" s="1229">
        <v>399</v>
      </c>
      <c r="N1433" s="1229">
        <v>386</v>
      </c>
      <c r="O1433" s="1179">
        <f>SUM(C1433:N1433)/12</f>
        <v>377.5</v>
      </c>
      <c r="P1433" s="1180">
        <f>O1427/M!$Q$14</f>
        <v>2.946528320075326E-2</v>
      </c>
      <c r="Q1433" s="1235"/>
      <c r="R1433" s="1235"/>
      <c r="S1433" s="1235"/>
      <c r="T1433" s="1235"/>
      <c r="U1433" s="1235"/>
      <c r="V1433" s="1235"/>
      <c r="W1433" s="1235"/>
    </row>
    <row r="1434" spans="1:23">
      <c r="A1434" s="2219"/>
      <c r="B1434" s="1176" t="s">
        <v>278</v>
      </c>
      <c r="C1434" s="1228">
        <v>213</v>
      </c>
      <c r="D1434" s="1228">
        <v>91</v>
      </c>
      <c r="E1434" s="1228">
        <v>70</v>
      </c>
      <c r="F1434" s="1228">
        <v>30</v>
      </c>
      <c r="G1434" s="1228">
        <v>184</v>
      </c>
      <c r="H1434" s="1228">
        <v>28</v>
      </c>
      <c r="I1434" s="1229">
        <v>84</v>
      </c>
      <c r="J1434" s="1229">
        <v>162</v>
      </c>
      <c r="K1434" s="1229">
        <v>291</v>
      </c>
      <c r="L1434" s="1229">
        <v>114</v>
      </c>
      <c r="M1434" s="1229">
        <v>37</v>
      </c>
      <c r="N1434" s="1229">
        <v>57</v>
      </c>
      <c r="O1434" s="1179">
        <f>SUM(C1434:N1434)/12</f>
        <v>113.41666666666667</v>
      </c>
      <c r="P1434" s="1180">
        <f>O1428/M!$Q$14</f>
        <v>3.9755340255644778E-3</v>
      </c>
      <c r="Q1434" s="1235"/>
      <c r="R1434" s="1235"/>
      <c r="S1434" s="1235"/>
      <c r="T1434" s="1235"/>
      <c r="U1434" s="1235"/>
      <c r="V1434" s="1235"/>
      <c r="W1434" s="1235"/>
    </row>
    <row r="1435" spans="1:23">
      <c r="A1435" s="2191" t="s">
        <v>279</v>
      </c>
      <c r="B1435" s="2192"/>
      <c r="C1435" s="2203">
        <f t="shared" ref="C1435:N1435" si="347">SUM(C1437:C1444)</f>
        <v>462</v>
      </c>
      <c r="D1435" s="2203">
        <f t="shared" si="347"/>
        <v>506</v>
      </c>
      <c r="E1435" s="2203">
        <f t="shared" si="347"/>
        <v>526</v>
      </c>
      <c r="F1435" s="2203">
        <f t="shared" si="347"/>
        <v>449</v>
      </c>
      <c r="G1435" s="2203">
        <f t="shared" si="347"/>
        <v>375</v>
      </c>
      <c r="H1435" s="2203">
        <f t="shared" si="347"/>
        <v>404</v>
      </c>
      <c r="I1435" s="2203">
        <f t="shared" si="347"/>
        <v>500</v>
      </c>
      <c r="J1435" s="2203">
        <f t="shared" si="347"/>
        <v>492</v>
      </c>
      <c r="K1435" s="2203">
        <f t="shared" si="347"/>
        <v>414</v>
      </c>
      <c r="L1435" s="2203">
        <f t="shared" si="347"/>
        <v>425</v>
      </c>
      <c r="M1435" s="2203">
        <f t="shared" si="347"/>
        <v>446</v>
      </c>
      <c r="N1435" s="2203">
        <f t="shared" si="347"/>
        <v>484</v>
      </c>
      <c r="O1435" s="2203">
        <f>SUM(O1437:O1444)</f>
        <v>456.91666666666663</v>
      </c>
      <c r="P1435" s="1180">
        <f>O1429/M!$Q$14</f>
        <v>1.2554317975466771E-3</v>
      </c>
      <c r="Q1435" s="1235"/>
      <c r="R1435" s="1235"/>
      <c r="S1435" s="1235"/>
      <c r="T1435" s="1235"/>
      <c r="U1435" s="1235"/>
      <c r="V1435" s="1235"/>
      <c r="W1435" s="1235"/>
    </row>
    <row r="1436" spans="1:23">
      <c r="A1436" s="2193"/>
      <c r="B1436" s="2194"/>
      <c r="C1436" s="2204"/>
      <c r="D1436" s="2204"/>
      <c r="E1436" s="2204"/>
      <c r="F1436" s="2204"/>
      <c r="G1436" s="2204"/>
      <c r="H1436" s="2204"/>
      <c r="I1436" s="2204"/>
      <c r="J1436" s="2204"/>
      <c r="K1436" s="2204"/>
      <c r="L1436" s="2204"/>
      <c r="M1436" s="2204"/>
      <c r="N1436" s="2204"/>
      <c r="O1436" s="2204"/>
      <c r="P1436" s="1180">
        <f>O1430/M!$Q$14</f>
        <v>1.5319257053396952E-3</v>
      </c>
      <c r="Q1436" s="1235"/>
      <c r="R1436" s="1235"/>
      <c r="S1436" s="1235"/>
      <c r="T1436" s="1235"/>
      <c r="U1436" s="1235"/>
      <c r="V1436" s="1235"/>
      <c r="W1436" s="1235"/>
    </row>
    <row r="1437" spans="1:23">
      <c r="A1437" s="2217"/>
      <c r="B1437" s="1176" t="s">
        <v>415</v>
      </c>
      <c r="C1437" s="1228">
        <v>51</v>
      </c>
      <c r="D1437" s="1228">
        <v>89</v>
      </c>
      <c r="E1437" s="1228">
        <v>72</v>
      </c>
      <c r="F1437" s="1228">
        <v>91</v>
      </c>
      <c r="G1437" s="1228">
        <v>81</v>
      </c>
      <c r="H1437" s="1228">
        <v>120</v>
      </c>
      <c r="I1437" s="1229">
        <v>208</v>
      </c>
      <c r="J1437" s="1229">
        <v>145</v>
      </c>
      <c r="K1437" s="1229">
        <v>135</v>
      </c>
      <c r="L1437" s="1229">
        <v>122</v>
      </c>
      <c r="M1437" s="1229">
        <v>122</v>
      </c>
      <c r="N1437" s="1229">
        <v>113</v>
      </c>
      <c r="O1437" s="1179">
        <f t="shared" ref="O1437:O1444" si="348">SUM(C1437:N1437)/12</f>
        <v>112.41666666666667</v>
      </c>
      <c r="P1437" s="2205">
        <f>O1431/M!$Q$14</f>
        <v>4.4022313805639736E-2</v>
      </c>
      <c r="Q1437" s="1235"/>
      <c r="R1437" s="1235"/>
      <c r="S1437" s="1235"/>
      <c r="T1437" s="1235"/>
      <c r="U1437" s="1235"/>
      <c r="V1437" s="1235"/>
      <c r="W1437" s="1235"/>
    </row>
    <row r="1438" spans="1:23">
      <c r="A1438" s="2218"/>
      <c r="B1438" s="1176" t="s">
        <v>416</v>
      </c>
      <c r="C1438" s="1182">
        <v>0</v>
      </c>
      <c r="D1438" s="1182">
        <v>0</v>
      </c>
      <c r="E1438" s="1182">
        <v>0</v>
      </c>
      <c r="F1438" s="1182">
        <v>0</v>
      </c>
      <c r="G1438" s="1182">
        <v>0</v>
      </c>
      <c r="H1438" s="1182">
        <v>0</v>
      </c>
      <c r="I1438" s="1182">
        <v>0</v>
      </c>
      <c r="J1438" s="1182">
        <v>0</v>
      </c>
      <c r="K1438" s="1182">
        <v>0</v>
      </c>
      <c r="L1438" s="1182">
        <v>0</v>
      </c>
      <c r="M1438" s="1182">
        <v>0</v>
      </c>
      <c r="N1438" s="1182">
        <v>0</v>
      </c>
      <c r="O1438" s="1179">
        <f t="shared" si="348"/>
        <v>0</v>
      </c>
      <c r="P1438" s="2206"/>
      <c r="Q1438" s="1235"/>
      <c r="R1438" s="1235"/>
      <c r="S1438" s="1235"/>
      <c r="T1438" s="1235"/>
      <c r="U1438" s="1235"/>
      <c r="V1438" s="1235"/>
      <c r="W1438" s="1235"/>
    </row>
    <row r="1439" spans="1:23">
      <c r="A1439" s="2218"/>
      <c r="B1439" s="1176" t="s">
        <v>417</v>
      </c>
      <c r="C1439" s="1182">
        <v>0</v>
      </c>
      <c r="D1439" s="1182">
        <v>0</v>
      </c>
      <c r="E1439" s="1182">
        <v>0</v>
      </c>
      <c r="F1439" s="1182">
        <v>0</v>
      </c>
      <c r="G1439" s="1182">
        <v>0</v>
      </c>
      <c r="H1439" s="1182">
        <v>0</v>
      </c>
      <c r="I1439" s="1182">
        <v>0</v>
      </c>
      <c r="J1439" s="1182">
        <v>0</v>
      </c>
      <c r="K1439" s="1182">
        <v>0</v>
      </c>
      <c r="L1439" s="1182">
        <v>0</v>
      </c>
      <c r="M1439" s="1182">
        <v>0</v>
      </c>
      <c r="N1439" s="1182">
        <v>0</v>
      </c>
      <c r="O1439" s="1179">
        <f t="shared" si="348"/>
        <v>0</v>
      </c>
      <c r="P1439" s="1180">
        <f>O1433/M!$Q$14</f>
        <v>3.3851821683847899E-2</v>
      </c>
      <c r="Q1439" s="1235"/>
      <c r="R1439" s="1235"/>
      <c r="S1439" s="1235"/>
      <c r="T1439" s="1235"/>
      <c r="U1439" s="1235"/>
      <c r="V1439" s="1235"/>
      <c r="W1439" s="1235"/>
    </row>
    <row r="1440" spans="1:23">
      <c r="A1440" s="2218"/>
      <c r="B1440" s="1176" t="s">
        <v>410</v>
      </c>
      <c r="C1440" s="1228">
        <v>151</v>
      </c>
      <c r="D1440" s="1228">
        <v>176</v>
      </c>
      <c r="E1440" s="1228">
        <v>128</v>
      </c>
      <c r="F1440" s="1228">
        <v>98</v>
      </c>
      <c r="G1440" s="1228">
        <v>71</v>
      </c>
      <c r="H1440" s="1228">
        <v>57</v>
      </c>
      <c r="I1440" s="1229">
        <v>60</v>
      </c>
      <c r="J1440" s="1229">
        <v>64</v>
      </c>
      <c r="K1440" s="1229">
        <v>46</v>
      </c>
      <c r="L1440" s="1229">
        <v>59</v>
      </c>
      <c r="M1440" s="1229">
        <v>80</v>
      </c>
      <c r="N1440" s="1229">
        <v>166</v>
      </c>
      <c r="O1440" s="1179">
        <f t="shared" si="348"/>
        <v>96.333333333333329</v>
      </c>
      <c r="P1440" s="1180">
        <f>O1434/M!$Q$14</f>
        <v>1.0170492121791832E-2</v>
      </c>
      <c r="Q1440" s="1235"/>
      <c r="R1440" s="1235"/>
      <c r="S1440" s="1235"/>
      <c r="T1440" s="1235"/>
      <c r="U1440" s="1235"/>
      <c r="V1440" s="1235"/>
      <c r="W1440" s="1235"/>
    </row>
    <row r="1441" spans="1:23">
      <c r="A1441" s="2218"/>
      <c r="B1441" s="1176" t="s">
        <v>418</v>
      </c>
      <c r="C1441" s="1228">
        <v>105</v>
      </c>
      <c r="D1441" s="1228">
        <v>132</v>
      </c>
      <c r="E1441" s="1228">
        <v>132</v>
      </c>
      <c r="F1441" s="1228">
        <v>132</v>
      </c>
      <c r="G1441" s="1228">
        <v>132</v>
      </c>
      <c r="H1441" s="1228">
        <v>143</v>
      </c>
      <c r="I1441" s="1229">
        <v>143</v>
      </c>
      <c r="J1441" s="1229">
        <v>143</v>
      </c>
      <c r="K1441" s="1229">
        <v>143</v>
      </c>
      <c r="L1441" s="1229">
        <v>143</v>
      </c>
      <c r="M1441" s="1229">
        <v>129</v>
      </c>
      <c r="N1441" s="1229">
        <v>115</v>
      </c>
      <c r="O1441" s="1179">
        <f t="shared" si="348"/>
        <v>132.66666666666666</v>
      </c>
      <c r="P1441" s="2205">
        <f>O1435/M!$Q$14</f>
        <v>4.0973408011597795E-2</v>
      </c>
      <c r="Q1441" s="1235"/>
      <c r="R1441" s="1235"/>
      <c r="S1441" s="1235"/>
      <c r="T1441" s="1235"/>
      <c r="U1441" s="1235"/>
      <c r="V1441" s="1235"/>
      <c r="W1441" s="1235"/>
    </row>
    <row r="1442" spans="1:23">
      <c r="A1442" s="2218"/>
      <c r="B1442" s="1176" t="s">
        <v>419</v>
      </c>
      <c r="C1442" s="1228">
        <v>40</v>
      </c>
      <c r="D1442" s="1228">
        <v>40</v>
      </c>
      <c r="E1442" s="1228">
        <v>23</v>
      </c>
      <c r="F1442" s="1228">
        <v>23</v>
      </c>
      <c r="G1442" s="1228">
        <v>23</v>
      </c>
      <c r="H1442" s="1228">
        <v>23</v>
      </c>
      <c r="I1442" s="1229">
        <v>23</v>
      </c>
      <c r="J1442" s="1229">
        <v>23</v>
      </c>
      <c r="K1442" s="1229">
        <v>23</v>
      </c>
      <c r="L1442" s="1229">
        <v>23</v>
      </c>
      <c r="M1442" s="1229">
        <v>23</v>
      </c>
      <c r="N1442" s="1229">
        <v>23</v>
      </c>
      <c r="O1442" s="1179">
        <f t="shared" si="348"/>
        <v>25.833333333333332</v>
      </c>
      <c r="P1442" s="2206"/>
      <c r="Q1442" s="1235"/>
      <c r="R1442" s="1235"/>
      <c r="S1442" s="1235"/>
      <c r="T1442" s="1235"/>
      <c r="U1442" s="1235"/>
      <c r="V1442" s="1235"/>
      <c r="W1442" s="1235"/>
    </row>
    <row r="1443" spans="1:23">
      <c r="A1443" s="2218"/>
      <c r="B1443" s="1176" t="s">
        <v>460</v>
      </c>
      <c r="C1443" s="1228">
        <v>50</v>
      </c>
      <c r="D1443" s="1228">
        <v>0</v>
      </c>
      <c r="E1443" s="1228">
        <v>105</v>
      </c>
      <c r="F1443" s="1228">
        <v>0</v>
      </c>
      <c r="G1443" s="1228">
        <v>0</v>
      </c>
      <c r="H1443" s="1228">
        <v>0</v>
      </c>
      <c r="I1443" s="1229">
        <v>0</v>
      </c>
      <c r="J1443" s="1229">
        <v>50</v>
      </c>
      <c r="K1443" s="1229">
        <v>0</v>
      </c>
      <c r="L1443" s="1229">
        <v>11</v>
      </c>
      <c r="M1443" s="1229">
        <v>27</v>
      </c>
      <c r="N1443" s="1229">
        <v>0</v>
      </c>
      <c r="O1443" s="1179">
        <f t="shared" si="348"/>
        <v>20.25</v>
      </c>
      <c r="P1443" s="1180">
        <f>O1437/M!$Q$14</f>
        <v>1.0080818421967069E-2</v>
      </c>
      <c r="Q1443" s="1235"/>
      <c r="R1443" s="1235"/>
      <c r="S1443" s="1235"/>
      <c r="T1443" s="1235"/>
      <c r="U1443" s="1235"/>
      <c r="V1443" s="1235"/>
      <c r="W1443" s="1235"/>
    </row>
    <row r="1444" spans="1:23">
      <c r="A1444" s="2219"/>
      <c r="B1444" s="1176" t="s">
        <v>421</v>
      </c>
      <c r="C1444" s="1228">
        <v>65</v>
      </c>
      <c r="D1444" s="1228">
        <v>69</v>
      </c>
      <c r="E1444" s="1228">
        <v>66</v>
      </c>
      <c r="F1444" s="1228">
        <v>105</v>
      </c>
      <c r="G1444" s="1228">
        <v>68</v>
      </c>
      <c r="H1444" s="1228">
        <v>61</v>
      </c>
      <c r="I1444" s="1229">
        <v>66</v>
      </c>
      <c r="J1444" s="1229">
        <v>67</v>
      </c>
      <c r="K1444" s="1229">
        <v>67</v>
      </c>
      <c r="L1444" s="1229">
        <v>67</v>
      </c>
      <c r="M1444" s="1229">
        <v>65</v>
      </c>
      <c r="N1444" s="1229">
        <v>67</v>
      </c>
      <c r="O1444" s="1179">
        <f t="shared" si="348"/>
        <v>69.416666666666671</v>
      </c>
      <c r="P1444" s="1180">
        <f>O1438/M!$Q$14</f>
        <v>0</v>
      </c>
      <c r="Q1444" s="1235"/>
      <c r="R1444" s="1235"/>
      <c r="S1444" s="1235"/>
      <c r="T1444" s="1235"/>
      <c r="U1444" s="1235"/>
      <c r="V1444" s="1235"/>
      <c r="W1444" s="1235"/>
    </row>
    <row r="1445" spans="1:23">
      <c r="A1445" s="2191" t="s">
        <v>280</v>
      </c>
      <c r="B1445" s="2192"/>
      <c r="C1445" s="2203">
        <f t="shared" ref="C1445:O1445" si="349">SUM(C1447:C1453)</f>
        <v>1042</v>
      </c>
      <c r="D1445" s="2203">
        <f t="shared" si="349"/>
        <v>730</v>
      </c>
      <c r="E1445" s="2203">
        <f t="shared" si="349"/>
        <v>117</v>
      </c>
      <c r="F1445" s="2203">
        <f t="shared" si="349"/>
        <v>341</v>
      </c>
      <c r="G1445" s="2203">
        <f t="shared" si="349"/>
        <v>497</v>
      </c>
      <c r="H1445" s="2203">
        <f t="shared" si="349"/>
        <v>898</v>
      </c>
      <c r="I1445" s="2203">
        <f t="shared" si="349"/>
        <v>282</v>
      </c>
      <c r="J1445" s="2203">
        <f t="shared" si="349"/>
        <v>511</v>
      </c>
      <c r="K1445" s="2203">
        <f t="shared" si="349"/>
        <v>942</v>
      </c>
      <c r="L1445" s="2203">
        <f t="shared" si="349"/>
        <v>500</v>
      </c>
      <c r="M1445" s="2203">
        <f t="shared" si="349"/>
        <v>479</v>
      </c>
      <c r="N1445" s="2203">
        <f t="shared" si="349"/>
        <v>891</v>
      </c>
      <c r="O1445" s="2203">
        <f t="shared" si="349"/>
        <v>602.5</v>
      </c>
      <c r="P1445" s="1180">
        <f>O1439/M!$Q$14</f>
        <v>0</v>
      </c>
      <c r="Q1445" s="1235"/>
      <c r="R1445" s="1235"/>
      <c r="S1445" s="1235"/>
      <c r="T1445" s="1235"/>
      <c r="U1445" s="1235"/>
      <c r="V1445" s="1235"/>
      <c r="W1445" s="1235"/>
    </row>
    <row r="1446" spans="1:23">
      <c r="A1446" s="2193"/>
      <c r="B1446" s="2194"/>
      <c r="C1446" s="2204"/>
      <c r="D1446" s="2204"/>
      <c r="E1446" s="2204"/>
      <c r="F1446" s="2204"/>
      <c r="G1446" s="2204"/>
      <c r="H1446" s="2204"/>
      <c r="I1446" s="2204"/>
      <c r="J1446" s="2204"/>
      <c r="K1446" s="2204"/>
      <c r="L1446" s="2204"/>
      <c r="M1446" s="2204"/>
      <c r="N1446" s="2204"/>
      <c r="O1446" s="2204"/>
      <c r="P1446" s="1180">
        <f>O1440/M!$Q$14</f>
        <v>8.6385664164521352E-3</v>
      </c>
      <c r="Q1446" s="1235"/>
      <c r="R1446" s="1235"/>
      <c r="S1446" s="1235"/>
      <c r="T1446" s="1235"/>
      <c r="U1446" s="1235"/>
      <c r="V1446" s="1235"/>
      <c r="W1446" s="1235"/>
    </row>
    <row r="1447" spans="1:23">
      <c r="A1447" s="2217"/>
      <c r="B1447" s="1176" t="s">
        <v>280</v>
      </c>
      <c r="C1447" s="1228">
        <v>47</v>
      </c>
      <c r="D1447" s="1228">
        <v>267</v>
      </c>
      <c r="E1447" s="1228">
        <v>61</v>
      </c>
      <c r="F1447" s="1228">
        <v>69</v>
      </c>
      <c r="G1447" s="1228">
        <v>255</v>
      </c>
      <c r="H1447" s="1228">
        <v>217</v>
      </c>
      <c r="I1447" s="1229">
        <v>71</v>
      </c>
      <c r="J1447" s="1229">
        <v>158</v>
      </c>
      <c r="K1447" s="1229">
        <v>92</v>
      </c>
      <c r="L1447" s="1229">
        <v>130</v>
      </c>
      <c r="M1447" s="1229">
        <v>71</v>
      </c>
      <c r="N1447" s="1229">
        <v>161</v>
      </c>
      <c r="O1447" s="1179">
        <f t="shared" ref="O1447:O1453" si="350">SUM(C1447:N1447)/12</f>
        <v>133.25</v>
      </c>
      <c r="P1447" s="1180">
        <f>O1441/M!$Q$14</f>
        <v>1.189671084341851E-2</v>
      </c>
      <c r="Q1447" s="1235"/>
      <c r="R1447" s="1235"/>
      <c r="S1447" s="1235"/>
      <c r="T1447" s="1235"/>
      <c r="U1447" s="1235"/>
      <c r="V1447" s="1235"/>
      <c r="W1447" s="1235"/>
    </row>
    <row r="1448" spans="1:23">
      <c r="A1448" s="2218"/>
      <c r="B1448" s="1176" t="s">
        <v>423</v>
      </c>
      <c r="C1448" s="1228">
        <v>67</v>
      </c>
      <c r="D1448" s="1228">
        <v>68</v>
      </c>
      <c r="E1448" s="1228">
        <v>35</v>
      </c>
      <c r="F1448" s="1228">
        <v>64</v>
      </c>
      <c r="G1448" s="1228">
        <v>31</v>
      </c>
      <c r="H1448" s="1228">
        <v>69</v>
      </c>
      <c r="I1448" s="1229">
        <v>40</v>
      </c>
      <c r="J1448" s="1229">
        <v>0</v>
      </c>
      <c r="K1448" s="1229">
        <v>85</v>
      </c>
      <c r="L1448" s="1229">
        <v>37</v>
      </c>
      <c r="M1448" s="1229">
        <v>0</v>
      </c>
      <c r="N1448" s="1229">
        <v>354</v>
      </c>
      <c r="O1448" s="1179">
        <f t="shared" si="350"/>
        <v>70.833333333333329</v>
      </c>
      <c r="P1448" s="1180">
        <f>O1442/M!$Q$14</f>
        <v>2.3165705788063683E-3</v>
      </c>
      <c r="Q1448" s="1235"/>
      <c r="R1448" s="1235"/>
      <c r="S1448" s="1235"/>
      <c r="T1448" s="1235"/>
      <c r="U1448" s="1235"/>
      <c r="V1448" s="1235"/>
      <c r="W1448" s="1235"/>
    </row>
    <row r="1449" spans="1:23">
      <c r="A1449" s="2218"/>
      <c r="B1449" s="1176" t="s">
        <v>424</v>
      </c>
      <c r="C1449" s="1228">
        <v>0</v>
      </c>
      <c r="D1449" s="1228">
        <v>287</v>
      </c>
      <c r="E1449" s="1228">
        <v>0</v>
      </c>
      <c r="F1449" s="1228">
        <v>183</v>
      </c>
      <c r="G1449" s="1228">
        <v>0</v>
      </c>
      <c r="H1449" s="1228">
        <v>243</v>
      </c>
      <c r="I1449" s="1229">
        <v>84</v>
      </c>
      <c r="J1449" s="1229">
        <v>0</v>
      </c>
      <c r="K1449" s="1229">
        <v>0</v>
      </c>
      <c r="L1449" s="1229">
        <v>0</v>
      </c>
      <c r="M1449" s="1229">
        <v>50</v>
      </c>
      <c r="N1449" s="1229">
        <v>9</v>
      </c>
      <c r="O1449" s="1179">
        <f t="shared" si="350"/>
        <v>71.333333333333329</v>
      </c>
      <c r="P1449" s="1180">
        <f>O1443/M!$Q$14</f>
        <v>1.8158924214514436E-3</v>
      </c>
      <c r="Q1449" s="1235"/>
      <c r="R1449" s="1235"/>
      <c r="S1449" s="1235"/>
      <c r="T1449" s="1235"/>
      <c r="U1449" s="1235"/>
      <c r="V1449" s="1235"/>
      <c r="W1449" s="1235"/>
    </row>
    <row r="1450" spans="1:23">
      <c r="A1450" s="2218"/>
      <c r="B1450" s="1176" t="s">
        <v>425</v>
      </c>
      <c r="C1450" s="1228">
        <v>507</v>
      </c>
      <c r="D1450" s="1228">
        <v>0</v>
      </c>
      <c r="E1450" s="1228">
        <v>0</v>
      </c>
      <c r="F1450" s="1228">
        <v>0</v>
      </c>
      <c r="G1450" s="1228">
        <v>0</v>
      </c>
      <c r="H1450" s="1228">
        <v>0</v>
      </c>
      <c r="I1450" s="1229">
        <v>0</v>
      </c>
      <c r="J1450" s="1229">
        <v>0</v>
      </c>
      <c r="K1450" s="1229">
        <v>0</v>
      </c>
      <c r="L1450" s="1229">
        <v>0</v>
      </c>
      <c r="M1450" s="1229">
        <v>0</v>
      </c>
      <c r="N1450" s="1229">
        <v>34</v>
      </c>
      <c r="O1450" s="1179">
        <f t="shared" si="350"/>
        <v>45.083333333333336</v>
      </c>
      <c r="P1450" s="1180">
        <f>O1444/M!$Q$14</f>
        <v>6.2248493295022746E-3</v>
      </c>
      <c r="Q1450" s="1235"/>
      <c r="R1450" s="1235"/>
      <c r="S1450" s="1235"/>
      <c r="T1450" s="1235"/>
      <c r="U1450" s="1235"/>
      <c r="V1450" s="1235"/>
      <c r="W1450" s="1235"/>
    </row>
    <row r="1451" spans="1:23">
      <c r="A1451" s="2218"/>
      <c r="B1451" s="1176" t="s">
        <v>667</v>
      </c>
      <c r="C1451" s="1228">
        <v>172</v>
      </c>
      <c r="D1451" s="1228">
        <v>88</v>
      </c>
      <c r="E1451" s="1228">
        <v>0</v>
      </c>
      <c r="F1451" s="1228">
        <v>25</v>
      </c>
      <c r="G1451" s="1228">
        <v>75</v>
      </c>
      <c r="H1451" s="1228">
        <v>318</v>
      </c>
      <c r="I1451" s="1229">
        <v>77</v>
      </c>
      <c r="J1451" s="1229">
        <v>127</v>
      </c>
      <c r="K1451" s="1229">
        <v>475</v>
      </c>
      <c r="L1451" s="1229">
        <v>133</v>
      </c>
      <c r="M1451" s="1229">
        <v>316</v>
      </c>
      <c r="N1451" s="1229">
        <v>309</v>
      </c>
      <c r="O1451" s="1179">
        <f t="shared" si="350"/>
        <v>176.25</v>
      </c>
      <c r="P1451" s="2205">
        <f>O1445/M!$Q$14</f>
        <v>5.4028404144419499E-2</v>
      </c>
      <c r="Q1451" s="1235"/>
      <c r="R1451" s="1235"/>
      <c r="S1451" s="1235"/>
      <c r="T1451" s="1235"/>
      <c r="U1451" s="1235"/>
      <c r="V1451" s="1235"/>
      <c r="W1451" s="1235"/>
    </row>
    <row r="1452" spans="1:23">
      <c r="A1452" s="2218"/>
      <c r="B1452" s="1176" t="s">
        <v>427</v>
      </c>
      <c r="C1452" s="1228">
        <v>0</v>
      </c>
      <c r="D1452" s="1228">
        <v>0</v>
      </c>
      <c r="E1452" s="1228">
        <v>0</v>
      </c>
      <c r="F1452" s="1228">
        <v>0</v>
      </c>
      <c r="G1452" s="1228">
        <v>0</v>
      </c>
      <c r="H1452" s="1228">
        <v>0</v>
      </c>
      <c r="I1452" s="1229">
        <v>0</v>
      </c>
      <c r="J1452" s="1229">
        <v>10</v>
      </c>
      <c r="K1452" s="1229">
        <v>20</v>
      </c>
      <c r="L1452" s="1229">
        <v>20</v>
      </c>
      <c r="M1452" s="1229">
        <v>20</v>
      </c>
      <c r="N1452" s="1229">
        <v>20</v>
      </c>
      <c r="O1452" s="1179">
        <f t="shared" si="350"/>
        <v>7.5</v>
      </c>
      <c r="P1452" s="2206"/>
      <c r="Q1452" s="1235"/>
      <c r="R1452" s="1235"/>
      <c r="S1452" s="1235"/>
      <c r="T1452" s="1235"/>
      <c r="U1452" s="1235"/>
      <c r="V1452" s="1235"/>
      <c r="W1452" s="1235"/>
    </row>
    <row r="1453" spans="1:23">
      <c r="A1453" s="2219"/>
      <c r="B1453" s="1176" t="s">
        <v>381</v>
      </c>
      <c r="C1453" s="1228">
        <v>249</v>
      </c>
      <c r="D1453" s="1228">
        <v>20</v>
      </c>
      <c r="E1453" s="1228">
        <v>21</v>
      </c>
      <c r="F1453" s="1228">
        <v>0</v>
      </c>
      <c r="G1453" s="1228">
        <v>136</v>
      </c>
      <c r="H1453" s="1228">
        <v>51</v>
      </c>
      <c r="I1453" s="1229">
        <v>10</v>
      </c>
      <c r="J1453" s="1229">
        <v>216</v>
      </c>
      <c r="K1453" s="1229">
        <v>270</v>
      </c>
      <c r="L1453" s="1229">
        <v>180</v>
      </c>
      <c r="M1453" s="1229">
        <v>22</v>
      </c>
      <c r="N1453" s="1229">
        <v>4</v>
      </c>
      <c r="O1453" s="1179">
        <f t="shared" si="350"/>
        <v>98.25</v>
      </c>
      <c r="P1453" s="1180">
        <f>O1447/M!$Q$14</f>
        <v>1.1949020501649622E-2</v>
      </c>
      <c r="Q1453" s="1235"/>
      <c r="R1453" s="1235"/>
      <c r="S1453" s="1235"/>
      <c r="T1453" s="1235"/>
      <c r="U1453" s="1235"/>
      <c r="V1453" s="1235"/>
      <c r="W1453" s="1235"/>
    </row>
    <row r="1454" spans="1:23">
      <c r="A1454" s="2191" t="s">
        <v>428</v>
      </c>
      <c r="B1454" s="2192"/>
      <c r="C1454" s="2203">
        <f>SUM(C1456:C1457)</f>
        <v>3003</v>
      </c>
      <c r="D1454" s="2203">
        <f t="shared" ref="D1454:N1454" si="351">SUM(D1456:D1457)</f>
        <v>90</v>
      </c>
      <c r="E1454" s="2203">
        <f t="shared" si="351"/>
        <v>0</v>
      </c>
      <c r="F1454" s="2203">
        <f t="shared" si="351"/>
        <v>0</v>
      </c>
      <c r="G1454" s="2203">
        <f t="shared" si="351"/>
        <v>0</v>
      </c>
      <c r="H1454" s="2203">
        <f t="shared" si="351"/>
        <v>70</v>
      </c>
      <c r="I1454" s="2203">
        <f t="shared" si="351"/>
        <v>908</v>
      </c>
      <c r="J1454" s="2203">
        <f t="shared" si="351"/>
        <v>0</v>
      </c>
      <c r="K1454" s="2203">
        <f t="shared" si="351"/>
        <v>0</v>
      </c>
      <c r="L1454" s="2203">
        <f t="shared" si="351"/>
        <v>0</v>
      </c>
      <c r="M1454" s="2203">
        <f t="shared" si="351"/>
        <v>103</v>
      </c>
      <c r="N1454" s="2203">
        <f t="shared" si="351"/>
        <v>0</v>
      </c>
      <c r="O1454" s="2203">
        <f>SUM(O1456:O1457)</f>
        <v>347.83333333333331</v>
      </c>
      <c r="P1454" s="1180">
        <f>O1448/M!$Q$14</f>
        <v>6.3518870709206874E-3</v>
      </c>
      <c r="Q1454" s="1235"/>
      <c r="R1454" s="1235"/>
      <c r="S1454" s="1235"/>
      <c r="T1454" s="1235"/>
      <c r="U1454" s="1235"/>
      <c r="V1454" s="1235"/>
      <c r="W1454" s="1235"/>
    </row>
    <row r="1455" spans="1:23">
      <c r="A1455" s="2193"/>
      <c r="B1455" s="2194"/>
      <c r="C1455" s="2204"/>
      <c r="D1455" s="2204"/>
      <c r="E1455" s="2204"/>
      <c r="F1455" s="2204"/>
      <c r="G1455" s="2204"/>
      <c r="H1455" s="2204"/>
      <c r="I1455" s="2204"/>
      <c r="J1455" s="2204"/>
      <c r="K1455" s="2204"/>
      <c r="L1455" s="2204"/>
      <c r="M1455" s="2204"/>
      <c r="N1455" s="2204"/>
      <c r="O1455" s="2204"/>
      <c r="P1455" s="1180">
        <f>O1449/M!$Q$14</f>
        <v>6.3967239208330686E-3</v>
      </c>
      <c r="Q1455" s="1235"/>
      <c r="R1455" s="1235"/>
      <c r="S1455" s="1235"/>
      <c r="T1455" s="1235"/>
      <c r="U1455" s="1235"/>
      <c r="V1455" s="1235"/>
      <c r="W1455" s="1235"/>
    </row>
    <row r="1456" spans="1:23">
      <c r="A1456" s="2217"/>
      <c r="B1456" s="1176" t="s">
        <v>429</v>
      </c>
      <c r="C1456" s="1177">
        <v>3003</v>
      </c>
      <c r="D1456" s="1177">
        <v>90</v>
      </c>
      <c r="E1456" s="1177">
        <v>0</v>
      </c>
      <c r="F1456" s="1177">
        <v>0</v>
      </c>
      <c r="G1456" s="1177">
        <v>0</v>
      </c>
      <c r="H1456" s="1177">
        <v>70</v>
      </c>
      <c r="I1456" s="1177">
        <v>908</v>
      </c>
      <c r="J1456" s="1177">
        <v>0</v>
      </c>
      <c r="K1456" s="1177">
        <v>0</v>
      </c>
      <c r="L1456" s="1177">
        <v>0</v>
      </c>
      <c r="M1456" s="1177">
        <v>103</v>
      </c>
      <c r="N1456" s="1177">
        <v>0</v>
      </c>
      <c r="O1456" s="1179">
        <f>SUM(C1456:N1456)/12</f>
        <v>347.83333333333331</v>
      </c>
      <c r="P1456" s="1180">
        <f>O1450/M!$Q$14</f>
        <v>4.0427893004330497E-3</v>
      </c>
      <c r="Q1456" s="1235"/>
      <c r="R1456" s="1235"/>
      <c r="S1456" s="1235"/>
      <c r="T1456" s="1235"/>
      <c r="U1456" s="1235"/>
      <c r="V1456" s="1235"/>
      <c r="W1456" s="1235"/>
    </row>
    <row r="1457" spans="1:23">
      <c r="A1457" s="2218"/>
      <c r="B1457" s="1176" t="s">
        <v>430</v>
      </c>
      <c r="C1457" s="1177">
        <v>0</v>
      </c>
      <c r="D1457" s="1177">
        <v>0</v>
      </c>
      <c r="E1457" s="1177">
        <v>0</v>
      </c>
      <c r="F1457" s="1177">
        <v>0</v>
      </c>
      <c r="G1457" s="1177">
        <v>0</v>
      </c>
      <c r="H1457" s="1177">
        <v>0</v>
      </c>
      <c r="I1457" s="1177">
        <v>0</v>
      </c>
      <c r="J1457" s="1177">
        <v>0</v>
      </c>
      <c r="K1457" s="1177">
        <v>0</v>
      </c>
      <c r="L1457" s="1177">
        <v>0</v>
      </c>
      <c r="M1457" s="1177">
        <v>0</v>
      </c>
      <c r="N1457" s="1177">
        <v>0</v>
      </c>
      <c r="O1457" s="1179">
        <f>SUM(C1457:N1457)/12</f>
        <v>0</v>
      </c>
      <c r="P1457" s="1180">
        <f>O1451/M!$Q$14</f>
        <v>1.5804989594114416E-2</v>
      </c>
      <c r="Q1457" s="1235"/>
      <c r="R1457" s="1235"/>
      <c r="S1457" s="1235"/>
      <c r="T1457" s="1235"/>
      <c r="U1457" s="1235"/>
      <c r="V1457" s="1235"/>
      <c r="W1457" s="1235"/>
    </row>
    <row r="1458" spans="1:23">
      <c r="A1458" s="2191" t="s">
        <v>668</v>
      </c>
      <c r="B1458" s="2192"/>
      <c r="C1458" s="2203">
        <f>SUM(C1460:C1463)</f>
        <v>247.16666666666666</v>
      </c>
      <c r="D1458" s="2203">
        <f t="shared" ref="D1458:N1458" si="352">SUM(D1460:D1463)</f>
        <v>257.16666666666663</v>
      </c>
      <c r="E1458" s="2203">
        <f t="shared" si="352"/>
        <v>276.16666666666663</v>
      </c>
      <c r="F1458" s="2203">
        <f t="shared" si="352"/>
        <v>267.16666666666663</v>
      </c>
      <c r="G1458" s="2203">
        <f t="shared" si="352"/>
        <v>394.16666666666663</v>
      </c>
      <c r="H1458" s="2203">
        <f t="shared" si="352"/>
        <v>235.16666666666666</v>
      </c>
      <c r="I1458" s="2203">
        <f t="shared" si="352"/>
        <v>313.16666666666663</v>
      </c>
      <c r="J1458" s="2203">
        <f t="shared" si="352"/>
        <v>265.16666666666663</v>
      </c>
      <c r="K1458" s="2203">
        <f t="shared" si="352"/>
        <v>255.16666666666666</v>
      </c>
      <c r="L1458" s="2203">
        <f t="shared" si="352"/>
        <v>212.16666666666666</v>
      </c>
      <c r="M1458" s="2203">
        <f t="shared" si="352"/>
        <v>757.16666666666663</v>
      </c>
      <c r="N1458" s="2203">
        <f t="shared" si="352"/>
        <v>244.16666666666666</v>
      </c>
      <c r="O1458" s="2203">
        <f>SUM(O1460:O1468)</f>
        <v>1172.3333333333335</v>
      </c>
      <c r="P1458" s="1180">
        <f>O1452/M!$Q$14</f>
        <v>6.7255274868571985E-4</v>
      </c>
      <c r="Q1458" s="1235"/>
      <c r="R1458" s="1235"/>
      <c r="S1458" s="1235"/>
      <c r="T1458" s="1235"/>
      <c r="U1458" s="1235"/>
      <c r="V1458" s="1235"/>
      <c r="W1458" s="1235"/>
    </row>
    <row r="1459" spans="1:23">
      <c r="A1459" s="2193"/>
      <c r="B1459" s="2194"/>
      <c r="C1459" s="2204"/>
      <c r="D1459" s="2204"/>
      <c r="E1459" s="2204"/>
      <c r="F1459" s="2204"/>
      <c r="G1459" s="2204"/>
      <c r="H1459" s="2204"/>
      <c r="I1459" s="2204"/>
      <c r="J1459" s="2204"/>
      <c r="K1459" s="2204"/>
      <c r="L1459" s="2204"/>
      <c r="M1459" s="2204"/>
      <c r="N1459" s="2204"/>
      <c r="O1459" s="2204"/>
      <c r="P1459" s="1180">
        <f>O1453/M!$Q$14</f>
        <v>8.810441007782931E-3</v>
      </c>
      <c r="Q1459" s="1235"/>
      <c r="R1459" s="1235"/>
      <c r="S1459" s="1235"/>
      <c r="T1459" s="1235"/>
      <c r="U1459" s="1235"/>
      <c r="V1459" s="1235"/>
      <c r="W1459" s="1235"/>
    </row>
    <row r="1460" spans="1:23">
      <c r="A1460" s="1183"/>
      <c r="B1460" s="1176" t="s">
        <v>432</v>
      </c>
      <c r="C1460" s="1184">
        <f>(FinSnapshot!$H$94 +FinSnapshot!$H$96+FinSnapshot!$H$102+FinSnapshot!$H$104)/12</f>
        <v>148.16666666666666</v>
      </c>
      <c r="D1460" s="1184">
        <f>(FinSnapshot!$H$94 +FinSnapshot!$H$96+FinSnapshot!$H$102+FinSnapshot!$H$104)/12</f>
        <v>148.16666666666666</v>
      </c>
      <c r="E1460" s="1184">
        <f>(FinSnapshot!$H$94 +FinSnapshot!$H$96+FinSnapshot!$H$102+FinSnapshot!$H$104)/12</f>
        <v>148.16666666666666</v>
      </c>
      <c r="F1460" s="1184">
        <f>(FinSnapshot!$H$94 +FinSnapshot!$H$96+FinSnapshot!$H$102+FinSnapshot!$H$104)/12</f>
        <v>148.16666666666666</v>
      </c>
      <c r="G1460" s="1184">
        <f>(FinSnapshot!$H$94 +FinSnapshot!$H$96+FinSnapshot!$H$102+FinSnapshot!$H$104)/12</f>
        <v>148.16666666666666</v>
      </c>
      <c r="H1460" s="1184">
        <f>(FinSnapshot!$H$94 +FinSnapshot!$H$96+FinSnapshot!$H$102+FinSnapshot!$H$104)/12</f>
        <v>148.16666666666666</v>
      </c>
      <c r="I1460" s="1184">
        <f>(FinSnapshot!$H$94 +FinSnapshot!$H$96+FinSnapshot!$H$102+FinSnapshot!$H$104)/12</f>
        <v>148.16666666666666</v>
      </c>
      <c r="J1460" s="1184">
        <f>(FinSnapshot!$H$94 +FinSnapshot!$H$96+FinSnapshot!$H$102+FinSnapshot!$H$104)/12</f>
        <v>148.16666666666666</v>
      </c>
      <c r="K1460" s="1184">
        <f>(FinSnapshot!$H$94 +FinSnapshot!$H$96+FinSnapshot!$H$102+FinSnapshot!$H$104)/12</f>
        <v>148.16666666666666</v>
      </c>
      <c r="L1460" s="1184">
        <f>(FinSnapshot!$H$94 +FinSnapshot!$H$96+FinSnapshot!$H$102+FinSnapshot!$H$104)/12</f>
        <v>148.16666666666666</v>
      </c>
      <c r="M1460" s="1184">
        <f>(FinSnapshot!$H$94 +FinSnapshot!$H$96+FinSnapshot!$H$102+FinSnapshot!$H$104)/12</f>
        <v>148.16666666666666</v>
      </c>
      <c r="N1460" s="1184">
        <f>(FinSnapshot!$H$94 +FinSnapshot!$H$96+FinSnapshot!$H$102+FinSnapshot!$H$104)/12</f>
        <v>148.16666666666666</v>
      </c>
      <c r="O1460" s="1179">
        <f>SUM(C1460:N1460)/12</f>
        <v>148.16666666666669</v>
      </c>
      <c r="P1460" s="2205">
        <f>O1454/M!$Q$14</f>
        <v>3.119150192237994E-2</v>
      </c>
      <c r="Q1460" s="1235"/>
      <c r="R1460" s="1235"/>
      <c r="S1460" s="1235"/>
      <c r="T1460" s="1235"/>
      <c r="U1460" s="1235"/>
      <c r="V1460" s="1235"/>
      <c r="W1460" s="1235"/>
    </row>
    <row r="1461" spans="1:23">
      <c r="A1461" s="1183"/>
      <c r="B1461" s="1176" t="s">
        <v>284</v>
      </c>
      <c r="C1461" s="1228">
        <v>50</v>
      </c>
      <c r="D1461" s="1228">
        <v>60</v>
      </c>
      <c r="E1461" s="1228">
        <v>79</v>
      </c>
      <c r="F1461" s="1228">
        <v>70</v>
      </c>
      <c r="G1461" s="1228">
        <v>197</v>
      </c>
      <c r="H1461" s="1228">
        <v>38</v>
      </c>
      <c r="I1461" s="1228">
        <v>116</v>
      </c>
      <c r="J1461" s="1228">
        <v>68</v>
      </c>
      <c r="K1461" s="1228">
        <v>58</v>
      </c>
      <c r="L1461" s="1228">
        <v>15</v>
      </c>
      <c r="M1461" s="1228">
        <v>560</v>
      </c>
      <c r="N1461" s="1228">
        <v>47</v>
      </c>
      <c r="O1461" s="1179">
        <f>SUM(C1461:N1461)/12</f>
        <v>113.16666666666667</v>
      </c>
      <c r="P1461" s="2206"/>
      <c r="Q1461" s="1235"/>
      <c r="R1461" s="1235"/>
      <c r="S1461" s="1235"/>
      <c r="T1461" s="1235"/>
      <c r="U1461" s="1235"/>
      <c r="V1461" s="1235"/>
      <c r="W1461" s="1235"/>
    </row>
    <row r="1462" spans="1:23">
      <c r="A1462" s="1183"/>
      <c r="B1462" s="1176" t="s">
        <v>433</v>
      </c>
      <c r="C1462" s="1178">
        <f>(FinSnapshot!$H$93+ FinSnapshot!$H$95+ FinSnapshot!$H$96+ FinSnapshot!$H$103 + FinSnapshot!$H$105+ FinSnapshot!$H$107+ FinSnapshot!$H$108+ FinSnapshot!$H$101+FinSnapshot!$H$95+FinSnapshot!$H$103)/12</f>
        <v>49</v>
      </c>
      <c r="D1462" s="1178">
        <f>(FinSnapshot!$H$93+ FinSnapshot!$H$95+ FinSnapshot!$H$96+ FinSnapshot!$H$103 + FinSnapshot!$H$105+ FinSnapshot!$H$107+ FinSnapshot!$H$108+ FinSnapshot!$H$101+FinSnapshot!$H$95+FinSnapshot!$H$103)/12</f>
        <v>49</v>
      </c>
      <c r="E1462" s="1178">
        <f>(FinSnapshot!$H$93+ FinSnapshot!$H$95+ FinSnapshot!$H$96+ FinSnapshot!$H$103 + FinSnapshot!$H$105+ FinSnapshot!$H$107+ FinSnapshot!$H$108+ FinSnapshot!$H$101+FinSnapshot!$H$95+FinSnapshot!$H$103)/12</f>
        <v>49</v>
      </c>
      <c r="F1462" s="1178">
        <f>(FinSnapshot!$H$93+ FinSnapshot!$H$95+ FinSnapshot!$H$96+ FinSnapshot!$H$103 + FinSnapshot!$H$105+ FinSnapshot!$H$107+ FinSnapshot!$H$108+ FinSnapshot!$H$101+FinSnapshot!$H$95+FinSnapshot!$H$103)/12</f>
        <v>49</v>
      </c>
      <c r="G1462" s="1178">
        <f>(FinSnapshot!$H$93+ FinSnapshot!$H$95+ FinSnapshot!$H$96+ FinSnapshot!$H$103 + FinSnapshot!$H$105+ FinSnapshot!$H$107+ FinSnapshot!$H$108+ FinSnapshot!$H$101+FinSnapshot!$H$95+FinSnapshot!$H$103)/12</f>
        <v>49</v>
      </c>
      <c r="H1462" s="1178">
        <f>(FinSnapshot!$H$93+ FinSnapshot!$H$95+ FinSnapshot!$H$96+ FinSnapshot!$H$103 + FinSnapshot!$H$105+ FinSnapshot!$H$107+ FinSnapshot!$H$108+ FinSnapshot!$H$101+FinSnapshot!$H$95+FinSnapshot!$H$103)/12</f>
        <v>49</v>
      </c>
      <c r="I1462" s="1178">
        <f>(FinSnapshot!$H$93+ FinSnapshot!$H$95+ FinSnapshot!$H$96+ FinSnapshot!$H$103 + FinSnapshot!$H$105+ FinSnapshot!$H$107+ FinSnapshot!$H$108+ FinSnapshot!$H$101+FinSnapshot!$H$95+FinSnapshot!$H$103)/12</f>
        <v>49</v>
      </c>
      <c r="J1462" s="1178">
        <f>(FinSnapshot!$H$93+ FinSnapshot!$H$95+ FinSnapshot!$H$96+ FinSnapshot!$H$103 + FinSnapshot!$H$105+ FinSnapshot!$H$107+ FinSnapshot!$H$108+ FinSnapshot!$H$101+FinSnapshot!$H$95+FinSnapshot!$H$103)/12</f>
        <v>49</v>
      </c>
      <c r="K1462" s="1178">
        <f>(FinSnapshot!$H$93+ FinSnapshot!$H$95+ FinSnapshot!$H$96+ FinSnapshot!$H$103 + FinSnapshot!$H$105+ FinSnapshot!$H$107+ FinSnapshot!$H$108+ FinSnapshot!$H$101+FinSnapshot!$H$95+FinSnapshot!$H$103)/12</f>
        <v>49</v>
      </c>
      <c r="L1462" s="1178">
        <f>(FinSnapshot!$H$93+ FinSnapshot!$H$95+ FinSnapshot!$H$96+ FinSnapshot!$H$103 + FinSnapshot!$H$105+ FinSnapshot!$H$107+ FinSnapshot!$H$108+ FinSnapshot!$H$101+FinSnapshot!$H$95+FinSnapshot!$H$103)/12</f>
        <v>49</v>
      </c>
      <c r="M1462" s="1178">
        <f>(FinSnapshot!$H$93+ FinSnapshot!$H$95+ FinSnapshot!$H$96+ FinSnapshot!$H$103 + FinSnapshot!$H$105+ FinSnapshot!$H$107+ FinSnapshot!$H$108+ FinSnapshot!$H$101+FinSnapshot!$H$95+FinSnapshot!$H$103)/12</f>
        <v>49</v>
      </c>
      <c r="N1462" s="1178">
        <f>(FinSnapshot!$H$93+ FinSnapshot!$H$95+ FinSnapshot!$H$96+ FinSnapshot!$H$103 + FinSnapshot!$H$105+ FinSnapshot!$H$107+ FinSnapshot!$H$108+ FinSnapshot!$H$101+FinSnapshot!$H$95+FinSnapshot!$H$103)/12</f>
        <v>49</v>
      </c>
      <c r="O1462" s="1179">
        <f>SUM(C1462:N1462)/12</f>
        <v>49</v>
      </c>
      <c r="P1462" s="1180">
        <f>O1456/M!$Q$14</f>
        <v>3.119150192237994E-2</v>
      </c>
      <c r="Q1462" s="1235"/>
      <c r="R1462" s="1235"/>
      <c r="S1462" s="1235"/>
      <c r="T1462" s="1235"/>
      <c r="U1462" s="1235"/>
      <c r="V1462" s="1235"/>
      <c r="W1462" s="1235"/>
    </row>
    <row r="1463" spans="1:23">
      <c r="A1463" s="1183"/>
      <c r="B1463" s="1176" t="s">
        <v>434</v>
      </c>
      <c r="C1463" s="1184">
        <v>0</v>
      </c>
      <c r="D1463" s="1184">
        <v>0</v>
      </c>
      <c r="E1463" s="1184">
        <v>0</v>
      </c>
      <c r="F1463" s="1184">
        <v>0</v>
      </c>
      <c r="G1463" s="1184">
        <v>0</v>
      </c>
      <c r="H1463" s="1184">
        <v>0</v>
      </c>
      <c r="I1463" s="1184">
        <v>0</v>
      </c>
      <c r="J1463" s="1184">
        <v>0</v>
      </c>
      <c r="K1463" s="1184">
        <v>0</v>
      </c>
      <c r="L1463" s="1184">
        <v>0</v>
      </c>
      <c r="M1463" s="1184">
        <v>0</v>
      </c>
      <c r="N1463" s="1184">
        <v>0</v>
      </c>
      <c r="O1463" s="1179">
        <f>SUM(C1463:N1463)/12</f>
        <v>0</v>
      </c>
      <c r="P1463" s="1180">
        <f>O1457/M!$Q$14</f>
        <v>0</v>
      </c>
      <c r="Q1463" s="1235"/>
      <c r="R1463" s="1235"/>
      <c r="S1463" s="1235"/>
      <c r="T1463" s="1235"/>
      <c r="U1463" s="1235"/>
      <c r="V1463" s="1235"/>
      <c r="W1463" s="1235"/>
    </row>
    <row r="1464" spans="1:23">
      <c r="A1464" s="2191" t="s">
        <v>435</v>
      </c>
      <c r="B1464" s="2192"/>
      <c r="C1464" s="2203">
        <f>SUM(C1466:C1468)</f>
        <v>0</v>
      </c>
      <c r="D1464" s="2203">
        <f t="shared" ref="D1464:N1464" si="353">SUM(D1466:D1468)</f>
        <v>0</v>
      </c>
      <c r="E1464" s="2203">
        <f t="shared" si="353"/>
        <v>0</v>
      </c>
      <c r="F1464" s="2203">
        <f t="shared" si="353"/>
        <v>1859</v>
      </c>
      <c r="G1464" s="2203">
        <f t="shared" si="353"/>
        <v>75</v>
      </c>
      <c r="H1464" s="2203">
        <f t="shared" si="353"/>
        <v>2370</v>
      </c>
      <c r="I1464" s="2203">
        <f t="shared" si="353"/>
        <v>0</v>
      </c>
      <c r="J1464" s="2203">
        <f t="shared" si="353"/>
        <v>0</v>
      </c>
      <c r="K1464" s="2203">
        <f t="shared" si="353"/>
        <v>0</v>
      </c>
      <c r="L1464" s="2203">
        <f t="shared" si="353"/>
        <v>195</v>
      </c>
      <c r="M1464" s="2203">
        <f t="shared" si="353"/>
        <v>28</v>
      </c>
      <c r="N1464" s="2203">
        <f t="shared" si="353"/>
        <v>645</v>
      </c>
      <c r="O1464" s="2203">
        <f>SUM(O1466:O1468)</f>
        <v>431</v>
      </c>
      <c r="P1464" s="2205">
        <f>O1458/M!$Q$14</f>
        <v>0.10512746742789676</v>
      </c>
      <c r="Q1464" s="1235"/>
      <c r="R1464" s="1235"/>
      <c r="S1464" s="1235"/>
      <c r="T1464" s="1235"/>
      <c r="U1464" s="1235"/>
      <c r="V1464" s="1235"/>
      <c r="W1464" s="1235"/>
    </row>
    <row r="1465" spans="1:23">
      <c r="A1465" s="2193"/>
      <c r="B1465" s="2194"/>
      <c r="C1465" s="2204"/>
      <c r="D1465" s="2204"/>
      <c r="E1465" s="2204"/>
      <c r="F1465" s="2204"/>
      <c r="G1465" s="2204"/>
      <c r="H1465" s="2204"/>
      <c r="I1465" s="2204"/>
      <c r="J1465" s="2204"/>
      <c r="K1465" s="2204"/>
      <c r="L1465" s="2204"/>
      <c r="M1465" s="2204"/>
      <c r="N1465" s="2204"/>
      <c r="O1465" s="2204"/>
      <c r="P1465" s="2206"/>
      <c r="Q1465" s="1235"/>
      <c r="R1465" s="1235"/>
      <c r="S1465" s="1235"/>
      <c r="T1465" s="1235"/>
      <c r="U1465" s="1235"/>
      <c r="V1465" s="1235"/>
      <c r="W1465" s="1235"/>
    </row>
    <row r="1466" spans="1:23">
      <c r="A1466" s="1183"/>
      <c r="B1466" s="1176" t="s">
        <v>405</v>
      </c>
      <c r="C1466" s="1228">
        <v>0</v>
      </c>
      <c r="D1466" s="1228">
        <v>0</v>
      </c>
      <c r="E1466" s="1228">
        <v>0</v>
      </c>
      <c r="F1466" s="1228">
        <v>0</v>
      </c>
      <c r="G1466" s="1228">
        <v>0</v>
      </c>
      <c r="H1466" s="1228">
        <v>0</v>
      </c>
      <c r="I1466" s="1229">
        <v>0</v>
      </c>
      <c r="J1466" s="1229">
        <v>0</v>
      </c>
      <c r="K1466" s="1229">
        <v>0</v>
      </c>
      <c r="L1466" s="1229">
        <v>0</v>
      </c>
      <c r="M1466" s="1229">
        <v>0</v>
      </c>
      <c r="N1466" s="1229">
        <v>0</v>
      </c>
      <c r="O1466" s="1179">
        <f>SUM(C1466:N1466)/12</f>
        <v>0</v>
      </c>
      <c r="P1466" s="1180">
        <f>O1460/M!$Q$14</f>
        <v>1.3286653190702335E-2</v>
      </c>
      <c r="Q1466" s="1235"/>
      <c r="R1466" s="1235"/>
      <c r="S1466" s="1235"/>
      <c r="T1466" s="1235"/>
      <c r="U1466" s="1235"/>
      <c r="V1466" s="1235"/>
      <c r="W1466" s="1235"/>
    </row>
    <row r="1467" spans="1:23">
      <c r="A1467" s="1183"/>
      <c r="B1467" s="1176" t="s">
        <v>436</v>
      </c>
      <c r="C1467" s="1228">
        <v>0</v>
      </c>
      <c r="D1467" s="1228">
        <v>0</v>
      </c>
      <c r="E1467" s="1228">
        <v>0</v>
      </c>
      <c r="F1467" s="1228">
        <v>230</v>
      </c>
      <c r="G1467" s="1228">
        <v>0</v>
      </c>
      <c r="H1467" s="1228">
        <v>0</v>
      </c>
      <c r="I1467" s="1229">
        <v>0</v>
      </c>
      <c r="J1467" s="1229">
        <v>0</v>
      </c>
      <c r="K1467" s="1229">
        <v>0</v>
      </c>
      <c r="L1467" s="1229">
        <v>0</v>
      </c>
      <c r="M1467" s="1229">
        <v>28</v>
      </c>
      <c r="N1467" s="1229">
        <v>0</v>
      </c>
      <c r="O1467" s="1179">
        <f>SUM(C1467:N1467)/12</f>
        <v>21.5</v>
      </c>
      <c r="P1467" s="1180">
        <f>O1461/M!$Q$14</f>
        <v>1.014807369683564E-2</v>
      </c>
      <c r="Q1467" s="1235"/>
      <c r="R1467" s="1235"/>
      <c r="S1467" s="1235"/>
      <c r="T1467" s="1235"/>
      <c r="U1467" s="1235"/>
      <c r="V1467" s="1235"/>
      <c r="W1467" s="1235"/>
    </row>
    <row r="1468" spans="1:23">
      <c r="A1468" s="1183"/>
      <c r="B1468" s="1176" t="s">
        <v>130</v>
      </c>
      <c r="C1468" s="1228">
        <v>0</v>
      </c>
      <c r="D1468" s="1228">
        <v>0</v>
      </c>
      <c r="E1468" s="1228">
        <v>0</v>
      </c>
      <c r="F1468" s="1228">
        <v>1629</v>
      </c>
      <c r="G1468" s="1228">
        <v>75</v>
      </c>
      <c r="H1468" s="1228">
        <v>2370</v>
      </c>
      <c r="I1468" s="1229">
        <v>0</v>
      </c>
      <c r="J1468" s="1229">
        <v>0</v>
      </c>
      <c r="K1468" s="1229">
        <v>0</v>
      </c>
      <c r="L1468" s="1229">
        <v>195</v>
      </c>
      <c r="M1468" s="1229">
        <v>0</v>
      </c>
      <c r="N1468" s="1229">
        <v>645</v>
      </c>
      <c r="O1468" s="1179">
        <f>SUM(C1468:N1468)/12</f>
        <v>409.5</v>
      </c>
      <c r="P1468" s="1180">
        <f>O1462/M!$Q$14</f>
        <v>4.3940112914133697E-3</v>
      </c>
      <c r="Q1468" s="1235"/>
      <c r="R1468" s="1235"/>
      <c r="S1468" s="1235"/>
      <c r="T1468" s="1235"/>
      <c r="U1468" s="1235"/>
      <c r="V1468" s="1235"/>
      <c r="W1468" s="1235"/>
    </row>
    <row r="1469" spans="1:23">
      <c r="A1469" s="2191" t="s">
        <v>286</v>
      </c>
      <c r="B1469" s="2192"/>
      <c r="C1469" s="2203">
        <f t="shared" ref="C1469:N1469" si="354">SUM(C1471:C1472)</f>
        <v>1700</v>
      </c>
      <c r="D1469" s="2203">
        <f t="shared" si="354"/>
        <v>1700</v>
      </c>
      <c r="E1469" s="2203">
        <f t="shared" si="354"/>
        <v>1700</v>
      </c>
      <c r="F1469" s="2203">
        <f t="shared" si="354"/>
        <v>2200</v>
      </c>
      <c r="G1469" s="2203">
        <f t="shared" si="354"/>
        <v>1700</v>
      </c>
      <c r="H1469" s="2203">
        <f t="shared" si="354"/>
        <v>1700</v>
      </c>
      <c r="I1469" s="2203">
        <f t="shared" si="354"/>
        <v>0</v>
      </c>
      <c r="J1469" s="2203">
        <f t="shared" si="354"/>
        <v>0</v>
      </c>
      <c r="K1469" s="2203">
        <f t="shared" si="354"/>
        <v>0</v>
      </c>
      <c r="L1469" s="2203">
        <f t="shared" si="354"/>
        <v>0</v>
      </c>
      <c r="M1469" s="2203">
        <f t="shared" si="354"/>
        <v>0</v>
      </c>
      <c r="N1469" s="2203">
        <f t="shared" si="354"/>
        <v>0</v>
      </c>
      <c r="O1469" s="2203">
        <f>SUM(O1471:O1472)</f>
        <v>891.66666666666663</v>
      </c>
      <c r="P1469" s="1180">
        <f>O1463/M!$Q$14</f>
        <v>0</v>
      </c>
      <c r="Q1469" s="1235"/>
      <c r="R1469" s="1235"/>
      <c r="S1469" s="1235"/>
      <c r="T1469" s="1235"/>
      <c r="U1469" s="1235"/>
      <c r="V1469" s="1235"/>
      <c r="W1469" s="1235"/>
    </row>
    <row r="1470" spans="1:23">
      <c r="A1470" s="2193"/>
      <c r="B1470" s="2194"/>
      <c r="C1470" s="2204"/>
      <c r="D1470" s="2204"/>
      <c r="E1470" s="2204"/>
      <c r="F1470" s="2204"/>
      <c r="G1470" s="2204"/>
      <c r="H1470" s="2204"/>
      <c r="I1470" s="2204"/>
      <c r="J1470" s="2204"/>
      <c r="K1470" s="2204"/>
      <c r="L1470" s="2204"/>
      <c r="M1470" s="2204"/>
      <c r="N1470" s="2204"/>
      <c r="O1470" s="2204"/>
      <c r="P1470" s="2205">
        <f>O1464/M!$Q$14</f>
        <v>3.8649364624472701E-2</v>
      </c>
      <c r="Q1470" s="1235"/>
      <c r="R1470" s="1235"/>
      <c r="S1470" s="1235"/>
      <c r="T1470" s="1235"/>
      <c r="U1470" s="1235"/>
      <c r="V1470" s="1235"/>
      <c r="W1470" s="1235"/>
    </row>
    <row r="1471" spans="1:23">
      <c r="A1471" s="2217"/>
      <c r="B1471" s="1176" t="s">
        <v>82</v>
      </c>
      <c r="C1471" s="1228">
        <v>1700</v>
      </c>
      <c r="D1471" s="1228">
        <v>1700</v>
      </c>
      <c r="E1471" s="1228">
        <v>1700</v>
      </c>
      <c r="F1471" s="1228">
        <v>1700</v>
      </c>
      <c r="G1471" s="1228">
        <v>1700</v>
      </c>
      <c r="H1471" s="1228">
        <v>1700</v>
      </c>
      <c r="I1471" s="1229">
        <v>0</v>
      </c>
      <c r="J1471" s="1229">
        <v>0</v>
      </c>
      <c r="K1471" s="1229">
        <v>0</v>
      </c>
      <c r="L1471" s="1229">
        <v>0</v>
      </c>
      <c r="M1471" s="1229">
        <v>0</v>
      </c>
      <c r="N1471" s="1229">
        <v>0</v>
      </c>
      <c r="O1471" s="1179">
        <f>SUM(C1471:N1471)/12</f>
        <v>850</v>
      </c>
      <c r="P1471" s="2206"/>
      <c r="Q1471" s="1235"/>
      <c r="R1471" s="1235"/>
      <c r="S1471" s="1235"/>
      <c r="T1471" s="1235"/>
      <c r="U1471" s="1235"/>
      <c r="V1471" s="1235"/>
      <c r="W1471" s="1235"/>
    </row>
    <row r="1472" spans="1:23">
      <c r="A1472" s="2219"/>
      <c r="B1472" s="1176" t="s">
        <v>83</v>
      </c>
      <c r="C1472" s="1228">
        <v>0</v>
      </c>
      <c r="D1472" s="1228">
        <v>0</v>
      </c>
      <c r="E1472" s="1228">
        <v>0</v>
      </c>
      <c r="F1472" s="1228">
        <v>500</v>
      </c>
      <c r="G1472" s="1228">
        <v>0</v>
      </c>
      <c r="H1472" s="1228">
        <v>0</v>
      </c>
      <c r="I1472" s="1229">
        <v>0</v>
      </c>
      <c r="J1472" s="1229">
        <v>0</v>
      </c>
      <c r="K1472" s="1229">
        <v>0</v>
      </c>
      <c r="L1472" s="1229">
        <v>0</v>
      </c>
      <c r="M1472" s="1229">
        <v>0</v>
      </c>
      <c r="N1472" s="1229">
        <v>0</v>
      </c>
      <c r="O1472" s="1179">
        <f>SUM(C1472:N1472)/12</f>
        <v>41.666666666666664</v>
      </c>
      <c r="P1472" s="1180">
        <f>O1466/M!$Q$14</f>
        <v>0</v>
      </c>
      <c r="Q1472" s="1235"/>
      <c r="R1472" s="1235"/>
      <c r="S1472" s="1235"/>
      <c r="T1472" s="1235"/>
      <c r="U1472" s="1235"/>
      <c r="V1472" s="1235"/>
      <c r="W1472" s="1235"/>
    </row>
    <row r="1473" spans="1:23">
      <c r="A1473" s="1187" t="s">
        <v>437</v>
      </c>
      <c r="B1473" s="1188"/>
      <c r="C1473" s="1189">
        <f t="shared" ref="C1473:N1473" si="355">C1403+C1417+C1425+C1431+C1435+C1445+C1454+C1458+C1464+C1469</f>
        <v>10828.249496237691</v>
      </c>
      <c r="D1473" s="1189">
        <f t="shared" si="355"/>
        <v>6757.2494962376923</v>
      </c>
      <c r="E1473" s="1189">
        <f t="shared" si="355"/>
        <v>7029.2494962376923</v>
      </c>
      <c r="F1473" s="1189">
        <f t="shared" si="355"/>
        <v>8759.2494962376913</v>
      </c>
      <c r="G1473" s="1189">
        <f t="shared" si="355"/>
        <v>6834.2494962376923</v>
      </c>
      <c r="H1473" s="1189">
        <f t="shared" si="355"/>
        <v>9419.2494962376913</v>
      </c>
      <c r="I1473" s="1189">
        <f t="shared" si="355"/>
        <v>6543.4351572601454</v>
      </c>
      <c r="J1473" s="1189">
        <f t="shared" si="355"/>
        <v>5047.4807634957378</v>
      </c>
      <c r="K1473" s="1189">
        <f t="shared" si="355"/>
        <v>5837.050117878829</v>
      </c>
      <c r="L1473" s="1189">
        <f t="shared" si="355"/>
        <v>4859.0422856359273</v>
      </c>
      <c r="M1473" s="1189">
        <f t="shared" si="355"/>
        <v>5084.0344142318108</v>
      </c>
      <c r="N1473" s="1189">
        <f t="shared" si="355"/>
        <v>5508.0265034706745</v>
      </c>
      <c r="O1473" s="1189">
        <f>SUM(C1473:N1473)/12</f>
        <v>6875.5471849499381</v>
      </c>
      <c r="P1473" s="1180">
        <f>O1467/M!$Q$14</f>
        <v>1.927984546232397E-3</v>
      </c>
      <c r="Q1473" s="1235"/>
      <c r="R1473" s="1235"/>
      <c r="S1473" s="1235"/>
      <c r="T1473" s="1235"/>
      <c r="U1473" s="1235"/>
      <c r="V1473" s="1235"/>
      <c r="W1473" s="1235"/>
    </row>
    <row r="1474" spans="1:23">
      <c r="A1474" s="1191" t="s">
        <v>658</v>
      </c>
      <c r="B1474" s="1192"/>
      <c r="C1474" s="1193">
        <f>C1473/M!$Q$14</f>
        <v>0.97100919495325611</v>
      </c>
      <c r="D1474" s="1193">
        <f>D1473/M!$Q$14</f>
        <v>0.60594756296664742</v>
      </c>
      <c r="E1474" s="1193">
        <f>E1473/M!$Q$14</f>
        <v>0.6303388093189829</v>
      </c>
      <c r="F1474" s="1193">
        <f>F1473/M!$Q$14</f>
        <v>0.78547431001582224</v>
      </c>
      <c r="G1474" s="1193">
        <f>G1473/M!$Q$14</f>
        <v>0.61285243785315413</v>
      </c>
      <c r="H1474" s="1193">
        <f>H1473/M!$Q$14</f>
        <v>0.84465895190016549</v>
      </c>
      <c r="I1474" s="1193">
        <f>I1473/M!$Q$14</f>
        <v>0.58677404011494483</v>
      </c>
      <c r="J1474" s="1193">
        <f>J1473/M!$Q$14</f>
        <v>0.45262627485698059</v>
      </c>
      <c r="K1474" s="1193">
        <f>K1473/M!$Q$14</f>
        <v>0.52342988013276159</v>
      </c>
      <c r="L1474" s="1193">
        <f>L1473/M!$Q$14</f>
        <v>0.43572829935794477</v>
      </c>
      <c r="M1474" s="1193">
        <f>M1473/M!$Q$14</f>
        <v>0.45590417596058641</v>
      </c>
      <c r="N1474" s="1193">
        <f>N1473/M!$Q$14</f>
        <v>0.49392511529906624</v>
      </c>
      <c r="O1474" s="1193">
        <f>O1473/M!$Q$14</f>
        <v>0.61655575439419263</v>
      </c>
      <c r="P1474" s="1180">
        <f>O1468/M!$Q$14</f>
        <v>3.6721380078240308E-2</v>
      </c>
      <c r="Q1474" s="1235"/>
      <c r="R1474" s="1235"/>
      <c r="S1474" s="1235"/>
      <c r="T1474" s="1235"/>
      <c r="U1474" s="1235"/>
      <c r="V1474" s="1235"/>
      <c r="W1474" s="1235"/>
    </row>
    <row r="1475" spans="1:23">
      <c r="A1475" s="1235"/>
      <c r="B1475" s="1235"/>
      <c r="C1475" s="1235"/>
      <c r="D1475" s="1235"/>
      <c r="E1475" s="1235"/>
      <c r="F1475" s="1235"/>
      <c r="G1475" s="1235"/>
      <c r="H1475" s="1235"/>
      <c r="I1475" s="1235"/>
      <c r="J1475" s="1235"/>
      <c r="K1475" s="1235"/>
      <c r="L1475" s="1235"/>
      <c r="M1475" s="1235"/>
      <c r="N1475" s="1235"/>
      <c r="O1475" s="1235"/>
      <c r="P1475" s="2205">
        <f>O1469/M!$Q$14</f>
        <v>7.9959049010413355E-2</v>
      </c>
      <c r="Q1475" s="1235"/>
      <c r="R1475" s="1235"/>
      <c r="S1475" s="1235"/>
      <c r="T1475" s="1235"/>
      <c r="U1475" s="1235"/>
      <c r="V1475" s="1235"/>
      <c r="W1475" s="1235"/>
    </row>
    <row r="1476" spans="1:23">
      <c r="A1476" s="1235"/>
      <c r="B1476" s="1235"/>
      <c r="C1476" s="1235"/>
      <c r="D1476" s="1235"/>
      <c r="E1476" s="1235"/>
      <c r="F1476" s="1235"/>
      <c r="G1476" s="1235"/>
      <c r="H1476" s="1235"/>
      <c r="I1476" s="1235"/>
      <c r="J1476" s="1235"/>
      <c r="K1476" s="1235"/>
      <c r="L1476" s="1235"/>
      <c r="M1476" s="1235"/>
      <c r="N1476" s="1235"/>
      <c r="O1476" s="1235"/>
      <c r="P1476" s="2206"/>
      <c r="Q1476" s="1235"/>
      <c r="R1476" s="1235"/>
      <c r="S1476" s="1235"/>
      <c r="T1476" s="1235"/>
      <c r="U1476" s="1235"/>
      <c r="V1476" s="1235"/>
      <c r="W1476" s="1235"/>
    </row>
    <row r="1477" spans="1:23">
      <c r="A1477" s="1235"/>
      <c r="B1477" s="1235"/>
      <c r="C1477" s="1235"/>
      <c r="D1477" s="1235"/>
      <c r="E1477" s="1235"/>
      <c r="F1477" s="1235"/>
      <c r="G1477" s="1235"/>
      <c r="H1477" s="1235"/>
      <c r="I1477" s="1235"/>
      <c r="J1477" s="1235"/>
      <c r="K1477" s="1235"/>
      <c r="L1477" s="1235"/>
      <c r="M1477" s="1235"/>
      <c r="N1477" s="1235"/>
      <c r="O1477" s="1235"/>
      <c r="P1477" s="1180">
        <f>O1471/M!$Q$14</f>
        <v>7.6222644851048252E-2</v>
      </c>
      <c r="Q1477" s="1235"/>
      <c r="R1477" s="1235"/>
      <c r="S1477" s="1235"/>
      <c r="T1477" s="1235"/>
      <c r="U1477" s="1235"/>
      <c r="V1477" s="1235"/>
      <c r="W1477" s="1235"/>
    </row>
    <row r="1478" spans="1:23">
      <c r="A1478" s="2195">
        <v>2007</v>
      </c>
      <c r="B1478" s="2196"/>
      <c r="C1478" s="2196"/>
      <c r="D1478" s="2196"/>
      <c r="E1478" s="2196"/>
      <c r="F1478" s="2196"/>
      <c r="G1478" s="2196"/>
      <c r="H1478" s="2196"/>
      <c r="I1478" s="2196"/>
      <c r="J1478" s="2196"/>
      <c r="K1478" s="2196"/>
      <c r="L1478" s="2196"/>
      <c r="M1478" s="2196"/>
      <c r="N1478" s="2196"/>
      <c r="O1478" s="2196"/>
      <c r="P1478" s="1180">
        <f>O1472/M!$Q$14</f>
        <v>3.7364041593651101E-3</v>
      </c>
      <c r="Q1478" s="1235"/>
      <c r="R1478" s="1235"/>
      <c r="S1478" s="1235"/>
      <c r="T1478" s="1235"/>
      <c r="U1478" s="1235"/>
      <c r="V1478" s="1235"/>
      <c r="W1478" s="1235"/>
    </row>
    <row r="1479" spans="1:23">
      <c r="A1479" s="1171" t="s">
        <v>388</v>
      </c>
      <c r="B1479" s="1172"/>
      <c r="C1479" s="1173" t="s">
        <v>309</v>
      </c>
      <c r="D1479" s="1173" t="s">
        <v>311</v>
      </c>
      <c r="E1479" s="1173" t="s">
        <v>312</v>
      </c>
      <c r="F1479" s="1173" t="s">
        <v>313</v>
      </c>
      <c r="G1479" s="1173" t="s">
        <v>314</v>
      </c>
      <c r="H1479" s="1173" t="s">
        <v>315</v>
      </c>
      <c r="I1479" s="1173" t="s">
        <v>316</v>
      </c>
      <c r="J1479" s="1173" t="s">
        <v>317</v>
      </c>
      <c r="K1479" s="1173" t="s">
        <v>318</v>
      </c>
      <c r="L1479" s="1173" t="s">
        <v>319</v>
      </c>
      <c r="M1479" s="1173" t="s">
        <v>320</v>
      </c>
      <c r="N1479" s="1173" t="s">
        <v>321</v>
      </c>
      <c r="O1479" s="1174" t="s">
        <v>660</v>
      </c>
      <c r="P1479" s="1190">
        <f>O1473/M!$Q$14</f>
        <v>0.61655575439419263</v>
      </c>
      <c r="Q1479" s="1235"/>
      <c r="R1479" s="1235"/>
      <c r="S1479" s="1235"/>
      <c r="T1479" s="1235"/>
      <c r="U1479" s="1235"/>
      <c r="V1479" s="1235"/>
      <c r="W1479" s="1235"/>
    </row>
    <row r="1480" spans="1:23">
      <c r="A1480" s="2191" t="s">
        <v>56</v>
      </c>
      <c r="B1480" s="2192"/>
      <c r="C1480" s="2203">
        <f t="shared" ref="C1480:I1480" si="356">C1482+ SUM(C1488:C1493)</f>
        <v>2504</v>
      </c>
      <c r="D1480" s="2203">
        <f t="shared" si="356"/>
        <v>2504</v>
      </c>
      <c r="E1480" s="2203">
        <f t="shared" si="356"/>
        <v>2504</v>
      </c>
      <c r="F1480" s="2203">
        <f t="shared" si="356"/>
        <v>2504</v>
      </c>
      <c r="G1480" s="2203">
        <f t="shared" si="356"/>
        <v>2519</v>
      </c>
      <c r="H1480" s="2203">
        <f t="shared" si="356"/>
        <v>2519</v>
      </c>
      <c r="I1480" s="2203">
        <f t="shared" si="356"/>
        <v>2885</v>
      </c>
      <c r="J1480" s="2203">
        <f t="shared" ref="J1480:O1480" si="357">J1482+ SUM(J1488:J1493)</f>
        <v>2519</v>
      </c>
      <c r="K1480" s="2203">
        <f t="shared" si="357"/>
        <v>2519</v>
      </c>
      <c r="L1480" s="2203">
        <f t="shared" si="357"/>
        <v>2519</v>
      </c>
      <c r="M1480" s="2203">
        <f t="shared" si="357"/>
        <v>2519</v>
      </c>
      <c r="N1480" s="2203">
        <f t="shared" si="357"/>
        <v>2519</v>
      </c>
      <c r="O1480" s="2203">
        <f t="shared" si="357"/>
        <v>2544.5</v>
      </c>
      <c r="P1480" s="1194"/>
      <c r="Q1480" s="1235"/>
      <c r="R1480" s="1235"/>
      <c r="S1480" s="1235"/>
      <c r="T1480" s="1235"/>
      <c r="U1480" s="1235"/>
      <c r="V1480" s="1235"/>
      <c r="W1480" s="1235"/>
    </row>
    <row r="1481" spans="1:23">
      <c r="A1481" s="2193"/>
      <c r="B1481" s="2194"/>
      <c r="C1481" s="2204"/>
      <c r="D1481" s="2204"/>
      <c r="E1481" s="2204"/>
      <c r="F1481" s="2204"/>
      <c r="G1481" s="2204"/>
      <c r="H1481" s="2204"/>
      <c r="I1481" s="2204"/>
      <c r="J1481" s="2204"/>
      <c r="K1481" s="2204"/>
      <c r="L1481" s="2204"/>
      <c r="M1481" s="2204"/>
      <c r="N1481" s="2204"/>
      <c r="O1481" s="2204"/>
      <c r="P1481" s="1235"/>
      <c r="Q1481" s="1235"/>
      <c r="R1481" s="1235"/>
      <c r="S1481" s="1235"/>
      <c r="T1481" s="1235"/>
      <c r="U1481" s="1235"/>
      <c r="V1481" s="1235"/>
      <c r="W1481" s="1235"/>
    </row>
    <row r="1482" spans="1:23">
      <c r="A1482" s="2217"/>
      <c r="B1482" s="1176" t="s">
        <v>662</v>
      </c>
      <c r="C1482" s="1228">
        <f>SUM(C1483:C1487)</f>
        <v>1894</v>
      </c>
      <c r="D1482" s="1228">
        <f t="shared" ref="D1482:N1482" si="358">SUM(D1483:D1487)</f>
        <v>1894</v>
      </c>
      <c r="E1482" s="1228">
        <f t="shared" si="358"/>
        <v>1894</v>
      </c>
      <c r="F1482" s="1228">
        <f t="shared" si="358"/>
        <v>1894</v>
      </c>
      <c r="G1482" s="1228">
        <f t="shared" si="358"/>
        <v>1894</v>
      </c>
      <c r="H1482" s="1228">
        <f t="shared" si="358"/>
        <v>1894</v>
      </c>
      <c r="I1482" s="1229">
        <f t="shared" si="358"/>
        <v>1894</v>
      </c>
      <c r="J1482" s="1229">
        <f t="shared" si="358"/>
        <v>1894</v>
      </c>
      <c r="K1482" s="1229">
        <f t="shared" si="358"/>
        <v>1894</v>
      </c>
      <c r="L1482" s="1229">
        <f t="shared" si="358"/>
        <v>1894</v>
      </c>
      <c r="M1482" s="1229">
        <f t="shared" si="358"/>
        <v>1894</v>
      </c>
      <c r="N1482" s="1229">
        <f t="shared" si="358"/>
        <v>1894</v>
      </c>
      <c r="O1482" s="1179">
        <f t="shared" ref="O1482:O1493" si="359">SUM(C1482:N1482)/12</f>
        <v>1894</v>
      </c>
      <c r="P1482" s="1235"/>
      <c r="Q1482" s="1235"/>
      <c r="R1482" s="1235"/>
      <c r="S1482" s="1235"/>
      <c r="T1482" s="1235"/>
      <c r="U1482" s="1235"/>
      <c r="V1482" s="1235"/>
      <c r="W1482" s="1235"/>
    </row>
    <row r="1483" spans="1:23">
      <c r="A1483" s="2218"/>
      <c r="B1483" s="1176" t="s">
        <v>663</v>
      </c>
      <c r="C1483" s="1178">
        <v>826</v>
      </c>
      <c r="D1483" s="1178">
        <v>825</v>
      </c>
      <c r="E1483" s="1178">
        <v>824</v>
      </c>
      <c r="F1483" s="1178">
        <v>823</v>
      </c>
      <c r="G1483" s="1178">
        <v>822</v>
      </c>
      <c r="H1483" s="1178">
        <v>821</v>
      </c>
      <c r="I1483" s="1178">
        <v>820</v>
      </c>
      <c r="J1483" s="1178">
        <v>819</v>
      </c>
      <c r="K1483" s="1178">
        <v>818</v>
      </c>
      <c r="L1483" s="1178">
        <v>817</v>
      </c>
      <c r="M1483" s="1178">
        <v>816</v>
      </c>
      <c r="N1483" s="1178">
        <v>815</v>
      </c>
      <c r="O1483" s="1179">
        <f t="shared" si="359"/>
        <v>820.5</v>
      </c>
      <c r="P1483" s="1235"/>
      <c r="Q1483" s="1235"/>
      <c r="R1483" s="1235"/>
      <c r="S1483" s="1235"/>
      <c r="T1483" s="1235"/>
      <c r="U1483" s="1235"/>
      <c r="V1483" s="1235"/>
      <c r="W1483" s="1235"/>
    </row>
    <row r="1484" spans="1:23">
      <c r="A1484" s="2218"/>
      <c r="B1484" s="1176" t="s">
        <v>664</v>
      </c>
      <c r="C1484" s="1178">
        <v>358</v>
      </c>
      <c r="D1484" s="1178">
        <v>359</v>
      </c>
      <c r="E1484" s="1178">
        <v>360</v>
      </c>
      <c r="F1484" s="1178">
        <v>361</v>
      </c>
      <c r="G1484" s="1178">
        <v>362</v>
      </c>
      <c r="H1484" s="1178">
        <v>363</v>
      </c>
      <c r="I1484" s="1178">
        <v>364</v>
      </c>
      <c r="J1484" s="1178">
        <v>365</v>
      </c>
      <c r="K1484" s="1178">
        <v>366</v>
      </c>
      <c r="L1484" s="1178">
        <v>367</v>
      </c>
      <c r="M1484" s="1178">
        <v>368</v>
      </c>
      <c r="N1484" s="1178">
        <v>369</v>
      </c>
      <c r="O1484" s="1179">
        <f t="shared" si="359"/>
        <v>363.5</v>
      </c>
      <c r="P1484" s="2197"/>
      <c r="Q1484" s="1235"/>
      <c r="R1484" s="1235"/>
      <c r="S1484" s="1235"/>
      <c r="T1484" s="1235"/>
      <c r="U1484" s="1235"/>
      <c r="V1484" s="1235"/>
      <c r="W1484" s="1235"/>
    </row>
    <row r="1485" spans="1:23">
      <c r="A1485" s="2218"/>
      <c r="B1485" s="1176" t="s">
        <v>450</v>
      </c>
      <c r="C1485" s="1178">
        <v>0</v>
      </c>
      <c r="D1485" s="1178">
        <v>0</v>
      </c>
      <c r="E1485" s="1178">
        <v>0</v>
      </c>
      <c r="F1485" s="1178">
        <v>0</v>
      </c>
      <c r="G1485" s="1178">
        <v>0</v>
      </c>
      <c r="H1485" s="1178">
        <v>0</v>
      </c>
      <c r="I1485" s="1178">
        <v>0</v>
      </c>
      <c r="J1485" s="1178">
        <v>0</v>
      </c>
      <c r="K1485" s="1178">
        <v>0</v>
      </c>
      <c r="L1485" s="1178">
        <v>0</v>
      </c>
      <c r="M1485" s="1178">
        <v>0</v>
      </c>
      <c r="N1485" s="1178">
        <v>0</v>
      </c>
      <c r="O1485" s="1179">
        <f t="shared" si="359"/>
        <v>0</v>
      </c>
      <c r="P1485" s="1175" t="s">
        <v>661</v>
      </c>
      <c r="Q1485" s="1235"/>
      <c r="R1485" s="1235"/>
      <c r="S1485" s="1235"/>
      <c r="T1485" s="1235"/>
      <c r="U1485" s="1235"/>
      <c r="V1485" s="1235"/>
      <c r="W1485" s="1235"/>
    </row>
    <row r="1486" spans="1:23">
      <c r="A1486" s="2218"/>
      <c r="B1486" s="1176" t="s">
        <v>665</v>
      </c>
      <c r="C1486" s="1178">
        <v>242</v>
      </c>
      <c r="D1486" s="1178">
        <v>240</v>
      </c>
      <c r="E1486" s="1178">
        <v>238</v>
      </c>
      <c r="F1486" s="1178">
        <v>236</v>
      </c>
      <c r="G1486" s="1178">
        <v>234</v>
      </c>
      <c r="H1486" s="1178">
        <v>232</v>
      </c>
      <c r="I1486" s="1178">
        <v>230</v>
      </c>
      <c r="J1486" s="1178">
        <v>228</v>
      </c>
      <c r="K1486" s="1178">
        <v>226</v>
      </c>
      <c r="L1486" s="1178">
        <v>224</v>
      </c>
      <c r="M1486" s="1178">
        <v>222</v>
      </c>
      <c r="N1486" s="1178">
        <v>220</v>
      </c>
      <c r="O1486" s="1179">
        <f t="shared" si="359"/>
        <v>231</v>
      </c>
      <c r="P1486" s="2205">
        <f>O1480/M!$Q$14</f>
        <v>0.22817472920410856</v>
      </c>
      <c r="Q1486" s="1235"/>
      <c r="R1486" s="1235"/>
      <c r="S1486" s="1235"/>
      <c r="T1486" s="1235"/>
      <c r="U1486" s="1235"/>
      <c r="V1486" s="1235"/>
      <c r="W1486" s="1235"/>
    </row>
    <row r="1487" spans="1:23">
      <c r="A1487" s="2218"/>
      <c r="B1487" s="1176" t="s">
        <v>664</v>
      </c>
      <c r="C1487" s="1178">
        <v>468</v>
      </c>
      <c r="D1487" s="1178">
        <v>470</v>
      </c>
      <c r="E1487" s="1178">
        <v>472</v>
      </c>
      <c r="F1487" s="1178">
        <v>474</v>
      </c>
      <c r="G1487" s="1178">
        <v>476</v>
      </c>
      <c r="H1487" s="1178">
        <v>478</v>
      </c>
      <c r="I1487" s="1178">
        <v>480</v>
      </c>
      <c r="J1487" s="1178">
        <v>482</v>
      </c>
      <c r="K1487" s="1178">
        <v>484</v>
      </c>
      <c r="L1487" s="1178">
        <v>486</v>
      </c>
      <c r="M1487" s="1178">
        <v>488</v>
      </c>
      <c r="N1487" s="1178">
        <v>490</v>
      </c>
      <c r="O1487" s="1179">
        <f t="shared" si="359"/>
        <v>479</v>
      </c>
      <c r="P1487" s="2206"/>
      <c r="Q1487" s="1235"/>
      <c r="R1487" s="1235"/>
      <c r="S1487" s="1235"/>
      <c r="T1487" s="1235"/>
      <c r="U1487" s="1235"/>
      <c r="V1487" s="1235"/>
      <c r="W1487" s="1235"/>
    </row>
    <row r="1488" spans="1:23">
      <c r="A1488" s="2218"/>
      <c r="B1488" s="1176" t="s">
        <v>287</v>
      </c>
      <c r="C1488" s="1178">
        <v>312</v>
      </c>
      <c r="D1488" s="1178">
        <v>312</v>
      </c>
      <c r="E1488" s="1178">
        <v>312</v>
      </c>
      <c r="F1488" s="1178">
        <v>312</v>
      </c>
      <c r="G1488" s="1178">
        <v>312</v>
      </c>
      <c r="H1488" s="1178">
        <v>312</v>
      </c>
      <c r="I1488" s="1178">
        <v>312</v>
      </c>
      <c r="J1488" s="1178">
        <v>312</v>
      </c>
      <c r="K1488" s="1178">
        <v>312</v>
      </c>
      <c r="L1488" s="1178">
        <v>312</v>
      </c>
      <c r="M1488" s="1178">
        <v>312</v>
      </c>
      <c r="N1488" s="1178">
        <v>312</v>
      </c>
      <c r="O1488" s="1179">
        <f t="shared" si="359"/>
        <v>312</v>
      </c>
      <c r="P1488" s="1180">
        <f>O1482/M!$Q$14</f>
        <v>0.16984198746810045</v>
      </c>
      <c r="Q1488" s="1235"/>
      <c r="R1488" s="1235"/>
      <c r="S1488" s="1235"/>
      <c r="T1488" s="1235"/>
      <c r="U1488" s="1235"/>
      <c r="V1488" s="1235"/>
      <c r="W1488" s="1235"/>
    </row>
    <row r="1489" spans="1:23">
      <c r="A1489" s="2218"/>
      <c r="B1489" s="1176" t="s">
        <v>453</v>
      </c>
      <c r="C1489" s="1178">
        <v>25</v>
      </c>
      <c r="D1489" s="1178">
        <v>25</v>
      </c>
      <c r="E1489" s="1178">
        <v>25</v>
      </c>
      <c r="F1489" s="1178">
        <v>25</v>
      </c>
      <c r="G1489" s="1178">
        <v>25</v>
      </c>
      <c r="H1489" s="1178">
        <v>25</v>
      </c>
      <c r="I1489" s="1178">
        <v>0</v>
      </c>
      <c r="J1489" s="1178">
        <v>25</v>
      </c>
      <c r="K1489" s="1178">
        <v>25</v>
      </c>
      <c r="L1489" s="1178">
        <v>25</v>
      </c>
      <c r="M1489" s="1178">
        <v>25</v>
      </c>
      <c r="N1489" s="1178">
        <v>25</v>
      </c>
      <c r="O1489" s="1179">
        <f t="shared" si="359"/>
        <v>22.916666666666668</v>
      </c>
      <c r="P1489" s="1180">
        <f>O1483/M!$Q$14</f>
        <v>7.3577270706217751E-2</v>
      </c>
      <c r="Q1489" s="1235"/>
      <c r="R1489" s="1235"/>
      <c r="S1489" s="1235"/>
      <c r="T1489" s="1235"/>
      <c r="U1489" s="1235"/>
      <c r="V1489" s="1235"/>
      <c r="W1489" s="1235"/>
    </row>
    <row r="1490" spans="1:23">
      <c r="A1490" s="2218"/>
      <c r="B1490" s="1176" t="s">
        <v>400</v>
      </c>
      <c r="C1490" s="1178">
        <v>0</v>
      </c>
      <c r="D1490" s="1178">
        <v>0</v>
      </c>
      <c r="E1490" s="1178">
        <v>0</v>
      </c>
      <c r="F1490" s="1178">
        <v>0</v>
      </c>
      <c r="G1490" s="1178">
        <v>0</v>
      </c>
      <c r="H1490" s="1178">
        <v>0</v>
      </c>
      <c r="I1490" s="1178">
        <v>184</v>
      </c>
      <c r="J1490" s="1178">
        <v>0</v>
      </c>
      <c r="K1490" s="1178">
        <v>0</v>
      </c>
      <c r="L1490" s="1178">
        <v>0</v>
      </c>
      <c r="M1490" s="1178">
        <v>0</v>
      </c>
      <c r="N1490" s="1178">
        <v>0</v>
      </c>
      <c r="O1490" s="1179">
        <f t="shared" si="359"/>
        <v>15.333333333333334</v>
      </c>
      <c r="P1490" s="1180">
        <f>O1484/M!$Q$14</f>
        <v>3.2596389886301223E-2</v>
      </c>
      <c r="Q1490" s="1235"/>
      <c r="R1490" s="1235"/>
      <c r="S1490" s="1235"/>
      <c r="T1490" s="1235"/>
      <c r="U1490" s="1235"/>
      <c r="V1490" s="1235"/>
      <c r="W1490" s="1235"/>
    </row>
    <row r="1491" spans="1:23">
      <c r="A1491" s="2218"/>
      <c r="B1491" s="1176" t="s">
        <v>401</v>
      </c>
      <c r="C1491" s="1178">
        <v>234</v>
      </c>
      <c r="D1491" s="1178">
        <v>234</v>
      </c>
      <c r="E1491" s="1178">
        <v>234</v>
      </c>
      <c r="F1491" s="1178">
        <v>234</v>
      </c>
      <c r="G1491" s="1178">
        <v>249</v>
      </c>
      <c r="H1491" s="1178">
        <v>249</v>
      </c>
      <c r="I1491" s="1178">
        <v>249</v>
      </c>
      <c r="J1491" s="1178">
        <v>249</v>
      </c>
      <c r="K1491" s="1178">
        <v>249</v>
      </c>
      <c r="L1491" s="1178">
        <v>249</v>
      </c>
      <c r="M1491" s="1178">
        <v>249</v>
      </c>
      <c r="N1491" s="1178">
        <v>249</v>
      </c>
      <c r="O1491" s="1179">
        <f t="shared" si="359"/>
        <v>244</v>
      </c>
      <c r="P1491" s="1180">
        <f>O1485/M!$Q$14</f>
        <v>0</v>
      </c>
      <c r="Q1491" s="1235"/>
      <c r="R1491" s="1235"/>
      <c r="S1491" s="1235"/>
      <c r="T1491" s="1235"/>
      <c r="U1491" s="1235"/>
      <c r="V1491" s="1235"/>
      <c r="W1491" s="1235"/>
    </row>
    <row r="1492" spans="1:23">
      <c r="A1492" s="2218"/>
      <c r="B1492" s="1176" t="s">
        <v>402</v>
      </c>
      <c r="C1492" s="1178">
        <v>39</v>
      </c>
      <c r="D1492" s="1178">
        <v>39</v>
      </c>
      <c r="E1492" s="1178">
        <v>39</v>
      </c>
      <c r="F1492" s="1178">
        <v>39</v>
      </c>
      <c r="G1492" s="1178">
        <v>39</v>
      </c>
      <c r="H1492" s="1178">
        <v>39</v>
      </c>
      <c r="I1492" s="1178">
        <v>39</v>
      </c>
      <c r="J1492" s="1178">
        <v>39</v>
      </c>
      <c r="K1492" s="1178">
        <v>39</v>
      </c>
      <c r="L1492" s="1178">
        <v>39</v>
      </c>
      <c r="M1492" s="1178">
        <v>39</v>
      </c>
      <c r="N1492" s="1178">
        <v>39</v>
      </c>
      <c r="O1492" s="1179">
        <f t="shared" si="359"/>
        <v>39</v>
      </c>
      <c r="P1492" s="1180">
        <f>O1486/M!$Q$14</f>
        <v>2.0714624659520172E-2</v>
      </c>
      <c r="Q1492" s="1235"/>
      <c r="R1492" s="1235"/>
      <c r="S1492" s="1235"/>
      <c r="T1492" s="1235"/>
      <c r="U1492" s="1235"/>
      <c r="V1492" s="1235"/>
      <c r="W1492" s="1235"/>
    </row>
    <row r="1493" spans="1:23">
      <c r="A1493" s="2219"/>
      <c r="B1493" s="1176" t="s">
        <v>403</v>
      </c>
      <c r="C1493" s="1178">
        <v>0</v>
      </c>
      <c r="D1493" s="1178">
        <v>0</v>
      </c>
      <c r="E1493" s="1178">
        <v>0</v>
      </c>
      <c r="F1493" s="1178">
        <v>0</v>
      </c>
      <c r="G1493" s="1178">
        <v>0</v>
      </c>
      <c r="H1493" s="1178">
        <v>0</v>
      </c>
      <c r="I1493" s="1178">
        <v>207</v>
      </c>
      <c r="J1493" s="1178">
        <v>0</v>
      </c>
      <c r="K1493" s="1178">
        <v>0</v>
      </c>
      <c r="L1493" s="1178">
        <v>0</v>
      </c>
      <c r="M1493" s="1178">
        <v>0</v>
      </c>
      <c r="N1493" s="1178">
        <v>0</v>
      </c>
      <c r="O1493" s="1179">
        <f t="shared" si="359"/>
        <v>17.25</v>
      </c>
      <c r="P1493" s="1180">
        <f>O1487/M!$Q$14</f>
        <v>4.2953702216061311E-2</v>
      </c>
      <c r="Q1493" s="1235"/>
      <c r="R1493" s="1235"/>
      <c r="S1493" s="1235"/>
      <c r="T1493" s="1235"/>
      <c r="U1493" s="1235"/>
      <c r="V1493" s="1235"/>
      <c r="W1493" s="1235"/>
    </row>
    <row r="1494" spans="1:23">
      <c r="A1494" s="2191" t="s">
        <v>276</v>
      </c>
      <c r="B1494" s="2192"/>
      <c r="C1494" s="2203">
        <f t="shared" ref="C1494:N1494" si="360">SUM(C1496:C1501)</f>
        <v>152</v>
      </c>
      <c r="D1494" s="2203">
        <f t="shared" si="360"/>
        <v>145</v>
      </c>
      <c r="E1494" s="2203">
        <f t="shared" si="360"/>
        <v>971</v>
      </c>
      <c r="F1494" s="2203">
        <f t="shared" si="360"/>
        <v>186</v>
      </c>
      <c r="G1494" s="2203">
        <f t="shared" si="360"/>
        <v>455</v>
      </c>
      <c r="H1494" s="2203">
        <f t="shared" si="360"/>
        <v>145</v>
      </c>
      <c r="I1494" s="2203">
        <f t="shared" si="360"/>
        <v>145</v>
      </c>
      <c r="J1494" s="2203">
        <f t="shared" si="360"/>
        <v>145</v>
      </c>
      <c r="K1494" s="2203">
        <f t="shared" si="360"/>
        <v>145</v>
      </c>
      <c r="L1494" s="2203">
        <f t="shared" si="360"/>
        <v>1255</v>
      </c>
      <c r="M1494" s="2203">
        <f t="shared" si="360"/>
        <v>406</v>
      </c>
      <c r="N1494" s="2203">
        <f t="shared" si="360"/>
        <v>145</v>
      </c>
      <c r="O1494" s="2203">
        <f>SUM(O1496:O1501)</f>
        <v>357.91666666666669</v>
      </c>
      <c r="P1494" s="1180">
        <f>O1488/M!$Q$14</f>
        <v>2.7978194345325946E-2</v>
      </c>
      <c r="Q1494" s="1235"/>
      <c r="R1494" s="1235"/>
      <c r="S1494" s="1235"/>
      <c r="T1494" s="1235"/>
      <c r="U1494" s="1235"/>
      <c r="V1494" s="1235"/>
      <c r="W1494" s="1235"/>
    </row>
    <row r="1495" spans="1:23">
      <c r="A1495" s="2193"/>
      <c r="B1495" s="2194"/>
      <c r="C1495" s="2204"/>
      <c r="D1495" s="2204"/>
      <c r="E1495" s="2204"/>
      <c r="F1495" s="2204"/>
      <c r="G1495" s="2204"/>
      <c r="H1495" s="2204"/>
      <c r="I1495" s="2204"/>
      <c r="J1495" s="2204"/>
      <c r="K1495" s="2204"/>
      <c r="L1495" s="2204"/>
      <c r="M1495" s="2204"/>
      <c r="N1495" s="2204"/>
      <c r="O1495" s="2204"/>
      <c r="P1495" s="1180">
        <f>O1489/M!$Q$14</f>
        <v>2.0550222876508108E-3</v>
      </c>
      <c r="Q1495" s="1235"/>
      <c r="R1495" s="1235"/>
      <c r="S1495" s="1235"/>
      <c r="T1495" s="1235"/>
      <c r="U1495" s="1235"/>
      <c r="V1495" s="1235"/>
      <c r="W1495" s="1235"/>
    </row>
    <row r="1496" spans="1:23">
      <c r="A1496" s="2217"/>
      <c r="B1496" s="1176" t="s">
        <v>666</v>
      </c>
      <c r="C1496" s="1228">
        <v>0</v>
      </c>
      <c r="D1496" s="1228">
        <v>0</v>
      </c>
      <c r="E1496" s="1228">
        <v>0</v>
      </c>
      <c r="F1496" s="1228">
        <v>0</v>
      </c>
      <c r="G1496" s="1228">
        <v>0</v>
      </c>
      <c r="H1496" s="1228">
        <v>0</v>
      </c>
      <c r="I1496" s="1229">
        <v>0</v>
      </c>
      <c r="J1496" s="1229">
        <v>0</v>
      </c>
      <c r="K1496" s="1229">
        <v>0</v>
      </c>
      <c r="L1496" s="1229">
        <v>0</v>
      </c>
      <c r="M1496" s="1229">
        <v>0</v>
      </c>
      <c r="N1496" s="1229">
        <v>0</v>
      </c>
      <c r="O1496" s="1179">
        <f t="shared" ref="O1496:O1501" si="361">SUM(C1496:N1496)/12</f>
        <v>0</v>
      </c>
      <c r="P1496" s="1180">
        <f>O1490/M!$Q$14</f>
        <v>1.3749967306463608E-3</v>
      </c>
      <c r="Q1496" s="1235"/>
      <c r="R1496" s="1235"/>
      <c r="S1496" s="1235"/>
      <c r="T1496" s="1235"/>
      <c r="U1496" s="1235"/>
      <c r="V1496" s="1235"/>
      <c r="W1496" s="1235"/>
    </row>
    <row r="1497" spans="1:23">
      <c r="A1497" s="2218"/>
      <c r="B1497" s="1176" t="s">
        <v>400</v>
      </c>
      <c r="C1497" s="1228">
        <v>152</v>
      </c>
      <c r="D1497" s="1228">
        <v>145</v>
      </c>
      <c r="E1497" s="1228">
        <v>145</v>
      </c>
      <c r="F1497" s="1228">
        <v>145</v>
      </c>
      <c r="G1497" s="1228">
        <v>145</v>
      </c>
      <c r="H1497" s="1228">
        <v>145</v>
      </c>
      <c r="I1497" s="1229">
        <v>145</v>
      </c>
      <c r="J1497" s="1229">
        <v>145</v>
      </c>
      <c r="K1497" s="1229">
        <v>145</v>
      </c>
      <c r="L1497" s="1229">
        <v>145</v>
      </c>
      <c r="M1497" s="1229">
        <v>145</v>
      </c>
      <c r="N1497" s="1229">
        <v>145</v>
      </c>
      <c r="O1497" s="1179">
        <f t="shared" si="361"/>
        <v>145.58333333333334</v>
      </c>
      <c r="P1497" s="1180">
        <f>O1491/M!$Q$14</f>
        <v>2.1880382757242085E-2</v>
      </c>
      <c r="Q1497" s="1235"/>
      <c r="R1497" s="1235"/>
      <c r="S1497" s="1235"/>
      <c r="T1497" s="1235"/>
      <c r="U1497" s="1235"/>
      <c r="V1497" s="1235"/>
      <c r="W1497" s="1235"/>
    </row>
    <row r="1498" spans="1:23">
      <c r="A1498" s="2218"/>
      <c r="B1498" s="1176" t="s">
        <v>454</v>
      </c>
      <c r="C1498" s="1228">
        <v>0</v>
      </c>
      <c r="D1498" s="1228">
        <v>0</v>
      </c>
      <c r="E1498" s="1228">
        <v>140</v>
      </c>
      <c r="F1498" s="1228">
        <v>41</v>
      </c>
      <c r="G1498" s="1228">
        <v>29</v>
      </c>
      <c r="H1498" s="1228">
        <v>0</v>
      </c>
      <c r="I1498" s="1229">
        <v>0</v>
      </c>
      <c r="J1498" s="1229">
        <v>0</v>
      </c>
      <c r="K1498" s="1229">
        <v>0</v>
      </c>
      <c r="L1498" s="1229">
        <v>0</v>
      </c>
      <c r="M1498" s="1229">
        <v>40</v>
      </c>
      <c r="N1498" s="1229">
        <v>0</v>
      </c>
      <c r="O1498" s="1179">
        <f t="shared" si="361"/>
        <v>20.833333333333332</v>
      </c>
      <c r="P1498" s="1180">
        <f>O1492/M!$Q$14</f>
        <v>3.4972742931657433E-3</v>
      </c>
      <c r="Q1498" s="1235"/>
      <c r="R1498" s="1235"/>
      <c r="S1498" s="1235"/>
      <c r="T1498" s="1235"/>
      <c r="U1498" s="1235"/>
      <c r="V1498" s="1235"/>
      <c r="W1498" s="1235"/>
    </row>
    <row r="1499" spans="1:23">
      <c r="A1499" s="2218"/>
      <c r="B1499" s="1176" t="s">
        <v>407</v>
      </c>
      <c r="C1499" s="1228">
        <v>0</v>
      </c>
      <c r="D1499" s="1228">
        <v>0</v>
      </c>
      <c r="E1499" s="1228">
        <v>0</v>
      </c>
      <c r="F1499" s="1228">
        <v>0</v>
      </c>
      <c r="G1499" s="1228">
        <v>0</v>
      </c>
      <c r="H1499" s="1228">
        <v>0</v>
      </c>
      <c r="I1499" s="1229">
        <v>0</v>
      </c>
      <c r="J1499" s="1229">
        <v>0</v>
      </c>
      <c r="K1499" s="1229">
        <v>0</v>
      </c>
      <c r="L1499" s="1229">
        <v>0</v>
      </c>
      <c r="M1499" s="1229">
        <v>0</v>
      </c>
      <c r="N1499" s="1229">
        <v>0</v>
      </c>
      <c r="O1499" s="1179">
        <f t="shared" si="361"/>
        <v>0</v>
      </c>
      <c r="P1499" s="1180">
        <f>O1493/M!$Q$14</f>
        <v>1.5468713219771557E-3</v>
      </c>
      <c r="Q1499" s="1235"/>
      <c r="R1499" s="1235"/>
      <c r="S1499" s="1235"/>
      <c r="T1499" s="1235"/>
      <c r="U1499" s="1235"/>
      <c r="V1499" s="1235"/>
      <c r="W1499" s="1235"/>
    </row>
    <row r="1500" spans="1:23">
      <c r="A1500" s="2218"/>
      <c r="B1500" s="1176" t="s">
        <v>408</v>
      </c>
      <c r="C1500" s="1228">
        <v>0</v>
      </c>
      <c r="D1500" s="1228">
        <v>0</v>
      </c>
      <c r="E1500" s="1228">
        <v>0</v>
      </c>
      <c r="F1500" s="1228">
        <v>0</v>
      </c>
      <c r="G1500" s="1228">
        <v>281</v>
      </c>
      <c r="H1500" s="1228">
        <v>0</v>
      </c>
      <c r="I1500" s="1229">
        <v>0</v>
      </c>
      <c r="J1500" s="1229">
        <v>0</v>
      </c>
      <c r="K1500" s="1229">
        <v>0</v>
      </c>
      <c r="L1500" s="1229">
        <v>983</v>
      </c>
      <c r="M1500" s="1229">
        <v>0</v>
      </c>
      <c r="N1500" s="1229">
        <v>0</v>
      </c>
      <c r="O1500" s="1179">
        <f t="shared" si="361"/>
        <v>105.33333333333333</v>
      </c>
      <c r="P1500" s="2205">
        <f>O1494/M!$Q$14</f>
        <v>3.2095711728946298E-2</v>
      </c>
      <c r="Q1500" s="1235"/>
      <c r="R1500" s="1235"/>
      <c r="S1500" s="1235"/>
      <c r="T1500" s="1235"/>
      <c r="U1500" s="1235"/>
      <c r="V1500" s="1235"/>
      <c r="W1500" s="1235"/>
    </row>
    <row r="1501" spans="1:23">
      <c r="A1501" s="2219"/>
      <c r="B1501" s="1176" t="s">
        <v>409</v>
      </c>
      <c r="C1501" s="1228">
        <v>0</v>
      </c>
      <c r="D1501" s="1228">
        <v>0</v>
      </c>
      <c r="E1501" s="1228">
        <v>686</v>
      </c>
      <c r="F1501" s="1228">
        <v>0</v>
      </c>
      <c r="G1501" s="1228">
        <v>0</v>
      </c>
      <c r="H1501" s="1228">
        <v>0</v>
      </c>
      <c r="I1501" s="1229">
        <v>0</v>
      </c>
      <c r="J1501" s="1229">
        <v>0</v>
      </c>
      <c r="K1501" s="1229">
        <v>0</v>
      </c>
      <c r="L1501" s="1229">
        <v>127</v>
      </c>
      <c r="M1501" s="1229">
        <v>221</v>
      </c>
      <c r="N1501" s="1229">
        <v>0</v>
      </c>
      <c r="O1501" s="1179">
        <f t="shared" si="361"/>
        <v>86.166666666666671</v>
      </c>
      <c r="P1501" s="2206"/>
      <c r="Q1501" s="1235"/>
      <c r="R1501" s="1235"/>
      <c r="S1501" s="1235"/>
      <c r="T1501" s="1235"/>
      <c r="U1501" s="1235"/>
      <c r="V1501" s="1235"/>
      <c r="W1501" s="1235"/>
    </row>
    <row r="1502" spans="1:23">
      <c r="A1502" s="2191" t="s">
        <v>277</v>
      </c>
      <c r="B1502" s="2192"/>
      <c r="C1502" s="2203">
        <f t="shared" ref="C1502:N1502" si="362">SUM(C1504:C1507)</f>
        <v>199</v>
      </c>
      <c r="D1502" s="2203">
        <f t="shared" si="362"/>
        <v>216</v>
      </c>
      <c r="E1502" s="2203">
        <f t="shared" si="362"/>
        <v>364</v>
      </c>
      <c r="F1502" s="2203">
        <f t="shared" si="362"/>
        <v>277</v>
      </c>
      <c r="G1502" s="2203">
        <f t="shared" si="362"/>
        <v>279</v>
      </c>
      <c r="H1502" s="2203">
        <f t="shared" si="362"/>
        <v>296</v>
      </c>
      <c r="I1502" s="2203">
        <f t="shared" si="362"/>
        <v>289</v>
      </c>
      <c r="J1502" s="2203">
        <f t="shared" si="362"/>
        <v>321</v>
      </c>
      <c r="K1502" s="2203">
        <f t="shared" si="362"/>
        <v>325</v>
      </c>
      <c r="L1502" s="2203">
        <f t="shared" si="362"/>
        <v>344</v>
      </c>
      <c r="M1502" s="2203">
        <f t="shared" si="362"/>
        <v>258</v>
      </c>
      <c r="N1502" s="2203">
        <f t="shared" si="362"/>
        <v>354</v>
      </c>
      <c r="O1502" s="2203">
        <f>SUM(O1504:O1507)</f>
        <v>293.5</v>
      </c>
      <c r="P1502" s="1180">
        <f>O1496/M!$Q$14</f>
        <v>0</v>
      </c>
      <c r="Q1502" s="1235"/>
      <c r="R1502" s="1235"/>
      <c r="S1502" s="1235"/>
      <c r="T1502" s="1235"/>
      <c r="U1502" s="1235"/>
      <c r="V1502" s="1235"/>
      <c r="W1502" s="1235"/>
    </row>
    <row r="1503" spans="1:23">
      <c r="A1503" s="2193"/>
      <c r="B1503" s="2194"/>
      <c r="C1503" s="2204"/>
      <c r="D1503" s="2204"/>
      <c r="E1503" s="2204"/>
      <c r="F1503" s="2204"/>
      <c r="G1503" s="2204"/>
      <c r="H1503" s="2204"/>
      <c r="I1503" s="2204"/>
      <c r="J1503" s="2204"/>
      <c r="K1503" s="2204"/>
      <c r="L1503" s="2204"/>
      <c r="M1503" s="2204"/>
      <c r="N1503" s="2204"/>
      <c r="O1503" s="2204"/>
      <c r="P1503" s="1180">
        <f>O1497/M!$Q$14</f>
        <v>1.3054996132821697E-2</v>
      </c>
      <c r="Q1503" s="1235"/>
      <c r="R1503" s="1235"/>
      <c r="S1503" s="1235"/>
      <c r="T1503" s="1235"/>
      <c r="U1503" s="1235"/>
      <c r="V1503" s="1235"/>
      <c r="W1503" s="1235"/>
    </row>
    <row r="1504" spans="1:23">
      <c r="A1504" s="2217"/>
      <c r="B1504" s="1176" t="s">
        <v>410</v>
      </c>
      <c r="C1504" s="1228">
        <v>59</v>
      </c>
      <c r="D1504" s="1228">
        <v>200</v>
      </c>
      <c r="E1504" s="1228">
        <v>229</v>
      </c>
      <c r="F1504" s="1228">
        <v>277</v>
      </c>
      <c r="G1504" s="1228">
        <v>279</v>
      </c>
      <c r="H1504" s="1228">
        <v>296</v>
      </c>
      <c r="I1504" s="1229">
        <v>230</v>
      </c>
      <c r="J1504" s="1229">
        <v>306</v>
      </c>
      <c r="K1504" s="1229">
        <v>265</v>
      </c>
      <c r="L1504" s="1229">
        <v>307</v>
      </c>
      <c r="M1504" s="1229">
        <v>248</v>
      </c>
      <c r="N1504" s="1229">
        <v>263</v>
      </c>
      <c r="O1504" s="1179">
        <f>SUM(C1504:N1504)/12</f>
        <v>246.58333333333334</v>
      </c>
      <c r="P1504" s="1180">
        <f>O1498/M!$Q$14</f>
        <v>1.8682020796825551E-3</v>
      </c>
      <c r="Q1504" s="1235"/>
      <c r="R1504" s="1235"/>
      <c r="S1504" s="1235"/>
      <c r="T1504" s="1235"/>
      <c r="U1504" s="1235"/>
      <c r="V1504" s="1235"/>
      <c r="W1504" s="1235"/>
    </row>
    <row r="1505" spans="1:23">
      <c r="A1505" s="2218"/>
      <c r="B1505" s="1176" t="s">
        <v>457</v>
      </c>
      <c r="C1505" s="1228">
        <v>115</v>
      </c>
      <c r="D1505" s="1228">
        <v>0</v>
      </c>
      <c r="E1505" s="1228">
        <v>135</v>
      </c>
      <c r="F1505" s="1228">
        <v>0</v>
      </c>
      <c r="G1505" s="1228">
        <v>0</v>
      </c>
      <c r="H1505" s="1228">
        <v>0</v>
      </c>
      <c r="I1505" s="1229">
        <v>59</v>
      </c>
      <c r="J1505" s="1229">
        <v>0</v>
      </c>
      <c r="K1505" s="1229">
        <v>45</v>
      </c>
      <c r="L1505" s="1229">
        <v>0</v>
      </c>
      <c r="M1505" s="1229">
        <v>0</v>
      </c>
      <c r="N1505" s="1229">
        <v>48</v>
      </c>
      <c r="O1505" s="1179">
        <f>SUM(C1505:N1505)/12</f>
        <v>33.5</v>
      </c>
      <c r="P1505" s="1180">
        <f>O1499/M!$Q$14</f>
        <v>0</v>
      </c>
      <c r="Q1505" s="1235"/>
      <c r="R1505" s="1235"/>
      <c r="S1505" s="1235"/>
      <c r="T1505" s="1235"/>
      <c r="U1505" s="1235"/>
      <c r="V1505" s="1235"/>
      <c r="W1505" s="1235"/>
    </row>
    <row r="1506" spans="1:23">
      <c r="A1506" s="2218"/>
      <c r="B1506" s="1176" t="s">
        <v>458</v>
      </c>
      <c r="C1506" s="1228">
        <v>0</v>
      </c>
      <c r="D1506" s="1228">
        <v>8</v>
      </c>
      <c r="E1506" s="1228">
        <v>0</v>
      </c>
      <c r="F1506" s="1228">
        <v>0</v>
      </c>
      <c r="G1506" s="1228">
        <v>0</v>
      </c>
      <c r="H1506" s="1228">
        <v>0</v>
      </c>
      <c r="I1506" s="1229">
        <v>0</v>
      </c>
      <c r="J1506" s="1229">
        <v>5</v>
      </c>
      <c r="K1506" s="1229">
        <v>0</v>
      </c>
      <c r="L1506" s="1229">
        <v>12</v>
      </c>
      <c r="M1506" s="1229">
        <v>0</v>
      </c>
      <c r="N1506" s="1229">
        <v>18</v>
      </c>
      <c r="O1506" s="1179">
        <f>SUM(C1506:N1506)/12</f>
        <v>3.5833333333333335</v>
      </c>
      <c r="P1506" s="1180">
        <f>O1500/M!$Q$14</f>
        <v>9.4456297148749983E-3</v>
      </c>
      <c r="Q1506" s="1235"/>
      <c r="R1506" s="1235"/>
      <c r="S1506" s="1235"/>
      <c r="T1506" s="1235"/>
      <c r="U1506" s="1235"/>
      <c r="V1506" s="1235"/>
      <c r="W1506" s="1235"/>
    </row>
    <row r="1507" spans="1:23">
      <c r="A1507" s="2219"/>
      <c r="B1507" s="1176" t="s">
        <v>459</v>
      </c>
      <c r="C1507" s="1228">
        <v>25</v>
      </c>
      <c r="D1507" s="1228">
        <v>8</v>
      </c>
      <c r="E1507" s="1228">
        <v>0</v>
      </c>
      <c r="F1507" s="1228">
        <v>0</v>
      </c>
      <c r="G1507" s="1228">
        <v>0</v>
      </c>
      <c r="H1507" s="1228">
        <v>0</v>
      </c>
      <c r="I1507" s="1229">
        <v>0</v>
      </c>
      <c r="J1507" s="1229">
        <v>10</v>
      </c>
      <c r="K1507" s="1229">
        <v>15</v>
      </c>
      <c r="L1507" s="1229">
        <v>25</v>
      </c>
      <c r="M1507" s="1229">
        <v>10</v>
      </c>
      <c r="N1507" s="1229">
        <v>25</v>
      </c>
      <c r="O1507" s="1179">
        <f>SUM(C1507:N1507)/12</f>
        <v>9.8333333333333339</v>
      </c>
      <c r="P1507" s="1180">
        <f>O1501/M!$Q$14</f>
        <v>7.7268838015670483E-3</v>
      </c>
      <c r="Q1507" s="1235"/>
      <c r="R1507" s="1235"/>
      <c r="S1507" s="1235"/>
      <c r="T1507" s="1235"/>
      <c r="U1507" s="1235"/>
      <c r="V1507" s="1235"/>
      <c r="W1507" s="1235"/>
    </row>
    <row r="1508" spans="1:23">
      <c r="A1508" s="2191" t="s">
        <v>278</v>
      </c>
      <c r="B1508" s="2192"/>
      <c r="C1508" s="2203">
        <f t="shared" ref="C1508:J1508" si="363">SUM(C1510:C1511)</f>
        <v>123</v>
      </c>
      <c r="D1508" s="2203">
        <f t="shared" si="363"/>
        <v>399</v>
      </c>
      <c r="E1508" s="2203">
        <f t="shared" si="363"/>
        <v>342</v>
      </c>
      <c r="F1508" s="2203">
        <f t="shared" si="363"/>
        <v>249</v>
      </c>
      <c r="G1508" s="2203">
        <f t="shared" si="363"/>
        <v>436</v>
      </c>
      <c r="H1508" s="2203">
        <f t="shared" si="363"/>
        <v>303</v>
      </c>
      <c r="I1508" s="2203">
        <f t="shared" si="363"/>
        <v>393</v>
      </c>
      <c r="J1508" s="2203">
        <f t="shared" si="363"/>
        <v>335</v>
      </c>
      <c r="K1508" s="2203">
        <f>SUM(K1510:K1511)</f>
        <v>404</v>
      </c>
      <c r="L1508" s="2203">
        <f>SUM(L1510:L1511)</f>
        <v>235</v>
      </c>
      <c r="M1508" s="2203">
        <f>SUM(M1510:M1511)</f>
        <v>375</v>
      </c>
      <c r="N1508" s="2203">
        <f>SUM(N1510:N1511)</f>
        <v>302</v>
      </c>
      <c r="O1508" s="2203">
        <f>SUM(O1510:O1511)</f>
        <v>324.66666666666663</v>
      </c>
      <c r="P1508" s="2205">
        <f>O1502/M!$Q$14</f>
        <v>2.6319230898567837E-2</v>
      </c>
      <c r="Q1508" s="1235"/>
      <c r="R1508" s="1235"/>
      <c r="S1508" s="1235"/>
      <c r="T1508" s="1235"/>
      <c r="U1508" s="1235"/>
      <c r="V1508" s="1235"/>
      <c r="W1508" s="1235"/>
    </row>
    <row r="1509" spans="1:23">
      <c r="A1509" s="2193"/>
      <c r="B1509" s="2194"/>
      <c r="C1509" s="2204"/>
      <c r="D1509" s="2204"/>
      <c r="E1509" s="2204"/>
      <c r="F1509" s="2204"/>
      <c r="G1509" s="2204"/>
      <c r="H1509" s="2204"/>
      <c r="I1509" s="2204"/>
      <c r="J1509" s="2204"/>
      <c r="K1509" s="2204"/>
      <c r="L1509" s="2204"/>
      <c r="M1509" s="2204"/>
      <c r="N1509" s="2204"/>
      <c r="O1509" s="2204"/>
      <c r="P1509" s="2206"/>
      <c r="Q1509" s="1235"/>
      <c r="R1509" s="1235"/>
      <c r="S1509" s="1235"/>
      <c r="T1509" s="1235"/>
      <c r="U1509" s="1235"/>
      <c r="V1509" s="1235"/>
      <c r="W1509" s="1235"/>
    </row>
    <row r="1510" spans="1:23">
      <c r="A1510" s="2217"/>
      <c r="B1510" s="1176" t="s">
        <v>414</v>
      </c>
      <c r="C1510" s="1228">
        <v>61</v>
      </c>
      <c r="D1510" s="1228">
        <v>267</v>
      </c>
      <c r="E1510" s="1228">
        <v>131</v>
      </c>
      <c r="F1510" s="1228">
        <v>193</v>
      </c>
      <c r="G1510" s="1228">
        <v>351</v>
      </c>
      <c r="H1510" s="1228">
        <v>213</v>
      </c>
      <c r="I1510" s="1229">
        <v>234</v>
      </c>
      <c r="J1510" s="1229">
        <v>307</v>
      </c>
      <c r="K1510" s="1229">
        <v>301</v>
      </c>
      <c r="L1510" s="1229">
        <v>175</v>
      </c>
      <c r="M1510" s="1229">
        <v>322</v>
      </c>
      <c r="N1510" s="1229">
        <v>258</v>
      </c>
      <c r="O1510" s="1179">
        <f>SUM(C1510:N1510)/12</f>
        <v>234.41666666666666</v>
      </c>
      <c r="P1510" s="1180">
        <f>O1504/M!$Q$14</f>
        <v>2.2112039815122723E-2</v>
      </c>
      <c r="Q1510" s="1235"/>
      <c r="R1510" s="1235"/>
      <c r="S1510" s="1235"/>
      <c r="T1510" s="1235"/>
      <c r="U1510" s="1235"/>
      <c r="V1510" s="1235"/>
      <c r="W1510" s="1235"/>
    </row>
    <row r="1511" spans="1:23">
      <c r="A1511" s="2219"/>
      <c r="B1511" s="1176" t="s">
        <v>278</v>
      </c>
      <c r="C1511" s="1228">
        <v>62</v>
      </c>
      <c r="D1511" s="1228">
        <v>132</v>
      </c>
      <c r="E1511" s="1228">
        <v>211</v>
      </c>
      <c r="F1511" s="1228">
        <v>56</v>
      </c>
      <c r="G1511" s="1228">
        <v>85</v>
      </c>
      <c r="H1511" s="1228">
        <v>90</v>
      </c>
      <c r="I1511" s="1229">
        <v>159</v>
      </c>
      <c r="J1511" s="1229">
        <v>28</v>
      </c>
      <c r="K1511" s="1229">
        <v>103</v>
      </c>
      <c r="L1511" s="1229">
        <v>60</v>
      </c>
      <c r="M1511" s="1229">
        <v>53</v>
      </c>
      <c r="N1511" s="1229">
        <v>44</v>
      </c>
      <c r="O1511" s="1179">
        <f>SUM(C1511:N1511)/12</f>
        <v>90.25</v>
      </c>
      <c r="P1511" s="1180">
        <f>O1505/M!$Q$14</f>
        <v>3.0040689441295488E-3</v>
      </c>
      <c r="Q1511" s="1235"/>
      <c r="R1511" s="1235"/>
      <c r="S1511" s="1235"/>
      <c r="T1511" s="1235"/>
      <c r="U1511" s="1235"/>
      <c r="V1511" s="1235"/>
      <c r="W1511" s="1235"/>
    </row>
    <row r="1512" spans="1:23">
      <c r="A1512" s="2191" t="s">
        <v>279</v>
      </c>
      <c r="B1512" s="2192"/>
      <c r="C1512" s="2203">
        <f t="shared" ref="C1512:N1512" si="364">SUM(C1514:C1521)</f>
        <v>482</v>
      </c>
      <c r="D1512" s="2203">
        <f t="shared" si="364"/>
        <v>494</v>
      </c>
      <c r="E1512" s="2203">
        <f t="shared" si="364"/>
        <v>421</v>
      </c>
      <c r="F1512" s="2203">
        <f t="shared" si="364"/>
        <v>392</v>
      </c>
      <c r="G1512" s="2203">
        <f t="shared" si="364"/>
        <v>392</v>
      </c>
      <c r="H1512" s="2203">
        <f t="shared" si="364"/>
        <v>363</v>
      </c>
      <c r="I1512" s="2203">
        <f t="shared" si="364"/>
        <v>415</v>
      </c>
      <c r="J1512" s="2203">
        <f t="shared" si="364"/>
        <v>459</v>
      </c>
      <c r="K1512" s="2203">
        <f t="shared" si="364"/>
        <v>376</v>
      </c>
      <c r="L1512" s="2203">
        <f t="shared" si="364"/>
        <v>340</v>
      </c>
      <c r="M1512" s="2203">
        <f t="shared" si="364"/>
        <v>415</v>
      </c>
      <c r="N1512" s="2203">
        <f t="shared" si="364"/>
        <v>510</v>
      </c>
      <c r="O1512" s="2203">
        <f>SUM(O1514:O1521)</f>
        <v>421.58333333333331</v>
      </c>
      <c r="P1512" s="1180">
        <f>O1506/M!$Q$14</f>
        <v>3.213307577053995E-4</v>
      </c>
      <c r="Q1512" s="1235"/>
      <c r="R1512" s="1235"/>
      <c r="S1512" s="1235"/>
      <c r="T1512" s="1235"/>
      <c r="U1512" s="1235"/>
      <c r="V1512" s="1235"/>
      <c r="W1512" s="1235"/>
    </row>
    <row r="1513" spans="1:23">
      <c r="A1513" s="2193"/>
      <c r="B1513" s="2194"/>
      <c r="C1513" s="2204"/>
      <c r="D1513" s="2204"/>
      <c r="E1513" s="2204"/>
      <c r="F1513" s="2204"/>
      <c r="G1513" s="2204"/>
      <c r="H1513" s="2204"/>
      <c r="I1513" s="2204"/>
      <c r="J1513" s="2204"/>
      <c r="K1513" s="2204"/>
      <c r="L1513" s="2204"/>
      <c r="M1513" s="2204"/>
      <c r="N1513" s="2204"/>
      <c r="O1513" s="2204"/>
      <c r="P1513" s="1180">
        <f>O1507/M!$Q$14</f>
        <v>8.8179138161016614E-4</v>
      </c>
      <c r="Q1513" s="1235"/>
      <c r="R1513" s="1235"/>
      <c r="S1513" s="1235"/>
      <c r="T1513" s="1235"/>
      <c r="U1513" s="1235"/>
      <c r="V1513" s="1235"/>
      <c r="W1513" s="1235"/>
    </row>
    <row r="1514" spans="1:23">
      <c r="A1514" s="2217"/>
      <c r="B1514" s="1176" t="s">
        <v>415</v>
      </c>
      <c r="C1514" s="1228">
        <v>51</v>
      </c>
      <c r="D1514" s="1228">
        <v>74</v>
      </c>
      <c r="E1514" s="1228">
        <v>72</v>
      </c>
      <c r="F1514" s="1228">
        <v>70</v>
      </c>
      <c r="G1514" s="1228">
        <v>72</v>
      </c>
      <c r="H1514" s="1228">
        <v>103</v>
      </c>
      <c r="I1514" s="1229">
        <v>158</v>
      </c>
      <c r="J1514" s="1229">
        <v>146</v>
      </c>
      <c r="K1514" s="1229">
        <v>106</v>
      </c>
      <c r="L1514" s="1229">
        <v>84</v>
      </c>
      <c r="M1514" s="1229">
        <v>93</v>
      </c>
      <c r="N1514" s="1229">
        <v>88</v>
      </c>
      <c r="O1514" s="1179">
        <f t="shared" ref="O1514:O1521" si="365">SUM(C1514:N1514)/12</f>
        <v>93.083333333333329</v>
      </c>
      <c r="P1514" s="2205">
        <f>O1508/M!$Q$14</f>
        <v>2.9114061209772935E-2</v>
      </c>
      <c r="Q1514" s="1235"/>
      <c r="R1514" s="1235"/>
      <c r="S1514" s="1235"/>
      <c r="T1514" s="1235"/>
      <c r="U1514" s="1235"/>
      <c r="V1514" s="1235"/>
      <c r="W1514" s="1235"/>
    </row>
    <row r="1515" spans="1:23">
      <c r="A1515" s="2218"/>
      <c r="B1515" s="1176" t="s">
        <v>416</v>
      </c>
      <c r="C1515" s="1182">
        <v>0</v>
      </c>
      <c r="D1515" s="1182">
        <v>0</v>
      </c>
      <c r="E1515" s="1182">
        <v>0</v>
      </c>
      <c r="F1515" s="1182">
        <v>0</v>
      </c>
      <c r="G1515" s="1182">
        <v>0</v>
      </c>
      <c r="H1515" s="1182">
        <v>0</v>
      </c>
      <c r="I1515" s="1182">
        <v>0</v>
      </c>
      <c r="J1515" s="1182">
        <v>0</v>
      </c>
      <c r="K1515" s="1182">
        <v>0</v>
      </c>
      <c r="L1515" s="1182">
        <v>0</v>
      </c>
      <c r="M1515" s="1182">
        <v>0</v>
      </c>
      <c r="N1515" s="1182">
        <v>0</v>
      </c>
      <c r="O1515" s="1179">
        <f t="shared" si="365"/>
        <v>0</v>
      </c>
      <c r="P1515" s="2206"/>
      <c r="Q1515" s="1235"/>
      <c r="R1515" s="1235"/>
      <c r="S1515" s="1235"/>
      <c r="T1515" s="1235"/>
      <c r="U1515" s="1235"/>
      <c r="V1515" s="1235"/>
      <c r="W1515" s="1235"/>
    </row>
    <row r="1516" spans="1:23">
      <c r="A1516" s="2218"/>
      <c r="B1516" s="1176" t="s">
        <v>417</v>
      </c>
      <c r="C1516" s="1182">
        <v>0</v>
      </c>
      <c r="D1516" s="1182">
        <v>0</v>
      </c>
      <c r="E1516" s="1182">
        <v>0</v>
      </c>
      <c r="F1516" s="1182">
        <v>0</v>
      </c>
      <c r="G1516" s="1182">
        <v>0</v>
      </c>
      <c r="H1516" s="1182">
        <v>0</v>
      </c>
      <c r="I1516" s="1182">
        <v>0</v>
      </c>
      <c r="J1516" s="1182">
        <v>0</v>
      </c>
      <c r="K1516" s="1182">
        <v>0</v>
      </c>
      <c r="L1516" s="1182">
        <v>0</v>
      </c>
      <c r="M1516" s="1182">
        <v>0</v>
      </c>
      <c r="N1516" s="1182">
        <v>0</v>
      </c>
      <c r="O1516" s="1179">
        <f t="shared" si="365"/>
        <v>0</v>
      </c>
      <c r="P1516" s="1180">
        <f>O1510/M!$Q$14</f>
        <v>2.102100980058811E-2</v>
      </c>
      <c r="Q1516" s="1235"/>
      <c r="R1516" s="1235"/>
      <c r="S1516" s="1235"/>
      <c r="T1516" s="1235"/>
      <c r="U1516" s="1235"/>
      <c r="V1516" s="1235"/>
      <c r="W1516" s="1235"/>
    </row>
    <row r="1517" spans="1:23">
      <c r="A1517" s="2218"/>
      <c r="B1517" s="1176" t="s">
        <v>410</v>
      </c>
      <c r="C1517" s="1228">
        <v>173</v>
      </c>
      <c r="D1517" s="1228">
        <v>212</v>
      </c>
      <c r="E1517" s="1228">
        <v>140</v>
      </c>
      <c r="F1517" s="1228">
        <v>111</v>
      </c>
      <c r="G1517" s="1228">
        <v>55</v>
      </c>
      <c r="H1517" s="1228">
        <v>46</v>
      </c>
      <c r="I1517" s="1229">
        <v>44</v>
      </c>
      <c r="J1517" s="1229">
        <v>46</v>
      </c>
      <c r="K1517" s="1229">
        <v>41</v>
      </c>
      <c r="L1517" s="1229">
        <v>42</v>
      </c>
      <c r="M1517" s="1229">
        <v>106</v>
      </c>
      <c r="N1517" s="1229">
        <v>151</v>
      </c>
      <c r="O1517" s="1179">
        <f t="shared" si="365"/>
        <v>97.25</v>
      </c>
      <c r="P1517" s="1180">
        <f>O1511/M!$Q$14</f>
        <v>8.0930514091848288E-3</v>
      </c>
      <c r="Q1517" s="1235"/>
      <c r="R1517" s="1235"/>
      <c r="S1517" s="1235"/>
      <c r="T1517" s="1235"/>
      <c r="U1517" s="1235"/>
      <c r="V1517" s="1235"/>
      <c r="W1517" s="1235"/>
    </row>
    <row r="1518" spans="1:23">
      <c r="A1518" s="2218"/>
      <c r="B1518" s="1176" t="s">
        <v>418</v>
      </c>
      <c r="C1518" s="1228">
        <v>110</v>
      </c>
      <c r="D1518" s="1228">
        <v>110</v>
      </c>
      <c r="E1518" s="1228">
        <v>110</v>
      </c>
      <c r="F1518" s="1228">
        <v>110</v>
      </c>
      <c r="G1518" s="1228">
        <v>110</v>
      </c>
      <c r="H1518" s="1228">
        <v>110</v>
      </c>
      <c r="I1518" s="1229">
        <v>110</v>
      </c>
      <c r="J1518" s="1229">
        <v>110</v>
      </c>
      <c r="K1518" s="1229">
        <v>110</v>
      </c>
      <c r="L1518" s="1229">
        <v>110</v>
      </c>
      <c r="M1518" s="1229">
        <v>110</v>
      </c>
      <c r="N1518" s="1229">
        <v>105</v>
      </c>
      <c r="O1518" s="1179">
        <f t="shared" si="365"/>
        <v>109.58333333333333</v>
      </c>
      <c r="P1518" s="2205">
        <f>O1512/M!$Q$14</f>
        <v>3.7804937284456185E-2</v>
      </c>
      <c r="Q1518" s="1235"/>
      <c r="R1518" s="1235"/>
      <c r="S1518" s="1235"/>
      <c r="T1518" s="1235"/>
      <c r="U1518" s="1235"/>
      <c r="V1518" s="1235"/>
      <c r="W1518" s="1235"/>
    </row>
    <row r="1519" spans="1:23">
      <c r="A1519" s="2218"/>
      <c r="B1519" s="1176" t="s">
        <v>419</v>
      </c>
      <c r="C1519" s="1228">
        <v>33</v>
      </c>
      <c r="D1519" s="1228">
        <v>33</v>
      </c>
      <c r="E1519" s="1228">
        <v>33</v>
      </c>
      <c r="F1519" s="1228">
        <v>35</v>
      </c>
      <c r="G1519" s="1228">
        <v>35</v>
      </c>
      <c r="H1519" s="1228">
        <v>37</v>
      </c>
      <c r="I1519" s="1229">
        <v>37</v>
      </c>
      <c r="J1519" s="1229">
        <v>37</v>
      </c>
      <c r="K1519" s="1229">
        <v>37</v>
      </c>
      <c r="L1519" s="1229">
        <v>37</v>
      </c>
      <c r="M1519" s="1229">
        <v>37</v>
      </c>
      <c r="N1519" s="1229">
        <v>37</v>
      </c>
      <c r="O1519" s="1179">
        <f t="shared" si="365"/>
        <v>35.666666666666664</v>
      </c>
      <c r="P1519" s="2206"/>
      <c r="Q1519" s="1235"/>
      <c r="R1519" s="1235"/>
      <c r="S1519" s="1235"/>
      <c r="T1519" s="1235"/>
      <c r="U1519" s="1235"/>
      <c r="V1519" s="1235"/>
      <c r="W1519" s="1235"/>
    </row>
    <row r="1520" spans="1:23">
      <c r="A1520" s="2218"/>
      <c r="B1520" s="1176" t="s">
        <v>460</v>
      </c>
      <c r="C1520" s="1228">
        <v>50</v>
      </c>
      <c r="D1520" s="1228">
        <v>0</v>
      </c>
      <c r="E1520" s="1228">
        <v>0</v>
      </c>
      <c r="F1520" s="1228">
        <v>0</v>
      </c>
      <c r="G1520" s="1228">
        <v>53</v>
      </c>
      <c r="H1520" s="1228">
        <v>0</v>
      </c>
      <c r="I1520" s="1229">
        <v>0</v>
      </c>
      <c r="J1520" s="1229">
        <v>53</v>
      </c>
      <c r="K1520" s="1229">
        <v>0</v>
      </c>
      <c r="L1520" s="1229">
        <v>0</v>
      </c>
      <c r="M1520" s="1229">
        <v>0</v>
      </c>
      <c r="N1520" s="1229">
        <v>53</v>
      </c>
      <c r="O1520" s="1179">
        <f t="shared" si="365"/>
        <v>17.416666666666668</v>
      </c>
      <c r="P1520" s="1180">
        <f>O1514/M!$Q$14</f>
        <v>8.347126892021656E-3</v>
      </c>
      <c r="Q1520" s="1235"/>
      <c r="R1520" s="1235"/>
      <c r="S1520" s="1235"/>
      <c r="T1520" s="1235"/>
      <c r="U1520" s="1235"/>
      <c r="V1520" s="1235"/>
      <c r="W1520" s="1235"/>
    </row>
    <row r="1521" spans="1:23">
      <c r="A1521" s="2219"/>
      <c r="B1521" s="1176" t="s">
        <v>421</v>
      </c>
      <c r="C1521" s="1228">
        <v>65</v>
      </c>
      <c r="D1521" s="1228">
        <v>65</v>
      </c>
      <c r="E1521" s="1228">
        <v>66</v>
      </c>
      <c r="F1521" s="1228">
        <v>66</v>
      </c>
      <c r="G1521" s="1228">
        <v>67</v>
      </c>
      <c r="H1521" s="1228">
        <v>67</v>
      </c>
      <c r="I1521" s="1229">
        <v>66</v>
      </c>
      <c r="J1521" s="1229">
        <v>67</v>
      </c>
      <c r="K1521" s="1229">
        <v>82</v>
      </c>
      <c r="L1521" s="1229">
        <v>67</v>
      </c>
      <c r="M1521" s="1229">
        <v>69</v>
      </c>
      <c r="N1521" s="1229">
        <v>76</v>
      </c>
      <c r="O1521" s="1179">
        <f t="shared" si="365"/>
        <v>68.583333333333329</v>
      </c>
      <c r="P1521" s="1180">
        <f>O1515/M!$Q$14</f>
        <v>0</v>
      </c>
      <c r="Q1521" s="1235"/>
      <c r="R1521" s="1235"/>
      <c r="S1521" s="1235"/>
      <c r="T1521" s="1235"/>
      <c r="U1521" s="1235"/>
      <c r="V1521" s="1235"/>
      <c r="W1521" s="1235"/>
    </row>
    <row r="1522" spans="1:23">
      <c r="A1522" s="2191" t="s">
        <v>280</v>
      </c>
      <c r="B1522" s="2192"/>
      <c r="C1522" s="2203">
        <f t="shared" ref="C1522:O1522" si="366">SUM(C1524:C1530)</f>
        <v>1310</v>
      </c>
      <c r="D1522" s="2203">
        <f t="shared" si="366"/>
        <v>152</v>
      </c>
      <c r="E1522" s="2203">
        <f t="shared" si="366"/>
        <v>1731</v>
      </c>
      <c r="F1522" s="2203">
        <f t="shared" si="366"/>
        <v>115</v>
      </c>
      <c r="G1522" s="2203">
        <f t="shared" si="366"/>
        <v>321</v>
      </c>
      <c r="H1522" s="2203">
        <f t="shared" si="366"/>
        <v>1745</v>
      </c>
      <c r="I1522" s="2203">
        <f t="shared" si="366"/>
        <v>1246</v>
      </c>
      <c r="J1522" s="2203">
        <f t="shared" si="366"/>
        <v>544</v>
      </c>
      <c r="K1522" s="2203">
        <f t="shared" si="366"/>
        <v>219</v>
      </c>
      <c r="L1522" s="2203">
        <f t="shared" si="366"/>
        <v>579</v>
      </c>
      <c r="M1522" s="2203">
        <f t="shared" si="366"/>
        <v>477</v>
      </c>
      <c r="N1522" s="2203">
        <f t="shared" si="366"/>
        <v>707</v>
      </c>
      <c r="O1522" s="2203">
        <f t="shared" si="366"/>
        <v>762.16666666666674</v>
      </c>
      <c r="P1522" s="1180">
        <f>O1516/M!$Q$14</f>
        <v>0</v>
      </c>
      <c r="Q1522" s="1235"/>
      <c r="R1522" s="1235"/>
      <c r="S1522" s="1235"/>
      <c r="T1522" s="1235"/>
      <c r="U1522" s="1235"/>
      <c r="V1522" s="1235"/>
      <c r="W1522" s="1235"/>
    </row>
    <row r="1523" spans="1:23">
      <c r="A1523" s="2193"/>
      <c r="B1523" s="2194"/>
      <c r="C1523" s="2204"/>
      <c r="D1523" s="2204"/>
      <c r="E1523" s="2204"/>
      <c r="F1523" s="2204"/>
      <c r="G1523" s="2204"/>
      <c r="H1523" s="2204"/>
      <c r="I1523" s="2204"/>
      <c r="J1523" s="2204"/>
      <c r="K1523" s="2204"/>
      <c r="L1523" s="2204"/>
      <c r="M1523" s="2204"/>
      <c r="N1523" s="2204"/>
      <c r="O1523" s="2204"/>
      <c r="P1523" s="1180">
        <f>O1517/M!$Q$14</f>
        <v>8.7207673079581684E-3</v>
      </c>
      <c r="Q1523" s="1235"/>
      <c r="R1523" s="1235"/>
      <c r="S1523" s="1235"/>
      <c r="T1523" s="1235"/>
      <c r="U1523" s="1235"/>
      <c r="V1523" s="1235"/>
      <c r="W1523" s="1235"/>
    </row>
    <row r="1524" spans="1:23">
      <c r="A1524" s="2217"/>
      <c r="B1524" s="1176" t="s">
        <v>280</v>
      </c>
      <c r="C1524" s="1228">
        <v>203</v>
      </c>
      <c r="D1524" s="1228">
        <v>74</v>
      </c>
      <c r="E1524" s="1228">
        <v>197</v>
      </c>
      <c r="F1524" s="1228">
        <v>26</v>
      </c>
      <c r="G1524" s="1228">
        <v>50</v>
      </c>
      <c r="H1524" s="1228">
        <v>288</v>
      </c>
      <c r="I1524" s="1229">
        <v>155</v>
      </c>
      <c r="J1524" s="1229">
        <v>99</v>
      </c>
      <c r="K1524" s="1229">
        <v>67</v>
      </c>
      <c r="L1524" s="1229">
        <v>72</v>
      </c>
      <c r="M1524" s="1229">
        <v>60</v>
      </c>
      <c r="N1524" s="1229">
        <v>85</v>
      </c>
      <c r="O1524" s="1179">
        <f t="shared" ref="O1524:O1530" si="367">SUM(C1524:N1524)/12</f>
        <v>114.66666666666667</v>
      </c>
      <c r="P1524" s="1180">
        <f>O1518/M!$Q$14</f>
        <v>9.82674293913024E-3</v>
      </c>
      <c r="Q1524" s="1235"/>
      <c r="R1524" s="1235"/>
      <c r="S1524" s="1235"/>
      <c r="T1524" s="1235"/>
      <c r="U1524" s="1235"/>
      <c r="V1524" s="1235"/>
      <c r="W1524" s="1235"/>
    </row>
    <row r="1525" spans="1:23">
      <c r="A1525" s="2218"/>
      <c r="B1525" s="1176" t="s">
        <v>423</v>
      </c>
      <c r="C1525" s="1228">
        <v>444</v>
      </c>
      <c r="D1525" s="1228">
        <v>18</v>
      </c>
      <c r="E1525" s="1228">
        <v>16</v>
      </c>
      <c r="F1525" s="1228">
        <v>65</v>
      </c>
      <c r="G1525" s="1228">
        <v>116</v>
      </c>
      <c r="H1525" s="1228">
        <v>1318</v>
      </c>
      <c r="I1525" s="1229">
        <v>70</v>
      </c>
      <c r="J1525" s="1229">
        <v>20</v>
      </c>
      <c r="K1525" s="1229">
        <v>56</v>
      </c>
      <c r="L1525" s="1229">
        <v>203</v>
      </c>
      <c r="M1525" s="1229">
        <v>206</v>
      </c>
      <c r="N1525" s="1229">
        <v>117</v>
      </c>
      <c r="O1525" s="1179">
        <f t="shared" si="367"/>
        <v>220.75</v>
      </c>
      <c r="P1525" s="1180">
        <f>O1519/M!$Q$14</f>
        <v>3.1983619604165343E-3</v>
      </c>
      <c r="Q1525" s="1235"/>
      <c r="R1525" s="1235"/>
      <c r="S1525" s="1235"/>
      <c r="T1525" s="1235"/>
      <c r="U1525" s="1235"/>
      <c r="V1525" s="1235"/>
      <c r="W1525" s="1235"/>
    </row>
    <row r="1526" spans="1:23">
      <c r="A1526" s="2218"/>
      <c r="B1526" s="1176" t="s">
        <v>424</v>
      </c>
      <c r="C1526" s="1228">
        <v>47</v>
      </c>
      <c r="D1526" s="1228">
        <v>0</v>
      </c>
      <c r="E1526" s="1228">
        <v>40</v>
      </c>
      <c r="F1526" s="1228">
        <v>0</v>
      </c>
      <c r="G1526" s="1228">
        <v>0</v>
      </c>
      <c r="H1526" s="1228">
        <v>0</v>
      </c>
      <c r="I1526" s="1229">
        <v>0</v>
      </c>
      <c r="J1526" s="1229">
        <v>0</v>
      </c>
      <c r="K1526" s="1229">
        <v>0</v>
      </c>
      <c r="L1526" s="1229">
        <v>0</v>
      </c>
      <c r="M1526" s="1229">
        <v>0</v>
      </c>
      <c r="N1526" s="1229">
        <v>0</v>
      </c>
      <c r="O1526" s="1179">
        <f t="shared" si="367"/>
        <v>7.25</v>
      </c>
      <c r="P1526" s="1180">
        <f>O1520/M!$Q$14</f>
        <v>1.5618169386146163E-3</v>
      </c>
      <c r="Q1526" s="1235"/>
      <c r="R1526" s="1235"/>
      <c r="S1526" s="1235"/>
      <c r="T1526" s="1235"/>
      <c r="U1526" s="1235"/>
      <c r="V1526" s="1235"/>
      <c r="W1526" s="1235"/>
    </row>
    <row r="1527" spans="1:23">
      <c r="A1527" s="2218"/>
      <c r="B1527" s="1176" t="s">
        <v>425</v>
      </c>
      <c r="C1527" s="1228">
        <v>0</v>
      </c>
      <c r="D1527" s="1228">
        <v>0</v>
      </c>
      <c r="E1527" s="1228">
        <v>0</v>
      </c>
      <c r="F1527" s="1228">
        <v>0</v>
      </c>
      <c r="G1527" s="1228">
        <v>0</v>
      </c>
      <c r="H1527" s="1228">
        <v>0</v>
      </c>
      <c r="I1527" s="1229">
        <v>0</v>
      </c>
      <c r="J1527" s="1229">
        <v>0</v>
      </c>
      <c r="K1527" s="1229">
        <v>10</v>
      </c>
      <c r="L1527" s="1229">
        <v>0</v>
      </c>
      <c r="M1527" s="1229">
        <v>0</v>
      </c>
      <c r="N1527" s="1229">
        <v>0</v>
      </c>
      <c r="O1527" s="1179">
        <f t="shared" si="367"/>
        <v>0.83333333333333337</v>
      </c>
      <c r="P1527" s="1180">
        <f>O1521/M!$Q$14</f>
        <v>6.1501212463149716E-3</v>
      </c>
      <c r="Q1527" s="1235"/>
      <c r="R1527" s="1235"/>
      <c r="S1527" s="1235"/>
      <c r="T1527" s="1235"/>
      <c r="U1527" s="1235"/>
      <c r="V1527" s="1235"/>
      <c r="W1527" s="1235"/>
    </row>
    <row r="1528" spans="1:23">
      <c r="A1528" s="2218"/>
      <c r="B1528" s="1176" t="s">
        <v>667</v>
      </c>
      <c r="C1528" s="1228">
        <v>443</v>
      </c>
      <c r="D1528" s="1228">
        <v>40</v>
      </c>
      <c r="E1528" s="1228">
        <v>12</v>
      </c>
      <c r="F1528" s="1228">
        <v>24</v>
      </c>
      <c r="G1528" s="1228">
        <v>105</v>
      </c>
      <c r="H1528" s="1228">
        <v>128</v>
      </c>
      <c r="I1528" s="1229">
        <v>25</v>
      </c>
      <c r="J1528" s="1229">
        <v>183</v>
      </c>
      <c r="K1528" s="1229">
        <v>31</v>
      </c>
      <c r="L1528" s="1229">
        <v>230</v>
      </c>
      <c r="M1528" s="1229">
        <v>130</v>
      </c>
      <c r="N1528" s="1229">
        <v>122</v>
      </c>
      <c r="O1528" s="1179">
        <f t="shared" si="367"/>
        <v>122.75</v>
      </c>
      <c r="P1528" s="2205">
        <f>O1522/M!$Q$14</f>
        <v>6.8346304883106612E-2</v>
      </c>
      <c r="Q1528" s="1235"/>
      <c r="R1528" s="1235"/>
      <c r="S1528" s="1235"/>
      <c r="T1528" s="1235"/>
      <c r="U1528" s="1235"/>
      <c r="V1528" s="1235"/>
      <c r="W1528" s="1235"/>
    </row>
    <row r="1529" spans="1:23">
      <c r="A1529" s="2218"/>
      <c r="B1529" s="1176" t="s">
        <v>427</v>
      </c>
      <c r="C1529" s="1228">
        <v>0</v>
      </c>
      <c r="D1529" s="1228">
        <v>0</v>
      </c>
      <c r="E1529" s="1228">
        <v>0</v>
      </c>
      <c r="F1529" s="1228">
        <v>0</v>
      </c>
      <c r="G1529" s="1228">
        <v>0</v>
      </c>
      <c r="H1529" s="1228">
        <v>0</v>
      </c>
      <c r="I1529" s="1229">
        <v>0</v>
      </c>
      <c r="J1529" s="1229">
        <v>10</v>
      </c>
      <c r="K1529" s="1229">
        <v>20</v>
      </c>
      <c r="L1529" s="1229">
        <v>20</v>
      </c>
      <c r="M1529" s="1229">
        <v>20</v>
      </c>
      <c r="N1529" s="1229">
        <v>20</v>
      </c>
      <c r="O1529" s="1179">
        <f t="shared" si="367"/>
        <v>7.5</v>
      </c>
      <c r="P1529" s="2206"/>
      <c r="Q1529" s="1235"/>
      <c r="R1529" s="1235"/>
      <c r="S1529" s="1235"/>
      <c r="T1529" s="1235"/>
      <c r="U1529" s="1235"/>
      <c r="V1529" s="1235"/>
      <c r="W1529" s="1235"/>
    </row>
    <row r="1530" spans="1:23">
      <c r="A1530" s="2219"/>
      <c r="B1530" s="1176" t="s">
        <v>381</v>
      </c>
      <c r="C1530" s="1228">
        <v>173</v>
      </c>
      <c r="D1530" s="1228">
        <v>20</v>
      </c>
      <c r="E1530" s="1228">
        <v>1466</v>
      </c>
      <c r="F1530" s="1228">
        <v>0</v>
      </c>
      <c r="G1530" s="1228">
        <v>50</v>
      </c>
      <c r="H1530" s="1228">
        <v>11</v>
      </c>
      <c r="I1530" s="1229">
        <v>996</v>
      </c>
      <c r="J1530" s="1229">
        <v>232</v>
      </c>
      <c r="K1530" s="1229">
        <v>35</v>
      </c>
      <c r="L1530" s="1229">
        <v>54</v>
      </c>
      <c r="M1530" s="1229">
        <v>61</v>
      </c>
      <c r="N1530" s="1229">
        <v>363</v>
      </c>
      <c r="O1530" s="1179">
        <f t="shared" si="367"/>
        <v>288.41666666666669</v>
      </c>
      <c r="P1530" s="1180">
        <f>O1524/M!$Q$14</f>
        <v>1.0282584246572784E-2</v>
      </c>
      <c r="Q1530" s="1235"/>
      <c r="R1530" s="1235"/>
      <c r="S1530" s="1235"/>
      <c r="T1530" s="1235"/>
      <c r="U1530" s="1235"/>
      <c r="V1530" s="1235"/>
      <c r="W1530" s="1235"/>
    </row>
    <row r="1531" spans="1:23">
      <c r="A1531" s="2191" t="s">
        <v>428</v>
      </c>
      <c r="B1531" s="2192"/>
      <c r="C1531" s="2203">
        <f>SUM(C1533:C1534)</f>
        <v>770</v>
      </c>
      <c r="D1531" s="2203">
        <f t="shared" ref="D1531:N1531" si="368">SUM(D1533:D1534)</f>
        <v>0</v>
      </c>
      <c r="E1531" s="2203">
        <f t="shared" si="368"/>
        <v>41</v>
      </c>
      <c r="F1531" s="2203">
        <f t="shared" si="368"/>
        <v>0</v>
      </c>
      <c r="G1531" s="2203">
        <f t="shared" si="368"/>
        <v>3273</v>
      </c>
      <c r="H1531" s="2203">
        <f t="shared" si="368"/>
        <v>0</v>
      </c>
      <c r="I1531" s="2203">
        <f t="shared" si="368"/>
        <v>0</v>
      </c>
      <c r="J1531" s="2203">
        <f t="shared" si="368"/>
        <v>0</v>
      </c>
      <c r="K1531" s="2203">
        <f t="shared" si="368"/>
        <v>3509</v>
      </c>
      <c r="L1531" s="2203">
        <f t="shared" si="368"/>
        <v>0</v>
      </c>
      <c r="M1531" s="2203">
        <f t="shared" si="368"/>
        <v>0</v>
      </c>
      <c r="N1531" s="2203">
        <f t="shared" si="368"/>
        <v>0</v>
      </c>
      <c r="O1531" s="2203">
        <f>SUM(O1533:O1534)</f>
        <v>632.75</v>
      </c>
      <c r="P1531" s="1180">
        <f>O1525/M!$Q$14</f>
        <v>1.9795469236316355E-2</v>
      </c>
      <c r="Q1531" s="1235"/>
      <c r="R1531" s="1235"/>
      <c r="S1531" s="1235"/>
      <c r="T1531" s="1235"/>
      <c r="U1531" s="1235"/>
      <c r="V1531" s="1235"/>
      <c r="W1531" s="1235"/>
    </row>
    <row r="1532" spans="1:23">
      <c r="A1532" s="2193"/>
      <c r="B1532" s="2194"/>
      <c r="C1532" s="2204"/>
      <c r="D1532" s="2204"/>
      <c r="E1532" s="2204"/>
      <c r="F1532" s="2204"/>
      <c r="G1532" s="2204"/>
      <c r="H1532" s="2204"/>
      <c r="I1532" s="2204"/>
      <c r="J1532" s="2204"/>
      <c r="K1532" s="2204"/>
      <c r="L1532" s="2204"/>
      <c r="M1532" s="2204"/>
      <c r="N1532" s="2204"/>
      <c r="O1532" s="2204"/>
      <c r="P1532" s="1180">
        <f>O1526/M!$Q$14</f>
        <v>6.5013432372952921E-4</v>
      </c>
      <c r="Q1532" s="1235"/>
      <c r="R1532" s="1235"/>
      <c r="S1532" s="1235"/>
      <c r="T1532" s="1235"/>
      <c r="U1532" s="1235"/>
      <c r="V1532" s="1235"/>
      <c r="W1532" s="1235"/>
    </row>
    <row r="1533" spans="1:23">
      <c r="A1533" s="2217"/>
      <c r="B1533" s="1176" t="s">
        <v>429</v>
      </c>
      <c r="C1533" s="1177">
        <v>770</v>
      </c>
      <c r="D1533" s="1177">
        <v>0</v>
      </c>
      <c r="E1533" s="1177">
        <v>41</v>
      </c>
      <c r="F1533" s="1177">
        <v>0</v>
      </c>
      <c r="G1533" s="1177">
        <v>3273</v>
      </c>
      <c r="H1533" s="1177">
        <v>0</v>
      </c>
      <c r="I1533" s="1177">
        <v>0</v>
      </c>
      <c r="J1533" s="1177">
        <v>0</v>
      </c>
      <c r="K1533" s="1177">
        <v>3509</v>
      </c>
      <c r="L1533" s="1177">
        <v>0</v>
      </c>
      <c r="M1533" s="1177">
        <v>0</v>
      </c>
      <c r="N1533" s="1177">
        <v>0</v>
      </c>
      <c r="O1533" s="1179">
        <f>SUM(C1533:N1533)/12</f>
        <v>632.75</v>
      </c>
      <c r="P1533" s="1180">
        <f>O1527/M!$Q$14</f>
        <v>7.4728083187302214E-5</v>
      </c>
      <c r="Q1533" s="1235"/>
      <c r="R1533" s="1235"/>
      <c r="S1533" s="1235"/>
      <c r="T1533" s="1235"/>
      <c r="U1533" s="1235"/>
      <c r="V1533" s="1235"/>
      <c r="W1533" s="1235"/>
    </row>
    <row r="1534" spans="1:23">
      <c r="A1534" s="2218"/>
      <c r="B1534" s="1176" t="s">
        <v>430</v>
      </c>
      <c r="C1534" s="1177">
        <v>0</v>
      </c>
      <c r="D1534" s="1177">
        <v>0</v>
      </c>
      <c r="E1534" s="1177">
        <v>0</v>
      </c>
      <c r="F1534" s="1177">
        <v>0</v>
      </c>
      <c r="G1534" s="1177">
        <v>0</v>
      </c>
      <c r="H1534" s="1177">
        <v>0</v>
      </c>
      <c r="I1534" s="1177">
        <v>0</v>
      </c>
      <c r="J1534" s="1177">
        <v>0</v>
      </c>
      <c r="K1534" s="1177">
        <v>0</v>
      </c>
      <c r="L1534" s="1177">
        <v>0</v>
      </c>
      <c r="M1534" s="1177">
        <v>0</v>
      </c>
      <c r="N1534" s="1177">
        <v>0</v>
      </c>
      <c r="O1534" s="1179">
        <f>SUM(C1534:N1534)/12</f>
        <v>0</v>
      </c>
      <c r="P1534" s="1180">
        <f>O1528/M!$Q$14</f>
        <v>1.1007446653489615E-2</v>
      </c>
      <c r="Q1534" s="1235"/>
      <c r="R1534" s="1235"/>
      <c r="S1534" s="1235"/>
      <c r="T1534" s="1235"/>
      <c r="U1534" s="1235"/>
      <c r="V1534" s="1235"/>
      <c r="W1534" s="1235"/>
    </row>
    <row r="1535" spans="1:23">
      <c r="A1535" s="2191" t="s">
        <v>668</v>
      </c>
      <c r="B1535" s="2192"/>
      <c r="C1535" s="2203">
        <f>SUM(C1537:C1540)</f>
        <v>188.66666666666666</v>
      </c>
      <c r="D1535" s="2203">
        <f t="shared" ref="D1535:N1535" si="369">SUM(D1537:D1540)</f>
        <v>209.66666666666666</v>
      </c>
      <c r="E1535" s="2203">
        <f t="shared" si="369"/>
        <v>209.66666666666666</v>
      </c>
      <c r="F1535" s="2203">
        <f t="shared" si="369"/>
        <v>208.66666666666666</v>
      </c>
      <c r="G1535" s="2203">
        <f t="shared" si="369"/>
        <v>246.66666666666666</v>
      </c>
      <c r="H1535" s="2203">
        <f t="shared" si="369"/>
        <v>229.66666666666666</v>
      </c>
      <c r="I1535" s="2203">
        <f t="shared" si="369"/>
        <v>188.66666666666666</v>
      </c>
      <c r="J1535" s="2203">
        <f t="shared" si="369"/>
        <v>209.66666666666666</v>
      </c>
      <c r="K1535" s="2203">
        <f t="shared" si="369"/>
        <v>188.66666666666666</v>
      </c>
      <c r="L1535" s="2203">
        <f t="shared" si="369"/>
        <v>188.66666666666666</v>
      </c>
      <c r="M1535" s="2203">
        <f t="shared" si="369"/>
        <v>208.66666666666666</v>
      </c>
      <c r="N1535" s="2203">
        <f t="shared" si="369"/>
        <v>263.66666666666663</v>
      </c>
      <c r="O1535" s="2203">
        <f>SUM(O1537:O1540)</f>
        <v>211.75000000000003</v>
      </c>
      <c r="P1535" s="1180">
        <f>O1529/M!$Q$14</f>
        <v>6.7255274868571985E-4</v>
      </c>
      <c r="Q1535" s="1235"/>
      <c r="R1535" s="1235"/>
      <c r="S1535" s="1235"/>
      <c r="T1535" s="1235"/>
      <c r="U1535" s="1235"/>
      <c r="V1535" s="1235"/>
      <c r="W1535" s="1235"/>
    </row>
    <row r="1536" spans="1:23">
      <c r="A1536" s="2193"/>
      <c r="B1536" s="2194"/>
      <c r="C1536" s="2204"/>
      <c r="D1536" s="2204"/>
      <c r="E1536" s="2204"/>
      <c r="F1536" s="2204"/>
      <c r="G1536" s="2204"/>
      <c r="H1536" s="2204"/>
      <c r="I1536" s="2204"/>
      <c r="J1536" s="2204"/>
      <c r="K1536" s="2204"/>
      <c r="L1536" s="2204"/>
      <c r="M1536" s="2204"/>
      <c r="N1536" s="2204"/>
      <c r="O1536" s="2204"/>
      <c r="P1536" s="1180">
        <f>O1530/M!$Q$14</f>
        <v>2.5863389591125295E-2</v>
      </c>
      <c r="Q1536" s="1235"/>
      <c r="R1536" s="1235"/>
      <c r="S1536" s="1235"/>
      <c r="T1536" s="1235"/>
      <c r="U1536" s="1235"/>
      <c r="V1536" s="1235"/>
      <c r="W1536" s="1235"/>
    </row>
    <row r="1537" spans="1:23">
      <c r="A1537" s="1183"/>
      <c r="B1537" s="1176" t="s">
        <v>432</v>
      </c>
      <c r="C1537" s="1184">
        <f>(FinSnapshot!$G$94 +FinSnapshot!$G$96+FinSnapshot!$G$102+FinSnapshot!$G$104)/12</f>
        <v>141.16666666666666</v>
      </c>
      <c r="D1537" s="1184">
        <f>(FinSnapshot!$G$94 +FinSnapshot!$G$96+FinSnapshot!$G$102+FinSnapshot!$G$104)/12</f>
        <v>141.16666666666666</v>
      </c>
      <c r="E1537" s="1184">
        <f>(FinSnapshot!$G$94 +FinSnapshot!$G$96+FinSnapshot!$G$102+FinSnapshot!$G$104)/12</f>
        <v>141.16666666666666</v>
      </c>
      <c r="F1537" s="1184">
        <f>(FinSnapshot!$G$94 +FinSnapshot!$G$96+FinSnapshot!$G$102+FinSnapshot!$G$104)/12</f>
        <v>141.16666666666666</v>
      </c>
      <c r="G1537" s="1184">
        <f>(FinSnapshot!$G$94 +FinSnapshot!$G$96+FinSnapshot!$G$102+FinSnapshot!$G$104)/12</f>
        <v>141.16666666666666</v>
      </c>
      <c r="H1537" s="1184">
        <f>(FinSnapshot!$G$94 +FinSnapshot!$G$96+FinSnapshot!$G$102+FinSnapshot!$G$104)/12</f>
        <v>141.16666666666666</v>
      </c>
      <c r="I1537" s="1184">
        <f>(FinSnapshot!$G$94 +FinSnapshot!$G$96+FinSnapshot!$G$102+FinSnapshot!$G$104)/12</f>
        <v>141.16666666666666</v>
      </c>
      <c r="J1537" s="1184">
        <f>(FinSnapshot!$G$94 +FinSnapshot!$G$96+FinSnapshot!$G$102+FinSnapshot!$G$104)/12</f>
        <v>141.16666666666666</v>
      </c>
      <c r="K1537" s="1184">
        <f>(FinSnapshot!$G$94 +FinSnapshot!$G$96+FinSnapshot!$G$102+FinSnapshot!$G$104)/12</f>
        <v>141.16666666666666</v>
      </c>
      <c r="L1537" s="1184">
        <f>(FinSnapshot!$G$94 +FinSnapshot!$G$96+FinSnapshot!$G$102+FinSnapshot!$G$104)/12</f>
        <v>141.16666666666666</v>
      </c>
      <c r="M1537" s="1184">
        <f>(FinSnapshot!$G$94 +FinSnapshot!$G$96+FinSnapshot!$G$102+FinSnapshot!$G$104)/12</f>
        <v>141.16666666666666</v>
      </c>
      <c r="N1537" s="1184">
        <f>(FinSnapshot!$G$94 +FinSnapshot!$G$96+FinSnapshot!$G$102+FinSnapshot!$G$104)/12</f>
        <v>141.16666666666666</v>
      </c>
      <c r="O1537" s="1179">
        <f>SUM(C1537:N1537)/12</f>
        <v>141.16666666666669</v>
      </c>
      <c r="P1537" s="2205">
        <f>O1531/M!$Q$14</f>
        <v>5.6741033564118568E-2</v>
      </c>
      <c r="Q1537" s="1235"/>
      <c r="R1537" s="1235"/>
      <c r="S1537" s="1235"/>
      <c r="T1537" s="1235"/>
      <c r="U1537" s="1235"/>
      <c r="V1537" s="1235"/>
      <c r="W1537" s="1235"/>
    </row>
    <row r="1538" spans="1:23">
      <c r="A1538" s="1183"/>
      <c r="B1538" s="1176" t="s">
        <v>284</v>
      </c>
      <c r="C1538" s="1228">
        <v>0</v>
      </c>
      <c r="D1538" s="1228">
        <v>21</v>
      </c>
      <c r="E1538" s="1228">
        <v>21</v>
      </c>
      <c r="F1538" s="1228">
        <v>20</v>
      </c>
      <c r="G1538" s="1228">
        <v>58</v>
      </c>
      <c r="H1538" s="1228">
        <v>41</v>
      </c>
      <c r="I1538" s="1228">
        <v>0</v>
      </c>
      <c r="J1538" s="1228">
        <v>21</v>
      </c>
      <c r="K1538" s="1228">
        <v>0</v>
      </c>
      <c r="L1538" s="1228">
        <v>0</v>
      </c>
      <c r="M1538" s="1228">
        <v>20</v>
      </c>
      <c r="N1538" s="1228">
        <v>75</v>
      </c>
      <c r="O1538" s="1179">
        <f>SUM(C1538:N1538)/12</f>
        <v>23.083333333333332</v>
      </c>
      <c r="P1538" s="2206"/>
      <c r="Q1538" s="1235"/>
      <c r="R1538" s="1235"/>
      <c r="S1538" s="1235"/>
      <c r="T1538" s="1235"/>
      <c r="U1538" s="1235"/>
      <c r="V1538" s="1235"/>
      <c r="W1538" s="1235"/>
    </row>
    <row r="1539" spans="1:23">
      <c r="A1539" s="1183"/>
      <c r="B1539" s="1176" t="s">
        <v>433</v>
      </c>
      <c r="C1539" s="1178">
        <f>(FinSnapshot!$G$93+ FinSnapshot!$G$95+ FinSnapshot!$G$96+ FinSnapshot!$G$103 + FinSnapshot!$G$105+ FinSnapshot!$G$107+ FinSnapshot!$G$108+ FinSnapshot!$G$101+FinSnapshot!$G$95+FinSnapshot!$G$103)/12</f>
        <v>47.5</v>
      </c>
      <c r="D1539" s="1178">
        <f>(FinSnapshot!$G$93+ FinSnapshot!$G$95+ FinSnapshot!$G$96+ FinSnapshot!$G$103 + FinSnapshot!$G$105+ FinSnapshot!$G$107+ FinSnapshot!$G$108+ FinSnapshot!$G$101+FinSnapshot!$G$95+FinSnapshot!$G$103)/12</f>
        <v>47.5</v>
      </c>
      <c r="E1539" s="1178">
        <f>(FinSnapshot!$G$93+ FinSnapshot!$G$95+ FinSnapshot!$G$96+ FinSnapshot!$G$103 + FinSnapshot!$G$105+ FinSnapshot!$G$107+ FinSnapshot!$G$108+ FinSnapshot!$G$101+FinSnapshot!$G$95+FinSnapshot!$G$103)/12</f>
        <v>47.5</v>
      </c>
      <c r="F1539" s="1178">
        <f>(FinSnapshot!$G$93+ FinSnapshot!$G$95+ FinSnapshot!$G$96+ FinSnapshot!$G$103 + FinSnapshot!$G$105+ FinSnapshot!$G$107+ FinSnapshot!$G$108+ FinSnapshot!$G$101+FinSnapshot!$G$95+FinSnapshot!$G$103)/12</f>
        <v>47.5</v>
      </c>
      <c r="G1539" s="1178">
        <f>(FinSnapshot!$G$93+ FinSnapshot!$G$95+ FinSnapshot!$G$96+ FinSnapshot!$G$103 + FinSnapshot!$G$105+ FinSnapshot!$G$107+ FinSnapshot!$G$108+ FinSnapshot!$G$101+FinSnapshot!$G$95+FinSnapshot!$G$103)/12</f>
        <v>47.5</v>
      </c>
      <c r="H1539" s="1178">
        <f>(FinSnapshot!$G$93+ FinSnapshot!$G$95+ FinSnapshot!$G$96+ FinSnapshot!$G$103 + FinSnapshot!$G$105+ FinSnapshot!$G$107+ FinSnapshot!$G$108+ FinSnapshot!$G$101+FinSnapshot!$G$95+FinSnapshot!$G$103)/12</f>
        <v>47.5</v>
      </c>
      <c r="I1539" s="1178">
        <f>(FinSnapshot!$G$93+ FinSnapshot!$G$95+ FinSnapshot!$G$96+ FinSnapshot!$G$103 + FinSnapshot!$G$105+ FinSnapshot!$G$107+ FinSnapshot!$G$108+ FinSnapshot!$G$101+FinSnapshot!$G$95+FinSnapshot!$G$103)/12</f>
        <v>47.5</v>
      </c>
      <c r="J1539" s="1178">
        <f>(FinSnapshot!$G$93+ FinSnapshot!$G$95+ FinSnapshot!$G$96+ FinSnapshot!$G$103 + FinSnapshot!$G$105+ FinSnapshot!$G$107+ FinSnapshot!$G$108+ FinSnapshot!$G$101+FinSnapshot!$G$95+FinSnapshot!$G$103)/12</f>
        <v>47.5</v>
      </c>
      <c r="K1539" s="1178">
        <f>(FinSnapshot!$G$93+ FinSnapshot!$G$95+ FinSnapshot!$G$96+ FinSnapshot!$G$103 + FinSnapshot!$G$105+ FinSnapshot!$G$107+ FinSnapshot!$G$108+ FinSnapshot!$G$101+FinSnapshot!$G$95+FinSnapshot!$G$103)/12</f>
        <v>47.5</v>
      </c>
      <c r="L1539" s="1178">
        <f>(FinSnapshot!$G$93+ FinSnapshot!$G$95+ FinSnapshot!$G$96+ FinSnapshot!$G$103 + FinSnapshot!$G$105+ FinSnapshot!$G$107+ FinSnapshot!$G$108+ FinSnapshot!$G$101+FinSnapshot!$G$95+FinSnapshot!$G$103)/12</f>
        <v>47.5</v>
      </c>
      <c r="M1539" s="1178">
        <f>(FinSnapshot!$G$93+ FinSnapshot!$G$95+ FinSnapshot!$G$96+ FinSnapshot!$G$103 + FinSnapshot!$G$105+ FinSnapshot!$G$107+ FinSnapshot!$G$108+ FinSnapshot!$G$101+FinSnapshot!$G$95+FinSnapshot!$G$103)/12</f>
        <v>47.5</v>
      </c>
      <c r="N1539" s="1178">
        <f>(FinSnapshot!$G$93+ FinSnapshot!$G$95+ FinSnapshot!$G$96+ FinSnapshot!$G$103 + FinSnapshot!$G$105+ FinSnapshot!$G$107+ FinSnapshot!$G$108+ FinSnapshot!$G$101+FinSnapshot!$G$95+FinSnapshot!$G$103)/12</f>
        <v>47.5</v>
      </c>
      <c r="O1539" s="1179">
        <f>SUM(C1539:N1539)/12</f>
        <v>47.5</v>
      </c>
      <c r="P1539" s="1180">
        <f>O1533/M!$Q$14</f>
        <v>5.6741033564118568E-2</v>
      </c>
      <c r="Q1539" s="1235"/>
      <c r="R1539" s="1235"/>
      <c r="S1539" s="1235"/>
      <c r="T1539" s="1235"/>
      <c r="U1539" s="1235"/>
      <c r="V1539" s="1235"/>
      <c r="W1539" s="1235"/>
    </row>
    <row r="1540" spans="1:23">
      <c r="A1540" s="1183"/>
      <c r="B1540" s="1176" t="s">
        <v>434</v>
      </c>
      <c r="C1540" s="1184">
        <v>0</v>
      </c>
      <c r="D1540" s="1184">
        <v>0</v>
      </c>
      <c r="E1540" s="1184">
        <v>0</v>
      </c>
      <c r="F1540" s="1184">
        <v>0</v>
      </c>
      <c r="G1540" s="1184">
        <v>0</v>
      </c>
      <c r="H1540" s="1184">
        <v>0</v>
      </c>
      <c r="I1540" s="1184">
        <v>0</v>
      </c>
      <c r="J1540" s="1184">
        <v>0</v>
      </c>
      <c r="K1540" s="1184">
        <v>0</v>
      </c>
      <c r="L1540" s="1184">
        <v>0</v>
      </c>
      <c r="M1540" s="1184">
        <v>0</v>
      </c>
      <c r="N1540" s="1184">
        <v>0</v>
      </c>
      <c r="O1540" s="1179">
        <f>SUM(C1540:N1540)/12</f>
        <v>0</v>
      </c>
      <c r="P1540" s="1180">
        <f>O1534/M!$Q$14</f>
        <v>0</v>
      </c>
      <c r="Q1540" s="1235"/>
      <c r="R1540" s="1235"/>
      <c r="S1540" s="1235"/>
      <c r="T1540" s="1235"/>
      <c r="U1540" s="1235"/>
      <c r="V1540" s="1235"/>
      <c r="W1540" s="1235"/>
    </row>
    <row r="1541" spans="1:23">
      <c r="A1541" s="2191" t="s">
        <v>435</v>
      </c>
      <c r="B1541" s="2192"/>
      <c r="C1541" s="2203">
        <f>SUM(C1543:C1545)</f>
        <v>2362</v>
      </c>
      <c r="D1541" s="2203">
        <f t="shared" ref="D1541:N1541" si="370">SUM(D1543:D1545)</f>
        <v>0</v>
      </c>
      <c r="E1541" s="2203">
        <f t="shared" si="370"/>
        <v>50</v>
      </c>
      <c r="F1541" s="2203">
        <f t="shared" si="370"/>
        <v>281</v>
      </c>
      <c r="G1541" s="2203">
        <f t="shared" si="370"/>
        <v>50</v>
      </c>
      <c r="H1541" s="2203">
        <f t="shared" si="370"/>
        <v>0</v>
      </c>
      <c r="I1541" s="2203">
        <f t="shared" si="370"/>
        <v>0</v>
      </c>
      <c r="J1541" s="2203">
        <f t="shared" si="370"/>
        <v>0</v>
      </c>
      <c r="K1541" s="2203">
        <f t="shared" si="370"/>
        <v>39</v>
      </c>
      <c r="L1541" s="2203">
        <f t="shared" si="370"/>
        <v>0</v>
      </c>
      <c r="M1541" s="2203">
        <f t="shared" si="370"/>
        <v>25</v>
      </c>
      <c r="N1541" s="2203">
        <f t="shared" si="370"/>
        <v>25</v>
      </c>
      <c r="O1541" s="2203">
        <f>SUM(O1543:O1545)</f>
        <v>236</v>
      </c>
      <c r="P1541" s="2205">
        <f>O1535/M!$Q$14</f>
        <v>1.8988405937893495E-2</v>
      </c>
      <c r="Q1541" s="1235"/>
      <c r="R1541" s="1235"/>
      <c r="S1541" s="1235"/>
      <c r="T1541" s="1235"/>
      <c r="U1541" s="1235"/>
      <c r="V1541" s="1235"/>
      <c r="W1541" s="1235"/>
    </row>
    <row r="1542" spans="1:23">
      <c r="A1542" s="2193"/>
      <c r="B1542" s="2194"/>
      <c r="C1542" s="2204"/>
      <c r="D1542" s="2204"/>
      <c r="E1542" s="2204"/>
      <c r="F1542" s="2204"/>
      <c r="G1542" s="2204"/>
      <c r="H1542" s="2204"/>
      <c r="I1542" s="2204"/>
      <c r="J1542" s="2204"/>
      <c r="K1542" s="2204"/>
      <c r="L1542" s="2204"/>
      <c r="M1542" s="2204"/>
      <c r="N1542" s="2204"/>
      <c r="O1542" s="2204"/>
      <c r="P1542" s="2206"/>
      <c r="Q1542" s="1235"/>
      <c r="R1542" s="1235"/>
      <c r="S1542" s="1235"/>
      <c r="T1542" s="1235"/>
      <c r="U1542" s="1235"/>
      <c r="V1542" s="1235"/>
      <c r="W1542" s="1235"/>
    </row>
    <row r="1543" spans="1:23">
      <c r="A1543" s="1183"/>
      <c r="B1543" s="1176" t="s">
        <v>405</v>
      </c>
      <c r="C1543" s="1228">
        <v>0</v>
      </c>
      <c r="D1543" s="1228">
        <v>0</v>
      </c>
      <c r="E1543" s="1228">
        <v>0</v>
      </c>
      <c r="F1543" s="1228">
        <v>0</v>
      </c>
      <c r="G1543" s="1228">
        <v>0</v>
      </c>
      <c r="H1543" s="1228">
        <v>0</v>
      </c>
      <c r="I1543" s="1229">
        <v>0</v>
      </c>
      <c r="J1543" s="1229">
        <v>0</v>
      </c>
      <c r="K1543" s="1229">
        <v>0</v>
      </c>
      <c r="L1543" s="1229">
        <v>0</v>
      </c>
      <c r="M1543" s="1229">
        <v>0</v>
      </c>
      <c r="N1543" s="1229">
        <v>0</v>
      </c>
      <c r="O1543" s="1179">
        <f>SUM(C1543:N1543)/12</f>
        <v>0</v>
      </c>
      <c r="P1543" s="1180">
        <f>O1537/M!$Q$14</f>
        <v>1.2658937291928995E-2</v>
      </c>
      <c r="Q1543" s="1235"/>
      <c r="R1543" s="1235"/>
      <c r="S1543" s="1235"/>
      <c r="T1543" s="1235"/>
      <c r="U1543" s="1235"/>
      <c r="V1543" s="1235"/>
      <c r="W1543" s="1235"/>
    </row>
    <row r="1544" spans="1:23">
      <c r="A1544" s="1183"/>
      <c r="B1544" s="1176" t="s">
        <v>436</v>
      </c>
      <c r="C1544" s="1228">
        <v>0</v>
      </c>
      <c r="D1544" s="1228">
        <v>0</v>
      </c>
      <c r="E1544" s="1228">
        <v>50</v>
      </c>
      <c r="F1544" s="1228">
        <v>33</v>
      </c>
      <c r="G1544" s="1228">
        <v>50</v>
      </c>
      <c r="H1544" s="1228">
        <v>0</v>
      </c>
      <c r="I1544" s="1229">
        <v>0</v>
      </c>
      <c r="J1544" s="1229">
        <v>0</v>
      </c>
      <c r="K1544" s="1229">
        <v>39</v>
      </c>
      <c r="L1544" s="1229">
        <v>0</v>
      </c>
      <c r="M1544" s="1229">
        <v>25</v>
      </c>
      <c r="N1544" s="1229">
        <v>25</v>
      </c>
      <c r="O1544" s="1179">
        <f>SUM(C1544:N1544)/12</f>
        <v>18.5</v>
      </c>
      <c r="P1544" s="1180">
        <f>O1538/M!$Q$14</f>
        <v>2.0699679042882712E-3</v>
      </c>
      <c r="Q1544" s="1235"/>
      <c r="R1544" s="1235"/>
      <c r="S1544" s="1235"/>
      <c r="T1544" s="1235"/>
      <c r="U1544" s="1235"/>
      <c r="V1544" s="1235"/>
      <c r="W1544" s="1235"/>
    </row>
    <row r="1545" spans="1:23">
      <c r="A1545" s="1183"/>
      <c r="B1545" s="1176" t="s">
        <v>130</v>
      </c>
      <c r="C1545" s="1228">
        <v>2362</v>
      </c>
      <c r="D1545" s="1228">
        <v>0</v>
      </c>
      <c r="E1545" s="1228">
        <v>0</v>
      </c>
      <c r="F1545" s="1228">
        <v>248</v>
      </c>
      <c r="G1545" s="1228">
        <v>0</v>
      </c>
      <c r="H1545" s="1228">
        <v>0</v>
      </c>
      <c r="I1545" s="1229">
        <v>0</v>
      </c>
      <c r="J1545" s="1229">
        <v>0</v>
      </c>
      <c r="K1545" s="1229">
        <v>0</v>
      </c>
      <c r="L1545" s="1229">
        <v>0</v>
      </c>
      <c r="M1545" s="1229">
        <v>0</v>
      </c>
      <c r="N1545" s="1229">
        <v>0</v>
      </c>
      <c r="O1545" s="1179">
        <f>SUM(C1545:N1545)/12</f>
        <v>217.5</v>
      </c>
      <c r="P1545" s="1180">
        <f>O1539/M!$Q$14</f>
        <v>4.2595007416762259E-3</v>
      </c>
      <c r="Q1545" s="1235"/>
      <c r="R1545" s="1235"/>
      <c r="S1545" s="1235"/>
      <c r="T1545" s="1235"/>
      <c r="U1545" s="1235"/>
      <c r="V1545" s="1235"/>
      <c r="W1545" s="1235"/>
    </row>
    <row r="1546" spans="1:23">
      <c r="A1546" s="2191" t="s">
        <v>286</v>
      </c>
      <c r="B1546" s="2192"/>
      <c r="C1546" s="2203">
        <f t="shared" ref="C1546:N1546" si="371">SUM(C1548:C1549)</f>
        <v>1508</v>
      </c>
      <c r="D1546" s="2203">
        <f t="shared" si="371"/>
        <v>1555</v>
      </c>
      <c r="E1546" s="2203">
        <f t="shared" si="371"/>
        <v>1550</v>
      </c>
      <c r="F1546" s="2203">
        <f t="shared" si="371"/>
        <v>1525</v>
      </c>
      <c r="G1546" s="2203">
        <f t="shared" si="371"/>
        <v>1540</v>
      </c>
      <c r="H1546" s="2203">
        <f t="shared" si="371"/>
        <v>3055</v>
      </c>
      <c r="I1546" s="2203">
        <f t="shared" si="371"/>
        <v>1520</v>
      </c>
      <c r="J1546" s="2203">
        <f t="shared" si="371"/>
        <v>1700</v>
      </c>
      <c r="K1546" s="2203">
        <f t="shared" si="371"/>
        <v>1700</v>
      </c>
      <c r="L1546" s="2203">
        <f t="shared" si="371"/>
        <v>1700</v>
      </c>
      <c r="M1546" s="2203">
        <f t="shared" si="371"/>
        <v>1500</v>
      </c>
      <c r="N1546" s="2203">
        <f t="shared" si="371"/>
        <v>1700</v>
      </c>
      <c r="O1546" s="2203">
        <f>SUM(O1548:O1549)</f>
        <v>1712.75</v>
      </c>
      <c r="P1546" s="1180">
        <f>O1540/M!$Q$14</f>
        <v>0</v>
      </c>
      <c r="Q1546" s="1235"/>
      <c r="R1546" s="1235"/>
      <c r="S1546" s="1235"/>
      <c r="T1546" s="1235"/>
      <c r="U1546" s="1235"/>
      <c r="V1546" s="1235"/>
      <c r="W1546" s="1235"/>
    </row>
    <row r="1547" spans="1:23">
      <c r="A1547" s="2193"/>
      <c r="B1547" s="2194"/>
      <c r="C1547" s="2204"/>
      <c r="D1547" s="2204"/>
      <c r="E1547" s="2204"/>
      <c r="F1547" s="2204"/>
      <c r="G1547" s="2204"/>
      <c r="H1547" s="2204"/>
      <c r="I1547" s="2204"/>
      <c r="J1547" s="2204"/>
      <c r="K1547" s="2204"/>
      <c r="L1547" s="2204"/>
      <c r="M1547" s="2204"/>
      <c r="N1547" s="2204"/>
      <c r="O1547" s="2204"/>
      <c r="P1547" s="2205">
        <f>O1541/M!$Q$14</f>
        <v>2.1162993158643985E-2</v>
      </c>
      <c r="Q1547" s="1235"/>
      <c r="R1547" s="1235"/>
      <c r="S1547" s="1235"/>
      <c r="T1547" s="1235"/>
      <c r="U1547" s="1235"/>
      <c r="V1547" s="1235"/>
      <c r="W1547" s="1235"/>
    </row>
    <row r="1548" spans="1:23">
      <c r="A1548" s="2217"/>
      <c r="B1548" s="1176" t="s">
        <v>82</v>
      </c>
      <c r="C1548" s="1228">
        <v>1508</v>
      </c>
      <c r="D1548" s="1228">
        <v>1555</v>
      </c>
      <c r="E1548" s="1228">
        <v>1550</v>
      </c>
      <c r="F1548" s="1228">
        <v>1525</v>
      </c>
      <c r="G1548" s="1228">
        <v>1540</v>
      </c>
      <c r="H1548" s="1228">
        <v>2555</v>
      </c>
      <c r="I1548" s="1229">
        <v>1520</v>
      </c>
      <c r="J1548" s="1229">
        <v>1700</v>
      </c>
      <c r="K1548" s="1229">
        <v>1700</v>
      </c>
      <c r="L1548" s="1229">
        <v>1700</v>
      </c>
      <c r="M1548" s="1229">
        <v>1500</v>
      </c>
      <c r="N1548" s="1229">
        <v>1700</v>
      </c>
      <c r="O1548" s="1179">
        <f>SUM(C1548:N1548)/12</f>
        <v>1671.0833333333333</v>
      </c>
      <c r="P1548" s="2206"/>
      <c r="Q1548" s="1235"/>
      <c r="R1548" s="1235"/>
      <c r="S1548" s="1235"/>
      <c r="T1548" s="1235"/>
      <c r="U1548" s="1235"/>
      <c r="V1548" s="1235"/>
      <c r="W1548" s="1235"/>
    </row>
    <row r="1549" spans="1:23">
      <c r="A1549" s="2219"/>
      <c r="B1549" s="1176" t="s">
        <v>83</v>
      </c>
      <c r="C1549" s="1228">
        <v>0</v>
      </c>
      <c r="D1549" s="1228">
        <v>0</v>
      </c>
      <c r="E1549" s="1228">
        <v>0</v>
      </c>
      <c r="F1549" s="1228">
        <v>0</v>
      </c>
      <c r="G1549" s="1228">
        <v>0</v>
      </c>
      <c r="H1549" s="1228">
        <v>500</v>
      </c>
      <c r="I1549" s="1229">
        <v>0</v>
      </c>
      <c r="J1549" s="1229">
        <v>0</v>
      </c>
      <c r="K1549" s="1229">
        <v>0</v>
      </c>
      <c r="L1549" s="1229">
        <v>0</v>
      </c>
      <c r="M1549" s="1229">
        <v>0</v>
      </c>
      <c r="N1549" s="1229">
        <v>0</v>
      </c>
      <c r="O1549" s="1179">
        <f>SUM(C1549:N1549)/12</f>
        <v>41.666666666666664</v>
      </c>
      <c r="P1549" s="1180">
        <f>O1543/M!$Q$14</f>
        <v>0</v>
      </c>
      <c r="Q1549" s="1235"/>
      <c r="R1549" s="1235"/>
      <c r="S1549" s="1235"/>
      <c r="T1549" s="1235"/>
      <c r="U1549" s="1235"/>
      <c r="V1549" s="1235"/>
      <c r="W1549" s="1235"/>
    </row>
    <row r="1550" spans="1:23">
      <c r="A1550" s="1187" t="s">
        <v>437</v>
      </c>
      <c r="B1550" s="1188"/>
      <c r="C1550" s="1189">
        <f t="shared" ref="C1550:O1550" si="372">C1480+C1494+C1502+C1508+C1512+C1522+C1531+C1535+C1541+C1546</f>
        <v>9598.6666666666679</v>
      </c>
      <c r="D1550" s="1189">
        <f t="shared" si="372"/>
        <v>5674.666666666667</v>
      </c>
      <c r="E1550" s="1189">
        <f t="shared" si="372"/>
        <v>8183.666666666667</v>
      </c>
      <c r="F1550" s="1189">
        <f t="shared" si="372"/>
        <v>5737.6666666666661</v>
      </c>
      <c r="G1550" s="1189">
        <f t="shared" si="372"/>
        <v>9511.6666666666679</v>
      </c>
      <c r="H1550" s="1189">
        <f t="shared" si="372"/>
        <v>8655.6666666666679</v>
      </c>
      <c r="I1550" s="1189">
        <f t="shared" si="372"/>
        <v>7081.666666666667</v>
      </c>
      <c r="J1550" s="1189">
        <f t="shared" si="372"/>
        <v>6232.666666666667</v>
      </c>
      <c r="K1550" s="1189">
        <f t="shared" si="372"/>
        <v>9424.6666666666679</v>
      </c>
      <c r="L1550" s="1189">
        <f t="shared" si="372"/>
        <v>7160.666666666667</v>
      </c>
      <c r="M1550" s="1189">
        <f t="shared" si="372"/>
        <v>6183.666666666667</v>
      </c>
      <c r="N1550" s="1189">
        <f t="shared" si="372"/>
        <v>6525.666666666667</v>
      </c>
      <c r="O1550" s="1189">
        <f t="shared" si="372"/>
        <v>7497.583333333333</v>
      </c>
      <c r="P1550" s="1180">
        <f>O1544/M!$Q$14</f>
        <v>1.6589634467581091E-3</v>
      </c>
      <c r="Q1550" s="1235"/>
      <c r="R1550" s="1235"/>
      <c r="S1550" s="1235"/>
      <c r="T1550" s="1235"/>
      <c r="U1550" s="1235"/>
      <c r="V1550" s="1235"/>
      <c r="W1550" s="1235"/>
    </row>
    <row r="1551" spans="1:23">
      <c r="A1551" s="1191" t="s">
        <v>658</v>
      </c>
      <c r="B1551" s="1192"/>
      <c r="C1551" s="1193">
        <f>C1550/M!$Q$14</f>
        <v>0.86074795338462184</v>
      </c>
      <c r="D1551" s="1193">
        <f>D1550/M!$Q$14</f>
        <v>0.50886835527225316</v>
      </c>
      <c r="E1551" s="1193">
        <f>E1550/M!$Q$14</f>
        <v>0.73385966813258263</v>
      </c>
      <c r="F1551" s="1193">
        <f>F1550/M!$Q$14</f>
        <v>0.51451779836121314</v>
      </c>
      <c r="G1551" s="1193">
        <f>G1550/M!$Q$14</f>
        <v>0.85294634149986748</v>
      </c>
      <c r="H1551" s="1193">
        <f>H1550/M!$Q$14</f>
        <v>0.77618565444987064</v>
      </c>
      <c r="I1551" s="1193">
        <f>I1550/M!$Q$14</f>
        <v>0.63503925092569424</v>
      </c>
      <c r="J1551" s="1193">
        <f>J1550/M!$Q$14</f>
        <v>0.55890627977447072</v>
      </c>
      <c r="K1551" s="1193">
        <f>K1550/M!$Q$14</f>
        <v>0.84514472961511311</v>
      </c>
      <c r="L1551" s="1193">
        <f>L1550/M!$Q$14</f>
        <v>0.64212347321185048</v>
      </c>
      <c r="M1551" s="1193">
        <f>M1550/M!$Q$14</f>
        <v>0.55451226848305735</v>
      </c>
      <c r="N1551" s="1193">
        <f>N1550/M!$Q$14</f>
        <v>0.58518067382312611</v>
      </c>
      <c r="O1551" s="1193">
        <f>O1550/M!$Q$14</f>
        <v>0.67233603724447666</v>
      </c>
      <c r="P1551" s="1180">
        <f>O1545/M!$Q$14</f>
        <v>1.9504029711885876E-2</v>
      </c>
      <c r="Q1551" s="1235"/>
      <c r="R1551" s="1235"/>
      <c r="S1551" s="1235"/>
      <c r="T1551" s="1235"/>
      <c r="U1551" s="1235"/>
      <c r="V1551" s="1235"/>
      <c r="W1551" s="1235"/>
    </row>
    <row r="1552" spans="1:23">
      <c r="A1552" s="1235"/>
      <c r="B1552" s="1235"/>
      <c r="C1552" s="1235"/>
      <c r="D1552" s="1235"/>
      <c r="E1552" s="1235"/>
      <c r="F1552" s="1235"/>
      <c r="G1552" s="1235"/>
      <c r="H1552" s="1235"/>
      <c r="I1552" s="1235"/>
      <c r="J1552" s="1235"/>
      <c r="K1552" s="1235"/>
      <c r="L1552" s="1235"/>
      <c r="M1552" s="1235"/>
      <c r="N1552" s="1235"/>
      <c r="O1552" s="1235"/>
      <c r="P1552" s="2205">
        <f>O1546/M!$Q$14</f>
        <v>0.15358862937486223</v>
      </c>
      <c r="Q1552" s="1235"/>
      <c r="R1552" s="1235"/>
      <c r="S1552" s="1235"/>
      <c r="T1552" s="1235"/>
      <c r="U1552" s="1235"/>
      <c r="V1552" s="1235"/>
      <c r="W1552" s="1235"/>
    </row>
    <row r="1553" spans="1:23">
      <c r="A1553" s="1235"/>
      <c r="B1553" s="1235"/>
      <c r="C1553" s="1235"/>
      <c r="D1553" s="1235"/>
      <c r="E1553" s="1235"/>
      <c r="F1553" s="1235"/>
      <c r="G1553" s="1235"/>
      <c r="H1553" s="1235"/>
      <c r="I1553" s="1235"/>
      <c r="J1553" s="1235"/>
      <c r="K1553" s="1235"/>
      <c r="L1553" s="1235"/>
      <c r="M1553" s="1235"/>
      <c r="N1553" s="1235"/>
      <c r="O1553" s="1235"/>
      <c r="P1553" s="2206"/>
      <c r="Q1553" s="1235"/>
      <c r="R1553" s="1235"/>
      <c r="S1553" s="1235"/>
      <c r="T1553" s="1235"/>
      <c r="U1553" s="1235"/>
      <c r="V1553" s="1235"/>
      <c r="W1553" s="1235"/>
    </row>
    <row r="1554" spans="1:23">
      <c r="A1554" s="1235"/>
      <c r="B1554" s="1235"/>
      <c r="C1554" s="1235"/>
      <c r="D1554" s="1235"/>
      <c r="E1554" s="1235"/>
      <c r="F1554" s="1235"/>
      <c r="G1554" s="1235"/>
      <c r="H1554" s="1235"/>
      <c r="I1554" s="1235"/>
      <c r="J1554" s="1235"/>
      <c r="K1554" s="1235"/>
      <c r="L1554" s="1235"/>
      <c r="M1554" s="1235"/>
      <c r="N1554" s="1235"/>
      <c r="O1554" s="1235"/>
      <c r="P1554" s="1180">
        <f>O1548/M!$Q$14</f>
        <v>0.1498522252154971</v>
      </c>
      <c r="Q1554" s="1235"/>
      <c r="R1554" s="1235"/>
      <c r="S1554" s="1235"/>
      <c r="T1554" s="1235"/>
      <c r="U1554" s="1235"/>
      <c r="V1554" s="1235"/>
      <c r="W1554" s="1235"/>
    </row>
    <row r="1555" spans="1:23">
      <c r="A1555" s="1235"/>
      <c r="B1555" s="1235"/>
      <c r="C1555" s="1235"/>
      <c r="D1555" s="1235"/>
      <c r="E1555" s="1235"/>
      <c r="F1555" s="1235"/>
      <c r="G1555" s="1235"/>
      <c r="H1555" s="1235"/>
      <c r="I1555" s="1235"/>
      <c r="J1555" s="1235"/>
      <c r="K1555" s="1235"/>
      <c r="L1555" s="1235"/>
      <c r="M1555" s="1235"/>
      <c r="N1555" s="1235"/>
      <c r="O1555" s="1235"/>
      <c r="P1555" s="1180">
        <f>O1549/M!$Q$14</f>
        <v>3.7364041593651101E-3</v>
      </c>
      <c r="Q1555" s="1235"/>
      <c r="R1555" s="1235"/>
      <c r="S1555" s="1235"/>
      <c r="T1555" s="1235"/>
      <c r="U1555" s="1235"/>
      <c r="V1555" s="1235"/>
      <c r="W1555" s="1235"/>
    </row>
    <row r="1556" spans="1:23">
      <c r="A1556" s="2195">
        <v>2006</v>
      </c>
      <c r="B1556" s="2196"/>
      <c r="C1556" s="2196"/>
      <c r="D1556" s="2196"/>
      <c r="E1556" s="2196"/>
      <c r="F1556" s="2196"/>
      <c r="G1556" s="2196"/>
      <c r="H1556" s="2196"/>
      <c r="I1556" s="2196"/>
      <c r="J1556" s="2196"/>
      <c r="K1556" s="2196"/>
      <c r="L1556" s="2196"/>
      <c r="M1556" s="2196"/>
      <c r="N1556" s="2196"/>
      <c r="O1556" s="2196"/>
      <c r="P1556" s="1190">
        <f>O1550/M!$Q$14</f>
        <v>0.67233603724447666</v>
      </c>
      <c r="Q1556" s="1235"/>
      <c r="R1556" s="1235"/>
      <c r="S1556" s="1235"/>
      <c r="T1556" s="1235"/>
      <c r="U1556" s="1235"/>
      <c r="V1556" s="1235"/>
      <c r="W1556" s="1235"/>
    </row>
    <row r="1557" spans="1:23">
      <c r="A1557" s="1171" t="s">
        <v>388</v>
      </c>
      <c r="B1557" s="1172"/>
      <c r="C1557" s="1173" t="s">
        <v>309</v>
      </c>
      <c r="D1557" s="1173" t="s">
        <v>311</v>
      </c>
      <c r="E1557" s="1173" t="s">
        <v>312</v>
      </c>
      <c r="F1557" s="1173" t="s">
        <v>313</v>
      </c>
      <c r="G1557" s="1173" t="s">
        <v>314</v>
      </c>
      <c r="H1557" s="1173" t="s">
        <v>315</v>
      </c>
      <c r="I1557" s="1173" t="s">
        <v>316</v>
      </c>
      <c r="J1557" s="1173" t="s">
        <v>317</v>
      </c>
      <c r="K1557" s="1173" t="s">
        <v>318</v>
      </c>
      <c r="L1557" s="1173" t="s">
        <v>319</v>
      </c>
      <c r="M1557" s="1173" t="s">
        <v>320</v>
      </c>
      <c r="N1557" s="1173" t="s">
        <v>321</v>
      </c>
      <c r="O1557" s="1174" t="s">
        <v>660</v>
      </c>
      <c r="P1557" s="1194"/>
      <c r="Q1557" s="1235"/>
      <c r="R1557" s="1235"/>
      <c r="S1557" s="1235"/>
      <c r="T1557" s="1235"/>
      <c r="U1557" s="1235"/>
      <c r="V1557" s="1235"/>
      <c r="W1557" s="1235"/>
    </row>
    <row r="1558" spans="1:23">
      <c r="A1558" s="2191" t="s">
        <v>56</v>
      </c>
      <c r="B1558" s="2192"/>
      <c r="C1558" s="2203">
        <f t="shared" ref="C1558:I1558" si="373">C1560+ SUM(C1566:C1571)</f>
        <v>2663</v>
      </c>
      <c r="D1558" s="2203">
        <f t="shared" si="373"/>
        <v>2563</v>
      </c>
      <c r="E1558" s="2203">
        <f t="shared" si="373"/>
        <v>2559</v>
      </c>
      <c r="F1558" s="2203">
        <f t="shared" si="373"/>
        <v>2561</v>
      </c>
      <c r="G1558" s="2203">
        <f t="shared" si="373"/>
        <v>2562</v>
      </c>
      <c r="H1558" s="2203">
        <f t="shared" si="373"/>
        <v>2562</v>
      </c>
      <c r="I1558" s="2203">
        <f t="shared" si="373"/>
        <v>2722</v>
      </c>
      <c r="J1558" s="2203">
        <f t="shared" ref="J1558:O1558" si="374">J1560+ SUM(J1566:J1571)</f>
        <v>2513</v>
      </c>
      <c r="K1558" s="2203">
        <f t="shared" si="374"/>
        <v>2778</v>
      </c>
      <c r="L1558" s="2203">
        <f t="shared" si="374"/>
        <v>2780</v>
      </c>
      <c r="M1558" s="2203">
        <f t="shared" si="374"/>
        <v>2782</v>
      </c>
      <c r="N1558" s="2203">
        <f t="shared" si="374"/>
        <v>2514</v>
      </c>
      <c r="O1558" s="2203">
        <f t="shared" si="374"/>
        <v>2629.9166666666665</v>
      </c>
      <c r="P1558" s="1235"/>
      <c r="Q1558" s="1235"/>
      <c r="R1558" s="1235"/>
      <c r="S1558" s="1235"/>
      <c r="T1558" s="1235"/>
      <c r="U1558" s="1235"/>
      <c r="V1558" s="1235"/>
      <c r="W1558" s="1235"/>
    </row>
    <row r="1559" spans="1:23">
      <c r="A1559" s="2193"/>
      <c r="B1559" s="2194"/>
      <c r="C1559" s="2204"/>
      <c r="D1559" s="2204"/>
      <c r="E1559" s="2204"/>
      <c r="F1559" s="2204"/>
      <c r="G1559" s="2204"/>
      <c r="H1559" s="2204"/>
      <c r="I1559" s="2204"/>
      <c r="J1559" s="2204"/>
      <c r="K1559" s="2204"/>
      <c r="L1559" s="2204"/>
      <c r="M1559" s="2204"/>
      <c r="N1559" s="2204"/>
      <c r="O1559" s="2204"/>
      <c r="P1559" s="1235"/>
      <c r="Q1559" s="1235"/>
      <c r="R1559" s="1235"/>
      <c r="S1559" s="1235"/>
      <c r="T1559" s="1235"/>
      <c r="U1559" s="1235"/>
      <c r="V1559" s="1235"/>
      <c r="W1559" s="1235"/>
    </row>
    <row r="1560" spans="1:23">
      <c r="A1560" s="2217"/>
      <c r="B1560" s="1176" t="s">
        <v>662</v>
      </c>
      <c r="C1560" s="1228">
        <f>SUM(C1561:C1565)</f>
        <v>2004</v>
      </c>
      <c r="D1560" s="1228">
        <f t="shared" ref="D1560:N1560" si="375">SUM(D1561:D1565)</f>
        <v>1904</v>
      </c>
      <c r="E1560" s="1228">
        <f t="shared" si="375"/>
        <v>1900</v>
      </c>
      <c r="F1560" s="1228">
        <f t="shared" si="375"/>
        <v>1902</v>
      </c>
      <c r="G1560" s="1228">
        <f t="shared" si="375"/>
        <v>1903</v>
      </c>
      <c r="H1560" s="1228">
        <f t="shared" si="375"/>
        <v>1903</v>
      </c>
      <c r="I1560" s="1228">
        <f t="shared" si="375"/>
        <v>1904</v>
      </c>
      <c r="J1560" s="1228">
        <f t="shared" si="375"/>
        <v>1903</v>
      </c>
      <c r="K1560" s="1228">
        <f t="shared" si="375"/>
        <v>2168</v>
      </c>
      <c r="L1560" s="1228">
        <f t="shared" si="375"/>
        <v>2170</v>
      </c>
      <c r="M1560" s="1228">
        <f t="shared" si="375"/>
        <v>2172</v>
      </c>
      <c r="N1560" s="1228">
        <f t="shared" si="375"/>
        <v>1904</v>
      </c>
      <c r="O1560" s="1179">
        <f t="shared" ref="O1560:O1571" si="376">SUM(C1560:N1560)/12</f>
        <v>1978.0833333333333</v>
      </c>
      <c r="P1560" s="1235"/>
      <c r="Q1560" s="1235"/>
      <c r="R1560" s="1235"/>
      <c r="S1560" s="1235"/>
      <c r="T1560" s="1235"/>
      <c r="U1560" s="1235"/>
      <c r="V1560" s="1235"/>
      <c r="W1560" s="1235"/>
    </row>
    <row r="1561" spans="1:23">
      <c r="A1561" s="2218"/>
      <c r="B1561" s="1176" t="s">
        <v>663</v>
      </c>
      <c r="C1561" s="1178">
        <v>845</v>
      </c>
      <c r="D1561" s="1178">
        <v>844</v>
      </c>
      <c r="E1561" s="1178">
        <v>841</v>
      </c>
      <c r="F1561" s="1178">
        <v>840</v>
      </c>
      <c r="G1561" s="1178">
        <v>839</v>
      </c>
      <c r="H1561" s="1178">
        <v>838</v>
      </c>
      <c r="I1561" s="1178">
        <v>837</v>
      </c>
      <c r="J1561" s="1178">
        <v>836</v>
      </c>
      <c r="K1561" s="1178">
        <v>834</v>
      </c>
      <c r="L1561" s="1178">
        <v>832</v>
      </c>
      <c r="M1561" s="1178">
        <v>830</v>
      </c>
      <c r="N1561" s="1178">
        <v>828</v>
      </c>
      <c r="O1561" s="1179">
        <f t="shared" si="376"/>
        <v>837</v>
      </c>
      <c r="P1561" s="1235"/>
      <c r="Q1561" s="1235"/>
      <c r="R1561" s="1235"/>
      <c r="S1561" s="1235"/>
      <c r="T1561" s="1235"/>
      <c r="U1561" s="1235"/>
      <c r="V1561" s="1235"/>
      <c r="W1561" s="1235"/>
    </row>
    <row r="1562" spans="1:23">
      <c r="A1562" s="2218"/>
      <c r="B1562" s="1176" t="s">
        <v>664</v>
      </c>
      <c r="C1562" s="1178">
        <v>449</v>
      </c>
      <c r="D1562" s="1178">
        <v>351</v>
      </c>
      <c r="E1562" s="1178">
        <v>352</v>
      </c>
      <c r="F1562" s="1178">
        <v>353</v>
      </c>
      <c r="G1562" s="1178">
        <v>355</v>
      </c>
      <c r="H1562" s="1178">
        <v>356</v>
      </c>
      <c r="I1562" s="1178">
        <v>357</v>
      </c>
      <c r="J1562" s="1178">
        <v>358</v>
      </c>
      <c r="K1562" s="1178">
        <v>625</v>
      </c>
      <c r="L1562" s="1178">
        <v>628</v>
      </c>
      <c r="M1562" s="1178">
        <v>630</v>
      </c>
      <c r="N1562" s="1178">
        <v>367</v>
      </c>
      <c r="O1562" s="1179">
        <f t="shared" si="376"/>
        <v>431.75</v>
      </c>
      <c r="P1562" s="2197"/>
      <c r="Q1562" s="1235"/>
      <c r="R1562" s="1235"/>
      <c r="S1562" s="1235"/>
      <c r="T1562" s="1235"/>
      <c r="U1562" s="1235"/>
      <c r="V1562" s="1235"/>
      <c r="W1562" s="1235"/>
    </row>
    <row r="1563" spans="1:23">
      <c r="A1563" s="2218"/>
      <c r="B1563" s="1176" t="s">
        <v>450</v>
      </c>
      <c r="C1563" s="1178">
        <v>0</v>
      </c>
      <c r="D1563" s="1178">
        <v>0</v>
      </c>
      <c r="E1563" s="1178">
        <v>0</v>
      </c>
      <c r="F1563" s="1178">
        <v>0</v>
      </c>
      <c r="G1563" s="1178">
        <v>0</v>
      </c>
      <c r="H1563" s="1178">
        <v>0</v>
      </c>
      <c r="I1563" s="1178">
        <v>0</v>
      </c>
      <c r="J1563" s="1178">
        <v>0</v>
      </c>
      <c r="K1563" s="1178">
        <v>0</v>
      </c>
      <c r="L1563" s="1178">
        <v>0</v>
      </c>
      <c r="M1563" s="1178">
        <v>0</v>
      </c>
      <c r="N1563" s="1178">
        <v>0</v>
      </c>
      <c r="O1563" s="1179">
        <f t="shared" si="376"/>
        <v>0</v>
      </c>
      <c r="P1563" s="1175" t="s">
        <v>661</v>
      </c>
      <c r="Q1563" s="1235"/>
      <c r="R1563" s="1235"/>
      <c r="S1563" s="1235"/>
      <c r="T1563" s="1235"/>
      <c r="U1563" s="1235"/>
      <c r="V1563" s="1235"/>
      <c r="W1563" s="1235"/>
    </row>
    <row r="1564" spans="1:23">
      <c r="A1564" s="2218"/>
      <c r="B1564" s="1176" t="s">
        <v>665</v>
      </c>
      <c r="C1564" s="1178">
        <v>268</v>
      </c>
      <c r="D1564" s="1178">
        <v>266</v>
      </c>
      <c r="E1564" s="1178">
        <v>261</v>
      </c>
      <c r="F1564" s="1178">
        <v>261</v>
      </c>
      <c r="G1564" s="1178">
        <v>259</v>
      </c>
      <c r="H1564" s="1178">
        <v>257</v>
      </c>
      <c r="I1564" s="1178">
        <v>255</v>
      </c>
      <c r="J1564" s="1178">
        <v>252</v>
      </c>
      <c r="K1564" s="1178">
        <v>250</v>
      </c>
      <c r="L1564" s="1178">
        <v>248</v>
      </c>
      <c r="M1564" s="1178">
        <v>248</v>
      </c>
      <c r="N1564" s="1178">
        <v>243</v>
      </c>
      <c r="O1564" s="1179">
        <f t="shared" si="376"/>
        <v>255.66666666666666</v>
      </c>
      <c r="P1564" s="2205">
        <f>O1558/M!$Q$14</f>
        <v>0.23583435773080702</v>
      </c>
      <c r="Q1564" s="1235"/>
      <c r="R1564" s="1235"/>
      <c r="S1564" s="1235"/>
      <c r="T1564" s="1235"/>
      <c r="U1564" s="1235"/>
      <c r="V1564" s="1235"/>
      <c r="W1564" s="1235"/>
    </row>
    <row r="1565" spans="1:23">
      <c r="A1565" s="2218"/>
      <c r="B1565" s="1176" t="s">
        <v>664</v>
      </c>
      <c r="C1565" s="1178">
        <v>442</v>
      </c>
      <c r="D1565" s="1178">
        <v>443</v>
      </c>
      <c r="E1565" s="1178">
        <v>446</v>
      </c>
      <c r="F1565" s="1178">
        <v>448</v>
      </c>
      <c r="G1565" s="1178">
        <v>450</v>
      </c>
      <c r="H1565" s="1178">
        <v>452</v>
      </c>
      <c r="I1565" s="1178">
        <v>455</v>
      </c>
      <c r="J1565" s="1178">
        <v>457</v>
      </c>
      <c r="K1565" s="1178">
        <v>459</v>
      </c>
      <c r="L1565" s="1178">
        <v>462</v>
      </c>
      <c r="M1565" s="1178">
        <v>464</v>
      </c>
      <c r="N1565" s="1178">
        <v>466</v>
      </c>
      <c r="O1565" s="1179">
        <f t="shared" si="376"/>
        <v>453.66666666666669</v>
      </c>
      <c r="P1565" s="2206"/>
      <c r="Q1565" s="1235"/>
      <c r="R1565" s="1235"/>
      <c r="S1565" s="1235"/>
      <c r="T1565" s="1235"/>
      <c r="U1565" s="1235"/>
      <c r="V1565" s="1235"/>
      <c r="W1565" s="1235"/>
    </row>
    <row r="1566" spans="1:23">
      <c r="A1566" s="2218"/>
      <c r="B1566" s="1176" t="s">
        <v>287</v>
      </c>
      <c r="C1566" s="1178">
        <v>312</v>
      </c>
      <c r="D1566" s="1178">
        <v>312</v>
      </c>
      <c r="E1566" s="1178">
        <v>312</v>
      </c>
      <c r="F1566" s="1178">
        <v>312</v>
      </c>
      <c r="G1566" s="1178">
        <v>312</v>
      </c>
      <c r="H1566" s="1178">
        <v>312</v>
      </c>
      <c r="I1566" s="1178">
        <v>312</v>
      </c>
      <c r="J1566" s="1178">
        <v>312</v>
      </c>
      <c r="K1566" s="1178">
        <v>312</v>
      </c>
      <c r="L1566" s="1178">
        <v>312</v>
      </c>
      <c r="M1566" s="1178">
        <v>312</v>
      </c>
      <c r="N1566" s="1178">
        <v>312</v>
      </c>
      <c r="O1566" s="1179">
        <f t="shared" si="376"/>
        <v>312</v>
      </c>
      <c r="P1566" s="1180">
        <f>O1560/M!$Q$14</f>
        <v>0.17738205106169924</v>
      </c>
      <c r="Q1566" s="1235"/>
      <c r="R1566" s="1235"/>
      <c r="S1566" s="1235"/>
      <c r="T1566" s="1235"/>
      <c r="U1566" s="1235"/>
      <c r="V1566" s="1235"/>
      <c r="W1566" s="1235"/>
    </row>
    <row r="1567" spans="1:23">
      <c r="A1567" s="2218"/>
      <c r="B1567" s="1176" t="s">
        <v>453</v>
      </c>
      <c r="C1567" s="1178">
        <v>25</v>
      </c>
      <c r="D1567" s="1178">
        <v>25</v>
      </c>
      <c r="E1567" s="1178">
        <v>25</v>
      </c>
      <c r="F1567" s="1178">
        <v>25</v>
      </c>
      <c r="G1567" s="1178">
        <v>25</v>
      </c>
      <c r="H1567" s="1178">
        <v>25</v>
      </c>
      <c r="I1567" s="1178">
        <v>0</v>
      </c>
      <c r="J1567" s="1178">
        <v>25</v>
      </c>
      <c r="K1567" s="1178">
        <v>25</v>
      </c>
      <c r="L1567" s="1178">
        <v>25</v>
      </c>
      <c r="M1567" s="1178">
        <v>25</v>
      </c>
      <c r="N1567" s="1178">
        <v>25</v>
      </c>
      <c r="O1567" s="1179">
        <f t="shared" si="376"/>
        <v>22.916666666666668</v>
      </c>
      <c r="P1567" s="1180">
        <f>O1561/M!$Q$14</f>
        <v>7.5056886753326335E-2</v>
      </c>
      <c r="Q1567" s="1235"/>
      <c r="R1567" s="1235"/>
      <c r="S1567" s="1235"/>
      <c r="T1567" s="1235"/>
      <c r="U1567" s="1235"/>
      <c r="V1567" s="1235"/>
      <c r="W1567" s="1235"/>
    </row>
    <row r="1568" spans="1:23">
      <c r="A1568" s="2218"/>
      <c r="B1568" s="1176" t="s">
        <v>400</v>
      </c>
      <c r="C1568" s="1178">
        <v>0</v>
      </c>
      <c r="D1568" s="1178">
        <v>0</v>
      </c>
      <c r="E1568" s="1178">
        <v>0</v>
      </c>
      <c r="F1568" s="1178">
        <v>0</v>
      </c>
      <c r="G1568" s="1178">
        <v>0</v>
      </c>
      <c r="H1568" s="1178">
        <v>0</v>
      </c>
      <c r="I1568" s="1178">
        <v>184</v>
      </c>
      <c r="J1568" s="1178">
        <v>0</v>
      </c>
      <c r="K1568" s="1178">
        <v>0</v>
      </c>
      <c r="L1568" s="1178">
        <v>0</v>
      </c>
      <c r="M1568" s="1178">
        <v>0</v>
      </c>
      <c r="N1568" s="1178">
        <v>0</v>
      </c>
      <c r="O1568" s="1179">
        <f t="shared" si="376"/>
        <v>15.333333333333334</v>
      </c>
      <c r="P1568" s="1180">
        <f>O1562/M!$Q$14</f>
        <v>3.8716619899341276E-2</v>
      </c>
      <c r="Q1568" s="1235"/>
      <c r="R1568" s="1235"/>
      <c r="S1568" s="1235"/>
      <c r="T1568" s="1235"/>
      <c r="U1568" s="1235"/>
      <c r="V1568" s="1235"/>
      <c r="W1568" s="1235"/>
    </row>
    <row r="1569" spans="1:23">
      <c r="A1569" s="2218"/>
      <c r="B1569" s="1176" t="s">
        <v>401</v>
      </c>
      <c r="C1569" s="1178">
        <v>234</v>
      </c>
      <c r="D1569" s="1178">
        <v>234</v>
      </c>
      <c r="E1569" s="1178">
        <v>234</v>
      </c>
      <c r="F1569" s="1178">
        <v>234</v>
      </c>
      <c r="G1569" s="1178">
        <v>234</v>
      </c>
      <c r="H1569" s="1178">
        <v>234</v>
      </c>
      <c r="I1569" s="1178">
        <v>234</v>
      </c>
      <c r="J1569" s="1178">
        <v>234</v>
      </c>
      <c r="K1569" s="1178">
        <v>234</v>
      </c>
      <c r="L1569" s="1178">
        <v>234</v>
      </c>
      <c r="M1569" s="1178">
        <v>234</v>
      </c>
      <c r="N1569" s="1178">
        <v>234</v>
      </c>
      <c r="O1569" s="1179">
        <f t="shared" si="376"/>
        <v>234</v>
      </c>
      <c r="P1569" s="1180">
        <f>O1563/M!$Q$14</f>
        <v>0</v>
      </c>
      <c r="Q1569" s="1235"/>
      <c r="R1569" s="1235"/>
      <c r="S1569" s="1235"/>
      <c r="T1569" s="1235"/>
      <c r="U1569" s="1235"/>
      <c r="V1569" s="1235"/>
      <c r="W1569" s="1235"/>
    </row>
    <row r="1570" spans="1:23">
      <c r="A1570" s="2218"/>
      <c r="B1570" s="1176" t="s">
        <v>402</v>
      </c>
      <c r="C1570" s="1178">
        <v>88</v>
      </c>
      <c r="D1570" s="1178">
        <v>88</v>
      </c>
      <c r="E1570" s="1178">
        <v>88</v>
      </c>
      <c r="F1570" s="1178">
        <v>88</v>
      </c>
      <c r="G1570" s="1178">
        <v>88</v>
      </c>
      <c r="H1570" s="1178">
        <v>88</v>
      </c>
      <c r="I1570" s="1178">
        <v>88</v>
      </c>
      <c r="J1570" s="1178">
        <v>39</v>
      </c>
      <c r="K1570" s="1178">
        <v>39</v>
      </c>
      <c r="L1570" s="1178">
        <v>39</v>
      </c>
      <c r="M1570" s="1178">
        <v>39</v>
      </c>
      <c r="N1570" s="1178">
        <v>39</v>
      </c>
      <c r="O1570" s="1179">
        <f t="shared" si="376"/>
        <v>67.583333333333329</v>
      </c>
      <c r="P1570" s="1180">
        <f>O1564/M!$Q$14</f>
        <v>2.2926575921864315E-2</v>
      </c>
      <c r="Q1570" s="1235"/>
      <c r="R1570" s="1235"/>
      <c r="S1570" s="1235"/>
      <c r="T1570" s="1235"/>
      <c r="U1570" s="1235"/>
      <c r="V1570" s="1235"/>
      <c r="W1570" s="1235"/>
    </row>
    <row r="1571" spans="1:23">
      <c r="A1571" s="2219"/>
      <c r="B1571" s="1176" t="s">
        <v>403</v>
      </c>
      <c r="C1571" s="1178">
        <v>0</v>
      </c>
      <c r="D1571" s="1178">
        <v>0</v>
      </c>
      <c r="E1571" s="1178">
        <v>0</v>
      </c>
      <c r="F1571" s="1178">
        <v>0</v>
      </c>
      <c r="G1571" s="1178">
        <v>0</v>
      </c>
      <c r="H1571" s="1178">
        <v>0</v>
      </c>
      <c r="I1571" s="1178">
        <v>0</v>
      </c>
      <c r="J1571" s="1178">
        <v>0</v>
      </c>
      <c r="K1571" s="1178">
        <v>0</v>
      </c>
      <c r="L1571" s="1178">
        <v>0</v>
      </c>
      <c r="M1571" s="1178">
        <v>0</v>
      </c>
      <c r="N1571" s="1178">
        <v>0</v>
      </c>
      <c r="O1571" s="1179">
        <f t="shared" si="376"/>
        <v>0</v>
      </c>
      <c r="P1571" s="1180">
        <f>O1565/M!$Q$14</f>
        <v>4.0681968487167326E-2</v>
      </c>
      <c r="Q1571" s="1235"/>
      <c r="R1571" s="1235"/>
      <c r="S1571" s="1235"/>
      <c r="T1571" s="1235"/>
      <c r="U1571" s="1235"/>
      <c r="V1571" s="1235"/>
      <c r="W1571" s="1235"/>
    </row>
    <row r="1572" spans="1:23">
      <c r="A1572" s="2191" t="s">
        <v>276</v>
      </c>
      <c r="B1572" s="2192"/>
      <c r="C1572" s="2203">
        <f t="shared" ref="C1572:N1572" si="377">SUM(C1574:C1579)</f>
        <v>437</v>
      </c>
      <c r="D1572" s="2203">
        <f t="shared" si="377"/>
        <v>175</v>
      </c>
      <c r="E1572" s="2203">
        <f t="shared" si="377"/>
        <v>275</v>
      </c>
      <c r="F1572" s="2203">
        <f t="shared" si="377"/>
        <v>153</v>
      </c>
      <c r="G1572" s="2203">
        <f t="shared" si="377"/>
        <v>214</v>
      </c>
      <c r="H1572" s="2203">
        <f t="shared" si="377"/>
        <v>1704</v>
      </c>
      <c r="I1572" s="2203">
        <f t="shared" si="377"/>
        <v>152</v>
      </c>
      <c r="J1572" s="2203">
        <f t="shared" si="377"/>
        <v>152</v>
      </c>
      <c r="K1572" s="2203">
        <f t="shared" si="377"/>
        <v>2450</v>
      </c>
      <c r="L1572" s="2203">
        <f t="shared" si="377"/>
        <v>362</v>
      </c>
      <c r="M1572" s="2203">
        <f t="shared" si="377"/>
        <v>499</v>
      </c>
      <c r="N1572" s="2203">
        <f t="shared" si="377"/>
        <v>152</v>
      </c>
      <c r="O1572" s="2203">
        <f>SUM(O1574:O1579)</f>
        <v>560.41666666666663</v>
      </c>
      <c r="P1572" s="1180">
        <f>O1566/M!$Q$14</f>
        <v>2.7978194345325946E-2</v>
      </c>
      <c r="Q1572" s="1235"/>
      <c r="R1572" s="1235"/>
      <c r="S1572" s="1235"/>
      <c r="T1572" s="1235"/>
      <c r="U1572" s="1235"/>
      <c r="V1572" s="1235"/>
      <c r="W1572" s="1235"/>
    </row>
    <row r="1573" spans="1:23">
      <c r="A1573" s="2193"/>
      <c r="B1573" s="2194"/>
      <c r="C1573" s="2204"/>
      <c r="D1573" s="2204"/>
      <c r="E1573" s="2204"/>
      <c r="F1573" s="2204"/>
      <c r="G1573" s="2204"/>
      <c r="H1573" s="2204"/>
      <c r="I1573" s="2204"/>
      <c r="J1573" s="2204"/>
      <c r="K1573" s="2204"/>
      <c r="L1573" s="2204"/>
      <c r="M1573" s="2204"/>
      <c r="N1573" s="2204"/>
      <c r="O1573" s="2204"/>
      <c r="P1573" s="1180">
        <f>O1567/M!$Q$14</f>
        <v>2.0550222876508108E-3</v>
      </c>
      <c r="Q1573" s="1235"/>
      <c r="R1573" s="1235"/>
      <c r="S1573" s="1235"/>
      <c r="T1573" s="1235"/>
      <c r="U1573" s="1235"/>
      <c r="V1573" s="1235"/>
      <c r="W1573" s="1235"/>
    </row>
    <row r="1574" spans="1:23">
      <c r="A1574" s="2217"/>
      <c r="B1574" s="1176" t="s">
        <v>666</v>
      </c>
      <c r="C1574" s="1228">
        <v>0</v>
      </c>
      <c r="D1574" s="1228">
        <v>0</v>
      </c>
      <c r="E1574" s="1228">
        <v>0</v>
      </c>
      <c r="F1574" s="1228">
        <v>0</v>
      </c>
      <c r="G1574" s="1228">
        <v>0</v>
      </c>
      <c r="H1574" s="1228">
        <v>0</v>
      </c>
      <c r="I1574" s="1229">
        <v>0</v>
      </c>
      <c r="J1574" s="1229">
        <v>0</v>
      </c>
      <c r="K1574" s="1229">
        <v>0</v>
      </c>
      <c r="L1574" s="1229">
        <v>0</v>
      </c>
      <c r="M1574" s="1229">
        <v>0</v>
      </c>
      <c r="N1574" s="1229">
        <v>0</v>
      </c>
      <c r="O1574" s="1179">
        <f t="shared" ref="O1574:O1579" si="378">SUM(C1574:N1574)/12</f>
        <v>0</v>
      </c>
      <c r="P1574" s="1180">
        <f>O1568/M!$Q$14</f>
        <v>1.3749967306463608E-3</v>
      </c>
      <c r="Q1574" s="1235"/>
      <c r="R1574" s="1235"/>
      <c r="S1574" s="1235"/>
      <c r="T1574" s="1235"/>
      <c r="U1574" s="1235"/>
      <c r="V1574" s="1235"/>
      <c r="W1574" s="1235"/>
    </row>
    <row r="1575" spans="1:23">
      <c r="A1575" s="2218"/>
      <c r="B1575" s="1176" t="s">
        <v>400</v>
      </c>
      <c r="C1575" s="1228">
        <v>59</v>
      </c>
      <c r="D1575" s="1228">
        <v>165</v>
      </c>
      <c r="E1575" s="1228">
        <v>165</v>
      </c>
      <c r="F1575" s="1228">
        <v>153</v>
      </c>
      <c r="G1575" s="1228">
        <v>153</v>
      </c>
      <c r="H1575" s="1228">
        <v>153</v>
      </c>
      <c r="I1575" s="1229">
        <v>152</v>
      </c>
      <c r="J1575" s="1229">
        <v>152</v>
      </c>
      <c r="K1575" s="1229">
        <v>152</v>
      </c>
      <c r="L1575" s="1229">
        <v>152</v>
      </c>
      <c r="M1575" s="1229">
        <v>152</v>
      </c>
      <c r="N1575" s="1229">
        <v>152</v>
      </c>
      <c r="O1575" s="1179">
        <f t="shared" si="378"/>
        <v>146.66666666666666</v>
      </c>
      <c r="P1575" s="1180">
        <f>O1569/M!$Q$14</f>
        <v>2.098364575899446E-2</v>
      </c>
      <c r="Q1575" s="1235"/>
      <c r="R1575" s="1235"/>
      <c r="S1575" s="1235"/>
      <c r="T1575" s="1235"/>
      <c r="U1575" s="1235"/>
      <c r="V1575" s="1235"/>
      <c r="W1575" s="1235"/>
    </row>
    <row r="1576" spans="1:23">
      <c r="A1576" s="2218"/>
      <c r="B1576" s="1176" t="s">
        <v>454</v>
      </c>
      <c r="C1576" s="1228">
        <v>29</v>
      </c>
      <c r="D1576" s="1228">
        <v>0</v>
      </c>
      <c r="E1576" s="1228">
        <v>110</v>
      </c>
      <c r="F1576" s="1228">
        <v>0</v>
      </c>
      <c r="G1576" s="1228">
        <v>29</v>
      </c>
      <c r="H1576" s="1228">
        <v>41</v>
      </c>
      <c r="I1576" s="1229">
        <v>0</v>
      </c>
      <c r="J1576" s="1229">
        <v>0</v>
      </c>
      <c r="K1576" s="1229">
        <v>0</v>
      </c>
      <c r="L1576" s="1229">
        <v>0</v>
      </c>
      <c r="M1576" s="1229">
        <v>0</v>
      </c>
      <c r="N1576" s="1229">
        <v>0</v>
      </c>
      <c r="O1576" s="1179">
        <f t="shared" si="378"/>
        <v>17.416666666666668</v>
      </c>
      <c r="P1576" s="1180">
        <f>O1570/M!$Q$14</f>
        <v>6.060447546490209E-3</v>
      </c>
      <c r="Q1576" s="1235"/>
      <c r="R1576" s="1235"/>
      <c r="S1576" s="1235"/>
      <c r="T1576" s="1235"/>
      <c r="U1576" s="1235"/>
      <c r="V1576" s="1235"/>
      <c r="W1576" s="1235"/>
    </row>
    <row r="1577" spans="1:23">
      <c r="A1577" s="2218"/>
      <c r="B1577" s="1176" t="s">
        <v>407</v>
      </c>
      <c r="C1577" s="1228">
        <v>335</v>
      </c>
      <c r="D1577" s="1228">
        <v>0</v>
      </c>
      <c r="E1577" s="1228">
        <v>0</v>
      </c>
      <c r="F1577" s="1228">
        <v>0</v>
      </c>
      <c r="G1577" s="1228">
        <v>0</v>
      </c>
      <c r="H1577" s="1228">
        <v>0</v>
      </c>
      <c r="I1577" s="1229">
        <v>0</v>
      </c>
      <c r="J1577" s="1229">
        <v>0</v>
      </c>
      <c r="K1577" s="1229">
        <v>0</v>
      </c>
      <c r="L1577" s="1229">
        <v>0</v>
      </c>
      <c r="M1577" s="1229">
        <v>0</v>
      </c>
      <c r="N1577" s="1229">
        <v>0</v>
      </c>
      <c r="O1577" s="1179">
        <f t="shared" si="378"/>
        <v>27.916666666666668</v>
      </c>
      <c r="P1577" s="1180">
        <f>O1571/M!$Q$14</f>
        <v>0</v>
      </c>
      <c r="Q1577" s="1235"/>
      <c r="R1577" s="1235"/>
      <c r="S1577" s="1235"/>
      <c r="T1577" s="1235"/>
      <c r="U1577" s="1235"/>
      <c r="V1577" s="1235"/>
      <c r="W1577" s="1235"/>
    </row>
    <row r="1578" spans="1:23">
      <c r="A1578" s="2218"/>
      <c r="B1578" s="1176" t="s">
        <v>408</v>
      </c>
      <c r="C1578" s="1228">
        <v>0</v>
      </c>
      <c r="D1578" s="1228">
        <v>0</v>
      </c>
      <c r="E1578" s="1228">
        <v>0</v>
      </c>
      <c r="F1578" s="1228">
        <v>0</v>
      </c>
      <c r="G1578" s="1228">
        <v>0</v>
      </c>
      <c r="H1578" s="1228">
        <v>1510</v>
      </c>
      <c r="I1578" s="1229">
        <v>0</v>
      </c>
      <c r="J1578" s="1229">
        <v>0</v>
      </c>
      <c r="K1578" s="1229">
        <v>588</v>
      </c>
      <c r="L1578" s="1229">
        <v>0</v>
      </c>
      <c r="M1578" s="1229">
        <v>0</v>
      </c>
      <c r="N1578" s="1229">
        <v>0</v>
      </c>
      <c r="O1578" s="1179">
        <f t="shared" si="378"/>
        <v>174.83333333333334</v>
      </c>
      <c r="P1578" s="2205">
        <f>O1572/M!$Q$14</f>
        <v>5.0254635943460732E-2</v>
      </c>
      <c r="Q1578" s="1235"/>
      <c r="R1578" s="1235"/>
      <c r="S1578" s="1235"/>
      <c r="T1578" s="1235"/>
      <c r="U1578" s="1235"/>
      <c r="V1578" s="1235"/>
      <c r="W1578" s="1235"/>
    </row>
    <row r="1579" spans="1:23">
      <c r="A1579" s="2219"/>
      <c r="B1579" s="1176" t="s">
        <v>409</v>
      </c>
      <c r="C1579" s="1228">
        <v>14</v>
      </c>
      <c r="D1579" s="1228">
        <v>10</v>
      </c>
      <c r="E1579" s="1228">
        <v>0</v>
      </c>
      <c r="F1579" s="1228">
        <v>0</v>
      </c>
      <c r="G1579" s="1228">
        <v>32</v>
      </c>
      <c r="H1579" s="1228">
        <v>0</v>
      </c>
      <c r="I1579" s="1229">
        <v>0</v>
      </c>
      <c r="J1579" s="1229">
        <v>0</v>
      </c>
      <c r="K1579" s="1229">
        <v>1710</v>
      </c>
      <c r="L1579" s="1229">
        <v>210</v>
      </c>
      <c r="M1579" s="1229">
        <v>347</v>
      </c>
      <c r="N1579" s="1229">
        <v>0</v>
      </c>
      <c r="O1579" s="1179">
        <f t="shared" si="378"/>
        <v>193.58333333333334</v>
      </c>
      <c r="P1579" s="2206"/>
      <c r="Q1579" s="1235"/>
      <c r="R1579" s="1235"/>
      <c r="S1579" s="1235"/>
      <c r="T1579" s="1235"/>
      <c r="U1579" s="1235"/>
      <c r="V1579" s="1235"/>
      <c r="W1579" s="1235"/>
    </row>
    <row r="1580" spans="1:23">
      <c r="A1580" s="2191" t="s">
        <v>277</v>
      </c>
      <c r="B1580" s="2192"/>
      <c r="C1580" s="2203">
        <f t="shared" ref="C1580:N1580" si="379">SUM(C1582:C1585)</f>
        <v>245</v>
      </c>
      <c r="D1580" s="2203">
        <f t="shared" si="379"/>
        <v>189</v>
      </c>
      <c r="E1580" s="2203">
        <f t="shared" si="379"/>
        <v>163</v>
      </c>
      <c r="F1580" s="2203">
        <f t="shared" si="379"/>
        <v>219</v>
      </c>
      <c r="G1580" s="2203">
        <f t="shared" si="379"/>
        <v>241</v>
      </c>
      <c r="H1580" s="2203">
        <f t="shared" si="379"/>
        <v>217</v>
      </c>
      <c r="I1580" s="2203">
        <f t="shared" si="379"/>
        <v>382</v>
      </c>
      <c r="J1580" s="2203">
        <f t="shared" si="379"/>
        <v>283</v>
      </c>
      <c r="K1580" s="2203">
        <f t="shared" si="379"/>
        <v>147</v>
      </c>
      <c r="L1580" s="2203">
        <f t="shared" si="379"/>
        <v>263</v>
      </c>
      <c r="M1580" s="2203">
        <f t="shared" si="379"/>
        <v>209</v>
      </c>
      <c r="N1580" s="2203">
        <f t="shared" si="379"/>
        <v>197</v>
      </c>
      <c r="O1580" s="2203">
        <f>SUM(O1582:O1585)</f>
        <v>229.58333333333331</v>
      </c>
      <c r="P1580" s="1180">
        <f>O1574/M!$Q$14</f>
        <v>0</v>
      </c>
      <c r="Q1580" s="1235"/>
      <c r="R1580" s="1235"/>
      <c r="S1580" s="1235"/>
      <c r="T1580" s="1235"/>
      <c r="U1580" s="1235"/>
      <c r="V1580" s="1235"/>
      <c r="W1580" s="1235"/>
    </row>
    <row r="1581" spans="1:23">
      <c r="A1581" s="2193"/>
      <c r="B1581" s="2194"/>
      <c r="C1581" s="2204"/>
      <c r="D1581" s="2204"/>
      <c r="E1581" s="2204"/>
      <c r="F1581" s="2204"/>
      <c r="G1581" s="2204"/>
      <c r="H1581" s="2204"/>
      <c r="I1581" s="2204"/>
      <c r="J1581" s="2204"/>
      <c r="K1581" s="2204"/>
      <c r="L1581" s="2204"/>
      <c r="M1581" s="2204"/>
      <c r="N1581" s="2204"/>
      <c r="O1581" s="2204"/>
      <c r="P1581" s="1180">
        <f>O1575/M!$Q$14</f>
        <v>1.3152142640965188E-2</v>
      </c>
      <c r="Q1581" s="1235"/>
      <c r="R1581" s="1235"/>
      <c r="S1581" s="1235"/>
      <c r="T1581" s="1235"/>
      <c r="U1581" s="1235"/>
      <c r="V1581" s="1235"/>
      <c r="W1581" s="1235"/>
    </row>
    <row r="1582" spans="1:23">
      <c r="A1582" s="2217"/>
      <c r="B1582" s="1176" t="s">
        <v>410</v>
      </c>
      <c r="C1582" s="1228">
        <v>184</v>
      </c>
      <c r="D1582" s="1228">
        <v>189</v>
      </c>
      <c r="E1582" s="1228">
        <v>163</v>
      </c>
      <c r="F1582" s="1228">
        <v>194</v>
      </c>
      <c r="G1582" s="1228">
        <v>216</v>
      </c>
      <c r="H1582" s="1228">
        <v>217</v>
      </c>
      <c r="I1582" s="1229">
        <v>329</v>
      </c>
      <c r="J1582" s="1229">
        <v>212</v>
      </c>
      <c r="K1582" s="1229">
        <v>147</v>
      </c>
      <c r="L1582" s="1229">
        <v>263</v>
      </c>
      <c r="M1582" s="1229">
        <v>199</v>
      </c>
      <c r="N1582" s="1229">
        <v>180</v>
      </c>
      <c r="O1582" s="1179">
        <f>SUM(C1582:N1582)/12</f>
        <v>207.75</v>
      </c>
      <c r="P1582" s="1180">
        <f>O1576/M!$Q$14</f>
        <v>1.5618169386146163E-3</v>
      </c>
      <c r="Q1582" s="1235"/>
      <c r="R1582" s="1235"/>
      <c r="S1582" s="1235"/>
      <c r="T1582" s="1235"/>
      <c r="U1582" s="1235"/>
      <c r="V1582" s="1235"/>
      <c r="W1582" s="1235"/>
    </row>
    <row r="1583" spans="1:23">
      <c r="A1583" s="2218"/>
      <c r="B1583" s="1176" t="s">
        <v>457</v>
      </c>
      <c r="C1583" s="1228">
        <v>46</v>
      </c>
      <c r="D1583" s="1228">
        <v>0</v>
      </c>
      <c r="E1583" s="1228">
        <v>0</v>
      </c>
      <c r="F1583" s="1228">
        <v>0</v>
      </c>
      <c r="G1583" s="1228">
        <v>0</v>
      </c>
      <c r="H1583" s="1228">
        <v>0</v>
      </c>
      <c r="I1583" s="1229">
        <v>43</v>
      </c>
      <c r="J1583" s="1229">
        <v>51</v>
      </c>
      <c r="K1583" s="1229">
        <v>0</v>
      </c>
      <c r="L1583" s="1229">
        <v>0</v>
      </c>
      <c r="M1583" s="1229">
        <v>0</v>
      </c>
      <c r="N1583" s="1229">
        <v>0</v>
      </c>
      <c r="O1583" s="1179">
        <f>SUM(C1583:N1583)/12</f>
        <v>11.666666666666666</v>
      </c>
      <c r="P1583" s="1180">
        <f>O1577/M!$Q$14</f>
        <v>2.5033907867746241E-3</v>
      </c>
      <c r="Q1583" s="1235"/>
      <c r="R1583" s="1235"/>
      <c r="S1583" s="1235"/>
      <c r="T1583" s="1235"/>
      <c r="U1583" s="1235"/>
      <c r="V1583" s="1235"/>
      <c r="W1583" s="1235"/>
    </row>
    <row r="1584" spans="1:23">
      <c r="A1584" s="2218"/>
      <c r="B1584" s="1176" t="s">
        <v>458</v>
      </c>
      <c r="C1584" s="1228">
        <v>0</v>
      </c>
      <c r="D1584" s="1228">
        <v>0</v>
      </c>
      <c r="E1584" s="1228">
        <v>0</v>
      </c>
      <c r="F1584" s="1228">
        <v>0</v>
      </c>
      <c r="G1584" s="1228">
        <v>25</v>
      </c>
      <c r="H1584" s="1228">
        <v>0</v>
      </c>
      <c r="I1584" s="1229">
        <v>0</v>
      </c>
      <c r="J1584" s="1229">
        <v>5</v>
      </c>
      <c r="K1584" s="1229">
        <v>0</v>
      </c>
      <c r="L1584" s="1229">
        <v>0</v>
      </c>
      <c r="M1584" s="1229">
        <v>10</v>
      </c>
      <c r="N1584" s="1229">
        <v>17</v>
      </c>
      <c r="O1584" s="1179">
        <f>SUM(C1584:N1584)/12</f>
        <v>4.75</v>
      </c>
      <c r="P1584" s="1180">
        <f>O1578/M!$Q$14</f>
        <v>1.5677951852696003E-2</v>
      </c>
      <c r="Q1584" s="1235"/>
      <c r="R1584" s="1235"/>
      <c r="S1584" s="1235"/>
      <c r="T1584" s="1235"/>
      <c r="U1584" s="1235"/>
      <c r="V1584" s="1235"/>
      <c r="W1584" s="1235"/>
    </row>
    <row r="1585" spans="1:23">
      <c r="A1585" s="2219"/>
      <c r="B1585" s="1176" t="s">
        <v>459</v>
      </c>
      <c r="C1585" s="1228">
        <v>15</v>
      </c>
      <c r="D1585" s="1228">
        <v>0</v>
      </c>
      <c r="E1585" s="1228">
        <v>0</v>
      </c>
      <c r="F1585" s="1228">
        <v>25</v>
      </c>
      <c r="G1585" s="1228">
        <v>0</v>
      </c>
      <c r="H1585" s="1228">
        <v>0</v>
      </c>
      <c r="I1585" s="1229">
        <v>10</v>
      </c>
      <c r="J1585" s="1229">
        <v>15</v>
      </c>
      <c r="K1585" s="1229">
        <v>0</v>
      </c>
      <c r="L1585" s="1229">
        <v>0</v>
      </c>
      <c r="M1585" s="1229">
        <v>0</v>
      </c>
      <c r="N1585" s="1229">
        <v>0</v>
      </c>
      <c r="O1585" s="1179">
        <f>SUM(C1585:N1585)/12</f>
        <v>5.416666666666667</v>
      </c>
      <c r="P1585" s="1180">
        <f>O1579/M!$Q$14</f>
        <v>1.7359333724410304E-2</v>
      </c>
      <c r="Q1585" s="1235"/>
      <c r="R1585" s="1235"/>
      <c r="S1585" s="1235"/>
      <c r="T1585" s="1235"/>
      <c r="U1585" s="1235"/>
      <c r="V1585" s="1235"/>
      <c r="W1585" s="1235"/>
    </row>
    <row r="1586" spans="1:23">
      <c r="A1586" s="2191" t="s">
        <v>278</v>
      </c>
      <c r="B1586" s="2192"/>
      <c r="C1586" s="2203">
        <f t="shared" ref="C1586:J1586" si="380">SUM(C1588:C1589)</f>
        <v>198</v>
      </c>
      <c r="D1586" s="2203">
        <f t="shared" si="380"/>
        <v>318</v>
      </c>
      <c r="E1586" s="2203">
        <f t="shared" si="380"/>
        <v>337</v>
      </c>
      <c r="F1586" s="2203">
        <f t="shared" si="380"/>
        <v>340</v>
      </c>
      <c r="G1586" s="2203">
        <f t="shared" si="380"/>
        <v>463</v>
      </c>
      <c r="H1586" s="2203">
        <f t="shared" si="380"/>
        <v>179</v>
      </c>
      <c r="I1586" s="2203">
        <f t="shared" si="380"/>
        <v>288</v>
      </c>
      <c r="J1586" s="2203">
        <f t="shared" si="380"/>
        <v>108</v>
      </c>
      <c r="K1586" s="2203">
        <f>SUM(K1588:K1589)</f>
        <v>192</v>
      </c>
      <c r="L1586" s="2203">
        <f>SUM(L1588:L1589)</f>
        <v>245</v>
      </c>
      <c r="M1586" s="2203">
        <f>SUM(M1588:M1589)</f>
        <v>207</v>
      </c>
      <c r="N1586" s="2203">
        <f>SUM(N1588:N1589)</f>
        <v>380</v>
      </c>
      <c r="O1586" s="2203">
        <f>SUM(O1588:O1589)</f>
        <v>271.25</v>
      </c>
      <c r="P1586" s="2205">
        <f>O1580/M!$Q$14</f>
        <v>2.0587586918101756E-2</v>
      </c>
      <c r="Q1586" s="1235"/>
      <c r="R1586" s="1235"/>
      <c r="S1586" s="1235"/>
      <c r="T1586" s="1235"/>
      <c r="U1586" s="1235"/>
      <c r="V1586" s="1235"/>
      <c r="W1586" s="1235"/>
    </row>
    <row r="1587" spans="1:23">
      <c r="A1587" s="2193"/>
      <c r="B1587" s="2194"/>
      <c r="C1587" s="2204"/>
      <c r="D1587" s="2204"/>
      <c r="E1587" s="2204"/>
      <c r="F1587" s="2204"/>
      <c r="G1587" s="2204"/>
      <c r="H1587" s="2204"/>
      <c r="I1587" s="2204"/>
      <c r="J1587" s="2204"/>
      <c r="K1587" s="2204"/>
      <c r="L1587" s="2204"/>
      <c r="M1587" s="2204"/>
      <c r="N1587" s="2204"/>
      <c r="O1587" s="2204"/>
      <c r="P1587" s="2206"/>
      <c r="Q1587" s="1235"/>
      <c r="R1587" s="1235"/>
      <c r="S1587" s="1235"/>
      <c r="T1587" s="1235"/>
      <c r="U1587" s="1235"/>
      <c r="V1587" s="1235"/>
      <c r="W1587" s="1235"/>
    </row>
    <row r="1588" spans="1:23">
      <c r="A1588" s="2217"/>
      <c r="B1588" s="1176" t="s">
        <v>414</v>
      </c>
      <c r="C1588" s="1228">
        <v>143</v>
      </c>
      <c r="D1588" s="1228">
        <v>266</v>
      </c>
      <c r="E1588" s="1228">
        <v>287</v>
      </c>
      <c r="F1588" s="1228">
        <v>258</v>
      </c>
      <c r="G1588" s="1228">
        <v>94</v>
      </c>
      <c r="H1588" s="1228">
        <v>110</v>
      </c>
      <c r="I1588" s="1229">
        <v>275</v>
      </c>
      <c r="J1588" s="1229">
        <v>80</v>
      </c>
      <c r="K1588" s="1229">
        <v>192</v>
      </c>
      <c r="L1588" s="1229">
        <v>192</v>
      </c>
      <c r="M1588" s="1229">
        <v>184</v>
      </c>
      <c r="N1588" s="1229">
        <v>240</v>
      </c>
      <c r="O1588" s="1179">
        <f>SUM(C1588:N1588)/12</f>
        <v>193.41666666666666</v>
      </c>
      <c r="P1588" s="1180">
        <f>O1582/M!$Q$14</f>
        <v>1.8629711138594442E-2</v>
      </c>
      <c r="Q1588" s="1235"/>
      <c r="R1588" s="1235"/>
      <c r="S1588" s="1235"/>
      <c r="T1588" s="1235"/>
      <c r="U1588" s="1235"/>
      <c r="V1588" s="1235"/>
      <c r="W1588" s="1235"/>
    </row>
    <row r="1589" spans="1:23">
      <c r="A1589" s="2219"/>
      <c r="B1589" s="1176" t="s">
        <v>278</v>
      </c>
      <c r="C1589" s="1228">
        <v>55</v>
      </c>
      <c r="D1589" s="1228">
        <v>52</v>
      </c>
      <c r="E1589" s="1228">
        <v>50</v>
      </c>
      <c r="F1589" s="1228">
        <v>82</v>
      </c>
      <c r="G1589" s="1228">
        <v>369</v>
      </c>
      <c r="H1589" s="1228">
        <v>69</v>
      </c>
      <c r="I1589" s="1229">
        <v>13</v>
      </c>
      <c r="J1589" s="1229">
        <v>28</v>
      </c>
      <c r="K1589" s="1229">
        <v>0</v>
      </c>
      <c r="L1589" s="1229">
        <v>53</v>
      </c>
      <c r="M1589" s="1229">
        <v>23</v>
      </c>
      <c r="N1589" s="1229">
        <v>140</v>
      </c>
      <c r="O1589" s="1179">
        <f>SUM(C1589:N1589)/12</f>
        <v>77.833333333333329</v>
      </c>
      <c r="P1589" s="1180">
        <f>O1583/M!$Q$14</f>
        <v>1.0461931646222309E-3</v>
      </c>
      <c r="Q1589" s="1235"/>
      <c r="R1589" s="1235"/>
      <c r="S1589" s="1235"/>
      <c r="T1589" s="1235"/>
      <c r="U1589" s="1235"/>
      <c r="V1589" s="1235"/>
      <c r="W1589" s="1235"/>
    </row>
    <row r="1590" spans="1:23">
      <c r="A1590" s="2191" t="s">
        <v>279</v>
      </c>
      <c r="B1590" s="2192"/>
      <c r="C1590" s="2203">
        <f t="shared" ref="C1590:N1590" si="381">SUM(C1592:C1599)</f>
        <v>508</v>
      </c>
      <c r="D1590" s="2203">
        <f t="shared" si="381"/>
        <v>475</v>
      </c>
      <c r="E1590" s="2203">
        <f t="shared" si="381"/>
        <v>450</v>
      </c>
      <c r="F1590" s="2203">
        <f t="shared" si="381"/>
        <v>422</v>
      </c>
      <c r="G1590" s="2203">
        <f t="shared" si="381"/>
        <v>387</v>
      </c>
      <c r="H1590" s="2203">
        <f t="shared" si="381"/>
        <v>407</v>
      </c>
      <c r="I1590" s="2203">
        <f t="shared" si="381"/>
        <v>411</v>
      </c>
      <c r="J1590" s="2203">
        <f t="shared" si="381"/>
        <v>453</v>
      </c>
      <c r="K1590" s="2203">
        <f t="shared" si="381"/>
        <v>375</v>
      </c>
      <c r="L1590" s="2203">
        <f t="shared" si="381"/>
        <v>366</v>
      </c>
      <c r="M1590" s="2203">
        <f t="shared" si="381"/>
        <v>414</v>
      </c>
      <c r="N1590" s="2203">
        <f t="shared" si="381"/>
        <v>479</v>
      </c>
      <c r="O1590" s="2203">
        <f>SUM(O1592:O1599)</f>
        <v>428.91666666666663</v>
      </c>
      <c r="P1590" s="1180">
        <f>O1584/M!$Q$14</f>
        <v>4.2595007416762259E-4</v>
      </c>
      <c r="Q1590" s="1235"/>
      <c r="R1590" s="1235"/>
      <c r="S1590" s="1235"/>
      <c r="T1590" s="1235"/>
      <c r="U1590" s="1235"/>
      <c r="V1590" s="1235"/>
      <c r="W1590" s="1235"/>
    </row>
    <row r="1591" spans="1:23">
      <c r="A1591" s="2193"/>
      <c r="B1591" s="2194"/>
      <c r="C1591" s="2204"/>
      <c r="D1591" s="2204"/>
      <c r="E1591" s="2204"/>
      <c r="F1591" s="2204"/>
      <c r="G1591" s="2204"/>
      <c r="H1591" s="2204"/>
      <c r="I1591" s="2204"/>
      <c r="J1591" s="2204"/>
      <c r="K1591" s="2204"/>
      <c r="L1591" s="2204"/>
      <c r="M1591" s="2204"/>
      <c r="N1591" s="2204"/>
      <c r="O1591" s="2204"/>
      <c r="P1591" s="1180">
        <f>O1585/M!$Q$14</f>
        <v>4.8573254071746441E-4</v>
      </c>
      <c r="Q1591" s="1235"/>
      <c r="R1591" s="1235"/>
      <c r="S1591" s="1235"/>
      <c r="T1591" s="1235"/>
      <c r="U1591" s="1235"/>
      <c r="V1591" s="1235"/>
      <c r="W1591" s="1235"/>
    </row>
    <row r="1592" spans="1:23">
      <c r="A1592" s="2217"/>
      <c r="B1592" s="1176" t="s">
        <v>415</v>
      </c>
      <c r="C1592" s="1228">
        <v>57</v>
      </c>
      <c r="D1592" s="1228">
        <v>59</v>
      </c>
      <c r="E1592" s="1228">
        <v>63</v>
      </c>
      <c r="F1592" s="1228">
        <v>62</v>
      </c>
      <c r="G1592" s="1228">
        <v>55</v>
      </c>
      <c r="H1592" s="1228">
        <v>92</v>
      </c>
      <c r="I1592" s="1229">
        <v>97</v>
      </c>
      <c r="J1592" s="1229">
        <v>124</v>
      </c>
      <c r="K1592" s="1229">
        <v>73</v>
      </c>
      <c r="L1592" s="1229">
        <v>60</v>
      </c>
      <c r="M1592" s="1229">
        <v>75</v>
      </c>
      <c r="N1592" s="1229">
        <v>77</v>
      </c>
      <c r="O1592" s="1179">
        <f t="shared" ref="O1592:O1599" si="382">SUM(C1592:N1592)/12</f>
        <v>74.5</v>
      </c>
      <c r="P1592" s="2205">
        <f>O1586/M!$Q$14</f>
        <v>2.4323991077466869E-2</v>
      </c>
      <c r="Q1592" s="1235"/>
      <c r="R1592" s="1235"/>
      <c r="S1592" s="1235"/>
      <c r="T1592" s="1235"/>
      <c r="U1592" s="1235"/>
      <c r="V1592" s="1235"/>
      <c r="W1592" s="1235"/>
    </row>
    <row r="1593" spans="1:23">
      <c r="A1593" s="2218"/>
      <c r="B1593" s="1176" t="s">
        <v>416</v>
      </c>
      <c r="C1593" s="1182">
        <v>0</v>
      </c>
      <c r="D1593" s="1182">
        <v>0</v>
      </c>
      <c r="E1593" s="1182">
        <v>0</v>
      </c>
      <c r="F1593" s="1182">
        <v>0</v>
      </c>
      <c r="G1593" s="1182">
        <v>0</v>
      </c>
      <c r="H1593" s="1182">
        <v>0</v>
      </c>
      <c r="I1593" s="1182">
        <v>0</v>
      </c>
      <c r="J1593" s="1182">
        <v>0</v>
      </c>
      <c r="K1593" s="1182">
        <v>0</v>
      </c>
      <c r="L1593" s="1182">
        <v>0</v>
      </c>
      <c r="M1593" s="1182">
        <v>0</v>
      </c>
      <c r="N1593" s="1182">
        <v>0</v>
      </c>
      <c r="O1593" s="1179">
        <f t="shared" si="382"/>
        <v>0</v>
      </c>
      <c r="P1593" s="2206"/>
      <c r="Q1593" s="1235"/>
      <c r="R1593" s="1235"/>
      <c r="S1593" s="1235"/>
      <c r="T1593" s="1235"/>
      <c r="U1593" s="1235"/>
      <c r="V1593" s="1235"/>
      <c r="W1593" s="1235"/>
    </row>
    <row r="1594" spans="1:23">
      <c r="A1594" s="2218"/>
      <c r="B1594" s="1176" t="s">
        <v>417</v>
      </c>
      <c r="C1594" s="1182">
        <v>0</v>
      </c>
      <c r="D1594" s="1182">
        <v>0</v>
      </c>
      <c r="E1594" s="1182">
        <v>0</v>
      </c>
      <c r="F1594" s="1182">
        <v>0</v>
      </c>
      <c r="G1594" s="1182">
        <v>0</v>
      </c>
      <c r="H1594" s="1182">
        <v>0</v>
      </c>
      <c r="I1594" s="1182">
        <v>0</v>
      </c>
      <c r="J1594" s="1182">
        <v>0</v>
      </c>
      <c r="K1594" s="1182">
        <v>0</v>
      </c>
      <c r="L1594" s="1182">
        <v>0</v>
      </c>
      <c r="M1594" s="1182">
        <v>0</v>
      </c>
      <c r="N1594" s="1182">
        <v>0</v>
      </c>
      <c r="O1594" s="1179">
        <f t="shared" si="382"/>
        <v>0</v>
      </c>
      <c r="P1594" s="1180">
        <f>O1588/M!$Q$14</f>
        <v>1.7344388107772842E-2</v>
      </c>
      <c r="Q1594" s="1235"/>
      <c r="R1594" s="1235"/>
      <c r="S1594" s="1235"/>
      <c r="T1594" s="1235"/>
      <c r="U1594" s="1235"/>
      <c r="V1594" s="1235"/>
      <c r="W1594" s="1235"/>
    </row>
    <row r="1595" spans="1:23">
      <c r="A1595" s="2218"/>
      <c r="B1595" s="1176" t="s">
        <v>410</v>
      </c>
      <c r="C1595" s="1228">
        <v>168</v>
      </c>
      <c r="D1595" s="1228">
        <v>156</v>
      </c>
      <c r="E1595" s="1228">
        <v>138</v>
      </c>
      <c r="F1595" s="1228">
        <v>90</v>
      </c>
      <c r="G1595" s="1228">
        <v>59</v>
      </c>
      <c r="H1595" s="1228">
        <v>48</v>
      </c>
      <c r="I1595" s="1229">
        <v>42</v>
      </c>
      <c r="J1595" s="1229">
        <v>45</v>
      </c>
      <c r="K1595" s="1229">
        <v>39</v>
      </c>
      <c r="L1595" s="1229">
        <v>44</v>
      </c>
      <c r="M1595" s="1229">
        <v>75</v>
      </c>
      <c r="N1595" s="1229">
        <v>141</v>
      </c>
      <c r="O1595" s="1179">
        <f t="shared" si="382"/>
        <v>87.083333333333329</v>
      </c>
      <c r="P1595" s="1180">
        <f>O1589/M!$Q$14</f>
        <v>6.9796029696940261E-3</v>
      </c>
      <c r="Q1595" s="1235"/>
      <c r="R1595" s="1235"/>
      <c r="S1595" s="1235"/>
      <c r="T1595" s="1235"/>
      <c r="U1595" s="1235"/>
      <c r="V1595" s="1235"/>
      <c r="W1595" s="1235"/>
    </row>
    <row r="1596" spans="1:23">
      <c r="A1596" s="2218"/>
      <c r="B1596" s="1176" t="s">
        <v>418</v>
      </c>
      <c r="C1596" s="1228">
        <v>105</v>
      </c>
      <c r="D1596" s="1228">
        <v>110</v>
      </c>
      <c r="E1596" s="1228">
        <v>110</v>
      </c>
      <c r="F1596" s="1228">
        <v>110</v>
      </c>
      <c r="G1596" s="1228">
        <v>110</v>
      </c>
      <c r="H1596" s="1228">
        <v>110</v>
      </c>
      <c r="I1596" s="1229">
        <v>110</v>
      </c>
      <c r="J1596" s="1229">
        <v>110</v>
      </c>
      <c r="K1596" s="1229">
        <v>110</v>
      </c>
      <c r="L1596" s="1229">
        <v>110</v>
      </c>
      <c r="M1596" s="1229">
        <v>110</v>
      </c>
      <c r="N1596" s="1229">
        <v>110</v>
      </c>
      <c r="O1596" s="1179">
        <f t="shared" si="382"/>
        <v>109.58333333333333</v>
      </c>
      <c r="P1596" s="2205">
        <f>O1590/M!$Q$14</f>
        <v>3.8462544416504443E-2</v>
      </c>
      <c r="Q1596" s="1235"/>
      <c r="R1596" s="1235"/>
      <c r="S1596" s="1235"/>
      <c r="T1596" s="1235"/>
      <c r="U1596" s="1235"/>
      <c r="V1596" s="1235"/>
      <c r="W1596" s="1235"/>
    </row>
    <row r="1597" spans="1:23">
      <c r="A1597" s="2218"/>
      <c r="B1597" s="1176" t="s">
        <v>419</v>
      </c>
      <c r="C1597" s="1228">
        <v>33</v>
      </c>
      <c r="D1597" s="1228">
        <v>33</v>
      </c>
      <c r="E1597" s="1228">
        <v>33</v>
      </c>
      <c r="F1597" s="1228">
        <v>33</v>
      </c>
      <c r="G1597" s="1228">
        <v>33</v>
      </c>
      <c r="H1597" s="1228">
        <v>33</v>
      </c>
      <c r="I1597" s="1229">
        <v>33</v>
      </c>
      <c r="J1597" s="1229">
        <v>33</v>
      </c>
      <c r="K1597" s="1229">
        <v>33</v>
      </c>
      <c r="L1597" s="1229">
        <v>33</v>
      </c>
      <c r="M1597" s="1229">
        <v>35</v>
      </c>
      <c r="N1597" s="1229">
        <v>33</v>
      </c>
      <c r="O1597" s="1179">
        <f t="shared" si="382"/>
        <v>33.166666666666664</v>
      </c>
      <c r="P1597" s="2206"/>
      <c r="Q1597" s="1235"/>
      <c r="R1597" s="1235"/>
      <c r="S1597" s="1235"/>
      <c r="T1597" s="1235"/>
      <c r="U1597" s="1235"/>
      <c r="V1597" s="1235"/>
      <c r="W1597" s="1235"/>
    </row>
    <row r="1598" spans="1:23">
      <c r="A1598" s="2218"/>
      <c r="B1598" s="1176" t="s">
        <v>460</v>
      </c>
      <c r="C1598" s="1228">
        <v>80</v>
      </c>
      <c r="D1598" s="1228">
        <v>52</v>
      </c>
      <c r="E1598" s="1228">
        <v>42</v>
      </c>
      <c r="F1598" s="1228">
        <v>42</v>
      </c>
      <c r="G1598" s="1228">
        <v>65</v>
      </c>
      <c r="H1598" s="1228">
        <v>58</v>
      </c>
      <c r="I1598" s="1229">
        <v>62</v>
      </c>
      <c r="J1598" s="1229">
        <v>74</v>
      </c>
      <c r="K1598" s="1229">
        <v>53</v>
      </c>
      <c r="L1598" s="1229">
        <v>53</v>
      </c>
      <c r="M1598" s="1229">
        <v>53</v>
      </c>
      <c r="N1598" s="1229">
        <v>53</v>
      </c>
      <c r="O1598" s="1179">
        <f t="shared" si="382"/>
        <v>57.25</v>
      </c>
      <c r="P1598" s="1180">
        <f>O1592/M!$Q$14</f>
        <v>6.6806906369448176E-3</v>
      </c>
      <c r="Q1598" s="1235"/>
      <c r="R1598" s="1235"/>
      <c r="S1598" s="1235"/>
      <c r="T1598" s="1235"/>
      <c r="U1598" s="1235"/>
      <c r="V1598" s="1235"/>
      <c r="W1598" s="1235"/>
    </row>
    <row r="1599" spans="1:23">
      <c r="A1599" s="2219"/>
      <c r="B1599" s="1176" t="s">
        <v>421</v>
      </c>
      <c r="C1599" s="1228">
        <v>65</v>
      </c>
      <c r="D1599" s="1228">
        <v>65</v>
      </c>
      <c r="E1599" s="1228">
        <v>64</v>
      </c>
      <c r="F1599" s="1228">
        <v>85</v>
      </c>
      <c r="G1599" s="1228">
        <v>65</v>
      </c>
      <c r="H1599" s="1228">
        <v>66</v>
      </c>
      <c r="I1599" s="1229">
        <v>67</v>
      </c>
      <c r="J1599" s="1229">
        <v>67</v>
      </c>
      <c r="K1599" s="1229">
        <v>67</v>
      </c>
      <c r="L1599" s="1229">
        <v>66</v>
      </c>
      <c r="M1599" s="1229">
        <v>66</v>
      </c>
      <c r="N1599" s="1229">
        <v>65</v>
      </c>
      <c r="O1599" s="1179">
        <f t="shared" si="382"/>
        <v>67.333333333333329</v>
      </c>
      <c r="P1599" s="1180">
        <f>O1593/M!$Q$14</f>
        <v>0</v>
      </c>
      <c r="Q1599" s="1235"/>
      <c r="R1599" s="1235"/>
      <c r="S1599" s="1235"/>
      <c r="T1599" s="1235"/>
      <c r="U1599" s="1235"/>
      <c r="V1599" s="1235"/>
      <c r="W1599" s="1235"/>
    </row>
    <row r="1600" spans="1:23">
      <c r="A1600" s="2191" t="s">
        <v>280</v>
      </c>
      <c r="B1600" s="2192"/>
      <c r="C1600" s="2203">
        <f t="shared" ref="C1600:O1600" si="383">SUM(C1602:C1608)</f>
        <v>352</v>
      </c>
      <c r="D1600" s="2203">
        <f t="shared" si="383"/>
        <v>380</v>
      </c>
      <c r="E1600" s="2203">
        <f t="shared" si="383"/>
        <v>202</v>
      </c>
      <c r="F1600" s="2203">
        <f t="shared" si="383"/>
        <v>478</v>
      </c>
      <c r="G1600" s="2203">
        <f t="shared" si="383"/>
        <v>3749</v>
      </c>
      <c r="H1600" s="2203">
        <f t="shared" si="383"/>
        <v>359</v>
      </c>
      <c r="I1600" s="2203">
        <f t="shared" si="383"/>
        <v>273</v>
      </c>
      <c r="J1600" s="2203">
        <f t="shared" si="383"/>
        <v>579</v>
      </c>
      <c r="K1600" s="2203">
        <f t="shared" si="383"/>
        <v>112</v>
      </c>
      <c r="L1600" s="2203">
        <f t="shared" si="383"/>
        <v>256</v>
      </c>
      <c r="M1600" s="2203">
        <f t="shared" si="383"/>
        <v>704</v>
      </c>
      <c r="N1600" s="2203">
        <f t="shared" si="383"/>
        <v>589</v>
      </c>
      <c r="O1600" s="2203">
        <f t="shared" si="383"/>
        <v>669.41666666666674</v>
      </c>
      <c r="P1600" s="1180">
        <f>O1594/M!$Q$14</f>
        <v>0</v>
      </c>
      <c r="Q1600" s="1235"/>
      <c r="R1600" s="1235"/>
      <c r="S1600" s="1235"/>
      <c r="T1600" s="1235"/>
      <c r="U1600" s="1235"/>
      <c r="V1600" s="1235"/>
      <c r="W1600" s="1235"/>
    </row>
    <row r="1601" spans="1:23">
      <c r="A1601" s="2193"/>
      <c r="B1601" s="2194"/>
      <c r="C1601" s="2204"/>
      <c r="D1601" s="2204"/>
      <c r="E1601" s="2204"/>
      <c r="F1601" s="2204"/>
      <c r="G1601" s="2204"/>
      <c r="H1601" s="2204"/>
      <c r="I1601" s="2204"/>
      <c r="J1601" s="2204"/>
      <c r="K1601" s="2204"/>
      <c r="L1601" s="2204"/>
      <c r="M1601" s="2204"/>
      <c r="N1601" s="2204"/>
      <c r="O1601" s="2204"/>
      <c r="P1601" s="1180">
        <f>O1595/M!$Q$14</f>
        <v>7.8090846930730807E-3</v>
      </c>
      <c r="Q1601" s="1235"/>
      <c r="R1601" s="1235"/>
      <c r="S1601" s="1235"/>
      <c r="T1601" s="1235"/>
      <c r="U1601" s="1235"/>
      <c r="V1601" s="1235"/>
      <c r="W1601" s="1235"/>
    </row>
    <row r="1602" spans="1:23">
      <c r="A1602" s="2217"/>
      <c r="B1602" s="1176" t="s">
        <v>280</v>
      </c>
      <c r="C1602" s="1228">
        <v>173</v>
      </c>
      <c r="D1602" s="1228">
        <v>14</v>
      </c>
      <c r="E1602" s="1228">
        <v>64</v>
      </c>
      <c r="F1602" s="1228">
        <v>405</v>
      </c>
      <c r="G1602" s="1228">
        <v>91</v>
      </c>
      <c r="H1602" s="1228">
        <v>66</v>
      </c>
      <c r="I1602" s="1229">
        <v>73</v>
      </c>
      <c r="J1602" s="1229">
        <v>232</v>
      </c>
      <c r="K1602" s="1229">
        <v>43</v>
      </c>
      <c r="L1602" s="1229">
        <v>29</v>
      </c>
      <c r="M1602" s="1229">
        <v>163</v>
      </c>
      <c r="N1602" s="1229">
        <v>141</v>
      </c>
      <c r="O1602" s="1179">
        <f t="shared" ref="O1602:O1608" si="384">SUM(C1602:N1602)/12</f>
        <v>124.5</v>
      </c>
      <c r="P1602" s="1180">
        <f>O1596/M!$Q$14</f>
        <v>9.82674293913024E-3</v>
      </c>
      <c r="Q1602" s="1235"/>
      <c r="R1602" s="1235"/>
      <c r="S1602" s="1235"/>
      <c r="T1602" s="1235"/>
      <c r="U1602" s="1235"/>
      <c r="V1602" s="1235"/>
      <c r="W1602" s="1235"/>
    </row>
    <row r="1603" spans="1:23">
      <c r="A1603" s="2218"/>
      <c r="B1603" s="1176" t="s">
        <v>423</v>
      </c>
      <c r="C1603" s="1228">
        <v>10</v>
      </c>
      <c r="D1603" s="1228">
        <v>0</v>
      </c>
      <c r="E1603" s="1228">
        <v>97</v>
      </c>
      <c r="F1603" s="1228">
        <v>0</v>
      </c>
      <c r="G1603" s="1228">
        <v>152</v>
      </c>
      <c r="H1603" s="1228">
        <v>142</v>
      </c>
      <c r="I1603" s="1229">
        <v>63</v>
      </c>
      <c r="J1603" s="1229">
        <v>85</v>
      </c>
      <c r="K1603" s="1229">
        <v>37</v>
      </c>
      <c r="L1603" s="1229">
        <v>41</v>
      </c>
      <c r="M1603" s="1229">
        <v>273</v>
      </c>
      <c r="N1603" s="1229">
        <v>60</v>
      </c>
      <c r="O1603" s="1179">
        <f t="shared" si="384"/>
        <v>80</v>
      </c>
      <c r="P1603" s="1180">
        <f>O1597/M!$Q$14</f>
        <v>2.9741777108546275E-3</v>
      </c>
      <c r="Q1603" s="1235"/>
      <c r="R1603" s="1235"/>
      <c r="S1603" s="1235"/>
      <c r="T1603" s="1235"/>
      <c r="U1603" s="1235"/>
      <c r="V1603" s="1235"/>
      <c r="W1603" s="1235"/>
    </row>
    <row r="1604" spans="1:23">
      <c r="A1604" s="2218"/>
      <c r="B1604" s="1176" t="s">
        <v>424</v>
      </c>
      <c r="C1604" s="1228">
        <v>0</v>
      </c>
      <c r="D1604" s="1228">
        <v>0</v>
      </c>
      <c r="E1604" s="1228">
        <v>0</v>
      </c>
      <c r="F1604" s="1228">
        <v>0</v>
      </c>
      <c r="G1604" s="1228">
        <v>0</v>
      </c>
      <c r="H1604" s="1228">
        <v>0</v>
      </c>
      <c r="I1604" s="1229">
        <v>0</v>
      </c>
      <c r="J1604" s="1229">
        <v>0</v>
      </c>
      <c r="K1604" s="1229">
        <v>0</v>
      </c>
      <c r="L1604" s="1229">
        <v>0</v>
      </c>
      <c r="M1604" s="1229">
        <v>0</v>
      </c>
      <c r="N1604" s="1229">
        <v>0</v>
      </c>
      <c r="O1604" s="1179">
        <f t="shared" si="384"/>
        <v>0</v>
      </c>
      <c r="P1604" s="1180">
        <f>O1598/M!$Q$14</f>
        <v>5.1338193149676617E-3</v>
      </c>
      <c r="Q1604" s="1235"/>
      <c r="R1604" s="1235"/>
      <c r="S1604" s="1235"/>
      <c r="T1604" s="1235"/>
      <c r="U1604" s="1235"/>
      <c r="V1604" s="1235"/>
      <c r="W1604" s="1235"/>
    </row>
    <row r="1605" spans="1:23">
      <c r="A1605" s="2218"/>
      <c r="B1605" s="1176" t="s">
        <v>425</v>
      </c>
      <c r="C1605" s="1228">
        <v>10</v>
      </c>
      <c r="D1605" s="1228">
        <v>0</v>
      </c>
      <c r="E1605" s="1228">
        <v>6</v>
      </c>
      <c r="F1605" s="1228">
        <v>16</v>
      </c>
      <c r="G1605" s="1228">
        <v>0</v>
      </c>
      <c r="H1605" s="1228">
        <v>0</v>
      </c>
      <c r="I1605" s="1229">
        <v>9</v>
      </c>
      <c r="J1605" s="1229">
        <v>9</v>
      </c>
      <c r="K1605" s="1229">
        <v>14</v>
      </c>
      <c r="L1605" s="1229">
        <v>0</v>
      </c>
      <c r="M1605" s="1229">
        <v>30</v>
      </c>
      <c r="N1605" s="1229">
        <v>0</v>
      </c>
      <c r="O1605" s="1179">
        <f t="shared" si="384"/>
        <v>7.833333333333333</v>
      </c>
      <c r="P1605" s="1180">
        <f>O1599/M!$Q$14</f>
        <v>6.0380291215340184E-3</v>
      </c>
      <c r="Q1605" s="1235"/>
      <c r="R1605" s="1235"/>
      <c r="S1605" s="1235"/>
      <c r="T1605" s="1235"/>
      <c r="U1605" s="1235"/>
      <c r="V1605" s="1235"/>
      <c r="W1605" s="1235"/>
    </row>
    <row r="1606" spans="1:23">
      <c r="A1606" s="2218"/>
      <c r="B1606" s="1176" t="s">
        <v>667</v>
      </c>
      <c r="C1606" s="1228">
        <v>72</v>
      </c>
      <c r="D1606" s="1228">
        <v>12</v>
      </c>
      <c r="E1606" s="1228">
        <v>7</v>
      </c>
      <c r="F1606" s="1228">
        <v>37</v>
      </c>
      <c r="G1606" s="1228">
        <v>52</v>
      </c>
      <c r="H1606" s="1228">
        <v>58</v>
      </c>
      <c r="I1606" s="1229">
        <v>19</v>
      </c>
      <c r="J1606" s="1229">
        <v>33</v>
      </c>
      <c r="K1606" s="1229">
        <v>0</v>
      </c>
      <c r="L1606" s="1229">
        <v>145</v>
      </c>
      <c r="M1606" s="1229">
        <v>163</v>
      </c>
      <c r="N1606" s="1229">
        <v>368</v>
      </c>
      <c r="O1606" s="1179">
        <f t="shared" si="384"/>
        <v>80.5</v>
      </c>
      <c r="P1606" s="2205">
        <f>O1600/M!$Q$14</f>
        <v>6.0029069224359868E-2</v>
      </c>
      <c r="Q1606" s="1235"/>
      <c r="R1606" s="1235"/>
      <c r="S1606" s="1235"/>
      <c r="T1606" s="1235"/>
      <c r="U1606" s="1235"/>
      <c r="V1606" s="1235"/>
      <c r="W1606" s="1235"/>
    </row>
    <row r="1607" spans="1:23">
      <c r="A1607" s="2218"/>
      <c r="B1607" s="1176" t="s">
        <v>427</v>
      </c>
      <c r="C1607" s="1228">
        <v>0</v>
      </c>
      <c r="D1607" s="1228">
        <v>0</v>
      </c>
      <c r="E1607" s="1228">
        <v>0</v>
      </c>
      <c r="F1607" s="1228">
        <v>0</v>
      </c>
      <c r="G1607" s="1228">
        <v>0</v>
      </c>
      <c r="H1607" s="1228">
        <v>0</v>
      </c>
      <c r="I1607" s="1229">
        <v>0</v>
      </c>
      <c r="J1607" s="1229">
        <v>0</v>
      </c>
      <c r="K1607" s="1229">
        <v>0</v>
      </c>
      <c r="L1607" s="1229">
        <v>0</v>
      </c>
      <c r="M1607" s="1229">
        <v>20</v>
      </c>
      <c r="N1607" s="1229">
        <v>20</v>
      </c>
      <c r="O1607" s="1179">
        <f t="shared" si="384"/>
        <v>3.3333333333333335</v>
      </c>
      <c r="P1607" s="2206"/>
      <c r="Q1607" s="1235"/>
      <c r="R1607" s="1235"/>
      <c r="S1607" s="1235"/>
      <c r="T1607" s="1235"/>
      <c r="U1607" s="1235"/>
      <c r="V1607" s="1235"/>
      <c r="W1607" s="1235"/>
    </row>
    <row r="1608" spans="1:23">
      <c r="A1608" s="2219"/>
      <c r="B1608" s="1176" t="s">
        <v>381</v>
      </c>
      <c r="C1608" s="1228">
        <v>87</v>
      </c>
      <c r="D1608" s="1228">
        <v>354</v>
      </c>
      <c r="E1608" s="1228">
        <v>28</v>
      </c>
      <c r="F1608" s="1228">
        <v>20</v>
      </c>
      <c r="G1608" s="1228">
        <v>3454</v>
      </c>
      <c r="H1608" s="1228">
        <v>93</v>
      </c>
      <c r="I1608" s="1229">
        <v>109</v>
      </c>
      <c r="J1608" s="1229">
        <v>220</v>
      </c>
      <c r="K1608" s="1229">
        <v>18</v>
      </c>
      <c r="L1608" s="1229">
        <v>41</v>
      </c>
      <c r="M1608" s="1229">
        <v>55</v>
      </c>
      <c r="N1608" s="1229">
        <v>0</v>
      </c>
      <c r="O1608" s="1179">
        <f t="shared" si="384"/>
        <v>373.25</v>
      </c>
      <c r="P1608" s="1180">
        <f>O1602/M!$Q$14</f>
        <v>1.1164375628182949E-2</v>
      </c>
      <c r="Q1608" s="1235"/>
      <c r="R1608" s="1235"/>
      <c r="S1608" s="1235"/>
      <c r="T1608" s="1235"/>
      <c r="U1608" s="1235"/>
      <c r="V1608" s="1235"/>
      <c r="W1608" s="1235"/>
    </row>
    <row r="1609" spans="1:23">
      <c r="A1609" s="2191" t="s">
        <v>428</v>
      </c>
      <c r="B1609" s="2192"/>
      <c r="C1609" s="2203">
        <f>SUM(C1611:C1612)</f>
        <v>0</v>
      </c>
      <c r="D1609" s="2203">
        <f t="shared" ref="D1609:N1609" si="385">SUM(D1611:D1612)</f>
        <v>0</v>
      </c>
      <c r="E1609" s="2203">
        <f t="shared" si="385"/>
        <v>0</v>
      </c>
      <c r="F1609" s="2203">
        <f t="shared" si="385"/>
        <v>0</v>
      </c>
      <c r="G1609" s="2203">
        <f t="shared" si="385"/>
        <v>0</v>
      </c>
      <c r="H1609" s="2203">
        <f t="shared" si="385"/>
        <v>0</v>
      </c>
      <c r="I1609" s="2203">
        <f t="shared" si="385"/>
        <v>0</v>
      </c>
      <c r="J1609" s="2203">
        <f t="shared" si="385"/>
        <v>0</v>
      </c>
      <c r="K1609" s="2203">
        <f t="shared" si="385"/>
        <v>0</v>
      </c>
      <c r="L1609" s="2203">
        <f t="shared" si="385"/>
        <v>0</v>
      </c>
      <c r="M1609" s="2203">
        <f t="shared" si="385"/>
        <v>0</v>
      </c>
      <c r="N1609" s="2203">
        <f t="shared" si="385"/>
        <v>0</v>
      </c>
      <c r="O1609" s="2203">
        <f>SUM(O1611:O1612)</f>
        <v>0</v>
      </c>
      <c r="P1609" s="1180">
        <f>O1603/M!$Q$14</f>
        <v>7.1738959859810117E-3</v>
      </c>
      <c r="Q1609" s="1235"/>
      <c r="R1609" s="1235"/>
      <c r="S1609" s="1235"/>
      <c r="T1609" s="1235"/>
      <c r="U1609" s="1235"/>
      <c r="V1609" s="1235"/>
      <c r="W1609" s="1235"/>
    </row>
    <row r="1610" spans="1:23">
      <c r="A1610" s="2193"/>
      <c r="B1610" s="2194"/>
      <c r="C1610" s="2204"/>
      <c r="D1610" s="2204"/>
      <c r="E1610" s="2204"/>
      <c r="F1610" s="2204"/>
      <c r="G1610" s="2204"/>
      <c r="H1610" s="2204"/>
      <c r="I1610" s="2204"/>
      <c r="J1610" s="2204"/>
      <c r="K1610" s="2204"/>
      <c r="L1610" s="2204"/>
      <c r="M1610" s="2204"/>
      <c r="N1610" s="2204"/>
      <c r="O1610" s="2204"/>
      <c r="P1610" s="1180">
        <f>O1604/M!$Q$14</f>
        <v>0</v>
      </c>
      <c r="Q1610" s="1235"/>
      <c r="R1610" s="1235"/>
      <c r="S1610" s="1235"/>
      <c r="T1610" s="1235"/>
      <c r="U1610" s="1235"/>
      <c r="V1610" s="1235"/>
      <c r="W1610" s="1235"/>
    </row>
    <row r="1611" spans="1:23">
      <c r="A1611" s="2217"/>
      <c r="B1611" s="1176" t="s">
        <v>429</v>
      </c>
      <c r="C1611" s="1177">
        <v>0</v>
      </c>
      <c r="D1611" s="1177">
        <v>0</v>
      </c>
      <c r="E1611" s="1177">
        <v>0</v>
      </c>
      <c r="F1611" s="1177">
        <v>0</v>
      </c>
      <c r="G1611" s="1177">
        <v>0</v>
      </c>
      <c r="H1611" s="1177">
        <v>0</v>
      </c>
      <c r="I1611" s="1177">
        <v>0</v>
      </c>
      <c r="J1611" s="1177">
        <v>0</v>
      </c>
      <c r="K1611" s="1177">
        <v>0</v>
      </c>
      <c r="L1611" s="1177">
        <v>0</v>
      </c>
      <c r="M1611" s="1177">
        <v>0</v>
      </c>
      <c r="N1611" s="1177">
        <v>0</v>
      </c>
      <c r="O1611" s="1179">
        <f>SUM(C1611:N1611)/12</f>
        <v>0</v>
      </c>
      <c r="P1611" s="1180">
        <f>O1605/M!$Q$14</f>
        <v>7.024439819606407E-4</v>
      </c>
      <c r="Q1611" s="1235"/>
      <c r="R1611" s="1235"/>
      <c r="S1611" s="1235"/>
      <c r="T1611" s="1235"/>
      <c r="U1611" s="1235"/>
      <c r="V1611" s="1235"/>
      <c r="W1611" s="1235"/>
    </row>
    <row r="1612" spans="1:23">
      <c r="A1612" s="2218"/>
      <c r="B1612" s="1176" t="s">
        <v>430</v>
      </c>
      <c r="C1612" s="1177">
        <v>0</v>
      </c>
      <c r="D1612" s="1177">
        <v>0</v>
      </c>
      <c r="E1612" s="1177">
        <v>0</v>
      </c>
      <c r="F1612" s="1177">
        <v>0</v>
      </c>
      <c r="G1612" s="1177">
        <v>0</v>
      </c>
      <c r="H1612" s="1177">
        <v>0</v>
      </c>
      <c r="I1612" s="1177">
        <v>0</v>
      </c>
      <c r="J1612" s="1177">
        <v>0</v>
      </c>
      <c r="K1612" s="1177">
        <v>0</v>
      </c>
      <c r="L1612" s="1177">
        <v>0</v>
      </c>
      <c r="M1612" s="1177">
        <v>0</v>
      </c>
      <c r="N1612" s="1177">
        <v>0</v>
      </c>
      <c r="O1612" s="1179">
        <f>SUM(C1612:N1612)/12</f>
        <v>0</v>
      </c>
      <c r="P1612" s="1180">
        <f>O1606/M!$Q$14</f>
        <v>7.218732835893393E-3</v>
      </c>
      <c r="Q1612" s="1235"/>
      <c r="R1612" s="1235"/>
      <c r="S1612" s="1235"/>
      <c r="T1612" s="1235"/>
      <c r="U1612" s="1235"/>
      <c r="V1612" s="1235"/>
      <c r="W1612" s="1235"/>
    </row>
    <row r="1613" spans="1:23">
      <c r="A1613" s="2191" t="s">
        <v>668</v>
      </c>
      <c r="B1613" s="2192"/>
      <c r="C1613" s="2203">
        <f>SUM(C1615:C1618)</f>
        <v>196.58333333333334</v>
      </c>
      <c r="D1613" s="2203">
        <f t="shared" ref="D1613:N1613" si="386">SUM(D1615:D1618)</f>
        <v>177.58333333333334</v>
      </c>
      <c r="E1613" s="2203">
        <f t="shared" si="386"/>
        <v>188.58333333333334</v>
      </c>
      <c r="F1613" s="2203">
        <f t="shared" si="386"/>
        <v>158.58333333333334</v>
      </c>
      <c r="G1613" s="2203">
        <f t="shared" si="386"/>
        <v>177.58333333333334</v>
      </c>
      <c r="H1613" s="2203">
        <f t="shared" si="386"/>
        <v>222.58333333333334</v>
      </c>
      <c r="I1613" s="2203">
        <f t="shared" si="386"/>
        <v>208.58333333333334</v>
      </c>
      <c r="J1613" s="2203">
        <f t="shared" si="386"/>
        <v>207.58333333333334</v>
      </c>
      <c r="K1613" s="2203">
        <f t="shared" si="386"/>
        <v>193.58333333333334</v>
      </c>
      <c r="L1613" s="2203">
        <f t="shared" si="386"/>
        <v>282.58333333333331</v>
      </c>
      <c r="M1613" s="2203">
        <f t="shared" si="386"/>
        <v>176.58333333333334</v>
      </c>
      <c r="N1613" s="2203">
        <f t="shared" si="386"/>
        <v>167.58333333333334</v>
      </c>
      <c r="O1613" s="2203">
        <f>SUM(O1615:O1623)</f>
        <v>239.16666666666669</v>
      </c>
      <c r="P1613" s="1180">
        <f>O1607/M!$Q$14</f>
        <v>2.9891233274920886E-4</v>
      </c>
      <c r="Q1613" s="1235"/>
      <c r="R1613" s="1235"/>
      <c r="S1613" s="1235"/>
      <c r="T1613" s="1235"/>
      <c r="U1613" s="1235"/>
      <c r="V1613" s="1235"/>
      <c r="W1613" s="1235"/>
    </row>
    <row r="1614" spans="1:23">
      <c r="A1614" s="2193"/>
      <c r="B1614" s="2194"/>
      <c r="C1614" s="2204"/>
      <c r="D1614" s="2204"/>
      <c r="E1614" s="2204"/>
      <c r="F1614" s="2204"/>
      <c r="G1614" s="2204"/>
      <c r="H1614" s="2204"/>
      <c r="I1614" s="2204"/>
      <c r="J1614" s="2204"/>
      <c r="K1614" s="2204"/>
      <c r="L1614" s="2204"/>
      <c r="M1614" s="2204"/>
      <c r="N1614" s="2204"/>
      <c r="O1614" s="2204"/>
      <c r="P1614" s="1180">
        <f>O1608/M!$Q$14</f>
        <v>3.3470708459592657E-2</v>
      </c>
      <c r="Q1614" s="1235"/>
      <c r="R1614" s="1235"/>
      <c r="S1614" s="1235"/>
      <c r="T1614" s="1235"/>
      <c r="U1614" s="1235"/>
      <c r="V1614" s="1235"/>
      <c r="W1614" s="1235"/>
    </row>
    <row r="1615" spans="1:23">
      <c r="A1615" s="1183"/>
      <c r="B1615" s="1176" t="s">
        <v>432</v>
      </c>
      <c r="C1615" s="1184">
        <f>(FinSnapshot!$F$94 +FinSnapshot!$F$96+FinSnapshot!$F$102+FinSnapshot!$F$104)/12</f>
        <v>132</v>
      </c>
      <c r="D1615" s="1184">
        <f>(FinSnapshot!$F$94 +FinSnapshot!$F$96+FinSnapshot!$F$102+FinSnapshot!$F$104)/12</f>
        <v>132</v>
      </c>
      <c r="E1615" s="1184">
        <f>(FinSnapshot!$F$94 +FinSnapshot!$F$96+FinSnapshot!$F$102+FinSnapshot!$F$104)/12</f>
        <v>132</v>
      </c>
      <c r="F1615" s="1184">
        <f>(FinSnapshot!$F$94 +FinSnapshot!$F$96+FinSnapshot!$F$102+FinSnapshot!$F$104)/12</f>
        <v>132</v>
      </c>
      <c r="G1615" s="1184">
        <f>(FinSnapshot!$F$94 +FinSnapshot!$F$96+FinSnapshot!$F$102+FinSnapshot!$F$104)/12</f>
        <v>132</v>
      </c>
      <c r="H1615" s="1184">
        <f>(FinSnapshot!$F$94 +FinSnapshot!$F$96+FinSnapshot!$F$102+FinSnapshot!$F$104)/12</f>
        <v>132</v>
      </c>
      <c r="I1615" s="1184">
        <f>(FinSnapshot!$F$94 +FinSnapshot!$F$96+FinSnapshot!$F$102+FinSnapshot!$F$104)/12</f>
        <v>132</v>
      </c>
      <c r="J1615" s="1184">
        <f>(FinSnapshot!$F$94 +FinSnapshot!$F$96+FinSnapshot!$F$102+FinSnapshot!$F$104)/12</f>
        <v>132</v>
      </c>
      <c r="K1615" s="1184">
        <f>(FinSnapshot!$F$94 +FinSnapshot!$F$96+FinSnapshot!$F$102+FinSnapshot!$F$104)/12</f>
        <v>132</v>
      </c>
      <c r="L1615" s="1184">
        <f>(FinSnapshot!$F$94 +FinSnapshot!$F$96+FinSnapshot!$F$102+FinSnapshot!$F$104)/12</f>
        <v>132</v>
      </c>
      <c r="M1615" s="1184">
        <f>(FinSnapshot!$F$94 +FinSnapshot!$F$96+FinSnapshot!$F$102+FinSnapshot!$F$104)/12</f>
        <v>132</v>
      </c>
      <c r="N1615" s="1184">
        <f>(FinSnapshot!$F$94 +FinSnapshot!$F$96+FinSnapshot!$F$102+FinSnapshot!$F$104)/12</f>
        <v>132</v>
      </c>
      <c r="O1615" s="1179">
        <f>SUM(C1615:N1615)/12</f>
        <v>132</v>
      </c>
      <c r="P1615" s="2205">
        <f>O1609/M!$Q$14</f>
        <v>0</v>
      </c>
      <c r="Q1615" s="1235"/>
      <c r="R1615" s="1235"/>
      <c r="S1615" s="1235"/>
      <c r="T1615" s="1235"/>
      <c r="U1615" s="1235"/>
      <c r="V1615" s="1235"/>
      <c r="W1615" s="1235"/>
    </row>
    <row r="1616" spans="1:23">
      <c r="A1616" s="1183"/>
      <c r="B1616" s="1176" t="s">
        <v>284</v>
      </c>
      <c r="C1616" s="1228">
        <v>38</v>
      </c>
      <c r="D1616" s="1228">
        <v>19</v>
      </c>
      <c r="E1616" s="1228">
        <v>30</v>
      </c>
      <c r="F1616" s="1228">
        <v>0</v>
      </c>
      <c r="G1616" s="1228">
        <v>19</v>
      </c>
      <c r="H1616" s="1228">
        <v>64</v>
      </c>
      <c r="I1616" s="1228">
        <v>50</v>
      </c>
      <c r="J1616" s="1228">
        <v>49</v>
      </c>
      <c r="K1616" s="1228">
        <v>35</v>
      </c>
      <c r="L1616" s="1228">
        <v>124</v>
      </c>
      <c r="M1616" s="1228">
        <v>18</v>
      </c>
      <c r="N1616" s="1228">
        <v>9</v>
      </c>
      <c r="O1616" s="1179">
        <f>SUM(C1616:N1616)/12</f>
        <v>37.916666666666664</v>
      </c>
      <c r="P1616" s="2206"/>
      <c r="Q1616" s="1235"/>
      <c r="R1616" s="1235"/>
      <c r="S1616" s="1235"/>
      <c r="T1616" s="1235"/>
      <c r="U1616" s="1235"/>
      <c r="V1616" s="1235"/>
      <c r="W1616" s="1235"/>
    </row>
    <row r="1617" spans="1:23">
      <c r="A1617" s="1183"/>
      <c r="B1617" s="1176" t="s">
        <v>433</v>
      </c>
      <c r="C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D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E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F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G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H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I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J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K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L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M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N1617" s="1178">
        <f>(FinSnapshot!$F$93+ FinSnapshot!$F$95+ FinSnapshot!$F$96+ FinSnapshot!$F$103 + FinSnapshot!$F$105+ FinSnapshot!$F$107+ FinSnapshot!$F$108+ FinSnapshot!$F$101+FinSnapshot!$F$95+FinSnapshot!$F$103)/12</f>
        <v>26.583333333333332</v>
      </c>
      <c r="O1617" s="1179">
        <f>SUM(C1617:N1617)/12</f>
        <v>26.583333333333332</v>
      </c>
      <c r="P1617" s="1180">
        <f>O1611/M!$Q$14</f>
        <v>0</v>
      </c>
      <c r="Q1617" s="1235"/>
      <c r="R1617" s="1235"/>
      <c r="S1617" s="1235"/>
      <c r="T1617" s="1235"/>
      <c r="U1617" s="1235"/>
      <c r="V1617" s="1235"/>
      <c r="W1617" s="1235"/>
    </row>
    <row r="1618" spans="1:23">
      <c r="A1618" s="1183"/>
      <c r="B1618" s="1176" t="s">
        <v>434</v>
      </c>
      <c r="C1618" s="1184">
        <v>0</v>
      </c>
      <c r="D1618" s="1184">
        <v>0</v>
      </c>
      <c r="E1618" s="1184">
        <v>0</v>
      </c>
      <c r="F1618" s="1184">
        <v>0</v>
      </c>
      <c r="G1618" s="1184">
        <v>0</v>
      </c>
      <c r="H1618" s="1184">
        <v>0</v>
      </c>
      <c r="I1618" s="1184">
        <v>0</v>
      </c>
      <c r="J1618" s="1184">
        <v>0</v>
      </c>
      <c r="K1618" s="1184">
        <v>0</v>
      </c>
      <c r="L1618" s="1184">
        <v>0</v>
      </c>
      <c r="M1618" s="1184">
        <v>0</v>
      </c>
      <c r="N1618" s="1184">
        <v>0</v>
      </c>
      <c r="O1618" s="1179">
        <f>SUM(C1618:N1618)/12</f>
        <v>0</v>
      </c>
      <c r="P1618" s="1180">
        <f>O1612/M!$Q$14</f>
        <v>0</v>
      </c>
      <c r="Q1618" s="1235"/>
      <c r="R1618" s="1235"/>
      <c r="S1618" s="1235"/>
      <c r="T1618" s="1235"/>
      <c r="U1618" s="1235"/>
      <c r="V1618" s="1235"/>
      <c r="W1618" s="1235"/>
    </row>
    <row r="1619" spans="1:23">
      <c r="A1619" s="2191" t="s">
        <v>435</v>
      </c>
      <c r="B1619" s="2192"/>
      <c r="C1619" s="2203">
        <f>SUM(C1621:C1623)</f>
        <v>10</v>
      </c>
      <c r="D1619" s="2203">
        <f t="shared" ref="D1619:N1619" si="387">SUM(D1621:D1623)</f>
        <v>0</v>
      </c>
      <c r="E1619" s="2203">
        <f t="shared" si="387"/>
        <v>0</v>
      </c>
      <c r="F1619" s="2203">
        <f t="shared" si="387"/>
        <v>164</v>
      </c>
      <c r="G1619" s="2203">
        <f t="shared" si="387"/>
        <v>0</v>
      </c>
      <c r="H1619" s="2203">
        <f t="shared" si="387"/>
        <v>0</v>
      </c>
      <c r="I1619" s="2203">
        <f t="shared" si="387"/>
        <v>63</v>
      </c>
      <c r="J1619" s="2203">
        <f t="shared" si="387"/>
        <v>0</v>
      </c>
      <c r="K1619" s="2203">
        <f t="shared" si="387"/>
        <v>0</v>
      </c>
      <c r="L1619" s="2203">
        <f t="shared" si="387"/>
        <v>0</v>
      </c>
      <c r="M1619" s="2203">
        <f t="shared" si="387"/>
        <v>0</v>
      </c>
      <c r="N1619" s="2203">
        <f t="shared" si="387"/>
        <v>19</v>
      </c>
      <c r="O1619" s="2203">
        <f>SUM(O1621:O1623)</f>
        <v>21.333333333333332</v>
      </c>
      <c r="P1619" s="2205">
        <f>O1613/M!$Q$14</f>
        <v>2.1446959874755735E-2</v>
      </c>
      <c r="Q1619" s="1235"/>
      <c r="R1619" s="1235"/>
      <c r="S1619" s="1235"/>
      <c r="T1619" s="1235"/>
      <c r="U1619" s="1235"/>
      <c r="V1619" s="1235"/>
      <c r="W1619" s="1235"/>
    </row>
    <row r="1620" spans="1:23">
      <c r="A1620" s="2193"/>
      <c r="B1620" s="2194"/>
      <c r="C1620" s="2204"/>
      <c r="D1620" s="2204"/>
      <c r="E1620" s="2204"/>
      <c r="F1620" s="2204"/>
      <c r="G1620" s="2204"/>
      <c r="H1620" s="2204"/>
      <c r="I1620" s="2204"/>
      <c r="J1620" s="2204"/>
      <c r="K1620" s="2204"/>
      <c r="L1620" s="2204"/>
      <c r="M1620" s="2204"/>
      <c r="N1620" s="2204"/>
      <c r="O1620" s="2204"/>
      <c r="P1620" s="2206"/>
      <c r="Q1620" s="1235"/>
      <c r="R1620" s="1235"/>
      <c r="S1620" s="1235"/>
      <c r="T1620" s="1235"/>
      <c r="U1620" s="1235"/>
      <c r="V1620" s="1235"/>
      <c r="W1620" s="1235"/>
    </row>
    <row r="1621" spans="1:23">
      <c r="A1621" s="1183"/>
      <c r="B1621" s="1176" t="s">
        <v>405</v>
      </c>
      <c r="C1621" s="1228">
        <v>0</v>
      </c>
      <c r="D1621" s="1228">
        <v>0</v>
      </c>
      <c r="E1621" s="1228">
        <v>0</v>
      </c>
      <c r="F1621" s="1228">
        <v>0</v>
      </c>
      <c r="G1621" s="1228">
        <v>0</v>
      </c>
      <c r="H1621" s="1228">
        <v>0</v>
      </c>
      <c r="I1621" s="1229">
        <v>0</v>
      </c>
      <c r="J1621" s="1229">
        <v>0</v>
      </c>
      <c r="K1621" s="1229">
        <v>0</v>
      </c>
      <c r="L1621" s="1229">
        <v>0</v>
      </c>
      <c r="M1621" s="1229">
        <v>0</v>
      </c>
      <c r="N1621" s="1229">
        <v>19</v>
      </c>
      <c r="O1621" s="1179">
        <f>SUM(C1621:N1621)/12</f>
        <v>1.5833333333333333</v>
      </c>
      <c r="P1621" s="1180">
        <f>O1615/M!$Q$14</f>
        <v>1.183692837686867E-2</v>
      </c>
      <c r="Q1621" s="1235"/>
      <c r="R1621" s="1235"/>
      <c r="S1621" s="1235"/>
      <c r="T1621" s="1235"/>
      <c r="U1621" s="1235"/>
      <c r="V1621" s="1235"/>
      <c r="W1621" s="1235"/>
    </row>
    <row r="1622" spans="1:23">
      <c r="A1622" s="1183"/>
      <c r="B1622" s="1176" t="s">
        <v>436</v>
      </c>
      <c r="C1622" s="1228">
        <v>0</v>
      </c>
      <c r="D1622" s="1228">
        <v>0</v>
      </c>
      <c r="E1622" s="1228">
        <v>0</v>
      </c>
      <c r="F1622" s="1228">
        <v>0</v>
      </c>
      <c r="G1622" s="1228">
        <v>0</v>
      </c>
      <c r="H1622" s="1228">
        <v>0</v>
      </c>
      <c r="I1622" s="1229">
        <v>0</v>
      </c>
      <c r="J1622" s="1229">
        <v>0</v>
      </c>
      <c r="K1622" s="1229">
        <v>0</v>
      </c>
      <c r="L1622" s="1229">
        <v>0</v>
      </c>
      <c r="M1622" s="1229">
        <v>0</v>
      </c>
      <c r="N1622" s="1229">
        <v>0</v>
      </c>
      <c r="O1622" s="1179">
        <f>SUM(C1622:N1622)/12</f>
        <v>0</v>
      </c>
      <c r="P1622" s="1180">
        <f>O1616/M!$Q$14</f>
        <v>3.4001277850222501E-3</v>
      </c>
      <c r="Q1622" s="1235"/>
      <c r="R1622" s="1235"/>
      <c r="S1622" s="1235"/>
      <c r="T1622" s="1235"/>
      <c r="U1622" s="1235"/>
      <c r="V1622" s="1235"/>
      <c r="W1622" s="1235"/>
    </row>
    <row r="1623" spans="1:23">
      <c r="A1623" s="1183"/>
      <c r="B1623" s="1176" t="s">
        <v>130</v>
      </c>
      <c r="C1623" s="1228">
        <v>10</v>
      </c>
      <c r="D1623" s="1228">
        <v>0</v>
      </c>
      <c r="E1623" s="1228">
        <v>0</v>
      </c>
      <c r="F1623" s="1228">
        <v>164</v>
      </c>
      <c r="G1623" s="1228">
        <v>0</v>
      </c>
      <c r="H1623" s="1228">
        <v>0</v>
      </c>
      <c r="I1623" s="1229">
        <v>63</v>
      </c>
      <c r="J1623" s="1229">
        <v>0</v>
      </c>
      <c r="K1623" s="1229">
        <v>0</v>
      </c>
      <c r="L1623" s="1229">
        <v>0</v>
      </c>
      <c r="M1623" s="1229">
        <v>0</v>
      </c>
      <c r="N1623" s="1229">
        <v>0</v>
      </c>
      <c r="O1623" s="1179">
        <f>SUM(C1623:N1623)/12</f>
        <v>19.75</v>
      </c>
      <c r="P1623" s="1180">
        <f>O1617/M!$Q$14</f>
        <v>2.3838258536749402E-3</v>
      </c>
      <c r="Q1623" s="1235"/>
      <c r="R1623" s="1235"/>
      <c r="S1623" s="1235"/>
      <c r="T1623" s="1235"/>
      <c r="U1623" s="1235"/>
      <c r="V1623" s="1235"/>
      <c r="W1623" s="1235"/>
    </row>
    <row r="1624" spans="1:23">
      <c r="A1624" s="2191" t="s">
        <v>286</v>
      </c>
      <c r="B1624" s="2192"/>
      <c r="C1624" s="2203">
        <f t="shared" ref="C1624:N1624" si="388">SUM(C1626:C1627)</f>
        <v>1230</v>
      </c>
      <c r="D1624" s="2203">
        <f t="shared" si="388"/>
        <v>1000</v>
      </c>
      <c r="E1624" s="2203">
        <f t="shared" si="388"/>
        <v>1500</v>
      </c>
      <c r="F1624" s="2203">
        <f t="shared" si="388"/>
        <v>8230</v>
      </c>
      <c r="G1624" s="2203">
        <f t="shared" si="388"/>
        <v>1000</v>
      </c>
      <c r="H1624" s="2203">
        <f t="shared" si="388"/>
        <v>3000</v>
      </c>
      <c r="I1624" s="2203">
        <f t="shared" si="388"/>
        <v>1000</v>
      </c>
      <c r="J1624" s="2203">
        <f t="shared" si="388"/>
        <v>1500</v>
      </c>
      <c r="K1624" s="2203">
        <f t="shared" si="388"/>
        <v>0</v>
      </c>
      <c r="L1624" s="2203">
        <f t="shared" si="388"/>
        <v>0</v>
      </c>
      <c r="M1624" s="2203">
        <f t="shared" si="388"/>
        <v>1500</v>
      </c>
      <c r="N1624" s="2203">
        <f t="shared" si="388"/>
        <v>1500</v>
      </c>
      <c r="O1624" s="2203">
        <f>SUM(O1626:O1627)</f>
        <v>1788.3333333333333</v>
      </c>
      <c r="P1624" s="1180">
        <f>O1618/M!$Q$14</f>
        <v>0</v>
      </c>
      <c r="Q1624" s="1235"/>
      <c r="R1624" s="1235"/>
      <c r="S1624" s="1235"/>
      <c r="T1624" s="1235"/>
      <c r="U1624" s="1235"/>
      <c r="V1624" s="1235"/>
      <c r="W1624" s="1235"/>
    </row>
    <row r="1625" spans="1:23">
      <c r="A1625" s="2193"/>
      <c r="B1625" s="2194"/>
      <c r="C1625" s="2204"/>
      <c r="D1625" s="2204"/>
      <c r="E1625" s="2204"/>
      <c r="F1625" s="2204"/>
      <c r="G1625" s="2204"/>
      <c r="H1625" s="2204"/>
      <c r="I1625" s="2204"/>
      <c r="J1625" s="2204"/>
      <c r="K1625" s="2204"/>
      <c r="L1625" s="2204"/>
      <c r="M1625" s="2204"/>
      <c r="N1625" s="2204"/>
      <c r="O1625" s="2204"/>
      <c r="P1625" s="2205">
        <f>O1619/M!$Q$14</f>
        <v>1.9130389295949363E-3</v>
      </c>
      <c r="Q1625" s="1235"/>
      <c r="R1625" s="1235"/>
      <c r="S1625" s="1235"/>
      <c r="T1625" s="1235"/>
      <c r="U1625" s="1235"/>
      <c r="V1625" s="1235"/>
      <c r="W1625" s="1235"/>
    </row>
    <row r="1626" spans="1:23">
      <c r="A1626" s="2217"/>
      <c r="B1626" s="1176" t="s">
        <v>82</v>
      </c>
      <c r="C1626" s="1228">
        <v>1230</v>
      </c>
      <c r="D1626" s="1228">
        <v>1000</v>
      </c>
      <c r="E1626" s="1228">
        <v>1500</v>
      </c>
      <c r="F1626" s="1228">
        <v>8230</v>
      </c>
      <c r="G1626" s="1228">
        <v>1000</v>
      </c>
      <c r="H1626" s="1228">
        <v>3000</v>
      </c>
      <c r="I1626" s="1229">
        <v>1000</v>
      </c>
      <c r="J1626" s="1229">
        <v>1500</v>
      </c>
      <c r="K1626" s="1229">
        <v>0</v>
      </c>
      <c r="L1626" s="1229">
        <v>0</v>
      </c>
      <c r="M1626" s="1229">
        <v>1500</v>
      </c>
      <c r="N1626" s="1229">
        <v>1500</v>
      </c>
      <c r="O1626" s="1179">
        <f>SUM(C1626:N1626)/12</f>
        <v>1788.3333333333333</v>
      </c>
      <c r="P1626" s="2206"/>
      <c r="Q1626" s="1235"/>
      <c r="R1626" s="1235"/>
      <c r="S1626" s="1235"/>
      <c r="T1626" s="1235"/>
      <c r="U1626" s="1235"/>
      <c r="V1626" s="1235"/>
      <c r="W1626" s="1235"/>
    </row>
    <row r="1627" spans="1:23">
      <c r="A1627" s="2219"/>
      <c r="B1627" s="1176" t="s">
        <v>83</v>
      </c>
      <c r="C1627" s="1228">
        <v>0</v>
      </c>
      <c r="D1627" s="1228">
        <v>0</v>
      </c>
      <c r="E1627" s="1228">
        <v>0</v>
      </c>
      <c r="F1627" s="1228">
        <v>0</v>
      </c>
      <c r="G1627" s="1228">
        <v>0</v>
      </c>
      <c r="H1627" s="1228">
        <v>0</v>
      </c>
      <c r="I1627" s="1229">
        <v>0</v>
      </c>
      <c r="J1627" s="1229">
        <v>0</v>
      </c>
      <c r="K1627" s="1229">
        <v>0</v>
      </c>
      <c r="L1627" s="1229">
        <v>0</v>
      </c>
      <c r="M1627" s="1229">
        <v>0</v>
      </c>
      <c r="N1627" s="1229">
        <v>0</v>
      </c>
      <c r="O1627" s="1179">
        <f>SUM(C1627:N1627)/12</f>
        <v>0</v>
      </c>
      <c r="P1627" s="1180">
        <f>O1621/M!$Q$14</f>
        <v>1.4198335805587419E-4</v>
      </c>
      <c r="Q1627" s="1235"/>
      <c r="R1627" s="1235"/>
      <c r="S1627" s="1235"/>
      <c r="T1627" s="1235"/>
      <c r="U1627" s="1235"/>
      <c r="V1627" s="1235"/>
      <c r="W1627" s="1235"/>
    </row>
    <row r="1628" spans="1:23">
      <c r="A1628" s="1187" t="s">
        <v>437</v>
      </c>
      <c r="B1628" s="1188"/>
      <c r="C1628" s="1189">
        <f t="shared" ref="C1628:N1628" si="389">C1558+C1572+C1580+C1586+C1590+C1600+C1609+C1613+C1619+C1624</f>
        <v>5839.583333333333</v>
      </c>
      <c r="D1628" s="1189">
        <f t="shared" si="389"/>
        <v>5277.583333333333</v>
      </c>
      <c r="E1628" s="1189">
        <f t="shared" si="389"/>
        <v>5674.583333333333</v>
      </c>
      <c r="F1628" s="1189">
        <f t="shared" si="389"/>
        <v>12725.583333333332</v>
      </c>
      <c r="G1628" s="1189">
        <f t="shared" si="389"/>
        <v>8793.5833333333321</v>
      </c>
      <c r="H1628" s="1189">
        <f t="shared" si="389"/>
        <v>8650.5833333333321</v>
      </c>
      <c r="I1628" s="1189">
        <f t="shared" si="389"/>
        <v>5499.583333333333</v>
      </c>
      <c r="J1628" s="1189">
        <f t="shared" si="389"/>
        <v>5795.583333333333</v>
      </c>
      <c r="K1628" s="1189">
        <f t="shared" si="389"/>
        <v>6247.583333333333</v>
      </c>
      <c r="L1628" s="1189">
        <f t="shared" si="389"/>
        <v>4554.583333333333</v>
      </c>
      <c r="M1628" s="1189">
        <f t="shared" si="389"/>
        <v>6491.583333333333</v>
      </c>
      <c r="N1628" s="1189">
        <f t="shared" si="389"/>
        <v>5997.583333333333</v>
      </c>
      <c r="O1628" s="1189">
        <f>SUM(C1628:N1628)/12</f>
        <v>6795.666666666667</v>
      </c>
      <c r="P1628" s="1180">
        <f>O1622/M!$Q$14</f>
        <v>0</v>
      </c>
      <c r="Q1628" s="1235"/>
      <c r="R1628" s="1235"/>
      <c r="S1628" s="1235"/>
      <c r="T1628" s="1235"/>
      <c r="U1628" s="1235"/>
      <c r="V1628" s="1235"/>
      <c r="W1628" s="1235"/>
    </row>
    <row r="1629" spans="1:23">
      <c r="A1629" s="1191" t="s">
        <v>658</v>
      </c>
      <c r="B1629" s="1192"/>
      <c r="C1629" s="1193">
        <f>C1628/M!$Q$14</f>
        <v>0.52365704293502024</v>
      </c>
      <c r="D1629" s="1193">
        <f>D1628/M!$Q$14</f>
        <v>0.47326042363350357</v>
      </c>
      <c r="E1629" s="1193">
        <f>E1628/M!$Q$14</f>
        <v>0.50886088246393435</v>
      </c>
      <c r="F1629" s="1193">
        <f>F1628/M!$Q$14</f>
        <v>1.1411501399283357</v>
      </c>
      <c r="G1629" s="1193">
        <f>G1628/M!$Q$14</f>
        <v>0.78855315221736899</v>
      </c>
      <c r="H1629" s="1193">
        <f>H1628/M!$Q$14</f>
        <v>0.77572981314242795</v>
      </c>
      <c r="I1629" s="1193">
        <f>I1628/M!$Q$14</f>
        <v>0.49316798499460091</v>
      </c>
      <c r="J1629" s="1193">
        <f>J1628/M!$Q$14</f>
        <v>0.51971140014273065</v>
      </c>
      <c r="K1629" s="1193">
        <f>K1628/M!$Q$14</f>
        <v>0.56024391246352334</v>
      </c>
      <c r="L1629" s="1193">
        <f>L1628/M!$Q$14</f>
        <v>0.40842633866020017</v>
      </c>
      <c r="M1629" s="1193">
        <f>M1628/M!$Q$14</f>
        <v>0.58212429522076548</v>
      </c>
      <c r="N1629" s="1193">
        <f>N1628/M!$Q$14</f>
        <v>0.53782548750733272</v>
      </c>
      <c r="O1629" s="1193">
        <f>O1628/M!$Q$14</f>
        <v>0.60939257277581205</v>
      </c>
      <c r="P1629" s="1180">
        <f>O1623/M!$Q$14</f>
        <v>1.7710555715390623E-3</v>
      </c>
      <c r="Q1629" s="1235"/>
      <c r="R1629" s="1235"/>
      <c r="S1629" s="1235"/>
      <c r="T1629" s="1235"/>
      <c r="U1629" s="1235"/>
      <c r="V1629" s="1235"/>
      <c r="W1629" s="1235"/>
    </row>
    <row r="1630" spans="1:23">
      <c r="A1630" s="1235"/>
      <c r="B1630" s="1235"/>
      <c r="C1630" s="1235"/>
      <c r="D1630" s="1235"/>
      <c r="E1630" s="1235"/>
      <c r="F1630" s="1235"/>
      <c r="G1630" s="1235"/>
      <c r="H1630" s="1235"/>
      <c r="I1630" s="1235"/>
      <c r="J1630" s="1235"/>
      <c r="K1630" s="1235"/>
      <c r="L1630" s="1235"/>
      <c r="M1630" s="1235"/>
      <c r="N1630" s="1235"/>
      <c r="O1630" s="1235"/>
      <c r="P1630" s="2205">
        <f>O1624/M!$Q$14</f>
        <v>0.16036646651995054</v>
      </c>
      <c r="Q1630" s="1235"/>
      <c r="R1630" s="1235"/>
      <c r="S1630" s="1235"/>
      <c r="T1630" s="1235"/>
      <c r="U1630" s="1235"/>
      <c r="V1630" s="1235"/>
      <c r="W1630" s="1235"/>
    </row>
    <row r="1631" spans="1:23">
      <c r="A1631" s="1235"/>
      <c r="B1631" s="1235"/>
      <c r="C1631" s="1235"/>
      <c r="D1631" s="1235"/>
      <c r="E1631" s="1235"/>
      <c r="F1631" s="1235"/>
      <c r="G1631" s="1235"/>
      <c r="H1631" s="1235"/>
      <c r="I1631" s="1235"/>
      <c r="J1631" s="1235"/>
      <c r="K1631" s="1235"/>
      <c r="L1631" s="1235"/>
      <c r="M1631" s="1235"/>
      <c r="N1631" s="1235"/>
      <c r="O1631" s="1235"/>
      <c r="P1631" s="2206"/>
      <c r="Q1631" s="1235"/>
      <c r="R1631" s="1235"/>
      <c r="S1631" s="1235"/>
      <c r="T1631" s="1235"/>
      <c r="U1631" s="1235"/>
      <c r="V1631" s="1235"/>
      <c r="W1631" s="1235"/>
    </row>
    <row r="1632" spans="1:23">
      <c r="A1632" s="1235"/>
      <c r="B1632" s="1235"/>
      <c r="C1632" s="1235"/>
      <c r="D1632" s="1235"/>
      <c r="E1632" s="1235"/>
      <c r="F1632" s="1235"/>
      <c r="G1632" s="1235"/>
      <c r="H1632" s="1235"/>
      <c r="I1632" s="1235"/>
      <c r="J1632" s="1235"/>
      <c r="K1632" s="1235"/>
      <c r="L1632" s="1235"/>
      <c r="M1632" s="1235"/>
      <c r="N1632" s="1235"/>
      <c r="O1632" s="1235"/>
      <c r="P1632" s="1180">
        <f>O1626/M!$Q$14</f>
        <v>0.16036646651995054</v>
      </c>
      <c r="Q1632" s="1235"/>
      <c r="R1632" s="1235"/>
      <c r="S1632" s="1235"/>
      <c r="T1632" s="1235"/>
      <c r="U1632" s="1235"/>
      <c r="V1632" s="1235"/>
      <c r="W1632" s="1235"/>
    </row>
    <row r="1633" spans="1:23">
      <c r="A1633" s="1235"/>
      <c r="B1633" s="1235"/>
      <c r="C1633" s="1235"/>
      <c r="D1633" s="1235"/>
      <c r="E1633" s="1235"/>
      <c r="F1633" s="1235"/>
      <c r="G1633" s="1235"/>
      <c r="H1633" s="1235"/>
      <c r="I1633" s="1235"/>
      <c r="J1633" s="1235"/>
      <c r="K1633" s="1235"/>
      <c r="L1633" s="1235"/>
      <c r="M1633" s="1235"/>
      <c r="N1633" s="1235"/>
      <c r="O1633" s="1235"/>
      <c r="P1633" s="1180">
        <f>O1627/M!$Q$14</f>
        <v>0</v>
      </c>
      <c r="Q1633" s="1235"/>
      <c r="R1633" s="1235"/>
      <c r="S1633" s="1235"/>
      <c r="T1633" s="1235"/>
      <c r="U1633" s="1235"/>
      <c r="V1633" s="1235"/>
      <c r="W1633" s="1235"/>
    </row>
    <row r="1634" spans="1:23">
      <c r="A1634" s="2195">
        <v>2005</v>
      </c>
      <c r="B1634" s="2196"/>
      <c r="C1634" s="2196"/>
      <c r="D1634" s="2196"/>
      <c r="E1634" s="2196"/>
      <c r="F1634" s="2196"/>
      <c r="G1634" s="2196"/>
      <c r="H1634" s="2196"/>
      <c r="I1634" s="2196"/>
      <c r="J1634" s="2196"/>
      <c r="K1634" s="2196"/>
      <c r="L1634" s="2196"/>
      <c r="M1634" s="2196"/>
      <c r="N1634" s="2196"/>
      <c r="O1634" s="2196"/>
      <c r="P1634" s="1190">
        <f>O1628/M!$Q$14</f>
        <v>0.60939257277581205</v>
      </c>
      <c r="Q1634" s="1235"/>
      <c r="R1634" s="1235"/>
      <c r="S1634" s="1235"/>
      <c r="T1634" s="1235"/>
      <c r="U1634" s="1235"/>
      <c r="V1634" s="1235"/>
      <c r="W1634" s="1235"/>
    </row>
    <row r="1635" spans="1:23">
      <c r="A1635" s="1171" t="s">
        <v>388</v>
      </c>
      <c r="B1635" s="1172"/>
      <c r="C1635" s="1173" t="s">
        <v>309</v>
      </c>
      <c r="D1635" s="1173" t="s">
        <v>311</v>
      </c>
      <c r="E1635" s="1173" t="s">
        <v>312</v>
      </c>
      <c r="F1635" s="1173" t="s">
        <v>313</v>
      </c>
      <c r="G1635" s="1173" t="s">
        <v>314</v>
      </c>
      <c r="H1635" s="1173" t="s">
        <v>315</v>
      </c>
      <c r="I1635" s="1173" t="s">
        <v>316</v>
      </c>
      <c r="J1635" s="1173" t="s">
        <v>317</v>
      </c>
      <c r="K1635" s="1173" t="s">
        <v>318</v>
      </c>
      <c r="L1635" s="1173" t="s">
        <v>319</v>
      </c>
      <c r="M1635" s="1173" t="s">
        <v>320</v>
      </c>
      <c r="N1635" s="1173" t="s">
        <v>321</v>
      </c>
      <c r="O1635" s="1174" t="s">
        <v>660</v>
      </c>
      <c r="P1635" s="1194"/>
      <c r="Q1635" s="1235"/>
      <c r="R1635" s="1235"/>
      <c r="S1635" s="1235"/>
      <c r="T1635" s="1235"/>
      <c r="U1635" s="1235"/>
      <c r="V1635" s="1235"/>
      <c r="W1635" s="1235"/>
    </row>
    <row r="1636" spans="1:23">
      <c r="A1636" s="2191" t="s">
        <v>56</v>
      </c>
      <c r="B1636" s="2192"/>
      <c r="C1636" s="2203">
        <f t="shared" ref="C1636:I1636" si="390">C1638+ SUM(C1644:C1649)</f>
        <v>2970</v>
      </c>
      <c r="D1636" s="2203">
        <f t="shared" si="390"/>
        <v>2570</v>
      </c>
      <c r="E1636" s="2203">
        <f t="shared" si="390"/>
        <v>2671</v>
      </c>
      <c r="F1636" s="2203">
        <f t="shared" si="390"/>
        <v>2581</v>
      </c>
      <c r="G1636" s="2203">
        <f t="shared" si="390"/>
        <v>2576</v>
      </c>
      <c r="H1636" s="2203">
        <f t="shared" si="390"/>
        <v>2581</v>
      </c>
      <c r="I1636" s="2203">
        <f t="shared" si="390"/>
        <v>2748</v>
      </c>
      <c r="J1636" s="2203">
        <f t="shared" ref="J1636:O1636" si="391">J1638+ SUM(J1644:J1649)</f>
        <v>2642</v>
      </c>
      <c r="K1636" s="2203">
        <f t="shared" si="391"/>
        <v>2642</v>
      </c>
      <c r="L1636" s="2203">
        <f t="shared" si="391"/>
        <v>2642</v>
      </c>
      <c r="M1636" s="2203">
        <f t="shared" si="391"/>
        <v>2662</v>
      </c>
      <c r="N1636" s="2203">
        <f t="shared" si="391"/>
        <v>2662</v>
      </c>
      <c r="O1636" s="2203">
        <f t="shared" si="391"/>
        <v>2662.25</v>
      </c>
      <c r="P1636" s="1235"/>
      <c r="Q1636" s="1235"/>
      <c r="R1636" s="1235"/>
      <c r="S1636" s="1235"/>
      <c r="T1636" s="1235"/>
      <c r="U1636" s="1235"/>
      <c r="V1636" s="1235"/>
      <c r="W1636" s="1235"/>
    </row>
    <row r="1637" spans="1:23">
      <c r="A1637" s="2193"/>
      <c r="B1637" s="2194"/>
      <c r="C1637" s="2204"/>
      <c r="D1637" s="2204"/>
      <c r="E1637" s="2204"/>
      <c r="F1637" s="2204"/>
      <c r="G1637" s="2204"/>
      <c r="H1637" s="2204"/>
      <c r="I1637" s="2204"/>
      <c r="J1637" s="2204"/>
      <c r="K1637" s="2204"/>
      <c r="L1637" s="2204"/>
      <c r="M1637" s="2204"/>
      <c r="N1637" s="2204"/>
      <c r="O1637" s="2204"/>
      <c r="P1637" s="1235"/>
      <c r="Q1637" s="1235"/>
      <c r="R1637" s="1235"/>
      <c r="S1637" s="1235"/>
      <c r="T1637" s="1235"/>
      <c r="U1637" s="1235"/>
      <c r="V1637" s="1235"/>
      <c r="W1637" s="1235"/>
    </row>
    <row r="1638" spans="1:23">
      <c r="A1638" s="2217"/>
      <c r="B1638" s="1176" t="s">
        <v>662</v>
      </c>
      <c r="C1638" s="1228">
        <f>SUM(C1639:C1643)</f>
        <v>2404</v>
      </c>
      <c r="D1638" s="1228">
        <f t="shared" ref="D1638:N1638" si="392">SUM(D1639:D1643)</f>
        <v>2004</v>
      </c>
      <c r="E1638" s="1228">
        <f t="shared" si="392"/>
        <v>2105</v>
      </c>
      <c r="F1638" s="1228">
        <f t="shared" si="392"/>
        <v>2005</v>
      </c>
      <c r="G1638" s="1228">
        <f t="shared" si="392"/>
        <v>2000</v>
      </c>
      <c r="H1638" s="1228">
        <f t="shared" si="392"/>
        <v>2005</v>
      </c>
      <c r="I1638" s="1228">
        <f t="shared" si="392"/>
        <v>2003</v>
      </c>
      <c r="J1638" s="1228">
        <f t="shared" si="392"/>
        <v>2003</v>
      </c>
      <c r="K1638" s="1228">
        <f t="shared" si="392"/>
        <v>2003</v>
      </c>
      <c r="L1638" s="1228">
        <f t="shared" si="392"/>
        <v>2003</v>
      </c>
      <c r="M1638" s="1228">
        <f t="shared" si="392"/>
        <v>2003</v>
      </c>
      <c r="N1638" s="1228">
        <f t="shared" si="392"/>
        <v>2003</v>
      </c>
      <c r="O1638" s="1179">
        <f t="shared" ref="O1638:O1649" si="393">SUM(C1638:N1638)/12</f>
        <v>2045.0833333333333</v>
      </c>
      <c r="P1638" s="1235"/>
      <c r="Q1638" s="1235"/>
      <c r="R1638" s="1235"/>
      <c r="S1638" s="1235"/>
      <c r="T1638" s="1235"/>
      <c r="U1638" s="1235"/>
      <c r="V1638" s="1235"/>
      <c r="W1638" s="1235"/>
    </row>
    <row r="1639" spans="1:23">
      <c r="A1639" s="2218"/>
      <c r="B1639" s="1176" t="s">
        <v>663</v>
      </c>
      <c r="C1639" s="1178">
        <v>864</v>
      </c>
      <c r="D1639" s="1178">
        <v>863</v>
      </c>
      <c r="E1639" s="1178">
        <v>862</v>
      </c>
      <c r="F1639" s="1178">
        <v>860</v>
      </c>
      <c r="G1639" s="1178">
        <v>858</v>
      </c>
      <c r="H1639" s="1178">
        <v>859</v>
      </c>
      <c r="I1639" s="1178">
        <v>854</v>
      </c>
      <c r="J1639" s="1178">
        <v>853</v>
      </c>
      <c r="K1639" s="1178">
        <v>852</v>
      </c>
      <c r="L1639" s="1178">
        <v>851</v>
      </c>
      <c r="M1639" s="1178">
        <v>850</v>
      </c>
      <c r="N1639" s="1178">
        <v>849</v>
      </c>
      <c r="O1639" s="1179">
        <f t="shared" si="393"/>
        <v>856.25</v>
      </c>
      <c r="P1639" s="1235"/>
      <c r="Q1639" s="1235"/>
      <c r="R1639" s="1235"/>
      <c r="S1639" s="1235"/>
      <c r="T1639" s="1235"/>
      <c r="U1639" s="1235"/>
      <c r="V1639" s="1235"/>
      <c r="W1639" s="1235"/>
    </row>
    <row r="1640" spans="1:23">
      <c r="A1640" s="2218"/>
      <c r="B1640" s="1176" t="s">
        <v>664</v>
      </c>
      <c r="C1640" s="1178">
        <v>430</v>
      </c>
      <c r="D1640" s="1178">
        <v>431</v>
      </c>
      <c r="E1640" s="1178">
        <v>533</v>
      </c>
      <c r="F1640" s="1178">
        <v>435</v>
      </c>
      <c r="G1640" s="1178">
        <v>432</v>
      </c>
      <c r="H1640" s="1178">
        <v>436</v>
      </c>
      <c r="I1640" s="1178">
        <v>440</v>
      </c>
      <c r="J1640" s="1178">
        <v>441</v>
      </c>
      <c r="K1640" s="1178">
        <v>442</v>
      </c>
      <c r="L1640" s="1178">
        <v>443</v>
      </c>
      <c r="M1640" s="1178">
        <v>444</v>
      </c>
      <c r="N1640" s="1178">
        <v>445</v>
      </c>
      <c r="O1640" s="1179">
        <f t="shared" si="393"/>
        <v>446</v>
      </c>
      <c r="P1640" s="2197"/>
      <c r="Q1640" s="1235"/>
      <c r="R1640" s="1235"/>
      <c r="S1640" s="1235"/>
      <c r="T1640" s="1235"/>
      <c r="U1640" s="1235"/>
      <c r="V1640" s="1235"/>
      <c r="W1640" s="1235"/>
    </row>
    <row r="1641" spans="1:23">
      <c r="A1641" s="2218"/>
      <c r="B1641" s="1176" t="s">
        <v>450</v>
      </c>
      <c r="C1641" s="1178">
        <v>0</v>
      </c>
      <c r="D1641" s="1178">
        <v>0</v>
      </c>
      <c r="E1641" s="1178">
        <v>0</v>
      </c>
      <c r="F1641" s="1178">
        <v>0</v>
      </c>
      <c r="G1641" s="1178">
        <v>0</v>
      </c>
      <c r="H1641" s="1178">
        <v>0</v>
      </c>
      <c r="I1641" s="1178">
        <v>0</v>
      </c>
      <c r="J1641" s="1178">
        <v>0</v>
      </c>
      <c r="K1641" s="1178">
        <v>0</v>
      </c>
      <c r="L1641" s="1178">
        <v>0</v>
      </c>
      <c r="M1641" s="1178">
        <v>0</v>
      </c>
      <c r="N1641" s="1178">
        <v>0</v>
      </c>
      <c r="O1641" s="1179">
        <f t="shared" si="393"/>
        <v>0</v>
      </c>
      <c r="P1641" s="1175" t="s">
        <v>661</v>
      </c>
      <c r="Q1641" s="1235"/>
      <c r="R1641" s="1235"/>
      <c r="S1641" s="1235"/>
      <c r="T1641" s="1235"/>
      <c r="U1641" s="1235"/>
      <c r="V1641" s="1235"/>
      <c r="W1641" s="1235"/>
    </row>
    <row r="1642" spans="1:23">
      <c r="A1642" s="2218"/>
      <c r="B1642" s="1176" t="s">
        <v>665</v>
      </c>
      <c r="C1642" s="1178">
        <v>296</v>
      </c>
      <c r="D1642" s="1178">
        <v>292</v>
      </c>
      <c r="E1642" s="1178">
        <v>290</v>
      </c>
      <c r="F1642" s="1178">
        <v>289</v>
      </c>
      <c r="G1642" s="1178">
        <v>288</v>
      </c>
      <c r="H1642" s="1178">
        <v>287</v>
      </c>
      <c r="I1642" s="1178">
        <v>281</v>
      </c>
      <c r="J1642" s="1178">
        <v>279</v>
      </c>
      <c r="K1642" s="1178">
        <v>277</v>
      </c>
      <c r="L1642" s="1178">
        <v>275</v>
      </c>
      <c r="M1642" s="1178">
        <v>273</v>
      </c>
      <c r="N1642" s="1178">
        <v>271</v>
      </c>
      <c r="O1642" s="1179">
        <f t="shared" si="393"/>
        <v>283.16666666666669</v>
      </c>
      <c r="P1642" s="2205">
        <f>O1636/M!$Q$14</f>
        <v>0.23873380735847435</v>
      </c>
      <c r="Q1642" s="1235"/>
      <c r="R1642" s="1235"/>
      <c r="S1642" s="1235"/>
      <c r="T1642" s="1235"/>
      <c r="U1642" s="1235"/>
      <c r="V1642" s="1235"/>
      <c r="W1642" s="1235"/>
    </row>
    <row r="1643" spans="1:23">
      <c r="A1643" s="2218"/>
      <c r="B1643" s="1176" t="s">
        <v>664</v>
      </c>
      <c r="C1643" s="1178">
        <v>814</v>
      </c>
      <c r="D1643" s="1178">
        <v>418</v>
      </c>
      <c r="E1643" s="1178">
        <v>420</v>
      </c>
      <c r="F1643" s="1178">
        <v>421</v>
      </c>
      <c r="G1643" s="1178">
        <v>422</v>
      </c>
      <c r="H1643" s="1178">
        <v>423</v>
      </c>
      <c r="I1643" s="1178">
        <v>428</v>
      </c>
      <c r="J1643" s="1178">
        <v>430</v>
      </c>
      <c r="K1643" s="1178">
        <v>432</v>
      </c>
      <c r="L1643" s="1178">
        <v>434</v>
      </c>
      <c r="M1643" s="1178">
        <v>436</v>
      </c>
      <c r="N1643" s="1178">
        <v>438</v>
      </c>
      <c r="O1643" s="1179">
        <f t="shared" si="393"/>
        <v>459.66666666666669</v>
      </c>
      <c r="P1643" s="2206"/>
      <c r="Q1643" s="1235"/>
      <c r="R1643" s="1235"/>
      <c r="S1643" s="1235"/>
      <c r="T1643" s="1235"/>
      <c r="U1643" s="1235"/>
      <c r="V1643" s="1235"/>
      <c r="W1643" s="1235"/>
    </row>
    <row r="1644" spans="1:23">
      <c r="A1644" s="2218"/>
      <c r="B1644" s="1176" t="s">
        <v>287</v>
      </c>
      <c r="C1644" s="1178">
        <v>312</v>
      </c>
      <c r="D1644" s="1178">
        <v>312</v>
      </c>
      <c r="E1644" s="1178">
        <v>312</v>
      </c>
      <c r="F1644" s="1178">
        <v>312</v>
      </c>
      <c r="G1644" s="1178">
        <v>312</v>
      </c>
      <c r="H1644" s="1178">
        <v>312</v>
      </c>
      <c r="I1644" s="1178">
        <v>312</v>
      </c>
      <c r="J1644" s="1178">
        <v>312</v>
      </c>
      <c r="K1644" s="1178">
        <v>312</v>
      </c>
      <c r="L1644" s="1178">
        <v>312</v>
      </c>
      <c r="M1644" s="1178">
        <v>312</v>
      </c>
      <c r="N1644" s="1178">
        <v>312</v>
      </c>
      <c r="O1644" s="1179">
        <f t="shared" si="393"/>
        <v>312</v>
      </c>
      <c r="P1644" s="1180">
        <f>O1638/M!$Q$14</f>
        <v>0.18339018894995834</v>
      </c>
      <c r="Q1644" s="1235"/>
      <c r="R1644" s="1235"/>
      <c r="S1644" s="1235"/>
      <c r="T1644" s="1235"/>
      <c r="U1644" s="1235"/>
      <c r="V1644" s="1235"/>
      <c r="W1644" s="1235"/>
    </row>
    <row r="1645" spans="1:23">
      <c r="A1645" s="2218"/>
      <c r="B1645" s="1176" t="s">
        <v>453</v>
      </c>
      <c r="C1645" s="1178">
        <v>0</v>
      </c>
      <c r="D1645" s="1178">
        <v>0</v>
      </c>
      <c r="E1645" s="1178">
        <v>0</v>
      </c>
      <c r="F1645" s="1178">
        <v>0</v>
      </c>
      <c r="G1645" s="1178">
        <v>0</v>
      </c>
      <c r="H1645" s="1178">
        <v>0</v>
      </c>
      <c r="I1645" s="1178">
        <v>0</v>
      </c>
      <c r="J1645" s="1178">
        <v>25</v>
      </c>
      <c r="K1645" s="1178">
        <v>25</v>
      </c>
      <c r="L1645" s="1178">
        <v>25</v>
      </c>
      <c r="M1645" s="1178">
        <v>25</v>
      </c>
      <c r="N1645" s="1178">
        <v>25</v>
      </c>
      <c r="O1645" s="1179">
        <f t="shared" si="393"/>
        <v>10.416666666666666</v>
      </c>
      <c r="P1645" s="1180">
        <f>O1639/M!$Q$14</f>
        <v>7.6783105474953026E-2</v>
      </c>
      <c r="Q1645" s="1235"/>
      <c r="R1645" s="1235"/>
      <c r="S1645" s="1235"/>
      <c r="T1645" s="1235"/>
      <c r="U1645" s="1235"/>
      <c r="V1645" s="1235"/>
      <c r="W1645" s="1235"/>
    </row>
    <row r="1646" spans="1:23">
      <c r="A1646" s="2218"/>
      <c r="B1646" s="1176" t="s">
        <v>400</v>
      </c>
      <c r="C1646" s="1178">
        <v>0</v>
      </c>
      <c r="D1646" s="1178">
        <v>0</v>
      </c>
      <c r="E1646" s="1178">
        <v>0</v>
      </c>
      <c r="F1646" s="1178">
        <v>0</v>
      </c>
      <c r="G1646" s="1178">
        <v>0</v>
      </c>
      <c r="H1646" s="1178">
        <v>0</v>
      </c>
      <c r="I1646" s="1178">
        <v>179</v>
      </c>
      <c r="J1646" s="1178">
        <v>0</v>
      </c>
      <c r="K1646" s="1178">
        <v>0</v>
      </c>
      <c r="L1646" s="1178">
        <v>0</v>
      </c>
      <c r="M1646" s="1178">
        <v>0</v>
      </c>
      <c r="N1646" s="1178">
        <v>0</v>
      </c>
      <c r="O1646" s="1179">
        <f t="shared" si="393"/>
        <v>14.916666666666666</v>
      </c>
      <c r="P1646" s="1180">
        <f>O1640/M!$Q$14</f>
        <v>3.9994470121844143E-2</v>
      </c>
      <c r="Q1646" s="1235"/>
      <c r="R1646" s="1235"/>
      <c r="S1646" s="1235"/>
      <c r="T1646" s="1235"/>
      <c r="U1646" s="1235"/>
      <c r="V1646" s="1235"/>
      <c r="W1646" s="1235"/>
    </row>
    <row r="1647" spans="1:23">
      <c r="A1647" s="2218"/>
      <c r="B1647" s="1176" t="s">
        <v>401</v>
      </c>
      <c r="C1647" s="1178">
        <v>204</v>
      </c>
      <c r="D1647" s="1178">
        <v>204</v>
      </c>
      <c r="E1647" s="1178">
        <v>204</v>
      </c>
      <c r="F1647" s="1178">
        <v>214</v>
      </c>
      <c r="G1647" s="1178">
        <v>214</v>
      </c>
      <c r="H1647" s="1178">
        <v>214</v>
      </c>
      <c r="I1647" s="1178">
        <v>204</v>
      </c>
      <c r="J1647" s="1178">
        <v>214</v>
      </c>
      <c r="K1647" s="1178">
        <v>214</v>
      </c>
      <c r="L1647" s="1178">
        <v>214</v>
      </c>
      <c r="M1647" s="1178">
        <v>234</v>
      </c>
      <c r="N1647" s="1178">
        <v>234</v>
      </c>
      <c r="O1647" s="1179">
        <f t="shared" si="393"/>
        <v>214</v>
      </c>
      <c r="P1647" s="1180">
        <f>O1641/M!$Q$14</f>
        <v>0</v>
      </c>
      <c r="Q1647" s="1235"/>
      <c r="R1647" s="1235"/>
      <c r="S1647" s="1235"/>
      <c r="T1647" s="1235"/>
      <c r="U1647" s="1235"/>
      <c r="V1647" s="1235"/>
      <c r="W1647" s="1235"/>
    </row>
    <row r="1648" spans="1:23">
      <c r="A1648" s="2218"/>
      <c r="B1648" s="1176" t="s">
        <v>402</v>
      </c>
      <c r="C1648" s="1178">
        <v>50</v>
      </c>
      <c r="D1648" s="1178">
        <v>50</v>
      </c>
      <c r="E1648" s="1178">
        <v>50</v>
      </c>
      <c r="F1648" s="1178">
        <v>50</v>
      </c>
      <c r="G1648" s="1178">
        <v>50</v>
      </c>
      <c r="H1648" s="1178">
        <v>50</v>
      </c>
      <c r="I1648" s="1178">
        <v>50</v>
      </c>
      <c r="J1648" s="1178">
        <v>88</v>
      </c>
      <c r="K1648" s="1178">
        <v>88</v>
      </c>
      <c r="L1648" s="1178">
        <v>88</v>
      </c>
      <c r="M1648" s="1178">
        <v>88</v>
      </c>
      <c r="N1648" s="1178">
        <v>88</v>
      </c>
      <c r="O1648" s="1179">
        <f t="shared" si="393"/>
        <v>65.833333333333329</v>
      </c>
      <c r="P1648" s="1180">
        <f>O1642/M!$Q$14</f>
        <v>2.5392602667045291E-2</v>
      </c>
      <c r="Q1648" s="1235"/>
      <c r="R1648" s="1235"/>
      <c r="S1648" s="1235"/>
      <c r="T1648" s="1235"/>
      <c r="U1648" s="1235"/>
      <c r="V1648" s="1235"/>
      <c r="W1648" s="1235"/>
    </row>
    <row r="1649" spans="1:23">
      <c r="A1649" s="2219"/>
      <c r="B1649" s="1176" t="s">
        <v>403</v>
      </c>
      <c r="C1649" s="1178">
        <v>0</v>
      </c>
      <c r="D1649" s="1178">
        <v>0</v>
      </c>
      <c r="E1649" s="1178">
        <v>0</v>
      </c>
      <c r="F1649" s="1178">
        <v>0</v>
      </c>
      <c r="G1649" s="1178">
        <v>0</v>
      </c>
      <c r="H1649" s="1178">
        <v>0</v>
      </c>
      <c r="I1649" s="1178">
        <v>0</v>
      </c>
      <c r="J1649" s="1178">
        <v>0</v>
      </c>
      <c r="K1649" s="1178">
        <v>0</v>
      </c>
      <c r="L1649" s="1178">
        <v>0</v>
      </c>
      <c r="M1649" s="1178">
        <v>0</v>
      </c>
      <c r="N1649" s="1178">
        <v>0</v>
      </c>
      <c r="O1649" s="1179">
        <f t="shared" si="393"/>
        <v>0</v>
      </c>
      <c r="P1649" s="1180">
        <f>O1643/M!$Q$14</f>
        <v>4.1220010686115902E-2</v>
      </c>
      <c r="Q1649" s="1235"/>
      <c r="R1649" s="1235"/>
      <c r="S1649" s="1235"/>
      <c r="T1649" s="1235"/>
      <c r="U1649" s="1235"/>
      <c r="V1649" s="1235"/>
      <c r="W1649" s="1235"/>
    </row>
    <row r="1650" spans="1:23">
      <c r="A1650" s="2191" t="s">
        <v>276</v>
      </c>
      <c r="B1650" s="2192"/>
      <c r="C1650" s="2203">
        <f t="shared" ref="C1650:N1650" si="394">SUM(C1652:C1657)</f>
        <v>945</v>
      </c>
      <c r="D1650" s="2203">
        <f t="shared" si="394"/>
        <v>192</v>
      </c>
      <c r="E1650" s="2203">
        <f t="shared" si="394"/>
        <v>362</v>
      </c>
      <c r="F1650" s="2203">
        <f t="shared" si="394"/>
        <v>233</v>
      </c>
      <c r="G1650" s="2203">
        <f t="shared" si="394"/>
        <v>231</v>
      </c>
      <c r="H1650" s="2203">
        <f t="shared" si="394"/>
        <v>202</v>
      </c>
      <c r="I1650" s="2203">
        <f t="shared" si="394"/>
        <v>357</v>
      </c>
      <c r="J1650" s="2203">
        <f t="shared" si="394"/>
        <v>202</v>
      </c>
      <c r="K1650" s="2203">
        <f t="shared" si="394"/>
        <v>465</v>
      </c>
      <c r="L1650" s="2203">
        <f t="shared" si="394"/>
        <v>1530</v>
      </c>
      <c r="M1650" s="2203">
        <f t="shared" si="394"/>
        <v>99</v>
      </c>
      <c r="N1650" s="2203">
        <f t="shared" si="394"/>
        <v>59</v>
      </c>
      <c r="O1650" s="2203">
        <f>SUM(O1652:O1657)</f>
        <v>406.41666666666669</v>
      </c>
      <c r="P1650" s="1180">
        <f>O1644/M!$Q$14</f>
        <v>2.7978194345325946E-2</v>
      </c>
      <c r="Q1650" s="1235"/>
      <c r="R1650" s="1235"/>
      <c r="S1650" s="1235"/>
      <c r="T1650" s="1235"/>
      <c r="U1650" s="1235"/>
      <c r="V1650" s="1235"/>
      <c r="W1650" s="1235"/>
    </row>
    <row r="1651" spans="1:23">
      <c r="A1651" s="2193"/>
      <c r="B1651" s="2194"/>
      <c r="C1651" s="2204"/>
      <c r="D1651" s="2204"/>
      <c r="E1651" s="2204"/>
      <c r="F1651" s="2204"/>
      <c r="G1651" s="2204"/>
      <c r="H1651" s="2204"/>
      <c r="I1651" s="2204"/>
      <c r="J1651" s="2204"/>
      <c r="K1651" s="2204"/>
      <c r="L1651" s="2204"/>
      <c r="M1651" s="2204"/>
      <c r="N1651" s="2204"/>
      <c r="O1651" s="2204"/>
      <c r="P1651" s="1180">
        <f>O1645/M!$Q$14</f>
        <v>9.3410103984127753E-4</v>
      </c>
      <c r="Q1651" s="1235"/>
      <c r="R1651" s="1235"/>
      <c r="S1651" s="1235"/>
      <c r="T1651" s="1235"/>
      <c r="U1651" s="1235"/>
      <c r="V1651" s="1235"/>
      <c r="W1651" s="1235"/>
    </row>
    <row r="1652" spans="1:23">
      <c r="A1652" s="2217"/>
      <c r="B1652" s="1176" t="s">
        <v>666</v>
      </c>
      <c r="C1652" s="1228">
        <v>0</v>
      </c>
      <c r="D1652" s="1228">
        <v>0</v>
      </c>
      <c r="E1652" s="1228">
        <v>0</v>
      </c>
      <c r="F1652" s="1228">
        <v>0</v>
      </c>
      <c r="G1652" s="1228">
        <v>0</v>
      </c>
      <c r="H1652" s="1228">
        <v>0</v>
      </c>
      <c r="I1652" s="1229">
        <v>0</v>
      </c>
      <c r="J1652" s="1229">
        <v>0</v>
      </c>
      <c r="K1652" s="1229">
        <v>0</v>
      </c>
      <c r="L1652" s="1229">
        <v>0</v>
      </c>
      <c r="M1652" s="1229">
        <v>0</v>
      </c>
      <c r="N1652" s="1229">
        <v>0</v>
      </c>
      <c r="O1652" s="1179">
        <f t="shared" ref="O1652:O1657" si="395">SUM(C1652:N1652)/12</f>
        <v>0</v>
      </c>
      <c r="P1652" s="1180">
        <f>O1646/M!$Q$14</f>
        <v>1.3376326890527095E-3</v>
      </c>
      <c r="Q1652" s="1235"/>
      <c r="R1652" s="1235"/>
      <c r="S1652" s="1235"/>
      <c r="T1652" s="1235"/>
      <c r="U1652" s="1235"/>
      <c r="V1652" s="1235"/>
      <c r="W1652" s="1235"/>
    </row>
    <row r="1653" spans="1:23">
      <c r="A1653" s="2218"/>
      <c r="B1653" s="1176" t="s">
        <v>400</v>
      </c>
      <c r="C1653" s="1228">
        <v>192</v>
      </c>
      <c r="D1653" s="1228">
        <v>192</v>
      </c>
      <c r="E1653" s="1228">
        <v>192</v>
      </c>
      <c r="F1653" s="1228">
        <v>192</v>
      </c>
      <c r="G1653" s="1228">
        <v>202</v>
      </c>
      <c r="H1653" s="1228">
        <v>202</v>
      </c>
      <c r="I1653" s="1229">
        <v>202</v>
      </c>
      <c r="J1653" s="1229">
        <v>202</v>
      </c>
      <c r="K1653" s="1229">
        <v>202</v>
      </c>
      <c r="L1653" s="1229">
        <v>150</v>
      </c>
      <c r="M1653" s="1229">
        <v>59</v>
      </c>
      <c r="N1653" s="1229">
        <v>59</v>
      </c>
      <c r="O1653" s="1179">
        <f t="shared" si="395"/>
        <v>170.5</v>
      </c>
      <c r="P1653" s="1180">
        <f>O1647/M!$Q$14</f>
        <v>1.9190171762499209E-2</v>
      </c>
      <c r="Q1653" s="1235"/>
      <c r="R1653" s="1235"/>
      <c r="S1653" s="1235"/>
      <c r="T1653" s="1235"/>
      <c r="U1653" s="1235"/>
      <c r="V1653" s="1235"/>
      <c r="W1653" s="1235"/>
    </row>
    <row r="1654" spans="1:23">
      <c r="A1654" s="2218"/>
      <c r="B1654" s="1176" t="s">
        <v>454</v>
      </c>
      <c r="C1654" s="1228">
        <v>29</v>
      </c>
      <c r="D1654" s="1228">
        <v>0</v>
      </c>
      <c r="E1654" s="1228">
        <v>170</v>
      </c>
      <c r="F1654" s="1228">
        <v>41</v>
      </c>
      <c r="G1654" s="1228">
        <v>29</v>
      </c>
      <c r="H1654" s="1228">
        <v>0</v>
      </c>
      <c r="I1654" s="1229">
        <v>0</v>
      </c>
      <c r="J1654" s="1229">
        <v>0</v>
      </c>
      <c r="K1654" s="1229">
        <v>41</v>
      </c>
      <c r="L1654" s="1229">
        <v>0</v>
      </c>
      <c r="M1654" s="1229">
        <v>40</v>
      </c>
      <c r="N1654" s="1229">
        <v>0</v>
      </c>
      <c r="O1654" s="1179">
        <f t="shared" si="395"/>
        <v>29.166666666666668</v>
      </c>
      <c r="P1654" s="1180">
        <f>O1648/M!$Q$14</f>
        <v>5.9035185717968737E-3</v>
      </c>
      <c r="Q1654" s="1235"/>
      <c r="R1654" s="1235"/>
      <c r="S1654" s="1235"/>
      <c r="T1654" s="1235"/>
      <c r="U1654" s="1235"/>
      <c r="V1654" s="1235"/>
      <c r="W1654" s="1235"/>
    </row>
    <row r="1655" spans="1:23">
      <c r="A1655" s="2218"/>
      <c r="B1655" s="1176" t="s">
        <v>407</v>
      </c>
      <c r="C1655" s="1228">
        <v>0</v>
      </c>
      <c r="D1655" s="1228">
        <v>0</v>
      </c>
      <c r="E1655" s="1228">
        <v>0</v>
      </c>
      <c r="F1655" s="1228">
        <v>0</v>
      </c>
      <c r="G1655" s="1228">
        <v>0</v>
      </c>
      <c r="H1655" s="1228">
        <v>0</v>
      </c>
      <c r="I1655" s="1229">
        <v>0</v>
      </c>
      <c r="J1655" s="1229">
        <v>0</v>
      </c>
      <c r="K1655" s="1229">
        <v>0</v>
      </c>
      <c r="L1655" s="1229">
        <v>0</v>
      </c>
      <c r="M1655" s="1229">
        <v>0</v>
      </c>
      <c r="N1655" s="1229">
        <v>0</v>
      </c>
      <c r="O1655" s="1179">
        <f t="shared" si="395"/>
        <v>0</v>
      </c>
      <c r="P1655" s="1180">
        <f>O1649/M!$Q$14</f>
        <v>0</v>
      </c>
      <c r="Q1655" s="1235"/>
      <c r="R1655" s="1235"/>
      <c r="S1655" s="1235"/>
      <c r="T1655" s="1235"/>
      <c r="U1655" s="1235"/>
      <c r="V1655" s="1235"/>
      <c r="W1655" s="1235"/>
    </row>
    <row r="1656" spans="1:23">
      <c r="A1656" s="2218"/>
      <c r="B1656" s="1176" t="s">
        <v>408</v>
      </c>
      <c r="C1656" s="1228">
        <v>322</v>
      </c>
      <c r="D1656" s="1228">
        <v>0</v>
      </c>
      <c r="E1656" s="1228">
        <v>0</v>
      </c>
      <c r="F1656" s="1228">
        <v>0</v>
      </c>
      <c r="G1656" s="1228">
        <v>0</v>
      </c>
      <c r="H1656" s="1228">
        <v>0</v>
      </c>
      <c r="I1656" s="1229">
        <v>0</v>
      </c>
      <c r="J1656" s="1229">
        <v>0</v>
      </c>
      <c r="K1656" s="1229">
        <v>222</v>
      </c>
      <c r="L1656" s="1229">
        <v>1380</v>
      </c>
      <c r="M1656" s="1229">
        <v>0</v>
      </c>
      <c r="N1656" s="1229">
        <v>0</v>
      </c>
      <c r="O1656" s="1179">
        <f t="shared" si="395"/>
        <v>160.33333333333334</v>
      </c>
      <c r="P1656" s="2205">
        <f>O1650/M!$Q$14</f>
        <v>3.6444886170447291E-2</v>
      </c>
      <c r="Q1656" s="1235"/>
      <c r="R1656" s="1235"/>
      <c r="S1656" s="1235"/>
      <c r="T1656" s="1235"/>
      <c r="U1656" s="1235"/>
      <c r="V1656" s="1235"/>
      <c r="W1656" s="1235"/>
    </row>
    <row r="1657" spans="1:23">
      <c r="A1657" s="2219"/>
      <c r="B1657" s="1176" t="s">
        <v>409</v>
      </c>
      <c r="C1657" s="1228">
        <v>402</v>
      </c>
      <c r="D1657" s="1228">
        <v>0</v>
      </c>
      <c r="E1657" s="1228">
        <v>0</v>
      </c>
      <c r="F1657" s="1228">
        <v>0</v>
      </c>
      <c r="G1657" s="1228">
        <v>0</v>
      </c>
      <c r="H1657" s="1228">
        <v>0</v>
      </c>
      <c r="I1657" s="1229">
        <v>155</v>
      </c>
      <c r="J1657" s="1229">
        <v>0</v>
      </c>
      <c r="K1657" s="1229">
        <v>0</v>
      </c>
      <c r="L1657" s="1229">
        <v>0</v>
      </c>
      <c r="M1657" s="1229">
        <v>0</v>
      </c>
      <c r="N1657" s="1229">
        <v>0</v>
      </c>
      <c r="O1657" s="1179">
        <f t="shared" si="395"/>
        <v>46.416666666666664</v>
      </c>
      <c r="P1657" s="2206"/>
      <c r="Q1657" s="1235"/>
      <c r="R1657" s="1235"/>
      <c r="S1657" s="1235"/>
      <c r="T1657" s="1235"/>
      <c r="U1657" s="1235"/>
      <c r="V1657" s="1235"/>
      <c r="W1657" s="1235"/>
    </row>
    <row r="1658" spans="1:23">
      <c r="A1658" s="2191" t="s">
        <v>277</v>
      </c>
      <c r="B1658" s="2192"/>
      <c r="C1658" s="2203">
        <f t="shared" ref="C1658:N1658" si="396">SUM(C1660:C1663)</f>
        <v>203</v>
      </c>
      <c r="D1658" s="2203">
        <f t="shared" si="396"/>
        <v>146</v>
      </c>
      <c r="E1658" s="2203">
        <f t="shared" si="396"/>
        <v>194</v>
      </c>
      <c r="F1658" s="2203">
        <f t="shared" si="396"/>
        <v>123</v>
      </c>
      <c r="G1658" s="2203">
        <f t="shared" si="396"/>
        <v>230</v>
      </c>
      <c r="H1658" s="2203">
        <f t="shared" si="396"/>
        <v>241</v>
      </c>
      <c r="I1658" s="2203">
        <f t="shared" si="396"/>
        <v>260</v>
      </c>
      <c r="J1658" s="2203">
        <f t="shared" si="396"/>
        <v>285</v>
      </c>
      <c r="K1658" s="2203">
        <f t="shared" si="396"/>
        <v>550</v>
      </c>
      <c r="L1658" s="2203">
        <f t="shared" si="396"/>
        <v>122</v>
      </c>
      <c r="M1658" s="2203">
        <f t="shared" si="396"/>
        <v>219</v>
      </c>
      <c r="N1658" s="2203">
        <f t="shared" si="396"/>
        <v>297</v>
      </c>
      <c r="O1658" s="2203">
        <f>SUM(O1660:O1663)</f>
        <v>239.16666666666669</v>
      </c>
      <c r="P1658" s="1180">
        <f>O1652/M!$Q$14</f>
        <v>0</v>
      </c>
      <c r="Q1658" s="1235"/>
      <c r="R1658" s="1235"/>
      <c r="S1658" s="1235"/>
      <c r="T1658" s="1235"/>
      <c r="U1658" s="1235"/>
      <c r="V1658" s="1235"/>
      <c r="W1658" s="1235"/>
    </row>
    <row r="1659" spans="1:23">
      <c r="A1659" s="2193"/>
      <c r="B1659" s="2194"/>
      <c r="C1659" s="2204"/>
      <c r="D1659" s="2204"/>
      <c r="E1659" s="2204"/>
      <c r="F1659" s="2204"/>
      <c r="G1659" s="2204"/>
      <c r="H1659" s="2204"/>
      <c r="I1659" s="2204"/>
      <c r="J1659" s="2204"/>
      <c r="K1659" s="2204"/>
      <c r="L1659" s="2204"/>
      <c r="M1659" s="2204"/>
      <c r="N1659" s="2204"/>
      <c r="O1659" s="2204"/>
      <c r="P1659" s="1180">
        <f>O1653/M!$Q$14</f>
        <v>1.5289365820122032E-2</v>
      </c>
      <c r="Q1659" s="1235"/>
      <c r="R1659" s="1235"/>
      <c r="S1659" s="1235"/>
      <c r="T1659" s="1235"/>
      <c r="U1659" s="1235"/>
      <c r="V1659" s="1235"/>
      <c r="W1659" s="1235"/>
    </row>
    <row r="1660" spans="1:23">
      <c r="A1660" s="2217"/>
      <c r="B1660" s="1176" t="s">
        <v>410</v>
      </c>
      <c r="C1660" s="1228">
        <v>203</v>
      </c>
      <c r="D1660" s="1228">
        <v>146</v>
      </c>
      <c r="E1660" s="1228">
        <v>194</v>
      </c>
      <c r="F1660" s="1228">
        <v>123</v>
      </c>
      <c r="G1660" s="1228">
        <v>230</v>
      </c>
      <c r="H1660" s="1228">
        <v>213</v>
      </c>
      <c r="I1660" s="1229">
        <v>230</v>
      </c>
      <c r="J1660" s="1229">
        <v>265</v>
      </c>
      <c r="K1660" s="1229">
        <v>243</v>
      </c>
      <c r="L1660" s="1229">
        <v>31</v>
      </c>
      <c r="M1660" s="1229">
        <v>202</v>
      </c>
      <c r="N1660" s="1229">
        <v>222</v>
      </c>
      <c r="O1660" s="1179">
        <f>SUM(C1660:N1660)/12</f>
        <v>191.83333333333334</v>
      </c>
      <c r="P1660" s="1180">
        <f>O1654/M!$Q$14</f>
        <v>2.6154829115555773E-3</v>
      </c>
      <c r="Q1660" s="1235"/>
      <c r="R1660" s="1235"/>
      <c r="S1660" s="1235"/>
      <c r="T1660" s="1235"/>
      <c r="U1660" s="1235"/>
      <c r="V1660" s="1235"/>
      <c r="W1660" s="1235"/>
    </row>
    <row r="1661" spans="1:23">
      <c r="A1661" s="2218"/>
      <c r="B1661" s="1176" t="s">
        <v>457</v>
      </c>
      <c r="C1661" s="1228">
        <v>0</v>
      </c>
      <c r="D1661" s="1228">
        <v>0</v>
      </c>
      <c r="E1661" s="1228">
        <v>0</v>
      </c>
      <c r="F1661" s="1228">
        <v>0</v>
      </c>
      <c r="G1661" s="1228">
        <v>0</v>
      </c>
      <c r="H1661" s="1228">
        <v>0</v>
      </c>
      <c r="I1661" s="1229">
        <v>0</v>
      </c>
      <c r="J1661" s="1229">
        <v>0</v>
      </c>
      <c r="K1661" s="1229">
        <v>237</v>
      </c>
      <c r="L1661" s="1229">
        <v>91</v>
      </c>
      <c r="M1661" s="1229">
        <v>0</v>
      </c>
      <c r="N1661" s="1229">
        <v>42</v>
      </c>
      <c r="O1661" s="1179">
        <f>SUM(C1661:N1661)/12</f>
        <v>30.833333333333332</v>
      </c>
      <c r="P1661" s="1180">
        <f>O1655/M!$Q$14</f>
        <v>0</v>
      </c>
      <c r="Q1661" s="1235"/>
      <c r="R1661" s="1235"/>
      <c r="S1661" s="1235"/>
      <c r="T1661" s="1235"/>
      <c r="U1661" s="1235"/>
      <c r="V1661" s="1235"/>
      <c r="W1661" s="1235"/>
    </row>
    <row r="1662" spans="1:23">
      <c r="A1662" s="2218"/>
      <c r="B1662" s="1176" t="s">
        <v>458</v>
      </c>
      <c r="C1662" s="1228">
        <v>0</v>
      </c>
      <c r="D1662" s="1228">
        <v>0</v>
      </c>
      <c r="E1662" s="1228">
        <v>0</v>
      </c>
      <c r="F1662" s="1228">
        <v>0</v>
      </c>
      <c r="G1662" s="1228">
        <v>0</v>
      </c>
      <c r="H1662" s="1228">
        <v>3</v>
      </c>
      <c r="I1662" s="1229">
        <v>25</v>
      </c>
      <c r="J1662" s="1229">
        <v>0</v>
      </c>
      <c r="K1662" s="1229">
        <v>45</v>
      </c>
      <c r="L1662" s="1229">
        <v>0</v>
      </c>
      <c r="M1662" s="1229">
        <v>17</v>
      </c>
      <c r="N1662" s="1229">
        <v>8</v>
      </c>
      <c r="O1662" s="1179">
        <f>SUM(C1662:N1662)/12</f>
        <v>8.1666666666666661</v>
      </c>
      <c r="P1662" s="1180">
        <f>O1656/M!$Q$14</f>
        <v>1.4377683205236946E-2</v>
      </c>
      <c r="Q1662" s="1235"/>
      <c r="R1662" s="1235"/>
      <c r="S1662" s="1235"/>
      <c r="T1662" s="1235"/>
      <c r="U1662" s="1235"/>
      <c r="V1662" s="1235"/>
      <c r="W1662" s="1235"/>
    </row>
    <row r="1663" spans="1:23">
      <c r="A1663" s="2219"/>
      <c r="B1663" s="1176" t="s">
        <v>459</v>
      </c>
      <c r="C1663" s="1228">
        <v>0</v>
      </c>
      <c r="D1663" s="1228">
        <v>0</v>
      </c>
      <c r="E1663" s="1228">
        <v>0</v>
      </c>
      <c r="F1663" s="1228">
        <v>0</v>
      </c>
      <c r="G1663" s="1228">
        <v>0</v>
      </c>
      <c r="H1663" s="1228">
        <v>25</v>
      </c>
      <c r="I1663" s="1229">
        <v>5</v>
      </c>
      <c r="J1663" s="1229">
        <v>20</v>
      </c>
      <c r="K1663" s="1229">
        <v>25</v>
      </c>
      <c r="L1663" s="1229">
        <v>0</v>
      </c>
      <c r="M1663" s="1229">
        <v>0</v>
      </c>
      <c r="N1663" s="1229">
        <v>25</v>
      </c>
      <c r="O1663" s="1179">
        <f>SUM(C1663:N1663)/12</f>
        <v>8.3333333333333339</v>
      </c>
      <c r="P1663" s="1180">
        <f>O1657/M!$Q$14</f>
        <v>4.1623542335327331E-3</v>
      </c>
      <c r="Q1663" s="1235"/>
      <c r="R1663" s="1235"/>
      <c r="S1663" s="1235"/>
      <c r="T1663" s="1235"/>
      <c r="U1663" s="1235"/>
      <c r="V1663" s="1235"/>
      <c r="W1663" s="1235"/>
    </row>
    <row r="1664" spans="1:23">
      <c r="A1664" s="2191" t="s">
        <v>278</v>
      </c>
      <c r="B1664" s="2192"/>
      <c r="C1664" s="2203">
        <f t="shared" ref="C1664:J1664" si="397">SUM(C1666:C1667)</f>
        <v>201</v>
      </c>
      <c r="D1664" s="2203">
        <f t="shared" si="397"/>
        <v>243</v>
      </c>
      <c r="E1664" s="2203">
        <f t="shared" si="397"/>
        <v>257</v>
      </c>
      <c r="F1664" s="2203">
        <f t="shared" si="397"/>
        <v>282</v>
      </c>
      <c r="G1664" s="2203">
        <f t="shared" si="397"/>
        <v>276</v>
      </c>
      <c r="H1664" s="2203">
        <f t="shared" si="397"/>
        <v>311</v>
      </c>
      <c r="I1664" s="2203">
        <f t="shared" si="397"/>
        <v>266</v>
      </c>
      <c r="J1664" s="2203">
        <f t="shared" si="397"/>
        <v>234</v>
      </c>
      <c r="K1664" s="2203">
        <f>SUM(K1666:K1667)</f>
        <v>445</v>
      </c>
      <c r="L1664" s="2203">
        <f>SUM(L1666:L1667)</f>
        <v>167</v>
      </c>
      <c r="M1664" s="2203">
        <f>SUM(M1666:M1667)</f>
        <v>319</v>
      </c>
      <c r="N1664" s="2203">
        <f>SUM(N1666:N1667)</f>
        <v>284</v>
      </c>
      <c r="O1664" s="2203">
        <f>SUM(O1666:O1667)</f>
        <v>273.75</v>
      </c>
      <c r="P1664" s="2205">
        <f>O1658/M!$Q$14</f>
        <v>2.1446959874755735E-2</v>
      </c>
      <c r="Q1664" s="1235"/>
      <c r="R1664" s="1235"/>
      <c r="S1664" s="1235"/>
      <c r="T1664" s="1235"/>
      <c r="U1664" s="1235"/>
      <c r="V1664" s="1235"/>
      <c r="W1664" s="1235"/>
    </row>
    <row r="1665" spans="1:23">
      <c r="A1665" s="2193"/>
      <c r="B1665" s="2194"/>
      <c r="C1665" s="2204"/>
      <c r="D1665" s="2204"/>
      <c r="E1665" s="2204"/>
      <c r="F1665" s="2204"/>
      <c r="G1665" s="2204"/>
      <c r="H1665" s="2204"/>
      <c r="I1665" s="2204"/>
      <c r="J1665" s="2204"/>
      <c r="K1665" s="2204"/>
      <c r="L1665" s="2204"/>
      <c r="M1665" s="2204"/>
      <c r="N1665" s="2204"/>
      <c r="O1665" s="2204"/>
      <c r="P1665" s="2206"/>
      <c r="Q1665" s="1235"/>
      <c r="R1665" s="1235"/>
      <c r="S1665" s="1235"/>
      <c r="T1665" s="1235"/>
      <c r="U1665" s="1235"/>
      <c r="V1665" s="1235"/>
      <c r="W1665" s="1235"/>
    </row>
    <row r="1666" spans="1:23">
      <c r="A1666" s="2217"/>
      <c r="B1666" s="1176" t="s">
        <v>414</v>
      </c>
      <c r="C1666" s="1228">
        <v>185</v>
      </c>
      <c r="D1666" s="1228">
        <v>193</v>
      </c>
      <c r="E1666" s="1228">
        <v>201</v>
      </c>
      <c r="F1666" s="1228">
        <v>235</v>
      </c>
      <c r="G1666" s="1228">
        <v>231</v>
      </c>
      <c r="H1666" s="1228">
        <v>233</v>
      </c>
      <c r="I1666" s="1229">
        <v>223</v>
      </c>
      <c r="J1666" s="1229">
        <v>124</v>
      </c>
      <c r="K1666" s="1229">
        <v>126</v>
      </c>
      <c r="L1666" s="1229">
        <v>107</v>
      </c>
      <c r="M1666" s="1229">
        <v>208</v>
      </c>
      <c r="N1666" s="1229">
        <v>175</v>
      </c>
      <c r="O1666" s="1179">
        <f>SUM(C1666:N1666)/12</f>
        <v>186.75</v>
      </c>
      <c r="P1666" s="1180">
        <f>O1660/M!$Q$14</f>
        <v>1.720240474971697E-2</v>
      </c>
      <c r="Q1666" s="1235"/>
      <c r="R1666" s="1235"/>
      <c r="S1666" s="1235"/>
      <c r="T1666" s="1235"/>
      <c r="U1666" s="1235"/>
      <c r="V1666" s="1235"/>
      <c r="W1666" s="1235"/>
    </row>
    <row r="1667" spans="1:23">
      <c r="A1667" s="2219"/>
      <c r="B1667" s="1176" t="s">
        <v>278</v>
      </c>
      <c r="C1667" s="1228">
        <v>16</v>
      </c>
      <c r="D1667" s="1228">
        <v>50</v>
      </c>
      <c r="E1667" s="1228">
        <v>56</v>
      </c>
      <c r="F1667" s="1228">
        <v>47</v>
      </c>
      <c r="G1667" s="1228">
        <v>45</v>
      </c>
      <c r="H1667" s="1228">
        <v>78</v>
      </c>
      <c r="I1667" s="1229">
        <v>43</v>
      </c>
      <c r="J1667" s="1229">
        <v>110</v>
      </c>
      <c r="K1667" s="1229">
        <v>319</v>
      </c>
      <c r="L1667" s="1229">
        <v>60</v>
      </c>
      <c r="M1667" s="1229">
        <v>111</v>
      </c>
      <c r="N1667" s="1229">
        <v>109</v>
      </c>
      <c r="O1667" s="1179">
        <f>SUM(C1667:N1667)/12</f>
        <v>87</v>
      </c>
      <c r="P1667" s="1180">
        <f>O1661/M!$Q$14</f>
        <v>2.7649390779301815E-3</v>
      </c>
      <c r="Q1667" s="1235"/>
      <c r="R1667" s="1235"/>
      <c r="S1667" s="1235"/>
      <c r="T1667" s="1235"/>
      <c r="U1667" s="1235"/>
      <c r="V1667" s="1235"/>
      <c r="W1667" s="1235"/>
    </row>
    <row r="1668" spans="1:23">
      <c r="A1668" s="2191" t="s">
        <v>279</v>
      </c>
      <c r="B1668" s="2192"/>
      <c r="C1668" s="2203">
        <f t="shared" ref="C1668:N1668" si="398">SUM(C1670:C1677)</f>
        <v>484</v>
      </c>
      <c r="D1668" s="2203">
        <f t="shared" si="398"/>
        <v>459</v>
      </c>
      <c r="E1668" s="2203">
        <f t="shared" si="398"/>
        <v>450</v>
      </c>
      <c r="F1668" s="2203">
        <f t="shared" si="398"/>
        <v>476</v>
      </c>
      <c r="G1668" s="2203">
        <f t="shared" si="398"/>
        <v>385</v>
      </c>
      <c r="H1668" s="2203">
        <f t="shared" si="398"/>
        <v>412</v>
      </c>
      <c r="I1668" s="2203">
        <f t="shared" si="398"/>
        <v>455</v>
      </c>
      <c r="J1668" s="2203">
        <f t="shared" si="398"/>
        <v>533</v>
      </c>
      <c r="K1668" s="2203">
        <f t="shared" si="398"/>
        <v>465</v>
      </c>
      <c r="L1668" s="2203">
        <f t="shared" si="398"/>
        <v>356</v>
      </c>
      <c r="M1668" s="2203">
        <f t="shared" si="398"/>
        <v>430</v>
      </c>
      <c r="N1668" s="2203">
        <f t="shared" si="398"/>
        <v>586</v>
      </c>
      <c r="O1668" s="2203">
        <f>SUM(O1670:O1677)</f>
        <v>457.58333333333331</v>
      </c>
      <c r="P1668" s="1180">
        <f>O1662/M!$Q$14</f>
        <v>7.3233521523556155E-4</v>
      </c>
      <c r="Q1668" s="1235"/>
      <c r="R1668" s="1235"/>
      <c r="S1668" s="1235"/>
      <c r="T1668" s="1235"/>
      <c r="U1668" s="1235"/>
      <c r="V1668" s="1235"/>
      <c r="W1668" s="1235"/>
    </row>
    <row r="1669" spans="1:23">
      <c r="A1669" s="2193"/>
      <c r="B1669" s="2194"/>
      <c r="C1669" s="2204"/>
      <c r="D1669" s="2204"/>
      <c r="E1669" s="2204"/>
      <c r="F1669" s="2204"/>
      <c r="G1669" s="2204"/>
      <c r="H1669" s="2204"/>
      <c r="I1669" s="2204"/>
      <c r="J1669" s="2204"/>
      <c r="K1669" s="2204"/>
      <c r="L1669" s="2204"/>
      <c r="M1669" s="2204"/>
      <c r="N1669" s="2204"/>
      <c r="O1669" s="2204"/>
      <c r="P1669" s="1180">
        <f>O1663/M!$Q$14</f>
        <v>7.4728083187302209E-4</v>
      </c>
      <c r="Q1669" s="1235"/>
      <c r="R1669" s="1235"/>
      <c r="S1669" s="1235"/>
      <c r="T1669" s="1235"/>
      <c r="U1669" s="1235"/>
      <c r="V1669" s="1235"/>
      <c r="W1669" s="1235"/>
    </row>
    <row r="1670" spans="1:23">
      <c r="A1670" s="2217"/>
      <c r="B1670" s="1176" t="s">
        <v>415</v>
      </c>
      <c r="C1670" s="1228">
        <v>54</v>
      </c>
      <c r="D1670" s="1228">
        <v>44</v>
      </c>
      <c r="E1670" s="1228">
        <v>52</v>
      </c>
      <c r="F1670" s="1228">
        <v>47</v>
      </c>
      <c r="G1670" s="1228">
        <v>49</v>
      </c>
      <c r="H1670" s="1228">
        <v>100</v>
      </c>
      <c r="I1670" s="1229">
        <v>97</v>
      </c>
      <c r="J1670" s="1229">
        <v>98</v>
      </c>
      <c r="K1670" s="1229">
        <v>60</v>
      </c>
      <c r="L1670" s="1229">
        <v>35</v>
      </c>
      <c r="M1670" s="1229">
        <v>72</v>
      </c>
      <c r="N1670" s="1229">
        <v>77</v>
      </c>
      <c r="O1670" s="1179">
        <f t="shared" ref="O1670:O1677" si="399">SUM(C1670:N1670)/12</f>
        <v>65.416666666666671</v>
      </c>
      <c r="P1670" s="2205">
        <f>O1664/M!$Q$14</f>
        <v>2.4548175327028774E-2</v>
      </c>
      <c r="Q1670" s="1235"/>
      <c r="R1670" s="1235"/>
      <c r="S1670" s="1235"/>
      <c r="T1670" s="1235"/>
      <c r="U1670" s="1235"/>
      <c r="V1670" s="1235"/>
      <c r="W1670" s="1235"/>
    </row>
    <row r="1671" spans="1:23">
      <c r="A1671" s="2218"/>
      <c r="B1671" s="1176" t="s">
        <v>416</v>
      </c>
      <c r="C1671" s="1182">
        <v>0</v>
      </c>
      <c r="D1671" s="1182">
        <v>0</v>
      </c>
      <c r="E1671" s="1182">
        <v>0</v>
      </c>
      <c r="F1671" s="1182">
        <v>0</v>
      </c>
      <c r="G1671" s="1182">
        <v>0</v>
      </c>
      <c r="H1671" s="1182">
        <v>0</v>
      </c>
      <c r="I1671" s="1182">
        <v>0</v>
      </c>
      <c r="J1671" s="1182">
        <v>0</v>
      </c>
      <c r="K1671" s="1182">
        <v>0</v>
      </c>
      <c r="L1671" s="1182">
        <v>0</v>
      </c>
      <c r="M1671" s="1182">
        <v>0</v>
      </c>
      <c r="N1671" s="1182">
        <v>0</v>
      </c>
      <c r="O1671" s="1179">
        <f t="shared" si="399"/>
        <v>0</v>
      </c>
      <c r="P1671" s="2206"/>
      <c r="Q1671" s="1235"/>
      <c r="R1671" s="1235"/>
      <c r="S1671" s="1235"/>
      <c r="T1671" s="1235"/>
      <c r="U1671" s="1235"/>
      <c r="V1671" s="1235"/>
      <c r="W1671" s="1235"/>
    </row>
    <row r="1672" spans="1:23">
      <c r="A1672" s="2218"/>
      <c r="B1672" s="1176" t="s">
        <v>417</v>
      </c>
      <c r="C1672" s="1182">
        <v>0</v>
      </c>
      <c r="D1672" s="1182">
        <v>0</v>
      </c>
      <c r="E1672" s="1182">
        <v>0</v>
      </c>
      <c r="F1672" s="1182">
        <v>0</v>
      </c>
      <c r="G1672" s="1182">
        <v>0</v>
      </c>
      <c r="H1672" s="1182">
        <v>0</v>
      </c>
      <c r="I1672" s="1182">
        <v>0</v>
      </c>
      <c r="J1672" s="1182">
        <v>0</v>
      </c>
      <c r="K1672" s="1182">
        <v>0</v>
      </c>
      <c r="L1672" s="1182">
        <v>0</v>
      </c>
      <c r="M1672" s="1182">
        <v>0</v>
      </c>
      <c r="N1672" s="1182">
        <v>0</v>
      </c>
      <c r="O1672" s="1179">
        <f t="shared" si="399"/>
        <v>0</v>
      </c>
      <c r="P1672" s="1180">
        <f>O1666/M!$Q$14</f>
        <v>1.6746563442274424E-2</v>
      </c>
      <c r="Q1672" s="1235"/>
      <c r="R1672" s="1235"/>
      <c r="S1672" s="1235"/>
      <c r="T1672" s="1235"/>
      <c r="U1672" s="1235"/>
      <c r="V1672" s="1235"/>
      <c r="W1672" s="1235"/>
    </row>
    <row r="1673" spans="1:23">
      <c r="A1673" s="2218"/>
      <c r="B1673" s="1176" t="s">
        <v>410</v>
      </c>
      <c r="C1673" s="1228">
        <v>160</v>
      </c>
      <c r="D1673" s="1228">
        <v>144</v>
      </c>
      <c r="E1673" s="1228">
        <v>125</v>
      </c>
      <c r="F1673" s="1228">
        <v>90</v>
      </c>
      <c r="G1673" s="1228">
        <v>57</v>
      </c>
      <c r="H1673" s="1228">
        <v>44</v>
      </c>
      <c r="I1673" s="1229">
        <v>42</v>
      </c>
      <c r="J1673" s="1229">
        <v>39</v>
      </c>
      <c r="K1673" s="1229">
        <v>44</v>
      </c>
      <c r="L1673" s="1229">
        <v>70</v>
      </c>
      <c r="M1673" s="1229">
        <v>94</v>
      </c>
      <c r="N1673" s="1229">
        <v>195</v>
      </c>
      <c r="O1673" s="1179">
        <f t="shared" si="399"/>
        <v>92</v>
      </c>
      <c r="P1673" s="1180">
        <f>O1667/M!$Q$14</f>
        <v>7.8016118847543505E-3</v>
      </c>
      <c r="Q1673" s="1235"/>
      <c r="R1673" s="1235"/>
      <c r="S1673" s="1235"/>
      <c r="T1673" s="1235"/>
      <c r="U1673" s="1235"/>
      <c r="V1673" s="1235"/>
      <c r="W1673" s="1235"/>
    </row>
    <row r="1674" spans="1:23">
      <c r="A1674" s="2218"/>
      <c r="B1674" s="1176" t="s">
        <v>418</v>
      </c>
      <c r="C1674" s="1228">
        <v>105</v>
      </c>
      <c r="D1674" s="1228">
        <v>105</v>
      </c>
      <c r="E1674" s="1228">
        <v>105</v>
      </c>
      <c r="F1674" s="1228">
        <v>105</v>
      </c>
      <c r="G1674" s="1228">
        <v>105</v>
      </c>
      <c r="H1674" s="1228">
        <v>105</v>
      </c>
      <c r="I1674" s="1229">
        <v>105</v>
      </c>
      <c r="J1674" s="1229">
        <v>105</v>
      </c>
      <c r="K1674" s="1229">
        <v>105</v>
      </c>
      <c r="L1674" s="1229">
        <v>105</v>
      </c>
      <c r="M1674" s="1229">
        <v>105</v>
      </c>
      <c r="N1674" s="1229">
        <v>105</v>
      </c>
      <c r="O1674" s="1179">
        <f t="shared" si="399"/>
        <v>105</v>
      </c>
      <c r="P1674" s="2205">
        <f>O1668/M!$Q$14</f>
        <v>4.1033190478147644E-2</v>
      </c>
      <c r="Q1674" s="1235"/>
      <c r="R1674" s="1235"/>
      <c r="S1674" s="1235"/>
      <c r="T1674" s="1235"/>
      <c r="U1674" s="1235"/>
      <c r="V1674" s="1235"/>
      <c r="W1674" s="1235"/>
    </row>
    <row r="1675" spans="1:23">
      <c r="A1675" s="2218"/>
      <c r="B1675" s="1176" t="s">
        <v>419</v>
      </c>
      <c r="C1675" s="1228">
        <v>30</v>
      </c>
      <c r="D1675" s="1228">
        <v>30</v>
      </c>
      <c r="E1675" s="1228">
        <v>30</v>
      </c>
      <c r="F1675" s="1228">
        <v>30</v>
      </c>
      <c r="G1675" s="1228">
        <v>30</v>
      </c>
      <c r="H1675" s="1228">
        <v>30</v>
      </c>
      <c r="I1675" s="1229">
        <v>33</v>
      </c>
      <c r="J1675" s="1229">
        <v>33</v>
      </c>
      <c r="K1675" s="1229">
        <v>33</v>
      </c>
      <c r="L1675" s="1229">
        <v>33</v>
      </c>
      <c r="M1675" s="1229">
        <v>33</v>
      </c>
      <c r="N1675" s="1229">
        <v>33</v>
      </c>
      <c r="O1675" s="1179">
        <f t="shared" si="399"/>
        <v>31.5</v>
      </c>
      <c r="P1675" s="2206"/>
      <c r="Q1675" s="1235"/>
      <c r="R1675" s="1235"/>
      <c r="S1675" s="1235"/>
      <c r="T1675" s="1235"/>
      <c r="U1675" s="1235"/>
      <c r="V1675" s="1235"/>
      <c r="W1675" s="1235"/>
    </row>
    <row r="1676" spans="1:23">
      <c r="A1676" s="2218"/>
      <c r="B1676" s="1176" t="s">
        <v>460</v>
      </c>
      <c r="C1676" s="1228">
        <v>70</v>
      </c>
      <c r="D1676" s="1228">
        <v>69</v>
      </c>
      <c r="E1676" s="1228">
        <v>75</v>
      </c>
      <c r="F1676" s="1228">
        <v>81</v>
      </c>
      <c r="G1676" s="1228">
        <v>69</v>
      </c>
      <c r="H1676" s="1228">
        <v>68</v>
      </c>
      <c r="I1676" s="1229">
        <v>80</v>
      </c>
      <c r="J1676" s="1229">
        <v>125</v>
      </c>
      <c r="K1676" s="1229">
        <v>58</v>
      </c>
      <c r="L1676" s="1229">
        <v>49</v>
      </c>
      <c r="M1676" s="1229">
        <v>61</v>
      </c>
      <c r="N1676" s="1229">
        <v>111</v>
      </c>
      <c r="O1676" s="1179">
        <f t="shared" si="399"/>
        <v>76.333333333333329</v>
      </c>
      <c r="P1676" s="1180">
        <f>O1670/M!$Q$14</f>
        <v>5.8661545302032235E-3</v>
      </c>
      <c r="Q1676" s="1235"/>
      <c r="R1676" s="1235"/>
      <c r="S1676" s="1235"/>
      <c r="T1676" s="1235"/>
      <c r="U1676" s="1235"/>
      <c r="V1676" s="1235"/>
      <c r="W1676" s="1235"/>
    </row>
    <row r="1677" spans="1:23">
      <c r="A1677" s="2219"/>
      <c r="B1677" s="1176" t="s">
        <v>421</v>
      </c>
      <c r="C1677" s="1228">
        <v>65</v>
      </c>
      <c r="D1677" s="1228">
        <v>67</v>
      </c>
      <c r="E1677" s="1228">
        <v>63</v>
      </c>
      <c r="F1677" s="1228">
        <v>123</v>
      </c>
      <c r="G1677" s="1228">
        <v>75</v>
      </c>
      <c r="H1677" s="1228">
        <v>65</v>
      </c>
      <c r="I1677" s="1229">
        <v>98</v>
      </c>
      <c r="J1677" s="1229">
        <v>133</v>
      </c>
      <c r="K1677" s="1229">
        <v>165</v>
      </c>
      <c r="L1677" s="1229">
        <v>64</v>
      </c>
      <c r="M1677" s="1229">
        <v>65</v>
      </c>
      <c r="N1677" s="1229">
        <v>65</v>
      </c>
      <c r="O1677" s="1179">
        <f t="shared" si="399"/>
        <v>87.333333333333329</v>
      </c>
      <c r="P1677" s="1180">
        <f>O1671/M!$Q$14</f>
        <v>0</v>
      </c>
      <c r="Q1677" s="1235"/>
      <c r="R1677" s="1235"/>
      <c r="S1677" s="1235"/>
      <c r="T1677" s="1235"/>
      <c r="U1677" s="1235"/>
      <c r="V1677" s="1235"/>
      <c r="W1677" s="1235"/>
    </row>
    <row r="1678" spans="1:23">
      <c r="A1678" s="2191" t="s">
        <v>280</v>
      </c>
      <c r="B1678" s="2192"/>
      <c r="C1678" s="2203">
        <f t="shared" ref="C1678:O1678" si="400">SUM(C1680:C1686)</f>
        <v>235</v>
      </c>
      <c r="D1678" s="2203">
        <f t="shared" si="400"/>
        <v>274</v>
      </c>
      <c r="E1678" s="2203">
        <f t="shared" si="400"/>
        <v>104</v>
      </c>
      <c r="F1678" s="2203">
        <f t="shared" si="400"/>
        <v>522</v>
      </c>
      <c r="G1678" s="2203">
        <f t="shared" si="400"/>
        <v>171</v>
      </c>
      <c r="H1678" s="2203">
        <f t="shared" si="400"/>
        <v>578</v>
      </c>
      <c r="I1678" s="2203">
        <f t="shared" si="400"/>
        <v>767</v>
      </c>
      <c r="J1678" s="2203">
        <f t="shared" si="400"/>
        <v>280</v>
      </c>
      <c r="K1678" s="2203">
        <f t="shared" si="400"/>
        <v>1507</v>
      </c>
      <c r="L1678" s="2203">
        <f t="shared" si="400"/>
        <v>836</v>
      </c>
      <c r="M1678" s="2203">
        <f t="shared" si="400"/>
        <v>283</v>
      </c>
      <c r="N1678" s="2203">
        <f t="shared" si="400"/>
        <v>427</v>
      </c>
      <c r="O1678" s="2203">
        <f t="shared" si="400"/>
        <v>498.66666666666669</v>
      </c>
      <c r="P1678" s="1180">
        <f>O1672/M!$Q$14</f>
        <v>0</v>
      </c>
      <c r="Q1678" s="1235"/>
      <c r="R1678" s="1235"/>
      <c r="S1678" s="1235"/>
      <c r="T1678" s="1235"/>
      <c r="U1678" s="1235"/>
      <c r="V1678" s="1235"/>
      <c r="W1678" s="1235"/>
    </row>
    <row r="1679" spans="1:23">
      <c r="A1679" s="2193"/>
      <c r="B1679" s="2194"/>
      <c r="C1679" s="2204"/>
      <c r="D1679" s="2204"/>
      <c r="E1679" s="2204"/>
      <c r="F1679" s="2204"/>
      <c r="G1679" s="2204"/>
      <c r="H1679" s="2204"/>
      <c r="I1679" s="2204"/>
      <c r="J1679" s="2204"/>
      <c r="K1679" s="2204"/>
      <c r="L1679" s="2204"/>
      <c r="M1679" s="2204"/>
      <c r="N1679" s="2204"/>
      <c r="O1679" s="2204"/>
      <c r="P1679" s="1180">
        <f>O1673/M!$Q$14</f>
        <v>8.2499803838781641E-3</v>
      </c>
      <c r="Q1679" s="1235"/>
      <c r="R1679" s="1235"/>
      <c r="S1679" s="1235"/>
      <c r="T1679" s="1235"/>
      <c r="U1679" s="1235"/>
      <c r="V1679" s="1235"/>
      <c r="W1679" s="1235"/>
    </row>
    <row r="1680" spans="1:23">
      <c r="A1680" s="2217"/>
      <c r="B1680" s="1176" t="s">
        <v>280</v>
      </c>
      <c r="C1680" s="1228">
        <v>93</v>
      </c>
      <c r="D1680" s="1228">
        <v>16</v>
      </c>
      <c r="E1680" s="1228">
        <v>47</v>
      </c>
      <c r="F1680" s="1228">
        <v>72</v>
      </c>
      <c r="G1680" s="1228">
        <v>78</v>
      </c>
      <c r="H1680" s="1228">
        <v>66</v>
      </c>
      <c r="I1680" s="1229">
        <v>318</v>
      </c>
      <c r="J1680" s="1229">
        <v>170</v>
      </c>
      <c r="K1680" s="1229">
        <v>573</v>
      </c>
      <c r="L1680" s="1229">
        <v>119</v>
      </c>
      <c r="M1680" s="1229">
        <v>16</v>
      </c>
      <c r="N1680" s="1229">
        <v>259</v>
      </c>
      <c r="O1680" s="1179">
        <f t="shared" ref="O1680:O1686" si="401">SUM(C1680:N1680)/12</f>
        <v>152.25</v>
      </c>
      <c r="P1680" s="1180">
        <f>O1674/M!$Q$14</f>
        <v>9.4157384816000774E-3</v>
      </c>
      <c r="Q1680" s="1235"/>
      <c r="R1680" s="1235"/>
      <c r="S1680" s="1235"/>
      <c r="T1680" s="1235"/>
      <c r="U1680" s="1235"/>
      <c r="V1680" s="1235"/>
      <c r="W1680" s="1235"/>
    </row>
    <row r="1681" spans="1:23">
      <c r="A1681" s="2218"/>
      <c r="B1681" s="1176" t="s">
        <v>423</v>
      </c>
      <c r="C1681" s="1228">
        <v>41</v>
      </c>
      <c r="D1681" s="1228">
        <v>59</v>
      </c>
      <c r="E1681" s="1228">
        <v>0</v>
      </c>
      <c r="F1681" s="1228">
        <v>197</v>
      </c>
      <c r="G1681" s="1228">
        <v>0</v>
      </c>
      <c r="H1681" s="1228">
        <v>134</v>
      </c>
      <c r="I1681" s="1229">
        <v>187</v>
      </c>
      <c r="J1681" s="1229">
        <v>41</v>
      </c>
      <c r="K1681" s="1229">
        <v>45</v>
      </c>
      <c r="L1681" s="1229">
        <v>521</v>
      </c>
      <c r="M1681" s="1229">
        <v>185</v>
      </c>
      <c r="N1681" s="1229">
        <v>90</v>
      </c>
      <c r="O1681" s="1179">
        <f t="shared" si="401"/>
        <v>125</v>
      </c>
      <c r="P1681" s="1180">
        <f>O1675/M!$Q$14</f>
        <v>2.8247215444800237E-3</v>
      </c>
      <c r="Q1681" s="1235"/>
      <c r="R1681" s="1235"/>
      <c r="S1681" s="1235"/>
      <c r="T1681" s="1235"/>
      <c r="U1681" s="1235"/>
      <c r="V1681" s="1235"/>
      <c r="W1681" s="1235"/>
    </row>
    <row r="1682" spans="1:23">
      <c r="A1682" s="2218"/>
      <c r="B1682" s="1176" t="s">
        <v>424</v>
      </c>
      <c r="C1682" s="1228">
        <v>0</v>
      </c>
      <c r="D1682" s="1228">
        <v>0</v>
      </c>
      <c r="E1682" s="1228">
        <v>0</v>
      </c>
      <c r="F1682" s="1228">
        <v>0</v>
      </c>
      <c r="G1682" s="1228">
        <v>0</v>
      </c>
      <c r="H1682" s="1228">
        <v>0</v>
      </c>
      <c r="I1682" s="1229">
        <v>0</v>
      </c>
      <c r="J1682" s="1229">
        <v>0</v>
      </c>
      <c r="K1682" s="1229">
        <v>0</v>
      </c>
      <c r="L1682" s="1229">
        <v>0</v>
      </c>
      <c r="M1682" s="1229">
        <v>25</v>
      </c>
      <c r="N1682" s="1229">
        <v>0</v>
      </c>
      <c r="O1682" s="1179">
        <f t="shared" si="401"/>
        <v>2.0833333333333335</v>
      </c>
      <c r="P1682" s="1180">
        <f>O1676/M!$Q$14</f>
        <v>6.8450924199568814E-3</v>
      </c>
      <c r="Q1682" s="1235"/>
      <c r="R1682" s="1235"/>
      <c r="S1682" s="1235"/>
      <c r="T1682" s="1235"/>
      <c r="U1682" s="1235"/>
      <c r="V1682" s="1235"/>
      <c r="W1682" s="1235"/>
    </row>
    <row r="1683" spans="1:23">
      <c r="A1683" s="2218"/>
      <c r="B1683" s="1176" t="s">
        <v>425</v>
      </c>
      <c r="C1683" s="1228">
        <v>0</v>
      </c>
      <c r="D1683" s="1228">
        <v>0</v>
      </c>
      <c r="E1683" s="1228">
        <v>6</v>
      </c>
      <c r="F1683" s="1228">
        <v>15</v>
      </c>
      <c r="G1683" s="1228">
        <v>0</v>
      </c>
      <c r="H1683" s="1228">
        <v>0</v>
      </c>
      <c r="I1683" s="1229">
        <v>0</v>
      </c>
      <c r="J1683" s="1229">
        <v>0</v>
      </c>
      <c r="K1683" s="1229">
        <v>0</v>
      </c>
      <c r="L1683" s="1229">
        <v>47</v>
      </c>
      <c r="M1683" s="1229">
        <v>0</v>
      </c>
      <c r="N1683" s="1229">
        <v>6</v>
      </c>
      <c r="O1683" s="1179">
        <f t="shared" si="401"/>
        <v>6.166666666666667</v>
      </c>
      <c r="P1683" s="1180">
        <f>O1677/M!$Q$14</f>
        <v>7.8315031180292705E-3</v>
      </c>
      <c r="Q1683" s="1235"/>
      <c r="R1683" s="1235"/>
      <c r="S1683" s="1235"/>
      <c r="T1683" s="1235"/>
      <c r="U1683" s="1235"/>
      <c r="V1683" s="1235"/>
      <c r="W1683" s="1235"/>
    </row>
    <row r="1684" spans="1:23">
      <c r="A1684" s="2218"/>
      <c r="B1684" s="1176" t="s">
        <v>667</v>
      </c>
      <c r="C1684" s="1228">
        <v>81</v>
      </c>
      <c r="D1684" s="1228">
        <v>97</v>
      </c>
      <c r="E1684" s="1228">
        <v>37</v>
      </c>
      <c r="F1684" s="1228">
        <v>126</v>
      </c>
      <c r="G1684" s="1228">
        <v>59</v>
      </c>
      <c r="H1684" s="1228">
        <v>100</v>
      </c>
      <c r="I1684" s="1229">
        <v>86</v>
      </c>
      <c r="J1684" s="1229">
        <v>39</v>
      </c>
      <c r="K1684" s="1229">
        <v>62</v>
      </c>
      <c r="L1684" s="1229">
        <v>95</v>
      </c>
      <c r="M1684" s="1229">
        <v>19</v>
      </c>
      <c r="N1684" s="1229">
        <v>38</v>
      </c>
      <c r="O1684" s="1179">
        <f t="shared" si="401"/>
        <v>69.916666666666671</v>
      </c>
      <c r="P1684" s="2205">
        <f>O1678/M!$Q$14</f>
        <v>4.4717284979281645E-2</v>
      </c>
      <c r="Q1684" s="1235"/>
      <c r="R1684" s="1235"/>
      <c r="S1684" s="1235"/>
      <c r="T1684" s="1235"/>
      <c r="U1684" s="1235"/>
      <c r="V1684" s="1235"/>
      <c r="W1684" s="1235"/>
    </row>
    <row r="1685" spans="1:23">
      <c r="A1685" s="2218"/>
      <c r="B1685" s="1176" t="s">
        <v>427</v>
      </c>
      <c r="C1685" s="1228">
        <v>0</v>
      </c>
      <c r="D1685" s="1228">
        <v>0</v>
      </c>
      <c r="E1685" s="1228">
        <v>0</v>
      </c>
      <c r="F1685" s="1228">
        <v>0</v>
      </c>
      <c r="G1685" s="1228">
        <v>0</v>
      </c>
      <c r="H1685" s="1228">
        <v>0</v>
      </c>
      <c r="I1685" s="1229">
        <v>0</v>
      </c>
      <c r="J1685" s="1229">
        <v>0</v>
      </c>
      <c r="K1685" s="1229">
        <v>0</v>
      </c>
      <c r="L1685" s="1229">
        <v>0</v>
      </c>
      <c r="M1685" s="1229">
        <v>0</v>
      </c>
      <c r="N1685" s="1229">
        <v>0</v>
      </c>
      <c r="O1685" s="1179">
        <f t="shared" si="401"/>
        <v>0</v>
      </c>
      <c r="P1685" s="2206"/>
      <c r="Q1685" s="1235"/>
      <c r="R1685" s="1235"/>
      <c r="S1685" s="1235"/>
      <c r="T1685" s="1235"/>
      <c r="U1685" s="1235"/>
      <c r="V1685" s="1235"/>
      <c r="W1685" s="1235"/>
    </row>
    <row r="1686" spans="1:23">
      <c r="A1686" s="2219"/>
      <c r="B1686" s="1176" t="s">
        <v>381</v>
      </c>
      <c r="C1686" s="1228">
        <v>20</v>
      </c>
      <c r="D1686" s="1228">
        <v>102</v>
      </c>
      <c r="E1686" s="1228">
        <v>14</v>
      </c>
      <c r="F1686" s="1228">
        <v>112</v>
      </c>
      <c r="G1686" s="1228">
        <v>34</v>
      </c>
      <c r="H1686" s="1228">
        <v>278</v>
      </c>
      <c r="I1686" s="1229">
        <v>176</v>
      </c>
      <c r="J1686" s="1229">
        <v>30</v>
      </c>
      <c r="K1686" s="1229">
        <v>827</v>
      </c>
      <c r="L1686" s="1229">
        <v>54</v>
      </c>
      <c r="M1686" s="1229">
        <v>38</v>
      </c>
      <c r="N1686" s="1229">
        <v>34</v>
      </c>
      <c r="O1686" s="1179">
        <f t="shared" si="401"/>
        <v>143.25</v>
      </c>
      <c r="P1686" s="1180">
        <f>O1680/M!$Q$14</f>
        <v>1.3652820798320113E-2</v>
      </c>
      <c r="Q1686" s="1235"/>
      <c r="R1686" s="1235"/>
      <c r="S1686" s="1235"/>
      <c r="T1686" s="1235"/>
      <c r="U1686" s="1235"/>
      <c r="V1686" s="1235"/>
      <c r="W1686" s="1235"/>
    </row>
    <row r="1687" spans="1:23">
      <c r="A1687" s="2191" t="s">
        <v>428</v>
      </c>
      <c r="B1687" s="2192"/>
      <c r="C1687" s="2203">
        <f>SUM(C1689:C1690)</f>
        <v>0</v>
      </c>
      <c r="D1687" s="2203">
        <f t="shared" ref="D1687:N1687" si="402">SUM(D1689:D1690)</f>
        <v>0</v>
      </c>
      <c r="E1687" s="2203">
        <f t="shared" si="402"/>
        <v>0</v>
      </c>
      <c r="F1687" s="2203">
        <f t="shared" si="402"/>
        <v>0</v>
      </c>
      <c r="G1687" s="2203">
        <f t="shared" si="402"/>
        <v>0</v>
      </c>
      <c r="H1687" s="2203">
        <f t="shared" si="402"/>
        <v>0</v>
      </c>
      <c r="I1687" s="2203">
        <f t="shared" si="402"/>
        <v>0</v>
      </c>
      <c r="J1687" s="2203">
        <f t="shared" si="402"/>
        <v>0</v>
      </c>
      <c r="K1687" s="2203">
        <f t="shared" si="402"/>
        <v>0</v>
      </c>
      <c r="L1687" s="2203">
        <f t="shared" si="402"/>
        <v>0</v>
      </c>
      <c r="M1687" s="2203">
        <f t="shared" si="402"/>
        <v>0</v>
      </c>
      <c r="N1687" s="2203">
        <f t="shared" si="402"/>
        <v>0</v>
      </c>
      <c r="O1687" s="2203">
        <f>SUM(O1689:O1690)</f>
        <v>0</v>
      </c>
      <c r="P1687" s="1180">
        <f>O1681/M!$Q$14</f>
        <v>1.1209212478095332E-2</v>
      </c>
      <c r="Q1687" s="1235"/>
      <c r="R1687" s="1235"/>
      <c r="S1687" s="1235"/>
      <c r="T1687" s="1235"/>
      <c r="U1687" s="1235"/>
      <c r="V1687" s="1235"/>
      <c r="W1687" s="1235"/>
    </row>
    <row r="1688" spans="1:23">
      <c r="A1688" s="2193"/>
      <c r="B1688" s="2194"/>
      <c r="C1688" s="2204"/>
      <c r="D1688" s="2204"/>
      <c r="E1688" s="2204"/>
      <c r="F1688" s="2204"/>
      <c r="G1688" s="2204"/>
      <c r="H1688" s="2204"/>
      <c r="I1688" s="2204"/>
      <c r="J1688" s="2204"/>
      <c r="K1688" s="2204"/>
      <c r="L1688" s="2204"/>
      <c r="M1688" s="2204"/>
      <c r="N1688" s="2204"/>
      <c r="O1688" s="2204"/>
      <c r="P1688" s="1180">
        <f>O1682/M!$Q$14</f>
        <v>1.8682020796825552E-4</v>
      </c>
      <c r="Q1688" s="1235"/>
      <c r="R1688" s="1235"/>
      <c r="S1688" s="1235"/>
      <c r="T1688" s="1235"/>
      <c r="U1688" s="1235"/>
      <c r="V1688" s="1235"/>
      <c r="W1688" s="1235"/>
    </row>
    <row r="1689" spans="1:23">
      <c r="A1689" s="2217"/>
      <c r="B1689" s="1176" t="s">
        <v>429</v>
      </c>
      <c r="C1689" s="1177">
        <v>0</v>
      </c>
      <c r="D1689" s="1177">
        <v>0</v>
      </c>
      <c r="E1689" s="1177">
        <v>0</v>
      </c>
      <c r="F1689" s="1177">
        <v>0</v>
      </c>
      <c r="G1689" s="1177">
        <v>0</v>
      </c>
      <c r="H1689" s="1177">
        <v>0</v>
      </c>
      <c r="I1689" s="1177">
        <v>0</v>
      </c>
      <c r="J1689" s="1177">
        <v>0</v>
      </c>
      <c r="K1689" s="1177">
        <v>0</v>
      </c>
      <c r="L1689" s="1177">
        <v>0</v>
      </c>
      <c r="M1689" s="1177">
        <v>0</v>
      </c>
      <c r="N1689" s="1177">
        <v>0</v>
      </c>
      <c r="O1689" s="1179">
        <f>SUM(C1689:N1689)/12</f>
        <v>0</v>
      </c>
      <c r="P1689" s="1180">
        <f>O1683/M!$Q$14</f>
        <v>5.5298781558603633E-4</v>
      </c>
      <c r="Q1689" s="1235"/>
      <c r="R1689" s="1235"/>
      <c r="S1689" s="1235"/>
      <c r="T1689" s="1235"/>
      <c r="U1689" s="1235"/>
      <c r="V1689" s="1235"/>
      <c r="W1689" s="1235"/>
    </row>
    <row r="1690" spans="1:23">
      <c r="A1690" s="2218"/>
      <c r="B1690" s="1176" t="s">
        <v>430</v>
      </c>
      <c r="C1690" s="1177">
        <v>0</v>
      </c>
      <c r="D1690" s="1177">
        <v>0</v>
      </c>
      <c r="E1690" s="1177">
        <v>0</v>
      </c>
      <c r="F1690" s="1177">
        <v>0</v>
      </c>
      <c r="G1690" s="1177">
        <v>0</v>
      </c>
      <c r="H1690" s="1177">
        <v>0</v>
      </c>
      <c r="I1690" s="1177">
        <v>0</v>
      </c>
      <c r="J1690" s="1177">
        <v>0</v>
      </c>
      <c r="K1690" s="1177">
        <v>0</v>
      </c>
      <c r="L1690" s="1177">
        <v>0</v>
      </c>
      <c r="M1690" s="1177">
        <v>0</v>
      </c>
      <c r="N1690" s="1177">
        <v>0</v>
      </c>
      <c r="O1690" s="1179">
        <f>SUM(C1690:N1690)/12</f>
        <v>0</v>
      </c>
      <c r="P1690" s="1180">
        <f>O1684/M!$Q$14</f>
        <v>6.2696861794146559E-3</v>
      </c>
      <c r="Q1690" s="1235"/>
      <c r="R1690" s="1235"/>
      <c r="S1690" s="1235"/>
      <c r="T1690" s="1235"/>
      <c r="U1690" s="1235"/>
      <c r="V1690" s="1235"/>
      <c r="W1690" s="1235"/>
    </row>
    <row r="1691" spans="1:23">
      <c r="A1691" s="2191" t="s">
        <v>668</v>
      </c>
      <c r="B1691" s="2192"/>
      <c r="C1691" s="2203">
        <f>SUM(C1693:C1696)</f>
        <v>134.08333333333334</v>
      </c>
      <c r="D1691" s="2203">
        <f t="shared" ref="D1691:N1691" si="403">SUM(D1693:D1696)</f>
        <v>169.08333333333334</v>
      </c>
      <c r="E1691" s="2203">
        <f t="shared" si="403"/>
        <v>161.08333333333334</v>
      </c>
      <c r="F1691" s="2203">
        <f t="shared" si="403"/>
        <v>161.08333333333334</v>
      </c>
      <c r="G1691" s="2203">
        <f t="shared" si="403"/>
        <v>164.08333333333334</v>
      </c>
      <c r="H1691" s="2203">
        <f t="shared" si="403"/>
        <v>152.08333333333334</v>
      </c>
      <c r="I1691" s="2203">
        <f t="shared" si="403"/>
        <v>134.08333333333334</v>
      </c>
      <c r="J1691" s="2203">
        <f t="shared" si="403"/>
        <v>134.08333333333334</v>
      </c>
      <c r="K1691" s="2203">
        <f t="shared" si="403"/>
        <v>170.08333333333334</v>
      </c>
      <c r="L1691" s="2203">
        <f t="shared" si="403"/>
        <v>134.08333333333334</v>
      </c>
      <c r="M1691" s="2203">
        <f t="shared" si="403"/>
        <v>152.08333333333334</v>
      </c>
      <c r="N1691" s="2203">
        <f t="shared" si="403"/>
        <v>152.08333333333334</v>
      </c>
      <c r="O1691" s="2203">
        <f>SUM(O1693:O1696)</f>
        <v>151.5</v>
      </c>
      <c r="P1691" s="1180">
        <f>O1685/M!$Q$14</f>
        <v>0</v>
      </c>
      <c r="Q1691" s="1235"/>
      <c r="R1691" s="1235"/>
      <c r="S1691" s="1235"/>
      <c r="T1691" s="1235"/>
      <c r="U1691" s="1235"/>
      <c r="V1691" s="1235"/>
      <c r="W1691" s="1235"/>
    </row>
    <row r="1692" spans="1:23">
      <c r="A1692" s="2193"/>
      <c r="B1692" s="2194"/>
      <c r="C1692" s="2204"/>
      <c r="D1692" s="2204"/>
      <c r="E1692" s="2204"/>
      <c r="F1692" s="2204"/>
      <c r="G1692" s="2204"/>
      <c r="H1692" s="2204"/>
      <c r="I1692" s="2204"/>
      <c r="J1692" s="2204"/>
      <c r="K1692" s="2204"/>
      <c r="L1692" s="2204"/>
      <c r="M1692" s="2204"/>
      <c r="N1692" s="2204"/>
      <c r="O1692" s="2204"/>
      <c r="P1692" s="1180">
        <f>O1686/M!$Q$14</f>
        <v>1.284575749989725E-2</v>
      </c>
      <c r="Q1692" s="1235"/>
      <c r="R1692" s="1235"/>
      <c r="S1692" s="1235"/>
      <c r="T1692" s="1235"/>
      <c r="U1692" s="1235"/>
      <c r="V1692" s="1235"/>
      <c r="W1692" s="1235"/>
    </row>
    <row r="1693" spans="1:23">
      <c r="A1693" s="1183"/>
      <c r="B1693" s="1176" t="s">
        <v>432</v>
      </c>
      <c r="C1693" s="1184">
        <f>(FinSnapshot!$E$94 +FinSnapshot!$E$96+FinSnapshot!$E$102+FinSnapshot!$E$104)/12</f>
        <v>120.75</v>
      </c>
      <c r="D1693" s="1184">
        <f>(FinSnapshot!$E$94 +FinSnapshot!$E$96+FinSnapshot!$E$102+FinSnapshot!$E$104)/12</f>
        <v>120.75</v>
      </c>
      <c r="E1693" s="1184">
        <f>(FinSnapshot!$E$94 +FinSnapshot!$E$96+FinSnapshot!$E$102+FinSnapshot!$E$104)/12</f>
        <v>120.75</v>
      </c>
      <c r="F1693" s="1184">
        <f>(FinSnapshot!$E$94 +FinSnapshot!$E$96+FinSnapshot!$E$102+FinSnapshot!$E$104)/12</f>
        <v>120.75</v>
      </c>
      <c r="G1693" s="1184">
        <f>(FinSnapshot!$E$94 +FinSnapshot!$E$96+FinSnapshot!$E$102+FinSnapshot!$E$104)/12</f>
        <v>120.75</v>
      </c>
      <c r="H1693" s="1184">
        <f>(FinSnapshot!$E$94 +FinSnapshot!$E$96+FinSnapshot!$E$102+FinSnapshot!$E$104)/12</f>
        <v>120.75</v>
      </c>
      <c r="I1693" s="1184">
        <f>(FinSnapshot!$E$94 +FinSnapshot!$E$96+FinSnapshot!$E$102+FinSnapshot!$E$104)/12</f>
        <v>120.75</v>
      </c>
      <c r="J1693" s="1184">
        <f>(FinSnapshot!$E$94 +FinSnapshot!$E$96+FinSnapshot!$E$102+FinSnapshot!$E$104)/12</f>
        <v>120.75</v>
      </c>
      <c r="K1693" s="1184">
        <f>(FinSnapshot!$E$94 +FinSnapshot!$E$96+FinSnapshot!$E$102+FinSnapshot!$E$104)/12</f>
        <v>120.75</v>
      </c>
      <c r="L1693" s="1184">
        <f>(FinSnapshot!$E$94 +FinSnapshot!$E$96+FinSnapshot!$E$102+FinSnapshot!$E$104)/12</f>
        <v>120.75</v>
      </c>
      <c r="M1693" s="1184">
        <f>(FinSnapshot!$E$94 +FinSnapshot!$E$96+FinSnapshot!$E$102+FinSnapshot!$E$104)/12</f>
        <v>120.75</v>
      </c>
      <c r="N1693" s="1184">
        <f>(FinSnapshot!$E$94 +FinSnapshot!$E$96+FinSnapshot!$E$102+FinSnapshot!$E$104)/12</f>
        <v>120.75</v>
      </c>
      <c r="O1693" s="1179">
        <f>SUM(C1693:N1693)/12</f>
        <v>120.75</v>
      </c>
      <c r="P1693" s="2205">
        <f>O1687/M!$Q$14</f>
        <v>0</v>
      </c>
      <c r="Q1693" s="1235"/>
      <c r="R1693" s="1235"/>
      <c r="S1693" s="1235"/>
      <c r="T1693" s="1235"/>
      <c r="U1693" s="1235"/>
      <c r="V1693" s="1235"/>
      <c r="W1693" s="1235"/>
    </row>
    <row r="1694" spans="1:23">
      <c r="A1694" s="1183"/>
      <c r="B1694" s="1176" t="s">
        <v>284</v>
      </c>
      <c r="C1694" s="1228">
        <v>0</v>
      </c>
      <c r="D1694" s="1228">
        <v>35</v>
      </c>
      <c r="E1694" s="1228">
        <v>27</v>
      </c>
      <c r="F1694" s="1228">
        <v>27</v>
      </c>
      <c r="G1694" s="1228">
        <v>30</v>
      </c>
      <c r="H1694" s="1228">
        <v>18</v>
      </c>
      <c r="I1694" s="1228">
        <v>0</v>
      </c>
      <c r="J1694" s="1228">
        <v>0</v>
      </c>
      <c r="K1694" s="1228">
        <v>36</v>
      </c>
      <c r="L1694" s="1228">
        <v>0</v>
      </c>
      <c r="M1694" s="1228">
        <v>18</v>
      </c>
      <c r="N1694" s="1228">
        <v>18</v>
      </c>
      <c r="O1694" s="1179">
        <f>SUM(C1694:N1694)/12</f>
        <v>17.416666666666668</v>
      </c>
      <c r="P1694" s="2206"/>
      <c r="Q1694" s="1235"/>
      <c r="R1694" s="1235"/>
      <c r="S1694" s="1235"/>
      <c r="T1694" s="1235"/>
      <c r="U1694" s="1235"/>
      <c r="V1694" s="1235"/>
      <c r="W1694" s="1235"/>
    </row>
    <row r="1695" spans="1:23">
      <c r="A1695" s="1183"/>
      <c r="B1695" s="1176" t="s">
        <v>433</v>
      </c>
      <c r="C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D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E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F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G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H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I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J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K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L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M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N1695" s="1178">
        <f>(FinSnapshot!$E$93+ FinSnapshot!$E$95+ FinSnapshot!$E$96+ FinSnapshot!$E$103 + FinSnapshot!$E$105+ FinSnapshot!$E$107+ FinSnapshot!$E$108+ FinSnapshot!$E$101+FinSnapshot!$E$95+FinSnapshot!$E$103)/12</f>
        <v>13.333333333333334</v>
      </c>
      <c r="O1695" s="1179">
        <f>SUM(C1695:N1695)/12</f>
        <v>13.333333333333334</v>
      </c>
      <c r="P1695" s="1180">
        <f>O1689/M!$Q$14</f>
        <v>0</v>
      </c>
      <c r="Q1695" s="1235"/>
      <c r="R1695" s="1235"/>
      <c r="S1695" s="1235"/>
      <c r="T1695" s="1235"/>
      <c r="U1695" s="1235"/>
      <c r="V1695" s="1235"/>
      <c r="W1695" s="1235"/>
    </row>
    <row r="1696" spans="1:23">
      <c r="A1696" s="1183"/>
      <c r="B1696" s="1176" t="s">
        <v>434</v>
      </c>
      <c r="C1696" s="1184">
        <v>0</v>
      </c>
      <c r="D1696" s="1184">
        <v>0</v>
      </c>
      <c r="E1696" s="1184">
        <v>0</v>
      </c>
      <c r="F1696" s="1184">
        <v>0</v>
      </c>
      <c r="G1696" s="1184">
        <v>0</v>
      </c>
      <c r="H1696" s="1184">
        <v>0</v>
      </c>
      <c r="I1696" s="1184">
        <v>0</v>
      </c>
      <c r="J1696" s="1184">
        <v>0</v>
      </c>
      <c r="K1696" s="1184">
        <v>0</v>
      </c>
      <c r="L1696" s="1184">
        <v>0</v>
      </c>
      <c r="M1696" s="1184">
        <v>0</v>
      </c>
      <c r="N1696" s="1184">
        <v>0</v>
      </c>
      <c r="O1696" s="1179">
        <f>SUM(C1696:N1696)/12</f>
        <v>0</v>
      </c>
      <c r="P1696" s="1180">
        <f>O1690/M!$Q$14</f>
        <v>0</v>
      </c>
      <c r="Q1696" s="1235"/>
      <c r="R1696" s="1235"/>
      <c r="S1696" s="1235"/>
      <c r="T1696" s="1235"/>
      <c r="U1696" s="1235"/>
      <c r="V1696" s="1235"/>
      <c r="W1696" s="1235"/>
    </row>
    <row r="1697" spans="1:23">
      <c r="A1697" s="2191" t="s">
        <v>435</v>
      </c>
      <c r="B1697" s="2192"/>
      <c r="C1697" s="2203">
        <f>SUM(C1699:C1701)</f>
        <v>0</v>
      </c>
      <c r="D1697" s="2203">
        <f t="shared" ref="D1697:N1697" si="404">SUM(D1699:D1701)</f>
        <v>0</v>
      </c>
      <c r="E1697" s="2203">
        <f t="shared" si="404"/>
        <v>0</v>
      </c>
      <c r="F1697" s="2203">
        <f t="shared" si="404"/>
        <v>0</v>
      </c>
      <c r="G1697" s="2203">
        <f t="shared" si="404"/>
        <v>10</v>
      </c>
      <c r="H1697" s="2203">
        <f t="shared" si="404"/>
        <v>0</v>
      </c>
      <c r="I1697" s="2203">
        <f t="shared" si="404"/>
        <v>0</v>
      </c>
      <c r="J1697" s="2203">
        <f t="shared" si="404"/>
        <v>638</v>
      </c>
      <c r="K1697" s="2203">
        <f t="shared" si="404"/>
        <v>77</v>
      </c>
      <c r="L1697" s="2203">
        <f t="shared" si="404"/>
        <v>2740</v>
      </c>
      <c r="M1697" s="2203">
        <f t="shared" si="404"/>
        <v>0</v>
      </c>
      <c r="N1697" s="2203">
        <f t="shared" si="404"/>
        <v>1410</v>
      </c>
      <c r="O1697" s="2203">
        <f>SUM(O1699:O1701)</f>
        <v>406.25</v>
      </c>
      <c r="P1697" s="2205">
        <f>O1691/M!$Q$14</f>
        <v>1.3585565523451542E-2</v>
      </c>
      <c r="Q1697" s="1235"/>
      <c r="R1697" s="1235"/>
      <c r="S1697" s="1235"/>
      <c r="T1697" s="1235"/>
      <c r="U1697" s="1235"/>
      <c r="V1697" s="1235"/>
      <c r="W1697" s="1235"/>
    </row>
    <row r="1698" spans="1:23">
      <c r="A1698" s="2193"/>
      <c r="B1698" s="2194"/>
      <c r="C1698" s="2204"/>
      <c r="D1698" s="2204"/>
      <c r="E1698" s="2204"/>
      <c r="F1698" s="2204"/>
      <c r="G1698" s="2204"/>
      <c r="H1698" s="2204"/>
      <c r="I1698" s="2204"/>
      <c r="J1698" s="2204"/>
      <c r="K1698" s="2204"/>
      <c r="L1698" s="2204"/>
      <c r="M1698" s="2204"/>
      <c r="N1698" s="2204"/>
      <c r="O1698" s="2204"/>
      <c r="P1698" s="2206"/>
      <c r="Q1698" s="1235"/>
      <c r="R1698" s="1235"/>
      <c r="S1698" s="1235"/>
      <c r="T1698" s="1235"/>
      <c r="U1698" s="1235"/>
      <c r="V1698" s="1235"/>
      <c r="W1698" s="1235"/>
    </row>
    <row r="1699" spans="1:23">
      <c r="A1699" s="1183"/>
      <c r="B1699" s="1176" t="s">
        <v>405</v>
      </c>
      <c r="C1699" s="1228">
        <v>0</v>
      </c>
      <c r="D1699" s="1228">
        <v>0</v>
      </c>
      <c r="E1699" s="1228">
        <v>0</v>
      </c>
      <c r="F1699" s="1228">
        <v>0</v>
      </c>
      <c r="G1699" s="1228">
        <v>0</v>
      </c>
      <c r="H1699" s="1228">
        <v>0</v>
      </c>
      <c r="I1699" s="1229">
        <v>0</v>
      </c>
      <c r="J1699" s="1229">
        <v>0</v>
      </c>
      <c r="K1699" s="1229">
        <v>0</v>
      </c>
      <c r="L1699" s="1229">
        <v>0</v>
      </c>
      <c r="M1699" s="1229">
        <v>0</v>
      </c>
      <c r="N1699" s="1229">
        <v>0</v>
      </c>
      <c r="O1699" s="1179">
        <f>SUM(C1699:N1699)/12</f>
        <v>0</v>
      </c>
      <c r="P1699" s="1180">
        <f>O1693/M!$Q$14</f>
        <v>1.082809925384009E-2</v>
      </c>
      <c r="Q1699" s="1235"/>
      <c r="R1699" s="1235"/>
      <c r="S1699" s="1235"/>
      <c r="T1699" s="1235"/>
      <c r="U1699" s="1235"/>
      <c r="V1699" s="1235"/>
      <c r="W1699" s="1235"/>
    </row>
    <row r="1700" spans="1:23">
      <c r="A1700" s="1183"/>
      <c r="B1700" s="1176" t="s">
        <v>436</v>
      </c>
      <c r="C1700" s="1228">
        <v>0</v>
      </c>
      <c r="D1700" s="1228">
        <v>0</v>
      </c>
      <c r="E1700" s="1228">
        <v>0</v>
      </c>
      <c r="F1700" s="1228">
        <v>0</v>
      </c>
      <c r="G1700" s="1228">
        <v>0</v>
      </c>
      <c r="H1700" s="1228">
        <v>0</v>
      </c>
      <c r="I1700" s="1229">
        <v>0</v>
      </c>
      <c r="J1700" s="1229">
        <v>50</v>
      </c>
      <c r="K1700" s="1229">
        <v>0</v>
      </c>
      <c r="L1700" s="1229">
        <v>0</v>
      </c>
      <c r="M1700" s="1229">
        <v>0</v>
      </c>
      <c r="N1700" s="1229">
        <v>0</v>
      </c>
      <c r="O1700" s="1179">
        <f>SUM(C1700:N1700)/12</f>
        <v>4.166666666666667</v>
      </c>
      <c r="P1700" s="1180">
        <f>O1694/M!$Q$14</f>
        <v>1.5618169386146163E-3</v>
      </c>
      <c r="Q1700" s="1235"/>
      <c r="R1700" s="1235"/>
      <c r="S1700" s="1235"/>
      <c r="T1700" s="1235"/>
      <c r="U1700" s="1235"/>
      <c r="V1700" s="1235"/>
      <c r="W1700" s="1235"/>
    </row>
    <row r="1701" spans="1:23">
      <c r="A1701" s="1183"/>
      <c r="B1701" s="1176" t="s">
        <v>130</v>
      </c>
      <c r="C1701" s="1228">
        <v>0</v>
      </c>
      <c r="D1701" s="1228">
        <v>0</v>
      </c>
      <c r="E1701" s="1228">
        <v>0</v>
      </c>
      <c r="F1701" s="1228">
        <v>0</v>
      </c>
      <c r="G1701" s="1228">
        <v>10</v>
      </c>
      <c r="H1701" s="1228">
        <v>0</v>
      </c>
      <c r="I1701" s="1229">
        <v>0</v>
      </c>
      <c r="J1701" s="1229">
        <v>588</v>
      </c>
      <c r="K1701" s="1229">
        <v>77</v>
      </c>
      <c r="L1701" s="1229">
        <v>2740</v>
      </c>
      <c r="M1701" s="1229">
        <v>0</v>
      </c>
      <c r="N1701" s="1229">
        <v>1410</v>
      </c>
      <c r="O1701" s="1179">
        <f>SUM(C1701:N1701)/12</f>
        <v>402.08333333333331</v>
      </c>
      <c r="P1701" s="1180">
        <f>O1695/M!$Q$14</f>
        <v>1.1956493309968354E-3</v>
      </c>
      <c r="Q1701" s="1235"/>
      <c r="R1701" s="1235"/>
      <c r="S1701" s="1235"/>
      <c r="T1701" s="1235"/>
      <c r="U1701" s="1235"/>
      <c r="V1701" s="1235"/>
      <c r="W1701" s="1235"/>
    </row>
    <row r="1702" spans="1:23">
      <c r="A1702" s="2191" t="s">
        <v>286</v>
      </c>
      <c r="B1702" s="2192"/>
      <c r="C1702" s="2203">
        <f t="shared" ref="C1702:N1702" si="405">SUM(C1704:C1705)</f>
        <v>1200</v>
      </c>
      <c r="D1702" s="2203">
        <f t="shared" si="405"/>
        <v>500</v>
      </c>
      <c r="E1702" s="2203">
        <f t="shared" si="405"/>
        <v>3100</v>
      </c>
      <c r="F1702" s="2203">
        <f t="shared" si="405"/>
        <v>600</v>
      </c>
      <c r="G1702" s="2203">
        <f t="shared" si="405"/>
        <v>600</v>
      </c>
      <c r="H1702" s="2203">
        <f t="shared" si="405"/>
        <v>1000</v>
      </c>
      <c r="I1702" s="2203">
        <f t="shared" si="405"/>
        <v>1000</v>
      </c>
      <c r="J1702" s="2203">
        <f t="shared" si="405"/>
        <v>1000</v>
      </c>
      <c r="K1702" s="2203">
        <f t="shared" si="405"/>
        <v>2000</v>
      </c>
      <c r="L1702" s="2203">
        <f t="shared" si="405"/>
        <v>6726</v>
      </c>
      <c r="M1702" s="2203">
        <f t="shared" si="405"/>
        <v>1000</v>
      </c>
      <c r="N1702" s="2203">
        <f t="shared" si="405"/>
        <v>2300</v>
      </c>
      <c r="O1702" s="2203">
        <f>SUM(O1704:O1705)</f>
        <v>1752.1666666666667</v>
      </c>
      <c r="P1702" s="1180">
        <f>O1696/M!$Q$14</f>
        <v>0</v>
      </c>
      <c r="Q1702" s="1235"/>
      <c r="R1702" s="1235"/>
      <c r="S1702" s="1235"/>
      <c r="T1702" s="1235"/>
      <c r="U1702" s="1235"/>
      <c r="V1702" s="1235"/>
      <c r="W1702" s="1235"/>
    </row>
    <row r="1703" spans="1:23">
      <c r="A1703" s="2193"/>
      <c r="B1703" s="2194"/>
      <c r="C1703" s="2204"/>
      <c r="D1703" s="2204"/>
      <c r="E1703" s="2204"/>
      <c r="F1703" s="2204"/>
      <c r="G1703" s="2204"/>
      <c r="H1703" s="2204"/>
      <c r="I1703" s="2204"/>
      <c r="J1703" s="2204"/>
      <c r="K1703" s="2204"/>
      <c r="L1703" s="2204"/>
      <c r="M1703" s="2204"/>
      <c r="N1703" s="2204"/>
      <c r="O1703" s="2204"/>
      <c r="P1703" s="2205">
        <f>O1697/M!$Q$14</f>
        <v>3.6429940553809825E-2</v>
      </c>
      <c r="Q1703" s="1235"/>
      <c r="R1703" s="1235"/>
      <c r="S1703" s="1235"/>
      <c r="T1703" s="1235"/>
      <c r="U1703" s="1235"/>
      <c r="V1703" s="1235"/>
      <c r="W1703" s="1235"/>
    </row>
    <row r="1704" spans="1:23">
      <c r="A1704" s="2217"/>
      <c r="B1704" s="1176" t="s">
        <v>82</v>
      </c>
      <c r="C1704" s="1228">
        <v>1000</v>
      </c>
      <c r="D1704" s="1228">
        <v>500</v>
      </c>
      <c r="E1704" s="1228">
        <v>2500</v>
      </c>
      <c r="F1704" s="1228">
        <v>500</v>
      </c>
      <c r="G1704" s="1228">
        <v>500</v>
      </c>
      <c r="H1704" s="1228">
        <v>1000</v>
      </c>
      <c r="I1704" s="1229">
        <v>1000</v>
      </c>
      <c r="J1704" s="1229">
        <v>1000</v>
      </c>
      <c r="K1704" s="1229">
        <v>2000</v>
      </c>
      <c r="L1704" s="1229">
        <v>6026</v>
      </c>
      <c r="M1704" s="1229">
        <v>1000</v>
      </c>
      <c r="N1704" s="1229">
        <v>1000</v>
      </c>
      <c r="O1704" s="1179">
        <f>SUM(C1704:N1704)/12</f>
        <v>1502.1666666666667</v>
      </c>
      <c r="P1704" s="2206"/>
      <c r="Q1704" s="1235"/>
      <c r="R1704" s="1235"/>
      <c r="S1704" s="1235"/>
      <c r="T1704" s="1235"/>
      <c r="U1704" s="1235"/>
      <c r="V1704" s="1235"/>
      <c r="W1704" s="1235"/>
    </row>
    <row r="1705" spans="1:23">
      <c r="A1705" s="2219"/>
      <c r="B1705" s="1176" t="s">
        <v>83</v>
      </c>
      <c r="C1705" s="1228">
        <v>200</v>
      </c>
      <c r="D1705" s="1228">
        <v>0</v>
      </c>
      <c r="E1705" s="1228">
        <v>600</v>
      </c>
      <c r="F1705" s="1228">
        <v>100</v>
      </c>
      <c r="G1705" s="1228">
        <v>100</v>
      </c>
      <c r="H1705" s="1228">
        <v>0</v>
      </c>
      <c r="I1705" s="1229">
        <v>0</v>
      </c>
      <c r="J1705" s="1229">
        <v>0</v>
      </c>
      <c r="K1705" s="1229">
        <v>0</v>
      </c>
      <c r="L1705" s="1229">
        <v>700</v>
      </c>
      <c r="M1705" s="1229">
        <v>0</v>
      </c>
      <c r="N1705" s="1229">
        <v>1300</v>
      </c>
      <c r="O1705" s="1179">
        <f>SUM(C1705:N1705)/12</f>
        <v>250</v>
      </c>
      <c r="P1705" s="1180">
        <f>O1699/M!$Q$14</f>
        <v>0</v>
      </c>
      <c r="Q1705" s="1235"/>
      <c r="R1705" s="1235"/>
      <c r="S1705" s="1235"/>
      <c r="T1705" s="1235"/>
      <c r="U1705" s="1235"/>
      <c r="V1705" s="1235"/>
      <c r="W1705" s="1235"/>
    </row>
    <row r="1706" spans="1:23">
      <c r="A1706" s="1187" t="s">
        <v>437</v>
      </c>
      <c r="B1706" s="1188"/>
      <c r="C1706" s="1189">
        <f t="shared" ref="C1706:O1706" si="406">C1636+C1650+C1658+C1664+C1668+C1678+C1687+C1691+C1697+C1702</f>
        <v>6372.083333333333</v>
      </c>
      <c r="D1706" s="1189">
        <f t="shared" si="406"/>
        <v>4553.0833333333339</v>
      </c>
      <c r="E1706" s="1189">
        <f t="shared" si="406"/>
        <v>7299.083333333333</v>
      </c>
      <c r="F1706" s="1189">
        <f t="shared" si="406"/>
        <v>4978.083333333333</v>
      </c>
      <c r="G1706" s="1189">
        <f t="shared" si="406"/>
        <v>4643.0833333333339</v>
      </c>
      <c r="H1706" s="1189">
        <f t="shared" si="406"/>
        <v>5477.083333333333</v>
      </c>
      <c r="I1706" s="1189">
        <f t="shared" si="406"/>
        <v>5987.083333333333</v>
      </c>
      <c r="J1706" s="1189">
        <f t="shared" si="406"/>
        <v>5948.083333333333</v>
      </c>
      <c r="K1706" s="1189">
        <f t="shared" si="406"/>
        <v>8321.0833333333321</v>
      </c>
      <c r="L1706" s="1189">
        <f t="shared" si="406"/>
        <v>15253.083333333332</v>
      </c>
      <c r="M1706" s="1189">
        <f t="shared" si="406"/>
        <v>5164.083333333333</v>
      </c>
      <c r="N1706" s="1189">
        <f t="shared" si="406"/>
        <v>8177.083333333333</v>
      </c>
      <c r="O1706" s="1189">
        <f t="shared" si="406"/>
        <v>6847.75</v>
      </c>
      <c r="P1706" s="1180">
        <f>O1700/M!$Q$14</f>
        <v>3.7364041593651104E-4</v>
      </c>
      <c r="Q1706" s="1235"/>
      <c r="R1706" s="1235"/>
      <c r="S1706" s="1235"/>
      <c r="T1706" s="1235"/>
      <c r="U1706" s="1235"/>
      <c r="V1706" s="1235"/>
      <c r="W1706" s="1235"/>
    </row>
    <row r="1707" spans="1:23">
      <c r="A1707" s="1191" t="s">
        <v>658</v>
      </c>
      <c r="B1707" s="1192"/>
      <c r="C1707" s="1193">
        <f>C1706/M!$Q$14</f>
        <v>0.5714082880917063</v>
      </c>
      <c r="D1707" s="1193">
        <f>D1706/M!$Q$14</f>
        <v>0.40829182811046311</v>
      </c>
      <c r="E1707" s="1193">
        <f>E1706/M!$Q$14</f>
        <v>0.65453580782926124</v>
      </c>
      <c r="F1707" s="1193">
        <f>F1706/M!$Q$14</f>
        <v>0.44640315053598717</v>
      </c>
      <c r="G1707" s="1193">
        <f>G1706/M!$Q$14</f>
        <v>0.41636246109469177</v>
      </c>
      <c r="H1707" s="1193">
        <f>H1706/M!$Q$14</f>
        <v>0.49115032674854375</v>
      </c>
      <c r="I1707" s="1193">
        <f>I1706/M!$Q$14</f>
        <v>0.53688391365917265</v>
      </c>
      <c r="J1707" s="1193">
        <f>J1706/M!$Q$14</f>
        <v>0.53338663936600694</v>
      </c>
      <c r="K1707" s="1193">
        <f>K1706/M!$Q$14</f>
        <v>0.74618232905016868</v>
      </c>
      <c r="L1707" s="1193">
        <f>L1706/M!$Q$14</f>
        <v>1.3678004162354234</v>
      </c>
      <c r="M1707" s="1193">
        <f>M1706/M!$Q$14</f>
        <v>0.46308245870339304</v>
      </c>
      <c r="N1707" s="1193">
        <f>N1706/M!$Q$14</f>
        <v>0.73326931627540293</v>
      </c>
      <c r="O1707" s="1193">
        <f>O1706/M!$Q$14</f>
        <v>0.61406307797501847</v>
      </c>
      <c r="P1707" s="1180">
        <f>O1701/M!$Q$14</f>
        <v>3.6056300137873316E-2</v>
      </c>
      <c r="Q1707" s="1235"/>
      <c r="R1707" s="1235"/>
      <c r="S1707" s="1235"/>
      <c r="T1707" s="1235"/>
      <c r="U1707" s="1235"/>
      <c r="V1707" s="1235"/>
      <c r="W1707" s="1235"/>
    </row>
    <row r="1708" spans="1:23">
      <c r="A1708" s="1235"/>
      <c r="B1708" s="1235"/>
      <c r="C1708" s="1235"/>
      <c r="D1708" s="1235"/>
      <c r="E1708" s="1235"/>
      <c r="F1708" s="1235"/>
      <c r="G1708" s="1235"/>
      <c r="H1708" s="1235"/>
      <c r="I1708" s="1235"/>
      <c r="J1708" s="1235"/>
      <c r="K1708" s="1235"/>
      <c r="L1708" s="1235"/>
      <c r="M1708" s="1235"/>
      <c r="N1708" s="1235"/>
      <c r="O1708" s="1235"/>
      <c r="P1708" s="2205">
        <f>O1702/M!$Q$14</f>
        <v>0.15712326770962162</v>
      </c>
      <c r="Q1708" s="1235"/>
      <c r="R1708" s="1235"/>
      <c r="S1708" s="1235"/>
      <c r="T1708" s="1235"/>
      <c r="U1708" s="1235"/>
      <c r="V1708" s="1235"/>
      <c r="W1708" s="1235"/>
    </row>
    <row r="1709" spans="1:23">
      <c r="A1709" s="1235"/>
      <c r="B1709" s="1235"/>
      <c r="C1709" s="1235"/>
      <c r="D1709" s="1235"/>
      <c r="E1709" s="1235"/>
      <c r="F1709" s="1235"/>
      <c r="G1709" s="1235"/>
      <c r="H1709" s="1235"/>
      <c r="I1709" s="1235"/>
      <c r="J1709" s="1235"/>
      <c r="K1709" s="1235"/>
      <c r="L1709" s="1235"/>
      <c r="M1709" s="1235"/>
      <c r="N1709" s="1235"/>
      <c r="O1709" s="1235"/>
      <c r="P1709" s="2206"/>
      <c r="Q1709" s="1235"/>
      <c r="R1709" s="1235"/>
      <c r="S1709" s="1235"/>
      <c r="T1709" s="1235"/>
      <c r="U1709" s="1235"/>
      <c r="V1709" s="1235"/>
      <c r="W1709" s="1235"/>
    </row>
    <row r="1710" spans="1:23">
      <c r="A1710" s="1235"/>
      <c r="B1710" s="1235"/>
      <c r="C1710" s="1235"/>
      <c r="D1710" s="1235"/>
      <c r="E1710" s="1235"/>
      <c r="F1710" s="1235"/>
      <c r="G1710" s="1235"/>
      <c r="H1710" s="1235"/>
      <c r="I1710" s="1235"/>
      <c r="J1710" s="1235"/>
      <c r="K1710" s="1235"/>
      <c r="L1710" s="1235"/>
      <c r="M1710" s="1235"/>
      <c r="N1710" s="1235"/>
      <c r="O1710" s="1235"/>
      <c r="P1710" s="1180">
        <f>O1704/M!$Q$14</f>
        <v>0.13470484275343098</v>
      </c>
      <c r="Q1710" s="1235"/>
      <c r="R1710" s="1235"/>
      <c r="S1710" s="1235"/>
      <c r="T1710" s="1235"/>
      <c r="U1710" s="1235"/>
      <c r="V1710" s="1235"/>
      <c r="W1710" s="1235"/>
    </row>
    <row r="1711" spans="1:23">
      <c r="A1711" s="1235"/>
      <c r="B1711" s="1235"/>
      <c r="C1711" s="1235"/>
      <c r="D1711" s="1235"/>
      <c r="E1711" s="1235"/>
      <c r="F1711" s="1235"/>
      <c r="G1711" s="1235"/>
      <c r="H1711" s="1235"/>
      <c r="I1711" s="1235"/>
      <c r="J1711" s="1235"/>
      <c r="K1711" s="1235"/>
      <c r="L1711" s="1235"/>
      <c r="M1711" s="1235"/>
      <c r="N1711" s="1235"/>
      <c r="O1711" s="1235"/>
      <c r="P1711" s="1180">
        <f>O1705/M!$Q$14</f>
        <v>2.2418424956190664E-2</v>
      </c>
      <c r="Q1711" s="1235"/>
      <c r="R1711" s="1235"/>
      <c r="S1711" s="1235"/>
      <c r="T1711" s="1235"/>
      <c r="U1711" s="1235"/>
      <c r="V1711" s="1235"/>
      <c r="W1711" s="1235"/>
    </row>
    <row r="1712" spans="1:23">
      <c r="A1712" s="2195">
        <v>2004</v>
      </c>
      <c r="B1712" s="2196"/>
      <c r="C1712" s="2196"/>
      <c r="D1712" s="2196"/>
      <c r="E1712" s="2196"/>
      <c r="F1712" s="2196"/>
      <c r="G1712" s="2196"/>
      <c r="H1712" s="2196"/>
      <c r="I1712" s="2196"/>
      <c r="J1712" s="2196"/>
      <c r="K1712" s="2196"/>
      <c r="L1712" s="2196"/>
      <c r="M1712" s="2196"/>
      <c r="N1712" s="2196"/>
      <c r="O1712" s="2196"/>
      <c r="P1712" s="1190">
        <f>O1706/M!$Q$14</f>
        <v>0.61406307797501847</v>
      </c>
      <c r="Q1712" s="1235"/>
      <c r="R1712" s="1235"/>
      <c r="S1712" s="1235"/>
      <c r="T1712" s="1235"/>
      <c r="U1712" s="1235"/>
      <c r="V1712" s="1235"/>
      <c r="W1712" s="1235"/>
    </row>
    <row r="1713" spans="1:23">
      <c r="A1713" s="1171" t="s">
        <v>388</v>
      </c>
      <c r="B1713" s="1172"/>
      <c r="C1713" s="1173" t="s">
        <v>309</v>
      </c>
      <c r="D1713" s="1173" t="s">
        <v>311</v>
      </c>
      <c r="E1713" s="1173" t="s">
        <v>312</v>
      </c>
      <c r="F1713" s="1173" t="s">
        <v>313</v>
      </c>
      <c r="G1713" s="1173" t="s">
        <v>314</v>
      </c>
      <c r="H1713" s="1173" t="s">
        <v>315</v>
      </c>
      <c r="I1713" s="1173" t="s">
        <v>316</v>
      </c>
      <c r="J1713" s="1173" t="s">
        <v>317</v>
      </c>
      <c r="K1713" s="1173" t="s">
        <v>318</v>
      </c>
      <c r="L1713" s="1173" t="s">
        <v>319</v>
      </c>
      <c r="M1713" s="1173" t="s">
        <v>320</v>
      </c>
      <c r="N1713" s="1173" t="s">
        <v>321</v>
      </c>
      <c r="O1713" s="1174" t="s">
        <v>660</v>
      </c>
      <c r="P1713" s="1194"/>
      <c r="Q1713" s="1235"/>
      <c r="R1713" s="1235"/>
      <c r="S1713" s="1235"/>
      <c r="T1713" s="1235"/>
      <c r="U1713" s="1235"/>
      <c r="V1713" s="1235"/>
      <c r="W1713" s="1235"/>
    </row>
    <row r="1714" spans="1:23">
      <c r="A1714" s="2191" t="s">
        <v>56</v>
      </c>
      <c r="B1714" s="2192"/>
      <c r="C1714" s="2203">
        <f t="shared" ref="C1714:I1714" si="407">C1716+ SUM(C1722:C1727)</f>
        <v>1075</v>
      </c>
      <c r="D1714" s="2203">
        <f t="shared" si="407"/>
        <v>1075</v>
      </c>
      <c r="E1714" s="2203">
        <f t="shared" si="407"/>
        <v>1075</v>
      </c>
      <c r="F1714" s="2203">
        <f t="shared" si="407"/>
        <v>1075</v>
      </c>
      <c r="G1714" s="2203">
        <f t="shared" si="407"/>
        <v>1075</v>
      </c>
      <c r="H1714" s="2203">
        <f t="shared" si="407"/>
        <v>1075</v>
      </c>
      <c r="I1714" s="2203">
        <f t="shared" si="407"/>
        <v>1775</v>
      </c>
      <c r="J1714" s="2203">
        <f t="shared" ref="J1714:O1714" si="408">J1716+ SUM(J1722:J1727)</f>
        <v>2370</v>
      </c>
      <c r="K1714" s="2203">
        <f t="shared" si="408"/>
        <v>2370</v>
      </c>
      <c r="L1714" s="2203">
        <f t="shared" si="408"/>
        <v>2370</v>
      </c>
      <c r="M1714" s="2203">
        <f t="shared" si="408"/>
        <v>2370</v>
      </c>
      <c r="N1714" s="2203">
        <f t="shared" si="408"/>
        <v>2370</v>
      </c>
      <c r="O1714" s="2203">
        <f t="shared" si="408"/>
        <v>1672.9166666666667</v>
      </c>
      <c r="P1714" s="1235"/>
      <c r="Q1714" s="1235"/>
      <c r="R1714" s="1235"/>
      <c r="S1714" s="1235"/>
      <c r="T1714" s="1235"/>
      <c r="U1714" s="1235"/>
      <c r="V1714" s="1235"/>
      <c r="W1714" s="1235"/>
    </row>
    <row r="1715" spans="1:23">
      <c r="A1715" s="2193"/>
      <c r="B1715" s="2194"/>
      <c r="C1715" s="2204"/>
      <c r="D1715" s="2204"/>
      <c r="E1715" s="2204"/>
      <c r="F1715" s="2204"/>
      <c r="G1715" s="2204"/>
      <c r="H1715" s="2204"/>
      <c r="I1715" s="2204"/>
      <c r="J1715" s="2204"/>
      <c r="K1715" s="2204"/>
      <c r="L1715" s="2204"/>
      <c r="M1715" s="2204"/>
      <c r="N1715" s="2204"/>
      <c r="O1715" s="2204"/>
      <c r="P1715" s="1235"/>
      <c r="Q1715" s="1235"/>
      <c r="R1715" s="1235"/>
      <c r="S1715" s="1235"/>
      <c r="T1715" s="1235"/>
      <c r="U1715" s="1235"/>
      <c r="V1715" s="1235"/>
      <c r="W1715" s="1235"/>
    </row>
    <row r="1716" spans="1:23">
      <c r="A1716" s="2217"/>
      <c r="B1716" s="1176" t="s">
        <v>662</v>
      </c>
      <c r="C1716" s="1228">
        <v>1075</v>
      </c>
      <c r="D1716" s="1228">
        <v>1075</v>
      </c>
      <c r="E1716" s="1228">
        <v>1075</v>
      </c>
      <c r="F1716" s="1228">
        <v>1075</v>
      </c>
      <c r="G1716" s="1228">
        <v>1075</v>
      </c>
      <c r="H1716" s="1228">
        <v>1075</v>
      </c>
      <c r="I1716" s="1229">
        <v>1075</v>
      </c>
      <c r="J1716" s="1229">
        <f>SUM(J1717:J1721)</f>
        <v>1804</v>
      </c>
      <c r="K1716" s="1229">
        <f>SUM(K1717:K1721)</f>
        <v>1804</v>
      </c>
      <c r="L1716" s="1229">
        <f>SUM(L1717:L1721)</f>
        <v>1804</v>
      </c>
      <c r="M1716" s="1229">
        <f>SUM(M1717:M1721)</f>
        <v>1804</v>
      </c>
      <c r="N1716" s="1229">
        <f>SUM(N1717:N1721)</f>
        <v>1804</v>
      </c>
      <c r="O1716" s="1179">
        <f t="shared" ref="O1716:O1727" si="409">SUM(C1716:N1716)/12</f>
        <v>1378.75</v>
      </c>
      <c r="P1716" s="1235"/>
      <c r="Q1716" s="1235"/>
      <c r="R1716" s="1235"/>
      <c r="S1716" s="1235"/>
      <c r="T1716" s="1235"/>
      <c r="U1716" s="1235"/>
      <c r="V1716" s="1235"/>
      <c r="W1716" s="1235"/>
    </row>
    <row r="1717" spans="1:23">
      <c r="A1717" s="2218"/>
      <c r="B1717" s="1176" t="s">
        <v>663</v>
      </c>
      <c r="C1717" s="1178">
        <v>1075</v>
      </c>
      <c r="D1717" s="1178">
        <v>1075</v>
      </c>
      <c r="E1717" s="1178">
        <v>1075</v>
      </c>
      <c r="F1717" s="1178">
        <v>1075</v>
      </c>
      <c r="G1717" s="1178">
        <v>1075</v>
      </c>
      <c r="H1717" s="1178">
        <v>1075</v>
      </c>
      <c r="I1717" s="1178">
        <v>0</v>
      </c>
      <c r="J1717" s="1178">
        <v>872</v>
      </c>
      <c r="K1717" s="1178">
        <v>870</v>
      </c>
      <c r="L1717" s="1178">
        <v>869</v>
      </c>
      <c r="M1717" s="1178">
        <v>867</v>
      </c>
      <c r="N1717" s="1178">
        <v>866</v>
      </c>
      <c r="O1717" s="1179">
        <f t="shared" si="409"/>
        <v>899.5</v>
      </c>
      <c r="P1717" s="1235"/>
      <c r="Q1717" s="1235"/>
      <c r="R1717" s="1235"/>
      <c r="S1717" s="1235"/>
      <c r="T1717" s="1235"/>
      <c r="U1717" s="1235"/>
      <c r="V1717" s="1235"/>
      <c r="W1717" s="1235"/>
    </row>
    <row r="1718" spans="1:23">
      <c r="A1718" s="2218"/>
      <c r="B1718" s="1176" t="s">
        <v>664</v>
      </c>
      <c r="C1718" s="1178">
        <v>0</v>
      </c>
      <c r="D1718" s="1178">
        <v>0</v>
      </c>
      <c r="E1718" s="1178">
        <v>0</v>
      </c>
      <c r="F1718" s="1178">
        <v>0</v>
      </c>
      <c r="G1718" s="1178">
        <v>0</v>
      </c>
      <c r="H1718" s="1178">
        <v>0</v>
      </c>
      <c r="I1718" s="1178">
        <v>0</v>
      </c>
      <c r="J1718" s="1178">
        <v>422</v>
      </c>
      <c r="K1718" s="1178">
        <v>424</v>
      </c>
      <c r="L1718" s="1178">
        <v>425</v>
      </c>
      <c r="M1718" s="1178">
        <v>427</v>
      </c>
      <c r="N1718" s="1178">
        <v>428</v>
      </c>
      <c r="O1718" s="1179">
        <f t="shared" si="409"/>
        <v>177.16666666666666</v>
      </c>
      <c r="P1718" s="2197"/>
      <c r="Q1718" s="1235"/>
      <c r="R1718" s="1235"/>
      <c r="S1718" s="1235"/>
      <c r="T1718" s="1235"/>
      <c r="U1718" s="1235"/>
      <c r="V1718" s="1235"/>
      <c r="W1718" s="1235"/>
    </row>
    <row r="1719" spans="1:23">
      <c r="A1719" s="2218"/>
      <c r="B1719" s="1176" t="s">
        <v>450</v>
      </c>
      <c r="C1719" s="1178">
        <v>0</v>
      </c>
      <c r="D1719" s="1178">
        <v>0</v>
      </c>
      <c r="E1719" s="1178">
        <v>0</v>
      </c>
      <c r="F1719" s="1178">
        <v>0</v>
      </c>
      <c r="G1719" s="1178">
        <v>0</v>
      </c>
      <c r="H1719" s="1178">
        <v>0</v>
      </c>
      <c r="I1719" s="1178">
        <v>0</v>
      </c>
      <c r="J1719" s="1178">
        <v>0</v>
      </c>
      <c r="K1719" s="1178">
        <v>0</v>
      </c>
      <c r="L1719" s="1178">
        <v>0</v>
      </c>
      <c r="M1719" s="1178">
        <v>0</v>
      </c>
      <c r="N1719" s="1178">
        <v>0</v>
      </c>
      <c r="O1719" s="1179">
        <f t="shared" si="409"/>
        <v>0</v>
      </c>
      <c r="P1719" s="1175" t="s">
        <v>661</v>
      </c>
      <c r="Q1719" s="1235"/>
      <c r="R1719" s="1235"/>
      <c r="S1719" s="1235"/>
      <c r="T1719" s="1235"/>
      <c r="U1719" s="1235"/>
      <c r="V1719" s="1235"/>
      <c r="W1719" s="1235"/>
    </row>
    <row r="1720" spans="1:23">
      <c r="A1720" s="2218"/>
      <c r="B1720" s="1176" t="s">
        <v>665</v>
      </c>
      <c r="C1720" s="1178">
        <v>0</v>
      </c>
      <c r="D1720" s="1178">
        <v>0</v>
      </c>
      <c r="E1720" s="1178">
        <v>0</v>
      </c>
      <c r="F1720" s="1178">
        <v>0</v>
      </c>
      <c r="G1720" s="1178">
        <v>0</v>
      </c>
      <c r="H1720" s="1178">
        <v>0</v>
      </c>
      <c r="I1720" s="1178">
        <v>302</v>
      </c>
      <c r="J1720" s="1178">
        <v>301</v>
      </c>
      <c r="K1720" s="1178">
        <v>300</v>
      </c>
      <c r="L1720" s="1178">
        <v>299</v>
      </c>
      <c r="M1720" s="1178">
        <v>298</v>
      </c>
      <c r="N1720" s="1178">
        <v>297</v>
      </c>
      <c r="O1720" s="1179">
        <f t="shared" si="409"/>
        <v>149.75</v>
      </c>
      <c r="P1720" s="2205">
        <f>O1714/M!$Q$14</f>
        <v>0.15001662699850918</v>
      </c>
      <c r="Q1720" s="1235"/>
      <c r="R1720" s="1235"/>
      <c r="S1720" s="1235"/>
      <c r="T1720" s="1235"/>
      <c r="U1720" s="1235"/>
      <c r="V1720" s="1235"/>
      <c r="W1720" s="1235"/>
    </row>
    <row r="1721" spans="1:23">
      <c r="A1721" s="2218"/>
      <c r="B1721" s="1176" t="s">
        <v>664</v>
      </c>
      <c r="C1721" s="1178">
        <v>0</v>
      </c>
      <c r="D1721" s="1178">
        <v>0</v>
      </c>
      <c r="E1721" s="1178">
        <v>0</v>
      </c>
      <c r="F1721" s="1178">
        <v>0</v>
      </c>
      <c r="G1721" s="1178">
        <v>0</v>
      </c>
      <c r="H1721" s="1178">
        <v>0</v>
      </c>
      <c r="I1721" s="1178">
        <v>205</v>
      </c>
      <c r="J1721" s="1178">
        <v>209</v>
      </c>
      <c r="K1721" s="1178">
        <v>210</v>
      </c>
      <c r="L1721" s="1178">
        <v>211</v>
      </c>
      <c r="M1721" s="1178">
        <v>212</v>
      </c>
      <c r="N1721" s="1178">
        <v>213</v>
      </c>
      <c r="O1721" s="1179">
        <f t="shared" si="409"/>
        <v>105</v>
      </c>
      <c r="P1721" s="2206"/>
      <c r="Q1721" s="1235"/>
      <c r="R1721" s="1235"/>
      <c r="S1721" s="1235"/>
      <c r="T1721" s="1235"/>
      <c r="U1721" s="1235"/>
      <c r="V1721" s="1235"/>
      <c r="W1721" s="1235"/>
    </row>
    <row r="1722" spans="1:23">
      <c r="A1722" s="2218"/>
      <c r="B1722" s="1176" t="s">
        <v>287</v>
      </c>
      <c r="C1722" s="1178">
        <v>0</v>
      </c>
      <c r="D1722" s="1178">
        <v>0</v>
      </c>
      <c r="E1722" s="1178">
        <v>0</v>
      </c>
      <c r="F1722" s="1178">
        <v>0</v>
      </c>
      <c r="G1722" s="1178">
        <v>0</v>
      </c>
      <c r="H1722" s="1178">
        <v>0</v>
      </c>
      <c r="I1722" s="1178">
        <v>312</v>
      </c>
      <c r="J1722" s="1178">
        <v>312</v>
      </c>
      <c r="K1722" s="1178">
        <v>312</v>
      </c>
      <c r="L1722" s="1178">
        <v>312</v>
      </c>
      <c r="M1722" s="1178">
        <v>312</v>
      </c>
      <c r="N1722" s="1178">
        <v>312</v>
      </c>
      <c r="O1722" s="1179">
        <f t="shared" si="409"/>
        <v>156</v>
      </c>
      <c r="P1722" s="1180">
        <f>O1716/M!$Q$14</f>
        <v>0.1236376136333915</v>
      </c>
      <c r="Q1722" s="1235"/>
      <c r="R1722" s="1235"/>
      <c r="S1722" s="1235"/>
      <c r="T1722" s="1235"/>
      <c r="U1722" s="1235"/>
      <c r="V1722" s="1235"/>
      <c r="W1722" s="1235"/>
    </row>
    <row r="1723" spans="1:23">
      <c r="A1723" s="2218"/>
      <c r="B1723" s="1176" t="s">
        <v>453</v>
      </c>
      <c r="C1723" s="1178">
        <v>0</v>
      </c>
      <c r="D1723" s="1178">
        <v>0</v>
      </c>
      <c r="E1723" s="1178">
        <v>0</v>
      </c>
      <c r="F1723" s="1178">
        <v>0</v>
      </c>
      <c r="G1723" s="1178">
        <v>0</v>
      </c>
      <c r="H1723" s="1178">
        <v>0</v>
      </c>
      <c r="I1723" s="1178">
        <v>0</v>
      </c>
      <c r="J1723" s="1178">
        <v>0</v>
      </c>
      <c r="K1723" s="1178">
        <v>0</v>
      </c>
      <c r="L1723" s="1178">
        <v>0</v>
      </c>
      <c r="M1723" s="1178">
        <v>0</v>
      </c>
      <c r="N1723" s="1178">
        <v>0</v>
      </c>
      <c r="O1723" s="1179">
        <f t="shared" si="409"/>
        <v>0</v>
      </c>
      <c r="P1723" s="1180">
        <f>O1717/M!$Q$14</f>
        <v>8.0661492992374004E-2</v>
      </c>
      <c r="Q1723" s="1235"/>
      <c r="R1723" s="1235"/>
      <c r="S1723" s="1235"/>
      <c r="T1723" s="1235"/>
      <c r="U1723" s="1235"/>
      <c r="V1723" s="1235"/>
      <c r="W1723" s="1235"/>
    </row>
    <row r="1724" spans="1:23">
      <c r="A1724" s="2218"/>
      <c r="B1724" s="1176" t="s">
        <v>400</v>
      </c>
      <c r="C1724" s="1178">
        <v>0</v>
      </c>
      <c r="D1724" s="1178">
        <v>0</v>
      </c>
      <c r="E1724" s="1178">
        <v>0</v>
      </c>
      <c r="F1724" s="1178">
        <v>0</v>
      </c>
      <c r="G1724" s="1178">
        <v>0</v>
      </c>
      <c r="H1724" s="1178">
        <v>0</v>
      </c>
      <c r="I1724" s="1178">
        <v>184</v>
      </c>
      <c r="J1724" s="1178">
        <v>0</v>
      </c>
      <c r="K1724" s="1178">
        <v>0</v>
      </c>
      <c r="L1724" s="1178">
        <v>0</v>
      </c>
      <c r="M1724" s="1178">
        <v>0</v>
      </c>
      <c r="N1724" s="1178">
        <v>0</v>
      </c>
      <c r="O1724" s="1179">
        <f t="shared" si="409"/>
        <v>15.333333333333334</v>
      </c>
      <c r="P1724" s="1180">
        <f>O1718/M!$Q$14</f>
        <v>1.5887190485620449E-2</v>
      </c>
      <c r="Q1724" s="1235"/>
      <c r="R1724" s="1235"/>
      <c r="S1724" s="1235"/>
      <c r="T1724" s="1235"/>
      <c r="U1724" s="1235"/>
      <c r="V1724" s="1235"/>
      <c r="W1724" s="1235"/>
    </row>
    <row r="1725" spans="1:23">
      <c r="A1725" s="2218"/>
      <c r="B1725" s="1176" t="s">
        <v>401</v>
      </c>
      <c r="C1725" s="1178">
        <v>0</v>
      </c>
      <c r="D1725" s="1178">
        <v>0</v>
      </c>
      <c r="E1725" s="1178">
        <v>0</v>
      </c>
      <c r="F1725" s="1178">
        <v>0</v>
      </c>
      <c r="G1725" s="1178">
        <v>0</v>
      </c>
      <c r="H1725" s="1178">
        <v>0</v>
      </c>
      <c r="I1725" s="1178">
        <v>204</v>
      </c>
      <c r="J1725" s="1178">
        <v>204</v>
      </c>
      <c r="K1725" s="1178">
        <v>204</v>
      </c>
      <c r="L1725" s="1178">
        <v>204</v>
      </c>
      <c r="M1725" s="1178">
        <v>204</v>
      </c>
      <c r="N1725" s="1178">
        <v>204</v>
      </c>
      <c r="O1725" s="1179">
        <f t="shared" si="409"/>
        <v>102</v>
      </c>
      <c r="P1725" s="1180">
        <f>O1719/M!$Q$14</f>
        <v>0</v>
      </c>
      <c r="Q1725" s="1235"/>
      <c r="R1725" s="1235"/>
      <c r="S1725" s="1235"/>
      <c r="T1725" s="1235"/>
      <c r="U1725" s="1235"/>
      <c r="V1725" s="1235"/>
      <c r="W1725" s="1235"/>
    </row>
    <row r="1726" spans="1:23">
      <c r="A1726" s="2218"/>
      <c r="B1726" s="1176" t="s">
        <v>402</v>
      </c>
      <c r="C1726" s="1178">
        <v>0</v>
      </c>
      <c r="D1726" s="1178">
        <v>0</v>
      </c>
      <c r="E1726" s="1178">
        <v>0</v>
      </c>
      <c r="F1726" s="1178">
        <v>0</v>
      </c>
      <c r="G1726" s="1178">
        <v>0</v>
      </c>
      <c r="H1726" s="1178">
        <v>0</v>
      </c>
      <c r="I1726" s="1178">
        <v>0</v>
      </c>
      <c r="J1726" s="1178">
        <v>50</v>
      </c>
      <c r="K1726" s="1178">
        <v>50</v>
      </c>
      <c r="L1726" s="1178">
        <v>50</v>
      </c>
      <c r="M1726" s="1178">
        <v>50</v>
      </c>
      <c r="N1726" s="1178">
        <v>50</v>
      </c>
      <c r="O1726" s="1179">
        <f t="shared" si="409"/>
        <v>20.833333333333332</v>
      </c>
      <c r="P1726" s="1180">
        <f>O1720/M!$Q$14</f>
        <v>1.3428636548758206E-2</v>
      </c>
      <c r="Q1726" s="1235"/>
      <c r="R1726" s="1235"/>
      <c r="S1726" s="1235"/>
      <c r="T1726" s="1235"/>
      <c r="U1726" s="1235"/>
      <c r="V1726" s="1235"/>
      <c r="W1726" s="1235"/>
    </row>
    <row r="1727" spans="1:23">
      <c r="A1727" s="2219"/>
      <c r="B1727" s="1176" t="s">
        <v>403</v>
      </c>
      <c r="C1727" s="1178">
        <v>0</v>
      </c>
      <c r="D1727" s="1178">
        <v>0</v>
      </c>
      <c r="E1727" s="1178">
        <v>0</v>
      </c>
      <c r="F1727" s="1178">
        <v>0</v>
      </c>
      <c r="G1727" s="1178">
        <v>0</v>
      </c>
      <c r="H1727" s="1178">
        <v>0</v>
      </c>
      <c r="I1727" s="1178">
        <v>0</v>
      </c>
      <c r="J1727" s="1178">
        <v>0</v>
      </c>
      <c r="K1727" s="1178">
        <v>0</v>
      </c>
      <c r="L1727" s="1178">
        <v>0</v>
      </c>
      <c r="M1727" s="1178">
        <v>0</v>
      </c>
      <c r="N1727" s="1178">
        <v>0</v>
      </c>
      <c r="O1727" s="1179">
        <f t="shared" si="409"/>
        <v>0</v>
      </c>
      <c r="P1727" s="1180">
        <f>O1721/M!$Q$14</f>
        <v>9.4157384816000774E-3</v>
      </c>
      <c r="Q1727" s="1235"/>
      <c r="R1727" s="1235"/>
      <c r="S1727" s="1235"/>
      <c r="T1727" s="1235"/>
      <c r="U1727" s="1235"/>
      <c r="V1727" s="1235"/>
      <c r="W1727" s="1235"/>
    </row>
    <row r="1728" spans="1:23">
      <c r="A1728" s="2191" t="s">
        <v>276</v>
      </c>
      <c r="B1728" s="2192"/>
      <c r="C1728" s="2203">
        <f t="shared" ref="C1728:N1728" si="410">SUM(C1730:C1735)</f>
        <v>2237</v>
      </c>
      <c r="D1728" s="2203">
        <f t="shared" si="410"/>
        <v>1713</v>
      </c>
      <c r="E1728" s="2203">
        <f t="shared" si="410"/>
        <v>18387</v>
      </c>
      <c r="F1728" s="2203">
        <f t="shared" si="410"/>
        <v>296</v>
      </c>
      <c r="G1728" s="2203">
        <f t="shared" si="410"/>
        <v>325</v>
      </c>
      <c r="H1728" s="2203">
        <f t="shared" si="410"/>
        <v>296</v>
      </c>
      <c r="I1728" s="2203">
        <f t="shared" si="410"/>
        <v>318</v>
      </c>
      <c r="J1728" s="2203">
        <f t="shared" si="410"/>
        <v>10</v>
      </c>
      <c r="K1728" s="2203">
        <f t="shared" si="410"/>
        <v>0</v>
      </c>
      <c r="L1728" s="2203">
        <f t="shared" si="410"/>
        <v>0</v>
      </c>
      <c r="M1728" s="2203">
        <f t="shared" si="410"/>
        <v>412</v>
      </c>
      <c r="N1728" s="2203">
        <f t="shared" si="410"/>
        <v>0</v>
      </c>
      <c r="O1728" s="2203">
        <f>SUM(O1730:O1735)</f>
        <v>1999.4999999999998</v>
      </c>
      <c r="P1728" s="1180">
        <f>O1722/M!$Q$14</f>
        <v>1.3989097172662973E-2</v>
      </c>
      <c r="Q1728" s="1235"/>
      <c r="R1728" s="1235"/>
      <c r="S1728" s="1235"/>
      <c r="T1728" s="1235"/>
      <c r="U1728" s="1235"/>
      <c r="V1728" s="1235"/>
      <c r="W1728" s="1235"/>
    </row>
    <row r="1729" spans="1:23">
      <c r="A1729" s="2193"/>
      <c r="B1729" s="2194"/>
      <c r="C1729" s="2204"/>
      <c r="D1729" s="2204"/>
      <c r="E1729" s="2204"/>
      <c r="F1729" s="2204"/>
      <c r="G1729" s="2204"/>
      <c r="H1729" s="2204"/>
      <c r="I1729" s="2204"/>
      <c r="J1729" s="2204"/>
      <c r="K1729" s="2204"/>
      <c r="L1729" s="2204"/>
      <c r="M1729" s="2204"/>
      <c r="N1729" s="2204"/>
      <c r="O1729" s="2204"/>
      <c r="P1729" s="1180">
        <f>O1723/M!$Q$14</f>
        <v>0</v>
      </c>
      <c r="Q1729" s="1235"/>
      <c r="R1729" s="1235"/>
      <c r="S1729" s="1235"/>
      <c r="T1729" s="1235"/>
      <c r="U1729" s="1235"/>
      <c r="V1729" s="1235"/>
      <c r="W1729" s="1235"/>
    </row>
    <row r="1730" spans="1:23">
      <c r="A1730" s="2217"/>
      <c r="B1730" s="1176" t="s">
        <v>666</v>
      </c>
      <c r="C1730" s="1228">
        <v>1421</v>
      </c>
      <c r="D1730" s="1228">
        <v>1421</v>
      </c>
      <c r="E1730" s="1228">
        <v>17760</v>
      </c>
      <c r="F1730" s="1228">
        <v>0</v>
      </c>
      <c r="G1730" s="1228">
        <v>0</v>
      </c>
      <c r="H1730" s="1228">
        <v>0</v>
      </c>
      <c r="I1730" s="1229">
        <v>0</v>
      </c>
      <c r="J1730" s="1229">
        <v>0</v>
      </c>
      <c r="K1730" s="1229">
        <v>0</v>
      </c>
      <c r="L1730" s="1229">
        <v>0</v>
      </c>
      <c r="M1730" s="1229">
        <v>0</v>
      </c>
      <c r="N1730" s="1229">
        <v>0</v>
      </c>
      <c r="O1730" s="1179">
        <f t="shared" ref="O1730:O1735" si="411">SUM(C1730:N1730)/12</f>
        <v>1716.8333333333333</v>
      </c>
      <c r="P1730" s="1180">
        <f>O1724/M!$Q$14</f>
        <v>1.3749967306463608E-3</v>
      </c>
      <c r="Q1730" s="1235"/>
      <c r="R1730" s="1235"/>
      <c r="S1730" s="1235"/>
      <c r="T1730" s="1235"/>
      <c r="U1730" s="1235"/>
      <c r="V1730" s="1235"/>
      <c r="W1730" s="1235"/>
    </row>
    <row r="1731" spans="1:23">
      <c r="A1731" s="2218"/>
      <c r="B1731" s="1176" t="s">
        <v>400</v>
      </c>
      <c r="C1731" s="1228">
        <v>254</v>
      </c>
      <c r="D1731" s="1228">
        <v>292</v>
      </c>
      <c r="E1731" s="1228">
        <v>283</v>
      </c>
      <c r="F1731" s="1228">
        <v>296</v>
      </c>
      <c r="G1731" s="1228">
        <v>296</v>
      </c>
      <c r="H1731" s="1228">
        <v>296</v>
      </c>
      <c r="I1731" s="1229">
        <v>275</v>
      </c>
      <c r="J1731" s="1229">
        <v>10</v>
      </c>
      <c r="K1731" s="1229">
        <v>0</v>
      </c>
      <c r="L1731" s="1229">
        <v>0</v>
      </c>
      <c r="M1731" s="1229">
        <v>0</v>
      </c>
      <c r="N1731" s="1229">
        <v>0</v>
      </c>
      <c r="O1731" s="1179">
        <f t="shared" si="411"/>
        <v>166.83333333333334</v>
      </c>
      <c r="P1731" s="1180">
        <f>O1725/M!$Q$14</f>
        <v>9.1467173821257897E-3</v>
      </c>
      <c r="Q1731" s="1235"/>
      <c r="R1731" s="1235"/>
      <c r="S1731" s="1235"/>
      <c r="T1731" s="1235"/>
      <c r="U1731" s="1235"/>
      <c r="V1731" s="1235"/>
      <c r="W1731" s="1235"/>
    </row>
    <row r="1732" spans="1:23">
      <c r="A1732" s="2218"/>
      <c r="B1732" s="1176" t="s">
        <v>454</v>
      </c>
      <c r="C1732" s="1228">
        <v>0</v>
      </c>
      <c r="D1732" s="1228">
        <v>0</v>
      </c>
      <c r="E1732" s="1228">
        <v>344</v>
      </c>
      <c r="F1732" s="1228">
        <v>0</v>
      </c>
      <c r="G1732" s="1228">
        <v>29</v>
      </c>
      <c r="H1732" s="1228">
        <v>0</v>
      </c>
      <c r="I1732" s="1229">
        <v>0</v>
      </c>
      <c r="J1732" s="1229">
        <v>0</v>
      </c>
      <c r="K1732" s="1229">
        <v>0</v>
      </c>
      <c r="L1732" s="1229">
        <v>0</v>
      </c>
      <c r="M1732" s="1229">
        <v>0</v>
      </c>
      <c r="N1732" s="1229">
        <v>0</v>
      </c>
      <c r="O1732" s="1179">
        <f t="shared" si="411"/>
        <v>31.083333333333332</v>
      </c>
      <c r="P1732" s="1180">
        <f>O1726/M!$Q$14</f>
        <v>1.8682020796825551E-3</v>
      </c>
      <c r="Q1732" s="1235"/>
      <c r="R1732" s="1235"/>
      <c r="S1732" s="1235"/>
      <c r="T1732" s="1235"/>
      <c r="U1732" s="1235"/>
      <c r="V1732" s="1235"/>
      <c r="W1732" s="1235"/>
    </row>
    <row r="1733" spans="1:23">
      <c r="A1733" s="2218"/>
      <c r="B1733" s="1176" t="s">
        <v>407</v>
      </c>
      <c r="C1733" s="1228">
        <v>0</v>
      </c>
      <c r="D1733" s="1228">
        <v>0</v>
      </c>
      <c r="E1733" s="1228">
        <v>0</v>
      </c>
      <c r="F1733" s="1228">
        <v>0</v>
      </c>
      <c r="G1733" s="1228">
        <v>0</v>
      </c>
      <c r="H1733" s="1228">
        <v>0</v>
      </c>
      <c r="I1733" s="1229">
        <v>0</v>
      </c>
      <c r="J1733" s="1229">
        <v>0</v>
      </c>
      <c r="K1733" s="1229">
        <v>0</v>
      </c>
      <c r="L1733" s="1229">
        <v>0</v>
      </c>
      <c r="M1733" s="1229">
        <v>0</v>
      </c>
      <c r="N1733" s="1229">
        <v>0</v>
      </c>
      <c r="O1733" s="1179">
        <f t="shared" si="411"/>
        <v>0</v>
      </c>
      <c r="P1733" s="1180">
        <f>O1727/M!$Q$14</f>
        <v>0</v>
      </c>
      <c r="Q1733" s="1235"/>
      <c r="R1733" s="1235"/>
      <c r="S1733" s="1235"/>
      <c r="T1733" s="1235"/>
      <c r="U1733" s="1235"/>
      <c r="V1733" s="1235"/>
      <c r="W1733" s="1235"/>
    </row>
    <row r="1734" spans="1:23">
      <c r="A1734" s="2218"/>
      <c r="B1734" s="1176" t="s">
        <v>408</v>
      </c>
      <c r="C1734" s="1228">
        <v>0</v>
      </c>
      <c r="D1734" s="1228">
        <v>0</v>
      </c>
      <c r="E1734" s="1228">
        <v>0</v>
      </c>
      <c r="F1734" s="1228">
        <v>0</v>
      </c>
      <c r="G1734" s="1228">
        <v>0</v>
      </c>
      <c r="H1734" s="1228">
        <v>0</v>
      </c>
      <c r="I1734" s="1229">
        <v>43</v>
      </c>
      <c r="J1734" s="1229">
        <v>0</v>
      </c>
      <c r="K1734" s="1229">
        <v>0</v>
      </c>
      <c r="L1734" s="1229">
        <v>0</v>
      </c>
      <c r="M1734" s="1229">
        <v>412</v>
      </c>
      <c r="N1734" s="1229">
        <v>0</v>
      </c>
      <c r="O1734" s="1179">
        <f t="shared" si="411"/>
        <v>37.916666666666664</v>
      </c>
      <c r="P1734" s="2205">
        <f>O1728/M!$Q$14</f>
        <v>0.1793025627996129</v>
      </c>
      <c r="Q1734" s="1235"/>
      <c r="R1734" s="1235"/>
      <c r="S1734" s="1235"/>
      <c r="T1734" s="1235"/>
      <c r="U1734" s="1235"/>
      <c r="V1734" s="1235"/>
      <c r="W1734" s="1235"/>
    </row>
    <row r="1735" spans="1:23">
      <c r="A1735" s="2219"/>
      <c r="B1735" s="1176" t="s">
        <v>409</v>
      </c>
      <c r="C1735" s="1228">
        <v>562</v>
      </c>
      <c r="D1735" s="1228">
        <v>0</v>
      </c>
      <c r="E1735" s="1228">
        <v>0</v>
      </c>
      <c r="F1735" s="1228">
        <v>0</v>
      </c>
      <c r="G1735" s="1228">
        <v>0</v>
      </c>
      <c r="H1735" s="1228">
        <v>0</v>
      </c>
      <c r="I1735" s="1229">
        <v>0</v>
      </c>
      <c r="J1735" s="1229">
        <v>0</v>
      </c>
      <c r="K1735" s="1229">
        <v>0</v>
      </c>
      <c r="L1735" s="1229">
        <v>0</v>
      </c>
      <c r="M1735" s="1229">
        <v>0</v>
      </c>
      <c r="N1735" s="1229">
        <v>0</v>
      </c>
      <c r="O1735" s="1179">
        <f t="shared" si="411"/>
        <v>46.833333333333336</v>
      </c>
      <c r="P1735" s="2206"/>
      <c r="Q1735" s="1235"/>
      <c r="R1735" s="1235"/>
      <c r="S1735" s="1235"/>
      <c r="T1735" s="1235"/>
      <c r="U1735" s="1235"/>
      <c r="V1735" s="1235"/>
      <c r="W1735" s="1235"/>
    </row>
    <row r="1736" spans="1:23">
      <c r="A1736" s="2191" t="s">
        <v>277</v>
      </c>
      <c r="B1736" s="2192"/>
      <c r="C1736" s="2203">
        <f t="shared" ref="C1736:N1736" si="412">SUM(C1738:C1741)</f>
        <v>155</v>
      </c>
      <c r="D1736" s="2203">
        <f t="shared" si="412"/>
        <v>220</v>
      </c>
      <c r="E1736" s="2203">
        <f t="shared" si="412"/>
        <v>257</v>
      </c>
      <c r="F1736" s="2203">
        <f t="shared" si="412"/>
        <v>67</v>
      </c>
      <c r="G1736" s="2203">
        <f t="shared" si="412"/>
        <v>214</v>
      </c>
      <c r="H1736" s="2203">
        <f t="shared" si="412"/>
        <v>284</v>
      </c>
      <c r="I1736" s="2203">
        <f t="shared" si="412"/>
        <v>150</v>
      </c>
      <c r="J1736" s="2203">
        <f t="shared" si="412"/>
        <v>179</v>
      </c>
      <c r="K1736" s="2203">
        <f t="shared" si="412"/>
        <v>228</v>
      </c>
      <c r="L1736" s="2203">
        <f t="shared" si="412"/>
        <v>178</v>
      </c>
      <c r="M1736" s="2203">
        <f t="shared" si="412"/>
        <v>210</v>
      </c>
      <c r="N1736" s="2203">
        <f t="shared" si="412"/>
        <v>129</v>
      </c>
      <c r="O1736" s="2203">
        <f>SUM(O1738:O1741)</f>
        <v>189.25</v>
      </c>
      <c r="P1736" s="1180">
        <f>O1730/M!$Q$14</f>
        <v>0.15395479698247999</v>
      </c>
      <c r="Q1736" s="1235"/>
      <c r="R1736" s="1235"/>
      <c r="S1736" s="1235"/>
      <c r="T1736" s="1235"/>
      <c r="U1736" s="1235"/>
      <c r="V1736" s="1235"/>
      <c r="W1736" s="1235"/>
    </row>
    <row r="1737" spans="1:23">
      <c r="A1737" s="2193"/>
      <c r="B1737" s="2194"/>
      <c r="C1737" s="2204"/>
      <c r="D1737" s="2204"/>
      <c r="E1737" s="2204"/>
      <c r="F1737" s="2204"/>
      <c r="G1737" s="2204"/>
      <c r="H1737" s="2204"/>
      <c r="I1737" s="2204"/>
      <c r="J1737" s="2204"/>
      <c r="K1737" s="2204"/>
      <c r="L1737" s="2204"/>
      <c r="M1737" s="2204"/>
      <c r="N1737" s="2204"/>
      <c r="O1737" s="2204"/>
      <c r="P1737" s="1180">
        <f>O1731/M!$Q$14</f>
        <v>1.4960562254097903E-2</v>
      </c>
      <c r="Q1737" s="1235"/>
      <c r="R1737" s="1235"/>
      <c r="S1737" s="1235"/>
      <c r="T1737" s="1235"/>
      <c r="U1737" s="1235"/>
      <c r="V1737" s="1235"/>
      <c r="W1737" s="1235"/>
    </row>
    <row r="1738" spans="1:23">
      <c r="A1738" s="2217"/>
      <c r="B1738" s="1176" t="s">
        <v>410</v>
      </c>
      <c r="C1738" s="1228">
        <v>125</v>
      </c>
      <c r="D1738" s="1228">
        <v>190</v>
      </c>
      <c r="E1738" s="1228">
        <v>227</v>
      </c>
      <c r="F1738" s="1228">
        <v>57</v>
      </c>
      <c r="G1738" s="1228">
        <v>184</v>
      </c>
      <c r="H1738" s="1228">
        <v>254</v>
      </c>
      <c r="I1738" s="1229">
        <v>150</v>
      </c>
      <c r="J1738" s="1229">
        <v>167</v>
      </c>
      <c r="K1738" s="1229">
        <v>191</v>
      </c>
      <c r="L1738" s="1229">
        <v>178</v>
      </c>
      <c r="M1738" s="1229">
        <v>210</v>
      </c>
      <c r="N1738" s="1229">
        <v>129</v>
      </c>
      <c r="O1738" s="1179">
        <f>SUM(C1738:N1738)/12</f>
        <v>171.83333333333334</v>
      </c>
      <c r="P1738" s="1180">
        <f>O1732/M!$Q$14</f>
        <v>2.7873575028863722E-3</v>
      </c>
      <c r="Q1738" s="1235"/>
      <c r="R1738" s="1235"/>
      <c r="S1738" s="1235"/>
      <c r="T1738" s="1235"/>
      <c r="U1738" s="1235"/>
      <c r="V1738" s="1235"/>
      <c r="W1738" s="1235"/>
    </row>
    <row r="1739" spans="1:23">
      <c r="A1739" s="2218"/>
      <c r="B1739" s="1176" t="s">
        <v>457</v>
      </c>
      <c r="C1739" s="1228">
        <v>0</v>
      </c>
      <c r="D1739" s="1228">
        <v>0</v>
      </c>
      <c r="E1739" s="1228">
        <v>0</v>
      </c>
      <c r="F1739" s="1228">
        <v>0</v>
      </c>
      <c r="G1739" s="1228">
        <v>0</v>
      </c>
      <c r="H1739" s="1228">
        <v>0</v>
      </c>
      <c r="I1739" s="1229">
        <v>0</v>
      </c>
      <c r="J1739" s="1229">
        <v>0</v>
      </c>
      <c r="K1739" s="1229">
        <v>0</v>
      </c>
      <c r="L1739" s="1229">
        <v>0</v>
      </c>
      <c r="M1739" s="1229">
        <v>0</v>
      </c>
      <c r="N1739" s="1229">
        <v>0</v>
      </c>
      <c r="O1739" s="1179">
        <f>SUM(C1739:N1739)/12</f>
        <v>0</v>
      </c>
      <c r="P1739" s="1180">
        <f>O1733/M!$Q$14</f>
        <v>0</v>
      </c>
      <c r="Q1739" s="1235"/>
      <c r="R1739" s="1235"/>
      <c r="S1739" s="1235"/>
      <c r="T1739" s="1235"/>
      <c r="U1739" s="1235"/>
      <c r="V1739" s="1235"/>
      <c r="W1739" s="1235"/>
    </row>
    <row r="1740" spans="1:23">
      <c r="A1740" s="2218"/>
      <c r="B1740" s="1176" t="s">
        <v>458</v>
      </c>
      <c r="C1740" s="1228">
        <v>0</v>
      </c>
      <c r="D1740" s="1228">
        <v>0</v>
      </c>
      <c r="E1740" s="1228">
        <v>0</v>
      </c>
      <c r="F1740" s="1228">
        <v>0</v>
      </c>
      <c r="G1740" s="1228">
        <v>0</v>
      </c>
      <c r="H1740" s="1228">
        <v>0</v>
      </c>
      <c r="I1740" s="1229">
        <v>0</v>
      </c>
      <c r="J1740" s="1229">
        <v>12</v>
      </c>
      <c r="K1740" s="1229">
        <v>12</v>
      </c>
      <c r="L1740" s="1229">
        <v>0</v>
      </c>
      <c r="M1740" s="1229">
        <v>0</v>
      </c>
      <c r="N1740" s="1229">
        <v>0</v>
      </c>
      <c r="O1740" s="1179">
        <f>SUM(C1740:N1740)/12</f>
        <v>2</v>
      </c>
      <c r="P1740" s="1180">
        <f>O1734/M!$Q$14</f>
        <v>3.4001277850222501E-3</v>
      </c>
      <c r="Q1740" s="1235"/>
      <c r="R1740" s="1235"/>
      <c r="S1740" s="1235"/>
      <c r="T1740" s="1235"/>
      <c r="U1740" s="1235"/>
      <c r="V1740" s="1235"/>
      <c r="W1740" s="1235"/>
    </row>
    <row r="1741" spans="1:23">
      <c r="A1741" s="2219"/>
      <c r="B1741" s="1176" t="s">
        <v>459</v>
      </c>
      <c r="C1741" s="1228">
        <v>30</v>
      </c>
      <c r="D1741" s="1228">
        <v>30</v>
      </c>
      <c r="E1741" s="1228">
        <v>30</v>
      </c>
      <c r="F1741" s="1228">
        <v>10</v>
      </c>
      <c r="G1741" s="1228">
        <v>30</v>
      </c>
      <c r="H1741" s="1228">
        <v>30</v>
      </c>
      <c r="I1741" s="1229">
        <v>0</v>
      </c>
      <c r="J1741" s="1229">
        <v>0</v>
      </c>
      <c r="K1741" s="1229">
        <v>25</v>
      </c>
      <c r="L1741" s="1229">
        <v>0</v>
      </c>
      <c r="M1741" s="1229">
        <v>0</v>
      </c>
      <c r="N1741" s="1229">
        <v>0</v>
      </c>
      <c r="O1741" s="1179">
        <f>SUM(C1741:N1741)/12</f>
        <v>15.416666666666666</v>
      </c>
      <c r="P1741" s="1180">
        <f>O1735/M!$Q$14</f>
        <v>4.1997182751263842E-3</v>
      </c>
      <c r="Q1741" s="1235"/>
      <c r="R1741" s="1235"/>
      <c r="S1741" s="1235"/>
      <c r="T1741" s="1235"/>
      <c r="U1741" s="1235"/>
      <c r="V1741" s="1235"/>
      <c r="W1741" s="1235"/>
    </row>
    <row r="1742" spans="1:23">
      <c r="A1742" s="2191" t="s">
        <v>278</v>
      </c>
      <c r="B1742" s="2192"/>
      <c r="C1742" s="2203">
        <f t="shared" ref="C1742:J1742" si="413">SUM(C1744:C1745)</f>
        <v>367</v>
      </c>
      <c r="D1742" s="2203">
        <f t="shared" si="413"/>
        <v>562</v>
      </c>
      <c r="E1742" s="2203">
        <f t="shared" si="413"/>
        <v>190</v>
      </c>
      <c r="F1742" s="2203">
        <f t="shared" si="413"/>
        <v>103</v>
      </c>
      <c r="G1742" s="2203">
        <f t="shared" si="413"/>
        <v>267</v>
      </c>
      <c r="H1742" s="2203">
        <f t="shared" si="413"/>
        <v>333</v>
      </c>
      <c r="I1742" s="2203">
        <f t="shared" si="413"/>
        <v>412</v>
      </c>
      <c r="J1742" s="2203">
        <f t="shared" si="413"/>
        <v>114</v>
      </c>
      <c r="K1742" s="2203">
        <f>SUM(K1744:K1745)</f>
        <v>312</v>
      </c>
      <c r="L1742" s="2203">
        <f>SUM(L1744:L1745)</f>
        <v>187</v>
      </c>
      <c r="M1742" s="2203">
        <f>SUM(M1744:M1745)</f>
        <v>290</v>
      </c>
      <c r="N1742" s="2203">
        <f>SUM(N1744:N1745)</f>
        <v>309</v>
      </c>
      <c r="O1742" s="2203">
        <f>SUM(O1744:O1745)</f>
        <v>287.16666666666669</v>
      </c>
      <c r="P1742" s="2205">
        <f>O1736/M!$Q$14</f>
        <v>1.6970747691836333E-2</v>
      </c>
      <c r="Q1742" s="1235"/>
      <c r="R1742" s="1235"/>
      <c r="S1742" s="1235"/>
      <c r="T1742" s="1235"/>
      <c r="U1742" s="1235"/>
      <c r="V1742" s="1235"/>
      <c r="W1742" s="1235"/>
    </row>
    <row r="1743" spans="1:23">
      <c r="A1743" s="2193"/>
      <c r="B1743" s="2194"/>
      <c r="C1743" s="2204"/>
      <c r="D1743" s="2204"/>
      <c r="E1743" s="2204"/>
      <c r="F1743" s="2204"/>
      <c r="G1743" s="2204"/>
      <c r="H1743" s="2204"/>
      <c r="I1743" s="2204"/>
      <c r="J1743" s="2204"/>
      <c r="K1743" s="2204"/>
      <c r="L1743" s="2204"/>
      <c r="M1743" s="2204"/>
      <c r="N1743" s="2204"/>
      <c r="O1743" s="2204"/>
      <c r="P1743" s="2206"/>
      <c r="Q1743" s="1235"/>
      <c r="R1743" s="1235"/>
      <c r="S1743" s="1235"/>
      <c r="T1743" s="1235"/>
      <c r="U1743" s="1235"/>
      <c r="V1743" s="1235"/>
      <c r="W1743" s="1235"/>
    </row>
    <row r="1744" spans="1:23">
      <c r="A1744" s="2217"/>
      <c r="B1744" s="1176" t="s">
        <v>414</v>
      </c>
      <c r="C1744" s="1228">
        <v>284</v>
      </c>
      <c r="D1744" s="1228">
        <v>330</v>
      </c>
      <c r="E1744" s="1228">
        <v>157</v>
      </c>
      <c r="F1744" s="1228">
        <v>58</v>
      </c>
      <c r="G1744" s="1228">
        <v>210</v>
      </c>
      <c r="H1744" s="1228">
        <v>266</v>
      </c>
      <c r="I1744" s="1229">
        <v>408</v>
      </c>
      <c r="J1744" s="1229">
        <v>96</v>
      </c>
      <c r="K1744" s="1229">
        <v>280</v>
      </c>
      <c r="L1744" s="1229">
        <v>138</v>
      </c>
      <c r="M1744" s="1229">
        <v>268</v>
      </c>
      <c r="N1744" s="1229">
        <v>232</v>
      </c>
      <c r="O1744" s="1179">
        <f>SUM(C1744:N1744)/12</f>
        <v>227.25</v>
      </c>
      <c r="P1744" s="1180">
        <f>O1738/M!$Q$14</f>
        <v>1.5408930753221715E-2</v>
      </c>
      <c r="Q1744" s="1235"/>
      <c r="R1744" s="1235"/>
      <c r="S1744" s="1235"/>
      <c r="T1744" s="1235"/>
      <c r="U1744" s="1235"/>
      <c r="V1744" s="1235"/>
      <c r="W1744" s="1235"/>
    </row>
    <row r="1745" spans="1:23">
      <c r="A1745" s="2219"/>
      <c r="B1745" s="1176" t="s">
        <v>278</v>
      </c>
      <c r="C1745" s="1228">
        <v>83</v>
      </c>
      <c r="D1745" s="1228">
        <v>232</v>
      </c>
      <c r="E1745" s="1228">
        <v>33</v>
      </c>
      <c r="F1745" s="1228">
        <v>45</v>
      </c>
      <c r="G1745" s="1228">
        <v>57</v>
      </c>
      <c r="H1745" s="1228">
        <v>67</v>
      </c>
      <c r="I1745" s="1229">
        <v>4</v>
      </c>
      <c r="J1745" s="1229">
        <v>18</v>
      </c>
      <c r="K1745" s="1229">
        <v>32</v>
      </c>
      <c r="L1745" s="1229">
        <v>49</v>
      </c>
      <c r="M1745" s="1229">
        <v>22</v>
      </c>
      <c r="N1745" s="1229">
        <v>77</v>
      </c>
      <c r="O1745" s="1179">
        <f>SUM(C1745:N1745)/12</f>
        <v>59.916666666666664</v>
      </c>
      <c r="P1745" s="1180">
        <f>O1739/M!$Q$14</f>
        <v>0</v>
      </c>
      <c r="Q1745" s="1235"/>
      <c r="R1745" s="1235"/>
      <c r="S1745" s="1235"/>
      <c r="T1745" s="1235"/>
      <c r="U1745" s="1235"/>
      <c r="V1745" s="1235"/>
      <c r="W1745" s="1235"/>
    </row>
    <row r="1746" spans="1:23">
      <c r="A1746" s="2191" t="s">
        <v>279</v>
      </c>
      <c r="B1746" s="2192"/>
      <c r="C1746" s="2203">
        <f t="shared" ref="C1746:N1746" si="414">SUM(C1748:C1755)</f>
        <v>356</v>
      </c>
      <c r="D1746" s="2203">
        <f t="shared" si="414"/>
        <v>381</v>
      </c>
      <c r="E1746" s="2203">
        <f t="shared" si="414"/>
        <v>374</v>
      </c>
      <c r="F1746" s="2203">
        <f t="shared" si="414"/>
        <v>273</v>
      </c>
      <c r="G1746" s="2203">
        <f t="shared" si="414"/>
        <v>318</v>
      </c>
      <c r="H1746" s="2203">
        <f t="shared" si="414"/>
        <v>343</v>
      </c>
      <c r="I1746" s="2203">
        <f t="shared" si="414"/>
        <v>368</v>
      </c>
      <c r="J1746" s="2203">
        <f t="shared" si="414"/>
        <v>371</v>
      </c>
      <c r="K1746" s="2203">
        <f t="shared" si="414"/>
        <v>370</v>
      </c>
      <c r="L1746" s="2203">
        <f t="shared" si="414"/>
        <v>360</v>
      </c>
      <c r="M1746" s="2203">
        <f t="shared" si="414"/>
        <v>402</v>
      </c>
      <c r="N1746" s="2203">
        <f t="shared" si="414"/>
        <v>455</v>
      </c>
      <c r="O1746" s="2203">
        <f>SUM(O1748:O1755)</f>
        <v>364.24999999999994</v>
      </c>
      <c r="P1746" s="1180">
        <f>O1740/M!$Q$14</f>
        <v>1.7934739964952531E-4</v>
      </c>
      <c r="Q1746" s="1235"/>
      <c r="R1746" s="1235"/>
      <c r="S1746" s="1235"/>
      <c r="T1746" s="1235"/>
      <c r="U1746" s="1235"/>
      <c r="V1746" s="1235"/>
      <c r="W1746" s="1235"/>
    </row>
    <row r="1747" spans="1:23">
      <c r="A1747" s="2193"/>
      <c r="B1747" s="2194"/>
      <c r="C1747" s="2204"/>
      <c r="D1747" s="2204"/>
      <c r="E1747" s="2204"/>
      <c r="F1747" s="2204"/>
      <c r="G1747" s="2204"/>
      <c r="H1747" s="2204"/>
      <c r="I1747" s="2204"/>
      <c r="J1747" s="2204"/>
      <c r="K1747" s="2204"/>
      <c r="L1747" s="2204"/>
      <c r="M1747" s="2204"/>
      <c r="N1747" s="2204"/>
      <c r="O1747" s="2204"/>
      <c r="P1747" s="1180">
        <f>O1741/M!$Q$14</f>
        <v>1.3824695389650908E-3</v>
      </c>
      <c r="Q1747" s="1235"/>
      <c r="R1747" s="1235"/>
      <c r="S1747" s="1235"/>
      <c r="T1747" s="1235"/>
      <c r="U1747" s="1235"/>
      <c r="V1747" s="1235"/>
      <c r="W1747" s="1235"/>
    </row>
    <row r="1748" spans="1:23">
      <c r="A1748" s="2217"/>
      <c r="B1748" s="1176" t="s">
        <v>415</v>
      </c>
      <c r="C1748" s="1228">
        <v>45</v>
      </c>
      <c r="D1748" s="1228">
        <v>48</v>
      </c>
      <c r="E1748" s="1228">
        <v>54</v>
      </c>
      <c r="F1748" s="1228">
        <v>43</v>
      </c>
      <c r="G1748" s="1228">
        <v>43</v>
      </c>
      <c r="H1748" s="1228">
        <v>72</v>
      </c>
      <c r="I1748" s="1229">
        <v>108</v>
      </c>
      <c r="J1748" s="1229">
        <v>56</v>
      </c>
      <c r="K1748" s="1229">
        <v>66</v>
      </c>
      <c r="L1748" s="1229">
        <v>57</v>
      </c>
      <c r="M1748" s="1229">
        <v>76</v>
      </c>
      <c r="N1748" s="1229">
        <v>77</v>
      </c>
      <c r="O1748" s="1179">
        <f t="shared" ref="O1748:O1755" si="415">SUM(C1748:N1748)/12</f>
        <v>62.083333333333336</v>
      </c>
      <c r="P1748" s="2205">
        <f>O1742/M!$Q$14</f>
        <v>2.5751297466344341E-2</v>
      </c>
      <c r="Q1748" s="1235"/>
      <c r="R1748" s="1235"/>
      <c r="S1748" s="1235"/>
      <c r="T1748" s="1235"/>
      <c r="U1748" s="1235"/>
      <c r="V1748" s="1235"/>
      <c r="W1748" s="1235"/>
    </row>
    <row r="1749" spans="1:23">
      <c r="A1749" s="2218"/>
      <c r="B1749" s="1176" t="s">
        <v>416</v>
      </c>
      <c r="C1749" s="1182">
        <v>0</v>
      </c>
      <c r="D1749" s="1182">
        <v>0</v>
      </c>
      <c r="E1749" s="1182">
        <v>0</v>
      </c>
      <c r="F1749" s="1182">
        <v>0</v>
      </c>
      <c r="G1749" s="1182">
        <v>0</v>
      </c>
      <c r="H1749" s="1182">
        <v>0</v>
      </c>
      <c r="I1749" s="1182">
        <v>0</v>
      </c>
      <c r="J1749" s="1182">
        <v>0</v>
      </c>
      <c r="K1749" s="1182">
        <v>0</v>
      </c>
      <c r="L1749" s="1182">
        <v>0</v>
      </c>
      <c r="M1749" s="1182">
        <v>0</v>
      </c>
      <c r="N1749" s="1182">
        <v>0</v>
      </c>
      <c r="O1749" s="1179">
        <f t="shared" si="415"/>
        <v>0</v>
      </c>
      <c r="P1749" s="2206"/>
      <c r="Q1749" s="1235"/>
      <c r="R1749" s="1235"/>
      <c r="S1749" s="1235"/>
      <c r="T1749" s="1235"/>
      <c r="U1749" s="1235"/>
      <c r="V1749" s="1235"/>
      <c r="W1749" s="1235"/>
    </row>
    <row r="1750" spans="1:23">
      <c r="A1750" s="2218"/>
      <c r="B1750" s="1176" t="s">
        <v>417</v>
      </c>
      <c r="C1750" s="1182">
        <v>0</v>
      </c>
      <c r="D1750" s="1182">
        <v>0</v>
      </c>
      <c r="E1750" s="1182">
        <v>0</v>
      </c>
      <c r="F1750" s="1182">
        <v>0</v>
      </c>
      <c r="G1750" s="1182">
        <v>0</v>
      </c>
      <c r="H1750" s="1182">
        <v>0</v>
      </c>
      <c r="I1750" s="1182">
        <v>0</v>
      </c>
      <c r="J1750" s="1182">
        <v>0</v>
      </c>
      <c r="K1750" s="1182">
        <v>0</v>
      </c>
      <c r="L1750" s="1182">
        <v>0</v>
      </c>
      <c r="M1750" s="1182">
        <v>0</v>
      </c>
      <c r="N1750" s="1182">
        <v>0</v>
      </c>
      <c r="O1750" s="1179">
        <f t="shared" si="415"/>
        <v>0</v>
      </c>
      <c r="P1750" s="1180">
        <f>O1744/M!$Q$14</f>
        <v>2.0378348285177313E-2</v>
      </c>
      <c r="Q1750" s="1235"/>
      <c r="R1750" s="1235"/>
      <c r="S1750" s="1235"/>
      <c r="T1750" s="1235"/>
      <c r="U1750" s="1235"/>
      <c r="V1750" s="1235"/>
      <c r="W1750" s="1235"/>
    </row>
    <row r="1751" spans="1:23">
      <c r="A1751" s="2218"/>
      <c r="B1751" s="1176" t="s">
        <v>410</v>
      </c>
      <c r="C1751" s="1228">
        <v>70</v>
      </c>
      <c r="D1751" s="1228">
        <v>55</v>
      </c>
      <c r="E1751" s="1228">
        <v>70</v>
      </c>
      <c r="F1751" s="1228">
        <v>70</v>
      </c>
      <c r="G1751" s="1228">
        <v>70</v>
      </c>
      <c r="H1751" s="1228">
        <v>70</v>
      </c>
      <c r="I1751" s="1229">
        <v>42</v>
      </c>
      <c r="J1751" s="1229">
        <v>37</v>
      </c>
      <c r="K1751" s="1229">
        <v>39</v>
      </c>
      <c r="L1751" s="1229">
        <v>50</v>
      </c>
      <c r="M1751" s="1229">
        <v>74</v>
      </c>
      <c r="N1751" s="1229">
        <v>138</v>
      </c>
      <c r="O1751" s="1179">
        <f t="shared" si="415"/>
        <v>65.416666666666671</v>
      </c>
      <c r="P1751" s="1180">
        <f>O1745/M!$Q$14</f>
        <v>5.3729491811670286E-3</v>
      </c>
      <c r="Q1751" s="1235"/>
      <c r="R1751" s="1235"/>
      <c r="S1751" s="1235"/>
      <c r="T1751" s="1235"/>
      <c r="U1751" s="1235"/>
      <c r="V1751" s="1235"/>
      <c r="W1751" s="1235"/>
    </row>
    <row r="1752" spans="1:23">
      <c r="A1752" s="2218"/>
      <c r="B1752" s="1176" t="s">
        <v>418</v>
      </c>
      <c r="C1752" s="1228">
        <v>40</v>
      </c>
      <c r="D1752" s="1228">
        <v>40</v>
      </c>
      <c r="E1752" s="1228">
        <v>40</v>
      </c>
      <c r="F1752" s="1228">
        <v>40</v>
      </c>
      <c r="G1752" s="1228">
        <v>40</v>
      </c>
      <c r="H1752" s="1228">
        <v>45</v>
      </c>
      <c r="I1752" s="1229">
        <v>55</v>
      </c>
      <c r="J1752" s="1229">
        <v>120</v>
      </c>
      <c r="K1752" s="1229">
        <v>115</v>
      </c>
      <c r="L1752" s="1229">
        <v>110</v>
      </c>
      <c r="M1752" s="1229">
        <v>105</v>
      </c>
      <c r="N1752" s="1229">
        <v>105</v>
      </c>
      <c r="O1752" s="1179">
        <f t="shared" si="415"/>
        <v>71.25</v>
      </c>
      <c r="P1752" s="2205">
        <f>O1746/M!$Q$14</f>
        <v>3.2663645161169791E-2</v>
      </c>
      <c r="Q1752" s="1235"/>
      <c r="R1752" s="1235"/>
      <c r="S1752" s="1235"/>
      <c r="T1752" s="1235"/>
      <c r="U1752" s="1235"/>
      <c r="V1752" s="1235"/>
      <c r="W1752" s="1235"/>
    </row>
    <row r="1753" spans="1:23">
      <c r="A1753" s="2218"/>
      <c r="B1753" s="1176" t="s">
        <v>419</v>
      </c>
      <c r="C1753" s="1228">
        <v>30</v>
      </c>
      <c r="D1753" s="1228">
        <v>30</v>
      </c>
      <c r="E1753" s="1228">
        <v>30</v>
      </c>
      <c r="F1753" s="1228">
        <v>30</v>
      </c>
      <c r="G1753" s="1228">
        <v>30</v>
      </c>
      <c r="H1753" s="1228">
        <v>30</v>
      </c>
      <c r="I1753" s="1229">
        <v>20</v>
      </c>
      <c r="J1753" s="1229">
        <v>20</v>
      </c>
      <c r="K1753" s="1229">
        <v>31</v>
      </c>
      <c r="L1753" s="1229">
        <v>30</v>
      </c>
      <c r="M1753" s="1229">
        <v>30</v>
      </c>
      <c r="N1753" s="1229">
        <v>30</v>
      </c>
      <c r="O1753" s="1179">
        <f t="shared" si="415"/>
        <v>28.416666666666668</v>
      </c>
      <c r="P1753" s="2206"/>
      <c r="Q1753" s="1235"/>
      <c r="R1753" s="1235"/>
      <c r="S1753" s="1235"/>
      <c r="T1753" s="1235"/>
      <c r="U1753" s="1235"/>
      <c r="V1753" s="1235"/>
      <c r="W1753" s="1235"/>
    </row>
    <row r="1754" spans="1:23">
      <c r="A1754" s="2218"/>
      <c r="B1754" s="1176" t="s">
        <v>460</v>
      </c>
      <c r="C1754" s="1228">
        <v>91</v>
      </c>
      <c r="D1754" s="1228">
        <v>128</v>
      </c>
      <c r="E1754" s="1228">
        <v>100</v>
      </c>
      <c r="F1754" s="1228">
        <v>10</v>
      </c>
      <c r="G1754" s="1228">
        <v>55</v>
      </c>
      <c r="H1754" s="1228">
        <v>6</v>
      </c>
      <c r="I1754" s="1229">
        <v>63</v>
      </c>
      <c r="J1754" s="1229">
        <v>68</v>
      </c>
      <c r="K1754" s="1229">
        <v>56</v>
      </c>
      <c r="L1754" s="1229">
        <v>49</v>
      </c>
      <c r="M1754" s="1229">
        <v>49</v>
      </c>
      <c r="N1754" s="1229">
        <v>30</v>
      </c>
      <c r="O1754" s="1179">
        <f t="shared" si="415"/>
        <v>58.75</v>
      </c>
      <c r="P1754" s="1180">
        <f>O1748/M!$Q$14</f>
        <v>5.567242197454015E-3</v>
      </c>
      <c r="Q1754" s="1235"/>
      <c r="R1754" s="1235"/>
      <c r="S1754" s="1235"/>
      <c r="T1754" s="1235"/>
      <c r="U1754" s="1235"/>
      <c r="V1754" s="1235"/>
      <c r="W1754" s="1235"/>
    </row>
    <row r="1755" spans="1:23">
      <c r="A1755" s="2219"/>
      <c r="B1755" s="1176" t="s">
        <v>421</v>
      </c>
      <c r="C1755" s="1228">
        <v>80</v>
      </c>
      <c r="D1755" s="1228">
        <v>80</v>
      </c>
      <c r="E1755" s="1228">
        <v>80</v>
      </c>
      <c r="F1755" s="1228">
        <v>80</v>
      </c>
      <c r="G1755" s="1228">
        <v>80</v>
      </c>
      <c r="H1755" s="1228">
        <v>120</v>
      </c>
      <c r="I1755" s="1229">
        <v>80</v>
      </c>
      <c r="J1755" s="1229">
        <v>70</v>
      </c>
      <c r="K1755" s="1229">
        <v>63</v>
      </c>
      <c r="L1755" s="1229">
        <v>64</v>
      </c>
      <c r="M1755" s="1229">
        <v>68</v>
      </c>
      <c r="N1755" s="1229">
        <v>75</v>
      </c>
      <c r="O1755" s="1179">
        <f t="shared" si="415"/>
        <v>78.333333333333329</v>
      </c>
      <c r="P1755" s="1180">
        <f>O1749/M!$Q$14</f>
        <v>0</v>
      </c>
      <c r="Q1755" s="1235"/>
      <c r="R1755" s="1235"/>
      <c r="S1755" s="1235"/>
      <c r="T1755" s="1235"/>
      <c r="U1755" s="1235"/>
      <c r="V1755" s="1235"/>
      <c r="W1755" s="1235"/>
    </row>
    <row r="1756" spans="1:23">
      <c r="A1756" s="2191" t="s">
        <v>280</v>
      </c>
      <c r="B1756" s="2192"/>
      <c r="C1756" s="2203">
        <f t="shared" ref="C1756:O1756" si="416">SUM(C1758:C1764)</f>
        <v>750</v>
      </c>
      <c r="D1756" s="2203">
        <f t="shared" si="416"/>
        <v>616</v>
      </c>
      <c r="E1756" s="2203">
        <f t="shared" si="416"/>
        <v>1313</v>
      </c>
      <c r="F1756" s="2203">
        <f t="shared" si="416"/>
        <v>258</v>
      </c>
      <c r="G1756" s="2203">
        <f t="shared" si="416"/>
        <v>1660</v>
      </c>
      <c r="H1756" s="2203">
        <f t="shared" si="416"/>
        <v>3208</v>
      </c>
      <c r="I1756" s="2203">
        <f t="shared" si="416"/>
        <v>1166</v>
      </c>
      <c r="J1756" s="2203">
        <f t="shared" si="416"/>
        <v>141</v>
      </c>
      <c r="K1756" s="2203">
        <f t="shared" si="416"/>
        <v>208</v>
      </c>
      <c r="L1756" s="2203">
        <f t="shared" si="416"/>
        <v>385</v>
      </c>
      <c r="M1756" s="2203">
        <f t="shared" si="416"/>
        <v>414</v>
      </c>
      <c r="N1756" s="2203">
        <f t="shared" si="416"/>
        <v>516</v>
      </c>
      <c r="O1756" s="2203">
        <f t="shared" si="416"/>
        <v>886.25</v>
      </c>
      <c r="P1756" s="1180">
        <f>O1750/M!$Q$14</f>
        <v>0</v>
      </c>
      <c r="Q1756" s="1235"/>
      <c r="R1756" s="1235"/>
      <c r="S1756" s="1235"/>
      <c r="T1756" s="1235"/>
      <c r="U1756" s="1235"/>
      <c r="V1756" s="1235"/>
      <c r="W1756" s="1235"/>
    </row>
    <row r="1757" spans="1:23">
      <c r="A1757" s="2193"/>
      <c r="B1757" s="2194"/>
      <c r="C1757" s="2204"/>
      <c r="D1757" s="2204"/>
      <c r="E1757" s="2204"/>
      <c r="F1757" s="2204"/>
      <c r="G1757" s="2204"/>
      <c r="H1757" s="2204"/>
      <c r="I1757" s="2204"/>
      <c r="J1757" s="2204"/>
      <c r="K1757" s="2204"/>
      <c r="L1757" s="2204"/>
      <c r="M1757" s="2204"/>
      <c r="N1757" s="2204"/>
      <c r="O1757" s="2204"/>
      <c r="P1757" s="1180">
        <f>O1751/M!$Q$14</f>
        <v>5.8661545302032235E-3</v>
      </c>
      <c r="Q1757" s="1235"/>
      <c r="R1757" s="1235"/>
      <c r="S1757" s="1235"/>
      <c r="T1757" s="1235"/>
      <c r="U1757" s="1235"/>
      <c r="V1757" s="1235"/>
      <c r="W1757" s="1235"/>
    </row>
    <row r="1758" spans="1:23">
      <c r="A1758" s="2217"/>
      <c r="B1758" s="1176" t="s">
        <v>280</v>
      </c>
      <c r="C1758" s="1228">
        <v>403</v>
      </c>
      <c r="D1758" s="1228">
        <v>68</v>
      </c>
      <c r="E1758" s="1228">
        <v>207</v>
      </c>
      <c r="F1758" s="1228">
        <v>118</v>
      </c>
      <c r="G1758" s="1228">
        <v>77</v>
      </c>
      <c r="H1758" s="1228">
        <v>729</v>
      </c>
      <c r="I1758" s="1229">
        <v>251</v>
      </c>
      <c r="J1758" s="1229">
        <v>50</v>
      </c>
      <c r="K1758" s="1229">
        <v>41</v>
      </c>
      <c r="L1758" s="1229">
        <v>201</v>
      </c>
      <c r="M1758" s="1229">
        <v>156</v>
      </c>
      <c r="N1758" s="1229">
        <v>223</v>
      </c>
      <c r="O1758" s="1179">
        <f t="shared" ref="O1758:O1764" si="417">SUM(C1758:N1758)/12</f>
        <v>210.33333333333334</v>
      </c>
      <c r="P1758" s="1180">
        <f>O1752/M!$Q$14</f>
        <v>6.3892511125143384E-3</v>
      </c>
      <c r="Q1758" s="1235"/>
      <c r="R1758" s="1235"/>
      <c r="S1758" s="1235"/>
      <c r="T1758" s="1235"/>
      <c r="U1758" s="1235"/>
      <c r="V1758" s="1235"/>
      <c r="W1758" s="1235"/>
    </row>
    <row r="1759" spans="1:23">
      <c r="A1759" s="2218"/>
      <c r="B1759" s="1176" t="s">
        <v>423</v>
      </c>
      <c r="C1759" s="1228">
        <v>0</v>
      </c>
      <c r="D1759" s="1228">
        <v>194</v>
      </c>
      <c r="E1759" s="1228">
        <v>0</v>
      </c>
      <c r="F1759" s="1228">
        <v>0</v>
      </c>
      <c r="G1759" s="1228">
        <v>0</v>
      </c>
      <c r="H1759" s="1228">
        <v>30</v>
      </c>
      <c r="I1759" s="1229">
        <v>0</v>
      </c>
      <c r="J1759" s="1229">
        <v>0</v>
      </c>
      <c r="K1759" s="1229">
        <v>20</v>
      </c>
      <c r="L1759" s="1229">
        <v>84</v>
      </c>
      <c r="M1759" s="1229">
        <v>5</v>
      </c>
      <c r="N1759" s="1229">
        <v>190</v>
      </c>
      <c r="O1759" s="1179">
        <f t="shared" si="417"/>
        <v>43.583333333333336</v>
      </c>
      <c r="P1759" s="1180">
        <f>O1753/M!$Q$14</f>
        <v>2.5482276366870053E-3</v>
      </c>
      <c r="Q1759" s="1235"/>
      <c r="R1759" s="1235"/>
      <c r="S1759" s="1235"/>
      <c r="T1759" s="1235"/>
      <c r="U1759" s="1235"/>
      <c r="V1759" s="1235"/>
      <c r="W1759" s="1235"/>
    </row>
    <row r="1760" spans="1:23">
      <c r="A1760" s="2218"/>
      <c r="B1760" s="1176" t="s">
        <v>424</v>
      </c>
      <c r="C1760" s="1228">
        <v>0</v>
      </c>
      <c r="D1760" s="1228">
        <v>0</v>
      </c>
      <c r="E1760" s="1228">
        <v>0</v>
      </c>
      <c r="F1760" s="1228">
        <v>0</v>
      </c>
      <c r="G1760" s="1228">
        <v>1500</v>
      </c>
      <c r="H1760" s="1228">
        <v>2360</v>
      </c>
      <c r="I1760" s="1229">
        <v>87</v>
      </c>
      <c r="J1760" s="1229">
        <v>24</v>
      </c>
      <c r="K1760" s="1229">
        <v>0</v>
      </c>
      <c r="L1760" s="1229">
        <v>41</v>
      </c>
      <c r="M1760" s="1229">
        <v>75</v>
      </c>
      <c r="N1760" s="1229">
        <v>0</v>
      </c>
      <c r="O1760" s="1179">
        <f t="shared" si="417"/>
        <v>340.58333333333331</v>
      </c>
      <c r="P1760" s="1180">
        <f>O1754/M!$Q$14</f>
        <v>5.2683298647048056E-3</v>
      </c>
      <c r="Q1760" s="1235"/>
      <c r="R1760" s="1235"/>
      <c r="S1760" s="1235"/>
      <c r="T1760" s="1235"/>
      <c r="U1760" s="1235"/>
      <c r="V1760" s="1235"/>
      <c r="W1760" s="1235"/>
    </row>
    <row r="1761" spans="1:23">
      <c r="A1761" s="2218"/>
      <c r="B1761" s="1176" t="s">
        <v>425</v>
      </c>
      <c r="C1761" s="1228">
        <v>7</v>
      </c>
      <c r="D1761" s="1228">
        <v>0</v>
      </c>
      <c r="E1761" s="1228">
        <v>0</v>
      </c>
      <c r="F1761" s="1228">
        <v>28</v>
      </c>
      <c r="G1761" s="1228">
        <v>0</v>
      </c>
      <c r="H1761" s="1228">
        <v>0</v>
      </c>
      <c r="I1761" s="1229">
        <v>674</v>
      </c>
      <c r="J1761" s="1229">
        <v>0</v>
      </c>
      <c r="K1761" s="1229">
        <v>0</v>
      </c>
      <c r="L1761" s="1229">
        <v>0</v>
      </c>
      <c r="M1761" s="1229">
        <v>0</v>
      </c>
      <c r="N1761" s="1229">
        <v>53</v>
      </c>
      <c r="O1761" s="1179">
        <f t="shared" si="417"/>
        <v>63.5</v>
      </c>
      <c r="P1761" s="1180">
        <f>O1755/M!$Q$14</f>
        <v>7.0244398196064074E-3</v>
      </c>
      <c r="Q1761" s="1235"/>
      <c r="R1761" s="1235"/>
      <c r="S1761" s="1235"/>
      <c r="T1761" s="1235"/>
      <c r="U1761" s="1235"/>
      <c r="V1761" s="1235"/>
      <c r="W1761" s="1235"/>
    </row>
    <row r="1762" spans="1:23">
      <c r="A1762" s="2218"/>
      <c r="B1762" s="1176" t="s">
        <v>667</v>
      </c>
      <c r="C1762" s="1228">
        <v>210</v>
      </c>
      <c r="D1762" s="1228">
        <v>229</v>
      </c>
      <c r="E1762" s="1228">
        <v>911</v>
      </c>
      <c r="F1762" s="1228">
        <v>0</v>
      </c>
      <c r="G1762" s="1228">
        <v>20</v>
      </c>
      <c r="H1762" s="1228">
        <v>45</v>
      </c>
      <c r="I1762" s="1229">
        <v>64</v>
      </c>
      <c r="J1762" s="1229">
        <v>46</v>
      </c>
      <c r="K1762" s="1229">
        <v>8</v>
      </c>
      <c r="L1762" s="1229">
        <v>27</v>
      </c>
      <c r="M1762" s="1229">
        <v>104</v>
      </c>
      <c r="N1762" s="1229">
        <v>0</v>
      </c>
      <c r="O1762" s="1179">
        <f t="shared" si="417"/>
        <v>138.66666666666666</v>
      </c>
      <c r="P1762" s="2205">
        <f>O1756/M!$Q$14</f>
        <v>7.9473316469695895E-2</v>
      </c>
      <c r="Q1762" s="1235"/>
      <c r="R1762" s="1235"/>
      <c r="S1762" s="1235"/>
      <c r="T1762" s="1235"/>
      <c r="U1762" s="1235"/>
      <c r="V1762" s="1235"/>
      <c r="W1762" s="1235"/>
    </row>
    <row r="1763" spans="1:23">
      <c r="A1763" s="2218"/>
      <c r="B1763" s="1176" t="s">
        <v>427</v>
      </c>
      <c r="C1763" s="1228">
        <v>0</v>
      </c>
      <c r="D1763" s="1228">
        <v>0</v>
      </c>
      <c r="E1763" s="1228">
        <v>0</v>
      </c>
      <c r="F1763" s="1228">
        <v>0</v>
      </c>
      <c r="G1763" s="1228">
        <v>0</v>
      </c>
      <c r="H1763" s="1228">
        <v>0</v>
      </c>
      <c r="I1763" s="1229">
        <v>0</v>
      </c>
      <c r="J1763" s="1229">
        <v>0</v>
      </c>
      <c r="K1763" s="1229">
        <v>0</v>
      </c>
      <c r="L1763" s="1229">
        <v>0</v>
      </c>
      <c r="M1763" s="1229">
        <v>0</v>
      </c>
      <c r="N1763" s="1229">
        <v>0</v>
      </c>
      <c r="O1763" s="1179">
        <f t="shared" si="417"/>
        <v>0</v>
      </c>
      <c r="P1763" s="2206"/>
      <c r="Q1763" s="1235"/>
      <c r="R1763" s="1235"/>
      <c r="S1763" s="1235"/>
      <c r="T1763" s="1235"/>
      <c r="U1763" s="1235"/>
      <c r="V1763" s="1235"/>
      <c r="W1763" s="1235"/>
    </row>
    <row r="1764" spans="1:23">
      <c r="A1764" s="2219"/>
      <c r="B1764" s="1176" t="s">
        <v>381</v>
      </c>
      <c r="C1764" s="1228">
        <v>130</v>
      </c>
      <c r="D1764" s="1228">
        <v>125</v>
      </c>
      <c r="E1764" s="1228">
        <v>195</v>
      </c>
      <c r="F1764" s="1228">
        <v>112</v>
      </c>
      <c r="G1764" s="1228">
        <v>63</v>
      </c>
      <c r="H1764" s="1228">
        <v>44</v>
      </c>
      <c r="I1764" s="1229">
        <v>90</v>
      </c>
      <c r="J1764" s="1229">
        <v>21</v>
      </c>
      <c r="K1764" s="1229">
        <v>139</v>
      </c>
      <c r="L1764" s="1229">
        <v>32</v>
      </c>
      <c r="M1764" s="1229">
        <v>74</v>
      </c>
      <c r="N1764" s="1229">
        <v>50</v>
      </c>
      <c r="O1764" s="1179">
        <f t="shared" si="417"/>
        <v>89.583333333333329</v>
      </c>
      <c r="P1764" s="1180">
        <f>O1758/M!$Q$14</f>
        <v>1.8861368196475079E-2</v>
      </c>
      <c r="Q1764" s="1235"/>
      <c r="R1764" s="1235"/>
      <c r="S1764" s="1235"/>
      <c r="T1764" s="1235"/>
      <c r="U1764" s="1235"/>
      <c r="V1764" s="1235"/>
      <c r="W1764" s="1235"/>
    </row>
    <row r="1765" spans="1:23">
      <c r="A1765" s="2191" t="s">
        <v>428</v>
      </c>
      <c r="B1765" s="2192"/>
      <c r="C1765" s="2203">
        <f>SUM(C1767:C1768)</f>
        <v>0</v>
      </c>
      <c r="D1765" s="2203">
        <f t="shared" ref="D1765:N1765" si="418">SUM(D1767:D1768)</f>
        <v>0</v>
      </c>
      <c r="E1765" s="2203">
        <f t="shared" si="418"/>
        <v>0</v>
      </c>
      <c r="F1765" s="2203">
        <f t="shared" si="418"/>
        <v>0</v>
      </c>
      <c r="G1765" s="2203">
        <f t="shared" si="418"/>
        <v>0</v>
      </c>
      <c r="H1765" s="2203">
        <f t="shared" si="418"/>
        <v>0</v>
      </c>
      <c r="I1765" s="2203">
        <f t="shared" si="418"/>
        <v>0</v>
      </c>
      <c r="J1765" s="2203">
        <f t="shared" si="418"/>
        <v>0</v>
      </c>
      <c r="K1765" s="2203">
        <f t="shared" si="418"/>
        <v>0</v>
      </c>
      <c r="L1765" s="2203">
        <f t="shared" si="418"/>
        <v>0</v>
      </c>
      <c r="M1765" s="2203">
        <f t="shared" si="418"/>
        <v>0</v>
      </c>
      <c r="N1765" s="2203">
        <f t="shared" si="418"/>
        <v>0</v>
      </c>
      <c r="O1765" s="2203">
        <f>SUM(O1767:O1768)</f>
        <v>0</v>
      </c>
      <c r="P1765" s="1180">
        <f>O1759/M!$Q$14</f>
        <v>3.9082787506959059E-3</v>
      </c>
      <c r="Q1765" s="1235"/>
      <c r="R1765" s="1235"/>
      <c r="S1765" s="1235"/>
      <c r="T1765" s="1235"/>
      <c r="U1765" s="1235"/>
      <c r="V1765" s="1235"/>
      <c r="W1765" s="1235"/>
    </row>
    <row r="1766" spans="1:23">
      <c r="A1766" s="2193"/>
      <c r="B1766" s="2194"/>
      <c r="C1766" s="2204"/>
      <c r="D1766" s="2204"/>
      <c r="E1766" s="2204"/>
      <c r="F1766" s="2204"/>
      <c r="G1766" s="2204"/>
      <c r="H1766" s="2204"/>
      <c r="I1766" s="2204"/>
      <c r="J1766" s="2204"/>
      <c r="K1766" s="2204"/>
      <c r="L1766" s="2204"/>
      <c r="M1766" s="2204"/>
      <c r="N1766" s="2204"/>
      <c r="O1766" s="2204"/>
      <c r="P1766" s="1180">
        <f>O1760/M!$Q$14</f>
        <v>3.054136759865041E-2</v>
      </c>
      <c r="Q1766" s="1235"/>
      <c r="R1766" s="1235"/>
      <c r="S1766" s="1235"/>
      <c r="T1766" s="1235"/>
      <c r="U1766" s="1235"/>
      <c r="V1766" s="1235"/>
      <c r="W1766" s="1235"/>
    </row>
    <row r="1767" spans="1:23">
      <c r="A1767" s="2217"/>
      <c r="B1767" s="1176" t="s">
        <v>429</v>
      </c>
      <c r="C1767" s="1177">
        <v>0</v>
      </c>
      <c r="D1767" s="1177">
        <v>0</v>
      </c>
      <c r="E1767" s="1177">
        <v>0</v>
      </c>
      <c r="F1767" s="1177">
        <v>0</v>
      </c>
      <c r="G1767" s="1177">
        <v>0</v>
      </c>
      <c r="H1767" s="1177">
        <v>0</v>
      </c>
      <c r="I1767" s="1177">
        <v>0</v>
      </c>
      <c r="J1767" s="1177">
        <v>0</v>
      </c>
      <c r="K1767" s="1177">
        <v>0</v>
      </c>
      <c r="L1767" s="1177">
        <v>0</v>
      </c>
      <c r="M1767" s="1177">
        <v>0</v>
      </c>
      <c r="N1767" s="1177">
        <v>0</v>
      </c>
      <c r="O1767" s="1179">
        <f>SUM(C1767:N1767)/12</f>
        <v>0</v>
      </c>
      <c r="P1767" s="1180">
        <f>O1761/M!$Q$14</f>
        <v>5.6942799388724286E-3</v>
      </c>
      <c r="Q1767" s="1235"/>
      <c r="R1767" s="1235"/>
      <c r="S1767" s="1235"/>
      <c r="T1767" s="1235"/>
      <c r="U1767" s="1235"/>
      <c r="V1767" s="1235"/>
      <c r="W1767" s="1235"/>
    </row>
    <row r="1768" spans="1:23">
      <c r="A1768" s="2218"/>
      <c r="B1768" s="1176" t="s">
        <v>430</v>
      </c>
      <c r="C1768" s="1177">
        <v>0</v>
      </c>
      <c r="D1768" s="1177">
        <v>0</v>
      </c>
      <c r="E1768" s="1177">
        <v>0</v>
      </c>
      <c r="F1768" s="1177">
        <v>0</v>
      </c>
      <c r="G1768" s="1177">
        <v>0</v>
      </c>
      <c r="H1768" s="1177">
        <v>0</v>
      </c>
      <c r="I1768" s="1177">
        <v>0</v>
      </c>
      <c r="J1768" s="1177">
        <v>0</v>
      </c>
      <c r="K1768" s="1177">
        <v>0</v>
      </c>
      <c r="L1768" s="1177">
        <v>0</v>
      </c>
      <c r="M1768" s="1177">
        <v>0</v>
      </c>
      <c r="N1768" s="1177">
        <v>0</v>
      </c>
      <c r="O1768" s="1179">
        <f>SUM(C1768:N1768)/12</f>
        <v>0</v>
      </c>
      <c r="P1768" s="1180">
        <f>O1762/M!$Q$14</f>
        <v>1.2434753042367087E-2</v>
      </c>
      <c r="Q1768" s="1235"/>
      <c r="R1768" s="1235"/>
      <c r="S1768" s="1235"/>
      <c r="T1768" s="1235"/>
      <c r="U1768" s="1235"/>
      <c r="V1768" s="1235"/>
      <c r="W1768" s="1235"/>
    </row>
    <row r="1769" spans="1:23">
      <c r="A1769" s="2191" t="s">
        <v>668</v>
      </c>
      <c r="B1769" s="2192"/>
      <c r="C1769" s="2203">
        <f>SUM(C1771:C1774)</f>
        <v>69.166666666666657</v>
      </c>
      <c r="D1769" s="2203">
        <f t="shared" ref="D1769:N1769" si="419">SUM(D1771:D1774)</f>
        <v>59.166666666666671</v>
      </c>
      <c r="E1769" s="2203">
        <f t="shared" si="419"/>
        <v>59.166666666666671</v>
      </c>
      <c r="F1769" s="2203">
        <f t="shared" si="419"/>
        <v>59.166666666666671</v>
      </c>
      <c r="G1769" s="2203">
        <f t="shared" si="419"/>
        <v>59.166666666666671</v>
      </c>
      <c r="H1769" s="2203">
        <f t="shared" si="419"/>
        <v>59.166666666666671</v>
      </c>
      <c r="I1769" s="2203">
        <f t="shared" si="419"/>
        <v>79.166666666666657</v>
      </c>
      <c r="J1769" s="2203">
        <f t="shared" si="419"/>
        <v>79.166666666666657</v>
      </c>
      <c r="K1769" s="2203">
        <f t="shared" si="419"/>
        <v>79.166666666666657</v>
      </c>
      <c r="L1769" s="2203">
        <f t="shared" si="419"/>
        <v>79.166666666666657</v>
      </c>
      <c r="M1769" s="2203">
        <f t="shared" si="419"/>
        <v>59.166666666666671</v>
      </c>
      <c r="N1769" s="2203">
        <f t="shared" si="419"/>
        <v>269.16666666666669</v>
      </c>
      <c r="O1769" s="2203">
        <f>SUM(O1771:O1774)</f>
        <v>84.166666666666657</v>
      </c>
      <c r="P1769" s="1180">
        <f>O1763/M!$Q$14</f>
        <v>0</v>
      </c>
      <c r="Q1769" s="1235"/>
      <c r="R1769" s="1235"/>
      <c r="S1769" s="1235"/>
      <c r="T1769" s="1235"/>
      <c r="U1769" s="1235"/>
      <c r="V1769" s="1235"/>
      <c r="W1769" s="1235"/>
    </row>
    <row r="1770" spans="1:23">
      <c r="A1770" s="2193"/>
      <c r="B1770" s="2194"/>
      <c r="C1770" s="2204"/>
      <c r="D1770" s="2204"/>
      <c r="E1770" s="2204"/>
      <c r="F1770" s="2204"/>
      <c r="G1770" s="2204"/>
      <c r="H1770" s="2204"/>
      <c r="I1770" s="2204"/>
      <c r="J1770" s="2204"/>
      <c r="K1770" s="2204"/>
      <c r="L1770" s="2204"/>
      <c r="M1770" s="2204"/>
      <c r="N1770" s="2204"/>
      <c r="O1770" s="2204"/>
      <c r="P1770" s="1180">
        <f>O1764/M!$Q$14</f>
        <v>8.0332689426349871E-3</v>
      </c>
      <c r="Q1770" s="1235"/>
      <c r="R1770" s="1235"/>
      <c r="S1770" s="1235"/>
      <c r="T1770" s="1235"/>
      <c r="U1770" s="1235"/>
      <c r="V1770" s="1235"/>
      <c r="W1770" s="1235"/>
    </row>
    <row r="1771" spans="1:23">
      <c r="A1771" s="1183"/>
      <c r="B1771" s="1176" t="s">
        <v>432</v>
      </c>
      <c r="C1771" s="1184">
        <f>(FinSnapshot!$D$94 +FinSnapshot!$D$96+FinSnapshot!$D$102+FinSnapshot!$D$104)/12</f>
        <v>26.833333333333332</v>
      </c>
      <c r="D1771" s="1184">
        <f>(FinSnapshot!$D$94 +FinSnapshot!$D$96+FinSnapshot!$D$102+FinSnapshot!$D$104)/12</f>
        <v>26.833333333333332</v>
      </c>
      <c r="E1771" s="1184">
        <f>(FinSnapshot!$D$94 +FinSnapshot!$D$96+FinSnapshot!$D$102+FinSnapshot!$D$104)/12</f>
        <v>26.833333333333332</v>
      </c>
      <c r="F1771" s="1184">
        <f>(FinSnapshot!$D$94 +FinSnapshot!$D$96+FinSnapshot!$D$102+FinSnapshot!$D$104)/12</f>
        <v>26.833333333333332</v>
      </c>
      <c r="G1771" s="1184">
        <f>(FinSnapshot!$D$94 +FinSnapshot!$D$96+FinSnapshot!$D$102+FinSnapshot!$D$104)/12</f>
        <v>26.833333333333332</v>
      </c>
      <c r="H1771" s="1184">
        <f>(FinSnapshot!$D$94 +FinSnapshot!$D$96+FinSnapshot!$D$102+FinSnapshot!$D$104)/12</f>
        <v>26.833333333333332</v>
      </c>
      <c r="I1771" s="1184">
        <f>(FinSnapshot!$D$94 +FinSnapshot!$D$96+FinSnapshot!$D$102+FinSnapshot!$D$104)/12</f>
        <v>26.833333333333332</v>
      </c>
      <c r="J1771" s="1184">
        <f>(FinSnapshot!$D$94 +FinSnapshot!$D$96+FinSnapshot!$D$102+FinSnapshot!$D$104)/12</f>
        <v>26.833333333333332</v>
      </c>
      <c r="K1771" s="1184">
        <f>(FinSnapshot!$D$94 +FinSnapshot!$D$96+FinSnapshot!$D$102+FinSnapshot!$D$104)/12</f>
        <v>26.833333333333332</v>
      </c>
      <c r="L1771" s="1184">
        <f>(FinSnapshot!$D$94 +FinSnapshot!$D$96+FinSnapshot!$D$102+FinSnapshot!$D$104)/12</f>
        <v>26.833333333333332</v>
      </c>
      <c r="M1771" s="1184">
        <f>(FinSnapshot!$D$94 +FinSnapshot!$D$96+FinSnapshot!$D$102+FinSnapshot!$D$104)/12</f>
        <v>26.833333333333332</v>
      </c>
      <c r="N1771" s="1184">
        <f>(FinSnapshot!$D$94 +FinSnapshot!$D$96+FinSnapshot!$D$102+FinSnapshot!$D$104)/12</f>
        <v>26.833333333333332</v>
      </c>
      <c r="O1771" s="1179">
        <f>SUM(C1771:N1771)/12</f>
        <v>26.833333333333332</v>
      </c>
      <c r="P1771" s="2205">
        <f>O1765/M!$Q$14</f>
        <v>0</v>
      </c>
      <c r="Q1771" s="1235"/>
      <c r="R1771" s="1235"/>
      <c r="S1771" s="1235"/>
      <c r="T1771" s="1235"/>
      <c r="U1771" s="1235"/>
      <c r="V1771" s="1235"/>
      <c r="W1771" s="1235"/>
    </row>
    <row r="1772" spans="1:23">
      <c r="A1772" s="1183"/>
      <c r="B1772" s="1176" t="s">
        <v>284</v>
      </c>
      <c r="C1772" s="1228">
        <v>10</v>
      </c>
      <c r="D1772" s="1228">
        <v>0</v>
      </c>
      <c r="E1772" s="1228">
        <v>0</v>
      </c>
      <c r="F1772" s="1228">
        <v>0</v>
      </c>
      <c r="G1772" s="1228">
        <v>0</v>
      </c>
      <c r="H1772" s="1228">
        <v>0</v>
      </c>
      <c r="I1772" s="1228">
        <v>20</v>
      </c>
      <c r="J1772" s="1228">
        <v>20</v>
      </c>
      <c r="K1772" s="1228">
        <v>20</v>
      </c>
      <c r="L1772" s="1228">
        <v>20</v>
      </c>
      <c r="M1772" s="1228">
        <v>0</v>
      </c>
      <c r="N1772" s="1228">
        <v>210</v>
      </c>
      <c r="O1772" s="1179">
        <f>SUM(C1772:N1772)/12</f>
        <v>25</v>
      </c>
      <c r="P1772" s="2206"/>
      <c r="Q1772" s="1235"/>
      <c r="R1772" s="1235"/>
      <c r="S1772" s="1235"/>
      <c r="T1772" s="1235"/>
      <c r="U1772" s="1235"/>
      <c r="V1772" s="1235"/>
      <c r="W1772" s="1235"/>
    </row>
    <row r="1773" spans="1:23">
      <c r="A1773" s="1183"/>
      <c r="B1773" s="1176" t="s">
        <v>433</v>
      </c>
      <c r="C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D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E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F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G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H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I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J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K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L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M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N1773" s="1178">
        <f>(FinSnapshot!$D$93+ FinSnapshot!$D$95+ FinSnapshot!$D$96+ FinSnapshot!$D$103 + FinSnapshot!$D$105+ FinSnapshot!$D$107+ FinSnapshot!$D$108+ FinSnapshot!$D$101+FinSnapshot!$D$95+FinSnapshot!$D$103)/12</f>
        <v>32.333333333333336</v>
      </c>
      <c r="O1773" s="1179">
        <f>SUM(C1773:N1773)/12</f>
        <v>32.333333333333329</v>
      </c>
      <c r="P1773" s="1180">
        <f>O1767/M!$Q$14</f>
        <v>0</v>
      </c>
      <c r="Q1773" s="1235"/>
      <c r="R1773" s="1235"/>
      <c r="S1773" s="1235"/>
      <c r="T1773" s="1235"/>
      <c r="U1773" s="1235"/>
      <c r="V1773" s="1235"/>
      <c r="W1773" s="1235"/>
    </row>
    <row r="1774" spans="1:23">
      <c r="A1774" s="1183"/>
      <c r="B1774" s="1176" t="s">
        <v>434</v>
      </c>
      <c r="C1774" s="1184">
        <v>0</v>
      </c>
      <c r="D1774" s="1184">
        <v>0</v>
      </c>
      <c r="E1774" s="1184">
        <v>0</v>
      </c>
      <c r="F1774" s="1184">
        <v>0</v>
      </c>
      <c r="G1774" s="1184">
        <v>0</v>
      </c>
      <c r="H1774" s="1184">
        <v>0</v>
      </c>
      <c r="I1774" s="1184">
        <v>0</v>
      </c>
      <c r="J1774" s="1184">
        <v>0</v>
      </c>
      <c r="K1774" s="1184">
        <v>0</v>
      </c>
      <c r="L1774" s="1184">
        <v>0</v>
      </c>
      <c r="M1774" s="1184">
        <v>0</v>
      </c>
      <c r="N1774" s="1184">
        <v>0</v>
      </c>
      <c r="O1774" s="1179">
        <f>SUM(C1774:N1774)/12</f>
        <v>0</v>
      </c>
      <c r="P1774" s="1180">
        <f>O1768/M!$Q$14</f>
        <v>0</v>
      </c>
      <c r="Q1774" s="1235"/>
      <c r="R1774" s="1235"/>
      <c r="S1774" s="1235"/>
      <c r="T1774" s="1235"/>
      <c r="U1774" s="1235"/>
      <c r="V1774" s="1235"/>
      <c r="W1774" s="1235"/>
    </row>
    <row r="1775" spans="1:23">
      <c r="A1775" s="2191" t="s">
        <v>435</v>
      </c>
      <c r="B1775" s="2192"/>
      <c r="C1775" s="2203">
        <f>SUM(C1777:C1779)</f>
        <v>8</v>
      </c>
      <c r="D1775" s="2203">
        <f t="shared" ref="D1775:N1775" si="420">SUM(D1777:D1779)</f>
        <v>8</v>
      </c>
      <c r="E1775" s="2203">
        <f t="shared" si="420"/>
        <v>0</v>
      </c>
      <c r="F1775" s="2203">
        <f t="shared" si="420"/>
        <v>2157</v>
      </c>
      <c r="G1775" s="2203">
        <f t="shared" si="420"/>
        <v>300</v>
      </c>
      <c r="H1775" s="2203">
        <f t="shared" si="420"/>
        <v>395</v>
      </c>
      <c r="I1775" s="2203">
        <f t="shared" si="420"/>
        <v>1222</v>
      </c>
      <c r="J1775" s="2203">
        <f t="shared" si="420"/>
        <v>0</v>
      </c>
      <c r="K1775" s="2203">
        <f t="shared" si="420"/>
        <v>0</v>
      </c>
      <c r="L1775" s="2203">
        <f t="shared" si="420"/>
        <v>6518</v>
      </c>
      <c r="M1775" s="2203">
        <f t="shared" si="420"/>
        <v>0</v>
      </c>
      <c r="N1775" s="2203">
        <f t="shared" si="420"/>
        <v>0</v>
      </c>
      <c r="O1775" s="2203">
        <f>SUM(O1777:O1779)</f>
        <v>884</v>
      </c>
      <c r="P1775" s="2205">
        <f>O1769/M!$Q$14</f>
        <v>7.5475364019175224E-3</v>
      </c>
      <c r="Q1775" s="1235"/>
      <c r="R1775" s="1235"/>
      <c r="S1775" s="1235"/>
      <c r="T1775" s="1235"/>
      <c r="U1775" s="1235"/>
      <c r="V1775" s="1235"/>
      <c r="W1775" s="1235"/>
    </row>
    <row r="1776" spans="1:23">
      <c r="A1776" s="2193"/>
      <c r="B1776" s="2194"/>
      <c r="C1776" s="2204"/>
      <c r="D1776" s="2204"/>
      <c r="E1776" s="2204"/>
      <c r="F1776" s="2204"/>
      <c r="G1776" s="2204"/>
      <c r="H1776" s="2204"/>
      <c r="I1776" s="2204"/>
      <c r="J1776" s="2204"/>
      <c r="K1776" s="2204"/>
      <c r="L1776" s="2204"/>
      <c r="M1776" s="2204"/>
      <c r="N1776" s="2204"/>
      <c r="O1776" s="2204"/>
      <c r="P1776" s="2206"/>
      <c r="Q1776" s="1235"/>
      <c r="R1776" s="1235"/>
      <c r="S1776" s="1235"/>
      <c r="T1776" s="1235"/>
      <c r="U1776" s="1235"/>
      <c r="V1776" s="1235"/>
      <c r="W1776" s="1235"/>
    </row>
    <row r="1777" spans="1:23">
      <c r="A1777" s="1183"/>
      <c r="B1777" s="1176" t="s">
        <v>405</v>
      </c>
      <c r="C1777" s="1228">
        <v>0</v>
      </c>
      <c r="D1777" s="1228">
        <v>0</v>
      </c>
      <c r="E1777" s="1228">
        <v>0</v>
      </c>
      <c r="F1777" s="1228">
        <v>0</v>
      </c>
      <c r="G1777" s="1228">
        <v>0</v>
      </c>
      <c r="H1777" s="1228">
        <v>100</v>
      </c>
      <c r="I1777" s="1229">
        <v>0</v>
      </c>
      <c r="J1777" s="1229">
        <v>0</v>
      </c>
      <c r="K1777" s="1229">
        <v>0</v>
      </c>
      <c r="L1777" s="1229">
        <v>6518</v>
      </c>
      <c r="M1777" s="1229">
        <v>0</v>
      </c>
      <c r="N1777" s="1229">
        <v>0</v>
      </c>
      <c r="O1777" s="1179">
        <f>SUM(C1777:N1777)/12</f>
        <v>551.5</v>
      </c>
      <c r="P1777" s="1180">
        <f>O1771/M!$Q$14</f>
        <v>2.4062442786311308E-3</v>
      </c>
      <c r="Q1777" s="1235"/>
      <c r="R1777" s="1235"/>
      <c r="S1777" s="1235"/>
      <c r="T1777" s="1235"/>
      <c r="U1777" s="1235"/>
      <c r="V1777" s="1235"/>
      <c r="W1777" s="1235"/>
    </row>
    <row r="1778" spans="1:23">
      <c r="A1778" s="1183"/>
      <c r="B1778" s="1176" t="s">
        <v>436</v>
      </c>
      <c r="C1778" s="1228">
        <v>8</v>
      </c>
      <c r="D1778" s="1228">
        <v>8</v>
      </c>
      <c r="E1778" s="1228">
        <v>0</v>
      </c>
      <c r="F1778" s="1228">
        <v>0</v>
      </c>
      <c r="G1778" s="1228">
        <v>0</v>
      </c>
      <c r="H1778" s="1228">
        <v>0</v>
      </c>
      <c r="I1778" s="1229">
        <v>0</v>
      </c>
      <c r="J1778" s="1229">
        <v>0</v>
      </c>
      <c r="K1778" s="1229">
        <v>0</v>
      </c>
      <c r="L1778" s="1229">
        <v>0</v>
      </c>
      <c r="M1778" s="1229">
        <v>0</v>
      </c>
      <c r="N1778" s="1229">
        <v>0</v>
      </c>
      <c r="O1778" s="1179">
        <f>SUM(C1778:N1778)/12</f>
        <v>1.3333333333333333</v>
      </c>
      <c r="P1778" s="1180">
        <f>O1772/M!$Q$14</f>
        <v>2.2418424956190662E-3</v>
      </c>
      <c r="Q1778" s="1235"/>
      <c r="R1778" s="1235"/>
      <c r="S1778" s="1235"/>
      <c r="T1778" s="1235"/>
      <c r="U1778" s="1235"/>
      <c r="V1778" s="1235"/>
      <c r="W1778" s="1235"/>
    </row>
    <row r="1779" spans="1:23">
      <c r="A1779" s="1183"/>
      <c r="B1779" s="1176" t="s">
        <v>130</v>
      </c>
      <c r="C1779" s="1228">
        <v>0</v>
      </c>
      <c r="D1779" s="1228">
        <v>0</v>
      </c>
      <c r="E1779" s="1228">
        <v>0</v>
      </c>
      <c r="F1779" s="1228">
        <v>2157</v>
      </c>
      <c r="G1779" s="1228">
        <v>300</v>
      </c>
      <c r="H1779" s="1228">
        <v>295</v>
      </c>
      <c r="I1779" s="1229">
        <v>1222</v>
      </c>
      <c r="J1779" s="1229">
        <v>0</v>
      </c>
      <c r="K1779" s="1229">
        <v>0</v>
      </c>
      <c r="L1779" s="1229">
        <v>0</v>
      </c>
      <c r="M1779" s="1229">
        <v>0</v>
      </c>
      <c r="N1779" s="1229">
        <v>0</v>
      </c>
      <c r="O1779" s="1179">
        <f>SUM(C1779:N1779)/12</f>
        <v>331.16666666666669</v>
      </c>
      <c r="P1779" s="1180">
        <f>O1773/M!$Q$14</f>
        <v>2.8994496276673254E-3</v>
      </c>
      <c r="Q1779" s="1235"/>
      <c r="R1779" s="1235"/>
      <c r="S1779" s="1235"/>
      <c r="T1779" s="1235"/>
      <c r="U1779" s="1235"/>
      <c r="V1779" s="1235"/>
      <c r="W1779" s="1235"/>
    </row>
    <row r="1780" spans="1:23">
      <c r="A1780" s="2191" t="s">
        <v>286</v>
      </c>
      <c r="B1780" s="2192"/>
      <c r="C1780" s="2203">
        <f t="shared" ref="C1780:N1780" si="421">SUM(C1782:C1783)</f>
        <v>150</v>
      </c>
      <c r="D1780" s="2203">
        <f t="shared" si="421"/>
        <v>650</v>
      </c>
      <c r="E1780" s="2203">
        <f t="shared" si="421"/>
        <v>150</v>
      </c>
      <c r="F1780" s="2203">
        <f t="shared" si="421"/>
        <v>0</v>
      </c>
      <c r="G1780" s="2203">
        <f t="shared" si="421"/>
        <v>0</v>
      </c>
      <c r="H1780" s="2203">
        <f t="shared" si="421"/>
        <v>0</v>
      </c>
      <c r="I1780" s="2203">
        <f t="shared" si="421"/>
        <v>110</v>
      </c>
      <c r="J1780" s="2203">
        <f t="shared" si="421"/>
        <v>100</v>
      </c>
      <c r="K1780" s="2203">
        <f t="shared" si="421"/>
        <v>100</v>
      </c>
      <c r="L1780" s="2203">
        <f t="shared" si="421"/>
        <v>100</v>
      </c>
      <c r="M1780" s="2203">
        <f t="shared" si="421"/>
        <v>700</v>
      </c>
      <c r="N1780" s="2203">
        <f t="shared" si="421"/>
        <v>700</v>
      </c>
      <c r="O1780" s="2203">
        <f>SUM(O1782:O1783)</f>
        <v>230</v>
      </c>
      <c r="P1780" s="1180">
        <f>O1774/M!$Q$14</f>
        <v>0</v>
      </c>
      <c r="Q1780" s="1235"/>
      <c r="R1780" s="1235"/>
      <c r="S1780" s="1235"/>
      <c r="T1780" s="1235"/>
      <c r="U1780" s="1235"/>
      <c r="V1780" s="1235"/>
      <c r="W1780" s="1235"/>
    </row>
    <row r="1781" spans="1:23">
      <c r="A1781" s="2193"/>
      <c r="B1781" s="2194"/>
      <c r="C1781" s="2204"/>
      <c r="D1781" s="2204"/>
      <c r="E1781" s="2204"/>
      <c r="F1781" s="2204"/>
      <c r="G1781" s="2204"/>
      <c r="H1781" s="2204"/>
      <c r="I1781" s="2204"/>
      <c r="J1781" s="2204"/>
      <c r="K1781" s="2204"/>
      <c r="L1781" s="2204"/>
      <c r="M1781" s="2204"/>
      <c r="N1781" s="2204"/>
      <c r="O1781" s="2204"/>
      <c r="P1781" s="2205">
        <f>O1775/M!$Q$14</f>
        <v>7.9271550645090186E-2</v>
      </c>
      <c r="Q1781" s="1235"/>
      <c r="R1781" s="1235"/>
      <c r="S1781" s="1235"/>
      <c r="T1781" s="1235"/>
      <c r="U1781" s="1235"/>
      <c r="V1781" s="1235"/>
      <c r="W1781" s="1235"/>
    </row>
    <row r="1782" spans="1:23">
      <c r="A1782" s="2217"/>
      <c r="B1782" s="1176" t="s">
        <v>82</v>
      </c>
      <c r="C1782" s="1228">
        <v>0</v>
      </c>
      <c r="D1782" s="1228">
        <v>500</v>
      </c>
      <c r="E1782" s="1228">
        <v>0</v>
      </c>
      <c r="F1782" s="1228">
        <v>0</v>
      </c>
      <c r="G1782" s="1228">
        <v>0</v>
      </c>
      <c r="H1782" s="1228">
        <v>0</v>
      </c>
      <c r="I1782" s="1229">
        <v>0</v>
      </c>
      <c r="J1782" s="1229">
        <v>0</v>
      </c>
      <c r="K1782" s="1229">
        <v>0</v>
      </c>
      <c r="L1782" s="1229">
        <v>0</v>
      </c>
      <c r="M1782" s="1229">
        <v>500</v>
      </c>
      <c r="N1782" s="1229">
        <v>500</v>
      </c>
      <c r="O1782" s="1179">
        <f>SUM(C1782:N1782)/12</f>
        <v>125</v>
      </c>
      <c r="P1782" s="2206"/>
      <c r="Q1782" s="1235"/>
      <c r="R1782" s="1235"/>
      <c r="S1782" s="1235"/>
      <c r="T1782" s="1235"/>
      <c r="U1782" s="1235"/>
      <c r="V1782" s="1235"/>
      <c r="W1782" s="1235"/>
    </row>
    <row r="1783" spans="1:23">
      <c r="A1783" s="2219"/>
      <c r="B1783" s="1176" t="s">
        <v>83</v>
      </c>
      <c r="C1783" s="1228">
        <v>150</v>
      </c>
      <c r="D1783" s="1228">
        <v>150</v>
      </c>
      <c r="E1783" s="1228">
        <v>150</v>
      </c>
      <c r="F1783" s="1228">
        <v>0</v>
      </c>
      <c r="G1783" s="1228">
        <v>0</v>
      </c>
      <c r="H1783" s="1228">
        <v>0</v>
      </c>
      <c r="I1783" s="1229">
        <v>110</v>
      </c>
      <c r="J1783" s="1229">
        <v>100</v>
      </c>
      <c r="K1783" s="1229">
        <v>100</v>
      </c>
      <c r="L1783" s="1229">
        <v>100</v>
      </c>
      <c r="M1783" s="1229">
        <v>200</v>
      </c>
      <c r="N1783" s="1229">
        <v>200</v>
      </c>
      <c r="O1783" s="1179">
        <f>SUM(C1783:N1783)/12</f>
        <v>105</v>
      </c>
      <c r="P1783" s="1180">
        <f>O1777/M!$Q$14</f>
        <v>4.9455045453356598E-2</v>
      </c>
      <c r="Q1783" s="1235"/>
      <c r="R1783" s="1235"/>
      <c r="S1783" s="1235"/>
      <c r="T1783" s="1235"/>
      <c r="U1783" s="1235"/>
      <c r="V1783" s="1235"/>
      <c r="W1783" s="1235"/>
    </row>
    <row r="1784" spans="1:23">
      <c r="A1784" s="1187" t="s">
        <v>437</v>
      </c>
      <c r="B1784" s="1188"/>
      <c r="C1784" s="1189">
        <f>C1714+C1728+C1736+C1742+C1746+C1756+C1765+C1769+ C1776+ C1775+C1780</f>
        <v>5167.166666666667</v>
      </c>
      <c r="D1784" s="1189">
        <f t="shared" ref="D1784:N1784" si="422">D1714+D1728+D1736+D1742+D1746+D1756+D1765+D1769+ D1776+ D1775+D1780</f>
        <v>5284.166666666667</v>
      </c>
      <c r="E1784" s="1189">
        <f t="shared" si="422"/>
        <v>21805.166666666668</v>
      </c>
      <c r="F1784" s="1189">
        <f t="shared" si="422"/>
        <v>4288.1666666666661</v>
      </c>
      <c r="G1784" s="1189">
        <f t="shared" si="422"/>
        <v>4218.1666666666661</v>
      </c>
      <c r="H1784" s="1189">
        <f t="shared" si="422"/>
        <v>5993.166666666667</v>
      </c>
      <c r="I1784" s="1189">
        <f t="shared" si="422"/>
        <v>5600.166666666667</v>
      </c>
      <c r="J1784" s="1189">
        <f t="shared" si="422"/>
        <v>3364.1666666666665</v>
      </c>
      <c r="K1784" s="1189">
        <f t="shared" si="422"/>
        <v>3667.1666666666665</v>
      </c>
      <c r="L1784" s="1189">
        <f t="shared" si="422"/>
        <v>10177.166666666666</v>
      </c>
      <c r="M1784" s="1189">
        <f t="shared" si="422"/>
        <v>4857.166666666667</v>
      </c>
      <c r="N1784" s="1189">
        <f t="shared" si="422"/>
        <v>4748.1666666666661</v>
      </c>
      <c r="O1784" s="1189">
        <f>O1714+O1728+O1736+O1742+O1746+O1756+O1765+O1769+ O1776+ O1775+O1780</f>
        <v>6597.5</v>
      </c>
      <c r="P1784" s="1180">
        <f>O1778/M!$Q$14</f>
        <v>1.1956493309968352E-4</v>
      </c>
      <c r="Q1784" s="1235"/>
      <c r="R1784" s="1235"/>
      <c r="S1784" s="1235"/>
      <c r="T1784" s="1235"/>
      <c r="U1784" s="1235"/>
      <c r="V1784" s="1235"/>
      <c r="W1784" s="1235"/>
    </row>
    <row r="1785" spans="1:23">
      <c r="A1785" s="1191" t="s">
        <v>658</v>
      </c>
      <c r="B1785" s="1192"/>
      <c r="C1785" s="1193">
        <f>C1784/M!$Q$14</f>
        <v>0.46335895261118609</v>
      </c>
      <c r="D1785" s="1193">
        <f>D1784/M!$Q$14</f>
        <v>0.47385077549068333</v>
      </c>
      <c r="E1785" s="1193">
        <f>E1784/M!$Q$14</f>
        <v>1.9553499702955872</v>
      </c>
      <c r="F1785" s="1193">
        <f>F1784/M!$Q$14</f>
        <v>0.38453577046521964</v>
      </c>
      <c r="G1785" s="1193">
        <f>G1784/M!$Q$14</f>
        <v>0.37825861147748624</v>
      </c>
      <c r="H1785" s="1193">
        <f>H1784/M!$Q$14</f>
        <v>0.53742942866644006</v>
      </c>
      <c r="I1785" s="1193">
        <f>I1784/M!$Q$14</f>
        <v>0.50218766463530828</v>
      </c>
      <c r="J1785" s="1193">
        <f>J1784/M!$Q$14</f>
        <v>0.30167727182713899</v>
      </c>
      <c r="K1785" s="1193">
        <f>K1784/M!$Q$14</f>
        <v>0.3288484028740421</v>
      </c>
      <c r="L1785" s="1193">
        <f>L1784/M!$Q$14</f>
        <v>0.91262418873324691</v>
      </c>
      <c r="M1785" s="1193">
        <f>M1784/M!$Q$14</f>
        <v>0.43556010566550968</v>
      </c>
      <c r="N1785" s="1193">
        <f>N1784/M!$Q$14</f>
        <v>0.42578567238461046</v>
      </c>
      <c r="O1785" s="1193">
        <f>O1784/M!$Q$14</f>
        <v>0.59162223459387153</v>
      </c>
      <c r="P1785" s="1180">
        <f>O1779/M!$Q$14</f>
        <v>2.9696940258633901E-2</v>
      </c>
      <c r="Q1785" s="1235"/>
      <c r="R1785" s="1235"/>
      <c r="S1785" s="1235"/>
      <c r="T1785" s="1235"/>
      <c r="U1785" s="1235"/>
      <c r="V1785" s="1235"/>
      <c r="W1785" s="1235"/>
    </row>
    <row r="1786" spans="1:23">
      <c r="A1786" s="1235"/>
      <c r="B1786" s="1235"/>
      <c r="C1786" s="1235"/>
      <c r="D1786" s="1235"/>
      <c r="E1786" s="1235"/>
      <c r="F1786" s="1235"/>
      <c r="G1786" s="1235"/>
      <c r="H1786" s="1235"/>
      <c r="I1786" s="1235"/>
      <c r="J1786" s="1235"/>
      <c r="K1786" s="1235"/>
      <c r="L1786" s="1235"/>
      <c r="M1786" s="1235"/>
      <c r="N1786" s="1235"/>
      <c r="O1786" s="1235"/>
      <c r="P1786" s="2205">
        <f>O1780/M!$Q$14</f>
        <v>2.0624950959695409E-2</v>
      </c>
      <c r="Q1786" s="1235"/>
      <c r="R1786" s="1235"/>
      <c r="S1786" s="1235"/>
      <c r="T1786" s="1235"/>
      <c r="U1786" s="1235"/>
      <c r="V1786" s="1235"/>
      <c r="W1786" s="1235"/>
    </row>
    <row r="1787" spans="1:23">
      <c r="A1787" s="1235"/>
      <c r="B1787" s="1235"/>
      <c r="C1787" s="1235"/>
      <c r="D1787" s="1235"/>
      <c r="E1787" s="1235"/>
      <c r="F1787" s="1235"/>
      <c r="G1787" s="1235"/>
      <c r="H1787" s="1235"/>
      <c r="I1787" s="1235"/>
      <c r="J1787" s="1235"/>
      <c r="K1787" s="1235"/>
      <c r="L1787" s="1235"/>
      <c r="M1787" s="1235"/>
      <c r="N1787" s="1235"/>
      <c r="O1787" s="1235"/>
      <c r="P1787" s="2206"/>
      <c r="Q1787" s="1235"/>
      <c r="R1787" s="1235"/>
      <c r="S1787" s="1235"/>
      <c r="T1787" s="1235"/>
      <c r="U1787" s="1235"/>
      <c r="V1787" s="1235"/>
      <c r="W1787" s="1235"/>
    </row>
    <row r="1788" spans="1:23">
      <c r="A1788" s="1235"/>
      <c r="B1788" s="1235"/>
      <c r="C1788" s="1235"/>
      <c r="D1788" s="1235"/>
      <c r="E1788" s="1235"/>
      <c r="F1788" s="1235"/>
      <c r="G1788" s="1235"/>
      <c r="H1788" s="1235"/>
      <c r="I1788" s="1235"/>
      <c r="J1788" s="1235"/>
      <c r="K1788" s="1235"/>
      <c r="L1788" s="1235"/>
      <c r="M1788" s="1235"/>
      <c r="N1788" s="1235"/>
      <c r="O1788" s="1235"/>
      <c r="P1788" s="1180">
        <f>O1782/M!$Q$14</f>
        <v>1.1209212478095332E-2</v>
      </c>
      <c r="Q1788" s="1235"/>
      <c r="R1788" s="1235"/>
      <c r="S1788" s="1235"/>
      <c r="T1788" s="1235"/>
      <c r="U1788" s="1235"/>
      <c r="V1788" s="1235"/>
      <c r="W1788" s="1235"/>
    </row>
    <row r="1789" spans="1:23">
      <c r="A1789" s="2195">
        <v>2003</v>
      </c>
      <c r="B1789" s="2196"/>
      <c r="C1789" s="2196"/>
      <c r="D1789" s="2196"/>
      <c r="E1789" s="2196"/>
      <c r="F1789" s="2196"/>
      <c r="G1789" s="2196"/>
      <c r="H1789" s="2196"/>
      <c r="I1789" s="2196"/>
      <c r="J1789" s="2196"/>
      <c r="K1789" s="2196"/>
      <c r="L1789" s="2196"/>
      <c r="M1789" s="2196"/>
      <c r="N1789" s="2196"/>
      <c r="O1789" s="2196"/>
      <c r="P1789" s="1180">
        <f>O1783/M!$Q$14</f>
        <v>9.4157384816000774E-3</v>
      </c>
      <c r="Q1789" s="1235"/>
      <c r="R1789" s="1235"/>
      <c r="S1789" s="1235"/>
      <c r="T1789" s="1235"/>
      <c r="U1789" s="1235"/>
      <c r="V1789" s="1235"/>
      <c r="W1789" s="1235"/>
    </row>
    <row r="1790" spans="1:23">
      <c r="A1790" s="1171" t="s">
        <v>388</v>
      </c>
      <c r="B1790" s="1172"/>
      <c r="C1790" s="1173" t="s">
        <v>309</v>
      </c>
      <c r="D1790" s="1173" t="s">
        <v>311</v>
      </c>
      <c r="E1790" s="1173" t="s">
        <v>312</v>
      </c>
      <c r="F1790" s="1173" t="s">
        <v>313</v>
      </c>
      <c r="G1790" s="1173" t="s">
        <v>314</v>
      </c>
      <c r="H1790" s="1173" t="s">
        <v>315</v>
      </c>
      <c r="I1790" s="1173" t="s">
        <v>316</v>
      </c>
      <c r="J1790" s="1173" t="s">
        <v>317</v>
      </c>
      <c r="K1790" s="1173" t="s">
        <v>318</v>
      </c>
      <c r="L1790" s="1173" t="s">
        <v>319</v>
      </c>
      <c r="M1790" s="1173" t="s">
        <v>320</v>
      </c>
      <c r="N1790" s="1173" t="s">
        <v>321</v>
      </c>
      <c r="O1790" s="1174" t="s">
        <v>660</v>
      </c>
      <c r="P1790" s="1190">
        <f>O1784/M!$Q$14</f>
        <v>0.59162223459387153</v>
      </c>
      <c r="Q1790" s="1235"/>
      <c r="R1790" s="1235"/>
      <c r="S1790" s="1235"/>
      <c r="T1790" s="1235"/>
      <c r="U1790" s="1235"/>
      <c r="V1790" s="1235"/>
      <c r="W1790" s="1235"/>
    </row>
    <row r="1791" spans="1:23">
      <c r="A1791" s="2191" t="s">
        <v>56</v>
      </c>
      <c r="B1791" s="2192"/>
      <c r="C1791" s="2203">
        <f t="shared" ref="C1791:I1791" si="423">C1793+ SUM(C1799:C1804)</f>
        <v>1075</v>
      </c>
      <c r="D1791" s="2203">
        <f t="shared" si="423"/>
        <v>1075</v>
      </c>
      <c r="E1791" s="2203">
        <f t="shared" si="423"/>
        <v>1075</v>
      </c>
      <c r="F1791" s="2203">
        <f t="shared" si="423"/>
        <v>1075</v>
      </c>
      <c r="G1791" s="2203">
        <f t="shared" si="423"/>
        <v>1075</v>
      </c>
      <c r="H1791" s="2203">
        <f t="shared" si="423"/>
        <v>1075</v>
      </c>
      <c r="I1791" s="2203">
        <f t="shared" si="423"/>
        <v>1075</v>
      </c>
      <c r="J1791" s="2203">
        <f t="shared" ref="J1791:O1791" si="424">J1793+ SUM(J1799:J1804)</f>
        <v>1075</v>
      </c>
      <c r="K1791" s="2203">
        <f t="shared" si="424"/>
        <v>1075</v>
      </c>
      <c r="L1791" s="2203">
        <f t="shared" si="424"/>
        <v>1075</v>
      </c>
      <c r="M1791" s="2203">
        <f t="shared" si="424"/>
        <v>1075</v>
      </c>
      <c r="N1791" s="2203">
        <f t="shared" si="424"/>
        <v>1078</v>
      </c>
      <c r="O1791" s="2203">
        <f t="shared" si="424"/>
        <v>1075.25</v>
      </c>
      <c r="P1791" s="1194"/>
      <c r="Q1791" s="1235"/>
      <c r="R1791" s="1235"/>
      <c r="S1791" s="1235"/>
      <c r="T1791" s="1235"/>
      <c r="U1791" s="1235"/>
      <c r="V1791" s="1235"/>
      <c r="W1791" s="1235"/>
    </row>
    <row r="1792" spans="1:23">
      <c r="A1792" s="2193"/>
      <c r="B1792" s="2194"/>
      <c r="C1792" s="2204"/>
      <c r="D1792" s="2204"/>
      <c r="E1792" s="2204"/>
      <c r="F1792" s="2204"/>
      <c r="G1792" s="2204"/>
      <c r="H1792" s="2204"/>
      <c r="I1792" s="2204"/>
      <c r="J1792" s="2204"/>
      <c r="K1792" s="2204"/>
      <c r="L1792" s="2204"/>
      <c r="M1792" s="2204"/>
      <c r="N1792" s="2204"/>
      <c r="O1792" s="2204"/>
      <c r="P1792" s="1235"/>
      <c r="Q1792" s="1235"/>
      <c r="R1792" s="1235"/>
      <c r="S1792" s="1235"/>
      <c r="T1792" s="1235"/>
      <c r="U1792" s="1235"/>
      <c r="V1792" s="1235"/>
      <c r="W1792" s="1235"/>
    </row>
    <row r="1793" spans="1:23">
      <c r="A1793" s="2217"/>
      <c r="B1793" s="1176" t="s">
        <v>662</v>
      </c>
      <c r="C1793" s="1228">
        <v>1075</v>
      </c>
      <c r="D1793" s="1228">
        <v>1075</v>
      </c>
      <c r="E1793" s="1228">
        <v>1075</v>
      </c>
      <c r="F1793" s="1228">
        <v>1075</v>
      </c>
      <c r="G1793" s="1228">
        <v>1075</v>
      </c>
      <c r="H1793" s="1228">
        <v>1075</v>
      </c>
      <c r="I1793" s="1229">
        <v>1075</v>
      </c>
      <c r="J1793" s="1229">
        <v>1075</v>
      </c>
      <c r="K1793" s="1229">
        <v>1075</v>
      </c>
      <c r="L1793" s="1229">
        <v>1075</v>
      </c>
      <c r="M1793" s="1229">
        <v>1075</v>
      </c>
      <c r="N1793" s="1229">
        <v>1075</v>
      </c>
      <c r="O1793" s="1179">
        <f t="shared" ref="O1793:O1804" si="425">SUM(C1793:N1793)/12</f>
        <v>1075</v>
      </c>
      <c r="P1793" s="1235"/>
      <c r="Q1793" s="1235"/>
      <c r="R1793" s="1235"/>
      <c r="S1793" s="1235"/>
      <c r="T1793" s="1235"/>
      <c r="U1793" s="1235"/>
      <c r="V1793" s="1235"/>
      <c r="W1793" s="1235"/>
    </row>
    <row r="1794" spans="1:23">
      <c r="A1794" s="2218"/>
      <c r="B1794" s="1176" t="s">
        <v>663</v>
      </c>
      <c r="C1794" s="1178">
        <v>0</v>
      </c>
      <c r="D1794" s="1178">
        <v>0</v>
      </c>
      <c r="E1794" s="1178">
        <v>0</v>
      </c>
      <c r="F1794" s="1178">
        <v>0</v>
      </c>
      <c r="G1794" s="1178">
        <v>0</v>
      </c>
      <c r="H1794" s="1178">
        <v>0</v>
      </c>
      <c r="I1794" s="1178">
        <v>0</v>
      </c>
      <c r="J1794" s="1178">
        <v>0</v>
      </c>
      <c r="K1794" s="1178">
        <v>0</v>
      </c>
      <c r="L1794" s="1178">
        <v>0</v>
      </c>
      <c r="M1794" s="1178">
        <v>0</v>
      </c>
      <c r="N1794" s="1178">
        <v>0</v>
      </c>
      <c r="O1794" s="1179">
        <f t="shared" si="425"/>
        <v>0</v>
      </c>
      <c r="P1794" s="1235"/>
      <c r="Q1794" s="1235"/>
      <c r="R1794" s="1235"/>
      <c r="S1794" s="1235"/>
      <c r="T1794" s="1235"/>
      <c r="U1794" s="1235"/>
      <c r="V1794" s="1235"/>
      <c r="W1794" s="1235"/>
    </row>
    <row r="1795" spans="1:23">
      <c r="A1795" s="2218"/>
      <c r="B1795" s="1176" t="s">
        <v>664</v>
      </c>
      <c r="C1795" s="1178">
        <v>0</v>
      </c>
      <c r="D1795" s="1178">
        <v>0</v>
      </c>
      <c r="E1795" s="1178">
        <v>0</v>
      </c>
      <c r="F1795" s="1178">
        <v>0</v>
      </c>
      <c r="G1795" s="1178">
        <v>0</v>
      </c>
      <c r="H1795" s="1178">
        <v>0</v>
      </c>
      <c r="I1795" s="1178">
        <v>0</v>
      </c>
      <c r="J1795" s="1178">
        <v>0</v>
      </c>
      <c r="K1795" s="1178">
        <v>0</v>
      </c>
      <c r="L1795" s="1178">
        <v>0</v>
      </c>
      <c r="M1795" s="1178">
        <v>0</v>
      </c>
      <c r="N1795" s="1178">
        <v>0</v>
      </c>
      <c r="O1795" s="1179">
        <f t="shared" si="425"/>
        <v>0</v>
      </c>
      <c r="P1795" s="2197"/>
      <c r="Q1795" s="1235"/>
      <c r="R1795" s="1235"/>
      <c r="S1795" s="1235"/>
      <c r="T1795" s="1235"/>
      <c r="U1795" s="1235"/>
      <c r="V1795" s="1235"/>
      <c r="W1795" s="1235"/>
    </row>
    <row r="1796" spans="1:23">
      <c r="A1796" s="2218"/>
      <c r="B1796" s="1176" t="s">
        <v>450</v>
      </c>
      <c r="C1796" s="1178">
        <v>0</v>
      </c>
      <c r="D1796" s="1178">
        <v>0</v>
      </c>
      <c r="E1796" s="1178">
        <v>0</v>
      </c>
      <c r="F1796" s="1178">
        <v>0</v>
      </c>
      <c r="G1796" s="1178">
        <v>0</v>
      </c>
      <c r="H1796" s="1178">
        <v>0</v>
      </c>
      <c r="I1796" s="1178">
        <v>0</v>
      </c>
      <c r="J1796" s="1178">
        <v>0</v>
      </c>
      <c r="K1796" s="1178">
        <v>0</v>
      </c>
      <c r="L1796" s="1178">
        <v>0</v>
      </c>
      <c r="M1796" s="1178">
        <v>0</v>
      </c>
      <c r="N1796" s="1178">
        <v>0</v>
      </c>
      <c r="O1796" s="1179">
        <f t="shared" si="425"/>
        <v>0</v>
      </c>
      <c r="P1796" s="1175" t="s">
        <v>661</v>
      </c>
      <c r="Q1796" s="1235"/>
      <c r="R1796" s="1235"/>
      <c r="S1796" s="1235"/>
      <c r="T1796" s="1235"/>
      <c r="U1796" s="1235"/>
      <c r="V1796" s="1235"/>
      <c r="W1796" s="1235"/>
    </row>
    <row r="1797" spans="1:23">
      <c r="A1797" s="2218"/>
      <c r="B1797" s="1176" t="s">
        <v>665</v>
      </c>
      <c r="C1797" s="1178">
        <v>0</v>
      </c>
      <c r="D1797" s="1178">
        <v>0</v>
      </c>
      <c r="E1797" s="1178">
        <v>0</v>
      </c>
      <c r="F1797" s="1178">
        <v>0</v>
      </c>
      <c r="G1797" s="1178">
        <v>0</v>
      </c>
      <c r="H1797" s="1178">
        <v>0</v>
      </c>
      <c r="I1797" s="1178">
        <v>0</v>
      </c>
      <c r="J1797" s="1178">
        <v>0</v>
      </c>
      <c r="K1797" s="1178">
        <v>0</v>
      </c>
      <c r="L1797" s="1178">
        <v>0</v>
      </c>
      <c r="M1797" s="1178">
        <v>0</v>
      </c>
      <c r="N1797" s="1178">
        <v>0</v>
      </c>
      <c r="O1797" s="1179">
        <f t="shared" si="425"/>
        <v>0</v>
      </c>
      <c r="P1797" s="2205">
        <f>O1791/M!$Q$14</f>
        <v>9.6421645736576037E-2</v>
      </c>
      <c r="Q1797" s="1235"/>
      <c r="R1797" s="1235"/>
      <c r="S1797" s="1235"/>
      <c r="T1797" s="1235"/>
      <c r="U1797" s="1235"/>
      <c r="V1797" s="1235"/>
      <c r="W1797" s="1235"/>
    </row>
    <row r="1798" spans="1:23">
      <c r="A1798" s="2218"/>
      <c r="B1798" s="1176" t="s">
        <v>664</v>
      </c>
      <c r="C1798" s="1178">
        <v>0</v>
      </c>
      <c r="D1798" s="1178">
        <v>0</v>
      </c>
      <c r="E1798" s="1178">
        <v>0</v>
      </c>
      <c r="F1798" s="1178">
        <v>0</v>
      </c>
      <c r="G1798" s="1178">
        <v>0</v>
      </c>
      <c r="H1798" s="1178">
        <v>0</v>
      </c>
      <c r="I1798" s="1178">
        <v>0</v>
      </c>
      <c r="J1798" s="1178">
        <v>0</v>
      </c>
      <c r="K1798" s="1178">
        <v>0</v>
      </c>
      <c r="L1798" s="1178">
        <v>0</v>
      </c>
      <c r="M1798" s="1178">
        <v>0</v>
      </c>
      <c r="N1798" s="1178">
        <v>0</v>
      </c>
      <c r="O1798" s="1179">
        <f t="shared" si="425"/>
        <v>0</v>
      </c>
      <c r="P1798" s="2206"/>
      <c r="Q1798" s="1235"/>
      <c r="R1798" s="1235"/>
      <c r="S1798" s="1235"/>
      <c r="T1798" s="1235"/>
      <c r="U1798" s="1235"/>
      <c r="V1798" s="1235"/>
      <c r="W1798" s="1235"/>
    </row>
    <row r="1799" spans="1:23">
      <c r="A1799" s="2218"/>
      <c r="B1799" s="1176" t="s">
        <v>287</v>
      </c>
      <c r="C1799" s="1178">
        <v>0</v>
      </c>
      <c r="D1799" s="1178">
        <v>0</v>
      </c>
      <c r="E1799" s="1178">
        <v>0</v>
      </c>
      <c r="F1799" s="1178">
        <v>0</v>
      </c>
      <c r="G1799" s="1178">
        <v>0</v>
      </c>
      <c r="H1799" s="1178">
        <v>0</v>
      </c>
      <c r="I1799" s="1178">
        <v>0</v>
      </c>
      <c r="J1799" s="1178">
        <v>0</v>
      </c>
      <c r="K1799" s="1178">
        <v>0</v>
      </c>
      <c r="L1799" s="1178">
        <v>0</v>
      </c>
      <c r="M1799" s="1178">
        <v>0</v>
      </c>
      <c r="N1799" s="1178">
        <v>0</v>
      </c>
      <c r="O1799" s="1179">
        <f t="shared" si="425"/>
        <v>0</v>
      </c>
      <c r="P1799" s="1180">
        <f>O1793/M!$Q$14</f>
        <v>9.6399227311619845E-2</v>
      </c>
      <c r="Q1799" s="1235"/>
      <c r="R1799" s="1235"/>
      <c r="S1799" s="1235"/>
      <c r="T1799" s="1235"/>
      <c r="U1799" s="1235"/>
      <c r="V1799" s="1235"/>
      <c r="W1799" s="1235"/>
    </row>
    <row r="1800" spans="1:23">
      <c r="A1800" s="2218"/>
      <c r="B1800" s="1176" t="s">
        <v>453</v>
      </c>
      <c r="C1800" s="1178">
        <v>0</v>
      </c>
      <c r="D1800" s="1178">
        <v>0</v>
      </c>
      <c r="E1800" s="1178">
        <v>0</v>
      </c>
      <c r="F1800" s="1178">
        <v>0</v>
      </c>
      <c r="G1800" s="1178">
        <v>0</v>
      </c>
      <c r="H1800" s="1178">
        <v>0</v>
      </c>
      <c r="I1800" s="1178">
        <v>0</v>
      </c>
      <c r="J1800" s="1178">
        <v>0</v>
      </c>
      <c r="K1800" s="1178">
        <v>0</v>
      </c>
      <c r="L1800" s="1178">
        <v>0</v>
      </c>
      <c r="M1800" s="1178">
        <v>0</v>
      </c>
      <c r="N1800" s="1178">
        <v>0</v>
      </c>
      <c r="O1800" s="1179">
        <f t="shared" si="425"/>
        <v>0</v>
      </c>
      <c r="P1800" s="1180">
        <f>O1794/M!$Q$14</f>
        <v>0</v>
      </c>
      <c r="Q1800" s="1235"/>
      <c r="R1800" s="1235"/>
      <c r="S1800" s="1235"/>
      <c r="T1800" s="1235"/>
      <c r="U1800" s="1235"/>
      <c r="V1800" s="1235"/>
      <c r="W1800" s="1235"/>
    </row>
    <row r="1801" spans="1:23">
      <c r="A1801" s="2218"/>
      <c r="B1801" s="1176" t="s">
        <v>400</v>
      </c>
      <c r="C1801" s="1178">
        <v>0</v>
      </c>
      <c r="D1801" s="1178">
        <v>0</v>
      </c>
      <c r="E1801" s="1178">
        <v>0</v>
      </c>
      <c r="F1801" s="1178">
        <v>0</v>
      </c>
      <c r="G1801" s="1178">
        <v>0</v>
      </c>
      <c r="H1801" s="1178">
        <v>0</v>
      </c>
      <c r="I1801" s="1178">
        <v>0</v>
      </c>
      <c r="J1801" s="1178">
        <v>0</v>
      </c>
      <c r="K1801" s="1178">
        <v>0</v>
      </c>
      <c r="L1801" s="1178">
        <v>0</v>
      </c>
      <c r="M1801" s="1178">
        <v>0</v>
      </c>
      <c r="N1801" s="1178">
        <v>0</v>
      </c>
      <c r="O1801" s="1179">
        <f t="shared" si="425"/>
        <v>0</v>
      </c>
      <c r="P1801" s="1180">
        <f>O1795/M!$Q$14</f>
        <v>0</v>
      </c>
      <c r="Q1801" s="1235"/>
      <c r="R1801" s="1235"/>
      <c r="S1801" s="1235"/>
      <c r="T1801" s="1235"/>
      <c r="U1801" s="1235"/>
      <c r="V1801" s="1235"/>
      <c r="W1801" s="1235"/>
    </row>
    <row r="1802" spans="1:23">
      <c r="A1802" s="2218"/>
      <c r="B1802" s="1176" t="s">
        <v>401</v>
      </c>
      <c r="C1802" s="1178">
        <v>0</v>
      </c>
      <c r="D1802" s="1178">
        <v>0</v>
      </c>
      <c r="E1802" s="1178">
        <v>0</v>
      </c>
      <c r="F1802" s="1178">
        <v>0</v>
      </c>
      <c r="G1802" s="1178">
        <v>0</v>
      </c>
      <c r="H1802" s="1178">
        <v>0</v>
      </c>
      <c r="I1802" s="1178">
        <v>0</v>
      </c>
      <c r="J1802" s="1178">
        <v>0</v>
      </c>
      <c r="K1802" s="1178">
        <v>0</v>
      </c>
      <c r="L1802" s="1178">
        <v>0</v>
      </c>
      <c r="M1802" s="1178">
        <v>0</v>
      </c>
      <c r="N1802" s="1178">
        <v>0</v>
      </c>
      <c r="O1802" s="1179">
        <f t="shared" si="425"/>
        <v>0</v>
      </c>
      <c r="P1802" s="1180">
        <f>O1796/M!$Q$14</f>
        <v>0</v>
      </c>
      <c r="Q1802" s="1235"/>
      <c r="R1802" s="1235"/>
      <c r="S1802" s="1235"/>
      <c r="T1802" s="1235"/>
      <c r="U1802" s="1235"/>
      <c r="V1802" s="1235"/>
      <c r="W1802" s="1235"/>
    </row>
    <row r="1803" spans="1:23">
      <c r="A1803" s="2218"/>
      <c r="B1803" s="1176" t="s">
        <v>402</v>
      </c>
      <c r="C1803" s="1178">
        <v>0</v>
      </c>
      <c r="D1803" s="1178">
        <v>0</v>
      </c>
      <c r="E1803" s="1178">
        <v>0</v>
      </c>
      <c r="F1803" s="1178">
        <v>0</v>
      </c>
      <c r="G1803" s="1178">
        <v>0</v>
      </c>
      <c r="H1803" s="1178">
        <v>0</v>
      </c>
      <c r="I1803" s="1178">
        <v>0</v>
      </c>
      <c r="J1803" s="1178">
        <v>0</v>
      </c>
      <c r="K1803" s="1178">
        <v>0</v>
      </c>
      <c r="L1803" s="1178">
        <v>0</v>
      </c>
      <c r="M1803" s="1178">
        <v>0</v>
      </c>
      <c r="N1803" s="1178">
        <v>0</v>
      </c>
      <c r="O1803" s="1179">
        <f t="shared" si="425"/>
        <v>0</v>
      </c>
      <c r="P1803" s="1180">
        <f>O1797/M!$Q$14</f>
        <v>0</v>
      </c>
      <c r="Q1803" s="1235"/>
      <c r="R1803" s="1235"/>
      <c r="S1803" s="1235"/>
      <c r="T1803" s="1235"/>
      <c r="U1803" s="1235"/>
      <c r="V1803" s="1235"/>
      <c r="W1803" s="1235"/>
    </row>
    <row r="1804" spans="1:23">
      <c r="A1804" s="2219"/>
      <c r="B1804" s="1176" t="s">
        <v>403</v>
      </c>
      <c r="C1804" s="1178">
        <v>0</v>
      </c>
      <c r="D1804" s="1178">
        <v>0</v>
      </c>
      <c r="E1804" s="1178">
        <v>0</v>
      </c>
      <c r="F1804" s="1178">
        <v>0</v>
      </c>
      <c r="G1804" s="1178">
        <v>0</v>
      </c>
      <c r="H1804" s="1178">
        <v>0</v>
      </c>
      <c r="I1804" s="1178">
        <v>0</v>
      </c>
      <c r="J1804" s="1178">
        <v>0</v>
      </c>
      <c r="K1804" s="1178">
        <v>0</v>
      </c>
      <c r="L1804" s="1178">
        <v>0</v>
      </c>
      <c r="M1804" s="1178">
        <v>0</v>
      </c>
      <c r="N1804" s="1178">
        <v>3</v>
      </c>
      <c r="O1804" s="1179">
        <f t="shared" si="425"/>
        <v>0.25</v>
      </c>
      <c r="P1804" s="1180">
        <f>O1798/M!$Q$14</f>
        <v>0</v>
      </c>
      <c r="Q1804" s="1235"/>
      <c r="R1804" s="1235"/>
      <c r="S1804" s="1235"/>
      <c r="T1804" s="1235"/>
      <c r="U1804" s="1235"/>
      <c r="V1804" s="1235"/>
      <c r="W1804" s="1235"/>
    </row>
    <row r="1805" spans="1:23">
      <c r="A1805" s="2191" t="s">
        <v>276</v>
      </c>
      <c r="B1805" s="2192"/>
      <c r="C1805" s="2203">
        <f t="shared" ref="C1805:N1805" si="426">SUM(C1807:C1812)</f>
        <v>862</v>
      </c>
      <c r="D1805" s="2203">
        <f t="shared" si="426"/>
        <v>1203</v>
      </c>
      <c r="E1805" s="2203">
        <f t="shared" si="426"/>
        <v>2190</v>
      </c>
      <c r="F1805" s="2203">
        <f t="shared" si="426"/>
        <v>1586</v>
      </c>
      <c r="G1805" s="2203">
        <f t="shared" si="426"/>
        <v>1329</v>
      </c>
      <c r="H1805" s="2203">
        <f t="shared" si="426"/>
        <v>1688</v>
      </c>
      <c r="I1805" s="2203">
        <f t="shared" si="426"/>
        <v>1606</v>
      </c>
      <c r="J1805" s="2203">
        <f t="shared" si="426"/>
        <v>1221</v>
      </c>
      <c r="K1805" s="2203">
        <f t="shared" si="426"/>
        <v>2469</v>
      </c>
      <c r="L1805" s="2203">
        <f t="shared" si="426"/>
        <v>3421</v>
      </c>
      <c r="M1805" s="2203">
        <f t="shared" si="426"/>
        <v>1752</v>
      </c>
      <c r="N1805" s="2203">
        <f t="shared" si="426"/>
        <v>1421</v>
      </c>
      <c r="O1805" s="2203">
        <f>SUM(O1807:O1812)</f>
        <v>1728.9999999999998</v>
      </c>
      <c r="P1805" s="1180">
        <f>O1799/M!$Q$14</f>
        <v>0</v>
      </c>
      <c r="Q1805" s="1235"/>
      <c r="R1805" s="1235"/>
      <c r="S1805" s="1235"/>
      <c r="T1805" s="1235"/>
      <c r="U1805" s="1235"/>
      <c r="V1805" s="1235"/>
      <c r="W1805" s="1235"/>
    </row>
    <row r="1806" spans="1:23">
      <c r="A1806" s="2193"/>
      <c r="B1806" s="2194"/>
      <c r="C1806" s="2204"/>
      <c r="D1806" s="2204"/>
      <c r="E1806" s="2204"/>
      <c r="F1806" s="2204"/>
      <c r="G1806" s="2204"/>
      <c r="H1806" s="2204"/>
      <c r="I1806" s="2204"/>
      <c r="J1806" s="2204"/>
      <c r="K1806" s="2204"/>
      <c r="L1806" s="2204"/>
      <c r="M1806" s="2204"/>
      <c r="N1806" s="2204"/>
      <c r="O1806" s="2204"/>
      <c r="P1806" s="1180">
        <f>O1800/M!$Q$14</f>
        <v>0</v>
      </c>
      <c r="Q1806" s="1235"/>
      <c r="R1806" s="1235"/>
      <c r="S1806" s="1235"/>
      <c r="T1806" s="1235"/>
      <c r="U1806" s="1235"/>
      <c r="V1806" s="1235"/>
      <c r="W1806" s="1235"/>
    </row>
    <row r="1807" spans="1:23">
      <c r="A1807" s="2217"/>
      <c r="B1807" s="1176" t="s">
        <v>666</v>
      </c>
      <c r="C1807" s="1228">
        <v>808</v>
      </c>
      <c r="D1807" s="1228">
        <v>808</v>
      </c>
      <c r="E1807" s="1228">
        <v>1408</v>
      </c>
      <c r="F1807" s="1228">
        <v>1008</v>
      </c>
      <c r="G1807" s="1228">
        <v>1100</v>
      </c>
      <c r="H1807" s="1228">
        <v>908</v>
      </c>
      <c r="I1807" s="1229">
        <v>1306</v>
      </c>
      <c r="J1807" s="1229">
        <v>1021</v>
      </c>
      <c r="K1807" s="1229">
        <v>1621</v>
      </c>
      <c r="L1807" s="1229">
        <v>3421</v>
      </c>
      <c r="M1807" s="1229">
        <v>1721</v>
      </c>
      <c r="N1807" s="1229">
        <v>1421</v>
      </c>
      <c r="O1807" s="1179">
        <f t="shared" ref="O1807:O1812" si="427">SUM(C1807:N1807)/12</f>
        <v>1379.25</v>
      </c>
      <c r="P1807" s="1180">
        <f>O1801/M!$Q$14</f>
        <v>0</v>
      </c>
      <c r="Q1807" s="1235"/>
      <c r="R1807" s="1235"/>
      <c r="S1807" s="1235"/>
      <c r="T1807" s="1235"/>
      <c r="U1807" s="1235"/>
      <c r="V1807" s="1235"/>
      <c r="W1807" s="1235"/>
    </row>
    <row r="1808" spans="1:23">
      <c r="A1808" s="2218"/>
      <c r="B1808" s="1176" t="s">
        <v>400</v>
      </c>
      <c r="C1808" s="1228">
        <v>0</v>
      </c>
      <c r="D1808" s="1228">
        <v>395</v>
      </c>
      <c r="E1808" s="1228">
        <v>200</v>
      </c>
      <c r="F1808" s="1228">
        <v>200</v>
      </c>
      <c r="G1808" s="1228">
        <v>200</v>
      </c>
      <c r="H1808" s="1228">
        <v>200</v>
      </c>
      <c r="I1808" s="1229">
        <v>200</v>
      </c>
      <c r="J1808" s="1229">
        <v>200</v>
      </c>
      <c r="K1808" s="1229">
        <v>203</v>
      </c>
      <c r="L1808" s="1229">
        <v>0</v>
      </c>
      <c r="M1808" s="1229">
        <v>0</v>
      </c>
      <c r="N1808" s="1229">
        <v>0</v>
      </c>
      <c r="O1808" s="1179">
        <f t="shared" si="427"/>
        <v>149.83333333333334</v>
      </c>
      <c r="P1808" s="1180">
        <f>O1802/M!$Q$14</f>
        <v>0</v>
      </c>
      <c r="Q1808" s="1235"/>
      <c r="R1808" s="1235"/>
      <c r="S1808" s="1235"/>
      <c r="T1808" s="1235"/>
      <c r="U1808" s="1235"/>
      <c r="V1808" s="1235"/>
      <c r="W1808" s="1235"/>
    </row>
    <row r="1809" spans="1:23">
      <c r="A1809" s="2218"/>
      <c r="B1809" s="1176" t="s">
        <v>454</v>
      </c>
      <c r="C1809" s="1228">
        <v>30</v>
      </c>
      <c r="D1809" s="1228">
        <v>0</v>
      </c>
      <c r="E1809" s="1228">
        <v>582</v>
      </c>
      <c r="F1809" s="1228">
        <v>0</v>
      </c>
      <c r="G1809" s="1228">
        <v>29</v>
      </c>
      <c r="H1809" s="1228">
        <v>0</v>
      </c>
      <c r="I1809" s="1229">
        <v>0</v>
      </c>
      <c r="J1809" s="1229">
        <v>0</v>
      </c>
      <c r="K1809" s="1229">
        <v>41</v>
      </c>
      <c r="L1809" s="1229">
        <v>0</v>
      </c>
      <c r="M1809" s="1229">
        <v>0</v>
      </c>
      <c r="N1809" s="1229">
        <v>0</v>
      </c>
      <c r="O1809" s="1179">
        <f t="shared" si="427"/>
        <v>56.833333333333336</v>
      </c>
      <c r="P1809" s="1180">
        <f>O1803/M!$Q$14</f>
        <v>0</v>
      </c>
      <c r="Q1809" s="1235"/>
      <c r="R1809" s="1235"/>
      <c r="S1809" s="1235"/>
      <c r="T1809" s="1235"/>
      <c r="U1809" s="1235"/>
      <c r="V1809" s="1235"/>
      <c r="W1809" s="1235"/>
    </row>
    <row r="1810" spans="1:23">
      <c r="A1810" s="2218"/>
      <c r="B1810" s="1176" t="s">
        <v>407</v>
      </c>
      <c r="C1810" s="1228">
        <v>0</v>
      </c>
      <c r="D1810" s="1228">
        <v>0</v>
      </c>
      <c r="E1810" s="1228">
        <v>0</v>
      </c>
      <c r="F1810" s="1228">
        <v>0</v>
      </c>
      <c r="G1810" s="1228">
        <v>0</v>
      </c>
      <c r="H1810" s="1228">
        <v>580</v>
      </c>
      <c r="I1810" s="1229">
        <v>0</v>
      </c>
      <c r="J1810" s="1229">
        <v>0</v>
      </c>
      <c r="K1810" s="1229">
        <v>604</v>
      </c>
      <c r="L1810" s="1229">
        <v>0</v>
      </c>
      <c r="M1810" s="1229">
        <v>0</v>
      </c>
      <c r="N1810" s="1229">
        <v>0</v>
      </c>
      <c r="O1810" s="1179">
        <f t="shared" si="427"/>
        <v>98.666666666666671</v>
      </c>
      <c r="P1810" s="1180">
        <f>O1804/M!$Q$14</f>
        <v>2.2418424956190664E-5</v>
      </c>
      <c r="Q1810" s="1235"/>
      <c r="R1810" s="1235"/>
      <c r="S1810" s="1235"/>
      <c r="T1810" s="1235"/>
      <c r="U1810" s="1235"/>
      <c r="V1810" s="1235"/>
      <c r="W1810" s="1235"/>
    </row>
    <row r="1811" spans="1:23">
      <c r="A1811" s="2218"/>
      <c r="B1811" s="1176" t="s">
        <v>408</v>
      </c>
      <c r="C1811" s="1228">
        <v>24</v>
      </c>
      <c r="D1811" s="1228">
        <v>0</v>
      </c>
      <c r="E1811" s="1228">
        <v>0</v>
      </c>
      <c r="F1811" s="1228">
        <v>0</v>
      </c>
      <c r="G1811" s="1228">
        <v>0</v>
      </c>
      <c r="H1811" s="1228">
        <v>0</v>
      </c>
      <c r="I1811" s="1229">
        <v>100</v>
      </c>
      <c r="J1811" s="1229">
        <v>0</v>
      </c>
      <c r="K1811" s="1229">
        <v>0</v>
      </c>
      <c r="L1811" s="1229">
        <v>0</v>
      </c>
      <c r="M1811" s="1229">
        <v>0</v>
      </c>
      <c r="N1811" s="1229">
        <v>0</v>
      </c>
      <c r="O1811" s="1179">
        <f t="shared" si="427"/>
        <v>10.333333333333334</v>
      </c>
      <c r="P1811" s="2205">
        <f>O1805/M!$Q$14</f>
        <v>0.15504582699701461</v>
      </c>
      <c r="Q1811" s="1235"/>
      <c r="R1811" s="1235"/>
      <c r="S1811" s="1235"/>
      <c r="T1811" s="1235"/>
      <c r="U1811" s="1235"/>
      <c r="V1811" s="1235"/>
      <c r="W1811" s="1235"/>
    </row>
    <row r="1812" spans="1:23">
      <c r="A1812" s="2219"/>
      <c r="B1812" s="1176" t="s">
        <v>409</v>
      </c>
      <c r="C1812" s="1228">
        <v>0</v>
      </c>
      <c r="D1812" s="1228">
        <v>0</v>
      </c>
      <c r="E1812" s="1228">
        <v>0</v>
      </c>
      <c r="F1812" s="1228">
        <v>378</v>
      </c>
      <c r="G1812" s="1228">
        <v>0</v>
      </c>
      <c r="H1812" s="1228">
        <v>0</v>
      </c>
      <c r="I1812" s="1229">
        <v>0</v>
      </c>
      <c r="J1812" s="1229">
        <v>0</v>
      </c>
      <c r="K1812" s="1229">
        <v>0</v>
      </c>
      <c r="L1812" s="1229">
        <v>0</v>
      </c>
      <c r="M1812" s="1229">
        <v>31</v>
      </c>
      <c r="N1812" s="1229">
        <v>0</v>
      </c>
      <c r="O1812" s="1179">
        <f t="shared" si="427"/>
        <v>34.083333333333336</v>
      </c>
      <c r="P1812" s="2206"/>
      <c r="Q1812" s="1235"/>
      <c r="R1812" s="1235"/>
      <c r="S1812" s="1235"/>
      <c r="T1812" s="1235"/>
      <c r="U1812" s="1235"/>
      <c r="V1812" s="1235"/>
      <c r="W1812" s="1235"/>
    </row>
    <row r="1813" spans="1:23">
      <c r="A1813" s="2191" t="s">
        <v>277</v>
      </c>
      <c r="B1813" s="2192"/>
      <c r="C1813" s="2203">
        <f t="shared" ref="C1813:N1813" si="428">SUM(C1815:C1818)</f>
        <v>276</v>
      </c>
      <c r="D1813" s="2203">
        <f t="shared" si="428"/>
        <v>250</v>
      </c>
      <c r="E1813" s="2203">
        <f t="shared" si="428"/>
        <v>313</v>
      </c>
      <c r="F1813" s="2203">
        <f t="shared" si="428"/>
        <v>216</v>
      </c>
      <c r="G1813" s="2203">
        <f t="shared" si="428"/>
        <v>228</v>
      </c>
      <c r="H1813" s="2203">
        <f t="shared" si="428"/>
        <v>258</v>
      </c>
      <c r="I1813" s="2203">
        <f t="shared" si="428"/>
        <v>232</v>
      </c>
      <c r="J1813" s="2203">
        <f t="shared" si="428"/>
        <v>292</v>
      </c>
      <c r="K1813" s="2203">
        <f t="shared" si="428"/>
        <v>255</v>
      </c>
      <c r="L1813" s="2203">
        <f t="shared" si="428"/>
        <v>218</v>
      </c>
      <c r="M1813" s="2203">
        <f t="shared" si="428"/>
        <v>188</v>
      </c>
      <c r="N1813" s="2203">
        <f t="shared" si="428"/>
        <v>185</v>
      </c>
      <c r="O1813" s="2203">
        <f>SUM(O1815:O1818)</f>
        <v>242.58333333333334</v>
      </c>
      <c r="P1813" s="1180">
        <f>O1807/M!$Q$14</f>
        <v>0.12368245048330388</v>
      </c>
      <c r="Q1813" s="1235"/>
      <c r="R1813" s="1235"/>
      <c r="S1813" s="1235"/>
      <c r="T1813" s="1235"/>
      <c r="U1813" s="1235"/>
      <c r="V1813" s="1235"/>
      <c r="W1813" s="1235"/>
    </row>
    <row r="1814" spans="1:23">
      <c r="A1814" s="2193"/>
      <c r="B1814" s="2194"/>
      <c r="C1814" s="2204"/>
      <c r="D1814" s="2204"/>
      <c r="E1814" s="2204"/>
      <c r="F1814" s="2204"/>
      <c r="G1814" s="2204"/>
      <c r="H1814" s="2204"/>
      <c r="I1814" s="2204"/>
      <c r="J1814" s="2204"/>
      <c r="K1814" s="2204"/>
      <c r="L1814" s="2204"/>
      <c r="M1814" s="2204"/>
      <c r="N1814" s="2204"/>
      <c r="O1814" s="2204"/>
      <c r="P1814" s="1180">
        <f>O1808/M!$Q$14</f>
        <v>1.3436109357076937E-2</v>
      </c>
      <c r="Q1814" s="1235"/>
      <c r="R1814" s="1235"/>
      <c r="S1814" s="1235"/>
      <c r="T1814" s="1235"/>
      <c r="U1814" s="1235"/>
      <c r="V1814" s="1235"/>
      <c r="W1814" s="1235"/>
    </row>
    <row r="1815" spans="1:23">
      <c r="A1815" s="2217"/>
      <c r="B1815" s="1176" t="s">
        <v>410</v>
      </c>
      <c r="C1815" s="1228">
        <v>228</v>
      </c>
      <c r="D1815" s="1228">
        <v>210</v>
      </c>
      <c r="E1815" s="1228">
        <v>262</v>
      </c>
      <c r="F1815" s="1228">
        <v>186</v>
      </c>
      <c r="G1815" s="1228">
        <v>180</v>
      </c>
      <c r="H1815" s="1228">
        <v>228</v>
      </c>
      <c r="I1815" s="1229">
        <v>184</v>
      </c>
      <c r="J1815" s="1229">
        <v>228</v>
      </c>
      <c r="K1815" s="1229">
        <v>223</v>
      </c>
      <c r="L1815" s="1229">
        <v>180</v>
      </c>
      <c r="M1815" s="1229">
        <v>158</v>
      </c>
      <c r="N1815" s="1229">
        <v>155</v>
      </c>
      <c r="O1815" s="1179">
        <f>SUM(C1815:N1815)/12</f>
        <v>201.83333333333334</v>
      </c>
      <c r="P1815" s="1180">
        <f>O1809/M!$Q$14</f>
        <v>5.0964552733740107E-3</v>
      </c>
      <c r="Q1815" s="1235"/>
      <c r="R1815" s="1235"/>
      <c r="S1815" s="1235"/>
      <c r="T1815" s="1235"/>
      <c r="U1815" s="1235"/>
      <c r="V1815" s="1235"/>
      <c r="W1815" s="1235"/>
    </row>
    <row r="1816" spans="1:23">
      <c r="A1816" s="2218"/>
      <c r="B1816" s="1176" t="s">
        <v>457</v>
      </c>
      <c r="C1816" s="1228">
        <v>0</v>
      </c>
      <c r="D1816" s="1228">
        <v>0</v>
      </c>
      <c r="E1816" s="1228">
        <v>0</v>
      </c>
      <c r="F1816" s="1228">
        <v>0</v>
      </c>
      <c r="G1816" s="1228">
        <v>0</v>
      </c>
      <c r="H1816" s="1228">
        <v>0</v>
      </c>
      <c r="I1816" s="1229">
        <v>0</v>
      </c>
      <c r="J1816" s="1229">
        <v>0</v>
      </c>
      <c r="K1816" s="1229">
        <v>0</v>
      </c>
      <c r="L1816" s="1229">
        <v>0</v>
      </c>
      <c r="M1816" s="1229">
        <v>0</v>
      </c>
      <c r="N1816" s="1229">
        <v>0</v>
      </c>
      <c r="O1816" s="1179">
        <f>SUM(C1816:N1816)/12</f>
        <v>0</v>
      </c>
      <c r="P1816" s="1180">
        <f>O1810/M!$Q$14</f>
        <v>8.8478050493765812E-3</v>
      </c>
      <c r="Q1816" s="1235"/>
      <c r="R1816" s="1235"/>
      <c r="S1816" s="1235"/>
      <c r="T1816" s="1235"/>
      <c r="U1816" s="1235"/>
      <c r="V1816" s="1235"/>
      <c r="W1816" s="1235"/>
    </row>
    <row r="1817" spans="1:23">
      <c r="A1817" s="2218"/>
      <c r="B1817" s="1176" t="s">
        <v>458</v>
      </c>
      <c r="C1817" s="1228">
        <v>18</v>
      </c>
      <c r="D1817" s="1228">
        <v>10</v>
      </c>
      <c r="E1817" s="1228">
        <v>21</v>
      </c>
      <c r="F1817" s="1228">
        <v>0</v>
      </c>
      <c r="G1817" s="1228">
        <v>18</v>
      </c>
      <c r="H1817" s="1228">
        <v>0</v>
      </c>
      <c r="I1817" s="1229">
        <v>18</v>
      </c>
      <c r="J1817" s="1229">
        <v>34</v>
      </c>
      <c r="K1817" s="1229">
        <v>0</v>
      </c>
      <c r="L1817" s="1229">
        <v>8</v>
      </c>
      <c r="M1817" s="1229">
        <v>0</v>
      </c>
      <c r="N1817" s="1229">
        <v>0</v>
      </c>
      <c r="O1817" s="1179">
        <f>SUM(C1817:N1817)/12</f>
        <v>10.583333333333334</v>
      </c>
      <c r="P1817" s="1180">
        <f>O1811/M!$Q$14</f>
        <v>9.2662823152254742E-4</v>
      </c>
      <c r="Q1817" s="1235"/>
      <c r="R1817" s="1235"/>
      <c r="S1817" s="1235"/>
      <c r="T1817" s="1235"/>
      <c r="U1817" s="1235"/>
      <c r="V1817" s="1235"/>
      <c r="W1817" s="1235"/>
    </row>
    <row r="1818" spans="1:23">
      <c r="A1818" s="2219"/>
      <c r="B1818" s="1176" t="s">
        <v>459</v>
      </c>
      <c r="C1818" s="1228">
        <v>30</v>
      </c>
      <c r="D1818" s="1228">
        <v>30</v>
      </c>
      <c r="E1818" s="1228">
        <v>30</v>
      </c>
      <c r="F1818" s="1228">
        <v>30</v>
      </c>
      <c r="G1818" s="1228">
        <v>30</v>
      </c>
      <c r="H1818" s="1228">
        <v>30</v>
      </c>
      <c r="I1818" s="1229">
        <v>30</v>
      </c>
      <c r="J1818" s="1229">
        <v>30</v>
      </c>
      <c r="K1818" s="1229">
        <v>32</v>
      </c>
      <c r="L1818" s="1229">
        <v>30</v>
      </c>
      <c r="M1818" s="1229">
        <v>30</v>
      </c>
      <c r="N1818" s="1229">
        <v>30</v>
      </c>
      <c r="O1818" s="1179">
        <f>SUM(C1818:N1818)/12</f>
        <v>30.166666666666668</v>
      </c>
      <c r="P1818" s="1180">
        <f>O1812/M!$Q$14</f>
        <v>3.0563786023606607E-3</v>
      </c>
      <c r="Q1818" s="1235"/>
      <c r="R1818" s="1235"/>
      <c r="S1818" s="1235"/>
      <c r="T1818" s="1235"/>
      <c r="U1818" s="1235"/>
      <c r="V1818" s="1235"/>
      <c r="W1818" s="1235"/>
    </row>
    <row r="1819" spans="1:23">
      <c r="A1819" s="2191" t="s">
        <v>278</v>
      </c>
      <c r="B1819" s="2192"/>
      <c r="C1819" s="2203">
        <f t="shared" ref="C1819:J1819" si="429">SUM(C1821:C1822)</f>
        <v>414</v>
      </c>
      <c r="D1819" s="2203">
        <f t="shared" si="429"/>
        <v>522</v>
      </c>
      <c r="E1819" s="2203">
        <f t="shared" si="429"/>
        <v>415</v>
      </c>
      <c r="F1819" s="2203">
        <f t="shared" si="429"/>
        <v>485</v>
      </c>
      <c r="G1819" s="2203">
        <f t="shared" si="429"/>
        <v>634</v>
      </c>
      <c r="H1819" s="2203">
        <f t="shared" si="429"/>
        <v>535</v>
      </c>
      <c r="I1819" s="2203">
        <f t="shared" si="429"/>
        <v>537</v>
      </c>
      <c r="J1819" s="2203">
        <f t="shared" si="429"/>
        <v>724</v>
      </c>
      <c r="K1819" s="2203">
        <f>SUM(K1821:K1822)</f>
        <v>525</v>
      </c>
      <c r="L1819" s="2203">
        <f>SUM(L1821:L1822)</f>
        <v>455</v>
      </c>
      <c r="M1819" s="2203">
        <f>SUM(M1821:M1822)</f>
        <v>383</v>
      </c>
      <c r="N1819" s="2203">
        <f>SUM(N1821:N1822)</f>
        <v>586</v>
      </c>
      <c r="O1819" s="2203">
        <f>SUM(O1821:O1822)</f>
        <v>517.91666666666674</v>
      </c>
      <c r="P1819" s="2205">
        <f>O1813/M!$Q$14</f>
        <v>2.1753345015823673E-2</v>
      </c>
      <c r="Q1819" s="1235"/>
      <c r="R1819" s="1235"/>
      <c r="S1819" s="1235"/>
      <c r="T1819" s="1235"/>
      <c r="U1819" s="1235"/>
      <c r="V1819" s="1235"/>
      <c r="W1819" s="1235"/>
    </row>
    <row r="1820" spans="1:23">
      <c r="A1820" s="2193"/>
      <c r="B1820" s="2194"/>
      <c r="C1820" s="2204"/>
      <c r="D1820" s="2204"/>
      <c r="E1820" s="2204"/>
      <c r="F1820" s="2204"/>
      <c r="G1820" s="2204"/>
      <c r="H1820" s="2204"/>
      <c r="I1820" s="2204"/>
      <c r="J1820" s="2204"/>
      <c r="K1820" s="2204"/>
      <c r="L1820" s="2204"/>
      <c r="M1820" s="2204"/>
      <c r="N1820" s="2204"/>
      <c r="O1820" s="2204"/>
      <c r="P1820" s="2206"/>
      <c r="Q1820" s="1235"/>
      <c r="R1820" s="1235"/>
      <c r="S1820" s="1235"/>
      <c r="T1820" s="1235"/>
      <c r="U1820" s="1235"/>
      <c r="V1820" s="1235"/>
      <c r="W1820" s="1235"/>
    </row>
    <row r="1821" spans="1:23">
      <c r="A1821" s="2217"/>
      <c r="B1821" s="1176" t="s">
        <v>414</v>
      </c>
      <c r="C1821" s="1228">
        <v>297</v>
      </c>
      <c r="D1821" s="1228">
        <v>355</v>
      </c>
      <c r="E1821" s="1228">
        <v>292</v>
      </c>
      <c r="F1821" s="1228">
        <v>306</v>
      </c>
      <c r="G1821" s="1228">
        <v>414</v>
      </c>
      <c r="H1821" s="1228">
        <v>370</v>
      </c>
      <c r="I1821" s="1229">
        <v>453</v>
      </c>
      <c r="J1821" s="1229">
        <v>540</v>
      </c>
      <c r="K1821" s="1229">
        <v>304</v>
      </c>
      <c r="L1821" s="1229">
        <v>363</v>
      </c>
      <c r="M1821" s="1229">
        <v>315</v>
      </c>
      <c r="N1821" s="1229">
        <v>181</v>
      </c>
      <c r="O1821" s="1179">
        <f>SUM(C1821:N1821)/12</f>
        <v>349.16666666666669</v>
      </c>
      <c r="P1821" s="1180">
        <f>O1815/M!$Q$14</f>
        <v>1.8099141747964596E-2</v>
      </c>
      <c r="Q1821" s="1235"/>
      <c r="R1821" s="1235"/>
      <c r="S1821" s="1235"/>
      <c r="T1821" s="1235"/>
      <c r="U1821" s="1235"/>
      <c r="V1821" s="1235"/>
      <c r="W1821" s="1235"/>
    </row>
    <row r="1822" spans="1:23">
      <c r="A1822" s="2219"/>
      <c r="B1822" s="1176" t="s">
        <v>278</v>
      </c>
      <c r="C1822" s="1228">
        <v>117</v>
      </c>
      <c r="D1822" s="1228">
        <v>167</v>
      </c>
      <c r="E1822" s="1228">
        <v>123</v>
      </c>
      <c r="F1822" s="1228">
        <v>179</v>
      </c>
      <c r="G1822" s="1228">
        <v>220</v>
      </c>
      <c r="H1822" s="1228">
        <v>165</v>
      </c>
      <c r="I1822" s="1229">
        <v>84</v>
      </c>
      <c r="J1822" s="1229">
        <v>184</v>
      </c>
      <c r="K1822" s="1229">
        <v>221</v>
      </c>
      <c r="L1822" s="1229">
        <v>92</v>
      </c>
      <c r="M1822" s="1229">
        <v>68</v>
      </c>
      <c r="N1822" s="1229">
        <v>405</v>
      </c>
      <c r="O1822" s="1179">
        <f>SUM(C1822:N1822)/12</f>
        <v>168.75</v>
      </c>
      <c r="P1822" s="1180">
        <f>O1816/M!$Q$14</f>
        <v>0</v>
      </c>
      <c r="Q1822" s="1235"/>
      <c r="R1822" s="1235"/>
      <c r="S1822" s="1235"/>
      <c r="T1822" s="1235"/>
      <c r="U1822" s="1235"/>
      <c r="V1822" s="1235"/>
      <c r="W1822" s="1235"/>
    </row>
    <row r="1823" spans="1:23">
      <c r="A1823" s="2191" t="s">
        <v>279</v>
      </c>
      <c r="B1823" s="2192"/>
      <c r="C1823" s="2203">
        <f t="shared" ref="C1823:N1823" si="430">SUM(C1825:C1832)</f>
        <v>346</v>
      </c>
      <c r="D1823" s="2203">
        <f t="shared" si="430"/>
        <v>365</v>
      </c>
      <c r="E1823" s="2203">
        <f t="shared" si="430"/>
        <v>374</v>
      </c>
      <c r="F1823" s="2203">
        <f t="shared" si="430"/>
        <v>367</v>
      </c>
      <c r="G1823" s="2203">
        <f t="shared" si="430"/>
        <v>463</v>
      </c>
      <c r="H1823" s="2203">
        <f t="shared" si="430"/>
        <v>450</v>
      </c>
      <c r="I1823" s="2203">
        <f t="shared" si="430"/>
        <v>405</v>
      </c>
      <c r="J1823" s="2203">
        <f t="shared" si="430"/>
        <v>522</v>
      </c>
      <c r="K1823" s="2203">
        <f t="shared" si="430"/>
        <v>478</v>
      </c>
      <c r="L1823" s="2203">
        <f t="shared" si="430"/>
        <v>501</v>
      </c>
      <c r="M1823" s="2203">
        <f t="shared" si="430"/>
        <v>395</v>
      </c>
      <c r="N1823" s="2203">
        <f t="shared" si="430"/>
        <v>387</v>
      </c>
      <c r="O1823" s="2203">
        <f>SUM(O1825:O1832)</f>
        <v>421.08333333333337</v>
      </c>
      <c r="P1823" s="1180">
        <f>O1817/M!$Q$14</f>
        <v>9.4904665647873806E-4</v>
      </c>
      <c r="Q1823" s="1235"/>
      <c r="R1823" s="1235"/>
      <c r="S1823" s="1235"/>
      <c r="T1823" s="1235"/>
      <c r="U1823" s="1235"/>
      <c r="V1823" s="1235"/>
      <c r="W1823" s="1235"/>
    </row>
    <row r="1824" spans="1:23">
      <c r="A1824" s="2193"/>
      <c r="B1824" s="2194"/>
      <c r="C1824" s="2204"/>
      <c r="D1824" s="2204"/>
      <c r="E1824" s="2204"/>
      <c r="F1824" s="2204"/>
      <c r="G1824" s="2204"/>
      <c r="H1824" s="2204"/>
      <c r="I1824" s="2204"/>
      <c r="J1824" s="2204"/>
      <c r="K1824" s="2204"/>
      <c r="L1824" s="2204"/>
      <c r="M1824" s="2204"/>
      <c r="N1824" s="2204"/>
      <c r="O1824" s="2204"/>
      <c r="P1824" s="1180">
        <f>O1818/M!$Q$14</f>
        <v>2.7051566113803402E-3</v>
      </c>
      <c r="Q1824" s="1235"/>
      <c r="R1824" s="1235"/>
      <c r="S1824" s="1235"/>
      <c r="T1824" s="1235"/>
      <c r="U1824" s="1235"/>
      <c r="V1824" s="1235"/>
      <c r="W1824" s="1235"/>
    </row>
    <row r="1825" spans="1:23">
      <c r="A1825" s="2217"/>
      <c r="B1825" s="1176" t="s">
        <v>415</v>
      </c>
      <c r="C1825" s="1228">
        <v>39</v>
      </c>
      <c r="D1825" s="1228">
        <v>36</v>
      </c>
      <c r="E1825" s="1228">
        <v>42</v>
      </c>
      <c r="F1825" s="1228">
        <v>40</v>
      </c>
      <c r="G1825" s="1228">
        <v>33</v>
      </c>
      <c r="H1825" s="1228">
        <v>42</v>
      </c>
      <c r="I1825" s="1229">
        <v>53</v>
      </c>
      <c r="J1825" s="1229">
        <v>104</v>
      </c>
      <c r="K1825" s="1229">
        <v>88</v>
      </c>
      <c r="L1825" s="1229">
        <v>53</v>
      </c>
      <c r="M1825" s="1229">
        <v>50</v>
      </c>
      <c r="N1825" s="1229">
        <v>45</v>
      </c>
      <c r="O1825" s="1179">
        <f t="shared" ref="O1825:O1832" si="431">SUM(C1825:N1825)/12</f>
        <v>52.083333333333336</v>
      </c>
      <c r="P1825" s="2205">
        <f>O1819/M!$Q$14</f>
        <v>4.6443503700908328E-2</v>
      </c>
      <c r="Q1825" s="1235"/>
      <c r="R1825" s="1235"/>
      <c r="S1825" s="1235"/>
      <c r="T1825" s="1235"/>
      <c r="U1825" s="1235"/>
      <c r="V1825" s="1235"/>
      <c r="W1825" s="1235"/>
    </row>
    <row r="1826" spans="1:23">
      <c r="A1826" s="2218"/>
      <c r="B1826" s="1176" t="s">
        <v>416</v>
      </c>
      <c r="C1826" s="1182">
        <v>0</v>
      </c>
      <c r="D1826" s="1182">
        <v>0</v>
      </c>
      <c r="E1826" s="1182">
        <v>0</v>
      </c>
      <c r="F1826" s="1182">
        <v>0</v>
      </c>
      <c r="G1826" s="1182">
        <v>0</v>
      </c>
      <c r="H1826" s="1182">
        <v>0</v>
      </c>
      <c r="I1826" s="1182">
        <v>0</v>
      </c>
      <c r="J1826" s="1182">
        <v>0</v>
      </c>
      <c r="K1826" s="1182">
        <v>0</v>
      </c>
      <c r="L1826" s="1182">
        <v>0</v>
      </c>
      <c r="M1826" s="1182">
        <v>0</v>
      </c>
      <c r="N1826" s="1182">
        <v>0</v>
      </c>
      <c r="O1826" s="1179">
        <f t="shared" si="431"/>
        <v>0</v>
      </c>
      <c r="P1826" s="2206"/>
      <c r="Q1826" s="1235"/>
      <c r="R1826" s="1235"/>
      <c r="S1826" s="1235"/>
      <c r="T1826" s="1235"/>
      <c r="U1826" s="1235"/>
      <c r="V1826" s="1235"/>
      <c r="W1826" s="1235"/>
    </row>
    <row r="1827" spans="1:23">
      <c r="A1827" s="2218"/>
      <c r="B1827" s="1176" t="s">
        <v>417</v>
      </c>
      <c r="C1827" s="1182">
        <v>0</v>
      </c>
      <c r="D1827" s="1182">
        <v>0</v>
      </c>
      <c r="E1827" s="1182">
        <v>0</v>
      </c>
      <c r="F1827" s="1182">
        <v>0</v>
      </c>
      <c r="G1827" s="1182">
        <v>0</v>
      </c>
      <c r="H1827" s="1182">
        <v>0</v>
      </c>
      <c r="I1827" s="1182">
        <v>0</v>
      </c>
      <c r="J1827" s="1182">
        <v>0</v>
      </c>
      <c r="K1827" s="1182">
        <v>0</v>
      </c>
      <c r="L1827" s="1182">
        <v>0</v>
      </c>
      <c r="M1827" s="1182">
        <v>0</v>
      </c>
      <c r="N1827" s="1182">
        <v>0</v>
      </c>
      <c r="O1827" s="1179">
        <f t="shared" si="431"/>
        <v>0</v>
      </c>
      <c r="P1827" s="1180">
        <f>O1821/M!$Q$14</f>
        <v>3.131106685547963E-2</v>
      </c>
      <c r="Q1827" s="1235"/>
      <c r="R1827" s="1235"/>
      <c r="S1827" s="1235"/>
      <c r="T1827" s="1235"/>
      <c r="U1827" s="1235"/>
      <c r="V1827" s="1235"/>
      <c r="W1827" s="1235"/>
    </row>
    <row r="1828" spans="1:23">
      <c r="A1828" s="2218"/>
      <c r="B1828" s="1176" t="s">
        <v>410</v>
      </c>
      <c r="C1828" s="1228">
        <v>0</v>
      </c>
      <c r="D1828" s="1228">
        <v>0</v>
      </c>
      <c r="E1828" s="1228">
        <v>0</v>
      </c>
      <c r="F1828" s="1228">
        <v>0</v>
      </c>
      <c r="G1828" s="1228">
        <v>0</v>
      </c>
      <c r="H1828" s="1228">
        <v>0</v>
      </c>
      <c r="I1828" s="1229">
        <v>0</v>
      </c>
      <c r="J1828" s="1229">
        <v>0</v>
      </c>
      <c r="K1828" s="1229">
        <v>0</v>
      </c>
      <c r="L1828" s="1229">
        <v>0</v>
      </c>
      <c r="M1828" s="1229">
        <v>0</v>
      </c>
      <c r="N1828" s="1229">
        <v>0</v>
      </c>
      <c r="O1828" s="1179">
        <f t="shared" si="431"/>
        <v>0</v>
      </c>
      <c r="P1828" s="1180">
        <f>O1822/M!$Q$14</f>
        <v>1.5132436845428697E-2</v>
      </c>
      <c r="Q1828" s="1235"/>
      <c r="R1828" s="1235"/>
      <c r="S1828" s="1235"/>
      <c r="T1828" s="1235"/>
      <c r="U1828" s="1235"/>
      <c r="V1828" s="1235"/>
      <c r="W1828" s="1235"/>
    </row>
    <row r="1829" spans="1:23">
      <c r="A1829" s="2218"/>
      <c r="B1829" s="1176" t="s">
        <v>418</v>
      </c>
      <c r="C1829" s="1228">
        <v>70</v>
      </c>
      <c r="D1829" s="1228">
        <v>70</v>
      </c>
      <c r="E1829" s="1228">
        <v>55</v>
      </c>
      <c r="F1829" s="1228">
        <v>70</v>
      </c>
      <c r="G1829" s="1228">
        <v>70</v>
      </c>
      <c r="H1829" s="1228">
        <v>70</v>
      </c>
      <c r="I1829" s="1229">
        <v>55</v>
      </c>
      <c r="J1829" s="1229">
        <v>70</v>
      </c>
      <c r="K1829" s="1229">
        <v>70</v>
      </c>
      <c r="L1829" s="1229">
        <v>70</v>
      </c>
      <c r="M1829" s="1229">
        <v>70</v>
      </c>
      <c r="N1829" s="1229">
        <v>70</v>
      </c>
      <c r="O1829" s="1179">
        <f t="shared" si="431"/>
        <v>67.5</v>
      </c>
      <c r="P1829" s="2205">
        <f>O1823/M!$Q$14</f>
        <v>3.7760100434543808E-2</v>
      </c>
      <c r="Q1829" s="1235"/>
      <c r="R1829" s="1235"/>
      <c r="S1829" s="1235"/>
      <c r="T1829" s="1235"/>
      <c r="U1829" s="1235"/>
      <c r="V1829" s="1235"/>
      <c r="W1829" s="1235"/>
    </row>
    <row r="1830" spans="1:23">
      <c r="A1830" s="2218"/>
      <c r="B1830" s="1176" t="s">
        <v>419</v>
      </c>
      <c r="C1830" s="1228">
        <v>30</v>
      </c>
      <c r="D1830" s="1228">
        <v>30</v>
      </c>
      <c r="E1830" s="1228">
        <v>30</v>
      </c>
      <c r="F1830" s="1228">
        <v>30</v>
      </c>
      <c r="G1830" s="1228">
        <v>30</v>
      </c>
      <c r="H1830" s="1228">
        <v>30</v>
      </c>
      <c r="I1830" s="1229">
        <v>30</v>
      </c>
      <c r="J1830" s="1229">
        <v>30</v>
      </c>
      <c r="K1830" s="1229">
        <v>30</v>
      </c>
      <c r="L1830" s="1229">
        <v>60</v>
      </c>
      <c r="M1830" s="1229">
        <v>30</v>
      </c>
      <c r="N1830" s="1229">
        <v>40</v>
      </c>
      <c r="O1830" s="1179">
        <f t="shared" si="431"/>
        <v>33.333333333333336</v>
      </c>
      <c r="P1830" s="2206"/>
      <c r="Q1830" s="1235"/>
      <c r="R1830" s="1235"/>
      <c r="S1830" s="1235"/>
      <c r="T1830" s="1235"/>
      <c r="U1830" s="1235"/>
      <c r="V1830" s="1235"/>
      <c r="W1830" s="1235"/>
    </row>
    <row r="1831" spans="1:23">
      <c r="A1831" s="2218"/>
      <c r="B1831" s="1176" t="s">
        <v>460</v>
      </c>
      <c r="C1831" s="1228">
        <v>120</v>
      </c>
      <c r="D1831" s="1228">
        <v>138</v>
      </c>
      <c r="E1831" s="1228">
        <v>157</v>
      </c>
      <c r="F1831" s="1228">
        <v>177</v>
      </c>
      <c r="G1831" s="1228">
        <v>250</v>
      </c>
      <c r="H1831" s="1228">
        <v>217</v>
      </c>
      <c r="I1831" s="1229">
        <v>187</v>
      </c>
      <c r="J1831" s="1229">
        <v>238</v>
      </c>
      <c r="K1831" s="1229">
        <v>210</v>
      </c>
      <c r="L1831" s="1229">
        <v>238</v>
      </c>
      <c r="M1831" s="1229">
        <v>165</v>
      </c>
      <c r="N1831" s="1229">
        <v>152</v>
      </c>
      <c r="O1831" s="1179">
        <f t="shared" si="431"/>
        <v>187.41666666666666</v>
      </c>
      <c r="P1831" s="1180">
        <f>O1825/M!$Q$14</f>
        <v>4.6705051992063885E-3</v>
      </c>
      <c r="Q1831" s="1235"/>
      <c r="R1831" s="1235"/>
      <c r="S1831" s="1235"/>
      <c r="T1831" s="1235"/>
      <c r="U1831" s="1235"/>
      <c r="V1831" s="1235"/>
      <c r="W1831" s="1235"/>
    </row>
    <row r="1832" spans="1:23">
      <c r="A1832" s="2219"/>
      <c r="B1832" s="1176" t="s">
        <v>421</v>
      </c>
      <c r="C1832" s="1228">
        <v>87</v>
      </c>
      <c r="D1832" s="1228">
        <v>91</v>
      </c>
      <c r="E1832" s="1228">
        <v>90</v>
      </c>
      <c r="F1832" s="1228">
        <v>50</v>
      </c>
      <c r="G1832" s="1228">
        <v>80</v>
      </c>
      <c r="H1832" s="1228">
        <v>91</v>
      </c>
      <c r="I1832" s="1229">
        <v>80</v>
      </c>
      <c r="J1832" s="1229">
        <v>80</v>
      </c>
      <c r="K1832" s="1229">
        <v>80</v>
      </c>
      <c r="L1832" s="1229">
        <v>80</v>
      </c>
      <c r="M1832" s="1229">
        <v>80</v>
      </c>
      <c r="N1832" s="1229">
        <v>80</v>
      </c>
      <c r="O1832" s="1179">
        <f t="shared" si="431"/>
        <v>80.75</v>
      </c>
      <c r="P1832" s="1180">
        <f>O1826/M!$Q$14</f>
        <v>0</v>
      </c>
      <c r="Q1832" s="1235"/>
      <c r="R1832" s="1235"/>
      <c r="S1832" s="1235"/>
      <c r="T1832" s="1235"/>
      <c r="U1832" s="1235"/>
      <c r="V1832" s="1235"/>
      <c r="W1832" s="1235"/>
    </row>
    <row r="1833" spans="1:23">
      <c r="A1833" s="2191" t="s">
        <v>280</v>
      </c>
      <c r="B1833" s="2192"/>
      <c r="C1833" s="2203">
        <f t="shared" ref="C1833:O1833" si="432">SUM(C1835:C1841)</f>
        <v>698</v>
      </c>
      <c r="D1833" s="2203">
        <f t="shared" si="432"/>
        <v>861</v>
      </c>
      <c r="E1833" s="2203">
        <f t="shared" si="432"/>
        <v>382</v>
      </c>
      <c r="F1833" s="2203">
        <f t="shared" si="432"/>
        <v>1617</v>
      </c>
      <c r="G1833" s="2203">
        <f t="shared" si="432"/>
        <v>921</v>
      </c>
      <c r="H1833" s="2203">
        <f t="shared" si="432"/>
        <v>820</v>
      </c>
      <c r="I1833" s="2203">
        <f t="shared" si="432"/>
        <v>1045</v>
      </c>
      <c r="J1833" s="2203">
        <f t="shared" si="432"/>
        <v>1283</v>
      </c>
      <c r="K1833" s="2203">
        <f t="shared" si="432"/>
        <v>679</v>
      </c>
      <c r="L1833" s="2203">
        <f t="shared" si="432"/>
        <v>282</v>
      </c>
      <c r="M1833" s="2203">
        <f t="shared" si="432"/>
        <v>857</v>
      </c>
      <c r="N1833" s="2203">
        <f t="shared" si="432"/>
        <v>1639</v>
      </c>
      <c r="O1833" s="2203">
        <f t="shared" si="432"/>
        <v>923.66666666666674</v>
      </c>
      <c r="P1833" s="1180">
        <f>O1827/M!$Q$14</f>
        <v>0</v>
      </c>
      <c r="Q1833" s="1235"/>
      <c r="R1833" s="1235"/>
      <c r="S1833" s="1235"/>
      <c r="T1833" s="1235"/>
      <c r="U1833" s="1235"/>
      <c r="V1833" s="1235"/>
      <c r="W1833" s="1235"/>
    </row>
    <row r="1834" spans="1:23">
      <c r="A1834" s="2193"/>
      <c r="B1834" s="2194"/>
      <c r="C1834" s="2204"/>
      <c r="D1834" s="2204"/>
      <c r="E1834" s="2204"/>
      <c r="F1834" s="2204"/>
      <c r="G1834" s="2204"/>
      <c r="H1834" s="2204"/>
      <c r="I1834" s="2204"/>
      <c r="J1834" s="2204"/>
      <c r="K1834" s="2204"/>
      <c r="L1834" s="2204"/>
      <c r="M1834" s="2204"/>
      <c r="N1834" s="2204"/>
      <c r="O1834" s="2204"/>
      <c r="P1834" s="1180">
        <f>O1828/M!$Q$14</f>
        <v>0</v>
      </c>
      <c r="Q1834" s="1235"/>
      <c r="R1834" s="1235"/>
      <c r="S1834" s="1235"/>
      <c r="T1834" s="1235"/>
      <c r="U1834" s="1235"/>
      <c r="V1834" s="1235"/>
      <c r="W1834" s="1235"/>
    </row>
    <row r="1835" spans="1:23">
      <c r="A1835" s="2217"/>
      <c r="B1835" s="1176" t="s">
        <v>280</v>
      </c>
      <c r="C1835" s="1228">
        <v>186</v>
      </c>
      <c r="D1835" s="1228">
        <v>227</v>
      </c>
      <c r="E1835" s="1228">
        <v>146</v>
      </c>
      <c r="F1835" s="1228">
        <v>442</v>
      </c>
      <c r="G1835" s="1228">
        <v>145</v>
      </c>
      <c r="H1835" s="1228">
        <v>124</v>
      </c>
      <c r="I1835" s="1229">
        <v>411</v>
      </c>
      <c r="J1835" s="1229">
        <v>205</v>
      </c>
      <c r="K1835" s="1229">
        <v>134</v>
      </c>
      <c r="L1835" s="1229">
        <v>99</v>
      </c>
      <c r="M1835" s="1229">
        <v>189</v>
      </c>
      <c r="N1835" s="1229">
        <v>327</v>
      </c>
      <c r="O1835" s="1179">
        <f t="shared" ref="O1835:O1841" si="433">SUM(C1835:N1835)/12</f>
        <v>219.58333333333334</v>
      </c>
      <c r="P1835" s="1180">
        <f>O1829/M!$Q$14</f>
        <v>6.0529747381714788E-3</v>
      </c>
      <c r="Q1835" s="1235"/>
      <c r="R1835" s="1235"/>
      <c r="S1835" s="1235"/>
      <c r="T1835" s="1235"/>
      <c r="U1835" s="1235"/>
      <c r="V1835" s="1235"/>
      <c r="W1835" s="1235"/>
    </row>
    <row r="1836" spans="1:23">
      <c r="A1836" s="2218"/>
      <c r="B1836" s="1176" t="s">
        <v>423</v>
      </c>
      <c r="C1836" s="1228">
        <v>85</v>
      </c>
      <c r="D1836" s="1228">
        <v>407</v>
      </c>
      <c r="E1836" s="1228">
        <v>0</v>
      </c>
      <c r="F1836" s="1228">
        <v>227</v>
      </c>
      <c r="G1836" s="1228">
        <v>431</v>
      </c>
      <c r="H1836" s="1228">
        <v>143</v>
      </c>
      <c r="I1836" s="1229">
        <v>156</v>
      </c>
      <c r="J1836" s="1229">
        <v>0</v>
      </c>
      <c r="K1836" s="1229">
        <v>177</v>
      </c>
      <c r="L1836" s="1229">
        <v>141</v>
      </c>
      <c r="M1836" s="1229">
        <v>233</v>
      </c>
      <c r="N1836" s="1229">
        <v>190</v>
      </c>
      <c r="O1836" s="1179">
        <f t="shared" si="433"/>
        <v>182.5</v>
      </c>
      <c r="P1836" s="1180">
        <f>O1830/M!$Q$14</f>
        <v>2.9891233274920883E-3</v>
      </c>
      <c r="Q1836" s="1235"/>
      <c r="R1836" s="1235"/>
      <c r="S1836" s="1235"/>
      <c r="T1836" s="1235"/>
      <c r="U1836" s="1235"/>
      <c r="V1836" s="1235"/>
      <c r="W1836" s="1235"/>
    </row>
    <row r="1837" spans="1:23">
      <c r="A1837" s="2218"/>
      <c r="B1837" s="1176" t="s">
        <v>424</v>
      </c>
      <c r="C1837" s="1228">
        <v>53</v>
      </c>
      <c r="D1837" s="1228">
        <v>0</v>
      </c>
      <c r="E1837" s="1228">
        <v>0</v>
      </c>
      <c r="F1837" s="1228">
        <v>0</v>
      </c>
      <c r="G1837" s="1228">
        <v>0</v>
      </c>
      <c r="H1837" s="1228">
        <v>0</v>
      </c>
      <c r="I1837" s="1229">
        <v>137</v>
      </c>
      <c r="J1837" s="1229">
        <v>0</v>
      </c>
      <c r="K1837" s="1229">
        <v>0</v>
      </c>
      <c r="L1837" s="1229">
        <v>0</v>
      </c>
      <c r="M1837" s="1229">
        <v>0</v>
      </c>
      <c r="N1837" s="1229">
        <v>0</v>
      </c>
      <c r="O1837" s="1179">
        <f t="shared" si="433"/>
        <v>15.833333333333334</v>
      </c>
      <c r="P1837" s="1180">
        <f>O1831/M!$Q$14</f>
        <v>1.6806345908824266E-2</v>
      </c>
      <c r="Q1837" s="1235"/>
      <c r="R1837" s="1235"/>
      <c r="S1837" s="1235"/>
      <c r="T1837" s="1235"/>
      <c r="U1837" s="1235"/>
      <c r="V1837" s="1235"/>
      <c r="W1837" s="1235"/>
    </row>
    <row r="1838" spans="1:23">
      <c r="A1838" s="2218"/>
      <c r="B1838" s="1176" t="s">
        <v>425</v>
      </c>
      <c r="C1838" s="1228">
        <v>0</v>
      </c>
      <c r="D1838" s="1228">
        <v>0</v>
      </c>
      <c r="E1838" s="1228">
        <v>0</v>
      </c>
      <c r="F1838" s="1228">
        <v>30</v>
      </c>
      <c r="G1838" s="1228">
        <v>0</v>
      </c>
      <c r="H1838" s="1228">
        <v>0</v>
      </c>
      <c r="I1838" s="1229">
        <v>0</v>
      </c>
      <c r="J1838" s="1229">
        <v>0</v>
      </c>
      <c r="K1838" s="1229">
        <v>0</v>
      </c>
      <c r="L1838" s="1229">
        <v>0</v>
      </c>
      <c r="M1838" s="1229">
        <v>0</v>
      </c>
      <c r="N1838" s="1229">
        <v>53</v>
      </c>
      <c r="O1838" s="1179">
        <f t="shared" si="433"/>
        <v>6.916666666666667</v>
      </c>
      <c r="P1838" s="1180">
        <f>O1832/M!$Q$14</f>
        <v>7.2411512608495836E-3</v>
      </c>
      <c r="Q1838" s="1235"/>
      <c r="R1838" s="1235"/>
      <c r="S1838" s="1235"/>
      <c r="T1838" s="1235"/>
      <c r="U1838" s="1235"/>
      <c r="V1838" s="1235"/>
      <c r="W1838" s="1235"/>
    </row>
    <row r="1839" spans="1:23">
      <c r="A1839" s="2218"/>
      <c r="B1839" s="1176" t="s">
        <v>667</v>
      </c>
      <c r="C1839" s="1228">
        <v>131</v>
      </c>
      <c r="D1839" s="1228">
        <v>144</v>
      </c>
      <c r="E1839" s="1228">
        <v>0</v>
      </c>
      <c r="F1839" s="1228">
        <v>848</v>
      </c>
      <c r="G1839" s="1228">
        <v>45</v>
      </c>
      <c r="H1839" s="1228">
        <v>113</v>
      </c>
      <c r="I1839" s="1229">
        <v>317</v>
      </c>
      <c r="J1839" s="1229">
        <v>558</v>
      </c>
      <c r="K1839" s="1229">
        <v>68</v>
      </c>
      <c r="L1839" s="1229">
        <v>8</v>
      </c>
      <c r="M1839" s="1229">
        <v>308</v>
      </c>
      <c r="N1839" s="1229">
        <v>117</v>
      </c>
      <c r="O1839" s="1179">
        <f t="shared" si="433"/>
        <v>221.41666666666666</v>
      </c>
      <c r="P1839" s="2205">
        <f>O1833/M!$Q$14</f>
        <v>8.2828607404805771E-2</v>
      </c>
      <c r="Q1839" s="1235"/>
      <c r="R1839" s="1235"/>
      <c r="S1839" s="1235"/>
      <c r="T1839" s="1235"/>
      <c r="U1839" s="1235"/>
      <c r="V1839" s="1235"/>
      <c r="W1839" s="1235"/>
    </row>
    <row r="1840" spans="1:23">
      <c r="A1840" s="2218"/>
      <c r="B1840" s="1176" t="s">
        <v>427</v>
      </c>
      <c r="C1840" s="1228">
        <v>0</v>
      </c>
      <c r="D1840" s="1228">
        <v>0</v>
      </c>
      <c r="E1840" s="1228">
        <v>0</v>
      </c>
      <c r="F1840" s="1228">
        <v>0</v>
      </c>
      <c r="G1840" s="1228">
        <v>0</v>
      </c>
      <c r="H1840" s="1228">
        <v>0</v>
      </c>
      <c r="I1840" s="1229">
        <v>0</v>
      </c>
      <c r="J1840" s="1229">
        <v>0</v>
      </c>
      <c r="K1840" s="1229">
        <v>0</v>
      </c>
      <c r="L1840" s="1229">
        <v>0</v>
      </c>
      <c r="M1840" s="1229">
        <v>0</v>
      </c>
      <c r="N1840" s="1229">
        <v>0</v>
      </c>
      <c r="O1840" s="1179">
        <f t="shared" si="433"/>
        <v>0</v>
      </c>
      <c r="P1840" s="2206"/>
      <c r="Q1840" s="1235"/>
      <c r="R1840" s="1235"/>
      <c r="S1840" s="1235"/>
      <c r="T1840" s="1235"/>
      <c r="U1840" s="1235"/>
      <c r="V1840" s="1235"/>
      <c r="W1840" s="1235"/>
    </row>
    <row r="1841" spans="1:23">
      <c r="A1841" s="2219"/>
      <c r="B1841" s="1176" t="s">
        <v>381</v>
      </c>
      <c r="C1841" s="1228">
        <v>243</v>
      </c>
      <c r="D1841" s="1228">
        <v>83</v>
      </c>
      <c r="E1841" s="1228">
        <v>236</v>
      </c>
      <c r="F1841" s="1228">
        <v>70</v>
      </c>
      <c r="G1841" s="1228">
        <v>300</v>
      </c>
      <c r="H1841" s="1228">
        <v>440</v>
      </c>
      <c r="I1841" s="1229">
        <v>24</v>
      </c>
      <c r="J1841" s="1229">
        <v>520</v>
      </c>
      <c r="K1841" s="1229">
        <v>300</v>
      </c>
      <c r="L1841" s="1229">
        <v>34</v>
      </c>
      <c r="M1841" s="1229">
        <v>127</v>
      </c>
      <c r="N1841" s="1229">
        <v>952</v>
      </c>
      <c r="O1841" s="1179">
        <f t="shared" si="433"/>
        <v>277.41666666666669</v>
      </c>
      <c r="P1841" s="1180">
        <f>O1835/M!$Q$14</f>
        <v>1.9690849919854134E-2</v>
      </c>
      <c r="Q1841" s="1235"/>
      <c r="R1841" s="1235"/>
      <c r="S1841" s="1235"/>
      <c r="T1841" s="1235"/>
      <c r="U1841" s="1235"/>
      <c r="V1841" s="1235"/>
      <c r="W1841" s="1235"/>
    </row>
    <row r="1842" spans="1:23">
      <c r="A1842" s="2191" t="s">
        <v>428</v>
      </c>
      <c r="B1842" s="2192"/>
      <c r="C1842" s="2203">
        <f>SUM(C1844:C1845)</f>
        <v>0</v>
      </c>
      <c r="D1842" s="2203">
        <f t="shared" ref="D1842:N1842" si="434">SUM(D1844:D1845)</f>
        <v>0</v>
      </c>
      <c r="E1842" s="2203">
        <f t="shared" si="434"/>
        <v>0</v>
      </c>
      <c r="F1842" s="2203">
        <f t="shared" si="434"/>
        <v>0</v>
      </c>
      <c r="G1842" s="2203">
        <f t="shared" si="434"/>
        <v>0</v>
      </c>
      <c r="H1842" s="2203">
        <f t="shared" si="434"/>
        <v>0</v>
      </c>
      <c r="I1842" s="2203">
        <f t="shared" si="434"/>
        <v>0</v>
      </c>
      <c r="J1842" s="2203">
        <f t="shared" si="434"/>
        <v>0</v>
      </c>
      <c r="K1842" s="2203">
        <f t="shared" si="434"/>
        <v>0</v>
      </c>
      <c r="L1842" s="2203">
        <f t="shared" si="434"/>
        <v>0</v>
      </c>
      <c r="M1842" s="2203">
        <f t="shared" si="434"/>
        <v>0</v>
      </c>
      <c r="N1842" s="2203">
        <f t="shared" si="434"/>
        <v>0</v>
      </c>
      <c r="O1842" s="2203">
        <f>SUM(O1844:O1845)</f>
        <v>0</v>
      </c>
      <c r="P1842" s="1180">
        <f>O1836/M!$Q$14</f>
        <v>1.6365450218019183E-2</v>
      </c>
      <c r="Q1842" s="1235"/>
      <c r="R1842" s="1235"/>
      <c r="S1842" s="1235"/>
      <c r="T1842" s="1235"/>
      <c r="U1842" s="1235"/>
      <c r="V1842" s="1235"/>
      <c r="W1842" s="1235"/>
    </row>
    <row r="1843" spans="1:23">
      <c r="A1843" s="2193"/>
      <c r="B1843" s="2194"/>
      <c r="C1843" s="2204"/>
      <c r="D1843" s="2204"/>
      <c r="E1843" s="2204"/>
      <c r="F1843" s="2204"/>
      <c r="G1843" s="2204"/>
      <c r="H1843" s="2204"/>
      <c r="I1843" s="2204"/>
      <c r="J1843" s="2204"/>
      <c r="K1843" s="2204"/>
      <c r="L1843" s="2204"/>
      <c r="M1843" s="2204"/>
      <c r="N1843" s="2204"/>
      <c r="O1843" s="2204"/>
      <c r="P1843" s="1180">
        <f>O1837/M!$Q$14</f>
        <v>1.419833580558742E-3</v>
      </c>
      <c r="Q1843" s="1235"/>
      <c r="R1843" s="1235"/>
      <c r="S1843" s="1235"/>
      <c r="T1843" s="1235"/>
      <c r="U1843" s="1235"/>
      <c r="V1843" s="1235"/>
      <c r="W1843" s="1235"/>
    </row>
    <row r="1844" spans="1:23">
      <c r="A1844" s="2217"/>
      <c r="B1844" s="1176" t="s">
        <v>429</v>
      </c>
      <c r="C1844" s="1177">
        <v>0</v>
      </c>
      <c r="D1844" s="1177">
        <v>0</v>
      </c>
      <c r="E1844" s="1177">
        <v>0</v>
      </c>
      <c r="F1844" s="1177">
        <v>0</v>
      </c>
      <c r="G1844" s="1177">
        <v>0</v>
      </c>
      <c r="H1844" s="1177">
        <v>0</v>
      </c>
      <c r="I1844" s="1177">
        <v>0</v>
      </c>
      <c r="J1844" s="1177">
        <v>0</v>
      </c>
      <c r="K1844" s="1177">
        <v>0</v>
      </c>
      <c r="L1844" s="1177">
        <v>0</v>
      </c>
      <c r="M1844" s="1177">
        <v>0</v>
      </c>
      <c r="N1844" s="1177">
        <v>0</v>
      </c>
      <c r="O1844" s="1179">
        <f>SUM(C1844:N1844)/12</f>
        <v>0</v>
      </c>
      <c r="P1844" s="1180">
        <f>O1838/M!$Q$14</f>
        <v>6.2024309045460835E-4</v>
      </c>
      <c r="Q1844" s="1235"/>
      <c r="R1844" s="1235"/>
      <c r="S1844" s="1235"/>
      <c r="T1844" s="1235"/>
      <c r="U1844" s="1235"/>
      <c r="V1844" s="1235"/>
      <c r="W1844" s="1235"/>
    </row>
    <row r="1845" spans="1:23">
      <c r="A1845" s="2218"/>
      <c r="B1845" s="1176" t="s">
        <v>430</v>
      </c>
      <c r="C1845" s="1177">
        <v>0</v>
      </c>
      <c r="D1845" s="1177">
        <v>0</v>
      </c>
      <c r="E1845" s="1177">
        <v>0</v>
      </c>
      <c r="F1845" s="1177">
        <v>0</v>
      </c>
      <c r="G1845" s="1177">
        <v>0</v>
      </c>
      <c r="H1845" s="1177">
        <v>0</v>
      </c>
      <c r="I1845" s="1177">
        <v>0</v>
      </c>
      <c r="J1845" s="1177">
        <v>0</v>
      </c>
      <c r="K1845" s="1177">
        <v>0</v>
      </c>
      <c r="L1845" s="1177">
        <v>0</v>
      </c>
      <c r="M1845" s="1177">
        <v>0</v>
      </c>
      <c r="N1845" s="1177">
        <v>0</v>
      </c>
      <c r="O1845" s="1179">
        <f>SUM(C1845:N1845)/12</f>
        <v>0</v>
      </c>
      <c r="P1845" s="1180">
        <f>O1839/M!$Q$14</f>
        <v>1.9855251702866197E-2</v>
      </c>
      <c r="Q1845" s="1235"/>
      <c r="R1845" s="1235"/>
      <c r="S1845" s="1235"/>
      <c r="T1845" s="1235"/>
      <c r="U1845" s="1235"/>
      <c r="V1845" s="1235"/>
      <c r="W1845" s="1235"/>
    </row>
    <row r="1846" spans="1:23">
      <c r="A1846" s="2191" t="s">
        <v>668</v>
      </c>
      <c r="B1846" s="2192"/>
      <c r="C1846" s="2203">
        <f>SUM(C1848:C1851)</f>
        <v>178.5</v>
      </c>
      <c r="D1846" s="2203">
        <f t="shared" ref="D1846:N1846" si="435">SUM(D1848:D1851)</f>
        <v>94.25</v>
      </c>
      <c r="E1846" s="2203">
        <f t="shared" si="435"/>
        <v>94.25</v>
      </c>
      <c r="F1846" s="2203">
        <f t="shared" si="435"/>
        <v>94.25</v>
      </c>
      <c r="G1846" s="2203">
        <f t="shared" si="435"/>
        <v>169.25</v>
      </c>
      <c r="H1846" s="2203">
        <f t="shared" si="435"/>
        <v>197.25</v>
      </c>
      <c r="I1846" s="2203">
        <f t="shared" si="435"/>
        <v>334.25</v>
      </c>
      <c r="J1846" s="2203">
        <f t="shared" si="435"/>
        <v>302.25</v>
      </c>
      <c r="K1846" s="2203">
        <f t="shared" si="435"/>
        <v>247.25</v>
      </c>
      <c r="L1846" s="2203">
        <f t="shared" si="435"/>
        <v>104.25</v>
      </c>
      <c r="M1846" s="2203">
        <f t="shared" si="435"/>
        <v>127.25</v>
      </c>
      <c r="N1846" s="2203">
        <f t="shared" si="435"/>
        <v>104.25</v>
      </c>
      <c r="O1846" s="2203">
        <f>SUM(O1848:O1856)</f>
        <v>1662.1875000000002</v>
      </c>
      <c r="P1846" s="1180">
        <f>O1840/M!$Q$14</f>
        <v>0</v>
      </c>
      <c r="Q1846" s="1235"/>
      <c r="R1846" s="1235"/>
      <c r="S1846" s="1235"/>
      <c r="T1846" s="1235"/>
      <c r="U1846" s="1235"/>
      <c r="V1846" s="1235"/>
      <c r="W1846" s="1235"/>
    </row>
    <row r="1847" spans="1:23">
      <c r="A1847" s="2193"/>
      <c r="B1847" s="2194"/>
      <c r="C1847" s="2204"/>
      <c r="D1847" s="2204"/>
      <c r="E1847" s="2204"/>
      <c r="F1847" s="2204"/>
      <c r="G1847" s="2204"/>
      <c r="H1847" s="2204"/>
      <c r="I1847" s="2204"/>
      <c r="J1847" s="2204"/>
      <c r="K1847" s="2204"/>
      <c r="L1847" s="2204"/>
      <c r="M1847" s="2204"/>
      <c r="N1847" s="2204"/>
      <c r="O1847" s="2204"/>
      <c r="P1847" s="1180">
        <f>O1841/M!$Q$14</f>
        <v>2.4876978893052907E-2</v>
      </c>
      <c r="Q1847" s="1235"/>
      <c r="R1847" s="1235"/>
      <c r="S1847" s="1235"/>
      <c r="T1847" s="1235"/>
      <c r="U1847" s="1235"/>
      <c r="V1847" s="1235"/>
      <c r="W1847" s="1235"/>
    </row>
    <row r="1848" spans="1:23">
      <c r="A1848" s="1183"/>
      <c r="B1848" s="1176" t="s">
        <v>432</v>
      </c>
      <c r="C1848" s="1184">
        <f>(FinSnapshot!$C$94 +FinSnapshot!$C$96+FinSnapshot!$C$102+FinSnapshot!$C$104)/12</f>
        <v>146.5</v>
      </c>
      <c r="D1848" s="1184">
        <f>(FinSnapshot!$B$94 +FinSnapshot!$B$96+FinSnapshot!$B$102+FinSnapshot!$B$104)/12</f>
        <v>72.25</v>
      </c>
      <c r="E1848" s="1184">
        <f>(FinSnapshot!$B$94 +FinSnapshot!$B$96+FinSnapshot!$B$102+FinSnapshot!$B$104)/12</f>
        <v>72.25</v>
      </c>
      <c r="F1848" s="1184">
        <f>(FinSnapshot!$B$94 +FinSnapshot!$B$96+FinSnapshot!$B$102+FinSnapshot!$B$104)/12</f>
        <v>72.25</v>
      </c>
      <c r="G1848" s="1184">
        <f>(FinSnapshot!$B$94 +FinSnapshot!$B$96+FinSnapshot!$B$102+FinSnapshot!$B$104)/12</f>
        <v>72.25</v>
      </c>
      <c r="H1848" s="1184">
        <f>(FinSnapshot!$B$94 +FinSnapshot!$B$96+FinSnapshot!$B$102+FinSnapshot!$B$104)/12</f>
        <v>72.25</v>
      </c>
      <c r="I1848" s="1184">
        <f>(FinSnapshot!$B$94 +FinSnapshot!$B$96+FinSnapshot!$B$102+FinSnapshot!$B$104)/12</f>
        <v>72.25</v>
      </c>
      <c r="J1848" s="1184">
        <f>(FinSnapshot!$B$94 +FinSnapshot!$B$96+FinSnapshot!$B$102+FinSnapshot!$B$104)/12</f>
        <v>72.25</v>
      </c>
      <c r="K1848" s="1184">
        <f>(FinSnapshot!$B$94 +FinSnapshot!$B$96+FinSnapshot!$B$102+FinSnapshot!$B$104)/12</f>
        <v>72.25</v>
      </c>
      <c r="L1848" s="1184">
        <f>(FinSnapshot!$B$94 +FinSnapshot!$B$96+FinSnapshot!$B$102+FinSnapshot!$B$104)/12</f>
        <v>72.25</v>
      </c>
      <c r="M1848" s="1184">
        <f>(FinSnapshot!$B$94 +FinSnapshot!$B$96+FinSnapshot!$B$102+FinSnapshot!$B$104)/12</f>
        <v>72.25</v>
      </c>
      <c r="N1848" s="1184">
        <f>(FinSnapshot!$B$94 +FinSnapshot!$B$96+FinSnapshot!$B$102+FinSnapshot!$B$104)/12</f>
        <v>72.25</v>
      </c>
      <c r="O1848" s="1179">
        <f>SUM(C1848:N1848)/12</f>
        <v>78.4375</v>
      </c>
      <c r="P1848" s="2205">
        <f>O1842/M!$Q$14</f>
        <v>0</v>
      </c>
      <c r="Q1848" s="1235"/>
      <c r="R1848" s="1235"/>
      <c r="S1848" s="1235"/>
      <c r="T1848" s="1235"/>
      <c r="U1848" s="1235"/>
      <c r="V1848" s="1235"/>
      <c r="W1848" s="1235"/>
    </row>
    <row r="1849" spans="1:23">
      <c r="A1849" s="1183"/>
      <c r="B1849" s="1176" t="s">
        <v>284</v>
      </c>
      <c r="C1849" s="1228">
        <v>10</v>
      </c>
      <c r="D1849" s="1228">
        <v>0</v>
      </c>
      <c r="E1849" s="1228">
        <v>0</v>
      </c>
      <c r="F1849" s="1228">
        <v>0</v>
      </c>
      <c r="G1849" s="1228">
        <v>75</v>
      </c>
      <c r="H1849" s="1228">
        <v>103</v>
      </c>
      <c r="I1849" s="1229">
        <v>240</v>
      </c>
      <c r="J1849" s="1229">
        <v>208</v>
      </c>
      <c r="K1849" s="1229">
        <v>153</v>
      </c>
      <c r="L1849" s="1229">
        <v>10</v>
      </c>
      <c r="M1849" s="1229">
        <v>33</v>
      </c>
      <c r="N1849" s="1229">
        <v>10</v>
      </c>
      <c r="O1849" s="1179">
        <f>SUM(C1849:N1849)/12</f>
        <v>70.166666666666671</v>
      </c>
      <c r="P1849" s="2206"/>
      <c r="Q1849" s="1235"/>
      <c r="R1849" s="1235"/>
      <c r="S1849" s="1235"/>
      <c r="T1849" s="1235"/>
      <c r="U1849" s="1235"/>
      <c r="V1849" s="1235"/>
      <c r="W1849" s="1235"/>
    </row>
    <row r="1850" spans="1:23">
      <c r="A1850" s="1183"/>
      <c r="B1850" s="1176" t="s">
        <v>433</v>
      </c>
      <c r="C1850" s="1178">
        <f>(FinSnapshot!$C$93+ FinSnapshot!$C$95+ FinSnapshot!$C$96+ FinSnapshot!$C$103 + FinSnapshot!$C$105+ FinSnapshot!$C$107+ FinSnapshot!$C$108+ FinSnapshot!$C$101+FinSnapshot!$C$95+FinSnapshot!$C$103)/12</f>
        <v>22</v>
      </c>
      <c r="D1850" s="1178">
        <f>(FinSnapshot!$C$93+ FinSnapshot!$C$95+ FinSnapshot!$C$96+ FinSnapshot!$C$103 + FinSnapshot!$C$105+ FinSnapshot!$C$107+ FinSnapshot!$C$108+ FinSnapshot!$C$101+FinSnapshot!$C$95+FinSnapshot!$C$103)/12</f>
        <v>22</v>
      </c>
      <c r="E1850" s="1178">
        <f>(FinSnapshot!$C$93+ FinSnapshot!$C$95+ FinSnapshot!$C$96+ FinSnapshot!$C$103 + FinSnapshot!$C$105+ FinSnapshot!$C$107+ FinSnapshot!$C$108+ FinSnapshot!$C$101+FinSnapshot!$C$95+FinSnapshot!$C$103)/12</f>
        <v>22</v>
      </c>
      <c r="F1850" s="1178">
        <f>(FinSnapshot!$C$93+ FinSnapshot!$C$95+ FinSnapshot!$C$96+ FinSnapshot!$C$103 + FinSnapshot!$C$105+ FinSnapshot!$C$107+ FinSnapshot!$C$108+ FinSnapshot!$C$101+FinSnapshot!$C$95+FinSnapshot!$C$103)/12</f>
        <v>22</v>
      </c>
      <c r="G1850" s="1178">
        <f>(FinSnapshot!$C$93+ FinSnapshot!$C$95+ FinSnapshot!$C$96+ FinSnapshot!$C$103 + FinSnapshot!$C$105+ FinSnapshot!$C$107+ FinSnapshot!$C$108+ FinSnapshot!$C$101+FinSnapshot!$C$95+FinSnapshot!$C$103)/12</f>
        <v>22</v>
      </c>
      <c r="H1850" s="1178">
        <f>(FinSnapshot!$C$93+ FinSnapshot!$C$95+ FinSnapshot!$C$96+ FinSnapshot!$C$103 + FinSnapshot!$C$105+ FinSnapshot!$C$107+ FinSnapshot!$C$108+ FinSnapshot!$C$101+FinSnapshot!$C$95+FinSnapshot!$C$103)/12</f>
        <v>22</v>
      </c>
      <c r="I1850" s="1178">
        <f>(FinSnapshot!$C$93+ FinSnapshot!$C$95+ FinSnapshot!$C$96+ FinSnapshot!$C$103 + FinSnapshot!$C$105+ FinSnapshot!$C$107+ FinSnapshot!$C$108+ FinSnapshot!$C$101+FinSnapshot!$C$95+FinSnapshot!$C$103)/12</f>
        <v>22</v>
      </c>
      <c r="J1850" s="1178">
        <f>(FinSnapshot!$C$93+ FinSnapshot!$C$95+ FinSnapshot!$C$96+ FinSnapshot!$C$103 + FinSnapshot!$C$105+ FinSnapshot!$C$107+ FinSnapshot!$C$108+ FinSnapshot!$C$101+FinSnapshot!$C$95+FinSnapshot!$C$103)/12</f>
        <v>22</v>
      </c>
      <c r="K1850" s="1178">
        <f>(FinSnapshot!$C$93+ FinSnapshot!$C$95+ FinSnapshot!$C$96+ FinSnapshot!$C$103 + FinSnapshot!$C$105+ FinSnapshot!$C$107+ FinSnapshot!$C$108+ FinSnapshot!$C$101+FinSnapshot!$C$95+FinSnapshot!$C$103)/12</f>
        <v>22</v>
      </c>
      <c r="L1850" s="1178">
        <f>(FinSnapshot!$C$93+ FinSnapshot!$C$95+ FinSnapshot!$C$96+ FinSnapshot!$C$103 + FinSnapshot!$C$105+ FinSnapshot!$C$107+ FinSnapshot!$C$108+ FinSnapshot!$C$101+FinSnapshot!$C$95+FinSnapshot!$C$103)/12</f>
        <v>22</v>
      </c>
      <c r="M1850" s="1178">
        <f>(FinSnapshot!$C$93+ FinSnapshot!$C$95+ FinSnapshot!$C$96+ FinSnapshot!$C$103 + FinSnapshot!$C$105+ FinSnapshot!$C$107+ FinSnapshot!$C$108+ FinSnapshot!$C$101+FinSnapshot!$C$95+FinSnapshot!$C$103)/12</f>
        <v>22</v>
      </c>
      <c r="N1850" s="1178">
        <f>(FinSnapshot!$C$93+ FinSnapshot!$C$95+ FinSnapshot!$C$96+ FinSnapshot!$C$103 + FinSnapshot!$C$105+ FinSnapshot!$C$107+ FinSnapshot!$C$108+ FinSnapshot!$C$101+FinSnapshot!$C$95+FinSnapshot!$C$103)/12</f>
        <v>22</v>
      </c>
      <c r="O1850" s="1179">
        <f>SUM(C1850:N1850)/12</f>
        <v>22</v>
      </c>
      <c r="P1850" s="1180">
        <f>O1844/M!$Q$14</f>
        <v>0</v>
      </c>
      <c r="Q1850" s="1235"/>
      <c r="R1850" s="1235"/>
      <c r="S1850" s="1235"/>
      <c r="T1850" s="1235"/>
      <c r="U1850" s="1235"/>
      <c r="V1850" s="1235"/>
      <c r="W1850" s="1235"/>
    </row>
    <row r="1851" spans="1:23">
      <c r="A1851" s="1183"/>
      <c r="B1851" s="1176" t="s">
        <v>434</v>
      </c>
      <c r="C1851" s="1184">
        <v>0</v>
      </c>
      <c r="D1851" s="1184">
        <v>0</v>
      </c>
      <c r="E1851" s="1184">
        <v>0</v>
      </c>
      <c r="F1851" s="1184">
        <v>0</v>
      </c>
      <c r="G1851" s="1184">
        <v>0</v>
      </c>
      <c r="H1851" s="1184">
        <v>0</v>
      </c>
      <c r="I1851" s="1184">
        <v>0</v>
      </c>
      <c r="J1851" s="1184">
        <v>0</v>
      </c>
      <c r="K1851" s="1184">
        <v>0</v>
      </c>
      <c r="L1851" s="1184">
        <v>0</v>
      </c>
      <c r="M1851" s="1184">
        <v>0</v>
      </c>
      <c r="N1851" s="1184">
        <v>0</v>
      </c>
      <c r="O1851" s="1179">
        <f>SUM(C1851:N1851)/12</f>
        <v>0</v>
      </c>
      <c r="P1851" s="1180">
        <f>O1845/M!$Q$14</f>
        <v>0</v>
      </c>
      <c r="Q1851" s="1235"/>
      <c r="R1851" s="1235"/>
      <c r="S1851" s="1235"/>
      <c r="T1851" s="1235"/>
      <c r="U1851" s="1235"/>
      <c r="V1851" s="1235"/>
      <c r="W1851" s="1235"/>
    </row>
    <row r="1852" spans="1:23">
      <c r="A1852" s="2191" t="s">
        <v>435</v>
      </c>
      <c r="B1852" s="2192"/>
      <c r="C1852" s="2203">
        <f>SUM(C1854:C1856)</f>
        <v>100</v>
      </c>
      <c r="D1852" s="2203">
        <f t="shared" ref="D1852:N1852" si="436">SUM(D1854:D1856)</f>
        <v>13</v>
      </c>
      <c r="E1852" s="2203">
        <f t="shared" si="436"/>
        <v>400</v>
      </c>
      <c r="F1852" s="2203">
        <f t="shared" si="436"/>
        <v>995</v>
      </c>
      <c r="G1852" s="2203">
        <f t="shared" si="436"/>
        <v>100</v>
      </c>
      <c r="H1852" s="2203">
        <f t="shared" si="436"/>
        <v>2520</v>
      </c>
      <c r="I1852" s="2203">
        <f t="shared" si="436"/>
        <v>0</v>
      </c>
      <c r="J1852" s="2203">
        <f t="shared" si="436"/>
        <v>45</v>
      </c>
      <c r="K1852" s="2203">
        <f t="shared" si="436"/>
        <v>20</v>
      </c>
      <c r="L1852" s="2203">
        <f t="shared" si="436"/>
        <v>76</v>
      </c>
      <c r="M1852" s="2203">
        <f t="shared" si="436"/>
        <v>12</v>
      </c>
      <c r="N1852" s="2203">
        <f t="shared" si="436"/>
        <v>560</v>
      </c>
      <c r="O1852" s="2203">
        <f>SUM(O1857:O1859)</f>
        <v>1088.1666666666667</v>
      </c>
      <c r="P1852" s="2205">
        <f>O1846/M!$Q$14</f>
        <v>0.14905450292747269</v>
      </c>
      <c r="Q1852" s="1235"/>
      <c r="R1852" s="1235"/>
      <c r="S1852" s="1235"/>
      <c r="T1852" s="1235"/>
      <c r="U1852" s="1235"/>
      <c r="V1852" s="1235"/>
      <c r="W1852" s="1235"/>
    </row>
    <row r="1853" spans="1:23">
      <c r="A1853" s="2193"/>
      <c r="B1853" s="2194"/>
      <c r="C1853" s="2204"/>
      <c r="D1853" s="2204"/>
      <c r="E1853" s="2204"/>
      <c r="F1853" s="2204"/>
      <c r="G1853" s="2204"/>
      <c r="H1853" s="2204"/>
      <c r="I1853" s="2204"/>
      <c r="J1853" s="2204"/>
      <c r="K1853" s="2204"/>
      <c r="L1853" s="2204"/>
      <c r="M1853" s="2204"/>
      <c r="N1853" s="2204"/>
      <c r="O1853" s="2204"/>
      <c r="P1853" s="2206"/>
      <c r="Q1853" s="1235"/>
      <c r="R1853" s="1235"/>
      <c r="S1853" s="1235"/>
      <c r="T1853" s="1235"/>
      <c r="U1853" s="1235"/>
      <c r="V1853" s="1235"/>
      <c r="W1853" s="1235"/>
    </row>
    <row r="1854" spans="1:23">
      <c r="A1854" s="1183"/>
      <c r="B1854" s="1176" t="s">
        <v>405</v>
      </c>
      <c r="C1854" s="1228">
        <v>100</v>
      </c>
      <c r="D1854" s="1228">
        <v>0</v>
      </c>
      <c r="E1854" s="1228">
        <v>400</v>
      </c>
      <c r="F1854" s="1228">
        <v>100</v>
      </c>
      <c r="G1854" s="1228">
        <v>100</v>
      </c>
      <c r="H1854" s="1228">
        <v>100</v>
      </c>
      <c r="I1854" s="1229">
        <v>0</v>
      </c>
      <c r="J1854" s="1229">
        <v>0</v>
      </c>
      <c r="K1854" s="1229">
        <v>0</v>
      </c>
      <c r="L1854" s="1229">
        <v>0</v>
      </c>
      <c r="M1854" s="1229">
        <v>0</v>
      </c>
      <c r="N1854" s="1229">
        <v>0</v>
      </c>
      <c r="O1854" s="1179">
        <f>SUM(C1854:N1854)/12</f>
        <v>66.666666666666671</v>
      </c>
      <c r="P1854" s="1180">
        <f>O1848/M!$Q$14</f>
        <v>7.03378083000482E-3</v>
      </c>
      <c r="Q1854" s="1235"/>
      <c r="R1854" s="1235"/>
      <c r="S1854" s="1235"/>
      <c r="T1854" s="1235"/>
      <c r="U1854" s="1235"/>
      <c r="V1854" s="1235"/>
      <c r="W1854" s="1235"/>
    </row>
    <row r="1855" spans="1:23">
      <c r="A1855" s="1183"/>
      <c r="B1855" s="1176" t="s">
        <v>436</v>
      </c>
      <c r="C1855" s="1228">
        <v>0</v>
      </c>
      <c r="D1855" s="1228">
        <v>0</v>
      </c>
      <c r="E1855" s="1228">
        <v>0</v>
      </c>
      <c r="F1855" s="1228">
        <v>0</v>
      </c>
      <c r="G1855" s="1228">
        <v>0</v>
      </c>
      <c r="H1855" s="1228">
        <v>0</v>
      </c>
      <c r="I1855" s="1229">
        <v>0</v>
      </c>
      <c r="J1855" s="1229">
        <v>0</v>
      </c>
      <c r="K1855" s="1229">
        <v>20</v>
      </c>
      <c r="L1855" s="1229">
        <v>12</v>
      </c>
      <c r="M1855" s="1229">
        <v>12</v>
      </c>
      <c r="N1855" s="1229">
        <v>8</v>
      </c>
      <c r="O1855" s="1179">
        <f>SUM(C1855:N1855)/12</f>
        <v>4.333333333333333</v>
      </c>
      <c r="P1855" s="1180">
        <f>O1849/M!$Q$14</f>
        <v>6.2921046043708465E-3</v>
      </c>
      <c r="Q1855" s="1235"/>
      <c r="R1855" s="1235"/>
      <c r="S1855" s="1235"/>
      <c r="T1855" s="1235"/>
      <c r="U1855" s="1235"/>
      <c r="V1855" s="1235"/>
      <c r="W1855" s="1235"/>
    </row>
    <row r="1856" spans="1:23">
      <c r="A1856" s="1183"/>
      <c r="B1856" s="1176" t="s">
        <v>130</v>
      </c>
      <c r="C1856" s="1228">
        <v>0</v>
      </c>
      <c r="D1856" s="1228">
        <v>13</v>
      </c>
      <c r="E1856" s="1228">
        <v>0</v>
      </c>
      <c r="F1856" s="1228">
        <v>895</v>
      </c>
      <c r="G1856" s="1228">
        <v>0</v>
      </c>
      <c r="H1856" s="1228">
        <v>2420</v>
      </c>
      <c r="I1856" s="1229">
        <v>0</v>
      </c>
      <c r="J1856" s="1229">
        <v>45</v>
      </c>
      <c r="K1856" s="1229">
        <v>0</v>
      </c>
      <c r="L1856" s="1229">
        <v>64</v>
      </c>
      <c r="M1856" s="1229">
        <v>0</v>
      </c>
      <c r="N1856" s="1229">
        <v>552</v>
      </c>
      <c r="O1856" s="1179">
        <f>SUM(C1856:N1856)/12</f>
        <v>332.41666666666669</v>
      </c>
      <c r="P1856" s="1180">
        <f>O1850/M!$Q$14</f>
        <v>1.9728213961447785E-3</v>
      </c>
      <c r="Q1856" s="1235"/>
      <c r="R1856" s="1235"/>
      <c r="S1856" s="1235"/>
      <c r="T1856" s="1235"/>
      <c r="U1856" s="1235"/>
      <c r="V1856" s="1235"/>
      <c r="W1856" s="1235"/>
    </row>
    <row r="1857" spans="1:23">
      <c r="A1857" s="2191" t="s">
        <v>286</v>
      </c>
      <c r="B1857" s="2192"/>
      <c r="C1857" s="2203">
        <f>SUM(C1859:C1860)</f>
        <v>1010</v>
      </c>
      <c r="D1857" s="2203">
        <f t="shared" ref="D1857:N1857" si="437">SUM(D1859:D1860)</f>
        <v>500</v>
      </c>
      <c r="E1857" s="2203">
        <f t="shared" si="437"/>
        <v>818</v>
      </c>
      <c r="F1857" s="2203">
        <f t="shared" si="437"/>
        <v>650</v>
      </c>
      <c r="G1857" s="2203">
        <f t="shared" si="437"/>
        <v>760</v>
      </c>
      <c r="H1857" s="2203">
        <f t="shared" si="437"/>
        <v>260</v>
      </c>
      <c r="I1857" s="2203">
        <f t="shared" si="437"/>
        <v>760</v>
      </c>
      <c r="J1857" s="2203">
        <f t="shared" si="437"/>
        <v>260</v>
      </c>
      <c r="K1857" s="2203">
        <f t="shared" si="437"/>
        <v>760</v>
      </c>
      <c r="L1857" s="2203">
        <f t="shared" si="437"/>
        <v>760</v>
      </c>
      <c r="M1857" s="2203">
        <f t="shared" si="437"/>
        <v>760</v>
      </c>
      <c r="N1857" s="2203">
        <f t="shared" si="437"/>
        <v>760</v>
      </c>
      <c r="O1857" s="2203">
        <f>SUM(O1859:O1860)</f>
        <v>671.5</v>
      </c>
      <c r="P1857" s="1180">
        <f>O1851/M!$Q$14</f>
        <v>0</v>
      </c>
      <c r="Q1857" s="1235"/>
      <c r="R1857" s="1235"/>
      <c r="S1857" s="1235"/>
      <c r="T1857" s="1235"/>
      <c r="U1857" s="1235"/>
      <c r="V1857" s="1235"/>
      <c r="W1857" s="1235"/>
    </row>
    <row r="1858" spans="1:23">
      <c r="A1858" s="2193"/>
      <c r="B1858" s="2194"/>
      <c r="C1858" s="2204"/>
      <c r="D1858" s="2204"/>
      <c r="E1858" s="2204"/>
      <c r="F1858" s="2204"/>
      <c r="G1858" s="2204"/>
      <c r="H1858" s="2204"/>
      <c r="I1858" s="2204"/>
      <c r="J1858" s="2204"/>
      <c r="K1858" s="2204"/>
      <c r="L1858" s="2204"/>
      <c r="M1858" s="2204"/>
      <c r="N1858" s="2204"/>
      <c r="O1858" s="2204"/>
      <c r="P1858" s="2205">
        <f>O1852/M!$Q$14</f>
        <v>9.7579931025979227E-2</v>
      </c>
      <c r="Q1858" s="1235"/>
      <c r="R1858" s="1235"/>
      <c r="S1858" s="1235"/>
      <c r="T1858" s="1235"/>
      <c r="U1858" s="1235"/>
      <c r="V1858" s="1235"/>
      <c r="W1858" s="1235"/>
    </row>
    <row r="1859" spans="1:23">
      <c r="A1859" s="2217"/>
      <c r="B1859" s="1176" t="s">
        <v>82</v>
      </c>
      <c r="C1859" s="1228">
        <v>500</v>
      </c>
      <c r="D1859" s="1228">
        <v>500</v>
      </c>
      <c r="E1859" s="1228">
        <v>500</v>
      </c>
      <c r="F1859" s="1228">
        <v>500</v>
      </c>
      <c r="G1859" s="1228">
        <v>500</v>
      </c>
      <c r="H1859" s="1228">
        <v>0</v>
      </c>
      <c r="I1859" s="1229">
        <v>500</v>
      </c>
      <c r="J1859" s="1229">
        <v>0</v>
      </c>
      <c r="K1859" s="1229">
        <v>500</v>
      </c>
      <c r="L1859" s="1229">
        <v>500</v>
      </c>
      <c r="M1859" s="1229">
        <v>500</v>
      </c>
      <c r="N1859" s="1229">
        <v>500</v>
      </c>
      <c r="O1859" s="1179">
        <f>SUM(C1859:N1859)/12</f>
        <v>416.66666666666669</v>
      </c>
      <c r="P1859" s="2206"/>
      <c r="Q1859" s="1235"/>
      <c r="R1859" s="1235"/>
      <c r="S1859" s="1235"/>
      <c r="T1859" s="1235"/>
      <c r="U1859" s="1235"/>
      <c r="V1859" s="1235"/>
      <c r="W1859" s="1235"/>
    </row>
    <row r="1860" spans="1:23">
      <c r="A1860" s="2219"/>
      <c r="B1860" s="1176" t="s">
        <v>83</v>
      </c>
      <c r="C1860" s="1228">
        <v>510</v>
      </c>
      <c r="D1860" s="1228">
        <v>0</v>
      </c>
      <c r="E1860" s="1228">
        <v>318</v>
      </c>
      <c r="F1860" s="1228">
        <v>150</v>
      </c>
      <c r="G1860" s="1228">
        <v>260</v>
      </c>
      <c r="H1860" s="1228">
        <v>260</v>
      </c>
      <c r="I1860" s="1229">
        <v>260</v>
      </c>
      <c r="J1860" s="1229">
        <v>260</v>
      </c>
      <c r="K1860" s="1229">
        <v>260</v>
      </c>
      <c r="L1860" s="1229">
        <v>260</v>
      </c>
      <c r="M1860" s="1229">
        <v>260</v>
      </c>
      <c r="N1860" s="1229">
        <v>260</v>
      </c>
      <c r="O1860" s="1179">
        <f>SUM(C1860:N1860)/12</f>
        <v>254.83333333333334</v>
      </c>
      <c r="P1860" s="1180">
        <f>O1854/M!$Q$14</f>
        <v>5.9782466549841767E-3</v>
      </c>
      <c r="Q1860" s="1235"/>
      <c r="R1860" s="1235"/>
      <c r="S1860" s="1235"/>
      <c r="T1860" s="1235"/>
      <c r="U1860" s="1235"/>
      <c r="V1860" s="1235"/>
      <c r="W1860" s="1235"/>
    </row>
    <row r="1861" spans="1:23">
      <c r="A1861" s="1187" t="s">
        <v>437</v>
      </c>
      <c r="B1861" s="1188"/>
      <c r="C1861" s="1189">
        <f>C1791+C1805+C1813+C1819+C1823+C1833+C1842+C1846+ C1853+ C1852+C1857</f>
        <v>4959.5</v>
      </c>
      <c r="D1861" s="1189">
        <f t="shared" ref="D1861:N1861" si="438">D1791+D1805+D1813+D1819+D1823+D1833+D1842+D1846+ D1853+ D1852+D1857</f>
        <v>4883.25</v>
      </c>
      <c r="E1861" s="1189">
        <f t="shared" si="438"/>
        <v>6061.25</v>
      </c>
      <c r="F1861" s="1189">
        <f t="shared" si="438"/>
        <v>7085.25</v>
      </c>
      <c r="G1861" s="1189">
        <f t="shared" si="438"/>
        <v>5679.25</v>
      </c>
      <c r="H1861" s="1189">
        <f t="shared" si="438"/>
        <v>7803.25</v>
      </c>
      <c r="I1861" s="1189">
        <f t="shared" si="438"/>
        <v>5994.25</v>
      </c>
      <c r="J1861" s="1189">
        <f t="shared" si="438"/>
        <v>5724.25</v>
      </c>
      <c r="K1861" s="1189">
        <f t="shared" si="438"/>
        <v>6508.25</v>
      </c>
      <c r="L1861" s="1189">
        <f t="shared" si="438"/>
        <v>6892.25</v>
      </c>
      <c r="M1861" s="1189">
        <f t="shared" si="438"/>
        <v>5549.25</v>
      </c>
      <c r="N1861" s="1189">
        <f t="shared" si="438"/>
        <v>6720.25</v>
      </c>
      <c r="O1861" s="1189">
        <f>SUM(C1861:N1861)/12</f>
        <v>6155.020833333333</v>
      </c>
      <c r="P1861" s="1180">
        <f>O1855/M!$Q$14</f>
        <v>3.8858603257397147E-4</v>
      </c>
      <c r="Q1861" s="1235"/>
      <c r="R1861" s="1235"/>
      <c r="S1861" s="1235"/>
      <c r="T1861" s="1235"/>
      <c r="U1861" s="1235"/>
      <c r="V1861" s="1235"/>
      <c r="W1861" s="1235"/>
    </row>
    <row r="1862" spans="1:23">
      <c r="A1862" s="1191" t="s">
        <v>658</v>
      </c>
      <c r="B1862" s="1192"/>
      <c r="C1862" s="1193">
        <f>C1861/M!$Q$14</f>
        <v>0.44473671428091038</v>
      </c>
      <c r="D1862" s="1193">
        <f>D1861/M!$Q$14</f>
        <v>0.43789909466927218</v>
      </c>
      <c r="E1862" s="1193">
        <f>E1861/M!$Q$14</f>
        <v>0.54353471306284262</v>
      </c>
      <c r="F1862" s="1193">
        <f>F1861/M!$Q$14</f>
        <v>0.63536058168339959</v>
      </c>
      <c r="G1862" s="1193">
        <f>G1861/M!$Q$14</f>
        <v>0.50927935972978333</v>
      </c>
      <c r="H1862" s="1193">
        <f>H1861/M!$Q$14</f>
        <v>0.69974629815757916</v>
      </c>
      <c r="I1862" s="1193">
        <f>I1861/M!$Q$14</f>
        <v>0.53752657517458347</v>
      </c>
      <c r="J1862" s="1193">
        <f>J1861/M!$Q$14</f>
        <v>0.51331467622189764</v>
      </c>
      <c r="K1862" s="1193">
        <f>K1861/M!$Q$14</f>
        <v>0.58361885688451154</v>
      </c>
      <c r="L1862" s="1193">
        <f>L1861/M!$Q$14</f>
        <v>0.61805355761722036</v>
      </c>
      <c r="M1862" s="1193">
        <f>M1861/M!$Q$14</f>
        <v>0.49762177875256414</v>
      </c>
      <c r="N1862" s="1193">
        <f>N1861/M!$Q$14</f>
        <v>0.60262968124736116</v>
      </c>
      <c r="O1862" s="1193">
        <f>O1861/M!$Q$14</f>
        <v>0.55194349062349379</v>
      </c>
      <c r="P1862" s="1180">
        <f>O1856/M!$Q$14</f>
        <v>2.9809032383414851E-2</v>
      </c>
      <c r="Q1862" s="1235"/>
      <c r="R1862" s="1235"/>
      <c r="S1862" s="1235"/>
      <c r="T1862" s="1235"/>
      <c r="U1862" s="1235"/>
      <c r="V1862" s="1235"/>
      <c r="W1862" s="1235"/>
    </row>
    <row r="1863" spans="1:23">
      <c r="A1863" s="1235"/>
      <c r="B1863" s="1235"/>
      <c r="C1863" s="1235"/>
      <c r="D1863" s="1235"/>
      <c r="E1863" s="1235"/>
      <c r="F1863" s="1235"/>
      <c r="G1863" s="1235"/>
      <c r="H1863" s="1235"/>
      <c r="I1863" s="1235"/>
      <c r="J1863" s="1235"/>
      <c r="K1863" s="1235"/>
      <c r="L1863" s="1235"/>
      <c r="M1863" s="1235"/>
      <c r="N1863" s="1235"/>
      <c r="O1863" s="1235"/>
      <c r="P1863" s="2205">
        <f>O1857/M!$Q$14</f>
        <v>6.0215889432328119E-2</v>
      </c>
      <c r="Q1863" s="1235"/>
      <c r="R1863" s="1235"/>
      <c r="S1863" s="1235"/>
      <c r="T1863" s="1235"/>
      <c r="U1863" s="1235"/>
      <c r="V1863" s="1235"/>
      <c r="W1863" s="1235"/>
    </row>
    <row r="1864" spans="1:23">
      <c r="A1864" s="1235"/>
      <c r="B1864" s="1235"/>
      <c r="C1864" s="1235"/>
      <c r="D1864" s="1235"/>
      <c r="E1864" s="1235"/>
      <c r="F1864" s="1235"/>
      <c r="G1864" s="1235"/>
      <c r="H1864" s="1235"/>
      <c r="I1864" s="1235"/>
      <c r="J1864" s="1235"/>
      <c r="K1864" s="1235"/>
      <c r="L1864" s="1235"/>
      <c r="M1864" s="1235"/>
      <c r="N1864" s="1235"/>
      <c r="O1864" s="1235"/>
      <c r="P1864" s="2206"/>
      <c r="Q1864" s="1235"/>
      <c r="R1864" s="1235"/>
      <c r="S1864" s="1235"/>
      <c r="T1864" s="1235"/>
      <c r="U1864" s="1235"/>
      <c r="V1864" s="1235"/>
      <c r="W1864" s="1235"/>
    </row>
    <row r="1865" spans="1:23">
      <c r="A1865" s="1235"/>
      <c r="B1865" s="1235"/>
      <c r="C1865" s="1235"/>
      <c r="D1865" s="1235"/>
      <c r="E1865" s="1235"/>
      <c r="F1865" s="1235"/>
      <c r="G1865" s="1235"/>
      <c r="H1865" s="1235"/>
      <c r="I1865" s="1235"/>
      <c r="J1865" s="1235"/>
      <c r="K1865" s="1235"/>
      <c r="L1865" s="1235"/>
      <c r="M1865" s="1235"/>
      <c r="N1865" s="1235"/>
      <c r="O1865" s="1235"/>
      <c r="P1865" s="1180">
        <f>O1859/M!$Q$14</f>
        <v>3.7364041593651108E-2</v>
      </c>
      <c r="Q1865" s="1235"/>
      <c r="R1865" s="1235"/>
      <c r="S1865" s="1235"/>
      <c r="T1865" s="1235"/>
      <c r="U1865" s="1235"/>
      <c r="V1865" s="1235"/>
      <c r="W1865" s="1235"/>
    </row>
    <row r="1866" spans="1:23">
      <c r="A1866" s="2195">
        <v>2002</v>
      </c>
      <c r="B1866" s="2196"/>
      <c r="C1866" s="2196"/>
      <c r="D1866" s="2196"/>
      <c r="E1866" s="2196"/>
      <c r="F1866" s="2196"/>
      <c r="G1866" s="2196"/>
      <c r="H1866" s="2196"/>
      <c r="I1866" s="2196"/>
      <c r="J1866" s="2196"/>
      <c r="K1866" s="2196"/>
      <c r="L1866" s="2196"/>
      <c r="M1866" s="2196"/>
      <c r="N1866" s="2196"/>
      <c r="O1866" s="2196"/>
      <c r="P1866" s="1180">
        <f>O1860/M!$Q$14</f>
        <v>2.2851847838677015E-2</v>
      </c>
      <c r="Q1866" s="1235"/>
      <c r="R1866" s="1235"/>
      <c r="S1866" s="1235"/>
      <c r="T1866" s="1235"/>
      <c r="U1866" s="1235"/>
      <c r="V1866" s="1235"/>
      <c r="W1866" s="1235"/>
    </row>
    <row r="1867" spans="1:23">
      <c r="A1867" s="1171" t="s">
        <v>388</v>
      </c>
      <c r="B1867" s="1172"/>
      <c r="C1867" s="1173" t="s">
        <v>309</v>
      </c>
      <c r="D1867" s="1173" t="s">
        <v>311</v>
      </c>
      <c r="E1867" s="1173" t="s">
        <v>312</v>
      </c>
      <c r="F1867" s="1173" t="s">
        <v>313</v>
      </c>
      <c r="G1867" s="1173" t="s">
        <v>314</v>
      </c>
      <c r="H1867" s="1173" t="s">
        <v>315</v>
      </c>
      <c r="I1867" s="1173" t="s">
        <v>316</v>
      </c>
      <c r="J1867" s="1173" t="s">
        <v>317</v>
      </c>
      <c r="K1867" s="1173" t="s">
        <v>318</v>
      </c>
      <c r="L1867" s="1173" t="s">
        <v>319</v>
      </c>
      <c r="M1867" s="1173" t="s">
        <v>320</v>
      </c>
      <c r="N1867" s="1173" t="s">
        <v>321</v>
      </c>
      <c r="O1867" s="1174" t="s">
        <v>660</v>
      </c>
      <c r="P1867" s="1190">
        <f>O1861/M!$Q$14</f>
        <v>0.55194349062349379</v>
      </c>
      <c r="Q1867" s="1235"/>
      <c r="R1867" s="1235"/>
      <c r="S1867" s="1235"/>
      <c r="T1867" s="1235"/>
      <c r="U1867" s="1235"/>
      <c r="V1867" s="1235"/>
      <c r="W1867" s="1235"/>
    </row>
    <row r="1868" spans="1:23">
      <c r="A1868" s="2191" t="s">
        <v>56</v>
      </c>
      <c r="B1868" s="2192"/>
      <c r="C1868" s="2253"/>
      <c r="D1868" s="2253"/>
      <c r="E1868" s="2253"/>
      <c r="F1868" s="2253"/>
      <c r="G1868" s="2253"/>
      <c r="H1868" s="2253"/>
      <c r="I1868" s="2203">
        <f t="shared" ref="I1868:O1868" si="439">I1870+ SUM(I1876:I1881)</f>
        <v>1075</v>
      </c>
      <c r="J1868" s="2203">
        <f t="shared" si="439"/>
        <v>1075</v>
      </c>
      <c r="K1868" s="2203">
        <f t="shared" si="439"/>
        <v>1075</v>
      </c>
      <c r="L1868" s="2203">
        <f t="shared" si="439"/>
        <v>1075</v>
      </c>
      <c r="M1868" s="2203">
        <f t="shared" si="439"/>
        <v>1075</v>
      </c>
      <c r="N1868" s="2203">
        <f t="shared" si="439"/>
        <v>1075</v>
      </c>
      <c r="O1868" s="2203">
        <f t="shared" si="439"/>
        <v>1075</v>
      </c>
      <c r="P1868" s="1194"/>
      <c r="Q1868" s="1235"/>
      <c r="R1868" s="1235"/>
      <c r="S1868" s="1235"/>
      <c r="T1868" s="1235"/>
      <c r="U1868" s="1235"/>
      <c r="V1868" s="1235"/>
      <c r="W1868" s="1235"/>
    </row>
    <row r="1869" spans="1:23">
      <c r="A1869" s="2193"/>
      <c r="B1869" s="2194"/>
      <c r="C1869" s="2254"/>
      <c r="D1869" s="2254"/>
      <c r="E1869" s="2254"/>
      <c r="F1869" s="2254"/>
      <c r="G1869" s="2254"/>
      <c r="H1869" s="2254"/>
      <c r="I1869" s="2204"/>
      <c r="J1869" s="2204"/>
      <c r="K1869" s="2204"/>
      <c r="L1869" s="2204"/>
      <c r="M1869" s="2204"/>
      <c r="N1869" s="2204"/>
      <c r="O1869" s="2204"/>
      <c r="P1869" s="1235"/>
      <c r="Q1869" s="1235"/>
      <c r="R1869" s="1235"/>
      <c r="S1869" s="1235"/>
      <c r="T1869" s="1235"/>
      <c r="U1869" s="1235"/>
      <c r="V1869" s="1235"/>
      <c r="W1869" s="1235"/>
    </row>
    <row r="1870" spans="1:23">
      <c r="A1870" s="2217"/>
      <c r="B1870" s="1176" t="s">
        <v>662</v>
      </c>
      <c r="C1870" s="1231"/>
      <c r="D1870" s="1232"/>
      <c r="E1870" s="1232"/>
      <c r="F1870" s="1232"/>
      <c r="G1870" s="1232"/>
      <c r="H1870" s="1232"/>
      <c r="I1870" s="1228">
        <v>1075</v>
      </c>
      <c r="J1870" s="1228">
        <v>1075</v>
      </c>
      <c r="K1870" s="1228">
        <v>1075</v>
      </c>
      <c r="L1870" s="1228">
        <v>1075</v>
      </c>
      <c r="M1870" s="1228">
        <v>1075</v>
      </c>
      <c r="N1870" s="1228">
        <v>1075</v>
      </c>
      <c r="O1870" s="1179">
        <f>SUM(C1870:N1870)/6</f>
        <v>1075</v>
      </c>
      <c r="P1870" s="1235"/>
      <c r="Q1870" s="1235"/>
      <c r="R1870" s="1235"/>
      <c r="S1870" s="1235"/>
      <c r="T1870" s="1235"/>
      <c r="U1870" s="1235"/>
      <c r="V1870" s="1235"/>
      <c r="W1870" s="1235"/>
    </row>
    <row r="1871" spans="1:23">
      <c r="A1871" s="2218"/>
      <c r="B1871" s="1176" t="s">
        <v>663</v>
      </c>
      <c r="C1871" s="1232"/>
      <c r="D1871" s="1232"/>
      <c r="E1871" s="1232"/>
      <c r="F1871" s="1232"/>
      <c r="G1871" s="1232"/>
      <c r="H1871" s="1232"/>
      <c r="I1871" s="1178">
        <v>0</v>
      </c>
      <c r="J1871" s="1178">
        <v>0</v>
      </c>
      <c r="K1871" s="1178">
        <v>0</v>
      </c>
      <c r="L1871" s="1178">
        <v>0</v>
      </c>
      <c r="M1871" s="1178">
        <v>0</v>
      </c>
      <c r="N1871" s="1178">
        <v>0</v>
      </c>
      <c r="O1871" s="1179">
        <f t="shared" ref="O1871:O1881" si="440">SUM(C1871:N1871)/6</f>
        <v>0</v>
      </c>
      <c r="P1871" s="1235"/>
      <c r="Q1871" s="1235"/>
      <c r="R1871" s="1235"/>
      <c r="S1871" s="1235"/>
      <c r="T1871" s="1235"/>
      <c r="U1871" s="1235"/>
      <c r="V1871" s="1235"/>
      <c r="W1871" s="1235"/>
    </row>
    <row r="1872" spans="1:23">
      <c r="A1872" s="2218"/>
      <c r="B1872" s="1176" t="s">
        <v>664</v>
      </c>
      <c r="C1872" s="1232"/>
      <c r="D1872" s="1232"/>
      <c r="E1872" s="1232"/>
      <c r="F1872" s="1232"/>
      <c r="G1872" s="1232"/>
      <c r="H1872" s="1232"/>
      <c r="I1872" s="1178">
        <v>0</v>
      </c>
      <c r="J1872" s="1178">
        <v>0</v>
      </c>
      <c r="K1872" s="1178">
        <v>0</v>
      </c>
      <c r="L1872" s="1178">
        <v>0</v>
      </c>
      <c r="M1872" s="1178">
        <v>0</v>
      </c>
      <c r="N1872" s="1178">
        <v>0</v>
      </c>
      <c r="O1872" s="1179">
        <f t="shared" si="440"/>
        <v>0</v>
      </c>
      <c r="P1872" s="2197"/>
      <c r="Q1872" s="1235"/>
      <c r="R1872" s="1235"/>
      <c r="S1872" s="1235"/>
      <c r="T1872" s="1235"/>
      <c r="U1872" s="1235"/>
      <c r="V1872" s="1235"/>
      <c r="W1872" s="1235"/>
    </row>
    <row r="1873" spans="1:23">
      <c r="A1873" s="2218"/>
      <c r="B1873" s="1176" t="s">
        <v>450</v>
      </c>
      <c r="C1873" s="1232"/>
      <c r="D1873" s="1232"/>
      <c r="E1873" s="1232"/>
      <c r="F1873" s="1232"/>
      <c r="G1873" s="1232"/>
      <c r="H1873" s="1232"/>
      <c r="I1873" s="1178">
        <v>0</v>
      </c>
      <c r="J1873" s="1178">
        <v>0</v>
      </c>
      <c r="K1873" s="1178">
        <v>0</v>
      </c>
      <c r="L1873" s="1178">
        <v>0</v>
      </c>
      <c r="M1873" s="1178">
        <v>0</v>
      </c>
      <c r="N1873" s="1178">
        <v>0</v>
      </c>
      <c r="O1873" s="1179">
        <f t="shared" si="440"/>
        <v>0</v>
      </c>
      <c r="P1873" s="1175" t="s">
        <v>661</v>
      </c>
      <c r="Q1873" s="1235"/>
      <c r="R1873" s="1235"/>
      <c r="S1873" s="1235"/>
      <c r="T1873" s="1235"/>
      <c r="U1873" s="1235"/>
      <c r="V1873" s="1235"/>
      <c r="W1873" s="1235"/>
    </row>
    <row r="1874" spans="1:23">
      <c r="A1874" s="2218"/>
      <c r="B1874" s="1176" t="s">
        <v>665</v>
      </c>
      <c r="C1874" s="1232"/>
      <c r="D1874" s="1232"/>
      <c r="E1874" s="1232"/>
      <c r="F1874" s="1232"/>
      <c r="G1874" s="1232"/>
      <c r="H1874" s="1232"/>
      <c r="I1874" s="1178">
        <v>0</v>
      </c>
      <c r="J1874" s="1178">
        <v>0</v>
      </c>
      <c r="K1874" s="1178">
        <v>0</v>
      </c>
      <c r="L1874" s="1178">
        <v>0</v>
      </c>
      <c r="M1874" s="1178">
        <v>0</v>
      </c>
      <c r="N1874" s="1178">
        <v>0</v>
      </c>
      <c r="O1874" s="1179">
        <f t="shared" si="440"/>
        <v>0</v>
      </c>
      <c r="P1874" s="2205">
        <f>O1868/M!$Q$14</f>
        <v>9.6399227311619845E-2</v>
      </c>
      <c r="Q1874" s="1235"/>
      <c r="R1874" s="1235"/>
      <c r="S1874" s="1235"/>
      <c r="T1874" s="1235"/>
      <c r="U1874" s="1235"/>
      <c r="V1874" s="1235"/>
      <c r="W1874" s="1235"/>
    </row>
    <row r="1875" spans="1:23">
      <c r="A1875" s="2218"/>
      <c r="B1875" s="1176" t="s">
        <v>664</v>
      </c>
      <c r="C1875" s="1232"/>
      <c r="D1875" s="1232"/>
      <c r="E1875" s="1232"/>
      <c r="F1875" s="1232"/>
      <c r="G1875" s="1232"/>
      <c r="H1875" s="1232"/>
      <c r="I1875" s="1178">
        <v>0</v>
      </c>
      <c r="J1875" s="1178">
        <v>0</v>
      </c>
      <c r="K1875" s="1178">
        <v>0</v>
      </c>
      <c r="L1875" s="1178">
        <v>0</v>
      </c>
      <c r="M1875" s="1178">
        <v>0</v>
      </c>
      <c r="N1875" s="1178">
        <v>0</v>
      </c>
      <c r="O1875" s="1179">
        <f t="shared" si="440"/>
        <v>0</v>
      </c>
      <c r="P1875" s="2206"/>
      <c r="Q1875" s="1235"/>
      <c r="R1875" s="1235"/>
      <c r="S1875" s="1235"/>
      <c r="T1875" s="1235"/>
      <c r="U1875" s="1235"/>
      <c r="V1875" s="1235"/>
      <c r="W1875" s="1235"/>
    </row>
    <row r="1876" spans="1:23">
      <c r="A1876" s="2218"/>
      <c r="B1876" s="1176" t="s">
        <v>287</v>
      </c>
      <c r="C1876" s="1232"/>
      <c r="D1876" s="1232"/>
      <c r="E1876" s="1232"/>
      <c r="F1876" s="1232"/>
      <c r="G1876" s="1232"/>
      <c r="H1876" s="1232"/>
      <c r="I1876" s="1178">
        <v>0</v>
      </c>
      <c r="J1876" s="1178">
        <v>0</v>
      </c>
      <c r="K1876" s="1178">
        <v>0</v>
      </c>
      <c r="L1876" s="1178">
        <v>0</v>
      </c>
      <c r="M1876" s="1178">
        <v>0</v>
      </c>
      <c r="N1876" s="1178">
        <v>0</v>
      </c>
      <c r="O1876" s="1179">
        <f t="shared" si="440"/>
        <v>0</v>
      </c>
      <c r="P1876" s="1180">
        <f>O1870/M!$Q$14</f>
        <v>9.6399227311619845E-2</v>
      </c>
      <c r="Q1876" s="1235"/>
      <c r="R1876" s="1235"/>
      <c r="S1876" s="1235"/>
      <c r="T1876" s="1235"/>
      <c r="U1876" s="1235"/>
      <c r="V1876" s="1235"/>
      <c r="W1876" s="1235"/>
    </row>
    <row r="1877" spans="1:23">
      <c r="A1877" s="2218"/>
      <c r="B1877" s="1176" t="s">
        <v>453</v>
      </c>
      <c r="C1877" s="1232"/>
      <c r="D1877" s="1232"/>
      <c r="E1877" s="1232"/>
      <c r="F1877" s="1232"/>
      <c r="G1877" s="1232"/>
      <c r="H1877" s="1232"/>
      <c r="I1877" s="1178">
        <v>0</v>
      </c>
      <c r="J1877" s="1178">
        <v>0</v>
      </c>
      <c r="K1877" s="1178">
        <v>0</v>
      </c>
      <c r="L1877" s="1178">
        <v>0</v>
      </c>
      <c r="M1877" s="1178">
        <v>0</v>
      </c>
      <c r="N1877" s="1178">
        <v>0</v>
      </c>
      <c r="O1877" s="1179">
        <f t="shared" si="440"/>
        <v>0</v>
      </c>
      <c r="P1877" s="1180">
        <f>O1871/M!$Q$14</f>
        <v>0</v>
      </c>
      <c r="Q1877" s="1235"/>
      <c r="R1877" s="1235"/>
      <c r="S1877" s="1235"/>
      <c r="T1877" s="1235"/>
      <c r="U1877" s="1235"/>
      <c r="V1877" s="1235"/>
      <c r="W1877" s="1235"/>
    </row>
    <row r="1878" spans="1:23">
      <c r="A1878" s="2218"/>
      <c r="B1878" s="1176" t="s">
        <v>400</v>
      </c>
      <c r="C1878" s="1232"/>
      <c r="D1878" s="1232"/>
      <c r="E1878" s="1232"/>
      <c r="F1878" s="1232"/>
      <c r="G1878" s="1232"/>
      <c r="H1878" s="1232"/>
      <c r="I1878" s="1178">
        <v>0</v>
      </c>
      <c r="J1878" s="1178">
        <v>0</v>
      </c>
      <c r="K1878" s="1178">
        <v>0</v>
      </c>
      <c r="L1878" s="1178">
        <v>0</v>
      </c>
      <c r="M1878" s="1178">
        <v>0</v>
      </c>
      <c r="N1878" s="1178">
        <v>0</v>
      </c>
      <c r="O1878" s="1179">
        <f t="shared" si="440"/>
        <v>0</v>
      </c>
      <c r="P1878" s="1180">
        <f>O1872/M!$Q$14</f>
        <v>0</v>
      </c>
      <c r="Q1878" s="1235"/>
      <c r="R1878" s="1235"/>
      <c r="S1878" s="1235"/>
      <c r="T1878" s="1235"/>
      <c r="U1878" s="1235"/>
      <c r="V1878" s="1235"/>
      <c r="W1878" s="1235"/>
    </row>
    <row r="1879" spans="1:23">
      <c r="A1879" s="2218"/>
      <c r="B1879" s="1176" t="s">
        <v>401</v>
      </c>
      <c r="C1879" s="1232"/>
      <c r="D1879" s="1232"/>
      <c r="E1879" s="1232"/>
      <c r="F1879" s="1232"/>
      <c r="G1879" s="1232"/>
      <c r="H1879" s="1232"/>
      <c r="I1879" s="1178">
        <v>0</v>
      </c>
      <c r="J1879" s="1178">
        <v>0</v>
      </c>
      <c r="K1879" s="1178">
        <v>0</v>
      </c>
      <c r="L1879" s="1178">
        <v>0</v>
      </c>
      <c r="M1879" s="1178">
        <v>0</v>
      </c>
      <c r="N1879" s="1178">
        <v>0</v>
      </c>
      <c r="O1879" s="1179">
        <f t="shared" si="440"/>
        <v>0</v>
      </c>
      <c r="P1879" s="1180">
        <f>O1873/M!$Q$14</f>
        <v>0</v>
      </c>
      <c r="Q1879" s="1235"/>
      <c r="R1879" s="1235"/>
      <c r="S1879" s="1235"/>
      <c r="T1879" s="1235"/>
      <c r="U1879" s="1235"/>
      <c r="V1879" s="1235"/>
      <c r="W1879" s="1235"/>
    </row>
    <row r="1880" spans="1:23">
      <c r="A1880" s="2218"/>
      <c r="B1880" s="1176" t="s">
        <v>402</v>
      </c>
      <c r="C1880" s="1232"/>
      <c r="D1880" s="1232"/>
      <c r="E1880" s="1232"/>
      <c r="F1880" s="1232"/>
      <c r="G1880" s="1232"/>
      <c r="H1880" s="1232"/>
      <c r="I1880" s="1178">
        <v>0</v>
      </c>
      <c r="J1880" s="1178">
        <v>0</v>
      </c>
      <c r="K1880" s="1178">
        <v>0</v>
      </c>
      <c r="L1880" s="1178">
        <v>0</v>
      </c>
      <c r="M1880" s="1178">
        <v>0</v>
      </c>
      <c r="N1880" s="1178">
        <v>0</v>
      </c>
      <c r="O1880" s="1179">
        <f t="shared" si="440"/>
        <v>0</v>
      </c>
      <c r="P1880" s="1180">
        <f>O1874/M!$Q$14</f>
        <v>0</v>
      </c>
      <c r="Q1880" s="1235"/>
      <c r="R1880" s="1235"/>
      <c r="S1880" s="1235"/>
      <c r="T1880" s="1235"/>
      <c r="U1880" s="1235"/>
      <c r="V1880" s="1235"/>
      <c r="W1880" s="1235"/>
    </row>
    <row r="1881" spans="1:23">
      <c r="A1881" s="2219"/>
      <c r="B1881" s="1176" t="s">
        <v>403</v>
      </c>
      <c r="C1881" s="1231"/>
      <c r="D1881" s="1232"/>
      <c r="E1881" s="1232"/>
      <c r="F1881" s="1232"/>
      <c r="G1881" s="1232"/>
      <c r="H1881" s="1232"/>
      <c r="I1881" s="1178">
        <v>0</v>
      </c>
      <c r="J1881" s="1178">
        <v>0</v>
      </c>
      <c r="K1881" s="1178">
        <v>0</v>
      </c>
      <c r="L1881" s="1178">
        <v>0</v>
      </c>
      <c r="M1881" s="1178">
        <v>0</v>
      </c>
      <c r="N1881" s="1178">
        <v>0</v>
      </c>
      <c r="O1881" s="1179">
        <f t="shared" si="440"/>
        <v>0</v>
      </c>
      <c r="P1881" s="1180">
        <f>O1875/M!$Q$14</f>
        <v>0</v>
      </c>
      <c r="Q1881" s="1235"/>
      <c r="R1881" s="1235"/>
      <c r="S1881" s="1235"/>
      <c r="T1881" s="1235"/>
      <c r="U1881" s="1235"/>
      <c r="V1881" s="1235"/>
      <c r="W1881" s="1235"/>
    </row>
    <row r="1882" spans="1:23">
      <c r="A1882" s="2191" t="s">
        <v>276</v>
      </c>
      <c r="B1882" s="2192"/>
      <c r="C1882" s="2253"/>
      <c r="D1882" s="2253"/>
      <c r="E1882" s="2253"/>
      <c r="F1882" s="2253"/>
      <c r="G1882" s="2253"/>
      <c r="H1882" s="2253"/>
      <c r="I1882" s="2203">
        <f t="shared" ref="I1882:N1882" si="441">SUM(I1884:I1889)</f>
        <v>908</v>
      </c>
      <c r="J1882" s="2203">
        <f t="shared" si="441"/>
        <v>1162</v>
      </c>
      <c r="K1882" s="2203">
        <f t="shared" si="441"/>
        <v>1018</v>
      </c>
      <c r="L1882" s="2203">
        <f t="shared" si="441"/>
        <v>896</v>
      </c>
      <c r="M1882" s="2203">
        <f t="shared" si="441"/>
        <v>1008</v>
      </c>
      <c r="N1882" s="2203">
        <f t="shared" si="441"/>
        <v>808</v>
      </c>
      <c r="O1882" s="2203">
        <f>SUM(O1884:O1889)</f>
        <v>966.66666666666674</v>
      </c>
      <c r="P1882" s="1180">
        <f>O1876/M!$Q$14</f>
        <v>0</v>
      </c>
      <c r="Q1882" s="1235"/>
      <c r="R1882" s="1235"/>
      <c r="S1882" s="1235"/>
      <c r="T1882" s="1235"/>
      <c r="U1882" s="1235"/>
      <c r="V1882" s="1235"/>
      <c r="W1882" s="1235"/>
    </row>
    <row r="1883" spans="1:23">
      <c r="A1883" s="2193"/>
      <c r="B1883" s="2194"/>
      <c r="C1883" s="2254"/>
      <c r="D1883" s="2254"/>
      <c r="E1883" s="2254"/>
      <c r="F1883" s="2254"/>
      <c r="G1883" s="2254"/>
      <c r="H1883" s="2254"/>
      <c r="I1883" s="2204"/>
      <c r="J1883" s="2204"/>
      <c r="K1883" s="2204"/>
      <c r="L1883" s="2204"/>
      <c r="M1883" s="2204"/>
      <c r="N1883" s="2204"/>
      <c r="O1883" s="2204"/>
      <c r="P1883" s="1180">
        <f>O1877/M!$Q$14</f>
        <v>0</v>
      </c>
      <c r="Q1883" s="1235"/>
      <c r="R1883" s="1235"/>
      <c r="S1883" s="1235"/>
      <c r="T1883" s="1235"/>
      <c r="U1883" s="1235"/>
      <c r="V1883" s="1235"/>
      <c r="W1883" s="1235"/>
    </row>
    <row r="1884" spans="1:23">
      <c r="A1884" s="2217"/>
      <c r="B1884" s="1176" t="s">
        <v>666</v>
      </c>
      <c r="C1884" s="1232"/>
      <c r="D1884" s="1232"/>
      <c r="E1884" s="1232"/>
      <c r="F1884" s="1232"/>
      <c r="G1884" s="1232"/>
      <c r="H1884" s="1232"/>
      <c r="I1884" s="1228">
        <v>808</v>
      </c>
      <c r="J1884" s="1228">
        <v>808</v>
      </c>
      <c r="K1884" s="1228">
        <v>808</v>
      </c>
      <c r="L1884" s="1228">
        <v>808</v>
      </c>
      <c r="M1884" s="1228">
        <v>808</v>
      </c>
      <c r="N1884" s="1228">
        <v>808</v>
      </c>
      <c r="O1884" s="1179">
        <f t="shared" ref="O1884:O1889" si="442">SUM(C1884:N1884)/6</f>
        <v>808</v>
      </c>
      <c r="P1884" s="1180">
        <f>O1878/M!$Q$14</f>
        <v>0</v>
      </c>
      <c r="Q1884" s="1235"/>
      <c r="R1884" s="1235"/>
      <c r="S1884" s="1235"/>
      <c r="T1884" s="1235"/>
      <c r="U1884" s="1235"/>
      <c r="V1884" s="1235"/>
      <c r="W1884" s="1235"/>
    </row>
    <row r="1885" spans="1:23">
      <c r="A1885" s="2218"/>
      <c r="B1885" s="1176" t="s">
        <v>400</v>
      </c>
      <c r="C1885" s="1233"/>
      <c r="D1885" s="1232"/>
      <c r="E1885" s="1232"/>
      <c r="F1885" s="1232"/>
      <c r="G1885" s="1232"/>
      <c r="H1885" s="1232"/>
      <c r="I1885" s="1228">
        <v>100</v>
      </c>
      <c r="J1885" s="1228">
        <v>354</v>
      </c>
      <c r="K1885" s="1228">
        <v>210</v>
      </c>
      <c r="L1885" s="1228">
        <v>0</v>
      </c>
      <c r="M1885" s="1228">
        <v>200</v>
      </c>
      <c r="N1885" s="1228">
        <v>0</v>
      </c>
      <c r="O1885" s="1179">
        <f t="shared" si="442"/>
        <v>144</v>
      </c>
      <c r="P1885" s="1180">
        <f>O1879/M!$Q$14</f>
        <v>0</v>
      </c>
      <c r="Q1885" s="1235"/>
      <c r="R1885" s="1235"/>
      <c r="S1885" s="1235"/>
      <c r="T1885" s="1235"/>
      <c r="U1885" s="1235"/>
      <c r="V1885" s="1235"/>
      <c r="W1885" s="1235"/>
    </row>
    <row r="1886" spans="1:23">
      <c r="A1886" s="2218"/>
      <c r="B1886" s="1176" t="s">
        <v>454</v>
      </c>
      <c r="C1886" s="1232"/>
      <c r="D1886" s="1232"/>
      <c r="E1886" s="1232"/>
      <c r="F1886" s="1232"/>
      <c r="G1886" s="1232"/>
      <c r="H1886" s="1232"/>
      <c r="I1886" s="1228">
        <v>0</v>
      </c>
      <c r="J1886" s="1228">
        <v>0</v>
      </c>
      <c r="K1886" s="1228">
        <v>0</v>
      </c>
      <c r="L1886" s="1228">
        <v>0</v>
      </c>
      <c r="M1886" s="1228">
        <v>0</v>
      </c>
      <c r="N1886" s="1228">
        <v>0</v>
      </c>
      <c r="O1886" s="1179">
        <f t="shared" si="442"/>
        <v>0</v>
      </c>
      <c r="P1886" s="1180">
        <f>O1880/M!$Q$14</f>
        <v>0</v>
      </c>
      <c r="Q1886" s="1235"/>
      <c r="R1886" s="1235"/>
      <c r="S1886" s="1235"/>
      <c r="T1886" s="1235"/>
      <c r="U1886" s="1235"/>
      <c r="V1886" s="1235"/>
      <c r="W1886" s="1235"/>
    </row>
    <row r="1887" spans="1:23">
      <c r="A1887" s="2218"/>
      <c r="B1887" s="1176" t="s">
        <v>407</v>
      </c>
      <c r="C1887" s="1232"/>
      <c r="D1887" s="1232"/>
      <c r="E1887" s="1232"/>
      <c r="F1887" s="1232"/>
      <c r="G1887" s="1232"/>
      <c r="H1887" s="1232"/>
      <c r="I1887" s="1228">
        <v>0</v>
      </c>
      <c r="J1887" s="1228">
        <v>0</v>
      </c>
      <c r="K1887" s="1228">
        <v>0</v>
      </c>
      <c r="L1887" s="1228">
        <v>0</v>
      </c>
      <c r="M1887" s="1228">
        <v>0</v>
      </c>
      <c r="N1887" s="1228">
        <v>0</v>
      </c>
      <c r="O1887" s="1179">
        <f t="shared" si="442"/>
        <v>0</v>
      </c>
      <c r="P1887" s="1180">
        <f>O1881/M!$Q$14</f>
        <v>0</v>
      </c>
      <c r="Q1887" s="1235"/>
      <c r="R1887" s="1235"/>
      <c r="S1887" s="1235"/>
      <c r="T1887" s="1235"/>
      <c r="U1887" s="1235"/>
      <c r="V1887" s="1235"/>
      <c r="W1887" s="1235"/>
    </row>
    <row r="1888" spans="1:23">
      <c r="A1888" s="2218"/>
      <c r="B1888" s="1176" t="s">
        <v>408</v>
      </c>
      <c r="C1888" s="1232"/>
      <c r="D1888" s="1232"/>
      <c r="E1888" s="1232"/>
      <c r="F1888" s="1232"/>
      <c r="G1888" s="1232"/>
      <c r="H1888" s="1232"/>
      <c r="I1888" s="1228">
        <v>0</v>
      </c>
      <c r="J1888" s="1228">
        <v>0</v>
      </c>
      <c r="K1888" s="1228">
        <v>0</v>
      </c>
      <c r="L1888" s="1228">
        <v>32</v>
      </c>
      <c r="M1888" s="1228">
        <v>0</v>
      </c>
      <c r="N1888" s="1228">
        <v>0</v>
      </c>
      <c r="O1888" s="1179">
        <f t="shared" si="442"/>
        <v>5.333333333333333</v>
      </c>
      <c r="P1888" s="2205">
        <f>O1882/M!$Q$14</f>
        <v>8.6684576497270571E-2</v>
      </c>
      <c r="Q1888" s="1235"/>
      <c r="R1888" s="1235"/>
      <c r="S1888" s="1235"/>
      <c r="T1888" s="1235"/>
      <c r="U1888" s="1235"/>
      <c r="V1888" s="1235"/>
      <c r="W1888" s="1235"/>
    </row>
    <row r="1889" spans="1:23">
      <c r="A1889" s="2219"/>
      <c r="B1889" s="1176" t="s">
        <v>409</v>
      </c>
      <c r="C1889" s="1232"/>
      <c r="D1889" s="1232"/>
      <c r="E1889" s="1232"/>
      <c r="F1889" s="1232"/>
      <c r="G1889" s="1232"/>
      <c r="H1889" s="1232"/>
      <c r="I1889" s="1228">
        <v>0</v>
      </c>
      <c r="J1889" s="1228">
        <v>0</v>
      </c>
      <c r="K1889" s="1228">
        <v>0</v>
      </c>
      <c r="L1889" s="1228">
        <v>56</v>
      </c>
      <c r="M1889" s="1228">
        <v>0</v>
      </c>
      <c r="N1889" s="1228">
        <v>0</v>
      </c>
      <c r="O1889" s="1179">
        <f t="shared" si="442"/>
        <v>9.3333333333333339</v>
      </c>
      <c r="P1889" s="2206"/>
      <c r="Q1889" s="1235"/>
      <c r="R1889" s="1235"/>
      <c r="S1889" s="1235"/>
      <c r="T1889" s="1235"/>
      <c r="U1889" s="1235"/>
      <c r="V1889" s="1235"/>
      <c r="W1889" s="1235"/>
    </row>
    <row r="1890" spans="1:23">
      <c r="A1890" s="2191" t="s">
        <v>277</v>
      </c>
      <c r="B1890" s="2192"/>
      <c r="C1890" s="2253"/>
      <c r="D1890" s="2253"/>
      <c r="E1890" s="2253"/>
      <c r="F1890" s="2253"/>
      <c r="G1890" s="2253"/>
      <c r="H1890" s="2253"/>
      <c r="I1890" s="2203">
        <f t="shared" ref="I1890:N1890" si="443">SUM(I1892:I1895)</f>
        <v>335</v>
      </c>
      <c r="J1890" s="2203">
        <f t="shared" si="443"/>
        <v>261</v>
      </c>
      <c r="K1890" s="2203">
        <f t="shared" si="443"/>
        <v>302</v>
      </c>
      <c r="L1890" s="2203">
        <f t="shared" si="443"/>
        <v>337</v>
      </c>
      <c r="M1890" s="2203">
        <f t="shared" si="443"/>
        <v>212</v>
      </c>
      <c r="N1890" s="2203">
        <f t="shared" si="443"/>
        <v>206</v>
      </c>
      <c r="O1890" s="2203">
        <f>SUM(O1892:O1895)</f>
        <v>275.5</v>
      </c>
      <c r="P1890" s="1180">
        <f>O1884/M!$Q$14</f>
        <v>7.2456349458408217E-2</v>
      </c>
      <c r="Q1890" s="1235"/>
      <c r="R1890" s="1235"/>
      <c r="S1890" s="1235"/>
      <c r="T1890" s="1235"/>
      <c r="U1890" s="1235"/>
      <c r="V1890" s="1235"/>
      <c r="W1890" s="1235"/>
    </row>
    <row r="1891" spans="1:23">
      <c r="A1891" s="2193"/>
      <c r="B1891" s="2194"/>
      <c r="C1891" s="2254"/>
      <c r="D1891" s="2254"/>
      <c r="E1891" s="2254"/>
      <c r="F1891" s="2254"/>
      <c r="G1891" s="2254"/>
      <c r="H1891" s="2254"/>
      <c r="I1891" s="2204"/>
      <c r="J1891" s="2204"/>
      <c r="K1891" s="2204"/>
      <c r="L1891" s="2204"/>
      <c r="M1891" s="2204"/>
      <c r="N1891" s="2204"/>
      <c r="O1891" s="2204"/>
      <c r="P1891" s="1180">
        <f>O1885/M!$Q$14</f>
        <v>1.2913012774765822E-2</v>
      </c>
      <c r="Q1891" s="1235"/>
      <c r="R1891" s="1235"/>
      <c r="S1891" s="1235"/>
      <c r="T1891" s="1235"/>
      <c r="U1891" s="1235"/>
      <c r="V1891" s="1235"/>
      <c r="W1891" s="1235"/>
    </row>
    <row r="1892" spans="1:23">
      <c r="A1892" s="2217"/>
      <c r="B1892" s="1176" t="s">
        <v>410</v>
      </c>
      <c r="C1892" s="1231"/>
      <c r="D1892" s="1231"/>
      <c r="E1892" s="1231"/>
      <c r="F1892" s="1231"/>
      <c r="G1892" s="1231"/>
      <c r="H1892" s="1231"/>
      <c r="I1892" s="1228">
        <v>305</v>
      </c>
      <c r="J1892" s="1228">
        <v>216</v>
      </c>
      <c r="K1892" s="1228">
        <v>250</v>
      </c>
      <c r="L1892" s="1228">
        <v>282</v>
      </c>
      <c r="M1892" s="1228">
        <v>182</v>
      </c>
      <c r="N1892" s="1228">
        <v>91</v>
      </c>
      <c r="O1892" s="1179">
        <f>SUM(C1892:N1892)/6</f>
        <v>221</v>
      </c>
      <c r="P1892" s="1180">
        <f>O1886/M!$Q$14</f>
        <v>0</v>
      </c>
      <c r="Q1892" s="1235"/>
      <c r="R1892" s="1235"/>
      <c r="S1892" s="1235"/>
      <c r="T1892" s="1235"/>
      <c r="U1892" s="1235"/>
      <c r="V1892" s="1235"/>
      <c r="W1892" s="1235"/>
    </row>
    <row r="1893" spans="1:23">
      <c r="A1893" s="2218"/>
      <c r="B1893" s="1176" t="s">
        <v>457</v>
      </c>
      <c r="C1893" s="1231"/>
      <c r="D1893" s="1231"/>
      <c r="E1893" s="1231"/>
      <c r="F1893" s="1231"/>
      <c r="G1893" s="1231"/>
      <c r="H1893" s="1231"/>
      <c r="I1893" s="1178">
        <v>0</v>
      </c>
      <c r="J1893" s="1178">
        <v>0</v>
      </c>
      <c r="K1893" s="1178">
        <v>0</v>
      </c>
      <c r="L1893" s="1178">
        <v>25</v>
      </c>
      <c r="M1893" s="1178">
        <v>0</v>
      </c>
      <c r="N1893" s="1178">
        <v>102</v>
      </c>
      <c r="O1893" s="1179">
        <f>SUM(C1893:N1893)/6</f>
        <v>21.166666666666668</v>
      </c>
      <c r="P1893" s="1180">
        <f>O1887/M!$Q$14</f>
        <v>0</v>
      </c>
      <c r="Q1893" s="1235"/>
      <c r="R1893" s="1235"/>
      <c r="S1893" s="1235"/>
      <c r="T1893" s="1235"/>
      <c r="U1893" s="1235"/>
      <c r="V1893" s="1235"/>
      <c r="W1893" s="1235"/>
    </row>
    <row r="1894" spans="1:23">
      <c r="A1894" s="2218"/>
      <c r="B1894" s="1176" t="s">
        <v>458</v>
      </c>
      <c r="C1894" s="1231"/>
      <c r="D1894" s="1231"/>
      <c r="E1894" s="1231"/>
      <c r="F1894" s="1231"/>
      <c r="G1894" s="1231"/>
      <c r="H1894" s="1231"/>
      <c r="I1894" s="1228">
        <v>0</v>
      </c>
      <c r="J1894" s="1228">
        <v>15</v>
      </c>
      <c r="K1894" s="1228">
        <v>22</v>
      </c>
      <c r="L1894" s="1228">
        <v>0</v>
      </c>
      <c r="M1894" s="1228">
        <v>0</v>
      </c>
      <c r="N1894" s="1228">
        <v>8</v>
      </c>
      <c r="O1894" s="1179">
        <f>SUM(C1894:N1894)/6</f>
        <v>7.5</v>
      </c>
      <c r="P1894" s="1180">
        <f>O1888/M!$Q$14</f>
        <v>4.7825973239873408E-4</v>
      </c>
      <c r="Q1894" s="1235"/>
      <c r="R1894" s="1235"/>
      <c r="S1894" s="1235"/>
      <c r="T1894" s="1235"/>
      <c r="U1894" s="1235"/>
      <c r="V1894" s="1235"/>
      <c r="W1894" s="1235"/>
    </row>
    <row r="1895" spans="1:23">
      <c r="A1895" s="2219"/>
      <c r="B1895" s="1176" t="s">
        <v>459</v>
      </c>
      <c r="C1895" s="1231"/>
      <c r="D1895" s="1231"/>
      <c r="E1895" s="1231"/>
      <c r="F1895" s="1231"/>
      <c r="G1895" s="1231"/>
      <c r="H1895" s="1231"/>
      <c r="I1895" s="1228">
        <v>30</v>
      </c>
      <c r="J1895" s="1228">
        <v>30</v>
      </c>
      <c r="K1895" s="1228">
        <v>30</v>
      </c>
      <c r="L1895" s="1228">
        <v>30</v>
      </c>
      <c r="M1895" s="1228">
        <v>30</v>
      </c>
      <c r="N1895" s="1228">
        <v>5</v>
      </c>
      <c r="O1895" s="1179">
        <f>SUM(C1895:N1895)/6</f>
        <v>25.833333333333332</v>
      </c>
      <c r="P1895" s="1180">
        <f>O1889/M!$Q$14</f>
        <v>8.3695453169778476E-4</v>
      </c>
      <c r="Q1895" s="1235"/>
      <c r="R1895" s="1235"/>
      <c r="S1895" s="1235"/>
      <c r="T1895" s="1235"/>
      <c r="U1895" s="1235"/>
      <c r="V1895" s="1235"/>
      <c r="W1895" s="1235"/>
    </row>
    <row r="1896" spans="1:23">
      <c r="A1896" s="2191" t="s">
        <v>278</v>
      </c>
      <c r="B1896" s="2192"/>
      <c r="C1896" s="2253"/>
      <c r="D1896" s="2253"/>
      <c r="E1896" s="2253"/>
      <c r="F1896" s="2253"/>
      <c r="G1896" s="2253"/>
      <c r="H1896" s="2253"/>
      <c r="I1896" s="2203">
        <f t="shared" ref="I1896:O1896" si="444">SUM(I1898:I1899)</f>
        <v>568</v>
      </c>
      <c r="J1896" s="2203">
        <f t="shared" si="444"/>
        <v>568</v>
      </c>
      <c r="K1896" s="2203">
        <f t="shared" si="444"/>
        <v>647</v>
      </c>
      <c r="L1896" s="2203">
        <f t="shared" si="444"/>
        <v>457</v>
      </c>
      <c r="M1896" s="2203">
        <f t="shared" si="444"/>
        <v>455</v>
      </c>
      <c r="N1896" s="2203">
        <f t="shared" si="444"/>
        <v>173</v>
      </c>
      <c r="O1896" s="2203">
        <f t="shared" si="444"/>
        <v>478</v>
      </c>
      <c r="P1896" s="2205">
        <f>O1890/M!$Q$14</f>
        <v>2.4705104301722111E-2</v>
      </c>
      <c r="Q1896" s="1235"/>
      <c r="R1896" s="1235"/>
      <c r="S1896" s="1235"/>
      <c r="T1896" s="1235"/>
      <c r="U1896" s="1235"/>
      <c r="V1896" s="1235"/>
      <c r="W1896" s="1235"/>
    </row>
    <row r="1897" spans="1:23">
      <c r="A1897" s="2193"/>
      <c r="B1897" s="2194"/>
      <c r="C1897" s="2254"/>
      <c r="D1897" s="2254"/>
      <c r="E1897" s="2254"/>
      <c r="F1897" s="2254"/>
      <c r="G1897" s="2254"/>
      <c r="H1897" s="2254"/>
      <c r="I1897" s="2204"/>
      <c r="J1897" s="2204"/>
      <c r="K1897" s="2204"/>
      <c r="L1897" s="2204"/>
      <c r="M1897" s="2204"/>
      <c r="N1897" s="2204"/>
      <c r="O1897" s="2204"/>
      <c r="P1897" s="2206"/>
      <c r="Q1897" s="1235"/>
      <c r="R1897" s="1235"/>
      <c r="S1897" s="1235"/>
      <c r="T1897" s="1235"/>
      <c r="U1897" s="1235"/>
      <c r="V1897" s="1235"/>
      <c r="W1897" s="1235"/>
    </row>
    <row r="1898" spans="1:23">
      <c r="A1898" s="2217"/>
      <c r="B1898" s="1176" t="s">
        <v>414</v>
      </c>
      <c r="C1898" s="1231"/>
      <c r="D1898" s="1231"/>
      <c r="E1898" s="1231"/>
      <c r="F1898" s="1231"/>
      <c r="G1898" s="1231"/>
      <c r="H1898" s="1231"/>
      <c r="I1898" s="1228">
        <v>409</v>
      </c>
      <c r="J1898" s="1228">
        <v>393</v>
      </c>
      <c r="K1898" s="1228">
        <v>501</v>
      </c>
      <c r="L1898" s="1228">
        <v>360</v>
      </c>
      <c r="M1898" s="1228">
        <v>361</v>
      </c>
      <c r="N1898" s="1228">
        <v>128</v>
      </c>
      <c r="O1898" s="1179">
        <f>SUM(C1898:N1898)/6</f>
        <v>358.66666666666669</v>
      </c>
      <c r="P1898" s="1180">
        <f>O1892/M!$Q$14</f>
        <v>1.9817887661272546E-2</v>
      </c>
      <c r="Q1898" s="1235"/>
      <c r="R1898" s="1235"/>
      <c r="S1898" s="1235"/>
      <c r="T1898" s="1235"/>
      <c r="U1898" s="1235"/>
      <c r="V1898" s="1235"/>
      <c r="W1898" s="1235"/>
    </row>
    <row r="1899" spans="1:23">
      <c r="A1899" s="2219"/>
      <c r="B1899" s="1176" t="s">
        <v>278</v>
      </c>
      <c r="C1899" s="1231"/>
      <c r="D1899" s="1231"/>
      <c r="E1899" s="1231"/>
      <c r="F1899" s="1231"/>
      <c r="G1899" s="1231"/>
      <c r="H1899" s="1231"/>
      <c r="I1899" s="1228">
        <v>159</v>
      </c>
      <c r="J1899" s="1228">
        <v>175</v>
      </c>
      <c r="K1899" s="1228">
        <v>146</v>
      </c>
      <c r="L1899" s="1228">
        <v>97</v>
      </c>
      <c r="M1899" s="1228">
        <v>94</v>
      </c>
      <c r="N1899" s="1228">
        <v>45</v>
      </c>
      <c r="O1899" s="1179">
        <f>SUM(C1899:N1899)/6</f>
        <v>119.33333333333333</v>
      </c>
      <c r="P1899" s="1180">
        <f>O1893/M!$Q$14</f>
        <v>1.8980933129574761E-3</v>
      </c>
      <c r="Q1899" s="1235"/>
      <c r="R1899" s="1235"/>
      <c r="S1899" s="1235"/>
      <c r="T1899" s="1235"/>
      <c r="U1899" s="1235"/>
      <c r="V1899" s="1235"/>
      <c r="W1899" s="1235"/>
    </row>
    <row r="1900" spans="1:23">
      <c r="A1900" s="2191" t="s">
        <v>279</v>
      </c>
      <c r="B1900" s="2192"/>
      <c r="C1900" s="2253"/>
      <c r="D1900" s="2253"/>
      <c r="E1900" s="2253"/>
      <c r="F1900" s="2253"/>
      <c r="G1900" s="2253"/>
      <c r="H1900" s="2253"/>
      <c r="I1900" s="2203">
        <f t="shared" ref="I1900:N1900" si="445">SUM(I1902:I1909)</f>
        <v>539</v>
      </c>
      <c r="J1900" s="2203">
        <f t="shared" si="445"/>
        <v>433</v>
      </c>
      <c r="K1900" s="2203">
        <f t="shared" si="445"/>
        <v>566</v>
      </c>
      <c r="L1900" s="2203">
        <f t="shared" si="445"/>
        <v>518</v>
      </c>
      <c r="M1900" s="2203">
        <f t="shared" si="445"/>
        <v>803</v>
      </c>
      <c r="N1900" s="2203">
        <f t="shared" si="445"/>
        <v>443</v>
      </c>
      <c r="O1900" s="2203">
        <f>SUM(O1902:O1909)</f>
        <v>550.33333333333337</v>
      </c>
      <c r="P1900" s="1180">
        <f>O1894/M!$Q$14</f>
        <v>6.7255274868571985E-4</v>
      </c>
      <c r="Q1900" s="1235"/>
      <c r="R1900" s="1235"/>
      <c r="S1900" s="1235"/>
      <c r="T1900" s="1235"/>
      <c r="U1900" s="1235"/>
      <c r="V1900" s="1235"/>
      <c r="W1900" s="1235"/>
    </row>
    <row r="1901" spans="1:23">
      <c r="A1901" s="2193"/>
      <c r="B1901" s="2194"/>
      <c r="C1901" s="2254"/>
      <c r="D1901" s="2254"/>
      <c r="E1901" s="2254"/>
      <c r="F1901" s="2254"/>
      <c r="G1901" s="2254"/>
      <c r="H1901" s="2254"/>
      <c r="I1901" s="2204"/>
      <c r="J1901" s="2204"/>
      <c r="K1901" s="2204"/>
      <c r="L1901" s="2204"/>
      <c r="M1901" s="2204"/>
      <c r="N1901" s="2204"/>
      <c r="O1901" s="2204"/>
      <c r="P1901" s="1180">
        <f>O1895/M!$Q$14</f>
        <v>2.3165705788063683E-3</v>
      </c>
      <c r="Q1901" s="1235"/>
      <c r="R1901" s="1235"/>
      <c r="S1901" s="1235"/>
      <c r="T1901" s="1235"/>
      <c r="U1901" s="1235"/>
      <c r="V1901" s="1235"/>
      <c r="W1901" s="1235"/>
    </row>
    <row r="1902" spans="1:23">
      <c r="A1902" s="2217"/>
      <c r="B1902" s="1176" t="s">
        <v>415</v>
      </c>
      <c r="C1902" s="1232"/>
      <c r="D1902" s="1232"/>
      <c r="E1902" s="1232"/>
      <c r="F1902" s="1232"/>
      <c r="G1902" s="1232"/>
      <c r="H1902" s="1232"/>
      <c r="I1902" s="1228">
        <v>75</v>
      </c>
      <c r="J1902" s="1228">
        <v>72</v>
      </c>
      <c r="K1902" s="1228">
        <v>71</v>
      </c>
      <c r="L1902" s="1228">
        <v>54</v>
      </c>
      <c r="M1902" s="1228">
        <v>38</v>
      </c>
      <c r="N1902" s="1228">
        <v>33</v>
      </c>
      <c r="O1902" s="1179">
        <f t="shared" ref="O1902:O1909" si="446">SUM(C1902:N1902)/6</f>
        <v>57.166666666666664</v>
      </c>
      <c r="P1902" s="2205">
        <f>O1896/M!$Q$14</f>
        <v>4.2864028516236545E-2</v>
      </c>
      <c r="Q1902" s="1235"/>
      <c r="R1902" s="1235"/>
      <c r="S1902" s="1235"/>
      <c r="T1902" s="1235"/>
      <c r="U1902" s="1235"/>
      <c r="V1902" s="1235"/>
      <c r="W1902" s="1235"/>
    </row>
    <row r="1903" spans="1:23">
      <c r="A1903" s="2218"/>
      <c r="B1903" s="1176" t="s">
        <v>416</v>
      </c>
      <c r="C1903" s="1232"/>
      <c r="D1903" s="1232"/>
      <c r="E1903" s="1232"/>
      <c r="F1903" s="1232"/>
      <c r="G1903" s="1232"/>
      <c r="H1903" s="1232"/>
      <c r="I1903" s="1182">
        <v>0</v>
      </c>
      <c r="J1903" s="1182">
        <v>0</v>
      </c>
      <c r="K1903" s="1182">
        <v>0</v>
      </c>
      <c r="L1903" s="1182">
        <v>0</v>
      </c>
      <c r="M1903" s="1182">
        <v>0</v>
      </c>
      <c r="N1903" s="1182">
        <v>0</v>
      </c>
      <c r="O1903" s="1179">
        <f t="shared" si="446"/>
        <v>0</v>
      </c>
      <c r="P1903" s="2206"/>
      <c r="Q1903" s="1235"/>
      <c r="R1903" s="1235"/>
      <c r="S1903" s="1235"/>
      <c r="T1903" s="1235"/>
      <c r="U1903" s="1235"/>
      <c r="V1903" s="1235"/>
      <c r="W1903" s="1235"/>
    </row>
    <row r="1904" spans="1:23">
      <c r="A1904" s="2218"/>
      <c r="B1904" s="1176" t="s">
        <v>417</v>
      </c>
      <c r="C1904" s="1232"/>
      <c r="D1904" s="1232"/>
      <c r="E1904" s="1232"/>
      <c r="F1904" s="1232"/>
      <c r="G1904" s="1232"/>
      <c r="H1904" s="1232"/>
      <c r="I1904" s="1182">
        <v>0</v>
      </c>
      <c r="J1904" s="1182">
        <v>0</v>
      </c>
      <c r="K1904" s="1182">
        <v>0</v>
      </c>
      <c r="L1904" s="1182">
        <v>0</v>
      </c>
      <c r="M1904" s="1182">
        <v>0</v>
      </c>
      <c r="N1904" s="1182">
        <v>0</v>
      </c>
      <c r="O1904" s="1179">
        <f t="shared" si="446"/>
        <v>0</v>
      </c>
      <c r="P1904" s="1180">
        <f>O1898/M!$Q$14</f>
        <v>3.2162967003814873E-2</v>
      </c>
      <c r="Q1904" s="1235"/>
      <c r="R1904" s="1235"/>
      <c r="S1904" s="1235"/>
      <c r="T1904" s="1235"/>
      <c r="U1904" s="1235"/>
      <c r="V1904" s="1235"/>
      <c r="W1904" s="1235"/>
    </row>
    <row r="1905" spans="1:23">
      <c r="A1905" s="2218"/>
      <c r="B1905" s="1176" t="s">
        <v>410</v>
      </c>
      <c r="C1905" s="1232"/>
      <c r="D1905" s="1232"/>
      <c r="E1905" s="1232"/>
      <c r="F1905" s="1232"/>
      <c r="G1905" s="1232"/>
      <c r="H1905" s="1232"/>
      <c r="I1905" s="1182">
        <v>0</v>
      </c>
      <c r="J1905" s="1182">
        <v>0</v>
      </c>
      <c r="K1905" s="1182">
        <v>0</v>
      </c>
      <c r="L1905" s="1182">
        <v>0</v>
      </c>
      <c r="M1905" s="1182">
        <v>0</v>
      </c>
      <c r="N1905" s="1182">
        <v>0</v>
      </c>
      <c r="O1905" s="1179">
        <f t="shared" si="446"/>
        <v>0</v>
      </c>
      <c r="P1905" s="1180">
        <f>O1899/M!$Q$14</f>
        <v>1.0701061512421676E-2</v>
      </c>
      <c r="Q1905" s="1235"/>
      <c r="R1905" s="1235"/>
      <c r="S1905" s="1235"/>
      <c r="T1905" s="1235"/>
      <c r="U1905" s="1235"/>
      <c r="V1905" s="1235"/>
      <c r="W1905" s="1235"/>
    </row>
    <row r="1906" spans="1:23">
      <c r="A1906" s="2218"/>
      <c r="B1906" s="1176" t="s">
        <v>418</v>
      </c>
      <c r="C1906" s="1232"/>
      <c r="D1906" s="1232"/>
      <c r="E1906" s="1232"/>
      <c r="F1906" s="1232"/>
      <c r="G1906" s="1232"/>
      <c r="H1906" s="1232"/>
      <c r="I1906" s="1228">
        <v>62</v>
      </c>
      <c r="J1906" s="1228">
        <v>81</v>
      </c>
      <c r="K1906" s="1228">
        <v>70</v>
      </c>
      <c r="L1906" s="1228">
        <v>70</v>
      </c>
      <c r="M1906" s="1228">
        <v>70</v>
      </c>
      <c r="N1906" s="1228">
        <v>70</v>
      </c>
      <c r="O1906" s="1179">
        <f t="shared" si="446"/>
        <v>70.5</v>
      </c>
      <c r="P1906" s="2205">
        <f>O1900/M!$Q$14</f>
        <v>4.9350426136894381E-2</v>
      </c>
      <c r="Q1906" s="1235"/>
      <c r="R1906" s="1235"/>
      <c r="S1906" s="1235"/>
      <c r="T1906" s="1235"/>
      <c r="U1906" s="1235"/>
      <c r="V1906" s="1235"/>
      <c r="W1906" s="1235"/>
    </row>
    <row r="1907" spans="1:23">
      <c r="A1907" s="2218"/>
      <c r="B1907" s="1176" t="s">
        <v>419</v>
      </c>
      <c r="C1907" s="1232"/>
      <c r="D1907" s="1232"/>
      <c r="E1907" s="1232"/>
      <c r="F1907" s="1232"/>
      <c r="G1907" s="1232"/>
      <c r="H1907" s="1232"/>
      <c r="I1907" s="1228">
        <v>30</v>
      </c>
      <c r="J1907" s="1228">
        <v>30</v>
      </c>
      <c r="K1907" s="1228">
        <v>30</v>
      </c>
      <c r="L1907" s="1228">
        <v>30</v>
      </c>
      <c r="M1907" s="1228">
        <v>30</v>
      </c>
      <c r="N1907" s="1228">
        <v>30</v>
      </c>
      <c r="O1907" s="1179">
        <f t="shared" si="446"/>
        <v>30</v>
      </c>
      <c r="P1907" s="2206"/>
      <c r="Q1907" s="1235"/>
      <c r="R1907" s="1235"/>
      <c r="S1907" s="1235"/>
      <c r="T1907" s="1235"/>
      <c r="U1907" s="1235"/>
      <c r="V1907" s="1235"/>
      <c r="W1907" s="1235"/>
    </row>
    <row r="1908" spans="1:23">
      <c r="A1908" s="2218"/>
      <c r="B1908" s="1176" t="s">
        <v>460</v>
      </c>
      <c r="C1908" s="1232"/>
      <c r="D1908" s="1232"/>
      <c r="E1908" s="1232"/>
      <c r="F1908" s="1232"/>
      <c r="G1908" s="1232"/>
      <c r="H1908" s="1232"/>
      <c r="I1908" s="1228">
        <v>282</v>
      </c>
      <c r="J1908" s="1228">
        <v>160</v>
      </c>
      <c r="K1908" s="1228">
        <v>271</v>
      </c>
      <c r="L1908" s="1228">
        <v>219</v>
      </c>
      <c r="M1908" s="1228">
        <v>505</v>
      </c>
      <c r="N1908" s="1228">
        <v>220</v>
      </c>
      <c r="O1908" s="1179">
        <f t="shared" si="446"/>
        <v>276.16666666666669</v>
      </c>
      <c r="P1908" s="1180">
        <f>O1902/M!$Q$14</f>
        <v>5.1263465066489315E-3</v>
      </c>
      <c r="Q1908" s="1235"/>
      <c r="R1908" s="1235"/>
      <c r="S1908" s="1235"/>
      <c r="T1908" s="1235"/>
      <c r="U1908" s="1235"/>
      <c r="V1908" s="1235"/>
      <c r="W1908" s="1235"/>
    </row>
    <row r="1909" spans="1:23">
      <c r="A1909" s="2219"/>
      <c r="B1909" s="1176" t="s">
        <v>421</v>
      </c>
      <c r="C1909" s="1232"/>
      <c r="D1909" s="1232"/>
      <c r="E1909" s="1232"/>
      <c r="F1909" s="1232"/>
      <c r="G1909" s="1232"/>
      <c r="H1909" s="1232"/>
      <c r="I1909" s="1228">
        <v>90</v>
      </c>
      <c r="J1909" s="1228">
        <v>90</v>
      </c>
      <c r="K1909" s="1228">
        <v>124</v>
      </c>
      <c r="L1909" s="1228">
        <v>145</v>
      </c>
      <c r="M1909" s="1228">
        <v>160</v>
      </c>
      <c r="N1909" s="1228">
        <v>90</v>
      </c>
      <c r="O1909" s="1179">
        <f t="shared" si="446"/>
        <v>116.5</v>
      </c>
      <c r="P1909" s="1180">
        <f>O1903/M!$Q$14</f>
        <v>0</v>
      </c>
      <c r="Q1909" s="1235"/>
      <c r="R1909" s="1235"/>
      <c r="S1909" s="1235"/>
      <c r="T1909" s="1235"/>
      <c r="U1909" s="1235"/>
      <c r="V1909" s="1235"/>
      <c r="W1909" s="1235"/>
    </row>
    <row r="1910" spans="1:23">
      <c r="A1910" s="2191" t="s">
        <v>280</v>
      </c>
      <c r="B1910" s="2192"/>
      <c r="C1910" s="2253"/>
      <c r="D1910" s="2253"/>
      <c r="E1910" s="2253"/>
      <c r="F1910" s="2253"/>
      <c r="G1910" s="2253"/>
      <c r="H1910" s="2253"/>
      <c r="I1910" s="2203">
        <f t="shared" ref="I1910:O1910" si="447">SUM(I1912:I1918)</f>
        <v>1000</v>
      </c>
      <c r="J1910" s="2203">
        <f t="shared" si="447"/>
        <v>889</v>
      </c>
      <c r="K1910" s="2203">
        <f t="shared" si="447"/>
        <v>2519</v>
      </c>
      <c r="L1910" s="2203">
        <f t="shared" si="447"/>
        <v>850</v>
      </c>
      <c r="M1910" s="2203">
        <f t="shared" si="447"/>
        <v>2334</v>
      </c>
      <c r="N1910" s="2203">
        <f t="shared" si="447"/>
        <v>1271</v>
      </c>
      <c r="O1910" s="2203">
        <f t="shared" si="447"/>
        <v>1477.1666666666667</v>
      </c>
      <c r="P1910" s="1180">
        <f>O1904/M!$Q$14</f>
        <v>0</v>
      </c>
      <c r="Q1910" s="1235"/>
      <c r="R1910" s="1235"/>
      <c r="S1910" s="1235"/>
      <c r="T1910" s="1235"/>
      <c r="U1910" s="1235"/>
      <c r="V1910" s="1235"/>
      <c r="W1910" s="1235"/>
    </row>
    <row r="1911" spans="1:23">
      <c r="A1911" s="2193"/>
      <c r="B1911" s="2194"/>
      <c r="C1911" s="2254"/>
      <c r="D1911" s="2254"/>
      <c r="E1911" s="2254"/>
      <c r="F1911" s="2254"/>
      <c r="G1911" s="2254"/>
      <c r="H1911" s="2254"/>
      <c r="I1911" s="2204"/>
      <c r="J1911" s="2204"/>
      <c r="K1911" s="2204"/>
      <c r="L1911" s="2204"/>
      <c r="M1911" s="2204"/>
      <c r="N1911" s="2204"/>
      <c r="O1911" s="2204"/>
      <c r="P1911" s="1180">
        <f>O1905/M!$Q$14</f>
        <v>0</v>
      </c>
      <c r="Q1911" s="1235"/>
      <c r="R1911" s="1235"/>
      <c r="S1911" s="1235"/>
      <c r="T1911" s="1235"/>
      <c r="U1911" s="1235"/>
      <c r="V1911" s="1235"/>
      <c r="W1911" s="1235"/>
    </row>
    <row r="1912" spans="1:23">
      <c r="A1912" s="2217"/>
      <c r="B1912" s="1176" t="s">
        <v>280</v>
      </c>
      <c r="C1912" s="1231"/>
      <c r="D1912" s="1231"/>
      <c r="E1912" s="1231"/>
      <c r="F1912" s="1231"/>
      <c r="G1912" s="1231"/>
      <c r="H1912" s="1231"/>
      <c r="I1912" s="1228">
        <v>751</v>
      </c>
      <c r="J1912" s="1228">
        <v>338</v>
      </c>
      <c r="K1912" s="1228">
        <v>871</v>
      </c>
      <c r="L1912" s="1228">
        <v>208</v>
      </c>
      <c r="M1912" s="1228">
        <v>811</v>
      </c>
      <c r="N1912" s="1228">
        <v>726</v>
      </c>
      <c r="O1912" s="1179">
        <f t="shared" ref="O1912:O1918" si="448">SUM(C1912:N1912)/6</f>
        <v>617.5</v>
      </c>
      <c r="P1912" s="1180">
        <f>O1906/M!$Q$14</f>
        <v>6.3219958376457665E-3</v>
      </c>
      <c r="Q1912" s="1235"/>
      <c r="R1912" s="1235"/>
      <c r="S1912" s="1235"/>
      <c r="T1912" s="1235"/>
      <c r="U1912" s="1235"/>
      <c r="V1912" s="1235"/>
      <c r="W1912" s="1235"/>
    </row>
    <row r="1913" spans="1:23">
      <c r="A1913" s="2218"/>
      <c r="B1913" s="1176" t="s">
        <v>423</v>
      </c>
      <c r="C1913" s="1231"/>
      <c r="D1913" s="1231"/>
      <c r="E1913" s="1231"/>
      <c r="F1913" s="1231"/>
      <c r="G1913" s="1231"/>
      <c r="H1913" s="1231"/>
      <c r="I1913" s="1228">
        <v>0</v>
      </c>
      <c r="J1913" s="1228">
        <v>312</v>
      </c>
      <c r="K1913" s="1228">
        <v>298</v>
      </c>
      <c r="L1913" s="1228">
        <v>190</v>
      </c>
      <c r="M1913" s="1228">
        <v>500</v>
      </c>
      <c r="N1913" s="1228">
        <v>383</v>
      </c>
      <c r="O1913" s="1179">
        <f t="shared" si="448"/>
        <v>280.5</v>
      </c>
      <c r="P1913" s="1180">
        <f>O1907/M!$Q$14</f>
        <v>2.6902109947428794E-3</v>
      </c>
      <c r="Q1913" s="1235"/>
      <c r="R1913" s="1235"/>
      <c r="S1913" s="1235"/>
      <c r="T1913" s="1235"/>
      <c r="U1913" s="1235"/>
      <c r="V1913" s="1235"/>
      <c r="W1913" s="1235"/>
    </row>
    <row r="1914" spans="1:23">
      <c r="A1914" s="2218"/>
      <c r="B1914" s="1176" t="s">
        <v>424</v>
      </c>
      <c r="C1914" s="1231"/>
      <c r="D1914" s="1231"/>
      <c r="E1914" s="1231"/>
      <c r="F1914" s="1231"/>
      <c r="G1914" s="1231"/>
      <c r="H1914" s="1231"/>
      <c r="I1914" s="1228">
        <v>0</v>
      </c>
      <c r="J1914" s="1228">
        <v>50</v>
      </c>
      <c r="K1914" s="1228">
        <v>990</v>
      </c>
      <c r="L1914" s="1228">
        <v>230</v>
      </c>
      <c r="M1914" s="1228">
        <v>0</v>
      </c>
      <c r="N1914" s="1228">
        <v>0</v>
      </c>
      <c r="O1914" s="1179">
        <f t="shared" si="448"/>
        <v>211.66666666666666</v>
      </c>
      <c r="P1914" s="1180">
        <f>O1908/M!$Q$14</f>
        <v>2.4764886768271953E-2</v>
      </c>
      <c r="Q1914" s="1235"/>
      <c r="R1914" s="1235"/>
      <c r="S1914" s="1235"/>
      <c r="T1914" s="1235"/>
      <c r="U1914" s="1235"/>
      <c r="V1914" s="1235"/>
      <c r="W1914" s="1235"/>
    </row>
    <row r="1915" spans="1:23">
      <c r="A1915" s="2218"/>
      <c r="B1915" s="1176" t="s">
        <v>425</v>
      </c>
      <c r="C1915" s="1231"/>
      <c r="D1915" s="1231"/>
      <c r="E1915" s="1231"/>
      <c r="F1915" s="1231"/>
      <c r="G1915" s="1231"/>
      <c r="H1915" s="1231"/>
      <c r="I1915" s="1228">
        <v>0</v>
      </c>
      <c r="J1915" s="1228">
        <v>0</v>
      </c>
      <c r="K1915" s="1228">
        <v>0</v>
      </c>
      <c r="L1915" s="1228">
        <v>0</v>
      </c>
      <c r="M1915" s="1228">
        <v>0</v>
      </c>
      <c r="N1915" s="1228">
        <v>0</v>
      </c>
      <c r="O1915" s="1179">
        <f t="shared" si="448"/>
        <v>0</v>
      </c>
      <c r="P1915" s="1180">
        <f>O1909/M!$Q$14</f>
        <v>1.0446986029584849E-2</v>
      </c>
      <c r="Q1915" s="1235"/>
      <c r="R1915" s="1235"/>
      <c r="S1915" s="1235"/>
      <c r="T1915" s="1235"/>
      <c r="U1915" s="1235"/>
      <c r="V1915" s="1235"/>
      <c r="W1915" s="1235"/>
    </row>
    <row r="1916" spans="1:23">
      <c r="A1916" s="2218"/>
      <c r="B1916" s="1176" t="s">
        <v>667</v>
      </c>
      <c r="C1916" s="1231"/>
      <c r="D1916" s="1231"/>
      <c r="E1916" s="1231"/>
      <c r="F1916" s="1232"/>
      <c r="G1916" s="1231"/>
      <c r="H1916" s="1231"/>
      <c r="I1916" s="1228">
        <v>60</v>
      </c>
      <c r="J1916" s="1228">
        <v>0</v>
      </c>
      <c r="K1916" s="1228">
        <v>105</v>
      </c>
      <c r="L1916" s="1228">
        <v>0</v>
      </c>
      <c r="M1916" s="1228">
        <v>764</v>
      </c>
      <c r="N1916" s="1228">
        <v>162</v>
      </c>
      <c r="O1916" s="1179">
        <f t="shared" si="448"/>
        <v>181.83333333333334</v>
      </c>
      <c r="P1916" s="2205">
        <f>O1910/M!$Q$14</f>
        <v>0.13246300025781191</v>
      </c>
      <c r="Q1916" s="1235"/>
      <c r="R1916" s="1235"/>
      <c r="S1916" s="1235"/>
      <c r="T1916" s="1235"/>
      <c r="U1916" s="1235"/>
      <c r="V1916" s="1235"/>
      <c r="W1916" s="1235"/>
    </row>
    <row r="1917" spans="1:23">
      <c r="A1917" s="2218"/>
      <c r="B1917" s="1176" t="s">
        <v>427</v>
      </c>
      <c r="C1917" s="1231"/>
      <c r="D1917" s="1231"/>
      <c r="E1917" s="1231"/>
      <c r="F1917" s="1231"/>
      <c r="G1917" s="1231"/>
      <c r="H1917" s="1231"/>
      <c r="I1917" s="1177">
        <v>0</v>
      </c>
      <c r="J1917" s="1177">
        <v>0</v>
      </c>
      <c r="K1917" s="1177">
        <v>0</v>
      </c>
      <c r="L1917" s="1177">
        <v>0</v>
      </c>
      <c r="M1917" s="1177">
        <v>0</v>
      </c>
      <c r="N1917" s="1177">
        <v>0</v>
      </c>
      <c r="O1917" s="1179">
        <f t="shared" si="448"/>
        <v>0</v>
      </c>
      <c r="P1917" s="2206"/>
      <c r="Q1917" s="1235"/>
      <c r="R1917" s="1235"/>
      <c r="S1917" s="1235"/>
      <c r="T1917" s="1235"/>
      <c r="U1917" s="1235"/>
      <c r="V1917" s="1235"/>
      <c r="W1917" s="1235"/>
    </row>
    <row r="1918" spans="1:23">
      <c r="A1918" s="2219"/>
      <c r="B1918" s="1176" t="s">
        <v>381</v>
      </c>
      <c r="C1918" s="1231"/>
      <c r="D1918" s="1231"/>
      <c r="E1918" s="1231"/>
      <c r="F1918" s="1232"/>
      <c r="G1918" s="1231"/>
      <c r="H1918" s="1232"/>
      <c r="I1918" s="1228">
        <v>189</v>
      </c>
      <c r="J1918" s="1228">
        <v>189</v>
      </c>
      <c r="K1918" s="1228">
        <v>255</v>
      </c>
      <c r="L1918" s="1228">
        <v>222</v>
      </c>
      <c r="M1918" s="1228">
        <v>259</v>
      </c>
      <c r="N1918" s="1228">
        <v>0</v>
      </c>
      <c r="O1918" s="1179">
        <f t="shared" si="448"/>
        <v>185.66666666666666</v>
      </c>
      <c r="P1918" s="1180">
        <f>O1912/M!$Q$14</f>
        <v>5.5373509641790934E-2</v>
      </c>
      <c r="Q1918" s="1235"/>
      <c r="R1918" s="1235"/>
      <c r="S1918" s="1235"/>
      <c r="T1918" s="1235"/>
      <c r="U1918" s="1235"/>
      <c r="V1918" s="1235"/>
      <c r="W1918" s="1235"/>
    </row>
    <row r="1919" spans="1:23">
      <c r="A1919" s="2191" t="s">
        <v>428</v>
      </c>
      <c r="B1919" s="2192"/>
      <c r="C1919" s="2253"/>
      <c r="D1919" s="2253"/>
      <c r="E1919" s="2253"/>
      <c r="F1919" s="2253"/>
      <c r="G1919" s="2253"/>
      <c r="H1919" s="2253"/>
      <c r="I1919" s="2203">
        <f t="shared" ref="I1919:N1919" si="449">SUM(I1921:I1922)</f>
        <v>0</v>
      </c>
      <c r="J1919" s="2203">
        <f t="shared" si="449"/>
        <v>0</v>
      </c>
      <c r="K1919" s="2203">
        <f t="shared" si="449"/>
        <v>0</v>
      </c>
      <c r="L1919" s="2203">
        <f t="shared" si="449"/>
        <v>0</v>
      </c>
      <c r="M1919" s="2203">
        <f t="shared" si="449"/>
        <v>0</v>
      </c>
      <c r="N1919" s="2203">
        <f t="shared" si="449"/>
        <v>0</v>
      </c>
      <c r="O1919" s="2203">
        <f>SUM(O1921:O1922)</f>
        <v>0</v>
      </c>
      <c r="P1919" s="1180">
        <f>O1913/M!$Q$14</f>
        <v>2.5153472800845924E-2</v>
      </c>
      <c r="Q1919" s="1235"/>
      <c r="R1919" s="1235"/>
      <c r="S1919" s="1235"/>
      <c r="T1919" s="1235"/>
      <c r="U1919" s="1235"/>
      <c r="V1919" s="1235"/>
      <c r="W1919" s="1235"/>
    </row>
    <row r="1920" spans="1:23">
      <c r="A1920" s="2193"/>
      <c r="B1920" s="2194"/>
      <c r="C1920" s="2254"/>
      <c r="D1920" s="2254"/>
      <c r="E1920" s="2254"/>
      <c r="F1920" s="2254"/>
      <c r="G1920" s="2254"/>
      <c r="H1920" s="2254"/>
      <c r="I1920" s="2204"/>
      <c r="J1920" s="2204"/>
      <c r="K1920" s="2204"/>
      <c r="L1920" s="2204"/>
      <c r="M1920" s="2204"/>
      <c r="N1920" s="2204"/>
      <c r="O1920" s="2204"/>
      <c r="P1920" s="1180">
        <f>O1914/M!$Q$14</f>
        <v>1.8980933129574759E-2</v>
      </c>
      <c r="Q1920" s="1235"/>
      <c r="R1920" s="1235"/>
      <c r="S1920" s="1235"/>
      <c r="T1920" s="1235"/>
      <c r="U1920" s="1235"/>
      <c r="V1920" s="1235"/>
      <c r="W1920" s="1235"/>
    </row>
    <row r="1921" spans="1:23">
      <c r="A1921" s="2217"/>
      <c r="B1921" s="1176" t="s">
        <v>429</v>
      </c>
      <c r="C1921" s="1231"/>
      <c r="D1921" s="1231"/>
      <c r="E1921" s="1231"/>
      <c r="F1921" s="1231"/>
      <c r="G1921" s="1231"/>
      <c r="H1921" s="1231"/>
      <c r="I1921" s="1182">
        <v>0</v>
      </c>
      <c r="J1921" s="1182">
        <v>0</v>
      </c>
      <c r="K1921" s="1182">
        <v>0</v>
      </c>
      <c r="L1921" s="1182">
        <v>0</v>
      </c>
      <c r="M1921" s="1182">
        <v>0</v>
      </c>
      <c r="N1921" s="1182">
        <v>0</v>
      </c>
      <c r="O1921" s="1179">
        <f>SUM(C1921:N1921)/6</f>
        <v>0</v>
      </c>
      <c r="P1921" s="1180">
        <f>O1915/M!$Q$14</f>
        <v>0</v>
      </c>
      <c r="Q1921" s="1235"/>
      <c r="R1921" s="1235"/>
      <c r="S1921" s="1235"/>
      <c r="T1921" s="1235"/>
      <c r="U1921" s="1235"/>
      <c r="V1921" s="1235"/>
      <c r="W1921" s="1235"/>
    </row>
    <row r="1922" spans="1:23">
      <c r="A1922" s="2218"/>
      <c r="B1922" s="1176" t="s">
        <v>430</v>
      </c>
      <c r="C1922" s="1231"/>
      <c r="D1922" s="1231"/>
      <c r="E1922" s="1231"/>
      <c r="F1922" s="1231"/>
      <c r="G1922" s="1231"/>
      <c r="H1922" s="1231"/>
      <c r="I1922" s="1182">
        <v>0</v>
      </c>
      <c r="J1922" s="1182">
        <v>0</v>
      </c>
      <c r="K1922" s="1182">
        <v>0</v>
      </c>
      <c r="L1922" s="1182">
        <v>0</v>
      </c>
      <c r="M1922" s="1182">
        <v>0</v>
      </c>
      <c r="N1922" s="1182">
        <v>0</v>
      </c>
      <c r="O1922" s="1179">
        <f>SUM(C1922:N1922)/6</f>
        <v>0</v>
      </c>
      <c r="P1922" s="1180">
        <f>O1916/M!$Q$14</f>
        <v>1.6305667751469341E-2</v>
      </c>
      <c r="Q1922" s="1235"/>
      <c r="R1922" s="1235"/>
      <c r="S1922" s="1235"/>
      <c r="T1922" s="1235"/>
      <c r="U1922" s="1235"/>
      <c r="V1922" s="1235"/>
      <c r="W1922" s="1235"/>
    </row>
    <row r="1923" spans="1:23">
      <c r="A1923" s="2191" t="s">
        <v>668</v>
      </c>
      <c r="B1923" s="2192"/>
      <c r="C1923" s="2253"/>
      <c r="D1923" s="2253"/>
      <c r="E1923" s="2253"/>
      <c r="F1923" s="2253"/>
      <c r="G1923" s="2253"/>
      <c r="H1923" s="2253"/>
      <c r="I1923" s="2203">
        <f t="shared" ref="I1923:O1923" si="450">SUM(I1925:I1928)</f>
        <v>117.83333333333334</v>
      </c>
      <c r="J1923" s="2203">
        <f t="shared" si="450"/>
        <v>224.83333333333334</v>
      </c>
      <c r="K1923" s="2203">
        <f t="shared" si="450"/>
        <v>187.83333333333334</v>
      </c>
      <c r="L1923" s="2203">
        <f t="shared" si="450"/>
        <v>147.83333333333334</v>
      </c>
      <c r="M1923" s="2203">
        <f t="shared" si="450"/>
        <v>127.83333333333334</v>
      </c>
      <c r="N1923" s="2203">
        <f t="shared" si="450"/>
        <v>127.83333333333334</v>
      </c>
      <c r="O1923" s="2203">
        <f t="shared" si="450"/>
        <v>155.66666666666669</v>
      </c>
      <c r="P1923" s="1180">
        <f>O1917/M!$Q$14</f>
        <v>0</v>
      </c>
      <c r="Q1923" s="1235"/>
      <c r="R1923" s="1235"/>
      <c r="S1923" s="1235"/>
      <c r="T1923" s="1235"/>
      <c r="U1923" s="1235"/>
      <c r="V1923" s="1235"/>
      <c r="W1923" s="1235"/>
    </row>
    <row r="1924" spans="1:23">
      <c r="A1924" s="2193"/>
      <c r="B1924" s="2194"/>
      <c r="C1924" s="2254"/>
      <c r="D1924" s="2254"/>
      <c r="E1924" s="2254"/>
      <c r="F1924" s="2254"/>
      <c r="G1924" s="2254"/>
      <c r="H1924" s="2254"/>
      <c r="I1924" s="2204"/>
      <c r="J1924" s="2204"/>
      <c r="K1924" s="2204"/>
      <c r="L1924" s="2204"/>
      <c r="M1924" s="2204"/>
      <c r="N1924" s="2204"/>
      <c r="O1924" s="2204"/>
      <c r="P1924" s="1180">
        <f>O1918/M!$Q$14</f>
        <v>1.6649416934130933E-2</v>
      </c>
      <c r="Q1924" s="1235"/>
      <c r="R1924" s="1235"/>
      <c r="S1924" s="1235"/>
      <c r="T1924" s="1235"/>
      <c r="U1924" s="1235"/>
      <c r="V1924" s="1235"/>
      <c r="W1924" s="1235"/>
    </row>
    <row r="1925" spans="1:23">
      <c r="A1925" s="1183"/>
      <c r="B1925" s="1176" t="s">
        <v>432</v>
      </c>
      <c r="C1925" s="1234"/>
      <c r="D1925" s="1234"/>
      <c r="E1925" s="1234"/>
      <c r="F1925" s="1234"/>
      <c r="G1925" s="1234"/>
      <c r="H1925" s="1234"/>
      <c r="I1925" s="1184">
        <f>(FinSnapshot!$B$94 +FinSnapshot!$B$96+FinSnapshot!$B$102+FinSnapshot!$B$104)/12</f>
        <v>72.25</v>
      </c>
      <c r="J1925" s="1184">
        <f>(FinSnapshot!$B$94 +FinSnapshot!$B$96+FinSnapshot!$B$102+FinSnapshot!$B$104)/12</f>
        <v>72.25</v>
      </c>
      <c r="K1925" s="1184">
        <f>(FinSnapshot!$B$94 +FinSnapshot!$B$96+FinSnapshot!$B$102+FinSnapshot!$B$104)/12</f>
        <v>72.25</v>
      </c>
      <c r="L1925" s="1184">
        <f>(FinSnapshot!$B$94 +FinSnapshot!$B$96+FinSnapshot!$B$102+FinSnapshot!$B$104)/12</f>
        <v>72.25</v>
      </c>
      <c r="M1925" s="1184">
        <f>(FinSnapshot!$B$94 +FinSnapshot!$B$96+FinSnapshot!$B$102+FinSnapshot!$B$104)/12</f>
        <v>72.25</v>
      </c>
      <c r="N1925" s="1184">
        <f>(FinSnapshot!$B$94 +FinSnapshot!$B$96+FinSnapshot!$B$102+FinSnapshot!$B$104)/12</f>
        <v>72.25</v>
      </c>
      <c r="O1925" s="1179">
        <f>SUM(C1925:N1925)/6</f>
        <v>72.25</v>
      </c>
      <c r="P1925" s="2205">
        <f>O1919/M!$Q$14</f>
        <v>0</v>
      </c>
      <c r="Q1925" s="1235"/>
      <c r="R1925" s="1235"/>
      <c r="S1925" s="1235"/>
      <c r="T1925" s="1235"/>
      <c r="U1925" s="1235"/>
      <c r="V1925" s="1235"/>
      <c r="W1925" s="1235"/>
    </row>
    <row r="1926" spans="1:23">
      <c r="A1926" s="1183"/>
      <c r="B1926" s="1176" t="s">
        <v>284</v>
      </c>
      <c r="C1926" s="1231"/>
      <c r="D1926" s="1231"/>
      <c r="E1926" s="1231"/>
      <c r="F1926" s="1231"/>
      <c r="G1926" s="1231"/>
      <c r="H1926" s="1231"/>
      <c r="I1926" s="1228">
        <v>0</v>
      </c>
      <c r="J1926" s="1228">
        <v>107</v>
      </c>
      <c r="K1926" s="1228">
        <v>70</v>
      </c>
      <c r="L1926" s="1228">
        <v>30</v>
      </c>
      <c r="M1926" s="1228">
        <v>10</v>
      </c>
      <c r="N1926" s="1228">
        <v>10</v>
      </c>
      <c r="O1926" s="1179">
        <f>SUM(C1926:N1926)/6</f>
        <v>37.833333333333336</v>
      </c>
      <c r="P1926" s="2206"/>
      <c r="Q1926" s="1235"/>
      <c r="R1926" s="1235"/>
      <c r="S1926" s="1235"/>
      <c r="T1926" s="1235"/>
      <c r="U1926" s="1235"/>
      <c r="V1926" s="1235"/>
      <c r="W1926" s="1235"/>
    </row>
    <row r="1927" spans="1:23">
      <c r="A1927" s="1183"/>
      <c r="B1927" s="1176" t="s">
        <v>433</v>
      </c>
      <c r="C1927" s="1231"/>
      <c r="D1927" s="1231"/>
      <c r="E1927" s="1231"/>
      <c r="F1927" s="1231"/>
      <c r="G1927" s="1231"/>
      <c r="H1927" s="1231"/>
      <c r="I1927" s="1178">
        <f>(FinSnapshot!$B$93+ FinSnapshot!$B$95+ FinSnapshot!$B$96+ FinSnapshot!$B$103 + FinSnapshot!$B$105+ FinSnapshot!$B$107+ FinSnapshot!$B$108+ FinSnapshot!$B$101+FinSnapshot!$B$95+FinSnapshot!$B$103)/12</f>
        <v>45.583333333333336</v>
      </c>
      <c r="J1927" s="1178">
        <f>(FinSnapshot!$B93+ FinSnapshot!$B95+ FinSnapshot!$B96+ FinSnapshot!$B103 + FinSnapshot!$B105+ FinSnapshot!$B107+ FinSnapshot!$B108+ FinSnapshot!$B101+FinSnapshot!$B95+FinSnapshot!$B103)/12</f>
        <v>45.583333333333336</v>
      </c>
      <c r="K1927" s="1178">
        <f>(FinSnapshot!$B93+ FinSnapshot!$B95+ FinSnapshot!$B96+ FinSnapshot!$B103 + FinSnapshot!$B105+ FinSnapshot!$B107+ FinSnapshot!$B108+ FinSnapshot!$B101+FinSnapshot!$B95+FinSnapshot!$B103)/12</f>
        <v>45.583333333333336</v>
      </c>
      <c r="L1927" s="1178">
        <f>(FinSnapshot!$B93+ FinSnapshot!$B95+ FinSnapshot!$B96+ FinSnapshot!$B103 + FinSnapshot!$B105+ FinSnapshot!$B107+ FinSnapshot!$B108+ FinSnapshot!$B101+FinSnapshot!$B95+FinSnapshot!$B103)/12</f>
        <v>45.583333333333336</v>
      </c>
      <c r="M1927" s="1178">
        <f>(FinSnapshot!$B93+ FinSnapshot!$B95+ FinSnapshot!$B96+ FinSnapshot!$B103 + FinSnapshot!$B105+ FinSnapshot!$B107+ FinSnapshot!$B108+ FinSnapshot!$B101+FinSnapshot!$B95+FinSnapshot!$B103)/12</f>
        <v>45.583333333333336</v>
      </c>
      <c r="N1927" s="1178">
        <f>(FinSnapshot!$B93+ FinSnapshot!$B95+ FinSnapshot!$B96+ FinSnapshot!$B103 + FinSnapshot!$B105+ FinSnapshot!$B107+ FinSnapshot!$B108+ FinSnapshot!$B101+FinSnapshot!$B95+FinSnapshot!$B103)/12</f>
        <v>45.583333333333336</v>
      </c>
      <c r="O1927" s="1179">
        <f>SUM(C1927:N1927)/6</f>
        <v>45.583333333333336</v>
      </c>
      <c r="P1927" s="1180">
        <f>O1921/M!$Q$14</f>
        <v>0</v>
      </c>
      <c r="Q1927" s="1235"/>
      <c r="R1927" s="1235"/>
      <c r="S1927" s="1235"/>
      <c r="T1927" s="1235"/>
      <c r="U1927" s="1235"/>
      <c r="V1927" s="1235"/>
      <c r="W1927" s="1235"/>
    </row>
    <row r="1928" spans="1:23">
      <c r="A1928" s="1183"/>
      <c r="B1928" s="1176" t="s">
        <v>434</v>
      </c>
      <c r="C1928" s="1234"/>
      <c r="D1928" s="1234"/>
      <c r="E1928" s="1234"/>
      <c r="F1928" s="1234"/>
      <c r="G1928" s="1234"/>
      <c r="H1928" s="1234"/>
      <c r="I1928" s="1184">
        <v>0</v>
      </c>
      <c r="J1928" s="1184">
        <v>0</v>
      </c>
      <c r="K1928" s="1184">
        <v>0</v>
      </c>
      <c r="L1928" s="1184">
        <v>0</v>
      </c>
      <c r="M1928" s="1184">
        <v>0</v>
      </c>
      <c r="N1928" s="1184">
        <v>0</v>
      </c>
      <c r="O1928" s="1179">
        <f>SUM(C1928:N1928)/6</f>
        <v>0</v>
      </c>
      <c r="P1928" s="1180">
        <f>O1922/M!$Q$14</f>
        <v>0</v>
      </c>
      <c r="Q1928" s="1235"/>
      <c r="R1928" s="1235"/>
      <c r="S1928" s="1235"/>
      <c r="T1928" s="1235"/>
      <c r="U1928" s="1235"/>
      <c r="V1928" s="1235"/>
      <c r="W1928" s="1235"/>
    </row>
    <row r="1929" spans="1:23">
      <c r="A1929" s="2191" t="s">
        <v>435</v>
      </c>
      <c r="B1929" s="2192"/>
      <c r="C1929" s="2253"/>
      <c r="D1929" s="2253"/>
      <c r="E1929" s="2253"/>
      <c r="F1929" s="2253"/>
      <c r="G1929" s="2253"/>
      <c r="H1929" s="2253"/>
      <c r="I1929" s="2203">
        <f t="shared" ref="I1929:O1929" si="451">SUM(I1931:I1933)</f>
        <v>64</v>
      </c>
      <c r="J1929" s="2203">
        <f t="shared" si="451"/>
        <v>200</v>
      </c>
      <c r="K1929" s="2203">
        <f t="shared" si="451"/>
        <v>200</v>
      </c>
      <c r="L1929" s="2203">
        <f t="shared" si="451"/>
        <v>200</v>
      </c>
      <c r="M1929" s="2203">
        <f t="shared" si="451"/>
        <v>400</v>
      </c>
      <c r="N1929" s="2203">
        <f t="shared" si="451"/>
        <v>2620</v>
      </c>
      <c r="O1929" s="2203">
        <f t="shared" si="451"/>
        <v>614</v>
      </c>
      <c r="P1929" s="2205">
        <f>O1923/M!$Q$14</f>
        <v>1.3959205939388054E-2</v>
      </c>
      <c r="Q1929" s="1235"/>
      <c r="R1929" s="1235"/>
      <c r="S1929" s="1235"/>
      <c r="T1929" s="1235"/>
      <c r="U1929" s="1235"/>
      <c r="V1929" s="1235"/>
      <c r="W1929" s="1235"/>
    </row>
    <row r="1930" spans="1:23">
      <c r="A1930" s="2193"/>
      <c r="B1930" s="2194"/>
      <c r="C1930" s="2254"/>
      <c r="D1930" s="2254"/>
      <c r="E1930" s="2254"/>
      <c r="F1930" s="2254"/>
      <c r="G1930" s="2254"/>
      <c r="H1930" s="2254"/>
      <c r="I1930" s="2204"/>
      <c r="J1930" s="2204"/>
      <c r="K1930" s="2204"/>
      <c r="L1930" s="2204"/>
      <c r="M1930" s="2204"/>
      <c r="N1930" s="2204"/>
      <c r="O1930" s="2204"/>
      <c r="P1930" s="2206"/>
      <c r="Q1930" s="1235"/>
      <c r="R1930" s="1235"/>
      <c r="S1930" s="1235"/>
      <c r="T1930" s="1235"/>
      <c r="U1930" s="1235"/>
      <c r="V1930" s="1235"/>
      <c r="W1930" s="1235"/>
    </row>
    <row r="1931" spans="1:23">
      <c r="A1931" s="1183"/>
      <c r="B1931" s="1176" t="s">
        <v>405</v>
      </c>
      <c r="C1931" s="1231"/>
      <c r="D1931" s="1231"/>
      <c r="E1931" s="1231"/>
      <c r="F1931" s="1231"/>
      <c r="G1931" s="1231"/>
      <c r="H1931" s="1231"/>
      <c r="I1931" s="1228">
        <v>64</v>
      </c>
      <c r="J1931" s="1228">
        <v>200</v>
      </c>
      <c r="K1931" s="1228">
        <v>200</v>
      </c>
      <c r="L1931" s="1228">
        <v>200</v>
      </c>
      <c r="M1931" s="1228">
        <v>400</v>
      </c>
      <c r="N1931" s="1228">
        <v>100</v>
      </c>
      <c r="O1931" s="1179">
        <f>SUM(C1931:N1931)/6</f>
        <v>194</v>
      </c>
      <c r="P1931" s="1180">
        <f>O1925/M!$Q$14</f>
        <v>6.4789248123391019E-3</v>
      </c>
      <c r="Q1931" s="1235"/>
      <c r="R1931" s="1235"/>
      <c r="S1931" s="1235"/>
      <c r="T1931" s="1235"/>
      <c r="U1931" s="1235"/>
      <c r="V1931" s="1235"/>
      <c r="W1931" s="1235"/>
    </row>
    <row r="1932" spans="1:23">
      <c r="A1932" s="1183"/>
      <c r="B1932" s="1176" t="s">
        <v>436</v>
      </c>
      <c r="C1932" s="1231"/>
      <c r="D1932" s="1231"/>
      <c r="E1932" s="1231"/>
      <c r="F1932" s="1231"/>
      <c r="G1932" s="1231"/>
      <c r="H1932" s="1231"/>
      <c r="I1932" s="1228">
        <v>0</v>
      </c>
      <c r="J1932" s="1228">
        <v>0</v>
      </c>
      <c r="K1932" s="1228">
        <v>0</v>
      </c>
      <c r="L1932" s="1228">
        <v>0</v>
      </c>
      <c r="M1932" s="1228">
        <v>0</v>
      </c>
      <c r="N1932" s="1228">
        <v>0</v>
      </c>
      <c r="O1932" s="1179">
        <f>SUM(C1932:N1932)/6</f>
        <v>0</v>
      </c>
      <c r="P1932" s="1180">
        <f>O1926/M!$Q$14</f>
        <v>3.3926549767035203E-3</v>
      </c>
      <c r="Q1932" s="1235"/>
      <c r="R1932" s="1235"/>
      <c r="S1932" s="1235"/>
      <c r="T1932" s="1235"/>
      <c r="U1932" s="1235"/>
      <c r="V1932" s="1235"/>
      <c r="W1932" s="1235"/>
    </row>
    <row r="1933" spans="1:23">
      <c r="A1933" s="1183"/>
      <c r="B1933" s="1176" t="s">
        <v>130</v>
      </c>
      <c r="C1933" s="1232"/>
      <c r="D1933" s="1232"/>
      <c r="E1933" s="1231"/>
      <c r="F1933" s="1231"/>
      <c r="G1933" s="1231"/>
      <c r="H1933" s="1231"/>
      <c r="I1933" s="1182">
        <v>0</v>
      </c>
      <c r="J1933" s="1178">
        <v>0</v>
      </c>
      <c r="K1933" s="1182">
        <v>0</v>
      </c>
      <c r="L1933" s="1182">
        <v>0</v>
      </c>
      <c r="M1933" s="1182">
        <v>0</v>
      </c>
      <c r="N1933" s="1182">
        <v>2520</v>
      </c>
      <c r="O1933" s="1179">
        <f>SUM(C1933:N1933)/6</f>
        <v>420</v>
      </c>
      <c r="P1933" s="1180">
        <f>O1927/M!$Q$14</f>
        <v>4.087626150345431E-3</v>
      </c>
      <c r="Q1933" s="1235"/>
      <c r="R1933" s="1235"/>
      <c r="S1933" s="1235"/>
      <c r="T1933" s="1235"/>
      <c r="U1933" s="1235"/>
      <c r="V1933" s="1235"/>
      <c r="W1933" s="1235"/>
    </row>
    <row r="1934" spans="1:23">
      <c r="A1934" s="2191" t="s">
        <v>286</v>
      </c>
      <c r="B1934" s="2192"/>
      <c r="C1934" s="2253"/>
      <c r="D1934" s="2253"/>
      <c r="E1934" s="2253"/>
      <c r="F1934" s="2253"/>
      <c r="G1934" s="2253"/>
      <c r="H1934" s="2253"/>
      <c r="I1934" s="2203">
        <f t="shared" ref="I1934:N1934" si="452">SUM(I1936:I1937)</f>
        <v>850</v>
      </c>
      <c r="J1934" s="2203">
        <f t="shared" si="452"/>
        <v>850</v>
      </c>
      <c r="K1934" s="2203">
        <f t="shared" si="452"/>
        <v>850</v>
      </c>
      <c r="L1934" s="2203">
        <f t="shared" si="452"/>
        <v>750</v>
      </c>
      <c r="M1934" s="2203">
        <f t="shared" si="452"/>
        <v>500</v>
      </c>
      <c r="N1934" s="2203">
        <f t="shared" si="452"/>
        <v>1700</v>
      </c>
      <c r="O1934" s="2203">
        <f>SUM(O1936:O1937)</f>
        <v>916.66666666666674</v>
      </c>
      <c r="P1934" s="1180">
        <f>O1928/M!$Q$14</f>
        <v>0</v>
      </c>
      <c r="Q1934" s="1235"/>
      <c r="R1934" s="1235"/>
      <c r="S1934" s="1235"/>
      <c r="T1934" s="1235"/>
      <c r="U1934" s="1235"/>
      <c r="V1934" s="1235"/>
      <c r="W1934" s="1235"/>
    </row>
    <row r="1935" spans="1:23">
      <c r="A1935" s="2193"/>
      <c r="B1935" s="2194"/>
      <c r="C1935" s="2254"/>
      <c r="D1935" s="2254"/>
      <c r="E1935" s="2254"/>
      <c r="F1935" s="2254"/>
      <c r="G1935" s="2254"/>
      <c r="H1935" s="2254"/>
      <c r="I1935" s="2204"/>
      <c r="J1935" s="2204"/>
      <c r="K1935" s="2204"/>
      <c r="L1935" s="2204"/>
      <c r="M1935" s="2204"/>
      <c r="N1935" s="2204"/>
      <c r="O1935" s="2204"/>
      <c r="P1935" s="2205">
        <f>O1929/M!$Q$14</f>
        <v>5.5059651692404267E-2</v>
      </c>
      <c r="Q1935" s="1235"/>
      <c r="R1935" s="1235"/>
      <c r="S1935" s="1235"/>
      <c r="T1935" s="1235"/>
      <c r="U1935" s="1235"/>
      <c r="V1935" s="1235"/>
      <c r="W1935" s="1235"/>
    </row>
    <row r="1936" spans="1:23">
      <c r="A1936" s="2217"/>
      <c r="B1936" s="1176" t="s">
        <v>82</v>
      </c>
      <c r="C1936" s="1231"/>
      <c r="D1936" s="1231"/>
      <c r="E1936" s="1231"/>
      <c r="F1936" s="1231"/>
      <c r="G1936" s="1231"/>
      <c r="H1936" s="1231"/>
      <c r="I1936" s="1228">
        <v>500</v>
      </c>
      <c r="J1936" s="1228">
        <v>500</v>
      </c>
      <c r="K1936" s="1228">
        <v>500</v>
      </c>
      <c r="L1936" s="1228">
        <v>500</v>
      </c>
      <c r="M1936" s="1228">
        <v>500</v>
      </c>
      <c r="N1936" s="1228">
        <v>500</v>
      </c>
      <c r="O1936" s="1179">
        <f>SUM(C1936:N1936)/6</f>
        <v>500</v>
      </c>
      <c r="P1936" s="2206"/>
      <c r="Q1936" s="1235"/>
      <c r="R1936" s="1235"/>
      <c r="S1936" s="1235"/>
      <c r="T1936" s="1235"/>
      <c r="U1936" s="1235"/>
      <c r="V1936" s="1235"/>
      <c r="W1936" s="1235"/>
    </row>
    <row r="1937" spans="1:23">
      <c r="A1937" s="2219"/>
      <c r="B1937" s="1176" t="s">
        <v>83</v>
      </c>
      <c r="C1937" s="1231"/>
      <c r="D1937" s="1231"/>
      <c r="E1937" s="1231"/>
      <c r="F1937" s="1231"/>
      <c r="G1937" s="1231"/>
      <c r="H1937" s="1231"/>
      <c r="I1937" s="1228">
        <v>350</v>
      </c>
      <c r="J1937" s="1228">
        <v>350</v>
      </c>
      <c r="K1937" s="1228">
        <v>350</v>
      </c>
      <c r="L1937" s="1228">
        <v>250</v>
      </c>
      <c r="M1937" s="1228">
        <v>0</v>
      </c>
      <c r="N1937" s="1228">
        <v>1200</v>
      </c>
      <c r="O1937" s="1179">
        <f>SUM(C1937:N1937)/6</f>
        <v>416.66666666666669</v>
      </c>
      <c r="P1937" s="1180">
        <f>O1931/M!$Q$14</f>
        <v>1.7396697766003954E-2</v>
      </c>
      <c r="Q1937" s="1235"/>
      <c r="R1937" s="1235"/>
      <c r="S1937" s="1235"/>
      <c r="T1937" s="1235"/>
      <c r="U1937" s="1235"/>
      <c r="V1937" s="1235"/>
      <c r="W1937" s="1235"/>
    </row>
    <row r="1938" spans="1:23">
      <c r="A1938" s="1187" t="s">
        <v>437</v>
      </c>
      <c r="B1938" s="1188"/>
      <c r="C1938" s="1189">
        <f t="shared" ref="C1938:H1938" si="453">C1868+C1882+C1890+C1896+C1910+C1900+ C1919+C1934</f>
        <v>0</v>
      </c>
      <c r="D1938" s="1189">
        <f t="shared" si="453"/>
        <v>0</v>
      </c>
      <c r="E1938" s="1189">
        <f t="shared" si="453"/>
        <v>0</v>
      </c>
      <c r="F1938" s="1189">
        <f t="shared" si="453"/>
        <v>0</v>
      </c>
      <c r="G1938" s="1189">
        <f t="shared" si="453"/>
        <v>0</v>
      </c>
      <c r="H1938" s="1189">
        <f t="shared" si="453"/>
        <v>0</v>
      </c>
      <c r="I1938" s="1189">
        <f>I1868+I1882+I1890+I1896+I1900+I1910+I1919+I1923+I1929+I1934</f>
        <v>5456.833333333333</v>
      </c>
      <c r="J1938" s="1189">
        <f t="shared" ref="J1938:O1938" si="454">J1868+J1882+J1890+J1896+J1900+J1910+J1919+J1923+J1929+J1934</f>
        <v>5662.833333333333</v>
      </c>
      <c r="K1938" s="1189">
        <f t="shared" si="454"/>
        <v>7364.833333333333</v>
      </c>
      <c r="L1938" s="1189">
        <f t="shared" si="454"/>
        <v>5230.833333333333</v>
      </c>
      <c r="M1938" s="1189">
        <f t="shared" si="454"/>
        <v>6914.833333333333</v>
      </c>
      <c r="N1938" s="1189">
        <f t="shared" si="454"/>
        <v>8423.8333333333321</v>
      </c>
      <c r="O1938" s="1189">
        <f t="shared" si="454"/>
        <v>6509.0000000000009</v>
      </c>
      <c r="P1938" s="1180">
        <f>O1932/M!$Q$14</f>
        <v>0</v>
      </c>
      <c r="Q1938" s="1235"/>
      <c r="R1938" s="1235"/>
      <c r="S1938" s="1235"/>
      <c r="T1938" s="1235"/>
      <c r="U1938" s="1235"/>
      <c r="V1938" s="1235"/>
      <c r="W1938" s="1235"/>
    </row>
    <row r="1939" spans="1:23">
      <c r="A1939" s="1191" t="s">
        <v>658</v>
      </c>
      <c r="B1939" s="1192"/>
      <c r="C1939" s="1193">
        <f>C1938/M!$Q$14</f>
        <v>0</v>
      </c>
      <c r="D1939" s="1193">
        <f>D1938/M!$Q$14</f>
        <v>0</v>
      </c>
      <c r="E1939" s="1193">
        <f>E1938/M!$Q$14</f>
        <v>0</v>
      </c>
      <c r="F1939" s="1193">
        <f>F1938/M!$Q$14</f>
        <v>0</v>
      </c>
      <c r="G1939" s="1193">
        <f>G1938/M!$Q$14</f>
        <v>0</v>
      </c>
      <c r="H1939" s="1193">
        <f>H1938/M!$Q$14</f>
        <v>0</v>
      </c>
      <c r="I1939" s="1193">
        <f>I1938/M!$Q$14</f>
        <v>0.48933443432709228</v>
      </c>
      <c r="J1939" s="1193">
        <f>J1938/M!$Q$14</f>
        <v>0.50780721649099336</v>
      </c>
      <c r="K1939" s="1193">
        <f>K1938/M!$Q$14</f>
        <v>0.66043185359273948</v>
      </c>
      <c r="L1939" s="1193">
        <f>L1938/M!$Q$14</f>
        <v>0.46906817816669594</v>
      </c>
      <c r="M1939" s="1193">
        <f>M1938/M!$Q$14</f>
        <v>0.62007868867159621</v>
      </c>
      <c r="N1939" s="1193">
        <f>N1938/M!$Q$14</f>
        <v>0.75539630170716299</v>
      </c>
      <c r="O1939" s="1193">
        <f>O1938/M!$Q$14</f>
        <v>0.58368611215938015</v>
      </c>
      <c r="P1939" s="1180">
        <f>O1933/M!$Q$14</f>
        <v>3.766295392640031E-2</v>
      </c>
      <c r="Q1939" s="1235"/>
      <c r="R1939" s="1235"/>
      <c r="S1939" s="1235"/>
      <c r="T1939" s="1235"/>
      <c r="U1939" s="1235"/>
      <c r="V1939" s="1235"/>
      <c r="W1939" s="1235"/>
    </row>
    <row r="1940" spans="1:23">
      <c r="A1940" s="1235"/>
      <c r="B1940" s="1235"/>
      <c r="C1940" s="1235"/>
      <c r="D1940" s="1235"/>
      <c r="E1940" s="1235"/>
      <c r="F1940" s="1235"/>
      <c r="G1940" s="1235"/>
      <c r="H1940" s="1235"/>
      <c r="I1940" s="1235"/>
      <c r="J1940" s="1235"/>
      <c r="K1940" s="1235"/>
      <c r="L1940" s="1235"/>
      <c r="M1940" s="1235"/>
      <c r="N1940" s="1235"/>
      <c r="O1940" s="1235"/>
      <c r="P1940" s="2205">
        <f>O1934/M!$Q$14</f>
        <v>8.2200891506032436E-2</v>
      </c>
      <c r="Q1940" s="1235"/>
      <c r="R1940" s="1235"/>
      <c r="S1940" s="1235"/>
      <c r="T1940" s="1235"/>
      <c r="U1940" s="1235"/>
      <c r="V1940" s="1235"/>
      <c r="W1940" s="1235"/>
    </row>
    <row r="1941" spans="1:23">
      <c r="A1941" s="1235"/>
      <c r="B1941" s="1235"/>
      <c r="C1941" s="1235"/>
      <c r="D1941" s="1235"/>
      <c r="E1941" s="1235"/>
      <c r="F1941" s="1235"/>
      <c r="G1941" s="1235"/>
      <c r="H1941" s="1235"/>
      <c r="I1941" s="1235"/>
      <c r="J1941" s="1235"/>
      <c r="K1941" s="1235"/>
      <c r="L1941" s="1235"/>
      <c r="M1941" s="1235"/>
      <c r="N1941" s="1235"/>
      <c r="O1941" s="1235"/>
      <c r="P1941" s="2206"/>
      <c r="Q1941" s="1235"/>
      <c r="R1941" s="1235"/>
      <c r="S1941" s="1235"/>
      <c r="T1941" s="1235"/>
      <c r="U1941" s="1235"/>
      <c r="V1941" s="1235"/>
      <c r="W1941" s="1235"/>
    </row>
    <row r="1942" spans="1:23">
      <c r="A1942" s="1235"/>
      <c r="B1942" s="1235"/>
      <c r="C1942" s="1235"/>
      <c r="D1942" s="1235"/>
      <c r="E1942" s="1235"/>
      <c r="F1942" s="1235"/>
      <c r="G1942" s="1235"/>
      <c r="H1942" s="1235"/>
      <c r="I1942" s="1235"/>
      <c r="J1942" s="1235"/>
      <c r="K1942" s="1235"/>
      <c r="L1942" s="1235"/>
      <c r="M1942" s="1235"/>
      <c r="N1942" s="1235"/>
      <c r="O1942" s="1235"/>
      <c r="P1942" s="1180">
        <f>O1936/M!$Q$14</f>
        <v>4.4836849912381328E-2</v>
      </c>
      <c r="Q1942" s="1235"/>
      <c r="R1942" s="1235"/>
      <c r="S1942" s="1235"/>
      <c r="T1942" s="1235"/>
      <c r="U1942" s="1235"/>
      <c r="V1942" s="1235"/>
      <c r="W1942" s="1235"/>
    </row>
    <row r="1943" spans="1:23">
      <c r="A1943" s="1235"/>
      <c r="B1943" s="1235"/>
      <c r="C1943" s="1235"/>
      <c r="D1943" s="1235"/>
      <c r="E1943" s="1235">
        <v>2002</v>
      </c>
      <c r="F1943" s="1235">
        <v>3500</v>
      </c>
      <c r="G1943" s="1235"/>
      <c r="H1943" s="1235"/>
      <c r="I1943" s="1235"/>
      <c r="J1943" s="1235"/>
      <c r="K1943" s="1235"/>
      <c r="L1943" s="1235"/>
      <c r="M1943" s="1235"/>
      <c r="N1943" s="1235"/>
      <c r="O1943" s="1235"/>
      <c r="P1943" s="1180">
        <f>O1937/M!$Q$14</f>
        <v>3.7364041593651108E-2</v>
      </c>
      <c r="Q1943" s="1235"/>
      <c r="R1943" s="1235"/>
      <c r="S1943" s="1235"/>
      <c r="T1943" s="1235"/>
      <c r="U1943" s="1235"/>
      <c r="V1943" s="1235"/>
      <c r="W1943" s="1235"/>
    </row>
    <row r="1944" spans="1:23">
      <c r="A1944" s="1235"/>
      <c r="B1944" s="1235"/>
      <c r="C1944" s="1235"/>
      <c r="D1944" s="1235"/>
      <c r="E1944" s="1235">
        <v>2003</v>
      </c>
      <c r="F1944" s="1235">
        <v>5000</v>
      </c>
      <c r="G1944" s="1235"/>
      <c r="H1944" s="1235"/>
      <c r="I1944" s="1235"/>
      <c r="J1944" s="1235"/>
      <c r="K1944" s="1235"/>
      <c r="L1944" s="1235"/>
      <c r="M1944" s="1235"/>
      <c r="N1944" s="1235"/>
      <c r="O1944" s="1235"/>
      <c r="P1944" s="1190">
        <f>O1938/M!$Q$14</f>
        <v>0.58368611215938015</v>
      </c>
      <c r="Q1944" s="1235"/>
      <c r="R1944" s="1235"/>
      <c r="S1944" s="1235"/>
      <c r="T1944" s="1235"/>
      <c r="U1944" s="1235"/>
      <c r="V1944" s="1235"/>
      <c r="W1944" s="1235"/>
    </row>
    <row r="1945" spans="1:23">
      <c r="A1945" s="1235"/>
      <c r="B1945" s="1235"/>
      <c r="C1945" s="1235"/>
      <c r="D1945" s="1235"/>
      <c r="E1945" s="1235">
        <v>2004</v>
      </c>
      <c r="F1945" s="1235"/>
      <c r="G1945" s="1235"/>
      <c r="H1945" s="1235"/>
      <c r="I1945" s="1235"/>
      <c r="J1945" s="1235"/>
      <c r="K1945" s="1235"/>
      <c r="L1945" s="1235"/>
      <c r="M1945" s="1235"/>
      <c r="N1945" s="1235"/>
      <c r="O1945" s="1235"/>
      <c r="P1945" s="1194"/>
      <c r="Q1945" s="1235"/>
      <c r="R1945" s="1235"/>
      <c r="S1945" s="1235"/>
      <c r="T1945" s="1235"/>
      <c r="U1945" s="1235"/>
      <c r="V1945" s="1235"/>
      <c r="W1945" s="1235"/>
    </row>
    <row r="1946" spans="1:23">
      <c r="A1946" s="1235"/>
      <c r="B1946" s="1235"/>
      <c r="C1946" s="1235"/>
      <c r="D1946" s="1235"/>
      <c r="E1946" s="1235">
        <v>2005</v>
      </c>
      <c r="F1946" s="1235"/>
      <c r="G1946" s="1235"/>
      <c r="H1946" s="1235"/>
      <c r="I1946" s="1235"/>
      <c r="J1946" s="1235"/>
      <c r="K1946" s="1235"/>
      <c r="L1946" s="1235"/>
      <c r="M1946" s="1235"/>
      <c r="N1946" s="1235"/>
      <c r="O1946" s="1235"/>
      <c r="P1946" s="1235"/>
      <c r="Q1946" s="1235"/>
      <c r="R1946" s="1235"/>
      <c r="S1946" s="1235"/>
      <c r="T1946" s="1235"/>
      <c r="U1946" s="1235"/>
      <c r="V1946" s="1235"/>
      <c r="W1946" s="1235"/>
    </row>
  </sheetData>
  <mergeCells count="3810">
    <mergeCell ref="A1921:A1922"/>
    <mergeCell ref="C1923:C1924"/>
    <mergeCell ref="D1923:D1924"/>
    <mergeCell ref="E1923:E1924"/>
    <mergeCell ref="F1923:F1924"/>
    <mergeCell ref="G1919:G1920"/>
    <mergeCell ref="H1919:H1920"/>
    <mergeCell ref="I1919:I1920"/>
    <mergeCell ref="J1919:J1920"/>
    <mergeCell ref="K1919:K1920"/>
    <mergeCell ref="L1919:L1920"/>
    <mergeCell ref="O1934:O1935"/>
    <mergeCell ref="P1940:P1941"/>
    <mergeCell ref="A1936:A1937"/>
    <mergeCell ref="I1934:I1935"/>
    <mergeCell ref="J1934:J1935"/>
    <mergeCell ref="K1934:K1935"/>
    <mergeCell ref="L1934:L1935"/>
    <mergeCell ref="M1934:M1935"/>
    <mergeCell ref="N1934:N1935"/>
    <mergeCell ref="N1929:N1930"/>
    <mergeCell ref="O1929:O1930"/>
    <mergeCell ref="P1935:P1936"/>
    <mergeCell ref="C1934:C1935"/>
    <mergeCell ref="D1934:D1935"/>
    <mergeCell ref="E1934:E1935"/>
    <mergeCell ref="F1934:F1935"/>
    <mergeCell ref="G1934:G1935"/>
    <mergeCell ref="H1934:H1935"/>
    <mergeCell ref="H1929:H1930"/>
    <mergeCell ref="I1929:I1930"/>
    <mergeCell ref="J1929:J1930"/>
    <mergeCell ref="M1923:M1924"/>
    <mergeCell ref="N1923:N1924"/>
    <mergeCell ref="O1923:O1924"/>
    <mergeCell ref="P1929:P1930"/>
    <mergeCell ref="C1929:C1930"/>
    <mergeCell ref="D1929:D1930"/>
    <mergeCell ref="E1929:E1930"/>
    <mergeCell ref="F1929:F1930"/>
    <mergeCell ref="G1929:G1930"/>
    <mergeCell ref="G1923:G1924"/>
    <mergeCell ref="H1923:H1924"/>
    <mergeCell ref="I1923:I1924"/>
    <mergeCell ref="J1923:J1924"/>
    <mergeCell ref="K1923:K1924"/>
    <mergeCell ref="L1923:L1924"/>
    <mergeCell ref="M1919:M1920"/>
    <mergeCell ref="N1919:N1920"/>
    <mergeCell ref="O1919:O1920"/>
    <mergeCell ref="P1925:P1926"/>
    <mergeCell ref="K1929:K1930"/>
    <mergeCell ref="L1929:L1930"/>
    <mergeCell ref="M1929:M1930"/>
    <mergeCell ref="M1910:M1911"/>
    <mergeCell ref="N1910:N1911"/>
    <mergeCell ref="O1910:O1911"/>
    <mergeCell ref="P1916:P1917"/>
    <mergeCell ref="A1912:A1918"/>
    <mergeCell ref="C1919:C1920"/>
    <mergeCell ref="D1919:D1920"/>
    <mergeCell ref="E1919:E1920"/>
    <mergeCell ref="F1919:F1920"/>
    <mergeCell ref="G1910:G1911"/>
    <mergeCell ref="H1910:H1911"/>
    <mergeCell ref="I1910:I1911"/>
    <mergeCell ref="J1910:J1911"/>
    <mergeCell ref="K1910:K1911"/>
    <mergeCell ref="L1910:L1911"/>
    <mergeCell ref="M1900:M1901"/>
    <mergeCell ref="N1900:N1901"/>
    <mergeCell ref="O1900:O1901"/>
    <mergeCell ref="P1906:P1907"/>
    <mergeCell ref="A1902:A1909"/>
    <mergeCell ref="C1910:C1911"/>
    <mergeCell ref="D1910:D1911"/>
    <mergeCell ref="E1910:E1911"/>
    <mergeCell ref="F1910:F1911"/>
    <mergeCell ref="G1900:G1901"/>
    <mergeCell ref="H1900:H1901"/>
    <mergeCell ref="I1900:I1901"/>
    <mergeCell ref="J1900:J1901"/>
    <mergeCell ref="K1900:K1901"/>
    <mergeCell ref="L1900:L1901"/>
    <mergeCell ref="M1896:M1897"/>
    <mergeCell ref="N1896:N1897"/>
    <mergeCell ref="O1896:O1897"/>
    <mergeCell ref="P1902:P1903"/>
    <mergeCell ref="A1898:A1899"/>
    <mergeCell ref="C1900:C1901"/>
    <mergeCell ref="D1900:D1901"/>
    <mergeCell ref="E1900:E1901"/>
    <mergeCell ref="F1900:F1901"/>
    <mergeCell ref="G1896:G1897"/>
    <mergeCell ref="H1896:H1897"/>
    <mergeCell ref="I1896:I1897"/>
    <mergeCell ref="J1896:J1897"/>
    <mergeCell ref="K1896:K1897"/>
    <mergeCell ref="L1896:L1897"/>
    <mergeCell ref="M1890:M1891"/>
    <mergeCell ref="N1890:N1891"/>
    <mergeCell ref="O1890:O1891"/>
    <mergeCell ref="P1896:P1897"/>
    <mergeCell ref="A1892:A1895"/>
    <mergeCell ref="C1896:C1897"/>
    <mergeCell ref="D1896:D1897"/>
    <mergeCell ref="E1896:E1897"/>
    <mergeCell ref="F1896:F1897"/>
    <mergeCell ref="G1890:G1891"/>
    <mergeCell ref="H1890:H1891"/>
    <mergeCell ref="I1890:I1891"/>
    <mergeCell ref="J1890:J1891"/>
    <mergeCell ref="K1890:K1891"/>
    <mergeCell ref="L1890:L1891"/>
    <mergeCell ref="M1882:M1883"/>
    <mergeCell ref="N1882:N1883"/>
    <mergeCell ref="O1882:O1883"/>
    <mergeCell ref="P1888:P1889"/>
    <mergeCell ref="A1884:A1889"/>
    <mergeCell ref="C1890:C1891"/>
    <mergeCell ref="D1890:D1891"/>
    <mergeCell ref="E1890:E1891"/>
    <mergeCell ref="F1890:F1891"/>
    <mergeCell ref="G1882:G1883"/>
    <mergeCell ref="H1882:H1883"/>
    <mergeCell ref="I1882:I1883"/>
    <mergeCell ref="J1882:J1883"/>
    <mergeCell ref="K1882:K1883"/>
    <mergeCell ref="L1882:L1883"/>
    <mergeCell ref="M1868:M1869"/>
    <mergeCell ref="N1868:N1869"/>
    <mergeCell ref="O1868:O1869"/>
    <mergeCell ref="P1874:P1875"/>
    <mergeCell ref="A1870:A1881"/>
    <mergeCell ref="C1882:C1883"/>
    <mergeCell ref="D1882:D1883"/>
    <mergeCell ref="E1882:E1883"/>
    <mergeCell ref="F1882:F1883"/>
    <mergeCell ref="G1868:G1869"/>
    <mergeCell ref="H1868:H1869"/>
    <mergeCell ref="I1868:I1869"/>
    <mergeCell ref="J1868:J1869"/>
    <mergeCell ref="K1868:K1869"/>
    <mergeCell ref="L1868:L1869"/>
    <mergeCell ref="P1863:P1864"/>
    <mergeCell ref="A1859:A1860"/>
    <mergeCell ref="C1868:C1869"/>
    <mergeCell ref="D1868:D1869"/>
    <mergeCell ref="E1868:E1869"/>
    <mergeCell ref="F1868:F1869"/>
    <mergeCell ref="H1857:H1858"/>
    <mergeCell ref="I1857:I1858"/>
    <mergeCell ref="J1857:J1858"/>
    <mergeCell ref="K1857:K1858"/>
    <mergeCell ref="L1857:L1858"/>
    <mergeCell ref="M1857:M1858"/>
    <mergeCell ref="C1857:C1858"/>
    <mergeCell ref="D1857:D1858"/>
    <mergeCell ref="E1857:E1858"/>
    <mergeCell ref="F1857:F1858"/>
    <mergeCell ref="G1857:G1858"/>
    <mergeCell ref="K1852:K1853"/>
    <mergeCell ref="L1852:L1853"/>
    <mergeCell ref="M1852:M1853"/>
    <mergeCell ref="N1852:N1853"/>
    <mergeCell ref="O1852:O1853"/>
    <mergeCell ref="P1858:P1859"/>
    <mergeCell ref="P1852:P1853"/>
    <mergeCell ref="C1852:C1853"/>
    <mergeCell ref="D1852:D1853"/>
    <mergeCell ref="E1852:E1853"/>
    <mergeCell ref="F1852:F1853"/>
    <mergeCell ref="G1852:G1853"/>
    <mergeCell ref="H1852:H1853"/>
    <mergeCell ref="I1852:I1853"/>
    <mergeCell ref="J1852:J1853"/>
    <mergeCell ref="J1846:J1847"/>
    <mergeCell ref="K1846:K1847"/>
    <mergeCell ref="L1846:L1847"/>
    <mergeCell ref="M1846:M1847"/>
    <mergeCell ref="N1846:N1847"/>
    <mergeCell ref="O1846:O1847"/>
    <mergeCell ref="N1857:N1858"/>
    <mergeCell ref="O1857:O1858"/>
    <mergeCell ref="P1848:P1849"/>
    <mergeCell ref="A1844:A1845"/>
    <mergeCell ref="C1846:C1847"/>
    <mergeCell ref="D1846:D1847"/>
    <mergeCell ref="E1846:E1847"/>
    <mergeCell ref="F1846:F1847"/>
    <mergeCell ref="G1846:G1847"/>
    <mergeCell ref="H1846:H1847"/>
    <mergeCell ref="I1846:I1847"/>
    <mergeCell ref="J1842:J1843"/>
    <mergeCell ref="K1842:K1843"/>
    <mergeCell ref="L1842:L1843"/>
    <mergeCell ref="M1842:M1843"/>
    <mergeCell ref="N1842:N1843"/>
    <mergeCell ref="O1842:O1843"/>
    <mergeCell ref="P1839:P1840"/>
    <mergeCell ref="A1835:A1841"/>
    <mergeCell ref="C1842:C1843"/>
    <mergeCell ref="D1842:D1843"/>
    <mergeCell ref="E1842:E1843"/>
    <mergeCell ref="F1842:F1843"/>
    <mergeCell ref="G1842:G1843"/>
    <mergeCell ref="H1842:H1843"/>
    <mergeCell ref="I1842:I1843"/>
    <mergeCell ref="P1829:P1830"/>
    <mergeCell ref="A1825:A1832"/>
    <mergeCell ref="C1833:C1834"/>
    <mergeCell ref="D1833:D1834"/>
    <mergeCell ref="E1833:E1834"/>
    <mergeCell ref="F1833:F1834"/>
    <mergeCell ref="G1833:G1834"/>
    <mergeCell ref="H1833:H1834"/>
    <mergeCell ref="I1833:I1834"/>
    <mergeCell ref="J1823:J1824"/>
    <mergeCell ref="K1823:K1824"/>
    <mergeCell ref="L1823:L1824"/>
    <mergeCell ref="M1823:M1824"/>
    <mergeCell ref="N1823:N1824"/>
    <mergeCell ref="O1823:O1824"/>
    <mergeCell ref="P1825:P1826"/>
    <mergeCell ref="A1821:A1822"/>
    <mergeCell ref="C1823:C1824"/>
    <mergeCell ref="D1823:D1824"/>
    <mergeCell ref="E1823:E1824"/>
    <mergeCell ref="F1823:F1824"/>
    <mergeCell ref="G1823:G1824"/>
    <mergeCell ref="H1823:H1824"/>
    <mergeCell ref="I1823:I1824"/>
    <mergeCell ref="J1833:J1834"/>
    <mergeCell ref="K1833:K1834"/>
    <mergeCell ref="L1833:L1834"/>
    <mergeCell ref="M1833:M1834"/>
    <mergeCell ref="N1833:N1834"/>
    <mergeCell ref="O1833:O1834"/>
    <mergeCell ref="P1819:P1820"/>
    <mergeCell ref="A1815:A1818"/>
    <mergeCell ref="C1819:C1820"/>
    <mergeCell ref="D1819:D1820"/>
    <mergeCell ref="E1819:E1820"/>
    <mergeCell ref="F1819:F1820"/>
    <mergeCell ref="G1819:G1820"/>
    <mergeCell ref="H1819:H1820"/>
    <mergeCell ref="I1819:I1820"/>
    <mergeCell ref="J1813:J1814"/>
    <mergeCell ref="K1813:K1814"/>
    <mergeCell ref="L1813:L1814"/>
    <mergeCell ref="M1813:M1814"/>
    <mergeCell ref="N1813:N1814"/>
    <mergeCell ref="O1813:O1814"/>
    <mergeCell ref="P1811:P1812"/>
    <mergeCell ref="A1807:A1812"/>
    <mergeCell ref="C1813:C1814"/>
    <mergeCell ref="D1813:D1814"/>
    <mergeCell ref="E1813:E1814"/>
    <mergeCell ref="F1813:F1814"/>
    <mergeCell ref="G1813:G1814"/>
    <mergeCell ref="H1813:H1814"/>
    <mergeCell ref="I1813:I1814"/>
    <mergeCell ref="J1819:J1820"/>
    <mergeCell ref="K1819:K1820"/>
    <mergeCell ref="L1819:L1820"/>
    <mergeCell ref="M1819:M1820"/>
    <mergeCell ref="N1819:N1820"/>
    <mergeCell ref="O1819:O1820"/>
    <mergeCell ref="P1797:P1798"/>
    <mergeCell ref="A1793:A1804"/>
    <mergeCell ref="C1805:C1806"/>
    <mergeCell ref="D1805:D1806"/>
    <mergeCell ref="E1805:E1806"/>
    <mergeCell ref="F1805:F1806"/>
    <mergeCell ref="G1805:G1806"/>
    <mergeCell ref="H1805:H1806"/>
    <mergeCell ref="I1805:I1806"/>
    <mergeCell ref="J1791:J1792"/>
    <mergeCell ref="K1791:K1792"/>
    <mergeCell ref="L1791:L1792"/>
    <mergeCell ref="M1791:M1792"/>
    <mergeCell ref="N1791:N1792"/>
    <mergeCell ref="O1791:O1792"/>
    <mergeCell ref="A1782:A1783"/>
    <mergeCell ref="C1791:C1792"/>
    <mergeCell ref="D1791:D1792"/>
    <mergeCell ref="E1791:E1792"/>
    <mergeCell ref="F1791:F1792"/>
    <mergeCell ref="G1791:G1792"/>
    <mergeCell ref="H1791:H1792"/>
    <mergeCell ref="I1791:I1792"/>
    <mergeCell ref="J1805:J1806"/>
    <mergeCell ref="K1805:K1806"/>
    <mergeCell ref="L1805:L1806"/>
    <mergeCell ref="M1805:M1806"/>
    <mergeCell ref="N1805:N1806"/>
    <mergeCell ref="O1805:O1806"/>
    <mergeCell ref="O1780:O1781"/>
    <mergeCell ref="P1786:P1787"/>
    <mergeCell ref="P1781:P1782"/>
    <mergeCell ref="C1780:C1781"/>
    <mergeCell ref="D1780:D1781"/>
    <mergeCell ref="E1780:E1781"/>
    <mergeCell ref="F1780:F1781"/>
    <mergeCell ref="G1780:G1781"/>
    <mergeCell ref="H1780:H1781"/>
    <mergeCell ref="I1780:I1781"/>
    <mergeCell ref="J1780:J1781"/>
    <mergeCell ref="J1775:J1776"/>
    <mergeCell ref="K1775:K1776"/>
    <mergeCell ref="L1775:L1776"/>
    <mergeCell ref="M1775:M1776"/>
    <mergeCell ref="N1775:N1776"/>
    <mergeCell ref="O1775:O1776"/>
    <mergeCell ref="A1767:A1768"/>
    <mergeCell ref="C1769:C1770"/>
    <mergeCell ref="D1769:D1770"/>
    <mergeCell ref="E1769:E1770"/>
    <mergeCell ref="F1769:F1770"/>
    <mergeCell ref="G1769:G1770"/>
    <mergeCell ref="H1769:H1770"/>
    <mergeCell ref="I1765:I1766"/>
    <mergeCell ref="J1765:J1766"/>
    <mergeCell ref="K1765:K1766"/>
    <mergeCell ref="L1765:L1766"/>
    <mergeCell ref="M1765:M1766"/>
    <mergeCell ref="N1765:N1766"/>
    <mergeCell ref="K1780:K1781"/>
    <mergeCell ref="L1780:L1781"/>
    <mergeCell ref="M1780:M1781"/>
    <mergeCell ref="N1780:N1781"/>
    <mergeCell ref="L1746:L1747"/>
    <mergeCell ref="M1746:M1747"/>
    <mergeCell ref="N1746:N1747"/>
    <mergeCell ref="O1769:O1770"/>
    <mergeCell ref="P1775:P1776"/>
    <mergeCell ref="C1775:C1776"/>
    <mergeCell ref="D1775:D1776"/>
    <mergeCell ref="E1775:E1776"/>
    <mergeCell ref="F1775:F1776"/>
    <mergeCell ref="G1775:G1776"/>
    <mergeCell ref="H1775:H1776"/>
    <mergeCell ref="I1775:I1776"/>
    <mergeCell ref="I1769:I1770"/>
    <mergeCell ref="J1769:J1770"/>
    <mergeCell ref="K1769:K1770"/>
    <mergeCell ref="L1769:L1770"/>
    <mergeCell ref="M1769:M1770"/>
    <mergeCell ref="N1769:N1770"/>
    <mergeCell ref="O1765:O1766"/>
    <mergeCell ref="P1771:P1772"/>
    <mergeCell ref="J1736:J1737"/>
    <mergeCell ref="K1736:K1737"/>
    <mergeCell ref="L1736:L1737"/>
    <mergeCell ref="M1736:M1737"/>
    <mergeCell ref="N1736:N1737"/>
    <mergeCell ref="O1756:O1757"/>
    <mergeCell ref="P1762:P1763"/>
    <mergeCell ref="A1758:A1764"/>
    <mergeCell ref="C1765:C1766"/>
    <mergeCell ref="D1765:D1766"/>
    <mergeCell ref="E1765:E1766"/>
    <mergeCell ref="F1765:F1766"/>
    <mergeCell ref="G1765:G1766"/>
    <mergeCell ref="H1765:H1766"/>
    <mergeCell ref="I1756:I1757"/>
    <mergeCell ref="J1756:J1757"/>
    <mergeCell ref="K1756:K1757"/>
    <mergeCell ref="L1756:L1757"/>
    <mergeCell ref="M1756:M1757"/>
    <mergeCell ref="N1756:N1757"/>
    <mergeCell ref="O1746:O1747"/>
    <mergeCell ref="P1752:P1753"/>
    <mergeCell ref="A1748:A1755"/>
    <mergeCell ref="C1756:C1757"/>
    <mergeCell ref="D1756:D1757"/>
    <mergeCell ref="E1756:E1757"/>
    <mergeCell ref="F1756:F1757"/>
    <mergeCell ref="G1756:G1757"/>
    <mergeCell ref="H1756:H1757"/>
    <mergeCell ref="I1746:I1747"/>
    <mergeCell ref="J1746:J1747"/>
    <mergeCell ref="K1746:K1747"/>
    <mergeCell ref="H1728:H1729"/>
    <mergeCell ref="I1714:I1715"/>
    <mergeCell ref="J1714:J1715"/>
    <mergeCell ref="K1714:K1715"/>
    <mergeCell ref="L1714:L1715"/>
    <mergeCell ref="M1714:M1715"/>
    <mergeCell ref="N1714:N1715"/>
    <mergeCell ref="O1742:O1743"/>
    <mergeCell ref="P1748:P1749"/>
    <mergeCell ref="A1744:A1745"/>
    <mergeCell ref="C1746:C1747"/>
    <mergeCell ref="D1746:D1747"/>
    <mergeCell ref="E1746:E1747"/>
    <mergeCell ref="F1746:F1747"/>
    <mergeCell ref="G1746:G1747"/>
    <mergeCell ref="H1746:H1747"/>
    <mergeCell ref="I1742:I1743"/>
    <mergeCell ref="J1742:J1743"/>
    <mergeCell ref="K1742:K1743"/>
    <mergeCell ref="L1742:L1743"/>
    <mergeCell ref="M1742:M1743"/>
    <mergeCell ref="N1742:N1743"/>
    <mergeCell ref="O1736:O1737"/>
    <mergeCell ref="P1742:P1743"/>
    <mergeCell ref="A1738:A1741"/>
    <mergeCell ref="C1742:C1743"/>
    <mergeCell ref="D1742:D1743"/>
    <mergeCell ref="E1742:E1743"/>
    <mergeCell ref="F1742:F1743"/>
    <mergeCell ref="G1742:G1743"/>
    <mergeCell ref="H1742:H1743"/>
    <mergeCell ref="I1736:I1737"/>
    <mergeCell ref="G1702:G1703"/>
    <mergeCell ref="H1702:H1703"/>
    <mergeCell ref="I1702:I1703"/>
    <mergeCell ref="I1697:I1698"/>
    <mergeCell ref="J1697:J1698"/>
    <mergeCell ref="K1697:K1698"/>
    <mergeCell ref="L1697:L1698"/>
    <mergeCell ref="M1697:M1698"/>
    <mergeCell ref="N1697:N1698"/>
    <mergeCell ref="O1728:O1729"/>
    <mergeCell ref="P1734:P1735"/>
    <mergeCell ref="A1730:A1735"/>
    <mergeCell ref="C1736:C1737"/>
    <mergeCell ref="D1736:D1737"/>
    <mergeCell ref="E1736:E1737"/>
    <mergeCell ref="F1736:F1737"/>
    <mergeCell ref="G1736:G1737"/>
    <mergeCell ref="H1736:H1737"/>
    <mergeCell ref="I1728:I1729"/>
    <mergeCell ref="J1728:J1729"/>
    <mergeCell ref="K1728:K1729"/>
    <mergeCell ref="L1728:L1729"/>
    <mergeCell ref="M1728:M1729"/>
    <mergeCell ref="N1728:N1729"/>
    <mergeCell ref="O1714:O1715"/>
    <mergeCell ref="P1720:P1721"/>
    <mergeCell ref="A1716:A1727"/>
    <mergeCell ref="C1728:C1729"/>
    <mergeCell ref="D1728:D1729"/>
    <mergeCell ref="E1728:E1729"/>
    <mergeCell ref="F1728:F1729"/>
    <mergeCell ref="G1728:G1729"/>
    <mergeCell ref="A1689:A1690"/>
    <mergeCell ref="C1691:C1692"/>
    <mergeCell ref="D1691:D1692"/>
    <mergeCell ref="E1691:E1692"/>
    <mergeCell ref="F1691:F1692"/>
    <mergeCell ref="G1691:G1692"/>
    <mergeCell ref="H1687:H1688"/>
    <mergeCell ref="I1687:I1688"/>
    <mergeCell ref="J1687:J1688"/>
    <mergeCell ref="K1687:K1688"/>
    <mergeCell ref="L1687:L1688"/>
    <mergeCell ref="M1687:M1688"/>
    <mergeCell ref="P1708:P1709"/>
    <mergeCell ref="A1704:A1705"/>
    <mergeCell ref="C1714:C1715"/>
    <mergeCell ref="D1714:D1715"/>
    <mergeCell ref="E1714:E1715"/>
    <mergeCell ref="F1714:F1715"/>
    <mergeCell ref="G1714:G1715"/>
    <mergeCell ref="H1714:H1715"/>
    <mergeCell ref="J1702:J1703"/>
    <mergeCell ref="K1702:K1703"/>
    <mergeCell ref="L1702:L1703"/>
    <mergeCell ref="M1702:M1703"/>
    <mergeCell ref="N1702:N1703"/>
    <mergeCell ref="O1702:O1703"/>
    <mergeCell ref="O1697:O1698"/>
    <mergeCell ref="P1703:P1704"/>
    <mergeCell ref="C1702:C1703"/>
    <mergeCell ref="D1702:D1703"/>
    <mergeCell ref="E1702:E1703"/>
    <mergeCell ref="F1702:F1703"/>
    <mergeCell ref="L1668:L1669"/>
    <mergeCell ref="M1668:M1669"/>
    <mergeCell ref="N1691:N1692"/>
    <mergeCell ref="O1691:O1692"/>
    <mergeCell ref="P1697:P1698"/>
    <mergeCell ref="C1697:C1698"/>
    <mergeCell ref="D1697:D1698"/>
    <mergeCell ref="E1697:E1698"/>
    <mergeCell ref="F1697:F1698"/>
    <mergeCell ref="G1697:G1698"/>
    <mergeCell ref="H1697:H1698"/>
    <mergeCell ref="H1691:H1692"/>
    <mergeCell ref="I1691:I1692"/>
    <mergeCell ref="J1691:J1692"/>
    <mergeCell ref="K1691:K1692"/>
    <mergeCell ref="L1691:L1692"/>
    <mergeCell ref="M1691:M1692"/>
    <mergeCell ref="N1687:N1688"/>
    <mergeCell ref="O1687:O1688"/>
    <mergeCell ref="P1693:P1694"/>
    <mergeCell ref="J1658:J1659"/>
    <mergeCell ref="K1658:K1659"/>
    <mergeCell ref="L1658:L1659"/>
    <mergeCell ref="M1658:M1659"/>
    <mergeCell ref="N1678:N1679"/>
    <mergeCell ref="O1678:O1679"/>
    <mergeCell ref="P1684:P1685"/>
    <mergeCell ref="A1680:A1686"/>
    <mergeCell ref="C1687:C1688"/>
    <mergeCell ref="D1687:D1688"/>
    <mergeCell ref="E1687:E1688"/>
    <mergeCell ref="F1687:F1688"/>
    <mergeCell ref="G1687:G1688"/>
    <mergeCell ref="H1678:H1679"/>
    <mergeCell ref="I1678:I1679"/>
    <mergeCell ref="J1678:J1679"/>
    <mergeCell ref="K1678:K1679"/>
    <mergeCell ref="L1678:L1679"/>
    <mergeCell ref="M1678:M1679"/>
    <mergeCell ref="N1668:N1669"/>
    <mergeCell ref="O1668:O1669"/>
    <mergeCell ref="P1674:P1675"/>
    <mergeCell ref="A1670:A1677"/>
    <mergeCell ref="C1678:C1679"/>
    <mergeCell ref="D1678:D1679"/>
    <mergeCell ref="E1678:E1679"/>
    <mergeCell ref="F1678:F1679"/>
    <mergeCell ref="G1678:G1679"/>
    <mergeCell ref="H1668:H1669"/>
    <mergeCell ref="I1668:I1669"/>
    <mergeCell ref="J1668:J1669"/>
    <mergeCell ref="K1668:K1669"/>
    <mergeCell ref="H1636:H1637"/>
    <mergeCell ref="I1636:I1637"/>
    <mergeCell ref="J1636:J1637"/>
    <mergeCell ref="K1636:K1637"/>
    <mergeCell ref="L1636:L1637"/>
    <mergeCell ref="M1636:M1637"/>
    <mergeCell ref="N1664:N1665"/>
    <mergeCell ref="O1664:O1665"/>
    <mergeCell ref="P1670:P1671"/>
    <mergeCell ref="A1666:A1667"/>
    <mergeCell ref="C1668:C1669"/>
    <mergeCell ref="D1668:D1669"/>
    <mergeCell ref="E1668:E1669"/>
    <mergeCell ref="F1668:F1669"/>
    <mergeCell ref="G1668:G1669"/>
    <mergeCell ref="H1664:H1665"/>
    <mergeCell ref="I1664:I1665"/>
    <mergeCell ref="J1664:J1665"/>
    <mergeCell ref="K1664:K1665"/>
    <mergeCell ref="L1664:L1665"/>
    <mergeCell ref="M1664:M1665"/>
    <mergeCell ref="N1658:N1659"/>
    <mergeCell ref="O1658:O1659"/>
    <mergeCell ref="P1664:P1665"/>
    <mergeCell ref="A1660:A1663"/>
    <mergeCell ref="C1664:C1665"/>
    <mergeCell ref="D1664:D1665"/>
    <mergeCell ref="E1664:E1665"/>
    <mergeCell ref="F1664:F1665"/>
    <mergeCell ref="G1664:G1665"/>
    <mergeCell ref="H1658:H1659"/>
    <mergeCell ref="I1658:I1659"/>
    <mergeCell ref="G1624:G1625"/>
    <mergeCell ref="H1624:H1625"/>
    <mergeCell ref="H1619:H1620"/>
    <mergeCell ref="I1619:I1620"/>
    <mergeCell ref="J1619:J1620"/>
    <mergeCell ref="K1619:K1620"/>
    <mergeCell ref="L1619:L1620"/>
    <mergeCell ref="M1619:M1620"/>
    <mergeCell ref="N1650:N1651"/>
    <mergeCell ref="O1650:O1651"/>
    <mergeCell ref="P1656:P1657"/>
    <mergeCell ref="A1652:A1657"/>
    <mergeCell ref="C1658:C1659"/>
    <mergeCell ref="D1658:D1659"/>
    <mergeCell ref="E1658:E1659"/>
    <mergeCell ref="F1658:F1659"/>
    <mergeCell ref="G1658:G1659"/>
    <mergeCell ref="H1650:H1651"/>
    <mergeCell ref="I1650:I1651"/>
    <mergeCell ref="J1650:J1651"/>
    <mergeCell ref="K1650:K1651"/>
    <mergeCell ref="L1650:L1651"/>
    <mergeCell ref="M1650:M1651"/>
    <mergeCell ref="N1636:N1637"/>
    <mergeCell ref="O1636:O1637"/>
    <mergeCell ref="P1642:P1643"/>
    <mergeCell ref="A1638:A1649"/>
    <mergeCell ref="C1650:C1651"/>
    <mergeCell ref="D1650:D1651"/>
    <mergeCell ref="E1650:E1651"/>
    <mergeCell ref="F1650:F1651"/>
    <mergeCell ref="G1650:G1651"/>
    <mergeCell ref="A1611:A1612"/>
    <mergeCell ref="C1613:C1614"/>
    <mergeCell ref="D1613:D1614"/>
    <mergeCell ref="E1613:E1614"/>
    <mergeCell ref="F1613:F1614"/>
    <mergeCell ref="G1609:G1610"/>
    <mergeCell ref="H1609:H1610"/>
    <mergeCell ref="I1609:I1610"/>
    <mergeCell ref="J1609:J1610"/>
    <mergeCell ref="K1609:K1610"/>
    <mergeCell ref="L1609:L1610"/>
    <mergeCell ref="O1624:O1625"/>
    <mergeCell ref="P1630:P1631"/>
    <mergeCell ref="A1626:A1627"/>
    <mergeCell ref="C1636:C1637"/>
    <mergeCell ref="D1636:D1637"/>
    <mergeCell ref="E1636:E1637"/>
    <mergeCell ref="F1636:F1637"/>
    <mergeCell ref="G1636:G1637"/>
    <mergeCell ref="I1624:I1625"/>
    <mergeCell ref="J1624:J1625"/>
    <mergeCell ref="K1624:K1625"/>
    <mergeCell ref="L1624:L1625"/>
    <mergeCell ref="M1624:M1625"/>
    <mergeCell ref="N1624:N1625"/>
    <mergeCell ref="N1619:N1620"/>
    <mergeCell ref="O1619:O1620"/>
    <mergeCell ref="P1625:P1626"/>
    <mergeCell ref="C1624:C1625"/>
    <mergeCell ref="D1624:D1625"/>
    <mergeCell ref="E1624:E1625"/>
    <mergeCell ref="F1624:F1625"/>
    <mergeCell ref="M1613:M1614"/>
    <mergeCell ref="N1613:N1614"/>
    <mergeCell ref="O1613:O1614"/>
    <mergeCell ref="P1619:P1620"/>
    <mergeCell ref="C1619:C1620"/>
    <mergeCell ref="D1619:D1620"/>
    <mergeCell ref="E1619:E1620"/>
    <mergeCell ref="F1619:F1620"/>
    <mergeCell ref="G1619:G1620"/>
    <mergeCell ref="G1613:G1614"/>
    <mergeCell ref="H1613:H1614"/>
    <mergeCell ref="I1613:I1614"/>
    <mergeCell ref="J1613:J1614"/>
    <mergeCell ref="K1613:K1614"/>
    <mergeCell ref="L1613:L1614"/>
    <mergeCell ref="M1609:M1610"/>
    <mergeCell ref="N1609:N1610"/>
    <mergeCell ref="O1609:O1610"/>
    <mergeCell ref="P1615:P1616"/>
    <mergeCell ref="M1600:M1601"/>
    <mergeCell ref="N1600:N1601"/>
    <mergeCell ref="O1600:O1601"/>
    <mergeCell ref="P1606:P1607"/>
    <mergeCell ref="A1602:A1608"/>
    <mergeCell ref="C1609:C1610"/>
    <mergeCell ref="D1609:D1610"/>
    <mergeCell ref="E1609:E1610"/>
    <mergeCell ref="F1609:F1610"/>
    <mergeCell ref="G1600:G1601"/>
    <mergeCell ref="H1600:H1601"/>
    <mergeCell ref="I1600:I1601"/>
    <mergeCell ref="J1600:J1601"/>
    <mergeCell ref="K1600:K1601"/>
    <mergeCell ref="L1600:L1601"/>
    <mergeCell ref="M1590:M1591"/>
    <mergeCell ref="N1590:N1591"/>
    <mergeCell ref="O1590:O1591"/>
    <mergeCell ref="P1596:P1597"/>
    <mergeCell ref="A1592:A1599"/>
    <mergeCell ref="C1600:C1601"/>
    <mergeCell ref="D1600:D1601"/>
    <mergeCell ref="E1600:E1601"/>
    <mergeCell ref="F1600:F1601"/>
    <mergeCell ref="G1590:G1591"/>
    <mergeCell ref="H1590:H1591"/>
    <mergeCell ref="I1590:I1591"/>
    <mergeCell ref="J1590:J1591"/>
    <mergeCell ref="K1590:K1591"/>
    <mergeCell ref="L1590:L1591"/>
    <mergeCell ref="M1586:M1587"/>
    <mergeCell ref="N1586:N1587"/>
    <mergeCell ref="O1586:O1587"/>
    <mergeCell ref="P1592:P1593"/>
    <mergeCell ref="A1588:A1589"/>
    <mergeCell ref="C1590:C1591"/>
    <mergeCell ref="D1590:D1591"/>
    <mergeCell ref="E1590:E1591"/>
    <mergeCell ref="F1590:F1591"/>
    <mergeCell ref="G1586:G1587"/>
    <mergeCell ref="H1586:H1587"/>
    <mergeCell ref="I1586:I1587"/>
    <mergeCell ref="J1586:J1587"/>
    <mergeCell ref="K1586:K1587"/>
    <mergeCell ref="L1586:L1587"/>
    <mergeCell ref="M1580:M1581"/>
    <mergeCell ref="N1580:N1581"/>
    <mergeCell ref="O1580:O1581"/>
    <mergeCell ref="P1586:P1587"/>
    <mergeCell ref="A1582:A1585"/>
    <mergeCell ref="C1586:C1587"/>
    <mergeCell ref="D1586:D1587"/>
    <mergeCell ref="E1586:E1587"/>
    <mergeCell ref="F1586:F1587"/>
    <mergeCell ref="G1580:G1581"/>
    <mergeCell ref="H1580:H1581"/>
    <mergeCell ref="I1580:I1581"/>
    <mergeCell ref="J1580:J1581"/>
    <mergeCell ref="K1580:K1581"/>
    <mergeCell ref="L1580:L1581"/>
    <mergeCell ref="M1572:M1573"/>
    <mergeCell ref="N1572:N1573"/>
    <mergeCell ref="O1572:O1573"/>
    <mergeCell ref="P1578:P1579"/>
    <mergeCell ref="A1574:A1579"/>
    <mergeCell ref="C1580:C1581"/>
    <mergeCell ref="D1580:D1581"/>
    <mergeCell ref="E1580:E1581"/>
    <mergeCell ref="F1580:F1581"/>
    <mergeCell ref="G1572:G1573"/>
    <mergeCell ref="H1572:H1573"/>
    <mergeCell ref="I1572:I1573"/>
    <mergeCell ref="J1572:J1573"/>
    <mergeCell ref="K1572:K1573"/>
    <mergeCell ref="L1572:L1573"/>
    <mergeCell ref="M1558:M1559"/>
    <mergeCell ref="N1558:N1559"/>
    <mergeCell ref="O1558:O1559"/>
    <mergeCell ref="P1564:P1565"/>
    <mergeCell ref="A1560:A1571"/>
    <mergeCell ref="C1572:C1573"/>
    <mergeCell ref="D1572:D1573"/>
    <mergeCell ref="E1572:E1573"/>
    <mergeCell ref="F1572:F1573"/>
    <mergeCell ref="G1558:G1559"/>
    <mergeCell ref="H1558:H1559"/>
    <mergeCell ref="I1558:I1559"/>
    <mergeCell ref="J1558:J1559"/>
    <mergeCell ref="K1558:K1559"/>
    <mergeCell ref="L1558:L1559"/>
    <mergeCell ref="P1552:P1553"/>
    <mergeCell ref="A1548:A1549"/>
    <mergeCell ref="C1558:C1559"/>
    <mergeCell ref="D1558:D1559"/>
    <mergeCell ref="E1558:E1559"/>
    <mergeCell ref="F1558:F1559"/>
    <mergeCell ref="H1546:H1547"/>
    <mergeCell ref="I1546:I1547"/>
    <mergeCell ref="J1546:J1547"/>
    <mergeCell ref="K1546:K1547"/>
    <mergeCell ref="L1546:L1547"/>
    <mergeCell ref="M1546:M1547"/>
    <mergeCell ref="C1546:C1547"/>
    <mergeCell ref="D1546:D1547"/>
    <mergeCell ref="E1546:E1547"/>
    <mergeCell ref="F1546:F1547"/>
    <mergeCell ref="G1546:G1547"/>
    <mergeCell ref="K1541:K1542"/>
    <mergeCell ref="L1541:L1542"/>
    <mergeCell ref="M1541:M1542"/>
    <mergeCell ref="N1541:N1542"/>
    <mergeCell ref="O1541:O1542"/>
    <mergeCell ref="P1547:P1548"/>
    <mergeCell ref="P1541:P1542"/>
    <mergeCell ref="C1541:C1542"/>
    <mergeCell ref="D1541:D1542"/>
    <mergeCell ref="E1541:E1542"/>
    <mergeCell ref="F1541:F1542"/>
    <mergeCell ref="G1541:G1542"/>
    <mergeCell ref="H1541:H1542"/>
    <mergeCell ref="I1541:I1542"/>
    <mergeCell ref="J1541:J1542"/>
    <mergeCell ref="J1535:J1536"/>
    <mergeCell ref="K1535:K1536"/>
    <mergeCell ref="L1535:L1536"/>
    <mergeCell ref="M1535:M1536"/>
    <mergeCell ref="N1535:N1536"/>
    <mergeCell ref="O1535:O1536"/>
    <mergeCell ref="N1546:N1547"/>
    <mergeCell ref="O1546:O1547"/>
    <mergeCell ref="P1537:P1538"/>
    <mergeCell ref="A1533:A1534"/>
    <mergeCell ref="C1535:C1536"/>
    <mergeCell ref="D1535:D1536"/>
    <mergeCell ref="E1535:E1536"/>
    <mergeCell ref="F1535:F1536"/>
    <mergeCell ref="G1535:G1536"/>
    <mergeCell ref="H1535:H1536"/>
    <mergeCell ref="I1535:I1536"/>
    <mergeCell ref="J1531:J1532"/>
    <mergeCell ref="K1531:K1532"/>
    <mergeCell ref="L1531:L1532"/>
    <mergeCell ref="M1531:M1532"/>
    <mergeCell ref="N1531:N1532"/>
    <mergeCell ref="O1531:O1532"/>
    <mergeCell ref="P1528:P1529"/>
    <mergeCell ref="A1524:A1530"/>
    <mergeCell ref="C1531:C1532"/>
    <mergeCell ref="D1531:D1532"/>
    <mergeCell ref="E1531:E1532"/>
    <mergeCell ref="F1531:F1532"/>
    <mergeCell ref="G1531:G1532"/>
    <mergeCell ref="H1531:H1532"/>
    <mergeCell ref="I1531:I1532"/>
    <mergeCell ref="P1518:P1519"/>
    <mergeCell ref="A1514:A1521"/>
    <mergeCell ref="C1522:C1523"/>
    <mergeCell ref="D1522:D1523"/>
    <mergeCell ref="E1522:E1523"/>
    <mergeCell ref="F1522:F1523"/>
    <mergeCell ref="G1522:G1523"/>
    <mergeCell ref="H1522:H1523"/>
    <mergeCell ref="I1522:I1523"/>
    <mergeCell ref="J1512:J1513"/>
    <mergeCell ref="K1512:K1513"/>
    <mergeCell ref="L1512:L1513"/>
    <mergeCell ref="M1512:M1513"/>
    <mergeCell ref="N1512:N1513"/>
    <mergeCell ref="O1512:O1513"/>
    <mergeCell ref="P1514:P1515"/>
    <mergeCell ref="A1510:A1511"/>
    <mergeCell ref="C1512:C1513"/>
    <mergeCell ref="D1512:D1513"/>
    <mergeCell ref="E1512:E1513"/>
    <mergeCell ref="F1512:F1513"/>
    <mergeCell ref="G1512:G1513"/>
    <mergeCell ref="H1512:H1513"/>
    <mergeCell ref="I1512:I1513"/>
    <mergeCell ref="J1522:J1523"/>
    <mergeCell ref="K1522:K1523"/>
    <mergeCell ref="L1522:L1523"/>
    <mergeCell ref="M1522:M1523"/>
    <mergeCell ref="N1522:N1523"/>
    <mergeCell ref="O1522:O1523"/>
    <mergeCell ref="P1508:P1509"/>
    <mergeCell ref="A1504:A1507"/>
    <mergeCell ref="C1508:C1509"/>
    <mergeCell ref="D1508:D1509"/>
    <mergeCell ref="E1508:E1509"/>
    <mergeCell ref="F1508:F1509"/>
    <mergeCell ref="G1508:G1509"/>
    <mergeCell ref="H1508:H1509"/>
    <mergeCell ref="I1508:I1509"/>
    <mergeCell ref="J1502:J1503"/>
    <mergeCell ref="K1502:K1503"/>
    <mergeCell ref="L1502:L1503"/>
    <mergeCell ref="M1502:M1503"/>
    <mergeCell ref="N1502:N1503"/>
    <mergeCell ref="O1502:O1503"/>
    <mergeCell ref="P1500:P1501"/>
    <mergeCell ref="A1496:A1501"/>
    <mergeCell ref="C1502:C1503"/>
    <mergeCell ref="D1502:D1503"/>
    <mergeCell ref="E1502:E1503"/>
    <mergeCell ref="F1502:F1503"/>
    <mergeCell ref="G1502:G1503"/>
    <mergeCell ref="H1502:H1503"/>
    <mergeCell ref="I1502:I1503"/>
    <mergeCell ref="J1508:J1509"/>
    <mergeCell ref="K1508:K1509"/>
    <mergeCell ref="L1508:L1509"/>
    <mergeCell ref="M1508:M1509"/>
    <mergeCell ref="N1508:N1509"/>
    <mergeCell ref="O1508:O1509"/>
    <mergeCell ref="P1486:P1487"/>
    <mergeCell ref="A1482:A1493"/>
    <mergeCell ref="C1494:C1495"/>
    <mergeCell ref="D1494:D1495"/>
    <mergeCell ref="E1494:E1495"/>
    <mergeCell ref="F1494:F1495"/>
    <mergeCell ref="G1494:G1495"/>
    <mergeCell ref="H1494:H1495"/>
    <mergeCell ref="I1494:I1495"/>
    <mergeCell ref="J1480:J1481"/>
    <mergeCell ref="K1480:K1481"/>
    <mergeCell ref="L1480:L1481"/>
    <mergeCell ref="M1480:M1481"/>
    <mergeCell ref="N1480:N1481"/>
    <mergeCell ref="O1480:O1481"/>
    <mergeCell ref="A1471:A1472"/>
    <mergeCell ref="C1480:C1481"/>
    <mergeCell ref="D1480:D1481"/>
    <mergeCell ref="E1480:E1481"/>
    <mergeCell ref="F1480:F1481"/>
    <mergeCell ref="G1480:G1481"/>
    <mergeCell ref="H1480:H1481"/>
    <mergeCell ref="I1480:I1481"/>
    <mergeCell ref="J1494:J1495"/>
    <mergeCell ref="K1494:K1495"/>
    <mergeCell ref="L1494:L1495"/>
    <mergeCell ref="M1494:M1495"/>
    <mergeCell ref="N1494:N1495"/>
    <mergeCell ref="O1494:O1495"/>
    <mergeCell ref="O1469:O1470"/>
    <mergeCell ref="P1475:P1476"/>
    <mergeCell ref="P1470:P1471"/>
    <mergeCell ref="C1469:C1470"/>
    <mergeCell ref="D1469:D1470"/>
    <mergeCell ref="E1469:E1470"/>
    <mergeCell ref="F1469:F1470"/>
    <mergeCell ref="G1469:G1470"/>
    <mergeCell ref="H1469:H1470"/>
    <mergeCell ref="I1469:I1470"/>
    <mergeCell ref="J1469:J1470"/>
    <mergeCell ref="J1464:J1465"/>
    <mergeCell ref="K1464:K1465"/>
    <mergeCell ref="L1464:L1465"/>
    <mergeCell ref="M1464:M1465"/>
    <mergeCell ref="N1464:N1465"/>
    <mergeCell ref="O1464:O1465"/>
    <mergeCell ref="A1456:A1457"/>
    <mergeCell ref="C1458:C1459"/>
    <mergeCell ref="D1458:D1459"/>
    <mergeCell ref="E1458:E1459"/>
    <mergeCell ref="F1458:F1459"/>
    <mergeCell ref="G1458:G1459"/>
    <mergeCell ref="H1458:H1459"/>
    <mergeCell ref="I1454:I1455"/>
    <mergeCell ref="J1454:J1455"/>
    <mergeCell ref="K1454:K1455"/>
    <mergeCell ref="L1454:L1455"/>
    <mergeCell ref="M1454:M1455"/>
    <mergeCell ref="N1454:N1455"/>
    <mergeCell ref="K1469:K1470"/>
    <mergeCell ref="L1469:L1470"/>
    <mergeCell ref="M1469:M1470"/>
    <mergeCell ref="N1469:N1470"/>
    <mergeCell ref="L1435:L1436"/>
    <mergeCell ref="M1435:M1436"/>
    <mergeCell ref="N1435:N1436"/>
    <mergeCell ref="O1458:O1459"/>
    <mergeCell ref="P1464:P1465"/>
    <mergeCell ref="C1464:C1465"/>
    <mergeCell ref="D1464:D1465"/>
    <mergeCell ref="E1464:E1465"/>
    <mergeCell ref="F1464:F1465"/>
    <mergeCell ref="G1464:G1465"/>
    <mergeCell ref="H1464:H1465"/>
    <mergeCell ref="I1464:I1465"/>
    <mergeCell ref="I1458:I1459"/>
    <mergeCell ref="J1458:J1459"/>
    <mergeCell ref="K1458:K1459"/>
    <mergeCell ref="L1458:L1459"/>
    <mergeCell ref="M1458:M1459"/>
    <mergeCell ref="N1458:N1459"/>
    <mergeCell ref="O1454:O1455"/>
    <mergeCell ref="P1460:P1461"/>
    <mergeCell ref="J1425:J1426"/>
    <mergeCell ref="K1425:K1426"/>
    <mergeCell ref="L1425:L1426"/>
    <mergeCell ref="M1425:M1426"/>
    <mergeCell ref="N1425:N1426"/>
    <mergeCell ref="O1445:O1446"/>
    <mergeCell ref="P1451:P1452"/>
    <mergeCell ref="A1447:A1453"/>
    <mergeCell ref="C1454:C1455"/>
    <mergeCell ref="D1454:D1455"/>
    <mergeCell ref="E1454:E1455"/>
    <mergeCell ref="F1454:F1455"/>
    <mergeCell ref="G1454:G1455"/>
    <mergeCell ref="H1454:H1455"/>
    <mergeCell ref="I1445:I1446"/>
    <mergeCell ref="J1445:J1446"/>
    <mergeCell ref="K1445:K1446"/>
    <mergeCell ref="L1445:L1446"/>
    <mergeCell ref="M1445:M1446"/>
    <mergeCell ref="N1445:N1446"/>
    <mergeCell ref="O1435:O1436"/>
    <mergeCell ref="P1441:P1442"/>
    <mergeCell ref="A1437:A1444"/>
    <mergeCell ref="C1445:C1446"/>
    <mergeCell ref="D1445:D1446"/>
    <mergeCell ref="E1445:E1446"/>
    <mergeCell ref="F1445:F1446"/>
    <mergeCell ref="G1445:G1446"/>
    <mergeCell ref="H1445:H1446"/>
    <mergeCell ref="I1435:I1436"/>
    <mergeCell ref="J1435:J1436"/>
    <mergeCell ref="K1435:K1436"/>
    <mergeCell ref="H1417:H1418"/>
    <mergeCell ref="I1403:I1404"/>
    <mergeCell ref="J1403:J1404"/>
    <mergeCell ref="K1403:K1404"/>
    <mergeCell ref="L1403:L1404"/>
    <mergeCell ref="M1403:M1404"/>
    <mergeCell ref="N1403:N1404"/>
    <mergeCell ref="O1431:O1432"/>
    <mergeCell ref="P1437:P1438"/>
    <mergeCell ref="A1433:A1434"/>
    <mergeCell ref="C1435:C1436"/>
    <mergeCell ref="D1435:D1436"/>
    <mergeCell ref="E1435:E1436"/>
    <mergeCell ref="F1435:F1436"/>
    <mergeCell ref="G1435:G1436"/>
    <mergeCell ref="H1435:H1436"/>
    <mergeCell ref="I1431:I1432"/>
    <mergeCell ref="J1431:J1432"/>
    <mergeCell ref="K1431:K1432"/>
    <mergeCell ref="L1431:L1432"/>
    <mergeCell ref="M1431:M1432"/>
    <mergeCell ref="N1431:N1432"/>
    <mergeCell ref="O1425:O1426"/>
    <mergeCell ref="P1431:P1432"/>
    <mergeCell ref="A1427:A1430"/>
    <mergeCell ref="C1431:C1432"/>
    <mergeCell ref="D1431:D1432"/>
    <mergeCell ref="E1431:E1432"/>
    <mergeCell ref="F1431:F1432"/>
    <mergeCell ref="G1431:G1432"/>
    <mergeCell ref="H1431:H1432"/>
    <mergeCell ref="I1425:I1426"/>
    <mergeCell ref="G1392:G1393"/>
    <mergeCell ref="H1392:H1393"/>
    <mergeCell ref="I1392:I1393"/>
    <mergeCell ref="I1387:I1388"/>
    <mergeCell ref="J1387:J1388"/>
    <mergeCell ref="K1387:K1388"/>
    <mergeCell ref="L1387:L1388"/>
    <mergeCell ref="M1387:M1388"/>
    <mergeCell ref="N1387:N1388"/>
    <mergeCell ref="O1417:O1418"/>
    <mergeCell ref="P1423:P1424"/>
    <mergeCell ref="A1419:A1424"/>
    <mergeCell ref="C1425:C1426"/>
    <mergeCell ref="D1425:D1426"/>
    <mergeCell ref="E1425:E1426"/>
    <mergeCell ref="F1425:F1426"/>
    <mergeCell ref="G1425:G1426"/>
    <mergeCell ref="H1425:H1426"/>
    <mergeCell ref="I1417:I1418"/>
    <mergeCell ref="J1417:J1418"/>
    <mergeCell ref="K1417:K1418"/>
    <mergeCell ref="L1417:L1418"/>
    <mergeCell ref="M1417:M1418"/>
    <mergeCell ref="N1417:N1418"/>
    <mergeCell ref="O1403:O1404"/>
    <mergeCell ref="P1409:P1410"/>
    <mergeCell ref="A1405:A1416"/>
    <mergeCell ref="C1417:C1418"/>
    <mergeCell ref="D1417:D1418"/>
    <mergeCell ref="E1417:E1418"/>
    <mergeCell ref="F1417:F1418"/>
    <mergeCell ref="G1417:G1418"/>
    <mergeCell ref="A1379:A1380"/>
    <mergeCell ref="C1381:C1382"/>
    <mergeCell ref="D1381:D1382"/>
    <mergeCell ref="E1381:E1382"/>
    <mergeCell ref="F1381:F1382"/>
    <mergeCell ref="G1381:G1382"/>
    <mergeCell ref="H1377:H1378"/>
    <mergeCell ref="I1377:I1378"/>
    <mergeCell ref="J1377:J1378"/>
    <mergeCell ref="K1377:K1378"/>
    <mergeCell ref="L1377:L1378"/>
    <mergeCell ref="M1377:M1378"/>
    <mergeCell ref="P1398:P1399"/>
    <mergeCell ref="A1394:A1395"/>
    <mergeCell ref="C1403:C1404"/>
    <mergeCell ref="D1403:D1404"/>
    <mergeCell ref="E1403:E1404"/>
    <mergeCell ref="F1403:F1404"/>
    <mergeCell ref="G1403:G1404"/>
    <mergeCell ref="H1403:H1404"/>
    <mergeCell ref="J1392:J1393"/>
    <mergeCell ref="K1392:K1393"/>
    <mergeCell ref="L1392:L1393"/>
    <mergeCell ref="M1392:M1393"/>
    <mergeCell ref="N1392:N1393"/>
    <mergeCell ref="O1392:O1393"/>
    <mergeCell ref="O1387:O1388"/>
    <mergeCell ref="P1393:P1394"/>
    <mergeCell ref="C1392:C1393"/>
    <mergeCell ref="D1392:D1393"/>
    <mergeCell ref="E1392:E1393"/>
    <mergeCell ref="F1392:F1393"/>
    <mergeCell ref="L1358:L1359"/>
    <mergeCell ref="M1358:M1359"/>
    <mergeCell ref="N1381:N1382"/>
    <mergeCell ref="O1381:O1382"/>
    <mergeCell ref="P1387:P1388"/>
    <mergeCell ref="C1387:C1388"/>
    <mergeCell ref="D1387:D1388"/>
    <mergeCell ref="E1387:E1388"/>
    <mergeCell ref="F1387:F1388"/>
    <mergeCell ref="G1387:G1388"/>
    <mergeCell ref="H1387:H1388"/>
    <mergeCell ref="H1381:H1382"/>
    <mergeCell ref="I1381:I1382"/>
    <mergeCell ref="J1381:J1382"/>
    <mergeCell ref="K1381:K1382"/>
    <mergeCell ref="L1381:L1382"/>
    <mergeCell ref="M1381:M1382"/>
    <mergeCell ref="N1377:N1378"/>
    <mergeCell ref="O1377:O1378"/>
    <mergeCell ref="P1383:P1384"/>
    <mergeCell ref="J1348:J1349"/>
    <mergeCell ref="K1348:K1349"/>
    <mergeCell ref="L1348:L1349"/>
    <mergeCell ref="M1348:M1349"/>
    <mergeCell ref="N1368:N1369"/>
    <mergeCell ref="O1368:O1369"/>
    <mergeCell ref="P1374:P1375"/>
    <mergeCell ref="A1370:A1376"/>
    <mergeCell ref="C1377:C1378"/>
    <mergeCell ref="D1377:D1378"/>
    <mergeCell ref="E1377:E1378"/>
    <mergeCell ref="F1377:F1378"/>
    <mergeCell ref="G1377:G1378"/>
    <mergeCell ref="H1368:H1369"/>
    <mergeCell ref="I1368:I1369"/>
    <mergeCell ref="J1368:J1369"/>
    <mergeCell ref="K1368:K1369"/>
    <mergeCell ref="L1368:L1369"/>
    <mergeCell ref="M1368:M1369"/>
    <mergeCell ref="N1358:N1359"/>
    <mergeCell ref="O1358:O1359"/>
    <mergeCell ref="P1364:P1365"/>
    <mergeCell ref="A1360:A1367"/>
    <mergeCell ref="C1368:C1369"/>
    <mergeCell ref="D1368:D1369"/>
    <mergeCell ref="E1368:E1369"/>
    <mergeCell ref="F1368:F1369"/>
    <mergeCell ref="G1368:G1369"/>
    <mergeCell ref="H1358:H1359"/>
    <mergeCell ref="I1358:I1359"/>
    <mergeCell ref="J1358:J1359"/>
    <mergeCell ref="K1358:K1359"/>
    <mergeCell ref="H1326:H1327"/>
    <mergeCell ref="I1326:I1327"/>
    <mergeCell ref="J1326:J1327"/>
    <mergeCell ref="K1326:K1327"/>
    <mergeCell ref="L1326:L1327"/>
    <mergeCell ref="M1326:M1327"/>
    <mergeCell ref="N1354:N1355"/>
    <mergeCell ref="O1354:O1355"/>
    <mergeCell ref="P1360:P1361"/>
    <mergeCell ref="A1356:A1357"/>
    <mergeCell ref="C1358:C1359"/>
    <mergeCell ref="D1358:D1359"/>
    <mergeCell ref="E1358:E1359"/>
    <mergeCell ref="F1358:F1359"/>
    <mergeCell ref="G1358:G1359"/>
    <mergeCell ref="H1354:H1355"/>
    <mergeCell ref="I1354:I1355"/>
    <mergeCell ref="J1354:J1355"/>
    <mergeCell ref="K1354:K1355"/>
    <mergeCell ref="L1354:L1355"/>
    <mergeCell ref="M1354:M1355"/>
    <mergeCell ref="N1348:N1349"/>
    <mergeCell ref="O1348:O1349"/>
    <mergeCell ref="P1354:P1355"/>
    <mergeCell ref="A1350:A1353"/>
    <mergeCell ref="C1354:C1355"/>
    <mergeCell ref="D1354:D1355"/>
    <mergeCell ref="E1354:E1355"/>
    <mergeCell ref="F1354:F1355"/>
    <mergeCell ref="G1354:G1355"/>
    <mergeCell ref="H1348:H1349"/>
    <mergeCell ref="I1348:I1349"/>
    <mergeCell ref="G1315:G1316"/>
    <mergeCell ref="H1315:H1316"/>
    <mergeCell ref="H1310:H1311"/>
    <mergeCell ref="I1310:I1311"/>
    <mergeCell ref="J1310:J1311"/>
    <mergeCell ref="K1310:K1311"/>
    <mergeCell ref="L1310:L1311"/>
    <mergeCell ref="M1310:M1311"/>
    <mergeCell ref="N1340:N1341"/>
    <mergeCell ref="O1340:O1341"/>
    <mergeCell ref="P1346:P1347"/>
    <mergeCell ref="A1342:A1347"/>
    <mergeCell ref="C1348:C1349"/>
    <mergeCell ref="D1348:D1349"/>
    <mergeCell ref="E1348:E1349"/>
    <mergeCell ref="F1348:F1349"/>
    <mergeCell ref="G1348:G1349"/>
    <mergeCell ref="H1340:H1341"/>
    <mergeCell ref="I1340:I1341"/>
    <mergeCell ref="J1340:J1341"/>
    <mergeCell ref="K1340:K1341"/>
    <mergeCell ref="L1340:L1341"/>
    <mergeCell ref="M1340:M1341"/>
    <mergeCell ref="N1326:N1327"/>
    <mergeCell ref="O1326:O1327"/>
    <mergeCell ref="P1332:P1333"/>
    <mergeCell ref="A1328:A1339"/>
    <mergeCell ref="C1340:C1341"/>
    <mergeCell ref="D1340:D1341"/>
    <mergeCell ref="E1340:E1341"/>
    <mergeCell ref="F1340:F1341"/>
    <mergeCell ref="G1340:G1341"/>
    <mergeCell ref="A1302:A1303"/>
    <mergeCell ref="C1304:C1305"/>
    <mergeCell ref="D1304:D1305"/>
    <mergeCell ref="E1304:E1305"/>
    <mergeCell ref="F1304:F1305"/>
    <mergeCell ref="G1300:G1301"/>
    <mergeCell ref="H1300:H1301"/>
    <mergeCell ref="I1300:I1301"/>
    <mergeCell ref="J1300:J1301"/>
    <mergeCell ref="K1300:K1301"/>
    <mergeCell ref="L1300:L1301"/>
    <mergeCell ref="O1315:O1316"/>
    <mergeCell ref="P1321:P1322"/>
    <mergeCell ref="A1317:A1318"/>
    <mergeCell ref="C1326:C1327"/>
    <mergeCell ref="D1326:D1327"/>
    <mergeCell ref="E1326:E1327"/>
    <mergeCell ref="F1326:F1327"/>
    <mergeCell ref="G1326:G1327"/>
    <mergeCell ref="I1315:I1316"/>
    <mergeCell ref="J1315:J1316"/>
    <mergeCell ref="K1315:K1316"/>
    <mergeCell ref="L1315:L1316"/>
    <mergeCell ref="M1315:M1316"/>
    <mergeCell ref="N1315:N1316"/>
    <mergeCell ref="N1310:N1311"/>
    <mergeCell ref="O1310:O1311"/>
    <mergeCell ref="P1316:P1317"/>
    <mergeCell ref="C1315:C1316"/>
    <mergeCell ref="D1315:D1316"/>
    <mergeCell ref="E1315:E1316"/>
    <mergeCell ref="F1315:F1316"/>
    <mergeCell ref="M1304:M1305"/>
    <mergeCell ref="N1304:N1305"/>
    <mergeCell ref="O1304:O1305"/>
    <mergeCell ref="P1310:P1311"/>
    <mergeCell ref="C1310:C1311"/>
    <mergeCell ref="D1310:D1311"/>
    <mergeCell ref="E1310:E1311"/>
    <mergeCell ref="F1310:F1311"/>
    <mergeCell ref="G1310:G1311"/>
    <mergeCell ref="G1304:G1305"/>
    <mergeCell ref="H1304:H1305"/>
    <mergeCell ref="I1304:I1305"/>
    <mergeCell ref="J1304:J1305"/>
    <mergeCell ref="K1304:K1305"/>
    <mergeCell ref="L1304:L1305"/>
    <mergeCell ref="M1300:M1301"/>
    <mergeCell ref="N1300:N1301"/>
    <mergeCell ref="O1300:O1301"/>
    <mergeCell ref="P1306:P1307"/>
    <mergeCell ref="M1291:M1292"/>
    <mergeCell ref="N1291:N1292"/>
    <mergeCell ref="O1291:O1292"/>
    <mergeCell ref="P1297:P1298"/>
    <mergeCell ref="A1293:A1299"/>
    <mergeCell ref="C1300:C1301"/>
    <mergeCell ref="D1300:D1301"/>
    <mergeCell ref="E1300:E1301"/>
    <mergeCell ref="F1300:F1301"/>
    <mergeCell ref="G1291:G1292"/>
    <mergeCell ref="H1291:H1292"/>
    <mergeCell ref="I1291:I1292"/>
    <mergeCell ref="J1291:J1292"/>
    <mergeCell ref="K1291:K1292"/>
    <mergeCell ref="L1291:L1292"/>
    <mergeCell ref="M1281:M1282"/>
    <mergeCell ref="N1281:N1282"/>
    <mergeCell ref="O1281:O1282"/>
    <mergeCell ref="P1287:P1288"/>
    <mergeCell ref="A1283:A1290"/>
    <mergeCell ref="C1291:C1292"/>
    <mergeCell ref="D1291:D1292"/>
    <mergeCell ref="E1291:E1292"/>
    <mergeCell ref="F1291:F1292"/>
    <mergeCell ref="G1281:G1282"/>
    <mergeCell ref="H1281:H1282"/>
    <mergeCell ref="I1281:I1282"/>
    <mergeCell ref="J1281:J1282"/>
    <mergeCell ref="K1281:K1282"/>
    <mergeCell ref="L1281:L1282"/>
    <mergeCell ref="M1277:M1278"/>
    <mergeCell ref="N1277:N1278"/>
    <mergeCell ref="O1277:O1278"/>
    <mergeCell ref="P1283:P1284"/>
    <mergeCell ref="A1279:A1280"/>
    <mergeCell ref="C1281:C1282"/>
    <mergeCell ref="D1281:D1282"/>
    <mergeCell ref="E1281:E1282"/>
    <mergeCell ref="F1281:F1282"/>
    <mergeCell ref="G1277:G1278"/>
    <mergeCell ref="H1277:H1278"/>
    <mergeCell ref="I1277:I1278"/>
    <mergeCell ref="J1277:J1278"/>
    <mergeCell ref="K1277:K1278"/>
    <mergeCell ref="L1277:L1278"/>
    <mergeCell ref="M1271:M1272"/>
    <mergeCell ref="N1271:N1272"/>
    <mergeCell ref="O1271:O1272"/>
    <mergeCell ref="P1277:P1278"/>
    <mergeCell ref="A1273:A1276"/>
    <mergeCell ref="C1277:C1278"/>
    <mergeCell ref="D1277:D1278"/>
    <mergeCell ref="E1277:E1278"/>
    <mergeCell ref="F1277:F1278"/>
    <mergeCell ref="G1271:G1272"/>
    <mergeCell ref="H1271:H1272"/>
    <mergeCell ref="I1271:I1272"/>
    <mergeCell ref="J1271:J1272"/>
    <mergeCell ref="K1271:K1272"/>
    <mergeCell ref="L1271:L1272"/>
    <mergeCell ref="M1263:M1264"/>
    <mergeCell ref="N1263:N1264"/>
    <mergeCell ref="O1263:O1264"/>
    <mergeCell ref="P1269:P1270"/>
    <mergeCell ref="A1265:A1270"/>
    <mergeCell ref="C1271:C1272"/>
    <mergeCell ref="D1271:D1272"/>
    <mergeCell ref="E1271:E1272"/>
    <mergeCell ref="F1271:F1272"/>
    <mergeCell ref="G1263:G1264"/>
    <mergeCell ref="H1263:H1264"/>
    <mergeCell ref="I1263:I1264"/>
    <mergeCell ref="J1263:J1264"/>
    <mergeCell ref="K1263:K1264"/>
    <mergeCell ref="L1263:L1264"/>
    <mergeCell ref="M1249:M1250"/>
    <mergeCell ref="N1249:N1250"/>
    <mergeCell ref="O1249:O1250"/>
    <mergeCell ref="P1255:P1256"/>
    <mergeCell ref="A1251:A1262"/>
    <mergeCell ref="C1263:C1264"/>
    <mergeCell ref="D1263:D1264"/>
    <mergeCell ref="E1263:E1264"/>
    <mergeCell ref="F1263:F1264"/>
    <mergeCell ref="G1249:G1250"/>
    <mergeCell ref="H1249:H1250"/>
    <mergeCell ref="I1249:I1250"/>
    <mergeCell ref="J1249:J1250"/>
    <mergeCell ref="K1249:K1250"/>
    <mergeCell ref="L1249:L1250"/>
    <mergeCell ref="P1243:P1244"/>
    <mergeCell ref="A1239:A1240"/>
    <mergeCell ref="C1249:C1250"/>
    <mergeCell ref="D1249:D1250"/>
    <mergeCell ref="E1249:E1250"/>
    <mergeCell ref="F1249:F1250"/>
    <mergeCell ref="H1237:H1238"/>
    <mergeCell ref="I1237:I1238"/>
    <mergeCell ref="J1237:J1238"/>
    <mergeCell ref="K1237:K1238"/>
    <mergeCell ref="L1237:L1238"/>
    <mergeCell ref="M1237:M1238"/>
    <mergeCell ref="C1237:C1238"/>
    <mergeCell ref="D1237:D1238"/>
    <mergeCell ref="E1237:E1238"/>
    <mergeCell ref="F1237:F1238"/>
    <mergeCell ref="G1237:G1238"/>
    <mergeCell ref="K1232:K1233"/>
    <mergeCell ref="L1232:L1233"/>
    <mergeCell ref="M1232:M1233"/>
    <mergeCell ref="N1232:N1233"/>
    <mergeCell ref="O1232:O1233"/>
    <mergeCell ref="P1238:P1239"/>
    <mergeCell ref="P1232:P1233"/>
    <mergeCell ref="C1232:C1233"/>
    <mergeCell ref="D1232:D1233"/>
    <mergeCell ref="E1232:E1233"/>
    <mergeCell ref="F1232:F1233"/>
    <mergeCell ref="G1232:G1233"/>
    <mergeCell ref="H1232:H1233"/>
    <mergeCell ref="I1232:I1233"/>
    <mergeCell ref="J1232:J1233"/>
    <mergeCell ref="J1226:J1227"/>
    <mergeCell ref="K1226:K1227"/>
    <mergeCell ref="L1226:L1227"/>
    <mergeCell ref="M1226:M1227"/>
    <mergeCell ref="N1226:N1227"/>
    <mergeCell ref="O1226:O1227"/>
    <mergeCell ref="N1237:N1238"/>
    <mergeCell ref="O1237:O1238"/>
    <mergeCell ref="P1228:P1229"/>
    <mergeCell ref="A1224:A1225"/>
    <mergeCell ref="C1226:C1227"/>
    <mergeCell ref="D1226:D1227"/>
    <mergeCell ref="E1226:E1227"/>
    <mergeCell ref="F1226:F1227"/>
    <mergeCell ref="G1226:G1227"/>
    <mergeCell ref="H1226:H1227"/>
    <mergeCell ref="I1226:I1227"/>
    <mergeCell ref="J1222:J1223"/>
    <mergeCell ref="K1222:K1223"/>
    <mergeCell ref="L1222:L1223"/>
    <mergeCell ref="M1222:M1223"/>
    <mergeCell ref="N1222:N1223"/>
    <mergeCell ref="O1222:O1223"/>
    <mergeCell ref="P1219:P1220"/>
    <mergeCell ref="A1215:A1221"/>
    <mergeCell ref="C1222:C1223"/>
    <mergeCell ref="D1222:D1223"/>
    <mergeCell ref="E1222:E1223"/>
    <mergeCell ref="F1222:F1223"/>
    <mergeCell ref="G1222:G1223"/>
    <mergeCell ref="H1222:H1223"/>
    <mergeCell ref="I1222:I1223"/>
    <mergeCell ref="P1209:P1210"/>
    <mergeCell ref="A1205:A1212"/>
    <mergeCell ref="C1213:C1214"/>
    <mergeCell ref="D1213:D1214"/>
    <mergeCell ref="E1213:E1214"/>
    <mergeCell ref="F1213:F1214"/>
    <mergeCell ref="G1213:G1214"/>
    <mergeCell ref="H1213:H1214"/>
    <mergeCell ref="I1213:I1214"/>
    <mergeCell ref="J1203:J1204"/>
    <mergeCell ref="K1203:K1204"/>
    <mergeCell ref="L1203:L1204"/>
    <mergeCell ref="M1203:M1204"/>
    <mergeCell ref="N1203:N1204"/>
    <mergeCell ref="O1203:O1204"/>
    <mergeCell ref="P1205:P1206"/>
    <mergeCell ref="A1201:A1202"/>
    <mergeCell ref="C1203:C1204"/>
    <mergeCell ref="D1203:D1204"/>
    <mergeCell ref="E1203:E1204"/>
    <mergeCell ref="F1203:F1204"/>
    <mergeCell ref="G1203:G1204"/>
    <mergeCell ref="H1203:H1204"/>
    <mergeCell ref="I1203:I1204"/>
    <mergeCell ref="J1213:J1214"/>
    <mergeCell ref="K1213:K1214"/>
    <mergeCell ref="L1213:L1214"/>
    <mergeCell ref="M1213:M1214"/>
    <mergeCell ref="N1213:N1214"/>
    <mergeCell ref="O1213:O1214"/>
    <mergeCell ref="P1199:P1200"/>
    <mergeCell ref="A1195:A1198"/>
    <mergeCell ref="C1199:C1200"/>
    <mergeCell ref="D1199:D1200"/>
    <mergeCell ref="E1199:E1200"/>
    <mergeCell ref="F1199:F1200"/>
    <mergeCell ref="G1199:G1200"/>
    <mergeCell ref="H1199:H1200"/>
    <mergeCell ref="I1199:I1200"/>
    <mergeCell ref="J1193:J1194"/>
    <mergeCell ref="K1193:K1194"/>
    <mergeCell ref="L1193:L1194"/>
    <mergeCell ref="M1193:M1194"/>
    <mergeCell ref="N1193:N1194"/>
    <mergeCell ref="O1193:O1194"/>
    <mergeCell ref="P1191:P1192"/>
    <mergeCell ref="A1187:A1192"/>
    <mergeCell ref="C1193:C1194"/>
    <mergeCell ref="D1193:D1194"/>
    <mergeCell ref="E1193:E1194"/>
    <mergeCell ref="F1193:F1194"/>
    <mergeCell ref="G1193:G1194"/>
    <mergeCell ref="H1193:H1194"/>
    <mergeCell ref="I1193:I1194"/>
    <mergeCell ref="J1199:J1200"/>
    <mergeCell ref="K1199:K1200"/>
    <mergeCell ref="L1199:L1200"/>
    <mergeCell ref="M1199:M1200"/>
    <mergeCell ref="N1199:N1200"/>
    <mergeCell ref="O1199:O1200"/>
    <mergeCell ref="P1177:P1178"/>
    <mergeCell ref="A1173:A1184"/>
    <mergeCell ref="C1185:C1186"/>
    <mergeCell ref="D1185:D1186"/>
    <mergeCell ref="E1185:E1186"/>
    <mergeCell ref="F1185:F1186"/>
    <mergeCell ref="G1185:G1186"/>
    <mergeCell ref="H1185:H1186"/>
    <mergeCell ref="I1185:I1186"/>
    <mergeCell ref="J1171:J1172"/>
    <mergeCell ref="K1171:K1172"/>
    <mergeCell ref="L1171:L1172"/>
    <mergeCell ref="M1171:M1172"/>
    <mergeCell ref="N1171:N1172"/>
    <mergeCell ref="O1171:O1172"/>
    <mergeCell ref="A1162:A1163"/>
    <mergeCell ref="C1171:C1172"/>
    <mergeCell ref="D1171:D1172"/>
    <mergeCell ref="E1171:E1172"/>
    <mergeCell ref="F1171:F1172"/>
    <mergeCell ref="G1171:G1172"/>
    <mergeCell ref="H1171:H1172"/>
    <mergeCell ref="I1171:I1172"/>
    <mergeCell ref="J1185:J1186"/>
    <mergeCell ref="K1185:K1186"/>
    <mergeCell ref="L1185:L1186"/>
    <mergeCell ref="M1185:M1186"/>
    <mergeCell ref="N1185:N1186"/>
    <mergeCell ref="O1185:O1186"/>
    <mergeCell ref="O1160:O1161"/>
    <mergeCell ref="P1166:P1167"/>
    <mergeCell ref="P1161:P1162"/>
    <mergeCell ref="C1160:C1161"/>
    <mergeCell ref="D1160:D1161"/>
    <mergeCell ref="E1160:E1161"/>
    <mergeCell ref="F1160:F1161"/>
    <mergeCell ref="G1160:G1161"/>
    <mergeCell ref="H1160:H1161"/>
    <mergeCell ref="I1160:I1161"/>
    <mergeCell ref="J1160:J1161"/>
    <mergeCell ref="J1155:J1156"/>
    <mergeCell ref="K1155:K1156"/>
    <mergeCell ref="L1155:L1156"/>
    <mergeCell ref="M1155:M1156"/>
    <mergeCell ref="N1155:N1156"/>
    <mergeCell ref="O1155:O1156"/>
    <mergeCell ref="A1147:A1148"/>
    <mergeCell ref="C1149:C1150"/>
    <mergeCell ref="D1149:D1150"/>
    <mergeCell ref="E1149:E1150"/>
    <mergeCell ref="F1149:F1150"/>
    <mergeCell ref="G1149:G1150"/>
    <mergeCell ref="H1149:H1150"/>
    <mergeCell ref="I1145:I1146"/>
    <mergeCell ref="J1145:J1146"/>
    <mergeCell ref="K1145:K1146"/>
    <mergeCell ref="L1145:L1146"/>
    <mergeCell ref="M1145:M1146"/>
    <mergeCell ref="N1145:N1146"/>
    <mergeCell ref="K1160:K1161"/>
    <mergeCell ref="L1160:L1161"/>
    <mergeCell ref="M1160:M1161"/>
    <mergeCell ref="N1160:N1161"/>
    <mergeCell ref="L1126:L1127"/>
    <mergeCell ref="M1126:M1127"/>
    <mergeCell ref="N1126:N1127"/>
    <mergeCell ref="O1149:O1150"/>
    <mergeCell ref="P1155:P1156"/>
    <mergeCell ref="C1155:C1156"/>
    <mergeCell ref="D1155:D1156"/>
    <mergeCell ref="E1155:E1156"/>
    <mergeCell ref="F1155:F1156"/>
    <mergeCell ref="G1155:G1156"/>
    <mergeCell ref="H1155:H1156"/>
    <mergeCell ref="I1155:I1156"/>
    <mergeCell ref="I1149:I1150"/>
    <mergeCell ref="J1149:J1150"/>
    <mergeCell ref="K1149:K1150"/>
    <mergeCell ref="L1149:L1150"/>
    <mergeCell ref="M1149:M1150"/>
    <mergeCell ref="N1149:N1150"/>
    <mergeCell ref="O1145:O1146"/>
    <mergeCell ref="P1151:P1152"/>
    <mergeCell ref="J1116:J1117"/>
    <mergeCell ref="K1116:K1117"/>
    <mergeCell ref="L1116:L1117"/>
    <mergeCell ref="M1116:M1117"/>
    <mergeCell ref="N1116:N1117"/>
    <mergeCell ref="O1136:O1137"/>
    <mergeCell ref="P1142:P1143"/>
    <mergeCell ref="A1138:A1144"/>
    <mergeCell ref="C1145:C1146"/>
    <mergeCell ref="D1145:D1146"/>
    <mergeCell ref="E1145:E1146"/>
    <mergeCell ref="F1145:F1146"/>
    <mergeCell ref="G1145:G1146"/>
    <mergeCell ref="H1145:H1146"/>
    <mergeCell ref="I1136:I1137"/>
    <mergeCell ref="J1136:J1137"/>
    <mergeCell ref="K1136:K1137"/>
    <mergeCell ref="L1136:L1137"/>
    <mergeCell ref="M1136:M1137"/>
    <mergeCell ref="N1136:N1137"/>
    <mergeCell ref="O1126:O1127"/>
    <mergeCell ref="P1132:P1133"/>
    <mergeCell ref="A1128:A1135"/>
    <mergeCell ref="C1136:C1137"/>
    <mergeCell ref="D1136:D1137"/>
    <mergeCell ref="E1136:E1137"/>
    <mergeCell ref="F1136:F1137"/>
    <mergeCell ref="G1136:G1137"/>
    <mergeCell ref="H1136:H1137"/>
    <mergeCell ref="I1126:I1127"/>
    <mergeCell ref="J1126:J1127"/>
    <mergeCell ref="K1126:K1127"/>
    <mergeCell ref="H1108:H1109"/>
    <mergeCell ref="I1094:I1095"/>
    <mergeCell ref="J1094:J1095"/>
    <mergeCell ref="K1094:K1095"/>
    <mergeCell ref="L1094:L1095"/>
    <mergeCell ref="M1094:M1095"/>
    <mergeCell ref="N1094:N1095"/>
    <mergeCell ref="O1122:O1123"/>
    <mergeCell ref="P1128:P1129"/>
    <mergeCell ref="A1124:A1125"/>
    <mergeCell ref="C1126:C1127"/>
    <mergeCell ref="D1126:D1127"/>
    <mergeCell ref="E1126:E1127"/>
    <mergeCell ref="F1126:F1127"/>
    <mergeCell ref="G1126:G1127"/>
    <mergeCell ref="H1126:H1127"/>
    <mergeCell ref="I1122:I1123"/>
    <mergeCell ref="J1122:J1123"/>
    <mergeCell ref="K1122:K1123"/>
    <mergeCell ref="L1122:L1123"/>
    <mergeCell ref="M1122:M1123"/>
    <mergeCell ref="N1122:N1123"/>
    <mergeCell ref="O1116:O1117"/>
    <mergeCell ref="P1122:P1123"/>
    <mergeCell ref="A1118:A1121"/>
    <mergeCell ref="C1122:C1123"/>
    <mergeCell ref="D1122:D1123"/>
    <mergeCell ref="E1122:E1123"/>
    <mergeCell ref="F1122:F1123"/>
    <mergeCell ref="G1122:G1123"/>
    <mergeCell ref="H1122:H1123"/>
    <mergeCell ref="I1116:I1117"/>
    <mergeCell ref="G1083:G1084"/>
    <mergeCell ref="H1083:H1084"/>
    <mergeCell ref="I1083:I1084"/>
    <mergeCell ref="I1078:I1079"/>
    <mergeCell ref="J1078:J1079"/>
    <mergeCell ref="K1078:K1079"/>
    <mergeCell ref="L1078:L1079"/>
    <mergeCell ref="M1078:M1079"/>
    <mergeCell ref="N1078:N1079"/>
    <mergeCell ref="O1108:O1109"/>
    <mergeCell ref="P1114:P1115"/>
    <mergeCell ref="A1110:A1115"/>
    <mergeCell ref="C1116:C1117"/>
    <mergeCell ref="D1116:D1117"/>
    <mergeCell ref="E1116:E1117"/>
    <mergeCell ref="F1116:F1117"/>
    <mergeCell ref="G1116:G1117"/>
    <mergeCell ref="H1116:H1117"/>
    <mergeCell ref="I1108:I1109"/>
    <mergeCell ref="J1108:J1109"/>
    <mergeCell ref="K1108:K1109"/>
    <mergeCell ref="L1108:L1109"/>
    <mergeCell ref="M1108:M1109"/>
    <mergeCell ref="N1108:N1109"/>
    <mergeCell ref="O1094:O1095"/>
    <mergeCell ref="P1100:P1101"/>
    <mergeCell ref="A1096:A1107"/>
    <mergeCell ref="C1108:C1109"/>
    <mergeCell ref="D1108:D1109"/>
    <mergeCell ref="E1108:E1109"/>
    <mergeCell ref="F1108:F1109"/>
    <mergeCell ref="G1108:G1109"/>
    <mergeCell ref="A1070:A1071"/>
    <mergeCell ref="C1072:C1073"/>
    <mergeCell ref="D1072:D1073"/>
    <mergeCell ref="E1072:E1073"/>
    <mergeCell ref="F1072:F1073"/>
    <mergeCell ref="G1072:G1073"/>
    <mergeCell ref="H1068:H1069"/>
    <mergeCell ref="I1068:I1069"/>
    <mergeCell ref="J1068:J1069"/>
    <mergeCell ref="K1068:K1069"/>
    <mergeCell ref="L1068:L1069"/>
    <mergeCell ref="M1068:M1069"/>
    <mergeCell ref="P1089:P1090"/>
    <mergeCell ref="A1085:A1086"/>
    <mergeCell ref="C1094:C1095"/>
    <mergeCell ref="D1094:D1095"/>
    <mergeCell ref="E1094:E1095"/>
    <mergeCell ref="F1094:F1095"/>
    <mergeCell ref="G1094:G1095"/>
    <mergeCell ref="H1094:H1095"/>
    <mergeCell ref="J1083:J1084"/>
    <mergeCell ref="K1083:K1084"/>
    <mergeCell ref="L1083:L1084"/>
    <mergeCell ref="M1083:M1084"/>
    <mergeCell ref="N1083:N1084"/>
    <mergeCell ref="O1083:O1084"/>
    <mergeCell ref="O1078:O1079"/>
    <mergeCell ref="P1084:P1085"/>
    <mergeCell ref="C1083:C1084"/>
    <mergeCell ref="D1083:D1084"/>
    <mergeCell ref="E1083:E1084"/>
    <mergeCell ref="F1083:F1084"/>
    <mergeCell ref="L1049:L1050"/>
    <mergeCell ref="M1049:M1050"/>
    <mergeCell ref="N1072:N1073"/>
    <mergeCell ref="O1072:O1073"/>
    <mergeCell ref="P1078:P1079"/>
    <mergeCell ref="C1078:C1079"/>
    <mergeCell ref="D1078:D1079"/>
    <mergeCell ref="E1078:E1079"/>
    <mergeCell ref="F1078:F1079"/>
    <mergeCell ref="G1078:G1079"/>
    <mergeCell ref="H1078:H1079"/>
    <mergeCell ref="H1072:H1073"/>
    <mergeCell ref="I1072:I1073"/>
    <mergeCell ref="J1072:J1073"/>
    <mergeCell ref="K1072:K1073"/>
    <mergeCell ref="L1072:L1073"/>
    <mergeCell ref="M1072:M1073"/>
    <mergeCell ref="N1068:N1069"/>
    <mergeCell ref="O1068:O1069"/>
    <mergeCell ref="P1074:P1075"/>
    <mergeCell ref="J1039:J1040"/>
    <mergeCell ref="K1039:K1040"/>
    <mergeCell ref="L1039:L1040"/>
    <mergeCell ref="M1039:M1040"/>
    <mergeCell ref="N1059:N1060"/>
    <mergeCell ref="O1059:O1060"/>
    <mergeCell ref="P1065:P1066"/>
    <mergeCell ref="A1061:A1067"/>
    <mergeCell ref="C1068:C1069"/>
    <mergeCell ref="D1068:D1069"/>
    <mergeCell ref="E1068:E1069"/>
    <mergeCell ref="F1068:F1069"/>
    <mergeCell ref="G1068:G1069"/>
    <mergeCell ref="H1059:H1060"/>
    <mergeCell ref="I1059:I1060"/>
    <mergeCell ref="J1059:J1060"/>
    <mergeCell ref="K1059:K1060"/>
    <mergeCell ref="L1059:L1060"/>
    <mergeCell ref="M1059:M1060"/>
    <mergeCell ref="N1049:N1050"/>
    <mergeCell ref="O1049:O1050"/>
    <mergeCell ref="P1055:P1056"/>
    <mergeCell ref="A1051:A1058"/>
    <mergeCell ref="C1059:C1060"/>
    <mergeCell ref="D1059:D1060"/>
    <mergeCell ref="E1059:E1060"/>
    <mergeCell ref="F1059:F1060"/>
    <mergeCell ref="G1059:G1060"/>
    <mergeCell ref="H1049:H1050"/>
    <mergeCell ref="I1049:I1050"/>
    <mergeCell ref="J1049:J1050"/>
    <mergeCell ref="K1049:K1050"/>
    <mergeCell ref="H1017:H1018"/>
    <mergeCell ref="I1017:I1018"/>
    <mergeCell ref="J1017:J1018"/>
    <mergeCell ref="K1017:K1018"/>
    <mergeCell ref="L1017:L1018"/>
    <mergeCell ref="M1017:M1018"/>
    <mergeCell ref="N1045:N1046"/>
    <mergeCell ref="O1045:O1046"/>
    <mergeCell ref="P1051:P1052"/>
    <mergeCell ref="A1047:A1048"/>
    <mergeCell ref="C1049:C1050"/>
    <mergeCell ref="D1049:D1050"/>
    <mergeCell ref="E1049:E1050"/>
    <mergeCell ref="F1049:F1050"/>
    <mergeCell ref="G1049:G1050"/>
    <mergeCell ref="H1045:H1046"/>
    <mergeCell ref="I1045:I1046"/>
    <mergeCell ref="J1045:J1046"/>
    <mergeCell ref="K1045:K1046"/>
    <mergeCell ref="L1045:L1046"/>
    <mergeCell ref="M1045:M1046"/>
    <mergeCell ref="N1039:N1040"/>
    <mergeCell ref="O1039:O1040"/>
    <mergeCell ref="P1045:P1046"/>
    <mergeCell ref="A1041:A1044"/>
    <mergeCell ref="C1045:C1046"/>
    <mergeCell ref="D1045:D1046"/>
    <mergeCell ref="E1045:E1046"/>
    <mergeCell ref="F1045:F1046"/>
    <mergeCell ref="G1045:G1046"/>
    <mergeCell ref="H1039:H1040"/>
    <mergeCell ref="I1039:I1040"/>
    <mergeCell ref="G1006:G1007"/>
    <mergeCell ref="H1006:H1007"/>
    <mergeCell ref="H1001:H1002"/>
    <mergeCell ref="I1001:I1002"/>
    <mergeCell ref="J1001:J1002"/>
    <mergeCell ref="K1001:K1002"/>
    <mergeCell ref="L1001:L1002"/>
    <mergeCell ref="M1001:M1002"/>
    <mergeCell ref="N1031:N1032"/>
    <mergeCell ref="O1031:O1032"/>
    <mergeCell ref="P1037:P1038"/>
    <mergeCell ref="A1033:A1038"/>
    <mergeCell ref="C1039:C1040"/>
    <mergeCell ref="D1039:D1040"/>
    <mergeCell ref="E1039:E1040"/>
    <mergeCell ref="F1039:F1040"/>
    <mergeCell ref="G1039:G1040"/>
    <mergeCell ref="H1031:H1032"/>
    <mergeCell ref="I1031:I1032"/>
    <mergeCell ref="J1031:J1032"/>
    <mergeCell ref="K1031:K1032"/>
    <mergeCell ref="L1031:L1032"/>
    <mergeCell ref="M1031:M1032"/>
    <mergeCell ref="N1017:N1018"/>
    <mergeCell ref="O1017:O1018"/>
    <mergeCell ref="P1023:P1024"/>
    <mergeCell ref="A1019:A1030"/>
    <mergeCell ref="C1031:C1032"/>
    <mergeCell ref="D1031:D1032"/>
    <mergeCell ref="E1031:E1032"/>
    <mergeCell ref="F1031:F1032"/>
    <mergeCell ref="G1031:G1032"/>
    <mergeCell ref="A993:A994"/>
    <mergeCell ref="C995:C996"/>
    <mergeCell ref="D995:D996"/>
    <mergeCell ref="E995:E996"/>
    <mergeCell ref="F995:F996"/>
    <mergeCell ref="G991:G992"/>
    <mergeCell ref="H991:H992"/>
    <mergeCell ref="I991:I992"/>
    <mergeCell ref="J991:J992"/>
    <mergeCell ref="K991:K992"/>
    <mergeCell ref="L991:L992"/>
    <mergeCell ref="O1006:O1007"/>
    <mergeCell ref="P1012:P1013"/>
    <mergeCell ref="A1008:A1009"/>
    <mergeCell ref="C1017:C1018"/>
    <mergeCell ref="D1017:D1018"/>
    <mergeCell ref="E1017:E1018"/>
    <mergeCell ref="F1017:F1018"/>
    <mergeCell ref="G1017:G1018"/>
    <mergeCell ref="I1006:I1007"/>
    <mergeCell ref="J1006:J1007"/>
    <mergeCell ref="K1006:K1007"/>
    <mergeCell ref="L1006:L1007"/>
    <mergeCell ref="M1006:M1007"/>
    <mergeCell ref="N1006:N1007"/>
    <mergeCell ref="N1001:N1002"/>
    <mergeCell ref="O1001:O1002"/>
    <mergeCell ref="P1007:P1008"/>
    <mergeCell ref="C1006:C1007"/>
    <mergeCell ref="D1006:D1007"/>
    <mergeCell ref="E1006:E1007"/>
    <mergeCell ref="F1006:F1007"/>
    <mergeCell ref="M995:M996"/>
    <mergeCell ref="N995:N996"/>
    <mergeCell ref="O995:O996"/>
    <mergeCell ref="P1001:P1002"/>
    <mergeCell ref="C1001:C1002"/>
    <mergeCell ref="D1001:D1002"/>
    <mergeCell ref="E1001:E1002"/>
    <mergeCell ref="F1001:F1002"/>
    <mergeCell ref="G1001:G1002"/>
    <mergeCell ref="G995:G996"/>
    <mergeCell ref="H995:H996"/>
    <mergeCell ref="I995:I996"/>
    <mergeCell ref="J995:J996"/>
    <mergeCell ref="K995:K996"/>
    <mergeCell ref="L995:L996"/>
    <mergeCell ref="M991:M992"/>
    <mergeCell ref="N991:N992"/>
    <mergeCell ref="O991:O992"/>
    <mergeCell ref="P997:P998"/>
    <mergeCell ref="M982:M983"/>
    <mergeCell ref="N982:N983"/>
    <mergeCell ref="O982:O983"/>
    <mergeCell ref="P988:P989"/>
    <mergeCell ref="A984:A990"/>
    <mergeCell ref="C991:C992"/>
    <mergeCell ref="D991:D992"/>
    <mergeCell ref="E991:E992"/>
    <mergeCell ref="F991:F992"/>
    <mergeCell ref="G982:G983"/>
    <mergeCell ref="H982:H983"/>
    <mergeCell ref="I982:I983"/>
    <mergeCell ref="J982:J983"/>
    <mergeCell ref="K982:K983"/>
    <mergeCell ref="L982:L983"/>
    <mergeCell ref="M972:M973"/>
    <mergeCell ref="N972:N973"/>
    <mergeCell ref="O972:O973"/>
    <mergeCell ref="P978:P979"/>
    <mergeCell ref="A974:A981"/>
    <mergeCell ref="C982:C983"/>
    <mergeCell ref="D982:D983"/>
    <mergeCell ref="E982:E983"/>
    <mergeCell ref="F982:F983"/>
    <mergeCell ref="G972:G973"/>
    <mergeCell ref="H972:H973"/>
    <mergeCell ref="I972:I973"/>
    <mergeCell ref="J972:J973"/>
    <mergeCell ref="K972:K973"/>
    <mergeCell ref="L972:L973"/>
    <mergeCell ref="M968:M969"/>
    <mergeCell ref="N968:N969"/>
    <mergeCell ref="O968:O969"/>
    <mergeCell ref="P974:P975"/>
    <mergeCell ref="A970:A971"/>
    <mergeCell ref="C972:C973"/>
    <mergeCell ref="D972:D973"/>
    <mergeCell ref="E972:E973"/>
    <mergeCell ref="F972:F973"/>
    <mergeCell ref="G968:G969"/>
    <mergeCell ref="H968:H969"/>
    <mergeCell ref="I968:I969"/>
    <mergeCell ref="J968:J969"/>
    <mergeCell ref="K968:K969"/>
    <mergeCell ref="L968:L969"/>
    <mergeCell ref="M962:M963"/>
    <mergeCell ref="N962:N963"/>
    <mergeCell ref="O962:O963"/>
    <mergeCell ref="P968:P969"/>
    <mergeCell ref="A964:A967"/>
    <mergeCell ref="C968:C969"/>
    <mergeCell ref="D968:D969"/>
    <mergeCell ref="E968:E969"/>
    <mergeCell ref="F968:F969"/>
    <mergeCell ref="G962:G963"/>
    <mergeCell ref="H962:H963"/>
    <mergeCell ref="I962:I963"/>
    <mergeCell ref="J962:J963"/>
    <mergeCell ref="K962:K963"/>
    <mergeCell ref="L962:L963"/>
    <mergeCell ref="M954:M955"/>
    <mergeCell ref="N954:N955"/>
    <mergeCell ref="O954:O955"/>
    <mergeCell ref="P960:P961"/>
    <mergeCell ref="A956:A961"/>
    <mergeCell ref="C962:C963"/>
    <mergeCell ref="D962:D963"/>
    <mergeCell ref="E962:E963"/>
    <mergeCell ref="F962:F963"/>
    <mergeCell ref="G954:G955"/>
    <mergeCell ref="H954:H955"/>
    <mergeCell ref="I954:I955"/>
    <mergeCell ref="J954:J955"/>
    <mergeCell ref="K954:K955"/>
    <mergeCell ref="L954:L955"/>
    <mergeCell ref="M940:M941"/>
    <mergeCell ref="N940:N941"/>
    <mergeCell ref="O940:O941"/>
    <mergeCell ref="P946:P947"/>
    <mergeCell ref="A942:A953"/>
    <mergeCell ref="C954:C955"/>
    <mergeCell ref="D954:D955"/>
    <mergeCell ref="E954:E955"/>
    <mergeCell ref="F954:F955"/>
    <mergeCell ref="G940:G941"/>
    <mergeCell ref="H940:H941"/>
    <mergeCell ref="I940:I941"/>
    <mergeCell ref="J940:J941"/>
    <mergeCell ref="K940:K941"/>
    <mergeCell ref="L940:L941"/>
    <mergeCell ref="P936:P937"/>
    <mergeCell ref="A932:A933"/>
    <mergeCell ref="C940:C941"/>
    <mergeCell ref="D940:D941"/>
    <mergeCell ref="E940:E941"/>
    <mergeCell ref="F940:F941"/>
    <mergeCell ref="H930:H931"/>
    <mergeCell ref="I930:I931"/>
    <mergeCell ref="J930:J931"/>
    <mergeCell ref="K930:K931"/>
    <mergeCell ref="L930:L931"/>
    <mergeCell ref="M930:M931"/>
    <mergeCell ref="C930:C931"/>
    <mergeCell ref="D930:D931"/>
    <mergeCell ref="E930:E931"/>
    <mergeCell ref="F930:F931"/>
    <mergeCell ref="G930:G931"/>
    <mergeCell ref="K925:K926"/>
    <mergeCell ref="L925:L926"/>
    <mergeCell ref="M925:M926"/>
    <mergeCell ref="N925:N926"/>
    <mergeCell ref="O925:O926"/>
    <mergeCell ref="P931:P932"/>
    <mergeCell ref="P925:P926"/>
    <mergeCell ref="C925:C926"/>
    <mergeCell ref="D925:D926"/>
    <mergeCell ref="E925:E926"/>
    <mergeCell ref="F925:F926"/>
    <mergeCell ref="G925:G926"/>
    <mergeCell ref="H925:H926"/>
    <mergeCell ref="I925:I926"/>
    <mergeCell ref="J925:J926"/>
    <mergeCell ref="J919:J920"/>
    <mergeCell ref="K919:K920"/>
    <mergeCell ref="L919:L920"/>
    <mergeCell ref="M919:M920"/>
    <mergeCell ref="N919:N920"/>
    <mergeCell ref="O919:O920"/>
    <mergeCell ref="N930:N931"/>
    <mergeCell ref="O930:O931"/>
    <mergeCell ref="P921:P922"/>
    <mergeCell ref="A917:A918"/>
    <mergeCell ref="C919:C920"/>
    <mergeCell ref="D919:D920"/>
    <mergeCell ref="E919:E920"/>
    <mergeCell ref="F919:F920"/>
    <mergeCell ref="G919:G920"/>
    <mergeCell ref="H919:H920"/>
    <mergeCell ref="I919:I920"/>
    <mergeCell ref="J915:J916"/>
    <mergeCell ref="K915:K916"/>
    <mergeCell ref="L915:L916"/>
    <mergeCell ref="M915:M916"/>
    <mergeCell ref="N915:N916"/>
    <mergeCell ref="O915:O916"/>
    <mergeCell ref="P912:P913"/>
    <mergeCell ref="A908:A914"/>
    <mergeCell ref="C915:C916"/>
    <mergeCell ref="D915:D916"/>
    <mergeCell ref="E915:E916"/>
    <mergeCell ref="F915:F916"/>
    <mergeCell ref="G915:G916"/>
    <mergeCell ref="H915:H916"/>
    <mergeCell ref="I915:I916"/>
    <mergeCell ref="P902:P903"/>
    <mergeCell ref="A898:A905"/>
    <mergeCell ref="C906:C907"/>
    <mergeCell ref="D906:D907"/>
    <mergeCell ref="E906:E907"/>
    <mergeCell ref="F906:F907"/>
    <mergeCell ref="G906:G907"/>
    <mergeCell ref="H906:H907"/>
    <mergeCell ref="I906:I907"/>
    <mergeCell ref="J896:J897"/>
    <mergeCell ref="K896:K897"/>
    <mergeCell ref="L896:L897"/>
    <mergeCell ref="M896:M897"/>
    <mergeCell ref="N896:N897"/>
    <mergeCell ref="O896:O897"/>
    <mergeCell ref="P898:P899"/>
    <mergeCell ref="A894:A895"/>
    <mergeCell ref="C896:C897"/>
    <mergeCell ref="D896:D897"/>
    <mergeCell ref="E896:E897"/>
    <mergeCell ref="F896:F897"/>
    <mergeCell ref="G896:G897"/>
    <mergeCell ref="H896:H897"/>
    <mergeCell ref="I896:I897"/>
    <mergeCell ref="J906:J907"/>
    <mergeCell ref="K906:K907"/>
    <mergeCell ref="L906:L907"/>
    <mergeCell ref="M906:M907"/>
    <mergeCell ref="N906:N907"/>
    <mergeCell ref="O906:O907"/>
    <mergeCell ref="P892:P893"/>
    <mergeCell ref="A888:A891"/>
    <mergeCell ref="C892:C893"/>
    <mergeCell ref="D892:D893"/>
    <mergeCell ref="E892:E893"/>
    <mergeCell ref="F892:F893"/>
    <mergeCell ref="G892:G893"/>
    <mergeCell ref="H892:H893"/>
    <mergeCell ref="I892:I893"/>
    <mergeCell ref="J886:J887"/>
    <mergeCell ref="K886:K887"/>
    <mergeCell ref="L886:L887"/>
    <mergeCell ref="M886:M887"/>
    <mergeCell ref="N886:N887"/>
    <mergeCell ref="O886:O887"/>
    <mergeCell ref="P884:P885"/>
    <mergeCell ref="A880:A885"/>
    <mergeCell ref="C886:C887"/>
    <mergeCell ref="D886:D887"/>
    <mergeCell ref="E886:E887"/>
    <mergeCell ref="F886:F887"/>
    <mergeCell ref="G886:G887"/>
    <mergeCell ref="H886:H887"/>
    <mergeCell ref="I886:I887"/>
    <mergeCell ref="J892:J893"/>
    <mergeCell ref="K892:K893"/>
    <mergeCell ref="L892:L893"/>
    <mergeCell ref="M892:M893"/>
    <mergeCell ref="N892:N893"/>
    <mergeCell ref="O892:O893"/>
    <mergeCell ref="P870:P871"/>
    <mergeCell ref="A866:A877"/>
    <mergeCell ref="C878:C879"/>
    <mergeCell ref="D878:D879"/>
    <mergeCell ref="E878:E879"/>
    <mergeCell ref="F878:F879"/>
    <mergeCell ref="G878:G879"/>
    <mergeCell ref="H878:H879"/>
    <mergeCell ref="I878:I879"/>
    <mergeCell ref="J864:J865"/>
    <mergeCell ref="K864:K865"/>
    <mergeCell ref="L864:L865"/>
    <mergeCell ref="M864:M865"/>
    <mergeCell ref="N864:N865"/>
    <mergeCell ref="O864:O865"/>
    <mergeCell ref="A855:A856"/>
    <mergeCell ref="C864:C865"/>
    <mergeCell ref="D864:D865"/>
    <mergeCell ref="E864:E865"/>
    <mergeCell ref="F864:F865"/>
    <mergeCell ref="G864:G865"/>
    <mergeCell ref="H864:H865"/>
    <mergeCell ref="I864:I865"/>
    <mergeCell ref="J878:J879"/>
    <mergeCell ref="K878:K879"/>
    <mergeCell ref="L878:L879"/>
    <mergeCell ref="M878:M879"/>
    <mergeCell ref="N878:N879"/>
    <mergeCell ref="O878:O879"/>
    <mergeCell ref="O853:O854"/>
    <mergeCell ref="P859:P860"/>
    <mergeCell ref="P854:P855"/>
    <mergeCell ref="C853:C854"/>
    <mergeCell ref="D853:D854"/>
    <mergeCell ref="E853:E854"/>
    <mergeCell ref="F853:F854"/>
    <mergeCell ref="G853:G854"/>
    <mergeCell ref="H853:H854"/>
    <mergeCell ref="I853:I854"/>
    <mergeCell ref="J853:J854"/>
    <mergeCell ref="J848:J849"/>
    <mergeCell ref="K848:K849"/>
    <mergeCell ref="L848:L849"/>
    <mergeCell ref="M848:M849"/>
    <mergeCell ref="N848:N849"/>
    <mergeCell ref="O848:O849"/>
    <mergeCell ref="A840:A841"/>
    <mergeCell ref="C842:C843"/>
    <mergeCell ref="D842:D843"/>
    <mergeCell ref="E842:E843"/>
    <mergeCell ref="F842:F843"/>
    <mergeCell ref="G842:G843"/>
    <mergeCell ref="H842:H843"/>
    <mergeCell ref="I838:I839"/>
    <mergeCell ref="J838:J839"/>
    <mergeCell ref="K838:K839"/>
    <mergeCell ref="L838:L839"/>
    <mergeCell ref="M838:M839"/>
    <mergeCell ref="N838:N839"/>
    <mergeCell ref="K853:K854"/>
    <mergeCell ref="L853:L854"/>
    <mergeCell ref="M853:M854"/>
    <mergeCell ref="N853:N854"/>
    <mergeCell ref="L819:L820"/>
    <mergeCell ref="M819:M820"/>
    <mergeCell ref="N819:N820"/>
    <mergeCell ref="O842:O843"/>
    <mergeCell ref="P848:P849"/>
    <mergeCell ref="C848:C849"/>
    <mergeCell ref="D848:D849"/>
    <mergeCell ref="E848:E849"/>
    <mergeCell ref="F848:F849"/>
    <mergeCell ref="G848:G849"/>
    <mergeCell ref="H848:H849"/>
    <mergeCell ref="I848:I849"/>
    <mergeCell ref="I842:I843"/>
    <mergeCell ref="J842:J843"/>
    <mergeCell ref="K842:K843"/>
    <mergeCell ref="L842:L843"/>
    <mergeCell ref="M842:M843"/>
    <mergeCell ref="N842:N843"/>
    <mergeCell ref="O838:O839"/>
    <mergeCell ref="P844:P845"/>
    <mergeCell ref="J809:J810"/>
    <mergeCell ref="K809:K810"/>
    <mergeCell ref="L809:L810"/>
    <mergeCell ref="M809:M810"/>
    <mergeCell ref="N809:N810"/>
    <mergeCell ref="O829:O830"/>
    <mergeCell ref="P835:P836"/>
    <mergeCell ref="A831:A837"/>
    <mergeCell ref="C838:C839"/>
    <mergeCell ref="D838:D839"/>
    <mergeCell ref="E838:E839"/>
    <mergeCell ref="F838:F839"/>
    <mergeCell ref="G838:G839"/>
    <mergeCell ref="H838:H839"/>
    <mergeCell ref="I829:I830"/>
    <mergeCell ref="J829:J830"/>
    <mergeCell ref="K829:K830"/>
    <mergeCell ref="L829:L830"/>
    <mergeCell ref="M829:M830"/>
    <mergeCell ref="N829:N830"/>
    <mergeCell ref="O819:O820"/>
    <mergeCell ref="P825:P826"/>
    <mergeCell ref="A821:A828"/>
    <mergeCell ref="C829:C830"/>
    <mergeCell ref="D829:D830"/>
    <mergeCell ref="E829:E830"/>
    <mergeCell ref="F829:F830"/>
    <mergeCell ref="G829:G830"/>
    <mergeCell ref="H829:H830"/>
    <mergeCell ref="I819:I820"/>
    <mergeCell ref="J819:J820"/>
    <mergeCell ref="K819:K820"/>
    <mergeCell ref="H801:H802"/>
    <mergeCell ref="I787:I788"/>
    <mergeCell ref="J787:J788"/>
    <mergeCell ref="K787:K788"/>
    <mergeCell ref="L787:L788"/>
    <mergeCell ref="M787:M788"/>
    <mergeCell ref="N787:N788"/>
    <mergeCell ref="O815:O816"/>
    <mergeCell ref="P821:P822"/>
    <mergeCell ref="A817:A818"/>
    <mergeCell ref="C819:C820"/>
    <mergeCell ref="D819:D820"/>
    <mergeCell ref="E819:E820"/>
    <mergeCell ref="F819:F820"/>
    <mergeCell ref="G819:G820"/>
    <mergeCell ref="H819:H820"/>
    <mergeCell ref="I815:I816"/>
    <mergeCell ref="J815:J816"/>
    <mergeCell ref="K815:K816"/>
    <mergeCell ref="L815:L816"/>
    <mergeCell ref="M815:M816"/>
    <mergeCell ref="N815:N816"/>
    <mergeCell ref="O809:O810"/>
    <mergeCell ref="P815:P816"/>
    <mergeCell ref="A811:A814"/>
    <mergeCell ref="C815:C816"/>
    <mergeCell ref="D815:D816"/>
    <mergeCell ref="E815:E816"/>
    <mergeCell ref="F815:F816"/>
    <mergeCell ref="G815:G816"/>
    <mergeCell ref="H815:H816"/>
    <mergeCell ref="I809:I810"/>
    <mergeCell ref="G776:G777"/>
    <mergeCell ref="H776:H777"/>
    <mergeCell ref="I776:I777"/>
    <mergeCell ref="I771:I772"/>
    <mergeCell ref="J771:J772"/>
    <mergeCell ref="K771:K772"/>
    <mergeCell ref="L771:L772"/>
    <mergeCell ref="M771:M772"/>
    <mergeCell ref="N771:N772"/>
    <mergeCell ref="O801:O802"/>
    <mergeCell ref="P807:P808"/>
    <mergeCell ref="A803:A808"/>
    <mergeCell ref="C809:C810"/>
    <mergeCell ref="D809:D810"/>
    <mergeCell ref="E809:E810"/>
    <mergeCell ref="F809:F810"/>
    <mergeCell ref="G809:G810"/>
    <mergeCell ref="H809:H810"/>
    <mergeCell ref="I801:I802"/>
    <mergeCell ref="J801:J802"/>
    <mergeCell ref="K801:K802"/>
    <mergeCell ref="L801:L802"/>
    <mergeCell ref="M801:M802"/>
    <mergeCell ref="N801:N802"/>
    <mergeCell ref="O787:O788"/>
    <mergeCell ref="P793:P794"/>
    <mergeCell ref="A789:A800"/>
    <mergeCell ref="C801:C802"/>
    <mergeCell ref="D801:D802"/>
    <mergeCell ref="E801:E802"/>
    <mergeCell ref="F801:F802"/>
    <mergeCell ref="G801:G802"/>
    <mergeCell ref="A763:A764"/>
    <mergeCell ref="C765:C766"/>
    <mergeCell ref="D765:D766"/>
    <mergeCell ref="E765:E766"/>
    <mergeCell ref="F765:F766"/>
    <mergeCell ref="G765:G766"/>
    <mergeCell ref="H761:H762"/>
    <mergeCell ref="I761:I762"/>
    <mergeCell ref="J761:J762"/>
    <mergeCell ref="K761:K762"/>
    <mergeCell ref="L761:L762"/>
    <mergeCell ref="M761:M762"/>
    <mergeCell ref="P782:P783"/>
    <mergeCell ref="A778:A779"/>
    <mergeCell ref="C787:C788"/>
    <mergeCell ref="D787:D788"/>
    <mergeCell ref="E787:E788"/>
    <mergeCell ref="F787:F788"/>
    <mergeCell ref="G787:G788"/>
    <mergeCell ref="H787:H788"/>
    <mergeCell ref="J776:J777"/>
    <mergeCell ref="K776:K777"/>
    <mergeCell ref="L776:L777"/>
    <mergeCell ref="M776:M777"/>
    <mergeCell ref="N776:N777"/>
    <mergeCell ref="O776:O777"/>
    <mergeCell ref="O771:O772"/>
    <mergeCell ref="P777:P778"/>
    <mergeCell ref="C776:C777"/>
    <mergeCell ref="D776:D777"/>
    <mergeCell ref="E776:E777"/>
    <mergeCell ref="F776:F777"/>
    <mergeCell ref="L742:L743"/>
    <mergeCell ref="M742:M743"/>
    <mergeCell ref="N765:N766"/>
    <mergeCell ref="O765:O766"/>
    <mergeCell ref="P771:P772"/>
    <mergeCell ref="C771:C772"/>
    <mergeCell ref="D771:D772"/>
    <mergeCell ref="E771:E772"/>
    <mergeCell ref="F771:F772"/>
    <mergeCell ref="G771:G772"/>
    <mergeCell ref="H771:H772"/>
    <mergeCell ref="H765:H766"/>
    <mergeCell ref="I765:I766"/>
    <mergeCell ref="J765:J766"/>
    <mergeCell ref="K765:K766"/>
    <mergeCell ref="L765:L766"/>
    <mergeCell ref="M765:M766"/>
    <mergeCell ref="N761:N762"/>
    <mergeCell ref="O761:O762"/>
    <mergeCell ref="P767:P768"/>
    <mergeCell ref="J732:J733"/>
    <mergeCell ref="K732:K733"/>
    <mergeCell ref="L732:L733"/>
    <mergeCell ref="M732:M733"/>
    <mergeCell ref="N752:N753"/>
    <mergeCell ref="O752:O753"/>
    <mergeCell ref="P758:P759"/>
    <mergeCell ref="A754:A760"/>
    <mergeCell ref="C761:C762"/>
    <mergeCell ref="D761:D762"/>
    <mergeCell ref="E761:E762"/>
    <mergeCell ref="F761:F762"/>
    <mergeCell ref="G761:G762"/>
    <mergeCell ref="H752:H753"/>
    <mergeCell ref="I752:I753"/>
    <mergeCell ref="J752:J753"/>
    <mergeCell ref="K752:K753"/>
    <mergeCell ref="L752:L753"/>
    <mergeCell ref="M752:M753"/>
    <mergeCell ref="N742:N743"/>
    <mergeCell ref="O742:O743"/>
    <mergeCell ref="P748:P749"/>
    <mergeCell ref="A744:A751"/>
    <mergeCell ref="C752:C753"/>
    <mergeCell ref="D752:D753"/>
    <mergeCell ref="E752:E753"/>
    <mergeCell ref="F752:F753"/>
    <mergeCell ref="G752:G753"/>
    <mergeCell ref="H742:H743"/>
    <mergeCell ref="I742:I743"/>
    <mergeCell ref="J742:J743"/>
    <mergeCell ref="K742:K743"/>
    <mergeCell ref="H710:H711"/>
    <mergeCell ref="I710:I711"/>
    <mergeCell ref="J710:J711"/>
    <mergeCell ref="K710:K711"/>
    <mergeCell ref="L710:L711"/>
    <mergeCell ref="M710:M711"/>
    <mergeCell ref="N738:N739"/>
    <mergeCell ref="O738:O739"/>
    <mergeCell ref="P744:P745"/>
    <mergeCell ref="A740:A741"/>
    <mergeCell ref="C742:C743"/>
    <mergeCell ref="D742:D743"/>
    <mergeCell ref="E742:E743"/>
    <mergeCell ref="F742:F743"/>
    <mergeCell ref="G742:G743"/>
    <mergeCell ref="H738:H739"/>
    <mergeCell ref="I738:I739"/>
    <mergeCell ref="J738:J739"/>
    <mergeCell ref="K738:K739"/>
    <mergeCell ref="L738:L739"/>
    <mergeCell ref="M738:M739"/>
    <mergeCell ref="N732:N733"/>
    <mergeCell ref="O732:O733"/>
    <mergeCell ref="P738:P739"/>
    <mergeCell ref="A734:A737"/>
    <mergeCell ref="C738:C739"/>
    <mergeCell ref="D738:D739"/>
    <mergeCell ref="E738:E739"/>
    <mergeCell ref="F738:F739"/>
    <mergeCell ref="G738:G739"/>
    <mergeCell ref="H732:H733"/>
    <mergeCell ref="I732:I733"/>
    <mergeCell ref="G699:G700"/>
    <mergeCell ref="H699:H700"/>
    <mergeCell ref="H694:H695"/>
    <mergeCell ref="I694:I695"/>
    <mergeCell ref="J694:J695"/>
    <mergeCell ref="K694:K695"/>
    <mergeCell ref="L694:L695"/>
    <mergeCell ref="M694:M695"/>
    <mergeCell ref="N724:N725"/>
    <mergeCell ref="O724:O725"/>
    <mergeCell ref="P730:P731"/>
    <mergeCell ref="A726:A731"/>
    <mergeCell ref="C732:C733"/>
    <mergeCell ref="D732:D733"/>
    <mergeCell ref="E732:E733"/>
    <mergeCell ref="F732:F733"/>
    <mergeCell ref="G732:G733"/>
    <mergeCell ref="H724:H725"/>
    <mergeCell ref="I724:I725"/>
    <mergeCell ref="J724:J725"/>
    <mergeCell ref="K724:K725"/>
    <mergeCell ref="L724:L725"/>
    <mergeCell ref="M724:M725"/>
    <mergeCell ref="N710:N711"/>
    <mergeCell ref="O710:O711"/>
    <mergeCell ref="P716:P717"/>
    <mergeCell ref="A712:A723"/>
    <mergeCell ref="C724:C725"/>
    <mergeCell ref="D724:D725"/>
    <mergeCell ref="E724:E725"/>
    <mergeCell ref="F724:F725"/>
    <mergeCell ref="G724:G725"/>
    <mergeCell ref="A686:A687"/>
    <mergeCell ref="C688:C689"/>
    <mergeCell ref="D688:D689"/>
    <mergeCell ref="E688:E689"/>
    <mergeCell ref="F688:F689"/>
    <mergeCell ref="G684:G685"/>
    <mergeCell ref="H684:H685"/>
    <mergeCell ref="I684:I685"/>
    <mergeCell ref="J684:J685"/>
    <mergeCell ref="K684:K685"/>
    <mergeCell ref="L684:L685"/>
    <mergeCell ref="O699:O700"/>
    <mergeCell ref="P705:P706"/>
    <mergeCell ref="A701:A702"/>
    <mergeCell ref="C710:C711"/>
    <mergeCell ref="D710:D711"/>
    <mergeCell ref="E710:E711"/>
    <mergeCell ref="F710:F711"/>
    <mergeCell ref="G710:G711"/>
    <mergeCell ref="I699:I700"/>
    <mergeCell ref="J699:J700"/>
    <mergeCell ref="K699:K700"/>
    <mergeCell ref="L699:L700"/>
    <mergeCell ref="M699:M700"/>
    <mergeCell ref="N699:N700"/>
    <mergeCell ref="N694:N695"/>
    <mergeCell ref="O694:O695"/>
    <mergeCell ref="P700:P701"/>
    <mergeCell ref="C699:C700"/>
    <mergeCell ref="D699:D700"/>
    <mergeCell ref="E699:E700"/>
    <mergeCell ref="F699:F700"/>
    <mergeCell ref="M688:M689"/>
    <mergeCell ref="N688:N689"/>
    <mergeCell ref="O688:O689"/>
    <mergeCell ref="P694:P695"/>
    <mergeCell ref="C694:C695"/>
    <mergeCell ref="D694:D695"/>
    <mergeCell ref="E694:E695"/>
    <mergeCell ref="F694:F695"/>
    <mergeCell ref="G694:G695"/>
    <mergeCell ref="G688:G689"/>
    <mergeCell ref="H688:H689"/>
    <mergeCell ref="I688:I689"/>
    <mergeCell ref="J688:J689"/>
    <mergeCell ref="K688:K689"/>
    <mergeCell ref="L688:L689"/>
    <mergeCell ref="M684:M685"/>
    <mergeCell ref="N684:N685"/>
    <mergeCell ref="O684:O685"/>
    <mergeCell ref="P690:P691"/>
    <mergeCell ref="M675:M676"/>
    <mergeCell ref="N675:N676"/>
    <mergeCell ref="O675:O676"/>
    <mergeCell ref="P681:P682"/>
    <mergeCell ref="A677:A683"/>
    <mergeCell ref="C684:C685"/>
    <mergeCell ref="D684:D685"/>
    <mergeCell ref="E684:E685"/>
    <mergeCell ref="F684:F685"/>
    <mergeCell ref="G675:G676"/>
    <mergeCell ref="H675:H676"/>
    <mergeCell ref="I675:I676"/>
    <mergeCell ref="J675:J676"/>
    <mergeCell ref="K675:K676"/>
    <mergeCell ref="L675:L676"/>
    <mergeCell ref="M665:M666"/>
    <mergeCell ref="N665:N666"/>
    <mergeCell ref="O665:O666"/>
    <mergeCell ref="P671:P672"/>
    <mergeCell ref="A667:A674"/>
    <mergeCell ref="C675:C676"/>
    <mergeCell ref="D675:D676"/>
    <mergeCell ref="E675:E676"/>
    <mergeCell ref="F675:F676"/>
    <mergeCell ref="G665:G666"/>
    <mergeCell ref="H665:H666"/>
    <mergeCell ref="I665:I666"/>
    <mergeCell ref="J665:J666"/>
    <mergeCell ref="K665:K666"/>
    <mergeCell ref="L665:L666"/>
    <mergeCell ref="M661:M662"/>
    <mergeCell ref="N661:N662"/>
    <mergeCell ref="O661:O662"/>
    <mergeCell ref="P667:P668"/>
    <mergeCell ref="A663:A664"/>
    <mergeCell ref="C665:C666"/>
    <mergeCell ref="D665:D666"/>
    <mergeCell ref="E665:E666"/>
    <mergeCell ref="F665:F666"/>
    <mergeCell ref="G661:G662"/>
    <mergeCell ref="H661:H662"/>
    <mergeCell ref="I661:I662"/>
    <mergeCell ref="J661:J662"/>
    <mergeCell ref="K661:K662"/>
    <mergeCell ref="L661:L662"/>
    <mergeCell ref="M655:M656"/>
    <mergeCell ref="N655:N656"/>
    <mergeCell ref="O655:O656"/>
    <mergeCell ref="P661:P662"/>
    <mergeCell ref="A657:A660"/>
    <mergeCell ref="C661:C662"/>
    <mergeCell ref="D661:D662"/>
    <mergeCell ref="E661:E662"/>
    <mergeCell ref="F661:F662"/>
    <mergeCell ref="G655:G656"/>
    <mergeCell ref="H655:H656"/>
    <mergeCell ref="I655:I656"/>
    <mergeCell ref="J655:J656"/>
    <mergeCell ref="K655:K656"/>
    <mergeCell ref="L655:L656"/>
    <mergeCell ref="M647:M648"/>
    <mergeCell ref="N647:N648"/>
    <mergeCell ref="O647:O648"/>
    <mergeCell ref="P653:P654"/>
    <mergeCell ref="A649:A654"/>
    <mergeCell ref="C655:C656"/>
    <mergeCell ref="D655:D656"/>
    <mergeCell ref="E655:E656"/>
    <mergeCell ref="F655:F656"/>
    <mergeCell ref="G647:G648"/>
    <mergeCell ref="H647:H648"/>
    <mergeCell ref="I647:I648"/>
    <mergeCell ref="J647:J648"/>
    <mergeCell ref="K647:K648"/>
    <mergeCell ref="L647:L648"/>
    <mergeCell ref="M633:M634"/>
    <mergeCell ref="N633:N634"/>
    <mergeCell ref="O633:O634"/>
    <mergeCell ref="P639:P640"/>
    <mergeCell ref="A635:A646"/>
    <mergeCell ref="C647:C648"/>
    <mergeCell ref="D647:D648"/>
    <mergeCell ref="E647:E648"/>
    <mergeCell ref="F647:F648"/>
    <mergeCell ref="G633:G634"/>
    <mergeCell ref="H633:H634"/>
    <mergeCell ref="I633:I634"/>
    <mergeCell ref="J633:J634"/>
    <mergeCell ref="K633:K634"/>
    <mergeCell ref="L633:L634"/>
    <mergeCell ref="P628:P629"/>
    <mergeCell ref="A624:A625"/>
    <mergeCell ref="C633:C634"/>
    <mergeCell ref="D633:D634"/>
    <mergeCell ref="E633:E634"/>
    <mergeCell ref="F633:F634"/>
    <mergeCell ref="H622:H623"/>
    <mergeCell ref="I622:I623"/>
    <mergeCell ref="J622:J623"/>
    <mergeCell ref="K622:K623"/>
    <mergeCell ref="L622:L623"/>
    <mergeCell ref="M622:M623"/>
    <mergeCell ref="C622:C623"/>
    <mergeCell ref="D622:D623"/>
    <mergeCell ref="E622:E623"/>
    <mergeCell ref="F622:F623"/>
    <mergeCell ref="G622:G623"/>
    <mergeCell ref="K617:K618"/>
    <mergeCell ref="L617:L618"/>
    <mergeCell ref="M617:M618"/>
    <mergeCell ref="N617:N618"/>
    <mergeCell ref="O617:O618"/>
    <mergeCell ref="P623:P624"/>
    <mergeCell ref="P617:P618"/>
    <mergeCell ref="C617:C618"/>
    <mergeCell ref="D617:D618"/>
    <mergeCell ref="E617:E618"/>
    <mergeCell ref="F617:F618"/>
    <mergeCell ref="G617:G618"/>
    <mergeCell ref="H617:H618"/>
    <mergeCell ref="I617:I618"/>
    <mergeCell ref="J617:J618"/>
    <mergeCell ref="J611:J612"/>
    <mergeCell ref="K611:K612"/>
    <mergeCell ref="L611:L612"/>
    <mergeCell ref="M611:M612"/>
    <mergeCell ref="N611:N612"/>
    <mergeCell ref="O611:O612"/>
    <mergeCell ref="N622:N623"/>
    <mergeCell ref="O622:O623"/>
    <mergeCell ref="N584:N585"/>
    <mergeCell ref="O584:O585"/>
    <mergeCell ref="P613:P614"/>
    <mergeCell ref="A609:A610"/>
    <mergeCell ref="C611:C612"/>
    <mergeCell ref="D611:D612"/>
    <mergeCell ref="E611:E612"/>
    <mergeCell ref="F611:F612"/>
    <mergeCell ref="G611:G612"/>
    <mergeCell ref="H611:H612"/>
    <mergeCell ref="I611:I612"/>
    <mergeCell ref="J607:J608"/>
    <mergeCell ref="K607:K608"/>
    <mergeCell ref="L607:L608"/>
    <mergeCell ref="M607:M608"/>
    <mergeCell ref="N607:N608"/>
    <mergeCell ref="O607:O608"/>
    <mergeCell ref="P604:P605"/>
    <mergeCell ref="A600:A606"/>
    <mergeCell ref="C607:C608"/>
    <mergeCell ref="D607:D608"/>
    <mergeCell ref="E607:E608"/>
    <mergeCell ref="F607:F608"/>
    <mergeCell ref="G607:G608"/>
    <mergeCell ref="H607:H608"/>
    <mergeCell ref="I607:I608"/>
    <mergeCell ref="J598:J599"/>
    <mergeCell ref="K598:K599"/>
    <mergeCell ref="L598:L599"/>
    <mergeCell ref="M598:M599"/>
    <mergeCell ref="N598:N599"/>
    <mergeCell ref="O598:O599"/>
    <mergeCell ref="P594:P595"/>
    <mergeCell ref="A590:A597"/>
    <mergeCell ref="C598:C599"/>
    <mergeCell ref="D598:D599"/>
    <mergeCell ref="E598:E599"/>
    <mergeCell ref="F598:F599"/>
    <mergeCell ref="G598:G599"/>
    <mergeCell ref="H598:H599"/>
    <mergeCell ref="I598:I599"/>
    <mergeCell ref="J588:J589"/>
    <mergeCell ref="K588:K589"/>
    <mergeCell ref="L588:L589"/>
    <mergeCell ref="M588:M589"/>
    <mergeCell ref="N588:N589"/>
    <mergeCell ref="O588:O589"/>
    <mergeCell ref="P590:P591"/>
    <mergeCell ref="A586:A587"/>
    <mergeCell ref="C588:C589"/>
    <mergeCell ref="D588:D589"/>
    <mergeCell ref="E588:E589"/>
    <mergeCell ref="F588:F589"/>
    <mergeCell ref="G588:G589"/>
    <mergeCell ref="H588:H589"/>
    <mergeCell ref="I588:I589"/>
    <mergeCell ref="P584:P585"/>
    <mergeCell ref="C584:C585"/>
    <mergeCell ref="D584:D585"/>
    <mergeCell ref="E584:E585"/>
    <mergeCell ref="F584:F585"/>
    <mergeCell ref="G584:G585"/>
    <mergeCell ref="H584:H585"/>
    <mergeCell ref="I584:I585"/>
    <mergeCell ref="J578:J579"/>
    <mergeCell ref="K578:K579"/>
    <mergeCell ref="L578:L579"/>
    <mergeCell ref="M578:M579"/>
    <mergeCell ref="N578:N579"/>
    <mergeCell ref="O578:O579"/>
    <mergeCell ref="P570:P571"/>
    <mergeCell ref="C578:C579"/>
    <mergeCell ref="D578:D579"/>
    <mergeCell ref="E578:E579"/>
    <mergeCell ref="F578:F579"/>
    <mergeCell ref="G578:G579"/>
    <mergeCell ref="H578:H579"/>
    <mergeCell ref="I578:I579"/>
    <mergeCell ref="J570:J571"/>
    <mergeCell ref="K570:K571"/>
    <mergeCell ref="L570:L571"/>
    <mergeCell ref="M570:M571"/>
    <mergeCell ref="N570:N571"/>
    <mergeCell ref="O570:O571"/>
    <mergeCell ref="J584:J585"/>
    <mergeCell ref="K584:K585"/>
    <mergeCell ref="L584:L585"/>
    <mergeCell ref="M584:M585"/>
    <mergeCell ref="P556:P557"/>
    <mergeCell ref="A558:A569"/>
    <mergeCell ref="A570:B571"/>
    <mergeCell ref="C570:C571"/>
    <mergeCell ref="D570:D571"/>
    <mergeCell ref="E570:E571"/>
    <mergeCell ref="F570:F571"/>
    <mergeCell ref="G570:G571"/>
    <mergeCell ref="H570:H571"/>
    <mergeCell ref="I570:I571"/>
    <mergeCell ref="J556:J557"/>
    <mergeCell ref="K556:K557"/>
    <mergeCell ref="L556:L557"/>
    <mergeCell ref="M556:M557"/>
    <mergeCell ref="N556:N557"/>
    <mergeCell ref="O556:O557"/>
    <mergeCell ref="A548:A549"/>
    <mergeCell ref="A554:P554"/>
    <mergeCell ref="A556:B557"/>
    <mergeCell ref="C556:C557"/>
    <mergeCell ref="D556:D557"/>
    <mergeCell ref="E556:E557"/>
    <mergeCell ref="F556:F557"/>
    <mergeCell ref="G556:G557"/>
    <mergeCell ref="H556:H557"/>
    <mergeCell ref="I556:I557"/>
    <mergeCell ref="K546:K547"/>
    <mergeCell ref="L546:L547"/>
    <mergeCell ref="M546:M547"/>
    <mergeCell ref="N546:N547"/>
    <mergeCell ref="O546:O547"/>
    <mergeCell ref="P546:P547"/>
    <mergeCell ref="P541:P542"/>
    <mergeCell ref="A546:B547"/>
    <mergeCell ref="C546:C547"/>
    <mergeCell ref="D546:D547"/>
    <mergeCell ref="E546:E547"/>
    <mergeCell ref="F546:F547"/>
    <mergeCell ref="G546:G547"/>
    <mergeCell ref="H546:H547"/>
    <mergeCell ref="I546:I547"/>
    <mergeCell ref="J546:J547"/>
    <mergeCell ref="J541:J542"/>
    <mergeCell ref="K541:K542"/>
    <mergeCell ref="L541:L542"/>
    <mergeCell ref="M541:M542"/>
    <mergeCell ref="N541:N542"/>
    <mergeCell ref="O541:O542"/>
    <mergeCell ref="O535:O536"/>
    <mergeCell ref="P535:P536"/>
    <mergeCell ref="A541:B542"/>
    <mergeCell ref="C541:C542"/>
    <mergeCell ref="D541:D542"/>
    <mergeCell ref="E541:E542"/>
    <mergeCell ref="F541:F542"/>
    <mergeCell ref="G541:G542"/>
    <mergeCell ref="H541:H542"/>
    <mergeCell ref="I541:I542"/>
    <mergeCell ref="I535:I536"/>
    <mergeCell ref="J535:J536"/>
    <mergeCell ref="K535:K536"/>
    <mergeCell ref="L535:L536"/>
    <mergeCell ref="M535:M536"/>
    <mergeCell ref="N535:N536"/>
    <mergeCell ref="O531:O532"/>
    <mergeCell ref="P531:P532"/>
    <mergeCell ref="A533:A534"/>
    <mergeCell ref="A535:B536"/>
    <mergeCell ref="C535:C536"/>
    <mergeCell ref="D535:D536"/>
    <mergeCell ref="E535:E536"/>
    <mergeCell ref="F535:F536"/>
    <mergeCell ref="G535:G536"/>
    <mergeCell ref="H535:H536"/>
    <mergeCell ref="I531:I532"/>
    <mergeCell ref="J531:J532"/>
    <mergeCell ref="K531:K532"/>
    <mergeCell ref="L531:L532"/>
    <mergeCell ref="M531:M532"/>
    <mergeCell ref="N531:N532"/>
    <mergeCell ref="O522:O523"/>
    <mergeCell ref="P522:P523"/>
    <mergeCell ref="A524:A530"/>
    <mergeCell ref="A531:B532"/>
    <mergeCell ref="C531:C532"/>
    <mergeCell ref="D531:D532"/>
    <mergeCell ref="E531:E532"/>
    <mergeCell ref="F531:F532"/>
    <mergeCell ref="G531:G532"/>
    <mergeCell ref="H531:H532"/>
    <mergeCell ref="I522:I523"/>
    <mergeCell ref="J522:J523"/>
    <mergeCell ref="K522:K523"/>
    <mergeCell ref="L522:L523"/>
    <mergeCell ref="M522:M523"/>
    <mergeCell ref="N522:N523"/>
    <mergeCell ref="O512:O513"/>
    <mergeCell ref="P512:P513"/>
    <mergeCell ref="A514:A521"/>
    <mergeCell ref="A522:B523"/>
    <mergeCell ref="C522:C523"/>
    <mergeCell ref="D522:D523"/>
    <mergeCell ref="E522:E523"/>
    <mergeCell ref="F522:F523"/>
    <mergeCell ref="G522:G523"/>
    <mergeCell ref="H522:H523"/>
    <mergeCell ref="I512:I513"/>
    <mergeCell ref="J512:J513"/>
    <mergeCell ref="K512:K513"/>
    <mergeCell ref="L512:L513"/>
    <mergeCell ref="M512:M513"/>
    <mergeCell ref="N512:N513"/>
    <mergeCell ref="O508:O509"/>
    <mergeCell ref="P508:P509"/>
    <mergeCell ref="A510:A511"/>
    <mergeCell ref="A512:B513"/>
    <mergeCell ref="C512:C513"/>
    <mergeCell ref="D512:D513"/>
    <mergeCell ref="E512:E513"/>
    <mergeCell ref="F512:F513"/>
    <mergeCell ref="G512:G513"/>
    <mergeCell ref="H512:H513"/>
    <mergeCell ref="I508:I509"/>
    <mergeCell ref="J508:J509"/>
    <mergeCell ref="K508:K509"/>
    <mergeCell ref="L508:L509"/>
    <mergeCell ref="M508:M509"/>
    <mergeCell ref="N508:N509"/>
    <mergeCell ref="O502:O503"/>
    <mergeCell ref="P502:P503"/>
    <mergeCell ref="A504:A507"/>
    <mergeCell ref="A508:B509"/>
    <mergeCell ref="C508:C509"/>
    <mergeCell ref="D508:D509"/>
    <mergeCell ref="E508:E509"/>
    <mergeCell ref="F508:F509"/>
    <mergeCell ref="G508:G509"/>
    <mergeCell ref="H508:H509"/>
    <mergeCell ref="I502:I503"/>
    <mergeCell ref="J502:J503"/>
    <mergeCell ref="K502:K503"/>
    <mergeCell ref="L502:L503"/>
    <mergeCell ref="M502:M503"/>
    <mergeCell ref="N502:N503"/>
    <mergeCell ref="O494:O495"/>
    <mergeCell ref="P494:P495"/>
    <mergeCell ref="A496:A501"/>
    <mergeCell ref="A502:B503"/>
    <mergeCell ref="C502:C503"/>
    <mergeCell ref="D502:D503"/>
    <mergeCell ref="E502:E503"/>
    <mergeCell ref="F502:F503"/>
    <mergeCell ref="G502:G503"/>
    <mergeCell ref="H502:H503"/>
    <mergeCell ref="I494:I495"/>
    <mergeCell ref="J494:J495"/>
    <mergeCell ref="K494:K495"/>
    <mergeCell ref="L494:L495"/>
    <mergeCell ref="M494:M495"/>
    <mergeCell ref="N494:N495"/>
    <mergeCell ref="O480:O481"/>
    <mergeCell ref="P480:P481"/>
    <mergeCell ref="A482:A493"/>
    <mergeCell ref="A494:B495"/>
    <mergeCell ref="C494:C495"/>
    <mergeCell ref="D494:D495"/>
    <mergeCell ref="E494:E495"/>
    <mergeCell ref="F494:F495"/>
    <mergeCell ref="G494:G495"/>
    <mergeCell ref="H494:H495"/>
    <mergeCell ref="I480:I481"/>
    <mergeCell ref="J480:J481"/>
    <mergeCell ref="K480:K481"/>
    <mergeCell ref="L480:L481"/>
    <mergeCell ref="M480:M481"/>
    <mergeCell ref="N480:N481"/>
    <mergeCell ref="P469:P470"/>
    <mergeCell ref="A471:A472"/>
    <mergeCell ref="A478:P478"/>
    <mergeCell ref="A480:B481"/>
    <mergeCell ref="C480:C481"/>
    <mergeCell ref="D480:D481"/>
    <mergeCell ref="E480:E481"/>
    <mergeCell ref="F480:F481"/>
    <mergeCell ref="G480:G481"/>
    <mergeCell ref="H480:H481"/>
    <mergeCell ref="J469:J470"/>
    <mergeCell ref="K469:K470"/>
    <mergeCell ref="L469:L470"/>
    <mergeCell ref="M469:M470"/>
    <mergeCell ref="N469:N470"/>
    <mergeCell ref="O469:O470"/>
    <mergeCell ref="O464:O465"/>
    <mergeCell ref="P464:P465"/>
    <mergeCell ref="A469:B470"/>
    <mergeCell ref="C469:C470"/>
    <mergeCell ref="D469:D470"/>
    <mergeCell ref="E469:E470"/>
    <mergeCell ref="F469:F470"/>
    <mergeCell ref="G469:G470"/>
    <mergeCell ref="H469:H470"/>
    <mergeCell ref="I469:I470"/>
    <mergeCell ref="I464:I465"/>
    <mergeCell ref="J464:J465"/>
    <mergeCell ref="K464:K465"/>
    <mergeCell ref="L464:L465"/>
    <mergeCell ref="M464:M465"/>
    <mergeCell ref="N464:N465"/>
    <mergeCell ref="N458:N459"/>
    <mergeCell ref="O458:O459"/>
    <mergeCell ref="P458:P459"/>
    <mergeCell ref="A464:B465"/>
    <mergeCell ref="C464:C465"/>
    <mergeCell ref="D464:D465"/>
    <mergeCell ref="E464:E465"/>
    <mergeCell ref="F464:F465"/>
    <mergeCell ref="G464:G465"/>
    <mergeCell ref="H464:H465"/>
    <mergeCell ref="H458:H459"/>
    <mergeCell ref="I458:I459"/>
    <mergeCell ref="J458:J459"/>
    <mergeCell ref="K458:K459"/>
    <mergeCell ref="L458:L459"/>
    <mergeCell ref="M458:M459"/>
    <mergeCell ref="N454:N455"/>
    <mergeCell ref="O454:O455"/>
    <mergeCell ref="P454:P455"/>
    <mergeCell ref="A456:A457"/>
    <mergeCell ref="A458:B459"/>
    <mergeCell ref="C458:C459"/>
    <mergeCell ref="D458:D459"/>
    <mergeCell ref="E458:E459"/>
    <mergeCell ref="F458:F459"/>
    <mergeCell ref="G458:G459"/>
    <mergeCell ref="H454:H455"/>
    <mergeCell ref="I454:I455"/>
    <mergeCell ref="J454:J455"/>
    <mergeCell ref="K454:K455"/>
    <mergeCell ref="L454:L455"/>
    <mergeCell ref="M454:M455"/>
    <mergeCell ref="N445:N446"/>
    <mergeCell ref="O445:O446"/>
    <mergeCell ref="P445:P446"/>
    <mergeCell ref="A447:A453"/>
    <mergeCell ref="A454:B455"/>
    <mergeCell ref="C454:C455"/>
    <mergeCell ref="D454:D455"/>
    <mergeCell ref="E454:E455"/>
    <mergeCell ref="F454:F455"/>
    <mergeCell ref="G454:G455"/>
    <mergeCell ref="H445:H446"/>
    <mergeCell ref="I445:I446"/>
    <mergeCell ref="J445:J446"/>
    <mergeCell ref="K445:K446"/>
    <mergeCell ref="L445:L446"/>
    <mergeCell ref="M445:M446"/>
    <mergeCell ref="N435:N436"/>
    <mergeCell ref="O435:O436"/>
    <mergeCell ref="P435:P436"/>
    <mergeCell ref="A437:A444"/>
    <mergeCell ref="A445:B446"/>
    <mergeCell ref="C445:C446"/>
    <mergeCell ref="D445:D446"/>
    <mergeCell ref="E445:E446"/>
    <mergeCell ref="F445:F446"/>
    <mergeCell ref="G445:G446"/>
    <mergeCell ref="H435:H436"/>
    <mergeCell ref="I435:I436"/>
    <mergeCell ref="J435:J436"/>
    <mergeCell ref="K435:K436"/>
    <mergeCell ref="L435:L436"/>
    <mergeCell ref="M435:M436"/>
    <mergeCell ref="N431:N432"/>
    <mergeCell ref="O431:O432"/>
    <mergeCell ref="P431:P432"/>
    <mergeCell ref="A433:A434"/>
    <mergeCell ref="A435:B436"/>
    <mergeCell ref="C435:C436"/>
    <mergeCell ref="D435:D436"/>
    <mergeCell ref="E435:E436"/>
    <mergeCell ref="F435:F436"/>
    <mergeCell ref="G435:G436"/>
    <mergeCell ref="H431:H432"/>
    <mergeCell ref="I431:I432"/>
    <mergeCell ref="J431:J432"/>
    <mergeCell ref="K431:K432"/>
    <mergeCell ref="L431:L432"/>
    <mergeCell ref="M431:M432"/>
    <mergeCell ref="N425:N426"/>
    <mergeCell ref="O425:O426"/>
    <mergeCell ref="P425:P426"/>
    <mergeCell ref="A427:A430"/>
    <mergeCell ref="A431:B432"/>
    <mergeCell ref="C431:C432"/>
    <mergeCell ref="D431:D432"/>
    <mergeCell ref="E431:E432"/>
    <mergeCell ref="F431:F432"/>
    <mergeCell ref="G431:G432"/>
    <mergeCell ref="H425:H426"/>
    <mergeCell ref="I425:I426"/>
    <mergeCell ref="J425:J426"/>
    <mergeCell ref="K425:K426"/>
    <mergeCell ref="L425:L426"/>
    <mergeCell ref="M425:M426"/>
    <mergeCell ref="N417:N418"/>
    <mergeCell ref="O417:O418"/>
    <mergeCell ref="P417:P418"/>
    <mergeCell ref="A419:A424"/>
    <mergeCell ref="A425:B426"/>
    <mergeCell ref="C425:C426"/>
    <mergeCell ref="D425:D426"/>
    <mergeCell ref="E425:E426"/>
    <mergeCell ref="F425:F426"/>
    <mergeCell ref="G425:G426"/>
    <mergeCell ref="H417:H418"/>
    <mergeCell ref="I417:I418"/>
    <mergeCell ref="J417:J418"/>
    <mergeCell ref="K417:K418"/>
    <mergeCell ref="L417:L418"/>
    <mergeCell ref="M417:M418"/>
    <mergeCell ref="N403:N404"/>
    <mergeCell ref="O403:O404"/>
    <mergeCell ref="P403:P404"/>
    <mergeCell ref="A405:A416"/>
    <mergeCell ref="A417:B418"/>
    <mergeCell ref="C417:C418"/>
    <mergeCell ref="D417:D418"/>
    <mergeCell ref="E417:E418"/>
    <mergeCell ref="F417:F418"/>
    <mergeCell ref="G417:G418"/>
    <mergeCell ref="H403:H404"/>
    <mergeCell ref="I403:I404"/>
    <mergeCell ref="J403:J404"/>
    <mergeCell ref="K403:K404"/>
    <mergeCell ref="L403:L404"/>
    <mergeCell ref="M403:M404"/>
    <mergeCell ref="O392:O393"/>
    <mergeCell ref="P392:P393"/>
    <mergeCell ref="A394:A395"/>
    <mergeCell ref="A401:P401"/>
    <mergeCell ref="A403:B404"/>
    <mergeCell ref="C403:C404"/>
    <mergeCell ref="D403:D404"/>
    <mergeCell ref="E403:E404"/>
    <mergeCell ref="F403:F404"/>
    <mergeCell ref="G403:G404"/>
    <mergeCell ref="I392:I393"/>
    <mergeCell ref="J392:J393"/>
    <mergeCell ref="K392:K393"/>
    <mergeCell ref="L392:L393"/>
    <mergeCell ref="M392:M393"/>
    <mergeCell ref="N392:N393"/>
    <mergeCell ref="N387:N388"/>
    <mergeCell ref="O387:O388"/>
    <mergeCell ref="P387:P388"/>
    <mergeCell ref="A392:B393"/>
    <mergeCell ref="C392:C393"/>
    <mergeCell ref="D392:D393"/>
    <mergeCell ref="E392:E393"/>
    <mergeCell ref="F392:F393"/>
    <mergeCell ref="G392:G393"/>
    <mergeCell ref="H392:H393"/>
    <mergeCell ref="H387:H388"/>
    <mergeCell ref="I387:I388"/>
    <mergeCell ref="J387:J388"/>
    <mergeCell ref="K387:K388"/>
    <mergeCell ref="L387:L388"/>
    <mergeCell ref="M387:M388"/>
    <mergeCell ref="M381:M382"/>
    <mergeCell ref="N381:N382"/>
    <mergeCell ref="O381:O382"/>
    <mergeCell ref="P381:P382"/>
    <mergeCell ref="A387:B388"/>
    <mergeCell ref="C387:C388"/>
    <mergeCell ref="D387:D388"/>
    <mergeCell ref="E387:E388"/>
    <mergeCell ref="F387:F388"/>
    <mergeCell ref="G387:G388"/>
    <mergeCell ref="G381:G382"/>
    <mergeCell ref="H381:H382"/>
    <mergeCell ref="I381:I382"/>
    <mergeCell ref="J381:J382"/>
    <mergeCell ref="K381:K382"/>
    <mergeCell ref="L381:L382"/>
    <mergeCell ref="M377:M378"/>
    <mergeCell ref="N377:N378"/>
    <mergeCell ref="O377:O378"/>
    <mergeCell ref="P377:P378"/>
    <mergeCell ref="A379:A380"/>
    <mergeCell ref="A381:B382"/>
    <mergeCell ref="C381:C382"/>
    <mergeCell ref="D381:D382"/>
    <mergeCell ref="E381:E382"/>
    <mergeCell ref="F381:F382"/>
    <mergeCell ref="G377:G378"/>
    <mergeCell ref="H377:H378"/>
    <mergeCell ref="I377:I378"/>
    <mergeCell ref="J377:J378"/>
    <mergeCell ref="K377:K378"/>
    <mergeCell ref="L377:L378"/>
    <mergeCell ref="M360:M361"/>
    <mergeCell ref="N360:N361"/>
    <mergeCell ref="O360:O361"/>
    <mergeCell ref="P360:P361"/>
    <mergeCell ref="A362:A368"/>
    <mergeCell ref="A377:B378"/>
    <mergeCell ref="C377:C378"/>
    <mergeCell ref="D377:D378"/>
    <mergeCell ref="E377:E378"/>
    <mergeCell ref="F377:F378"/>
    <mergeCell ref="G360:G361"/>
    <mergeCell ref="H360:H361"/>
    <mergeCell ref="I360:I361"/>
    <mergeCell ref="J360:J361"/>
    <mergeCell ref="K360:K361"/>
    <mergeCell ref="L360:L361"/>
    <mergeCell ref="M350:M351"/>
    <mergeCell ref="N350:N351"/>
    <mergeCell ref="O350:O351"/>
    <mergeCell ref="P350:P351"/>
    <mergeCell ref="A352:A359"/>
    <mergeCell ref="A360:B361"/>
    <mergeCell ref="C360:C361"/>
    <mergeCell ref="D360:D361"/>
    <mergeCell ref="E360:E361"/>
    <mergeCell ref="F360:F361"/>
    <mergeCell ref="G350:G351"/>
    <mergeCell ref="H350:H351"/>
    <mergeCell ref="I350:I351"/>
    <mergeCell ref="J350:J351"/>
    <mergeCell ref="K350:K351"/>
    <mergeCell ref="L350:L351"/>
    <mergeCell ref="M346:M347"/>
    <mergeCell ref="N346:N347"/>
    <mergeCell ref="O346:O347"/>
    <mergeCell ref="P346:P347"/>
    <mergeCell ref="A348:A349"/>
    <mergeCell ref="A350:B351"/>
    <mergeCell ref="C350:C351"/>
    <mergeCell ref="D350:D351"/>
    <mergeCell ref="E350:E351"/>
    <mergeCell ref="F350:F351"/>
    <mergeCell ref="G346:G347"/>
    <mergeCell ref="H346:H347"/>
    <mergeCell ref="I346:I347"/>
    <mergeCell ref="J346:J347"/>
    <mergeCell ref="K346:K347"/>
    <mergeCell ref="L346:L347"/>
    <mergeCell ref="M340:M341"/>
    <mergeCell ref="N340:N341"/>
    <mergeCell ref="O340:O341"/>
    <mergeCell ref="P340:P341"/>
    <mergeCell ref="A342:A345"/>
    <mergeCell ref="A346:B347"/>
    <mergeCell ref="C346:C347"/>
    <mergeCell ref="D346:D347"/>
    <mergeCell ref="E346:E347"/>
    <mergeCell ref="F346:F347"/>
    <mergeCell ref="G340:G341"/>
    <mergeCell ref="H340:H341"/>
    <mergeCell ref="I340:I341"/>
    <mergeCell ref="J340:J341"/>
    <mergeCell ref="K340:K341"/>
    <mergeCell ref="L340:L341"/>
    <mergeCell ref="M332:M333"/>
    <mergeCell ref="N332:N333"/>
    <mergeCell ref="O332:O333"/>
    <mergeCell ref="P332:P333"/>
    <mergeCell ref="A334:A339"/>
    <mergeCell ref="A340:B341"/>
    <mergeCell ref="C340:C341"/>
    <mergeCell ref="D340:D341"/>
    <mergeCell ref="E340:E341"/>
    <mergeCell ref="F340:F341"/>
    <mergeCell ref="G332:G333"/>
    <mergeCell ref="H332:H333"/>
    <mergeCell ref="I332:I333"/>
    <mergeCell ref="J332:J333"/>
    <mergeCell ref="K332:K333"/>
    <mergeCell ref="L332:L333"/>
    <mergeCell ref="M318:M319"/>
    <mergeCell ref="N318:N319"/>
    <mergeCell ref="O318:O319"/>
    <mergeCell ref="P318:P319"/>
    <mergeCell ref="A320:A331"/>
    <mergeCell ref="A332:B333"/>
    <mergeCell ref="C332:C333"/>
    <mergeCell ref="D332:D333"/>
    <mergeCell ref="E332:E333"/>
    <mergeCell ref="F332:F333"/>
    <mergeCell ref="G318:G319"/>
    <mergeCell ref="H318:H319"/>
    <mergeCell ref="I318:I319"/>
    <mergeCell ref="J318:J319"/>
    <mergeCell ref="K318:K319"/>
    <mergeCell ref="L318:L319"/>
    <mergeCell ref="N308:N309"/>
    <mergeCell ref="O308:O309"/>
    <mergeCell ref="P308:P309"/>
    <mergeCell ref="A310:A311"/>
    <mergeCell ref="A316:P316"/>
    <mergeCell ref="A318:B319"/>
    <mergeCell ref="C318:C319"/>
    <mergeCell ref="D318:D319"/>
    <mergeCell ref="E318:E319"/>
    <mergeCell ref="F318:F319"/>
    <mergeCell ref="H308:H309"/>
    <mergeCell ref="I308:I309"/>
    <mergeCell ref="J308:J309"/>
    <mergeCell ref="K308:K309"/>
    <mergeCell ref="L308:L309"/>
    <mergeCell ref="M308:M309"/>
    <mergeCell ref="A308:B309"/>
    <mergeCell ref="C308:C309"/>
    <mergeCell ref="D308:D309"/>
    <mergeCell ref="E308:E309"/>
    <mergeCell ref="F308:F309"/>
    <mergeCell ref="G308:G309"/>
    <mergeCell ref="D303:D304"/>
    <mergeCell ref="E303:E304"/>
    <mergeCell ref="F303:F304"/>
    <mergeCell ref="G303:G304"/>
    <mergeCell ref="H303:H304"/>
    <mergeCell ref="I303:I304"/>
    <mergeCell ref="J303:J304"/>
    <mergeCell ref="J297:J298"/>
    <mergeCell ref="K297:K298"/>
    <mergeCell ref="L297:L298"/>
    <mergeCell ref="M297:M298"/>
    <mergeCell ref="N297:N298"/>
    <mergeCell ref="O297:O298"/>
    <mergeCell ref="A297:B298"/>
    <mergeCell ref="C297:C298"/>
    <mergeCell ref="D297:D298"/>
    <mergeCell ref="E297:E298"/>
    <mergeCell ref="F297:F298"/>
    <mergeCell ref="G297:G298"/>
    <mergeCell ref="H297:H298"/>
    <mergeCell ref="I297:I298"/>
    <mergeCell ref="P276:P277"/>
    <mergeCell ref="A278:A284"/>
    <mergeCell ref="A293:B294"/>
    <mergeCell ref="C293:C294"/>
    <mergeCell ref="D293:D294"/>
    <mergeCell ref="E293:E294"/>
    <mergeCell ref="F293:F294"/>
    <mergeCell ref="G293:G294"/>
    <mergeCell ref="H293:H294"/>
    <mergeCell ref="I293:I294"/>
    <mergeCell ref="J276:J277"/>
    <mergeCell ref="K276:K277"/>
    <mergeCell ref="L276:L277"/>
    <mergeCell ref="M276:M277"/>
    <mergeCell ref="N276:N277"/>
    <mergeCell ref="O276:O277"/>
    <mergeCell ref="A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N285:N286"/>
    <mergeCell ref="O285:O286"/>
    <mergeCell ref="P285:P286"/>
    <mergeCell ref="A287:A292"/>
    <mergeCell ref="P266:P267"/>
    <mergeCell ref="A268:A275"/>
    <mergeCell ref="A276:B277"/>
    <mergeCell ref="C276:C277"/>
    <mergeCell ref="D276:D277"/>
    <mergeCell ref="E276:E277"/>
    <mergeCell ref="F276:F277"/>
    <mergeCell ref="G276:G277"/>
    <mergeCell ref="H276:H277"/>
    <mergeCell ref="I276:I277"/>
    <mergeCell ref="J266:J267"/>
    <mergeCell ref="K266:K267"/>
    <mergeCell ref="L266:L267"/>
    <mergeCell ref="M266:M267"/>
    <mergeCell ref="N266:N267"/>
    <mergeCell ref="O266:O267"/>
    <mergeCell ref="P262:P263"/>
    <mergeCell ref="A264:A265"/>
    <mergeCell ref="A266:B267"/>
    <mergeCell ref="C266:C267"/>
    <mergeCell ref="D266:D267"/>
    <mergeCell ref="E266:E267"/>
    <mergeCell ref="F266:F267"/>
    <mergeCell ref="G266:G267"/>
    <mergeCell ref="H266:H267"/>
    <mergeCell ref="I266:I267"/>
    <mergeCell ref="J262:J263"/>
    <mergeCell ref="K262:K263"/>
    <mergeCell ref="L262:L263"/>
    <mergeCell ref="M262:M263"/>
    <mergeCell ref="N262:N263"/>
    <mergeCell ref="O262:O263"/>
    <mergeCell ref="P256:P257"/>
    <mergeCell ref="A258:A261"/>
    <mergeCell ref="A262:B263"/>
    <mergeCell ref="C262:C263"/>
    <mergeCell ref="D262:D263"/>
    <mergeCell ref="E262:E263"/>
    <mergeCell ref="F262:F263"/>
    <mergeCell ref="G262:G263"/>
    <mergeCell ref="H262:H263"/>
    <mergeCell ref="I262:I263"/>
    <mergeCell ref="J256:J257"/>
    <mergeCell ref="K256:K257"/>
    <mergeCell ref="L256:L257"/>
    <mergeCell ref="M256:M257"/>
    <mergeCell ref="N256:N257"/>
    <mergeCell ref="O256:O257"/>
    <mergeCell ref="P248:P249"/>
    <mergeCell ref="A250:A255"/>
    <mergeCell ref="A256:B257"/>
    <mergeCell ref="C256:C257"/>
    <mergeCell ref="D256:D257"/>
    <mergeCell ref="E256:E257"/>
    <mergeCell ref="F256:F257"/>
    <mergeCell ref="G256:G257"/>
    <mergeCell ref="H256:H257"/>
    <mergeCell ref="I256:I257"/>
    <mergeCell ref="J248:J249"/>
    <mergeCell ref="K248:K249"/>
    <mergeCell ref="L248:L249"/>
    <mergeCell ref="M248:M249"/>
    <mergeCell ref="N248:N249"/>
    <mergeCell ref="O248:O249"/>
    <mergeCell ref="P234:P235"/>
    <mergeCell ref="A236:A247"/>
    <mergeCell ref="A248:B249"/>
    <mergeCell ref="C248:C249"/>
    <mergeCell ref="D248:D249"/>
    <mergeCell ref="E248:E249"/>
    <mergeCell ref="F248:F249"/>
    <mergeCell ref="G248:G249"/>
    <mergeCell ref="H248:H249"/>
    <mergeCell ref="I248:I249"/>
    <mergeCell ref="J234:J235"/>
    <mergeCell ref="K234:K235"/>
    <mergeCell ref="L234:L235"/>
    <mergeCell ref="M234:M235"/>
    <mergeCell ref="N234:N235"/>
    <mergeCell ref="O234:O235"/>
    <mergeCell ref="A225:A226"/>
    <mergeCell ref="A232:P232"/>
    <mergeCell ref="A234:B235"/>
    <mergeCell ref="C234:C235"/>
    <mergeCell ref="D234:D235"/>
    <mergeCell ref="E234:E235"/>
    <mergeCell ref="F234:F235"/>
    <mergeCell ref="G234:G235"/>
    <mergeCell ref="H234:H235"/>
    <mergeCell ref="I234:I235"/>
    <mergeCell ref="H212:H213"/>
    <mergeCell ref="I208:I209"/>
    <mergeCell ref="J208:J209"/>
    <mergeCell ref="K208:K209"/>
    <mergeCell ref="L208:L209"/>
    <mergeCell ref="M208:M209"/>
    <mergeCell ref="N208:N209"/>
    <mergeCell ref="K223:K224"/>
    <mergeCell ref="L223:L224"/>
    <mergeCell ref="M223:M224"/>
    <mergeCell ref="N223:N224"/>
    <mergeCell ref="O223:O224"/>
    <mergeCell ref="P223:P224"/>
    <mergeCell ref="P218:P219"/>
    <mergeCell ref="A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J218:J219"/>
    <mergeCell ref="K218:K219"/>
    <mergeCell ref="L218:L219"/>
    <mergeCell ref="M218:M219"/>
    <mergeCell ref="N218:N219"/>
    <mergeCell ref="O218:O219"/>
    <mergeCell ref="H199:H200"/>
    <mergeCell ref="I189:I190"/>
    <mergeCell ref="J189:J190"/>
    <mergeCell ref="K189:K190"/>
    <mergeCell ref="L189:L190"/>
    <mergeCell ref="M189:M190"/>
    <mergeCell ref="N189:N190"/>
    <mergeCell ref="O212:O213"/>
    <mergeCell ref="P212:P213"/>
    <mergeCell ref="A218:B219"/>
    <mergeCell ref="C218:C219"/>
    <mergeCell ref="D218:D219"/>
    <mergeCell ref="E218:E219"/>
    <mergeCell ref="F218:F219"/>
    <mergeCell ref="G218:G219"/>
    <mergeCell ref="H218:H219"/>
    <mergeCell ref="I218:I219"/>
    <mergeCell ref="I212:I213"/>
    <mergeCell ref="J212:J213"/>
    <mergeCell ref="K212:K213"/>
    <mergeCell ref="L212:L213"/>
    <mergeCell ref="M212:M213"/>
    <mergeCell ref="N212:N213"/>
    <mergeCell ref="O208:O209"/>
    <mergeCell ref="P208:P209"/>
    <mergeCell ref="A210:A211"/>
    <mergeCell ref="A212:B213"/>
    <mergeCell ref="C212:C213"/>
    <mergeCell ref="D212:D213"/>
    <mergeCell ref="E212:E213"/>
    <mergeCell ref="F212:F213"/>
    <mergeCell ref="G212:G213"/>
    <mergeCell ref="H185:H186"/>
    <mergeCell ref="I179:I180"/>
    <mergeCell ref="J179:J180"/>
    <mergeCell ref="K179:K180"/>
    <mergeCell ref="L179:L180"/>
    <mergeCell ref="M179:M180"/>
    <mergeCell ref="N179:N180"/>
    <mergeCell ref="O199:O200"/>
    <mergeCell ref="P199:P200"/>
    <mergeCell ref="A201:A207"/>
    <mergeCell ref="A208:B209"/>
    <mergeCell ref="C208:C209"/>
    <mergeCell ref="D208:D209"/>
    <mergeCell ref="E208:E209"/>
    <mergeCell ref="F208:F209"/>
    <mergeCell ref="G208:G209"/>
    <mergeCell ref="H208:H209"/>
    <mergeCell ref="I199:I200"/>
    <mergeCell ref="J199:J200"/>
    <mergeCell ref="K199:K200"/>
    <mergeCell ref="L199:L200"/>
    <mergeCell ref="M199:M200"/>
    <mergeCell ref="N199:N200"/>
    <mergeCell ref="O189:O190"/>
    <mergeCell ref="P189:P190"/>
    <mergeCell ref="A191:A198"/>
    <mergeCell ref="A199:B200"/>
    <mergeCell ref="C199:C200"/>
    <mergeCell ref="D199:D200"/>
    <mergeCell ref="E199:E200"/>
    <mergeCell ref="F199:F200"/>
    <mergeCell ref="G199:G200"/>
    <mergeCell ref="H171:H172"/>
    <mergeCell ref="I157:I158"/>
    <mergeCell ref="J157:J158"/>
    <mergeCell ref="K157:K158"/>
    <mergeCell ref="L157:L158"/>
    <mergeCell ref="M157:M158"/>
    <mergeCell ref="N157:N158"/>
    <mergeCell ref="O185:O186"/>
    <mergeCell ref="P185:P186"/>
    <mergeCell ref="A187:A188"/>
    <mergeCell ref="A189:B190"/>
    <mergeCell ref="C189:C190"/>
    <mergeCell ref="D189:D190"/>
    <mergeCell ref="E189:E190"/>
    <mergeCell ref="F189:F190"/>
    <mergeCell ref="G189:G190"/>
    <mergeCell ref="H189:H190"/>
    <mergeCell ref="I185:I186"/>
    <mergeCell ref="J185:J186"/>
    <mergeCell ref="K185:K186"/>
    <mergeCell ref="L185:L186"/>
    <mergeCell ref="M185:M186"/>
    <mergeCell ref="N185:N186"/>
    <mergeCell ref="O179:O180"/>
    <mergeCell ref="P179:P180"/>
    <mergeCell ref="A181:A184"/>
    <mergeCell ref="A185:B186"/>
    <mergeCell ref="C185:C186"/>
    <mergeCell ref="D185:D186"/>
    <mergeCell ref="E185:E186"/>
    <mergeCell ref="F185:F186"/>
    <mergeCell ref="G185:G186"/>
    <mergeCell ref="I146:I147"/>
    <mergeCell ref="I141:I142"/>
    <mergeCell ref="J141:J142"/>
    <mergeCell ref="K141:K142"/>
    <mergeCell ref="L141:L142"/>
    <mergeCell ref="M141:M142"/>
    <mergeCell ref="N141:N142"/>
    <mergeCell ref="O171:O172"/>
    <mergeCell ref="P171:P172"/>
    <mergeCell ref="A173:A178"/>
    <mergeCell ref="A179:B180"/>
    <mergeCell ref="C179:C180"/>
    <mergeCell ref="D179:D180"/>
    <mergeCell ref="E179:E180"/>
    <mergeCell ref="F179:F180"/>
    <mergeCell ref="G179:G180"/>
    <mergeCell ref="H179:H180"/>
    <mergeCell ref="I171:I172"/>
    <mergeCell ref="J171:J172"/>
    <mergeCell ref="K171:K172"/>
    <mergeCell ref="L171:L172"/>
    <mergeCell ref="M171:M172"/>
    <mergeCell ref="N171:N172"/>
    <mergeCell ref="O157:O158"/>
    <mergeCell ref="P157:P158"/>
    <mergeCell ref="A159:A170"/>
    <mergeCell ref="A171:B172"/>
    <mergeCell ref="C171:C172"/>
    <mergeCell ref="D171:D172"/>
    <mergeCell ref="E171:E172"/>
    <mergeCell ref="F171:F172"/>
    <mergeCell ref="G171:G172"/>
    <mergeCell ref="G135:G136"/>
    <mergeCell ref="H131:H132"/>
    <mergeCell ref="I131:I132"/>
    <mergeCell ref="J131:J132"/>
    <mergeCell ref="K131:K132"/>
    <mergeCell ref="L131:L132"/>
    <mergeCell ref="M131:M132"/>
    <mergeCell ref="P146:P147"/>
    <mergeCell ref="A148:A149"/>
    <mergeCell ref="A155:P155"/>
    <mergeCell ref="A157:B158"/>
    <mergeCell ref="C157:C158"/>
    <mergeCell ref="D157:D158"/>
    <mergeCell ref="E157:E158"/>
    <mergeCell ref="F157:F158"/>
    <mergeCell ref="G157:G158"/>
    <mergeCell ref="H157:H158"/>
    <mergeCell ref="J146:J147"/>
    <mergeCell ref="K146:K147"/>
    <mergeCell ref="L146:L147"/>
    <mergeCell ref="M146:M147"/>
    <mergeCell ref="N146:N147"/>
    <mergeCell ref="O146:O147"/>
    <mergeCell ref="O141:O142"/>
    <mergeCell ref="P141:P142"/>
    <mergeCell ref="A146:B147"/>
    <mergeCell ref="C146:C147"/>
    <mergeCell ref="D146:D147"/>
    <mergeCell ref="E146:E147"/>
    <mergeCell ref="F146:F147"/>
    <mergeCell ref="G146:G147"/>
    <mergeCell ref="H146:H147"/>
    <mergeCell ref="G122:G123"/>
    <mergeCell ref="H112:H113"/>
    <mergeCell ref="I112:I113"/>
    <mergeCell ref="J112:J113"/>
    <mergeCell ref="K112:K113"/>
    <mergeCell ref="L112:L113"/>
    <mergeCell ref="M112:M113"/>
    <mergeCell ref="N135:N136"/>
    <mergeCell ref="O135:O136"/>
    <mergeCell ref="P135:P136"/>
    <mergeCell ref="A141:B142"/>
    <mergeCell ref="C141:C142"/>
    <mergeCell ref="D141:D142"/>
    <mergeCell ref="E141:E142"/>
    <mergeCell ref="F141:F142"/>
    <mergeCell ref="G141:G142"/>
    <mergeCell ref="H141:H142"/>
    <mergeCell ref="H135:H136"/>
    <mergeCell ref="I135:I136"/>
    <mergeCell ref="J135:J136"/>
    <mergeCell ref="K135:K136"/>
    <mergeCell ref="L135:L136"/>
    <mergeCell ref="M135:M136"/>
    <mergeCell ref="N131:N132"/>
    <mergeCell ref="O131:O132"/>
    <mergeCell ref="P131:P132"/>
    <mergeCell ref="A133:A134"/>
    <mergeCell ref="A135:B136"/>
    <mergeCell ref="C135:C136"/>
    <mergeCell ref="D135:D136"/>
    <mergeCell ref="E135:E136"/>
    <mergeCell ref="F135:F136"/>
    <mergeCell ref="G108:G109"/>
    <mergeCell ref="H102:H103"/>
    <mergeCell ref="I102:I103"/>
    <mergeCell ref="J102:J103"/>
    <mergeCell ref="K102:K103"/>
    <mergeCell ref="L102:L103"/>
    <mergeCell ref="M102:M103"/>
    <mergeCell ref="N122:N123"/>
    <mergeCell ref="O122:O123"/>
    <mergeCell ref="P122:P123"/>
    <mergeCell ref="A124:A130"/>
    <mergeCell ref="A131:B132"/>
    <mergeCell ref="C131:C132"/>
    <mergeCell ref="D131:D132"/>
    <mergeCell ref="E131:E132"/>
    <mergeCell ref="F131:F132"/>
    <mergeCell ref="G131:G132"/>
    <mergeCell ref="H122:H123"/>
    <mergeCell ref="I122:I123"/>
    <mergeCell ref="J122:J123"/>
    <mergeCell ref="K122:K123"/>
    <mergeCell ref="L122:L123"/>
    <mergeCell ref="M122:M123"/>
    <mergeCell ref="N112:N113"/>
    <mergeCell ref="O112:O113"/>
    <mergeCell ref="P112:P113"/>
    <mergeCell ref="A114:A121"/>
    <mergeCell ref="A122:B123"/>
    <mergeCell ref="C122:C123"/>
    <mergeCell ref="D122:D123"/>
    <mergeCell ref="E122:E123"/>
    <mergeCell ref="F122:F123"/>
    <mergeCell ref="G94:G95"/>
    <mergeCell ref="H80:H81"/>
    <mergeCell ref="I80:I81"/>
    <mergeCell ref="J80:J81"/>
    <mergeCell ref="K80:K81"/>
    <mergeCell ref="L80:L81"/>
    <mergeCell ref="M80:M81"/>
    <mergeCell ref="N108:N109"/>
    <mergeCell ref="O108:O109"/>
    <mergeCell ref="P108:P109"/>
    <mergeCell ref="A110:A111"/>
    <mergeCell ref="A112:B113"/>
    <mergeCell ref="C112:C113"/>
    <mergeCell ref="D112:D113"/>
    <mergeCell ref="E112:E113"/>
    <mergeCell ref="F112:F113"/>
    <mergeCell ref="G112:G113"/>
    <mergeCell ref="H108:H109"/>
    <mergeCell ref="I108:I109"/>
    <mergeCell ref="J108:J109"/>
    <mergeCell ref="K108:K109"/>
    <mergeCell ref="L108:L109"/>
    <mergeCell ref="M108:M109"/>
    <mergeCell ref="N102:N103"/>
    <mergeCell ref="O102:O103"/>
    <mergeCell ref="P102:P103"/>
    <mergeCell ref="A104:A107"/>
    <mergeCell ref="A108:B109"/>
    <mergeCell ref="C108:C109"/>
    <mergeCell ref="D108:D109"/>
    <mergeCell ref="E108:E109"/>
    <mergeCell ref="F108:F109"/>
    <mergeCell ref="H71:H72"/>
    <mergeCell ref="H66:H67"/>
    <mergeCell ref="I66:I67"/>
    <mergeCell ref="J66:J67"/>
    <mergeCell ref="K66:K67"/>
    <mergeCell ref="L66:L67"/>
    <mergeCell ref="M66:M67"/>
    <mergeCell ref="N94:N95"/>
    <mergeCell ref="O94:O95"/>
    <mergeCell ref="P94:P95"/>
    <mergeCell ref="A96:A101"/>
    <mergeCell ref="A102:B103"/>
    <mergeCell ref="C102:C103"/>
    <mergeCell ref="D102:D103"/>
    <mergeCell ref="E102:E103"/>
    <mergeCell ref="F102:F103"/>
    <mergeCell ref="G102:G103"/>
    <mergeCell ref="H94:H95"/>
    <mergeCell ref="I94:I95"/>
    <mergeCell ref="J94:J95"/>
    <mergeCell ref="K94:K95"/>
    <mergeCell ref="L94:L95"/>
    <mergeCell ref="M94:M95"/>
    <mergeCell ref="N80:N81"/>
    <mergeCell ref="O80:O81"/>
    <mergeCell ref="P80:P81"/>
    <mergeCell ref="A82:A93"/>
    <mergeCell ref="A94:B95"/>
    <mergeCell ref="C94:C95"/>
    <mergeCell ref="D94:D95"/>
    <mergeCell ref="E94:E95"/>
    <mergeCell ref="F94:F95"/>
    <mergeCell ref="F60:F61"/>
    <mergeCell ref="G56:G57"/>
    <mergeCell ref="H56:H57"/>
    <mergeCell ref="I56:I57"/>
    <mergeCell ref="J56:J57"/>
    <mergeCell ref="K56:K57"/>
    <mergeCell ref="L56:L57"/>
    <mergeCell ref="O71:O72"/>
    <mergeCell ref="P71:P72"/>
    <mergeCell ref="A73:A74"/>
    <mergeCell ref="A78:P78"/>
    <mergeCell ref="A80:B81"/>
    <mergeCell ref="C80:C81"/>
    <mergeCell ref="D80:D81"/>
    <mergeCell ref="E80:E81"/>
    <mergeCell ref="F80:F81"/>
    <mergeCell ref="G80:G81"/>
    <mergeCell ref="I71:I72"/>
    <mergeCell ref="J71:J72"/>
    <mergeCell ref="K71:K72"/>
    <mergeCell ref="L71:L72"/>
    <mergeCell ref="M71:M72"/>
    <mergeCell ref="N71:N72"/>
    <mergeCell ref="N66:N67"/>
    <mergeCell ref="O66:O67"/>
    <mergeCell ref="P66:P67"/>
    <mergeCell ref="A71:B72"/>
    <mergeCell ref="C71:C72"/>
    <mergeCell ref="D71:D72"/>
    <mergeCell ref="E71:E72"/>
    <mergeCell ref="F71:F72"/>
    <mergeCell ref="G71:G72"/>
    <mergeCell ref="F47:F48"/>
    <mergeCell ref="G37:G38"/>
    <mergeCell ref="H37:H38"/>
    <mergeCell ref="I37:I38"/>
    <mergeCell ref="J37:J38"/>
    <mergeCell ref="K37:K38"/>
    <mergeCell ref="L37:L38"/>
    <mergeCell ref="M60:M61"/>
    <mergeCell ref="N60:N61"/>
    <mergeCell ref="O60:O61"/>
    <mergeCell ref="P60:P61"/>
    <mergeCell ref="A66:B67"/>
    <mergeCell ref="C66:C67"/>
    <mergeCell ref="D66:D67"/>
    <mergeCell ref="E66:E67"/>
    <mergeCell ref="F66:F67"/>
    <mergeCell ref="G66:G67"/>
    <mergeCell ref="G60:G61"/>
    <mergeCell ref="H60:H61"/>
    <mergeCell ref="I60:I61"/>
    <mergeCell ref="J60:J61"/>
    <mergeCell ref="K60:K61"/>
    <mergeCell ref="L60:L61"/>
    <mergeCell ref="M56:M57"/>
    <mergeCell ref="N56:N57"/>
    <mergeCell ref="O56:O57"/>
    <mergeCell ref="P56:P57"/>
    <mergeCell ref="A58:A59"/>
    <mergeCell ref="A60:B61"/>
    <mergeCell ref="C60:C61"/>
    <mergeCell ref="D60:D61"/>
    <mergeCell ref="E60:E61"/>
    <mergeCell ref="F33:F34"/>
    <mergeCell ref="G27:G28"/>
    <mergeCell ref="H27:H28"/>
    <mergeCell ref="I27:I28"/>
    <mergeCell ref="J27:J28"/>
    <mergeCell ref="K27:K28"/>
    <mergeCell ref="L27:L28"/>
    <mergeCell ref="M47:M48"/>
    <mergeCell ref="N47:N48"/>
    <mergeCell ref="O47:O48"/>
    <mergeCell ref="P47:P48"/>
    <mergeCell ref="A49:A55"/>
    <mergeCell ref="A56:B57"/>
    <mergeCell ref="C56:C57"/>
    <mergeCell ref="D56:D57"/>
    <mergeCell ref="E56:E57"/>
    <mergeCell ref="F56:F57"/>
    <mergeCell ref="G47:G48"/>
    <mergeCell ref="H47:H48"/>
    <mergeCell ref="I47:I48"/>
    <mergeCell ref="J47:J48"/>
    <mergeCell ref="K47:K48"/>
    <mergeCell ref="L47:L48"/>
    <mergeCell ref="M37:M38"/>
    <mergeCell ref="N37:N38"/>
    <mergeCell ref="O37:O38"/>
    <mergeCell ref="P37:P38"/>
    <mergeCell ref="A39:A46"/>
    <mergeCell ref="A47:B48"/>
    <mergeCell ref="C47:C48"/>
    <mergeCell ref="D47:D48"/>
    <mergeCell ref="E47:E48"/>
    <mergeCell ref="A3:P3"/>
    <mergeCell ref="A5:B6"/>
    <mergeCell ref="C5:C6"/>
    <mergeCell ref="D5:D6"/>
    <mergeCell ref="E5:E6"/>
    <mergeCell ref="F5:F6"/>
    <mergeCell ref="G5:G6"/>
    <mergeCell ref="H5:H6"/>
    <mergeCell ref="I5:I6"/>
    <mergeCell ref="J5:J6"/>
    <mergeCell ref="M19:M20"/>
    <mergeCell ref="N19:N20"/>
    <mergeCell ref="O19:O20"/>
    <mergeCell ref="P19:P20"/>
    <mergeCell ref="A21:A26"/>
    <mergeCell ref="A27:B28"/>
    <mergeCell ref="C27:C28"/>
    <mergeCell ref="D27:D28"/>
    <mergeCell ref="E27:E28"/>
    <mergeCell ref="F27:F28"/>
    <mergeCell ref="G19:G20"/>
    <mergeCell ref="H19:H20"/>
    <mergeCell ref="I19:I20"/>
    <mergeCell ref="J19:J20"/>
    <mergeCell ref="K19:K20"/>
    <mergeCell ref="L19:L20"/>
    <mergeCell ref="A7:A18"/>
    <mergeCell ref="A19:B20"/>
    <mergeCell ref="C19:C20"/>
    <mergeCell ref="D19:D20"/>
    <mergeCell ref="E19:E20"/>
    <mergeCell ref="F19:F20"/>
    <mergeCell ref="A371:A376"/>
    <mergeCell ref="K5:K6"/>
    <mergeCell ref="L5:L6"/>
    <mergeCell ref="M5:M6"/>
    <mergeCell ref="N5:N6"/>
    <mergeCell ref="O5:O6"/>
    <mergeCell ref="P5:P6"/>
    <mergeCell ref="M33:M34"/>
    <mergeCell ref="N33:N34"/>
    <mergeCell ref="O33:O34"/>
    <mergeCell ref="P33:P34"/>
    <mergeCell ref="A35:A36"/>
    <mergeCell ref="A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M27:M28"/>
    <mergeCell ref="N27:N28"/>
    <mergeCell ref="O27:O28"/>
    <mergeCell ref="P27:P28"/>
    <mergeCell ref="A29:A32"/>
    <mergeCell ref="A33:B34"/>
    <mergeCell ref="C33:C34"/>
    <mergeCell ref="D33:D34"/>
    <mergeCell ref="E33:E34"/>
    <mergeCell ref="A369:B370"/>
    <mergeCell ref="C369:C370"/>
    <mergeCell ref="D369:D370"/>
    <mergeCell ref="E369:E370"/>
    <mergeCell ref="F369:F370"/>
    <mergeCell ref="G369:G370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P369:P370"/>
    <mergeCell ref="P293:P294"/>
    <mergeCell ref="A295:A296"/>
    <mergeCell ref="J293:J294"/>
    <mergeCell ref="K293:K294"/>
    <mergeCell ref="L293:L294"/>
    <mergeCell ref="M293:M294"/>
    <mergeCell ref="N293:N294"/>
    <mergeCell ref="O293:O294"/>
    <mergeCell ref="K303:K304"/>
    <mergeCell ref="L303:L304"/>
    <mergeCell ref="M303:M304"/>
    <mergeCell ref="N303:N304"/>
    <mergeCell ref="O303:O304"/>
    <mergeCell ref="P303:P304"/>
    <mergeCell ref="P297:P298"/>
    <mergeCell ref="A303:B304"/>
    <mergeCell ref="C303:C304"/>
  </mergeCells>
  <conditionalFormatting sqref="C44">
    <cfRule type="aboveAverage" dxfId="1282" priority="1301"/>
  </conditionalFormatting>
  <conditionalFormatting sqref="C54">
    <cfRule type="aboveAverage" dxfId="1281" priority="1311"/>
  </conditionalFormatting>
  <conditionalFormatting sqref="C119">
    <cfRule type="aboveAverage" dxfId="1280" priority="1351"/>
  </conditionalFormatting>
  <conditionalFormatting sqref="C129">
    <cfRule type="aboveAverage" dxfId="1279" priority="1361"/>
  </conditionalFormatting>
  <conditionalFormatting sqref="C170">
    <cfRule type="aboveAverage" dxfId="1278" priority="17"/>
  </conditionalFormatting>
  <conditionalFormatting sqref="C181">
    <cfRule type="aboveAverage" dxfId="1277" priority="55"/>
  </conditionalFormatting>
  <conditionalFormatting sqref="C182:C184">
    <cfRule type="aboveAverage" dxfId="1276" priority="66"/>
  </conditionalFormatting>
  <conditionalFormatting sqref="C187:C188">
    <cfRule type="aboveAverage" dxfId="1275" priority="87"/>
  </conditionalFormatting>
  <conditionalFormatting sqref="C201:C207">
    <cfRule type="aboveAverage" dxfId="1274" priority="114"/>
  </conditionalFormatting>
  <conditionalFormatting sqref="C210:C211">
    <cfRule type="aboveAverage" dxfId="1273" priority="115"/>
  </conditionalFormatting>
  <conditionalFormatting sqref="C247">
    <cfRule type="aboveAverage" dxfId="1272" priority="312"/>
  </conditionalFormatting>
  <conditionalFormatting sqref="C253">
    <cfRule type="aboveAverage" dxfId="1271" priority="317"/>
  </conditionalFormatting>
  <conditionalFormatting sqref="C254 E254 G254:H254 J254:N254">
    <cfRule type="aboveAverage" dxfId="1270" priority="316"/>
  </conditionalFormatting>
  <conditionalFormatting sqref="C255">
    <cfRule type="aboveAverage" dxfId="1269" priority="315"/>
  </conditionalFormatting>
  <conditionalFormatting sqref="C258">
    <cfRule type="aboveAverage" dxfId="1268" priority="314"/>
  </conditionalFormatting>
  <conditionalFormatting sqref="C261">
    <cfRule type="aboveAverage" dxfId="1267" priority="313"/>
  </conditionalFormatting>
  <conditionalFormatting sqref="C264">
    <cfRule type="aboveAverage" dxfId="1266" priority="1474"/>
  </conditionalFormatting>
  <conditionalFormatting sqref="C265">
    <cfRule type="aboveAverage" dxfId="1265" priority="325"/>
  </conditionalFormatting>
  <conditionalFormatting sqref="C278:C284">
    <cfRule type="aboveAverage" dxfId="1264" priority="311"/>
  </conditionalFormatting>
  <conditionalFormatting sqref="C287:C288 C290:C292">
    <cfRule type="aboveAverage" dxfId="1263" priority="172"/>
  </conditionalFormatting>
  <conditionalFormatting sqref="C295:C296">
    <cfRule type="aboveAverage" dxfId="1262" priority="319"/>
  </conditionalFormatting>
  <conditionalFormatting sqref="C300">
    <cfRule type="aboveAverage" dxfId="1261" priority="110"/>
  </conditionalFormatting>
  <conditionalFormatting sqref="C331">
    <cfRule type="aboveAverage" dxfId="1260" priority="339"/>
  </conditionalFormatting>
  <conditionalFormatting sqref="C342:C345">
    <cfRule type="aboveAverage" dxfId="1259" priority="517"/>
  </conditionalFormatting>
  <conditionalFormatting sqref="C348:C349">
    <cfRule type="aboveAverage" dxfId="1258" priority="516"/>
  </conditionalFormatting>
  <conditionalFormatting sqref="C353:C354">
    <cfRule type="aboveAverage" dxfId="1257" priority="1504"/>
  </conditionalFormatting>
  <conditionalFormatting sqref="C356">
    <cfRule type="aboveAverage" dxfId="1256" priority="1502"/>
  </conditionalFormatting>
  <conditionalFormatting sqref="C357">
    <cfRule type="aboveAverage" dxfId="1255" priority="1501"/>
  </conditionalFormatting>
  <conditionalFormatting sqref="C362:C366">
    <cfRule type="aboveAverage" dxfId="1254" priority="515"/>
  </conditionalFormatting>
  <conditionalFormatting sqref="C367">
    <cfRule type="aboveAverage" dxfId="1253" priority="1511"/>
  </conditionalFormatting>
  <conditionalFormatting sqref="C368">
    <cfRule type="aboveAverage" dxfId="1252" priority="514"/>
  </conditionalFormatting>
  <conditionalFormatting sqref="C371:C372 C374:C375">
    <cfRule type="aboveAverage" dxfId="1251" priority="499"/>
  </conditionalFormatting>
  <conditionalFormatting sqref="C376">
    <cfRule type="aboveAverage" dxfId="1250" priority="497"/>
  </conditionalFormatting>
  <conditionalFormatting sqref="C379:C380">
    <cfRule type="aboveAverage" dxfId="1249" priority="513"/>
  </conditionalFormatting>
  <conditionalFormatting sqref="C416">
    <cfRule type="aboveAverage" dxfId="1248" priority="610"/>
  </conditionalFormatting>
  <conditionalFormatting sqref="C427:C430">
    <cfRule type="aboveAverage" dxfId="1247" priority="611"/>
  </conditionalFormatting>
  <conditionalFormatting sqref="C433:C434">
    <cfRule type="aboveAverage" dxfId="1246" priority="618"/>
  </conditionalFormatting>
  <conditionalFormatting sqref="C437">
    <cfRule type="aboveAverage" dxfId="1245" priority="1572"/>
  </conditionalFormatting>
  <conditionalFormatting sqref="C438:C439">
    <cfRule type="aboveAverage" dxfId="1244" priority="1554"/>
  </conditionalFormatting>
  <conditionalFormatting sqref="C440">
    <cfRule type="aboveAverage" dxfId="1243" priority="1553"/>
  </conditionalFormatting>
  <conditionalFormatting sqref="C441">
    <cfRule type="aboveAverage" dxfId="1242" priority="1552"/>
  </conditionalFormatting>
  <conditionalFormatting sqref="C442">
    <cfRule type="aboveAverage" dxfId="1241" priority="1551"/>
  </conditionalFormatting>
  <conditionalFormatting sqref="C444">
    <cfRule type="aboveAverage" dxfId="1240" priority="1549"/>
  </conditionalFormatting>
  <conditionalFormatting sqref="C447:C453">
    <cfRule type="aboveAverage" dxfId="1239" priority="609"/>
  </conditionalFormatting>
  <conditionalFormatting sqref="C456:C457">
    <cfRule type="aboveAverage" dxfId="1238" priority="603"/>
  </conditionalFormatting>
  <conditionalFormatting sqref="C461">
    <cfRule type="aboveAverage" dxfId="1237" priority="607"/>
  </conditionalFormatting>
  <conditionalFormatting sqref="C466:C468">
    <cfRule type="aboveAverage" dxfId="1236" priority="606"/>
  </conditionalFormatting>
  <conditionalFormatting sqref="C504">
    <cfRule type="aboveAverage" dxfId="1235" priority="797"/>
  </conditionalFormatting>
  <conditionalFormatting sqref="C505:C507">
    <cfRule type="aboveAverage" dxfId="1234" priority="836"/>
  </conditionalFormatting>
  <conditionalFormatting sqref="C510">
    <cfRule type="aboveAverage" dxfId="1233" priority="1624"/>
  </conditionalFormatting>
  <conditionalFormatting sqref="C511">
    <cfRule type="aboveAverage" dxfId="1232" priority="849"/>
  </conditionalFormatting>
  <conditionalFormatting sqref="C517">
    <cfRule type="aboveAverage" dxfId="1231" priority="848"/>
  </conditionalFormatting>
  <conditionalFormatting sqref="C519">
    <cfRule type="aboveAverage" dxfId="1230" priority="1601"/>
  </conditionalFormatting>
  <conditionalFormatting sqref="C521">
    <cfRule type="aboveAverage" dxfId="1229" priority="1599"/>
  </conditionalFormatting>
  <conditionalFormatting sqref="C524">
    <cfRule type="aboveAverage" dxfId="1228" priority="847"/>
  </conditionalFormatting>
  <conditionalFormatting sqref="C525">
    <cfRule type="aboveAverage" dxfId="1227" priority="846"/>
  </conditionalFormatting>
  <conditionalFormatting sqref="C526">
    <cfRule type="aboveAverage" dxfId="1226" priority="845"/>
  </conditionalFormatting>
  <conditionalFormatting sqref="C527">
    <cfRule type="aboveAverage" dxfId="1225" priority="844"/>
  </conditionalFormatting>
  <conditionalFormatting sqref="C528">
    <cfRule type="aboveAverage" dxfId="1224" priority="843"/>
  </conditionalFormatting>
  <conditionalFormatting sqref="C529">
    <cfRule type="aboveAverage" dxfId="1223" priority="842"/>
  </conditionalFormatting>
  <conditionalFormatting sqref="C530">
    <cfRule type="aboveAverage" dxfId="1222" priority="841"/>
  </conditionalFormatting>
  <conditionalFormatting sqref="C533">
    <cfRule type="aboveAverage" dxfId="1221" priority="840"/>
  </conditionalFormatting>
  <conditionalFormatting sqref="C534">
    <cfRule type="aboveAverage" dxfId="1220" priority="839"/>
  </conditionalFormatting>
  <conditionalFormatting sqref="C538">
    <cfRule type="aboveAverage" dxfId="1219" priority="826"/>
  </conditionalFormatting>
  <conditionalFormatting sqref="C543">
    <cfRule type="aboveAverage" dxfId="1218" priority="825"/>
  </conditionalFormatting>
  <conditionalFormatting sqref="C544">
    <cfRule type="aboveAverage" dxfId="1217" priority="838"/>
  </conditionalFormatting>
  <conditionalFormatting sqref="C545">
    <cfRule type="aboveAverage" dxfId="1216" priority="755"/>
  </conditionalFormatting>
  <conditionalFormatting sqref="C580:C583">
    <cfRule type="aboveAverage" dxfId="1215" priority="964"/>
  </conditionalFormatting>
  <conditionalFormatting sqref="C586:C587">
    <cfRule type="aboveAverage" dxfId="1214" priority="921"/>
  </conditionalFormatting>
  <conditionalFormatting sqref="C594">
    <cfRule type="aboveAverage" dxfId="1213" priority="1652"/>
  </conditionalFormatting>
  <conditionalFormatting sqref="C595">
    <cfRule type="aboveAverage" dxfId="1212" priority="1651"/>
  </conditionalFormatting>
  <conditionalFormatting sqref="C600:C606">
    <cfRule type="aboveAverage" dxfId="1211" priority="920"/>
  </conditionalFormatting>
  <conditionalFormatting sqref="C609:C610">
    <cfRule type="aboveAverage" dxfId="1210" priority="966"/>
  </conditionalFormatting>
  <conditionalFormatting sqref="C614">
    <cfRule type="aboveAverage" dxfId="1209" priority="871"/>
  </conditionalFormatting>
  <conditionalFormatting sqref="C619:C621">
    <cfRule type="aboveAverage" dxfId="1208" priority="919"/>
  </conditionalFormatting>
  <conditionalFormatting sqref="C624">
    <cfRule type="aboveAverage" dxfId="1207" priority="1658"/>
  </conditionalFormatting>
  <conditionalFormatting sqref="C625">
    <cfRule type="aboveAverage" dxfId="1206" priority="1017"/>
  </conditionalFormatting>
  <conditionalFormatting sqref="C668:C669">
    <cfRule type="aboveAverage" dxfId="1205" priority="1704"/>
  </conditionalFormatting>
  <conditionalFormatting sqref="C671">
    <cfRule type="aboveAverage" dxfId="1204" priority="1702"/>
  </conditionalFormatting>
  <conditionalFormatting sqref="C672">
    <cfRule type="aboveAverage" dxfId="1203" priority="1701"/>
  </conditionalFormatting>
  <conditionalFormatting sqref="C674">
    <cfRule type="aboveAverage" dxfId="1202" priority="1699"/>
  </conditionalFormatting>
  <conditionalFormatting sqref="C682">
    <cfRule type="aboveAverage" dxfId="1201" priority="1711"/>
  </conditionalFormatting>
  <conditionalFormatting sqref="C686">
    <cfRule type="aboveAverage" dxfId="1200" priority="1709"/>
  </conditionalFormatting>
  <conditionalFormatting sqref="C687">
    <cfRule type="aboveAverage" dxfId="1199" priority="1713"/>
  </conditionalFormatting>
  <conditionalFormatting sqref="C749">
    <cfRule type="aboveAverage" dxfId="1198" priority="1117"/>
  </conditionalFormatting>
  <conditionalFormatting sqref="C759">
    <cfRule type="aboveAverage" dxfId="1197" priority="1100"/>
  </conditionalFormatting>
  <conditionalFormatting sqref="C767 C770">
    <cfRule type="aboveAverage" dxfId="1196" priority="2617"/>
  </conditionalFormatting>
  <conditionalFormatting sqref="C769">
    <cfRule type="aboveAverage" dxfId="1195" priority="2613"/>
  </conditionalFormatting>
  <conditionalFormatting sqref="C844 C847">
    <cfRule type="aboveAverage" dxfId="1194" priority="1729"/>
  </conditionalFormatting>
  <conditionalFormatting sqref="C846">
    <cfRule type="aboveAverage" dxfId="1193" priority="1728"/>
  </conditionalFormatting>
  <conditionalFormatting sqref="C850">
    <cfRule type="aboveAverage" dxfId="1192" priority="1054"/>
  </conditionalFormatting>
  <conditionalFormatting sqref="C899:C900">
    <cfRule type="aboveAverage" dxfId="1191" priority="1742"/>
  </conditionalFormatting>
  <conditionalFormatting sqref="C921">
    <cfRule type="aboveAverage" dxfId="1190" priority="1738"/>
  </conditionalFormatting>
  <conditionalFormatting sqref="C923">
    <cfRule type="aboveAverage" dxfId="1189" priority="1737"/>
  </conditionalFormatting>
  <conditionalFormatting sqref="C924">
    <cfRule type="aboveAverage" dxfId="1188" priority="1175"/>
  </conditionalFormatting>
  <conditionalFormatting sqref="C975:C976">
    <cfRule type="aboveAverage" dxfId="1187" priority="1751"/>
  </conditionalFormatting>
  <conditionalFormatting sqref="C997 C1000">
    <cfRule type="aboveAverage" dxfId="1186" priority="1747"/>
  </conditionalFormatting>
  <conditionalFormatting sqref="C999">
    <cfRule type="aboveAverage" dxfId="1185" priority="1746"/>
  </conditionalFormatting>
  <conditionalFormatting sqref="C1052:C1053">
    <cfRule type="aboveAverage" dxfId="1184" priority="1760"/>
  </conditionalFormatting>
  <conditionalFormatting sqref="C1074 C1077">
    <cfRule type="aboveAverage" dxfId="1183" priority="1756"/>
  </conditionalFormatting>
  <conditionalFormatting sqref="C1076">
    <cfRule type="aboveAverage" dxfId="1182" priority="1755"/>
  </conditionalFormatting>
  <conditionalFormatting sqref="C1129:C1130">
    <cfRule type="aboveAverage" dxfId="1181" priority="1769"/>
  </conditionalFormatting>
  <conditionalFormatting sqref="C1147">
    <cfRule type="aboveAverage" dxfId="1180" priority="1770"/>
  </conditionalFormatting>
  <conditionalFormatting sqref="C1148">
    <cfRule type="aboveAverage" dxfId="1179" priority="1771"/>
  </conditionalFormatting>
  <conditionalFormatting sqref="C1151 C1154">
    <cfRule type="aboveAverage" dxfId="1178" priority="1765"/>
  </conditionalFormatting>
  <conditionalFormatting sqref="C1206:C1207">
    <cfRule type="aboveAverage" dxfId="1177" priority="1778"/>
  </conditionalFormatting>
  <conditionalFormatting sqref="C1224">
    <cfRule type="aboveAverage" dxfId="1176" priority="1779"/>
  </conditionalFormatting>
  <conditionalFormatting sqref="C1225">
    <cfRule type="aboveAverage" dxfId="1175" priority="1780"/>
  </conditionalFormatting>
  <conditionalFormatting sqref="C1230">
    <cfRule type="aboveAverage" dxfId="1174" priority="1773"/>
  </conditionalFormatting>
  <conditionalFormatting sqref="C1284:C1285">
    <cfRule type="aboveAverage" dxfId="1173" priority="1787"/>
  </conditionalFormatting>
  <conditionalFormatting sqref="C1302">
    <cfRule type="aboveAverage" dxfId="1172" priority="1788"/>
  </conditionalFormatting>
  <conditionalFormatting sqref="C1303">
    <cfRule type="aboveAverage" dxfId="1171" priority="1789"/>
  </conditionalFormatting>
  <conditionalFormatting sqref="C1306 C1309">
    <cfRule type="aboveAverage" dxfId="1170" priority="1783"/>
  </conditionalFormatting>
  <conditionalFormatting sqref="C1308">
    <cfRule type="aboveAverage" dxfId="1169" priority="1782"/>
  </conditionalFormatting>
  <conditionalFormatting sqref="C1361:C1362">
    <cfRule type="aboveAverage" dxfId="1168" priority="1796"/>
  </conditionalFormatting>
  <conditionalFormatting sqref="C1379">
    <cfRule type="aboveAverage" dxfId="1167" priority="1797"/>
  </conditionalFormatting>
  <conditionalFormatting sqref="C1380">
    <cfRule type="aboveAverage" dxfId="1166" priority="1798"/>
  </conditionalFormatting>
  <conditionalFormatting sqref="C1383 C1386">
    <cfRule type="aboveAverage" dxfId="1165" priority="1792"/>
  </conditionalFormatting>
  <conditionalFormatting sqref="C1385">
    <cfRule type="aboveAverage" dxfId="1164" priority="1791"/>
  </conditionalFormatting>
  <conditionalFormatting sqref="C1438:C1439">
    <cfRule type="aboveAverage" dxfId="1163" priority="1805"/>
  </conditionalFormatting>
  <conditionalFormatting sqref="C1456">
    <cfRule type="aboveAverage" dxfId="1162" priority="1806"/>
  </conditionalFormatting>
  <conditionalFormatting sqref="C1457">
    <cfRule type="aboveAverage" dxfId="1161" priority="1807"/>
  </conditionalFormatting>
  <conditionalFormatting sqref="C1460 C1463">
    <cfRule type="aboveAverage" dxfId="1160" priority="1801"/>
  </conditionalFormatting>
  <conditionalFormatting sqref="C1462">
    <cfRule type="aboveAverage" dxfId="1159" priority="1800"/>
  </conditionalFormatting>
  <conditionalFormatting sqref="C1515:C1516">
    <cfRule type="aboveAverage" dxfId="1158" priority="1814"/>
  </conditionalFormatting>
  <conditionalFormatting sqref="C1533">
    <cfRule type="aboveAverage" dxfId="1157" priority="1815"/>
  </conditionalFormatting>
  <conditionalFormatting sqref="C1534">
    <cfRule type="aboveAverage" dxfId="1156" priority="1816"/>
  </conditionalFormatting>
  <conditionalFormatting sqref="C1537 C1540">
    <cfRule type="aboveAverage" dxfId="1155" priority="1810"/>
  </conditionalFormatting>
  <conditionalFormatting sqref="C1539">
    <cfRule type="aboveAverage" dxfId="1154" priority="1809"/>
  </conditionalFormatting>
  <conditionalFormatting sqref="C1593:C1594">
    <cfRule type="aboveAverage" dxfId="1153" priority="1823"/>
  </conditionalFormatting>
  <conditionalFormatting sqref="C1611">
    <cfRule type="aboveAverage" dxfId="1152" priority="1824"/>
  </conditionalFormatting>
  <conditionalFormatting sqref="C1612">
    <cfRule type="aboveAverage" dxfId="1151" priority="1825"/>
  </conditionalFormatting>
  <conditionalFormatting sqref="C1615 C1618">
    <cfRule type="aboveAverage" dxfId="1150" priority="1819"/>
  </conditionalFormatting>
  <conditionalFormatting sqref="C1617">
    <cfRule type="aboveAverage" dxfId="1149" priority="1818"/>
  </conditionalFormatting>
  <conditionalFormatting sqref="C1671:C1672">
    <cfRule type="aboveAverage" dxfId="1148" priority="1832"/>
  </conditionalFormatting>
  <conditionalFormatting sqref="C1689">
    <cfRule type="aboveAverage" dxfId="1147" priority="1833"/>
  </conditionalFormatting>
  <conditionalFormatting sqref="C1690">
    <cfRule type="aboveAverage" dxfId="1146" priority="1834"/>
  </conditionalFormatting>
  <conditionalFormatting sqref="C1693 C1696">
    <cfRule type="aboveAverage" dxfId="1145" priority="1828"/>
  </conditionalFormatting>
  <conditionalFormatting sqref="C1695">
    <cfRule type="aboveAverage" dxfId="1144" priority="1827"/>
  </conditionalFormatting>
  <conditionalFormatting sqref="C1749:C1750">
    <cfRule type="aboveAverage" dxfId="1143" priority="1841"/>
  </conditionalFormatting>
  <conditionalFormatting sqref="C1767">
    <cfRule type="aboveAverage" dxfId="1142" priority="1842"/>
  </conditionalFormatting>
  <conditionalFormatting sqref="C1768">
    <cfRule type="aboveAverage" dxfId="1141" priority="1843"/>
  </conditionalFormatting>
  <conditionalFormatting sqref="C1771 C1774">
    <cfRule type="aboveAverage" dxfId="1140" priority="1837"/>
  </conditionalFormatting>
  <conditionalFormatting sqref="C1773">
    <cfRule type="aboveAverage" dxfId="1139" priority="1836"/>
  </conditionalFormatting>
  <conditionalFormatting sqref="C1826:C1827">
    <cfRule type="aboveAverage" dxfId="1138" priority="1935"/>
  </conditionalFormatting>
  <conditionalFormatting sqref="C1844">
    <cfRule type="aboveAverage" dxfId="1137" priority="1940"/>
  </conditionalFormatting>
  <conditionalFormatting sqref="C1845">
    <cfRule type="aboveAverage" dxfId="1136" priority="1944"/>
  </conditionalFormatting>
  <conditionalFormatting sqref="C1850">
    <cfRule type="aboveAverage" dxfId="1135" priority="1846"/>
  </conditionalFormatting>
  <conditionalFormatting sqref="C1907">
    <cfRule type="aboveAverage" dxfId="1134" priority="1882"/>
  </conditionalFormatting>
  <conditionalFormatting sqref="C1917">
    <cfRule type="aboveAverage" dxfId="1133" priority="1892"/>
  </conditionalFormatting>
  <conditionalFormatting sqref="C29:D29 F29:N29">
    <cfRule type="aboveAverage" dxfId="1132" priority="1325"/>
  </conditionalFormatting>
  <conditionalFormatting sqref="C35:D35 F35:N35">
    <cfRule type="aboveAverage" dxfId="1131" priority="1324"/>
  </conditionalFormatting>
  <conditionalFormatting sqref="C36:D36 F36:N36">
    <cfRule type="aboveAverage" dxfId="1130" priority="1323"/>
  </conditionalFormatting>
  <conditionalFormatting sqref="C39:D39 F39:N39 J40:N41">
    <cfRule type="aboveAverage" dxfId="1129" priority="1322"/>
  </conditionalFormatting>
  <conditionalFormatting sqref="C40:D41 F40:I41">
    <cfRule type="aboveAverage" dxfId="1128" priority="1304"/>
  </conditionalFormatting>
  <conditionalFormatting sqref="C42:D42 F42:I42">
    <cfRule type="aboveAverage" dxfId="1127" priority="1303"/>
  </conditionalFormatting>
  <conditionalFormatting sqref="C43:D43 F43:I43">
    <cfRule type="aboveAverage" dxfId="1126" priority="1302"/>
  </conditionalFormatting>
  <conditionalFormatting sqref="C45:D45">
    <cfRule type="aboveAverage" dxfId="1125" priority="1300"/>
  </conditionalFormatting>
  <conditionalFormatting sqref="C46:D46 F46:I46">
    <cfRule type="aboveAverage" dxfId="1124" priority="1299"/>
  </conditionalFormatting>
  <conditionalFormatting sqref="C49:D49 F49:I49 K49:N49">
    <cfRule type="aboveAverage" dxfId="1123" priority="1317"/>
  </conditionalFormatting>
  <conditionalFormatting sqref="C50:D50 F50:N50">
    <cfRule type="aboveAverage" dxfId="1122" priority="1316"/>
  </conditionalFormatting>
  <conditionalFormatting sqref="C51:D51 F51:N51">
    <cfRule type="aboveAverage" dxfId="1121" priority="1315"/>
  </conditionalFormatting>
  <conditionalFormatting sqref="C52:D52 F52:I52 K52:N52">
    <cfRule type="aboveAverage" dxfId="1120" priority="1314"/>
  </conditionalFormatting>
  <conditionalFormatting sqref="C53:D53 F53:I53 K53:N53">
    <cfRule type="aboveAverage" dxfId="1119" priority="1312"/>
  </conditionalFormatting>
  <conditionalFormatting sqref="C55:D55 F55:N55">
    <cfRule type="aboveAverage" dxfId="1118" priority="1310"/>
  </conditionalFormatting>
  <conditionalFormatting sqref="C63:D63 F63:I63 K63:N63">
    <cfRule type="aboveAverage" dxfId="1117" priority="1279"/>
  </conditionalFormatting>
  <conditionalFormatting sqref="C64:D64 F64:I64 K64:N64">
    <cfRule type="aboveAverage" dxfId="1116" priority="1282"/>
  </conditionalFormatting>
  <conditionalFormatting sqref="C104:D104 F104:N104">
    <cfRule type="aboveAverage" dxfId="1115" priority="1375"/>
  </conditionalFormatting>
  <conditionalFormatting sqref="C110:D110 F110:N110">
    <cfRule type="aboveAverage" dxfId="1114" priority="1374"/>
  </conditionalFormatting>
  <conditionalFormatting sqref="C111:D111 F111:N111">
    <cfRule type="aboveAverage" dxfId="1113" priority="1373"/>
  </conditionalFormatting>
  <conditionalFormatting sqref="C114:N114">
    <cfRule type="aboveAverage" dxfId="1112" priority="1372"/>
  </conditionalFormatting>
  <conditionalFormatting sqref="C115:N116">
    <cfRule type="aboveAverage" dxfId="1111" priority="1354"/>
  </conditionalFormatting>
  <conditionalFormatting sqref="C117:N117">
    <cfRule type="aboveAverage" dxfId="1110" priority="1353"/>
  </conditionalFormatting>
  <conditionalFormatting sqref="C118:N118">
    <cfRule type="aboveAverage" dxfId="1109" priority="1352"/>
  </conditionalFormatting>
  <conditionalFormatting sqref="C120:D120">
    <cfRule type="aboveAverage" dxfId="1108" priority="1350"/>
  </conditionalFormatting>
  <conditionalFormatting sqref="C121:N121">
    <cfRule type="aboveAverage" dxfId="1107" priority="1349"/>
  </conditionalFormatting>
  <conditionalFormatting sqref="C124:D124 F124:I124 K124:N124">
    <cfRule type="aboveAverage" dxfId="1106" priority="1367"/>
  </conditionalFormatting>
  <conditionalFormatting sqref="C125:D125 F125:N125">
    <cfRule type="aboveAverage" dxfId="1105" priority="1366"/>
  </conditionalFormatting>
  <conditionalFormatting sqref="C126:D126 F126:N126">
    <cfRule type="aboveAverage" dxfId="1104" priority="1365"/>
  </conditionalFormatting>
  <conditionalFormatting sqref="C127:D127 F127:I127 K127:N127">
    <cfRule type="aboveAverage" dxfId="1103" priority="1364"/>
  </conditionalFormatting>
  <conditionalFormatting sqref="C128:D128 F128:I128 K128:N128">
    <cfRule type="aboveAverage" dxfId="1102" priority="1362"/>
  </conditionalFormatting>
  <conditionalFormatting sqref="C130:D130 F130:N130">
    <cfRule type="aboveAverage" dxfId="1101" priority="1360"/>
  </conditionalFormatting>
  <conditionalFormatting sqref="C138:D138 F138:I138 K138:N138">
    <cfRule type="aboveAverage" dxfId="1100" priority="1329"/>
  </conditionalFormatting>
  <conditionalFormatting sqref="C139:D139 F139:I139 K139:N139">
    <cfRule type="aboveAverage" dxfId="1099" priority="1332"/>
  </conditionalFormatting>
  <conditionalFormatting sqref="C215:D215 G215:I215 L215:N215">
    <cfRule type="aboveAverage" dxfId="1098" priority="1379"/>
  </conditionalFormatting>
  <conditionalFormatting sqref="C274:D274">
    <cfRule type="aboveAverage" dxfId="1097" priority="1450"/>
  </conditionalFormatting>
  <conditionalFormatting sqref="C301:D301 F301:I301 K301:N301">
    <cfRule type="aboveAverage" dxfId="1096" priority="1432"/>
  </conditionalFormatting>
  <conditionalFormatting sqref="C352:D352">
    <cfRule type="aboveAverage" dxfId="1095" priority="1522"/>
  </conditionalFormatting>
  <conditionalFormatting sqref="C355:D355 G355:I355">
    <cfRule type="aboveAverage" dxfId="1094" priority="1503"/>
  </conditionalFormatting>
  <conditionalFormatting sqref="C358:D358">
    <cfRule type="aboveAverage" dxfId="1093" priority="1500"/>
  </conditionalFormatting>
  <conditionalFormatting sqref="C384:D384 F384:I384 K384:N384">
    <cfRule type="aboveAverage" dxfId="1092" priority="1479"/>
  </conditionalFormatting>
  <conditionalFormatting sqref="C385:D385 F385:I385 K385:N385">
    <cfRule type="aboveAverage" dxfId="1091" priority="1482"/>
  </conditionalFormatting>
  <conditionalFormatting sqref="C443:D443">
    <cfRule type="aboveAverage" dxfId="1090" priority="1550"/>
  </conditionalFormatting>
  <conditionalFormatting sqref="C462:D462 F462 H462:I462 K462:N462">
    <cfRule type="aboveAverage" dxfId="1089" priority="681"/>
  </conditionalFormatting>
  <conditionalFormatting sqref="C514:D514 F514:I514 K514:N514">
    <cfRule type="aboveAverage" dxfId="1088" priority="1622"/>
  </conditionalFormatting>
  <conditionalFormatting sqref="C515:D516 F516 F515:G515">
    <cfRule type="aboveAverage" dxfId="1087" priority="1604"/>
  </conditionalFormatting>
  <conditionalFormatting sqref="C518:D518">
    <cfRule type="aboveAverage" dxfId="1086" priority="1602"/>
  </conditionalFormatting>
  <conditionalFormatting sqref="C520:D520">
    <cfRule type="aboveAverage" dxfId="1085" priority="1600"/>
  </conditionalFormatting>
  <conditionalFormatting sqref="C539:D539 F539 H539:I539 K539:N539">
    <cfRule type="aboveAverage" dxfId="1084" priority="1582"/>
  </conditionalFormatting>
  <conditionalFormatting sqref="C590:D590 F590:N590 J591:N592">
    <cfRule type="aboveAverage" dxfId="1083" priority="1672"/>
  </conditionalFormatting>
  <conditionalFormatting sqref="C591:D592 F591:I592">
    <cfRule type="aboveAverage" dxfId="1082" priority="1654"/>
  </conditionalFormatting>
  <conditionalFormatting sqref="C593:D593 F593:I593">
    <cfRule type="aboveAverage" dxfId="1081" priority="1653"/>
  </conditionalFormatting>
  <conditionalFormatting sqref="C596:D596">
    <cfRule type="aboveAverage" dxfId="1080" priority="1650"/>
  </conditionalFormatting>
  <conditionalFormatting sqref="C597:D597 F597:I597">
    <cfRule type="aboveAverage" dxfId="1079" priority="1649"/>
  </conditionalFormatting>
  <conditionalFormatting sqref="C615:D615 F615:I615 K615:N615">
    <cfRule type="aboveAverage" dxfId="1078" priority="1026"/>
  </conditionalFormatting>
  <conditionalFormatting sqref="C657:D657 F657:N657">
    <cfRule type="aboveAverage" dxfId="1077" priority="1725"/>
  </conditionalFormatting>
  <conditionalFormatting sqref="C663:D663 F663:N663">
    <cfRule type="aboveAverage" dxfId="1076" priority="1724"/>
  </conditionalFormatting>
  <conditionalFormatting sqref="C664:D664 F664:N664">
    <cfRule type="aboveAverage" dxfId="1075" priority="1723"/>
  </conditionalFormatting>
  <conditionalFormatting sqref="C667:D667 H667:N667">
    <cfRule type="aboveAverage" dxfId="1074" priority="1722"/>
  </conditionalFormatting>
  <conditionalFormatting sqref="C670:D670 H670:I670">
    <cfRule type="aboveAverage" dxfId="1073" priority="1703"/>
  </conditionalFormatting>
  <conditionalFormatting sqref="C673:D673">
    <cfRule type="aboveAverage" dxfId="1072" priority="1700"/>
  </conditionalFormatting>
  <conditionalFormatting sqref="C677:D677">
    <cfRule type="aboveAverage" dxfId="1071" priority="1717"/>
  </conditionalFormatting>
  <conditionalFormatting sqref="C678:D678">
    <cfRule type="aboveAverage" dxfId="1070" priority="1716"/>
  </conditionalFormatting>
  <conditionalFormatting sqref="C679:D679">
    <cfRule type="aboveAverage" dxfId="1069" priority="1715"/>
  </conditionalFormatting>
  <conditionalFormatting sqref="C680:D680">
    <cfRule type="aboveAverage" dxfId="1068" priority="1714"/>
  </conditionalFormatting>
  <conditionalFormatting sqref="C681:D681">
    <cfRule type="aboveAverage" dxfId="1067" priority="1712"/>
  </conditionalFormatting>
  <conditionalFormatting sqref="C683:D683">
    <cfRule type="aboveAverage" dxfId="1066" priority="1710"/>
  </conditionalFormatting>
  <conditionalFormatting sqref="C691:D691 F691:I691 K691:N691">
    <cfRule type="aboveAverage" dxfId="1065" priority="1679"/>
  </conditionalFormatting>
  <conditionalFormatting sqref="C692:D692 F692:I692 K692:N692">
    <cfRule type="aboveAverage" dxfId="1064" priority="1682"/>
  </conditionalFormatting>
  <conditionalFormatting sqref="C734:D734 F734:N734">
    <cfRule type="aboveAverage" dxfId="1063" priority="1130"/>
  </conditionalFormatting>
  <conditionalFormatting sqref="C740:D740 F740:N740">
    <cfRule type="aboveAverage" dxfId="1062" priority="1128"/>
  </conditionalFormatting>
  <conditionalFormatting sqref="C741:D741 F741:N741">
    <cfRule type="aboveAverage" dxfId="1061" priority="1127"/>
  </conditionalFormatting>
  <conditionalFormatting sqref="C744:D744 F744 J744:N746">
    <cfRule type="aboveAverage" dxfId="1060" priority="1125"/>
  </conditionalFormatting>
  <conditionalFormatting sqref="C745:D746 F745:F746">
    <cfRule type="aboveAverage" dxfId="1059" priority="1120"/>
  </conditionalFormatting>
  <conditionalFormatting sqref="C747:D747 F747">
    <cfRule type="aboveAverage" dxfId="1058" priority="1119"/>
  </conditionalFormatting>
  <conditionalFormatting sqref="C748:D748 F748">
    <cfRule type="aboveAverage" dxfId="1057" priority="1118"/>
  </conditionalFormatting>
  <conditionalFormatting sqref="C750:D750">
    <cfRule type="aboveAverage" dxfId="1056" priority="1116"/>
  </conditionalFormatting>
  <conditionalFormatting sqref="C751:D751 F751">
    <cfRule type="aboveAverage" dxfId="1055" priority="1115"/>
  </conditionalFormatting>
  <conditionalFormatting sqref="C754:D754 F754:I754 K754:N754">
    <cfRule type="aboveAverage" dxfId="1054" priority="1105"/>
  </conditionalFormatting>
  <conditionalFormatting sqref="C755:D755 F755:N755">
    <cfRule type="aboveAverage" dxfId="1053" priority="1104"/>
  </conditionalFormatting>
  <conditionalFormatting sqref="C756:D756 F756:N756">
    <cfRule type="aboveAverage" dxfId="1052" priority="1103"/>
  </conditionalFormatting>
  <conditionalFormatting sqref="C757:D757 F757:I757 K757:N757">
    <cfRule type="aboveAverage" dxfId="1051" priority="1102"/>
  </conditionalFormatting>
  <conditionalFormatting sqref="C758:D758 F758:I758 K758:N758">
    <cfRule type="aboveAverage" dxfId="1050" priority="1101"/>
  </conditionalFormatting>
  <conditionalFormatting sqref="C760:D760 F760:N760">
    <cfRule type="aboveAverage" dxfId="1049" priority="1094"/>
  </conditionalFormatting>
  <conditionalFormatting sqref="C768:D768 F768:I768 K768:N768">
    <cfRule type="aboveAverage" dxfId="1048" priority="1085"/>
  </conditionalFormatting>
  <conditionalFormatting sqref="C1892:D1892 F1892:H1892">
    <cfRule type="aboveAverage" dxfId="1047" priority="1906"/>
  </conditionalFormatting>
  <conditionalFormatting sqref="C1898:D1898 F1898:H1898">
    <cfRule type="aboveAverage" dxfId="1046" priority="1905"/>
  </conditionalFormatting>
  <conditionalFormatting sqref="C1899:D1899 F1899:H1899">
    <cfRule type="aboveAverage" dxfId="1045" priority="1904"/>
  </conditionalFormatting>
  <conditionalFormatting sqref="C1902:D1902 F1902:H1902 J1903:N1904">
    <cfRule type="aboveAverage" dxfId="1044" priority="1903"/>
  </conditionalFormatting>
  <conditionalFormatting sqref="C1903:D1904 F1903:I1904 I1903:N1905">
    <cfRule type="aboveAverage" dxfId="1043" priority="1885"/>
  </conditionalFormatting>
  <conditionalFormatting sqref="C1905:D1905 F1905:I1905">
    <cfRule type="aboveAverage" dxfId="1042" priority="1884"/>
  </conditionalFormatting>
  <conditionalFormatting sqref="C1906:D1906 F1906:H1906">
    <cfRule type="aboveAverage" dxfId="1041" priority="1883"/>
  </conditionalFormatting>
  <conditionalFormatting sqref="C1908:D1908">
    <cfRule type="aboveAverage" dxfId="1040" priority="1881"/>
  </conditionalFormatting>
  <conditionalFormatting sqref="C1909:D1909 F1909:H1909">
    <cfRule type="aboveAverage" dxfId="1039" priority="1880"/>
  </conditionalFormatting>
  <conditionalFormatting sqref="C1912:D1912 F1912:H1912">
    <cfRule type="aboveAverage" dxfId="1038" priority="1898"/>
  </conditionalFormatting>
  <conditionalFormatting sqref="C1913:D1913 F1913:H1913">
    <cfRule type="aboveAverage" dxfId="1037" priority="1897"/>
  </conditionalFormatting>
  <conditionalFormatting sqref="C1914:D1914 F1914:H1914">
    <cfRule type="aboveAverage" dxfId="1036" priority="1896"/>
  </conditionalFormatting>
  <conditionalFormatting sqref="C1915:D1915 F1915:H1915">
    <cfRule type="aboveAverage" dxfId="1035" priority="1895"/>
  </conditionalFormatting>
  <conditionalFormatting sqref="C1916:D1916 F1916:H1916">
    <cfRule type="aboveAverage" dxfId="1034" priority="1893"/>
  </conditionalFormatting>
  <conditionalFormatting sqref="C1918:D1918 F1918:H1918">
    <cfRule type="aboveAverage" dxfId="1033" priority="1891"/>
  </conditionalFormatting>
  <conditionalFormatting sqref="C1926:D1926 F1926:H1926">
    <cfRule type="aboveAverage" dxfId="1032" priority="1860"/>
  </conditionalFormatting>
  <conditionalFormatting sqref="C1927:D1927 F1927:I1927">
    <cfRule type="aboveAverage" dxfId="1031" priority="1863"/>
  </conditionalFormatting>
  <conditionalFormatting sqref="C460:F460 C463:F463 H460:N460 H463:N463">
    <cfRule type="aboveAverage" dxfId="1030" priority="682"/>
  </conditionalFormatting>
  <conditionalFormatting sqref="C537:F537 C540:F540 H537:N537 H540:N540">
    <cfRule type="aboveAverage" dxfId="1029" priority="1586"/>
  </conditionalFormatting>
  <conditionalFormatting sqref="C1922:H1922">
    <cfRule type="aboveAverage" dxfId="1028" priority="1894"/>
  </conditionalFormatting>
  <conditionalFormatting sqref="C1931:H1931">
    <cfRule type="aboveAverage" dxfId="1027" priority="1866"/>
  </conditionalFormatting>
  <conditionalFormatting sqref="C1932:H1932">
    <cfRule type="aboveAverage" dxfId="1026" priority="1865"/>
  </conditionalFormatting>
  <conditionalFormatting sqref="C1936:H1936">
    <cfRule type="aboveAverage" dxfId="1025" priority="1889"/>
  </conditionalFormatting>
  <conditionalFormatting sqref="C271:I271">
    <cfRule type="aboveAverage" dxfId="1024" priority="1453"/>
  </conditionalFormatting>
  <conditionalFormatting sqref="C831:I831 K831:N831">
    <cfRule type="aboveAverage" dxfId="1023" priority="1157"/>
  </conditionalFormatting>
  <conditionalFormatting sqref="C834:I834 K834:N834">
    <cfRule type="aboveAverage" dxfId="1022" priority="1154"/>
  </conditionalFormatting>
  <conditionalFormatting sqref="C835:I835 K835:N835">
    <cfRule type="aboveAverage" dxfId="1021" priority="1153"/>
  </conditionalFormatting>
  <conditionalFormatting sqref="C836:I836">
    <cfRule type="aboveAverage" dxfId="1020" priority="1152"/>
  </conditionalFormatting>
  <conditionalFormatting sqref="C845:I845 K845:N845">
    <cfRule type="aboveAverage" dxfId="1019" priority="1132"/>
  </conditionalFormatting>
  <conditionalFormatting sqref="C908:I908 K908:N908">
    <cfRule type="aboveAverage" dxfId="1018" priority="1193"/>
  </conditionalFormatting>
  <conditionalFormatting sqref="C911:I911 K911:N911">
    <cfRule type="aboveAverage" dxfId="1017" priority="1190"/>
  </conditionalFormatting>
  <conditionalFormatting sqref="C912:I912 K912:N912">
    <cfRule type="aboveAverage" dxfId="1016" priority="1189"/>
  </conditionalFormatting>
  <conditionalFormatting sqref="C913:I913 K913:N913">
    <cfRule type="aboveAverage" dxfId="1015" priority="1188"/>
  </conditionalFormatting>
  <conditionalFormatting sqref="C922:I922 K922:N922">
    <cfRule type="aboveAverage" dxfId="1014" priority="1169"/>
  </conditionalFormatting>
  <conditionalFormatting sqref="C1921:I1921">
    <cfRule type="aboveAverage" dxfId="1013" priority="1890"/>
  </conditionalFormatting>
  <conditionalFormatting sqref="C774:J774">
    <cfRule type="aboveAverage" dxfId="1012" priority="1091"/>
  </conditionalFormatting>
  <conditionalFormatting sqref="C775:J775">
    <cfRule type="aboveAverage" dxfId="1011" priority="1090"/>
  </conditionalFormatting>
  <conditionalFormatting sqref="C58:N58">
    <cfRule type="aboveAverage" dxfId="1010" priority="1309"/>
  </conditionalFormatting>
  <conditionalFormatting sqref="C59:N59">
    <cfRule type="aboveAverage" dxfId="1009" priority="1313"/>
  </conditionalFormatting>
  <conditionalFormatting sqref="C62:N62 C65:N65">
    <cfRule type="aboveAverage" dxfId="1008" priority="1286"/>
  </conditionalFormatting>
  <conditionalFormatting sqref="C68:N68">
    <cfRule type="aboveAverage" dxfId="1007" priority="1285"/>
  </conditionalFormatting>
  <conditionalFormatting sqref="C69:N69">
    <cfRule type="aboveAverage" dxfId="1006" priority="1284"/>
  </conditionalFormatting>
  <conditionalFormatting sqref="C70:N70">
    <cfRule type="aboveAverage" dxfId="1005" priority="1283"/>
  </conditionalFormatting>
  <conditionalFormatting sqref="C73:N73">
    <cfRule type="aboveAverage" dxfId="1004" priority="1308"/>
  </conditionalFormatting>
  <conditionalFormatting sqref="C133:N133">
    <cfRule type="aboveAverage" dxfId="1003" priority="1359"/>
  </conditionalFormatting>
  <conditionalFormatting sqref="C134:N134">
    <cfRule type="aboveAverage" dxfId="1002" priority="1363"/>
  </conditionalFormatting>
  <conditionalFormatting sqref="C137:N137 C140:N140">
    <cfRule type="aboveAverage" dxfId="1001" priority="1336"/>
  </conditionalFormatting>
  <conditionalFormatting sqref="C143:N143">
    <cfRule type="aboveAverage" dxfId="1000" priority="1335"/>
  </conditionalFormatting>
  <conditionalFormatting sqref="C144:N144">
    <cfRule type="aboveAverage" dxfId="999" priority="1334"/>
  </conditionalFormatting>
  <conditionalFormatting sqref="C145:N145">
    <cfRule type="aboveAverage" dxfId="998" priority="1333"/>
  </conditionalFormatting>
  <conditionalFormatting sqref="C148:N148">
    <cfRule type="aboveAverage" dxfId="997" priority="1358"/>
  </conditionalFormatting>
  <conditionalFormatting sqref="C191:N191">
    <cfRule type="aboveAverage" dxfId="996" priority="1422"/>
  </conditionalFormatting>
  <conditionalFormatting sqref="C192:N193">
    <cfRule type="aboveAverage" dxfId="995" priority="1404"/>
  </conditionalFormatting>
  <conditionalFormatting sqref="C194:N194">
    <cfRule type="aboveAverage" dxfId="994" priority="1403"/>
  </conditionalFormatting>
  <conditionalFormatting sqref="C195:N195">
    <cfRule type="aboveAverage" dxfId="993" priority="1402"/>
  </conditionalFormatting>
  <conditionalFormatting sqref="C196:N196">
    <cfRule type="aboveAverage" dxfId="992" priority="1401"/>
  </conditionalFormatting>
  <conditionalFormatting sqref="C197:N197">
    <cfRule type="aboveAverage" dxfId="991" priority="1400"/>
  </conditionalFormatting>
  <conditionalFormatting sqref="C198:N198">
    <cfRule type="aboveAverage" dxfId="990" priority="1399"/>
  </conditionalFormatting>
  <conditionalFormatting sqref="C214:N214 C217:N217">
    <cfRule type="aboveAverage" dxfId="989" priority="1386"/>
  </conditionalFormatting>
  <conditionalFormatting sqref="C216:N216">
    <cfRule type="aboveAverage" dxfId="988" priority="1382"/>
  </conditionalFormatting>
  <conditionalFormatting sqref="C220:N220">
    <cfRule type="aboveAverage" dxfId="987" priority="1385"/>
  </conditionalFormatting>
  <conditionalFormatting sqref="C221:N221">
    <cfRule type="aboveAverage" dxfId="986" priority="1384"/>
  </conditionalFormatting>
  <conditionalFormatting sqref="C222:N222">
    <cfRule type="aboveAverage" dxfId="985" priority="1383"/>
  </conditionalFormatting>
  <conditionalFormatting sqref="C225:N225">
    <cfRule type="aboveAverage" dxfId="984" priority="1408"/>
  </conditionalFormatting>
  <conditionalFormatting sqref="C268:N268">
    <cfRule type="aboveAverage" dxfId="983" priority="1472"/>
  </conditionalFormatting>
  <conditionalFormatting sqref="C269:N270">
    <cfRule type="aboveAverage" dxfId="982" priority="1454"/>
  </conditionalFormatting>
  <conditionalFormatting sqref="C272:N272">
    <cfRule type="aboveAverage" dxfId="981" priority="1452"/>
  </conditionalFormatting>
  <conditionalFormatting sqref="C273:N273">
    <cfRule type="aboveAverage" dxfId="980" priority="1451"/>
  </conditionalFormatting>
  <conditionalFormatting sqref="C275:N275">
    <cfRule type="aboveAverage" dxfId="979" priority="1449"/>
  </conditionalFormatting>
  <conditionalFormatting sqref="C289:N289">
    <cfRule type="aboveAverage" dxfId="978" priority="99"/>
  </conditionalFormatting>
  <conditionalFormatting sqref="C299:N299 C302:N302">
    <cfRule type="aboveAverage" dxfId="977" priority="1436"/>
  </conditionalFormatting>
  <conditionalFormatting sqref="C305:N305">
    <cfRule type="aboveAverage" dxfId="976" priority="286"/>
  </conditionalFormatting>
  <conditionalFormatting sqref="C306:N306">
    <cfRule type="aboveAverage" dxfId="975" priority="1434"/>
  </conditionalFormatting>
  <conditionalFormatting sqref="C307:N307">
    <cfRule type="aboveAverage" dxfId="974" priority="1433"/>
  </conditionalFormatting>
  <conditionalFormatting sqref="C310:N310">
    <cfRule type="aboveAverage" dxfId="973" priority="1458"/>
  </conditionalFormatting>
  <conditionalFormatting sqref="C359:N359">
    <cfRule type="aboveAverage" dxfId="972" priority="1499"/>
  </conditionalFormatting>
  <conditionalFormatting sqref="C373:N373">
    <cfRule type="aboveAverage" dxfId="971" priority="359"/>
  </conditionalFormatting>
  <conditionalFormatting sqref="C383:N383 C386:N386">
    <cfRule type="aboveAverage" dxfId="970" priority="1486"/>
  </conditionalFormatting>
  <conditionalFormatting sqref="C389:N389">
    <cfRule type="aboveAverage" dxfId="969" priority="1485"/>
  </conditionalFormatting>
  <conditionalFormatting sqref="C390:N390">
    <cfRule type="aboveAverage" dxfId="968" priority="1484"/>
  </conditionalFormatting>
  <conditionalFormatting sqref="C391:N391">
    <cfRule type="aboveAverage" dxfId="967" priority="1483"/>
  </conditionalFormatting>
  <conditionalFormatting sqref="C394:N394">
    <cfRule type="aboveAverage" dxfId="966" priority="1508"/>
  </conditionalFormatting>
  <conditionalFormatting sqref="C471:N471">
    <cfRule type="aboveAverage" dxfId="965" priority="1558"/>
  </conditionalFormatting>
  <conditionalFormatting sqref="C548:N548">
    <cfRule type="aboveAverage" dxfId="964" priority="1608"/>
  </conditionalFormatting>
  <conditionalFormatting sqref="C613:N613 C616:N616">
    <cfRule type="aboveAverage" dxfId="963" priority="1027"/>
  </conditionalFormatting>
  <conditionalFormatting sqref="C690:N690 C693:N693">
    <cfRule type="aboveAverage" dxfId="962" priority="1686"/>
  </conditionalFormatting>
  <conditionalFormatting sqref="C696:N696">
    <cfRule type="aboveAverage" dxfId="961" priority="1685"/>
  </conditionalFormatting>
  <conditionalFormatting sqref="C696:N698">
    <cfRule type="aboveAverage" dxfId="960" priority="1684"/>
  </conditionalFormatting>
  <conditionalFormatting sqref="C698:N698">
    <cfRule type="aboveAverage" dxfId="959" priority="1683"/>
  </conditionalFormatting>
  <conditionalFormatting sqref="C701:N702">
    <cfRule type="aboveAverage" dxfId="958" priority="1058"/>
  </conditionalFormatting>
  <conditionalFormatting sqref="C763:N763">
    <cfRule type="aboveAverage" dxfId="957" priority="2640"/>
  </conditionalFormatting>
  <conditionalFormatting sqref="C764:N764">
    <cfRule type="aboveAverage" dxfId="956" priority="2644"/>
  </conditionalFormatting>
  <conditionalFormatting sqref="C773:N773">
    <cfRule type="aboveAverage" dxfId="955" priority="1092"/>
  </conditionalFormatting>
  <conditionalFormatting sqref="C778:N778">
    <cfRule type="aboveAverage" dxfId="954" priority="1089"/>
  </conditionalFormatting>
  <conditionalFormatting sqref="C811:N811">
    <cfRule type="aboveAverage" dxfId="953" priority="1167"/>
  </conditionalFormatting>
  <conditionalFormatting sqref="C817:N817">
    <cfRule type="aboveAverage" dxfId="952" priority="1166"/>
  </conditionalFormatting>
  <conditionalFormatting sqref="C818:N818">
    <cfRule type="aboveAverage" dxfId="951" priority="1165"/>
  </conditionalFormatting>
  <conditionalFormatting sqref="C821:N823">
    <cfRule type="aboveAverage" dxfId="950" priority="1163"/>
  </conditionalFormatting>
  <conditionalFormatting sqref="C824:N824">
    <cfRule type="aboveAverage" dxfId="949" priority="1162"/>
  </conditionalFormatting>
  <conditionalFormatting sqref="C825:N825">
    <cfRule type="aboveAverage" dxfId="948" priority="1161"/>
  </conditionalFormatting>
  <conditionalFormatting sqref="C826:N826">
    <cfRule type="aboveAverage" dxfId="947" priority="1160"/>
  </conditionalFormatting>
  <conditionalFormatting sqref="C827:N827">
    <cfRule type="aboveAverage" dxfId="946" priority="1159"/>
  </conditionalFormatting>
  <conditionalFormatting sqref="C828:N828">
    <cfRule type="aboveAverage" dxfId="945" priority="1158"/>
  </conditionalFormatting>
  <conditionalFormatting sqref="C832:N832">
    <cfRule type="aboveAverage" dxfId="944" priority="1156"/>
  </conditionalFormatting>
  <conditionalFormatting sqref="C833:N833">
    <cfRule type="aboveAverage" dxfId="943" priority="1155"/>
  </conditionalFormatting>
  <conditionalFormatting sqref="C837:N837">
    <cfRule type="aboveAverage" dxfId="942" priority="1146"/>
  </conditionalFormatting>
  <conditionalFormatting sqref="C840:N840">
    <cfRule type="aboveAverage" dxfId="941" priority="1144"/>
  </conditionalFormatting>
  <conditionalFormatting sqref="C841:N841">
    <cfRule type="aboveAverage" dxfId="940" priority="1145"/>
  </conditionalFormatting>
  <conditionalFormatting sqref="C851:N851">
    <cfRule type="aboveAverage" dxfId="939" priority="1142"/>
  </conditionalFormatting>
  <conditionalFormatting sqref="C852:N852">
    <cfRule type="aboveAverage" dxfId="938" priority="1141"/>
  </conditionalFormatting>
  <conditionalFormatting sqref="C855:N855">
    <cfRule type="aboveAverage" dxfId="937" priority="1140"/>
  </conditionalFormatting>
  <conditionalFormatting sqref="C888:N888">
    <cfRule type="aboveAverage" dxfId="936" priority="1202"/>
  </conditionalFormatting>
  <conditionalFormatting sqref="C894:N894">
    <cfRule type="aboveAverage" dxfId="935" priority="1201"/>
  </conditionalFormatting>
  <conditionalFormatting sqref="C895:N895">
    <cfRule type="aboveAverage" dxfId="934" priority="1200"/>
  </conditionalFormatting>
  <conditionalFormatting sqref="C898:N898">
    <cfRule type="aboveAverage" dxfId="933" priority="1199"/>
  </conditionalFormatting>
  <conditionalFormatting sqref="C901:N901">
    <cfRule type="aboveAverage" dxfId="932" priority="1198"/>
  </conditionalFormatting>
  <conditionalFormatting sqref="C902:N902">
    <cfRule type="aboveAverage" dxfId="931" priority="1197"/>
  </conditionalFormatting>
  <conditionalFormatting sqref="C903:N903">
    <cfRule type="aboveAverage" dxfId="930" priority="1196"/>
  </conditionalFormatting>
  <conditionalFormatting sqref="C904:N904">
    <cfRule type="aboveAverage" dxfId="929" priority="1195"/>
  </conditionalFormatting>
  <conditionalFormatting sqref="C905:N905">
    <cfRule type="aboveAverage" dxfId="928" priority="1194"/>
  </conditionalFormatting>
  <conditionalFormatting sqref="C909:N909">
    <cfRule type="aboveAverage" dxfId="927" priority="1192"/>
  </conditionalFormatting>
  <conditionalFormatting sqref="C910:N910">
    <cfRule type="aboveAverage" dxfId="926" priority="1191"/>
  </conditionalFormatting>
  <conditionalFormatting sqref="C914:N914">
    <cfRule type="aboveAverage" dxfId="925" priority="1183"/>
  </conditionalFormatting>
  <conditionalFormatting sqref="C917:N917">
    <cfRule type="aboveAverage" dxfId="924" priority="1181"/>
  </conditionalFormatting>
  <conditionalFormatting sqref="C918:N918">
    <cfRule type="aboveAverage" dxfId="923" priority="1182"/>
  </conditionalFormatting>
  <conditionalFormatting sqref="C927:N927">
    <cfRule type="aboveAverage" dxfId="922" priority="1173"/>
  </conditionalFormatting>
  <conditionalFormatting sqref="C928:N928">
    <cfRule type="aboveAverage" dxfId="921" priority="1180"/>
  </conditionalFormatting>
  <conditionalFormatting sqref="C929:N929">
    <cfRule type="aboveAverage" dxfId="920" priority="1179"/>
  </conditionalFormatting>
  <conditionalFormatting sqref="C932:N932">
    <cfRule type="aboveAverage" dxfId="919" priority="1176"/>
  </conditionalFormatting>
  <conditionalFormatting sqref="C964:N964">
    <cfRule type="aboveAverage" dxfId="918" priority="1222"/>
  </conditionalFormatting>
  <conditionalFormatting sqref="C970:N970">
    <cfRule type="aboveAverage" dxfId="917" priority="1224"/>
  </conditionalFormatting>
  <conditionalFormatting sqref="C971:N971">
    <cfRule type="aboveAverage" dxfId="916" priority="1223"/>
  </conditionalFormatting>
  <conditionalFormatting sqref="C974:N974">
    <cfRule type="aboveAverage" dxfId="915" priority="1221"/>
  </conditionalFormatting>
  <conditionalFormatting sqref="C980:N980">
    <cfRule type="aboveAverage" dxfId="914" priority="1220"/>
  </conditionalFormatting>
  <conditionalFormatting sqref="C981:N981">
    <cfRule type="aboveAverage" dxfId="913" priority="1219"/>
  </conditionalFormatting>
  <conditionalFormatting sqref="C984:N984">
    <cfRule type="aboveAverage" dxfId="912" priority="1218"/>
  </conditionalFormatting>
  <conditionalFormatting sqref="C985:N985">
    <cfRule type="aboveAverage" dxfId="911" priority="1217"/>
  </conditionalFormatting>
  <conditionalFormatting sqref="C986:N986">
    <cfRule type="aboveAverage" dxfId="910" priority="1216"/>
  </conditionalFormatting>
  <conditionalFormatting sqref="C987:N987">
    <cfRule type="aboveAverage" dxfId="909" priority="1215"/>
  </conditionalFormatting>
  <conditionalFormatting sqref="C988:N988">
    <cfRule type="aboveAverage" dxfId="908" priority="1214"/>
  </conditionalFormatting>
  <conditionalFormatting sqref="C989:N989">
    <cfRule type="aboveAverage" dxfId="907" priority="1213"/>
  </conditionalFormatting>
  <conditionalFormatting sqref="C990:N990">
    <cfRule type="aboveAverage" dxfId="906" priority="1212"/>
  </conditionalFormatting>
  <conditionalFormatting sqref="C993:N993">
    <cfRule type="aboveAverage" dxfId="905" priority="1206"/>
  </conditionalFormatting>
  <conditionalFormatting sqref="C994:N994">
    <cfRule type="aboveAverage" dxfId="904" priority="1207"/>
  </conditionalFormatting>
  <conditionalFormatting sqref="C998:N998">
    <cfRule type="aboveAverage" dxfId="903" priority="1203"/>
  </conditionalFormatting>
  <conditionalFormatting sqref="C1003:N1003">
    <cfRule type="aboveAverage" dxfId="902" priority="1211"/>
  </conditionalFormatting>
  <conditionalFormatting sqref="C1004:N1004">
    <cfRule type="aboveAverage" dxfId="901" priority="1210"/>
  </conditionalFormatting>
  <conditionalFormatting sqref="C1005:N1005">
    <cfRule type="aboveAverage" dxfId="900" priority="1209"/>
  </conditionalFormatting>
  <conditionalFormatting sqref="C1008:N1008">
    <cfRule type="aboveAverage" dxfId="899" priority="1208"/>
  </conditionalFormatting>
  <conditionalFormatting sqref="C1061:N1061">
    <cfRule type="aboveAverage" dxfId="898" priority="1236"/>
  </conditionalFormatting>
  <conditionalFormatting sqref="C1062:N1062">
    <cfRule type="aboveAverage" dxfId="897" priority="1235"/>
  </conditionalFormatting>
  <conditionalFormatting sqref="C1063:N1063">
    <cfRule type="aboveAverage" dxfId="896" priority="1234"/>
  </conditionalFormatting>
  <conditionalFormatting sqref="C1064:N1064">
    <cfRule type="aboveAverage" dxfId="895" priority="1233"/>
  </conditionalFormatting>
  <conditionalFormatting sqref="C1065:N1065">
    <cfRule type="aboveAverage" dxfId="894" priority="1232"/>
  </conditionalFormatting>
  <conditionalFormatting sqref="C1066:N1066">
    <cfRule type="aboveAverage" dxfId="893" priority="1231"/>
  </conditionalFormatting>
  <conditionalFormatting sqref="C1070:N1070">
    <cfRule type="aboveAverage" dxfId="892" priority="1230"/>
  </conditionalFormatting>
  <conditionalFormatting sqref="C1071:N1071">
    <cfRule type="aboveAverage" dxfId="891" priority="1229"/>
  </conditionalFormatting>
  <conditionalFormatting sqref="C1085:N1085">
    <cfRule type="aboveAverage" dxfId="890" priority="1228"/>
  </conditionalFormatting>
  <conditionalFormatting sqref="C1131:N1131">
    <cfRule type="aboveAverage" dxfId="889" priority="1242"/>
  </conditionalFormatting>
  <conditionalFormatting sqref="C1132:N1132">
    <cfRule type="aboveAverage" dxfId="888" priority="1241"/>
  </conditionalFormatting>
  <conditionalFormatting sqref="C1133:N1133">
    <cfRule type="aboveAverage" dxfId="887" priority="1240"/>
  </conditionalFormatting>
  <conditionalFormatting sqref="C1134:N1134">
    <cfRule type="aboveAverage" dxfId="886" priority="1239"/>
  </conditionalFormatting>
  <conditionalFormatting sqref="C1205:N1205">
    <cfRule type="aboveAverage" dxfId="885" priority="1260"/>
  </conditionalFormatting>
  <conditionalFormatting sqref="C1208:N1208">
    <cfRule type="aboveAverage" dxfId="884" priority="1259"/>
  </conditionalFormatting>
  <conditionalFormatting sqref="C1209:N1209">
    <cfRule type="aboveAverage" dxfId="883" priority="1258"/>
  </conditionalFormatting>
  <conditionalFormatting sqref="C1210:N1210">
    <cfRule type="aboveAverage" dxfId="882" priority="1257"/>
  </conditionalFormatting>
  <conditionalFormatting sqref="C1211:N1211">
    <cfRule type="aboveAverage" dxfId="881" priority="1256"/>
  </conditionalFormatting>
  <conditionalFormatting sqref="C1212:N1212">
    <cfRule type="aboveAverage" dxfId="880" priority="1255"/>
  </conditionalFormatting>
  <conditionalFormatting sqref="C1215:N1215">
    <cfRule type="aboveAverage" dxfId="879" priority="1254"/>
  </conditionalFormatting>
  <conditionalFormatting sqref="C1216:N1216">
    <cfRule type="aboveAverage" dxfId="878" priority="1253"/>
  </conditionalFormatting>
  <conditionalFormatting sqref="C1217:N1217">
    <cfRule type="aboveAverage" dxfId="877" priority="1252"/>
  </conditionalFormatting>
  <conditionalFormatting sqref="C1218:N1218">
    <cfRule type="aboveAverage" dxfId="876" priority="1251"/>
  </conditionalFormatting>
  <conditionalFormatting sqref="C1219:N1219">
    <cfRule type="aboveAverage" dxfId="875" priority="1250"/>
  </conditionalFormatting>
  <conditionalFormatting sqref="C1220:N1220">
    <cfRule type="aboveAverage" dxfId="874" priority="1249"/>
  </conditionalFormatting>
  <conditionalFormatting sqref="C1228:N1228 C1231:N1231">
    <cfRule type="aboveAverage" dxfId="873" priority="1774"/>
  </conditionalFormatting>
  <conditionalFormatting sqref="C1234:N1234">
    <cfRule type="aboveAverage" dxfId="872" priority="1248"/>
  </conditionalFormatting>
  <conditionalFormatting sqref="C1235:N1235">
    <cfRule type="aboveAverage" dxfId="871" priority="1247"/>
  </conditionalFormatting>
  <conditionalFormatting sqref="C1236:N1236">
    <cfRule type="aboveAverage" dxfId="870" priority="1246"/>
  </conditionalFormatting>
  <conditionalFormatting sqref="C1239:N1239">
    <cfRule type="aboveAverage" dxfId="869" priority="1245"/>
  </conditionalFormatting>
  <conditionalFormatting sqref="C1307:N1307">
    <cfRule type="aboveAverage" dxfId="868" priority="1243"/>
  </conditionalFormatting>
  <conditionalFormatting sqref="C1848:N1848 C1851:N1851">
    <cfRule type="aboveAverage" dxfId="867" priority="1847"/>
  </conditionalFormatting>
  <conditionalFormatting sqref="C1925:N1925 C1928:N1928">
    <cfRule type="aboveAverage" dxfId="866" priority="1867"/>
  </conditionalFormatting>
  <conditionalFormatting sqref="C1933:N1933">
    <cfRule type="aboveAverage" dxfId="865" priority="1864"/>
  </conditionalFormatting>
  <conditionalFormatting sqref="D44 F44:N44">
    <cfRule type="aboveAverage" dxfId="864" priority="1297"/>
  </conditionalFormatting>
  <conditionalFormatting sqref="D54 F54:N54">
    <cfRule type="aboveAverage" dxfId="863" priority="1298"/>
  </conditionalFormatting>
  <conditionalFormatting sqref="D119 F119:N119">
    <cfRule type="aboveAverage" dxfId="862" priority="1347"/>
  </conditionalFormatting>
  <conditionalFormatting sqref="D129 F129:N129">
    <cfRule type="aboveAverage" dxfId="861" priority="1348"/>
  </conditionalFormatting>
  <conditionalFormatting sqref="D331">
    <cfRule type="aboveAverage" dxfId="860" priority="338"/>
  </conditionalFormatting>
  <conditionalFormatting sqref="D342:D345">
    <cfRule type="aboveAverage" dxfId="859" priority="495"/>
  </conditionalFormatting>
  <conditionalFormatting sqref="D348:D349">
    <cfRule type="aboveAverage" dxfId="858" priority="494"/>
  </conditionalFormatting>
  <conditionalFormatting sqref="D362:D366 D368">
    <cfRule type="aboveAverage" dxfId="857" priority="493"/>
  </conditionalFormatting>
  <conditionalFormatting sqref="D371:D372 D374:D376">
    <cfRule type="aboveAverage" dxfId="856" priority="492"/>
  </conditionalFormatting>
  <conditionalFormatting sqref="D379:D380">
    <cfRule type="aboveAverage" dxfId="855" priority="491"/>
  </conditionalFormatting>
  <conditionalFormatting sqref="D416">
    <cfRule type="aboveAverage" dxfId="854" priority="597"/>
  </conditionalFormatting>
  <conditionalFormatting sqref="D427:D430">
    <cfRule type="aboveAverage" dxfId="853" priority="598"/>
  </conditionalFormatting>
  <conditionalFormatting sqref="D433 I433:J433">
    <cfRule type="aboveAverage" dxfId="852" priority="1574"/>
  </conditionalFormatting>
  <conditionalFormatting sqref="D434">
    <cfRule type="aboveAverage" dxfId="851" priority="592"/>
  </conditionalFormatting>
  <conditionalFormatting sqref="D442 F442:N442">
    <cfRule type="aboveAverage" dxfId="850" priority="1547"/>
  </conditionalFormatting>
  <conditionalFormatting sqref="D447:D453">
    <cfRule type="aboveAverage" dxfId="849" priority="596"/>
  </conditionalFormatting>
  <conditionalFormatting sqref="D456:D457">
    <cfRule type="aboveAverage" dxfId="848" priority="595"/>
  </conditionalFormatting>
  <conditionalFormatting sqref="D461">
    <cfRule type="aboveAverage" dxfId="847" priority="594"/>
  </conditionalFormatting>
  <conditionalFormatting sqref="D466:D468">
    <cfRule type="aboveAverage" dxfId="846" priority="593"/>
  </conditionalFormatting>
  <conditionalFormatting sqref="D517 F517">
    <cfRule type="aboveAverage" dxfId="845" priority="1603"/>
  </conditionalFormatting>
  <conditionalFormatting sqref="D519 F519:I519 K519:N519">
    <cfRule type="aboveAverage" dxfId="844" priority="1597"/>
  </conditionalFormatting>
  <conditionalFormatting sqref="D524:D530">
    <cfRule type="aboveAverage" dxfId="843" priority="822"/>
  </conditionalFormatting>
  <conditionalFormatting sqref="D533:D534">
    <cfRule type="aboveAverage" dxfId="842" priority="817"/>
  </conditionalFormatting>
  <conditionalFormatting sqref="D538 F538">
    <cfRule type="aboveAverage" dxfId="841" priority="812"/>
  </conditionalFormatting>
  <conditionalFormatting sqref="D543:D544 F543:F544">
    <cfRule type="aboveAverage" dxfId="840" priority="807"/>
  </conditionalFormatting>
  <conditionalFormatting sqref="D545 F545">
    <cfRule type="aboveAverage" dxfId="839" priority="754"/>
  </conditionalFormatting>
  <conditionalFormatting sqref="D586:D587">
    <cfRule type="aboveAverage" dxfId="838" priority="918"/>
  </conditionalFormatting>
  <conditionalFormatting sqref="D595 F595:N595">
    <cfRule type="aboveAverage" dxfId="837" priority="1647"/>
  </conditionalFormatting>
  <conditionalFormatting sqref="D600:D604 D606">
    <cfRule type="aboveAverage" dxfId="836" priority="917"/>
  </conditionalFormatting>
  <conditionalFormatting sqref="D609:D610">
    <cfRule type="aboveAverage" dxfId="835" priority="916"/>
  </conditionalFormatting>
  <conditionalFormatting sqref="D614">
    <cfRule type="aboveAverage" dxfId="834" priority="870"/>
  </conditionalFormatting>
  <conditionalFormatting sqref="D619:D621">
    <cfRule type="aboveAverage" dxfId="833" priority="915"/>
  </conditionalFormatting>
  <conditionalFormatting sqref="D671">
    <cfRule type="aboveAverage" dxfId="832" priority="858"/>
  </conditionalFormatting>
  <conditionalFormatting sqref="D686">
    <cfRule type="aboveAverage" dxfId="831" priority="1061"/>
  </conditionalFormatting>
  <conditionalFormatting sqref="D749 F749 J749:N749">
    <cfRule type="aboveAverage" dxfId="830" priority="1114"/>
  </conditionalFormatting>
  <conditionalFormatting sqref="D759 F759:N759">
    <cfRule type="aboveAverage" dxfId="829" priority="1096"/>
  </conditionalFormatting>
  <conditionalFormatting sqref="D1615 D1618">
    <cfRule type="aboveAverage" dxfId="828" priority="1272"/>
  </conditionalFormatting>
  <conditionalFormatting sqref="D1617">
    <cfRule type="aboveAverage" dxfId="827" priority="1271"/>
  </conditionalFormatting>
  <conditionalFormatting sqref="D1907 F1907:H1907">
    <cfRule type="aboveAverage" dxfId="826" priority="1878"/>
  </conditionalFormatting>
  <conditionalFormatting sqref="D1917 F1917:N1917">
    <cfRule type="aboveAverage" dxfId="825" priority="1879"/>
  </conditionalFormatting>
  <conditionalFormatting sqref="D504:E507">
    <cfRule type="aboveAverage" dxfId="824" priority="837"/>
  </conditionalFormatting>
  <conditionalFormatting sqref="D668:E668 H668:N668">
    <cfRule type="aboveAverage" dxfId="823" priority="1048"/>
  </conditionalFormatting>
  <conditionalFormatting sqref="D672:E672 H672:N672">
    <cfRule type="aboveAverage" dxfId="822" priority="1046"/>
  </conditionalFormatting>
  <conditionalFormatting sqref="D674:E674 H674:N674">
    <cfRule type="aboveAverage" dxfId="821" priority="1059"/>
  </conditionalFormatting>
  <conditionalFormatting sqref="D367:F367 H367:N367">
    <cfRule type="aboveAverage" dxfId="820" priority="481"/>
  </conditionalFormatting>
  <conditionalFormatting sqref="D510:G511">
    <cfRule type="aboveAverage" dxfId="819" priority="831"/>
  </conditionalFormatting>
  <conditionalFormatting sqref="D580:G583">
    <cfRule type="aboveAverage" dxfId="818" priority="1008"/>
  </conditionalFormatting>
  <conditionalFormatting sqref="D687:G687">
    <cfRule type="aboveAverage" dxfId="817" priority="1050"/>
  </conditionalFormatting>
  <conditionalFormatting sqref="D283:H283">
    <cfRule type="aboveAverage" dxfId="816" priority="264"/>
  </conditionalFormatting>
  <conditionalFormatting sqref="D521:I521 K521:N521">
    <cfRule type="aboveAverage" dxfId="815" priority="796"/>
  </conditionalFormatting>
  <conditionalFormatting sqref="D594:I594">
    <cfRule type="aboveAverage" dxfId="814" priority="850"/>
  </conditionalFormatting>
  <conditionalFormatting sqref="D206:N206">
    <cfRule type="aboveAverage" dxfId="813" priority="51"/>
  </conditionalFormatting>
  <conditionalFormatting sqref="D353:N353">
    <cfRule type="aboveAverage" dxfId="812" priority="477"/>
  </conditionalFormatting>
  <conditionalFormatting sqref="D354:N354">
    <cfRule type="aboveAverage" dxfId="811" priority="476"/>
  </conditionalFormatting>
  <conditionalFormatting sqref="D356:N356">
    <cfRule type="aboveAverage" dxfId="810" priority="427"/>
  </conditionalFormatting>
  <conditionalFormatting sqref="D357:N357">
    <cfRule type="aboveAverage" dxfId="809" priority="479"/>
  </conditionalFormatting>
  <conditionalFormatting sqref="D437:N437">
    <cfRule type="aboveAverage" dxfId="808" priority="600"/>
  </conditionalFormatting>
  <conditionalFormatting sqref="D438:N438">
    <cfRule type="aboveAverage" dxfId="807" priority="602"/>
  </conditionalFormatting>
  <conditionalFormatting sqref="D439:N439">
    <cfRule type="aboveAverage" dxfId="806" priority="578"/>
  </conditionalFormatting>
  <conditionalFormatting sqref="D440:N440">
    <cfRule type="aboveAverage" dxfId="805" priority="599"/>
  </conditionalFormatting>
  <conditionalFormatting sqref="D441:N441">
    <cfRule type="aboveAverage" dxfId="804" priority="605"/>
  </conditionalFormatting>
  <conditionalFormatting sqref="D444:N444">
    <cfRule type="aboveAverage" dxfId="803" priority="604"/>
  </conditionalFormatting>
  <conditionalFormatting sqref="D605:N605">
    <cfRule type="aboveAverage" dxfId="802" priority="855"/>
  </conditionalFormatting>
  <conditionalFormatting sqref="D624:N624">
    <cfRule type="aboveAverage" dxfId="801" priority="1016"/>
  </conditionalFormatting>
  <conditionalFormatting sqref="D625:N625">
    <cfRule type="aboveAverage" dxfId="800" priority="1015"/>
  </conditionalFormatting>
  <conditionalFormatting sqref="D669:N669">
    <cfRule type="aboveAverage" dxfId="799" priority="859"/>
  </conditionalFormatting>
  <conditionalFormatting sqref="D682:N682">
    <cfRule type="aboveAverage" dxfId="798" priority="1051"/>
  </conditionalFormatting>
  <conditionalFormatting sqref="D767:N767">
    <cfRule type="aboveAverage" dxfId="797" priority="1088"/>
  </conditionalFormatting>
  <conditionalFormatting sqref="D769:N769">
    <cfRule type="aboveAverage" dxfId="796" priority="1065"/>
  </conditionalFormatting>
  <conditionalFormatting sqref="D770:N770">
    <cfRule type="aboveAverage" dxfId="795" priority="1064"/>
  </conditionalFormatting>
  <conditionalFormatting sqref="D844:N844">
    <cfRule type="aboveAverage" dxfId="794" priority="1135"/>
  </conditionalFormatting>
  <conditionalFormatting sqref="D846:N846">
    <cfRule type="aboveAverage" dxfId="793" priority="1134"/>
  </conditionalFormatting>
  <conditionalFormatting sqref="D847:N847">
    <cfRule type="aboveAverage" dxfId="792" priority="1067"/>
  </conditionalFormatting>
  <conditionalFormatting sqref="D850:N850">
    <cfRule type="aboveAverage" dxfId="791" priority="1053"/>
  </conditionalFormatting>
  <conditionalFormatting sqref="D899:N900">
    <cfRule type="aboveAverage" dxfId="790" priority="1741"/>
  </conditionalFormatting>
  <conditionalFormatting sqref="D921:N921">
    <cfRule type="aboveAverage" dxfId="789" priority="1172"/>
  </conditionalFormatting>
  <conditionalFormatting sqref="D923:N923">
    <cfRule type="aboveAverage" dxfId="788" priority="1171"/>
  </conditionalFormatting>
  <conditionalFormatting sqref="D924:N924">
    <cfRule type="aboveAverage" dxfId="787" priority="1170"/>
  </conditionalFormatting>
  <conditionalFormatting sqref="D975:N976">
    <cfRule type="aboveAverage" dxfId="786" priority="1750"/>
  </conditionalFormatting>
  <conditionalFormatting sqref="D997:N997 D1000:N1000">
    <cfRule type="aboveAverage" dxfId="785" priority="1205"/>
  </conditionalFormatting>
  <conditionalFormatting sqref="D999:N999">
    <cfRule type="aboveAverage" dxfId="784" priority="1204"/>
  </conditionalFormatting>
  <conditionalFormatting sqref="D1052:N1053">
    <cfRule type="aboveAverage" dxfId="783" priority="1759"/>
  </conditionalFormatting>
  <conditionalFormatting sqref="D1074:N1074 D1077:N1077">
    <cfRule type="aboveAverage" dxfId="782" priority="1227"/>
  </conditionalFormatting>
  <conditionalFormatting sqref="D1076:N1076">
    <cfRule type="aboveAverage" dxfId="781" priority="1226"/>
  </conditionalFormatting>
  <conditionalFormatting sqref="D1129:N1130">
    <cfRule type="aboveAverage" dxfId="780" priority="1768"/>
  </conditionalFormatting>
  <conditionalFormatting sqref="D1147:N1147">
    <cfRule type="aboveAverage" dxfId="779" priority="1766"/>
  </conditionalFormatting>
  <conditionalFormatting sqref="D1148:N1148">
    <cfRule type="aboveAverage" dxfId="778" priority="1767"/>
  </conditionalFormatting>
  <conditionalFormatting sqref="D1151:N1151 D1154:N1154">
    <cfRule type="aboveAverage" dxfId="777" priority="1237"/>
  </conditionalFormatting>
  <conditionalFormatting sqref="D1206:N1207">
    <cfRule type="aboveAverage" dxfId="776" priority="1777"/>
  </conditionalFormatting>
  <conditionalFormatting sqref="D1224:N1224">
    <cfRule type="aboveAverage" dxfId="775" priority="1775"/>
  </conditionalFormatting>
  <conditionalFormatting sqref="D1225:N1225">
    <cfRule type="aboveAverage" dxfId="774" priority="1776"/>
  </conditionalFormatting>
  <conditionalFormatting sqref="D1230:N1230">
    <cfRule type="aboveAverage" dxfId="773" priority="1772"/>
  </conditionalFormatting>
  <conditionalFormatting sqref="D1284:N1285">
    <cfRule type="aboveAverage" dxfId="772" priority="1786"/>
  </conditionalFormatting>
  <conditionalFormatting sqref="D1302:N1302">
    <cfRule type="aboveAverage" dxfId="771" priority="1784"/>
  </conditionalFormatting>
  <conditionalFormatting sqref="D1303:N1303">
    <cfRule type="aboveAverage" dxfId="770" priority="1785"/>
  </conditionalFormatting>
  <conditionalFormatting sqref="D1306:N1306 D1309:N1309">
    <cfRule type="aboveAverage" dxfId="769" priority="1262"/>
  </conditionalFormatting>
  <conditionalFormatting sqref="D1308:N1308">
    <cfRule type="aboveAverage" dxfId="768" priority="1244"/>
  </conditionalFormatting>
  <conditionalFormatting sqref="D1361:N1362">
    <cfRule type="aboveAverage" dxfId="767" priority="1795"/>
  </conditionalFormatting>
  <conditionalFormatting sqref="D1379:N1379">
    <cfRule type="aboveAverage" dxfId="766" priority="1793"/>
  </conditionalFormatting>
  <conditionalFormatting sqref="D1380:N1380">
    <cfRule type="aboveAverage" dxfId="765" priority="1794"/>
  </conditionalFormatting>
  <conditionalFormatting sqref="D1383:N1383 D1386:N1386">
    <cfRule type="aboveAverage" dxfId="764" priority="1264"/>
  </conditionalFormatting>
  <conditionalFormatting sqref="D1385:N1385">
    <cfRule type="aboveAverage" dxfId="763" priority="1263"/>
  </conditionalFormatting>
  <conditionalFormatting sqref="D1438:N1439">
    <cfRule type="aboveAverage" dxfId="762" priority="1804"/>
  </conditionalFormatting>
  <conditionalFormatting sqref="D1456:N1456">
    <cfRule type="aboveAverage" dxfId="761" priority="1802"/>
  </conditionalFormatting>
  <conditionalFormatting sqref="D1457:N1457">
    <cfRule type="aboveAverage" dxfId="760" priority="1803"/>
  </conditionalFormatting>
  <conditionalFormatting sqref="D1460:N1460 D1463:N1463">
    <cfRule type="aboveAverage" dxfId="759" priority="1266"/>
  </conditionalFormatting>
  <conditionalFormatting sqref="D1462:N1462">
    <cfRule type="aboveAverage" dxfId="758" priority="1265"/>
  </conditionalFormatting>
  <conditionalFormatting sqref="D1515:N1516">
    <cfRule type="aboveAverage" dxfId="757" priority="1813"/>
  </conditionalFormatting>
  <conditionalFormatting sqref="D1533:N1533">
    <cfRule type="aboveAverage" dxfId="756" priority="1811"/>
  </conditionalFormatting>
  <conditionalFormatting sqref="D1534:N1534">
    <cfRule type="aboveAverage" dxfId="755" priority="1812"/>
  </conditionalFormatting>
  <conditionalFormatting sqref="D1537:N1537 D1540:N1540">
    <cfRule type="aboveAverage" dxfId="754" priority="1268"/>
  </conditionalFormatting>
  <conditionalFormatting sqref="D1539:N1539">
    <cfRule type="aboveAverage" dxfId="753" priority="1267"/>
  </conditionalFormatting>
  <conditionalFormatting sqref="D1593:N1594">
    <cfRule type="aboveAverage" dxfId="752" priority="1822"/>
  </conditionalFormatting>
  <conditionalFormatting sqref="D1611:N1611">
    <cfRule type="aboveAverage" dxfId="751" priority="1820"/>
  </conditionalFormatting>
  <conditionalFormatting sqref="D1612:N1612">
    <cfRule type="aboveAverage" dxfId="750" priority="1821"/>
  </conditionalFormatting>
  <conditionalFormatting sqref="D1671:N1672">
    <cfRule type="aboveAverage" dxfId="749" priority="1831"/>
  </conditionalFormatting>
  <conditionalFormatting sqref="D1689:N1689">
    <cfRule type="aboveAverage" dxfId="748" priority="1829"/>
  </conditionalFormatting>
  <conditionalFormatting sqref="D1690:N1690">
    <cfRule type="aboveAverage" dxfId="747" priority="1830"/>
  </conditionalFormatting>
  <conditionalFormatting sqref="D1693:N1693 D1696:N1696">
    <cfRule type="aboveAverage" dxfId="746" priority="1274"/>
  </conditionalFormatting>
  <conditionalFormatting sqref="D1695:N1695">
    <cfRule type="aboveAverage" dxfId="745" priority="1273"/>
  </conditionalFormatting>
  <conditionalFormatting sqref="D1749:N1750">
    <cfRule type="aboveAverage" dxfId="744" priority="1840"/>
  </conditionalFormatting>
  <conditionalFormatting sqref="D1767:N1767">
    <cfRule type="aboveAverage" dxfId="743" priority="1838"/>
  </conditionalFormatting>
  <conditionalFormatting sqref="D1768:N1768">
    <cfRule type="aboveAverage" dxfId="742" priority="1839"/>
  </conditionalFormatting>
  <conditionalFormatting sqref="D1771:N1771 D1774:N1774">
    <cfRule type="aboveAverage" dxfId="741" priority="1276"/>
  </conditionalFormatting>
  <conditionalFormatting sqref="D1773:N1773">
    <cfRule type="aboveAverage" dxfId="740" priority="1275"/>
  </conditionalFormatting>
  <conditionalFormatting sqref="D1826:N1827">
    <cfRule type="aboveAverage" dxfId="739" priority="1852"/>
  </conditionalFormatting>
  <conditionalFormatting sqref="D1844:N1844">
    <cfRule type="aboveAverage" dxfId="738" priority="1850"/>
  </conditionalFormatting>
  <conditionalFormatting sqref="D1845:N1845">
    <cfRule type="aboveAverage" dxfId="737" priority="1851"/>
  </conditionalFormatting>
  <conditionalFormatting sqref="D1850:N1850">
    <cfRule type="aboveAverage" dxfId="736" priority="1844"/>
  </conditionalFormatting>
  <conditionalFormatting sqref="E29">
    <cfRule type="aboveAverage" dxfId="735" priority="1287"/>
  </conditionalFormatting>
  <conditionalFormatting sqref="E35:E36">
    <cfRule type="aboveAverage" dxfId="734" priority="1288"/>
  </conditionalFormatting>
  <conditionalFormatting sqref="E39">
    <cfRule type="aboveAverage" dxfId="733" priority="1295"/>
  </conditionalFormatting>
  <conditionalFormatting sqref="E40:E41">
    <cfRule type="aboveAverage" dxfId="732" priority="1294"/>
  </conditionalFormatting>
  <conditionalFormatting sqref="E42">
    <cfRule type="aboveAverage" dxfId="731" priority="1293"/>
  </conditionalFormatting>
  <conditionalFormatting sqref="E43">
    <cfRule type="aboveAverage" dxfId="730" priority="1292"/>
  </conditionalFormatting>
  <conditionalFormatting sqref="E44">
    <cfRule type="aboveAverage" dxfId="729" priority="1289"/>
  </conditionalFormatting>
  <conditionalFormatting sqref="E45">
    <cfRule type="aboveAverage" dxfId="728" priority="1291"/>
  </conditionalFormatting>
  <conditionalFormatting sqref="E46">
    <cfRule type="aboveAverage" dxfId="727" priority="1290"/>
  </conditionalFormatting>
  <conditionalFormatting sqref="E49:E55">
    <cfRule type="aboveAverage" dxfId="726" priority="1326"/>
  </conditionalFormatting>
  <conditionalFormatting sqref="E63">
    <cfRule type="aboveAverage" dxfId="725" priority="1277"/>
  </conditionalFormatting>
  <conditionalFormatting sqref="E64">
    <cfRule type="aboveAverage" dxfId="724" priority="1280"/>
  </conditionalFormatting>
  <conditionalFormatting sqref="E104">
    <cfRule type="aboveAverage" dxfId="723" priority="1337"/>
  </conditionalFormatting>
  <conditionalFormatting sqref="E110:E111">
    <cfRule type="aboveAverage" dxfId="722" priority="1338"/>
  </conditionalFormatting>
  <conditionalFormatting sqref="E119">
    <cfRule type="aboveAverage" dxfId="721" priority="1339"/>
  </conditionalFormatting>
  <conditionalFormatting sqref="E120">
    <cfRule type="aboveAverage" dxfId="720" priority="1341"/>
  </conditionalFormatting>
  <conditionalFormatting sqref="E124:E130">
    <cfRule type="aboveAverage" dxfId="719" priority="1376"/>
  </conditionalFormatting>
  <conditionalFormatting sqref="E138">
    <cfRule type="aboveAverage" dxfId="718" priority="1327"/>
  </conditionalFormatting>
  <conditionalFormatting sqref="E139">
    <cfRule type="aboveAverage" dxfId="717" priority="1330"/>
  </conditionalFormatting>
  <conditionalFormatting sqref="E170">
    <cfRule type="aboveAverage" dxfId="716" priority="22"/>
  </conditionalFormatting>
  <conditionalFormatting sqref="E181">
    <cfRule type="aboveAverage" dxfId="715" priority="1387"/>
  </conditionalFormatting>
  <conditionalFormatting sqref="E182:E184">
    <cfRule type="aboveAverage" dxfId="714" priority="65"/>
  </conditionalFormatting>
  <conditionalFormatting sqref="E187:E188">
    <cfRule type="aboveAverage" dxfId="713" priority="86"/>
  </conditionalFormatting>
  <conditionalFormatting sqref="E201:E205 E207">
    <cfRule type="aboveAverage" dxfId="712" priority="54"/>
  </conditionalFormatting>
  <conditionalFormatting sqref="E210:E211">
    <cfRule type="aboveAverage" dxfId="711" priority="52"/>
  </conditionalFormatting>
  <conditionalFormatting sqref="E215">
    <cfRule type="aboveAverage" dxfId="710" priority="50"/>
  </conditionalFormatting>
  <conditionalFormatting sqref="E255">
    <cfRule type="aboveAverage" dxfId="709" priority="307"/>
  </conditionalFormatting>
  <conditionalFormatting sqref="E258">
    <cfRule type="aboveAverage" dxfId="708" priority="306"/>
  </conditionalFormatting>
  <conditionalFormatting sqref="E259">
    <cfRule type="aboveAverage" dxfId="707" priority="305"/>
  </conditionalFormatting>
  <conditionalFormatting sqref="E260">
    <cfRule type="aboveAverage" dxfId="706" priority="304"/>
  </conditionalFormatting>
  <conditionalFormatting sqref="E261">
    <cfRule type="aboveAverage" dxfId="705" priority="303"/>
  </conditionalFormatting>
  <conditionalFormatting sqref="E264">
    <cfRule type="aboveAverage" dxfId="704" priority="302"/>
  </conditionalFormatting>
  <conditionalFormatting sqref="E265">
    <cfRule type="aboveAverage" dxfId="703" priority="301"/>
  </conditionalFormatting>
  <conditionalFormatting sqref="E274">
    <cfRule type="aboveAverage" dxfId="702" priority="1441"/>
  </conditionalFormatting>
  <conditionalFormatting sqref="E278">
    <cfRule type="aboveAverage" dxfId="701" priority="300"/>
  </conditionalFormatting>
  <conditionalFormatting sqref="E279">
    <cfRule type="aboveAverage" dxfId="700" priority="299"/>
  </conditionalFormatting>
  <conditionalFormatting sqref="E280">
    <cfRule type="aboveAverage" dxfId="699" priority="298"/>
  </conditionalFormatting>
  <conditionalFormatting sqref="E281">
    <cfRule type="aboveAverage" dxfId="698" priority="297"/>
  </conditionalFormatting>
  <conditionalFormatting sqref="E282">
    <cfRule type="aboveAverage" dxfId="697" priority="296"/>
  </conditionalFormatting>
  <conditionalFormatting sqref="E284">
    <cfRule type="aboveAverage" dxfId="696" priority="294"/>
  </conditionalFormatting>
  <conditionalFormatting sqref="E287:E288 E290:E292">
    <cfRule type="aboveAverage" dxfId="695" priority="171"/>
  </conditionalFormatting>
  <conditionalFormatting sqref="E295:E296">
    <cfRule type="aboveAverage" dxfId="694" priority="293"/>
  </conditionalFormatting>
  <conditionalFormatting sqref="E300">
    <cfRule type="aboveAverage" dxfId="693" priority="109"/>
  </conditionalFormatting>
  <conditionalFormatting sqref="E301">
    <cfRule type="aboveAverage" dxfId="692" priority="1430"/>
  </conditionalFormatting>
  <conditionalFormatting sqref="E331">
    <cfRule type="aboveAverage" dxfId="691" priority="337"/>
  </conditionalFormatting>
  <conditionalFormatting sqref="E342:E345">
    <cfRule type="aboveAverage" dxfId="690" priority="490"/>
  </conditionalFormatting>
  <conditionalFormatting sqref="E348:E349">
    <cfRule type="aboveAverage" dxfId="689" priority="489"/>
  </conditionalFormatting>
  <conditionalFormatting sqref="E355">
    <cfRule type="aboveAverage" dxfId="688" priority="429"/>
  </conditionalFormatting>
  <conditionalFormatting sqref="E358">
    <cfRule type="aboveAverage" dxfId="687" priority="1491"/>
  </conditionalFormatting>
  <conditionalFormatting sqref="E362:E366 E368">
    <cfRule type="aboveAverage" dxfId="686" priority="488"/>
  </conditionalFormatting>
  <conditionalFormatting sqref="E371:E372 E374:E376">
    <cfRule type="aboveAverage" dxfId="685" priority="487"/>
  </conditionalFormatting>
  <conditionalFormatting sqref="E379:E380">
    <cfRule type="aboveAverage" dxfId="684" priority="486"/>
  </conditionalFormatting>
  <conditionalFormatting sqref="E384">
    <cfRule type="aboveAverage" dxfId="683" priority="1477"/>
  </conditionalFormatting>
  <conditionalFormatting sqref="E385">
    <cfRule type="aboveAverage" dxfId="682" priority="1480"/>
  </conditionalFormatting>
  <conditionalFormatting sqref="E416">
    <cfRule type="aboveAverage" dxfId="681" priority="579"/>
  </conditionalFormatting>
  <conditionalFormatting sqref="E427:E430">
    <cfRule type="aboveAverage" dxfId="680" priority="580"/>
  </conditionalFormatting>
  <conditionalFormatting sqref="E433">
    <cfRule type="aboveAverage" dxfId="679" priority="590"/>
  </conditionalFormatting>
  <conditionalFormatting sqref="E434">
    <cfRule type="aboveAverage" dxfId="678" priority="586"/>
  </conditionalFormatting>
  <conditionalFormatting sqref="E442">
    <cfRule type="aboveAverage" dxfId="677" priority="1539"/>
  </conditionalFormatting>
  <conditionalFormatting sqref="E443">
    <cfRule type="aboveAverage" dxfId="676" priority="1541"/>
  </conditionalFormatting>
  <conditionalFormatting sqref="E447:E453">
    <cfRule type="aboveAverage" dxfId="675" priority="584"/>
  </conditionalFormatting>
  <conditionalFormatting sqref="E456:E457">
    <cfRule type="aboveAverage" dxfId="674" priority="583"/>
  </conditionalFormatting>
  <conditionalFormatting sqref="E461">
    <cfRule type="aboveAverage" dxfId="673" priority="582"/>
  </conditionalFormatting>
  <conditionalFormatting sqref="E462">
    <cfRule type="aboveAverage" dxfId="672" priority="679"/>
  </conditionalFormatting>
  <conditionalFormatting sqref="E466:E468">
    <cfRule type="aboveAverage" dxfId="671" priority="581"/>
  </conditionalFormatting>
  <conditionalFormatting sqref="E514">
    <cfRule type="aboveAverage" dxfId="670" priority="1595"/>
  </conditionalFormatting>
  <conditionalFormatting sqref="E515:E516">
    <cfRule type="aboveAverage" dxfId="669" priority="1594"/>
  </conditionalFormatting>
  <conditionalFormatting sqref="E517">
    <cfRule type="aboveAverage" dxfId="668" priority="1593"/>
  </conditionalFormatting>
  <conditionalFormatting sqref="E519">
    <cfRule type="aboveAverage" dxfId="667" priority="1589"/>
  </conditionalFormatting>
  <conditionalFormatting sqref="E520">
    <cfRule type="aboveAverage" dxfId="666" priority="1591"/>
  </conditionalFormatting>
  <conditionalFormatting sqref="E524">
    <cfRule type="aboveAverage" dxfId="665" priority="795"/>
  </conditionalFormatting>
  <conditionalFormatting sqref="E525:E530">
    <cfRule type="aboveAverage" dxfId="664" priority="794"/>
  </conditionalFormatting>
  <conditionalFormatting sqref="E533:E534">
    <cfRule type="aboveAverage" dxfId="663" priority="793"/>
  </conditionalFormatting>
  <conditionalFormatting sqref="E538">
    <cfRule type="aboveAverage" dxfId="662" priority="792"/>
  </conditionalFormatting>
  <conditionalFormatting sqref="E539">
    <cfRule type="aboveAverage" dxfId="661" priority="1580"/>
  </conditionalFormatting>
  <conditionalFormatting sqref="E543">
    <cfRule type="aboveAverage" dxfId="660" priority="791"/>
  </conditionalFormatting>
  <conditionalFormatting sqref="E544">
    <cfRule type="aboveAverage" dxfId="659" priority="790"/>
  </conditionalFormatting>
  <conditionalFormatting sqref="E545">
    <cfRule type="aboveAverage" dxfId="658" priority="751"/>
  </conditionalFormatting>
  <conditionalFormatting sqref="E586:E587">
    <cfRule type="aboveAverage" dxfId="657" priority="914"/>
  </conditionalFormatting>
  <conditionalFormatting sqref="E590">
    <cfRule type="aboveAverage" dxfId="656" priority="1645"/>
  </conditionalFormatting>
  <conditionalFormatting sqref="E591:E592">
    <cfRule type="aboveAverage" dxfId="655" priority="1644"/>
  </conditionalFormatting>
  <conditionalFormatting sqref="E593">
    <cfRule type="aboveAverage" dxfId="654" priority="1643"/>
  </conditionalFormatting>
  <conditionalFormatting sqref="E595">
    <cfRule type="aboveAverage" dxfId="653" priority="1639"/>
  </conditionalFormatting>
  <conditionalFormatting sqref="E596">
    <cfRule type="aboveAverage" dxfId="652" priority="1641"/>
  </conditionalFormatting>
  <conditionalFormatting sqref="E597">
    <cfRule type="aboveAverage" dxfId="651" priority="1640"/>
  </conditionalFormatting>
  <conditionalFormatting sqref="E600:E604 E606">
    <cfRule type="aboveAverage" dxfId="650" priority="913"/>
  </conditionalFormatting>
  <conditionalFormatting sqref="E609:E610">
    <cfRule type="aboveAverage" dxfId="649" priority="912"/>
  </conditionalFormatting>
  <conditionalFormatting sqref="E614">
    <cfRule type="aboveAverage" dxfId="648" priority="869"/>
  </conditionalFormatting>
  <conditionalFormatting sqref="E615">
    <cfRule type="aboveAverage" dxfId="647" priority="1024"/>
  </conditionalFormatting>
  <conditionalFormatting sqref="E619:E621">
    <cfRule type="aboveAverage" dxfId="646" priority="911"/>
  </conditionalFormatting>
  <conditionalFormatting sqref="E657">
    <cfRule type="aboveAverage" dxfId="645" priority="1687"/>
  </conditionalFormatting>
  <conditionalFormatting sqref="E663:E664">
    <cfRule type="aboveAverage" dxfId="644" priority="1688"/>
  </conditionalFormatting>
  <conditionalFormatting sqref="E667">
    <cfRule type="aboveAverage" dxfId="643" priority="1695"/>
  </conditionalFormatting>
  <conditionalFormatting sqref="E670">
    <cfRule type="aboveAverage" dxfId="642" priority="1693"/>
  </conditionalFormatting>
  <conditionalFormatting sqref="E671 H671:N671">
    <cfRule type="aboveAverage" dxfId="641" priority="1052"/>
  </conditionalFormatting>
  <conditionalFormatting sqref="E673">
    <cfRule type="aboveAverage" dxfId="640" priority="1691"/>
  </conditionalFormatting>
  <conditionalFormatting sqref="E677:E681 E683">
    <cfRule type="aboveAverage" dxfId="639" priority="1726"/>
  </conditionalFormatting>
  <conditionalFormatting sqref="E686">
    <cfRule type="aboveAverage" dxfId="638" priority="1045"/>
  </conditionalFormatting>
  <conditionalFormatting sqref="E691">
    <cfRule type="aboveAverage" dxfId="637" priority="1677"/>
  </conditionalFormatting>
  <conditionalFormatting sqref="E692">
    <cfRule type="aboveAverage" dxfId="636" priority="1680"/>
  </conditionalFormatting>
  <conditionalFormatting sqref="E734">
    <cfRule type="aboveAverage" dxfId="635" priority="1129"/>
  </conditionalFormatting>
  <conditionalFormatting sqref="E740:E741">
    <cfRule type="aboveAverage" dxfId="634" priority="1126"/>
  </conditionalFormatting>
  <conditionalFormatting sqref="E744">
    <cfRule type="aboveAverage" dxfId="633" priority="1112"/>
  </conditionalFormatting>
  <conditionalFormatting sqref="E745:E746">
    <cfRule type="aboveAverage" dxfId="632" priority="1111"/>
  </conditionalFormatting>
  <conditionalFormatting sqref="E747">
    <cfRule type="aboveAverage" dxfId="631" priority="1110"/>
  </conditionalFormatting>
  <conditionalFormatting sqref="E748">
    <cfRule type="aboveAverage" dxfId="630" priority="1109"/>
  </conditionalFormatting>
  <conditionalFormatting sqref="E749">
    <cfRule type="aboveAverage" dxfId="629" priority="1106"/>
  </conditionalFormatting>
  <conditionalFormatting sqref="E750">
    <cfRule type="aboveAverage" dxfId="628" priority="1108"/>
  </conditionalFormatting>
  <conditionalFormatting sqref="E751">
    <cfRule type="aboveAverage" dxfId="627" priority="1107"/>
  </conditionalFormatting>
  <conditionalFormatting sqref="E754:E758">
    <cfRule type="aboveAverage" dxfId="626" priority="1095"/>
  </conditionalFormatting>
  <conditionalFormatting sqref="E759">
    <cfRule type="aboveAverage" dxfId="625" priority="1082"/>
  </conditionalFormatting>
  <conditionalFormatting sqref="E760">
    <cfRule type="aboveAverage" dxfId="624" priority="1093"/>
  </conditionalFormatting>
  <conditionalFormatting sqref="E768">
    <cfRule type="aboveAverage" dxfId="623" priority="1083"/>
  </conditionalFormatting>
  <conditionalFormatting sqref="E1892">
    <cfRule type="aboveAverage" dxfId="622" priority="1868"/>
  </conditionalFormatting>
  <conditionalFormatting sqref="E1898:E1899">
    <cfRule type="aboveAverage" dxfId="621" priority="1869"/>
  </conditionalFormatting>
  <conditionalFormatting sqref="E1902">
    <cfRule type="aboveAverage" dxfId="620" priority="1876"/>
  </conditionalFormatting>
  <conditionalFormatting sqref="E1903:E1904">
    <cfRule type="aboveAverage" dxfId="619" priority="1875"/>
  </conditionalFormatting>
  <conditionalFormatting sqref="E1905">
    <cfRule type="aboveAverage" dxfId="618" priority="1874"/>
  </conditionalFormatting>
  <conditionalFormatting sqref="E1906">
    <cfRule type="aboveAverage" dxfId="617" priority="1873"/>
  </conditionalFormatting>
  <conditionalFormatting sqref="E1907">
    <cfRule type="aboveAverage" dxfId="616" priority="1870"/>
  </conditionalFormatting>
  <conditionalFormatting sqref="E1908">
    <cfRule type="aboveAverage" dxfId="615" priority="1872"/>
  </conditionalFormatting>
  <conditionalFormatting sqref="E1909">
    <cfRule type="aboveAverage" dxfId="614" priority="1871"/>
  </conditionalFormatting>
  <conditionalFormatting sqref="E1912:E1918">
    <cfRule type="aboveAverage" dxfId="613" priority="1907"/>
  </conditionalFormatting>
  <conditionalFormatting sqref="E1926">
    <cfRule type="aboveAverage" dxfId="612" priority="1858"/>
  </conditionalFormatting>
  <conditionalFormatting sqref="E1927">
    <cfRule type="aboveAverage" dxfId="611" priority="1861"/>
  </conditionalFormatting>
  <conditionalFormatting sqref="E518:I518 K518:N518">
    <cfRule type="aboveAverage" dxfId="610" priority="783"/>
  </conditionalFormatting>
  <conditionalFormatting sqref="E352:N352">
    <cfRule type="aboveAverage" dxfId="609" priority="478"/>
  </conditionalFormatting>
  <conditionalFormatting sqref="E1615:N1615 E1618:N1618">
    <cfRule type="aboveAverage" dxfId="608" priority="1270"/>
  </conditionalFormatting>
  <conditionalFormatting sqref="E1617:N1617">
    <cfRule type="aboveAverage" dxfId="607" priority="1269"/>
  </conditionalFormatting>
  <conditionalFormatting sqref="F170">
    <cfRule type="aboveAverage" dxfId="606" priority="21"/>
  </conditionalFormatting>
  <conditionalFormatting sqref="F181:F184">
    <cfRule type="aboveAverage" dxfId="605" priority="75"/>
  </conditionalFormatting>
  <conditionalFormatting sqref="F187:F188">
    <cfRule type="aboveAverage" dxfId="604" priority="85"/>
  </conditionalFormatting>
  <conditionalFormatting sqref="F201:F205">
    <cfRule type="aboveAverage" dxfId="603" priority="49"/>
  </conditionalFormatting>
  <conditionalFormatting sqref="F207">
    <cfRule type="aboveAverage" dxfId="602" priority="48"/>
  </conditionalFormatting>
  <conditionalFormatting sqref="F210:F211">
    <cfRule type="aboveAverage" dxfId="601" priority="47"/>
  </conditionalFormatting>
  <conditionalFormatting sqref="F215">
    <cfRule type="aboveAverage" dxfId="600" priority="45"/>
  </conditionalFormatting>
  <conditionalFormatting sqref="F254:F255">
    <cfRule type="aboveAverage" dxfId="599" priority="291"/>
  </conditionalFormatting>
  <conditionalFormatting sqref="F258">
    <cfRule type="aboveAverage" dxfId="598" priority="1475"/>
  </conditionalFormatting>
  <conditionalFormatting sqref="F259:F261">
    <cfRule type="aboveAverage" dxfId="597" priority="290"/>
  </conditionalFormatting>
  <conditionalFormatting sqref="F264:F265">
    <cfRule type="aboveAverage" dxfId="596" priority="289"/>
  </conditionalFormatting>
  <conditionalFormatting sqref="F278:F282 F284">
    <cfRule type="aboveAverage" dxfId="595" priority="288"/>
  </conditionalFormatting>
  <conditionalFormatting sqref="F287:F288 F290:F292">
    <cfRule type="aboveAverage" dxfId="594" priority="170"/>
  </conditionalFormatting>
  <conditionalFormatting sqref="F295:F296">
    <cfRule type="aboveAverage" dxfId="593" priority="287"/>
  </conditionalFormatting>
  <conditionalFormatting sqref="F300">
    <cfRule type="aboveAverage" dxfId="592" priority="108"/>
  </conditionalFormatting>
  <conditionalFormatting sqref="F331">
    <cfRule type="aboveAverage" dxfId="591" priority="336"/>
  </conditionalFormatting>
  <conditionalFormatting sqref="F342:F345">
    <cfRule type="aboveAverage" dxfId="590" priority="485"/>
  </conditionalFormatting>
  <conditionalFormatting sqref="F348">
    <cfRule type="aboveAverage" dxfId="589" priority="474"/>
  </conditionalFormatting>
  <conditionalFormatting sqref="F349">
    <cfRule type="aboveAverage" dxfId="588" priority="473"/>
  </conditionalFormatting>
  <conditionalFormatting sqref="F355">
    <cfRule type="aboveAverage" dxfId="587" priority="428"/>
  </conditionalFormatting>
  <conditionalFormatting sqref="F362">
    <cfRule type="aboveAverage" dxfId="586" priority="472"/>
  </conditionalFormatting>
  <conditionalFormatting sqref="F363">
    <cfRule type="aboveAverage" dxfId="585" priority="471"/>
  </conditionalFormatting>
  <conditionalFormatting sqref="F364">
    <cfRule type="aboveAverage" dxfId="584" priority="470"/>
  </conditionalFormatting>
  <conditionalFormatting sqref="F365">
    <cfRule type="aboveAverage" dxfId="583" priority="469"/>
  </conditionalFormatting>
  <conditionalFormatting sqref="F366">
    <cfRule type="aboveAverage" dxfId="582" priority="468"/>
  </conditionalFormatting>
  <conditionalFormatting sqref="F368">
    <cfRule type="aboveAverage" dxfId="581" priority="467"/>
  </conditionalFormatting>
  <conditionalFormatting sqref="F371:F372 F374:F376">
    <cfRule type="aboveAverage" dxfId="580" priority="466"/>
  </conditionalFormatting>
  <conditionalFormatting sqref="F379:F380">
    <cfRule type="aboveAverage" dxfId="579" priority="465"/>
  </conditionalFormatting>
  <conditionalFormatting sqref="F504:F507">
    <cfRule type="aboveAverage" dxfId="578" priority="787"/>
  </conditionalFormatting>
  <conditionalFormatting sqref="F524:F530">
    <cfRule type="aboveAverage" dxfId="577" priority="788"/>
  </conditionalFormatting>
  <conditionalFormatting sqref="F533:F534">
    <cfRule type="aboveAverage" dxfId="576" priority="782"/>
  </conditionalFormatting>
  <conditionalFormatting sqref="F586:F587">
    <cfRule type="aboveAverage" dxfId="575" priority="910"/>
  </conditionalFormatting>
  <conditionalFormatting sqref="F600:F604 F606">
    <cfRule type="aboveAverage" dxfId="574" priority="909"/>
  </conditionalFormatting>
  <conditionalFormatting sqref="F609:F610">
    <cfRule type="aboveAverage" dxfId="573" priority="908"/>
  </conditionalFormatting>
  <conditionalFormatting sqref="F614">
    <cfRule type="aboveAverage" dxfId="572" priority="868"/>
  </conditionalFormatting>
  <conditionalFormatting sqref="F619:F621">
    <cfRule type="aboveAverage" dxfId="571" priority="907"/>
  </conditionalFormatting>
  <conditionalFormatting sqref="F667">
    <cfRule type="aboveAverage" dxfId="570" priority="1044"/>
  </conditionalFormatting>
  <conditionalFormatting sqref="F668">
    <cfRule type="aboveAverage" dxfId="569" priority="1039"/>
  </conditionalFormatting>
  <conditionalFormatting sqref="F670">
    <cfRule type="aboveAverage" dxfId="568" priority="1043"/>
  </conditionalFormatting>
  <conditionalFormatting sqref="F671">
    <cfRule type="aboveAverage" dxfId="567" priority="1040"/>
  </conditionalFormatting>
  <conditionalFormatting sqref="F672">
    <cfRule type="aboveAverage" dxfId="566" priority="1037"/>
  </conditionalFormatting>
  <conditionalFormatting sqref="F673">
    <cfRule type="aboveAverage" dxfId="565" priority="1042"/>
  </conditionalFormatting>
  <conditionalFormatting sqref="F674">
    <cfRule type="aboveAverage" dxfId="564" priority="1041"/>
  </conditionalFormatting>
  <conditionalFormatting sqref="F750 J750:M750">
    <cfRule type="aboveAverage" dxfId="563" priority="1113"/>
  </conditionalFormatting>
  <conditionalFormatting sqref="F1908:H1908">
    <cfRule type="aboveAverage" dxfId="562" priority="1877"/>
  </conditionalFormatting>
  <conditionalFormatting sqref="F520:I520 K520:M520">
    <cfRule type="aboveAverage" dxfId="561" priority="1596"/>
  </conditionalFormatting>
  <conditionalFormatting sqref="F45:M45">
    <cfRule type="aboveAverage" dxfId="560" priority="1296"/>
  </conditionalFormatting>
  <conditionalFormatting sqref="F120:M120">
    <cfRule type="aboveAverage" dxfId="559" priority="1346"/>
  </conditionalFormatting>
  <conditionalFormatting sqref="F274:M274">
    <cfRule type="aboveAverage" dxfId="558" priority="1446"/>
  </conditionalFormatting>
  <conditionalFormatting sqref="F358:M358">
    <cfRule type="aboveAverage" dxfId="557" priority="1496"/>
  </conditionalFormatting>
  <conditionalFormatting sqref="F443:M443">
    <cfRule type="aboveAverage" dxfId="556" priority="1546"/>
  </conditionalFormatting>
  <conditionalFormatting sqref="F596:M596">
    <cfRule type="aboveAverage" dxfId="555" priority="1646"/>
  </conditionalFormatting>
  <conditionalFormatting sqref="F677:N681 F683:N683">
    <cfRule type="aboveAverage" dxfId="554" priority="1057"/>
  </conditionalFormatting>
  <conditionalFormatting sqref="F686:N686">
    <cfRule type="aboveAverage" dxfId="553" priority="1055"/>
  </conditionalFormatting>
  <conditionalFormatting sqref="G170">
    <cfRule type="aboveAverage" dxfId="552" priority="20"/>
  </conditionalFormatting>
  <conditionalFormatting sqref="G181">
    <cfRule type="aboveAverage" dxfId="551" priority="74"/>
  </conditionalFormatting>
  <conditionalFormatting sqref="G182:G184">
    <cfRule type="aboveAverage" dxfId="550" priority="63"/>
  </conditionalFormatting>
  <conditionalFormatting sqref="G187:G188">
    <cfRule type="aboveAverage" dxfId="549" priority="84"/>
  </conditionalFormatting>
  <conditionalFormatting sqref="G201:G205">
    <cfRule type="aboveAverage" dxfId="548" priority="43"/>
  </conditionalFormatting>
  <conditionalFormatting sqref="G207">
    <cfRule type="aboveAverage" dxfId="547" priority="42"/>
  </conditionalFormatting>
  <conditionalFormatting sqref="G210:G211">
    <cfRule type="aboveAverage" dxfId="546" priority="33"/>
  </conditionalFormatting>
  <conditionalFormatting sqref="G255">
    <cfRule type="aboveAverage" dxfId="545" priority="283"/>
  </conditionalFormatting>
  <conditionalFormatting sqref="G258">
    <cfRule type="aboveAverage" dxfId="544" priority="282"/>
  </conditionalFormatting>
  <conditionalFormatting sqref="G259">
    <cfRule type="aboveAverage" dxfId="543" priority="281"/>
  </conditionalFormatting>
  <conditionalFormatting sqref="G260">
    <cfRule type="aboveAverage" dxfId="542" priority="280"/>
  </conditionalFormatting>
  <conditionalFormatting sqref="G261">
    <cfRule type="aboveAverage" dxfId="541" priority="279"/>
  </conditionalFormatting>
  <conditionalFormatting sqref="G264">
    <cfRule type="aboveAverage" dxfId="540" priority="278"/>
  </conditionalFormatting>
  <conditionalFormatting sqref="G265">
    <cfRule type="aboveAverage" dxfId="539" priority="277"/>
  </conditionalFormatting>
  <conditionalFormatting sqref="G278:G282 G284">
    <cfRule type="aboveAverage" dxfId="538" priority="275"/>
  </conditionalFormatting>
  <conditionalFormatting sqref="G287:G288 G290:G292">
    <cfRule type="aboveAverage" dxfId="537" priority="169"/>
  </conditionalFormatting>
  <conditionalFormatting sqref="G295:G296">
    <cfRule type="aboveAverage" dxfId="536" priority="274"/>
  </conditionalFormatting>
  <conditionalFormatting sqref="G300">
    <cfRule type="aboveAverage" dxfId="535" priority="107"/>
  </conditionalFormatting>
  <conditionalFormatting sqref="G331 J331:K331">
    <cfRule type="aboveAverage" dxfId="534" priority="340"/>
  </conditionalFormatting>
  <conditionalFormatting sqref="G342 J342:N342">
    <cfRule type="aboveAverage" dxfId="533" priority="1525"/>
  </conditionalFormatting>
  <conditionalFormatting sqref="G343">
    <cfRule type="aboveAverage" dxfId="532" priority="464"/>
  </conditionalFormatting>
  <conditionalFormatting sqref="G344">
    <cfRule type="aboveAverage" dxfId="531" priority="463"/>
  </conditionalFormatting>
  <conditionalFormatting sqref="G345">
    <cfRule type="aboveAverage" dxfId="530" priority="462"/>
  </conditionalFormatting>
  <conditionalFormatting sqref="G348">
    <cfRule type="aboveAverage" dxfId="529" priority="461"/>
  </conditionalFormatting>
  <conditionalFormatting sqref="G349">
    <cfRule type="aboveAverage" dxfId="528" priority="460"/>
  </conditionalFormatting>
  <conditionalFormatting sqref="G362">
    <cfRule type="aboveAverage" dxfId="527" priority="459"/>
  </conditionalFormatting>
  <conditionalFormatting sqref="G363">
    <cfRule type="aboveAverage" dxfId="526" priority="458"/>
  </conditionalFormatting>
  <conditionalFormatting sqref="G364">
    <cfRule type="aboveAverage" dxfId="525" priority="457"/>
  </conditionalFormatting>
  <conditionalFormatting sqref="G365">
    <cfRule type="aboveAverage" dxfId="524" priority="456"/>
  </conditionalFormatting>
  <conditionalFormatting sqref="G366">
    <cfRule type="aboveAverage" dxfId="523" priority="455"/>
  </conditionalFormatting>
  <conditionalFormatting sqref="G367">
    <cfRule type="aboveAverage" dxfId="522" priority="454"/>
  </conditionalFormatting>
  <conditionalFormatting sqref="G368">
    <cfRule type="aboveAverage" dxfId="521" priority="453"/>
  </conditionalFormatting>
  <conditionalFormatting sqref="G371">
    <cfRule type="aboveAverage" dxfId="520" priority="452"/>
  </conditionalFormatting>
  <conditionalFormatting sqref="G372">
    <cfRule type="aboveAverage" dxfId="519" priority="451"/>
  </conditionalFormatting>
  <conditionalFormatting sqref="G374">
    <cfRule type="aboveAverage" dxfId="518" priority="449"/>
  </conditionalFormatting>
  <conditionalFormatting sqref="G375">
    <cfRule type="aboveAverage" dxfId="517" priority="448"/>
  </conditionalFormatting>
  <conditionalFormatting sqref="G376">
    <cfRule type="aboveAverage" dxfId="516" priority="447"/>
  </conditionalFormatting>
  <conditionalFormatting sqref="G379">
    <cfRule type="aboveAverage" dxfId="515" priority="444"/>
  </conditionalFormatting>
  <conditionalFormatting sqref="G380">
    <cfRule type="aboveAverage" dxfId="514" priority="443"/>
  </conditionalFormatting>
  <conditionalFormatting sqref="G460">
    <cfRule type="aboveAverage" dxfId="513" priority="577"/>
  </conditionalFormatting>
  <conditionalFormatting sqref="G462">
    <cfRule type="aboveAverage" dxfId="512" priority="671"/>
  </conditionalFormatting>
  <conditionalFormatting sqref="G463">
    <cfRule type="aboveAverage" dxfId="511" priority="670"/>
  </conditionalFormatting>
  <conditionalFormatting sqref="G504:G507">
    <cfRule type="aboveAverage" dxfId="510" priority="780"/>
  </conditionalFormatting>
  <conditionalFormatting sqref="G524:G530">
    <cfRule type="aboveAverage" dxfId="509" priority="779"/>
  </conditionalFormatting>
  <conditionalFormatting sqref="G533:G534">
    <cfRule type="aboveAverage" dxfId="508" priority="778"/>
  </conditionalFormatting>
  <conditionalFormatting sqref="G537:G538">
    <cfRule type="aboveAverage" dxfId="507" priority="777"/>
  </conditionalFormatting>
  <conditionalFormatting sqref="G539">
    <cfRule type="aboveAverage" dxfId="506" priority="747"/>
  </conditionalFormatting>
  <conditionalFormatting sqref="G540">
    <cfRule type="aboveAverage" dxfId="505" priority="746"/>
  </conditionalFormatting>
  <conditionalFormatting sqref="G543:G544">
    <cfRule type="aboveAverage" dxfId="504" priority="776"/>
  </conditionalFormatting>
  <conditionalFormatting sqref="G545">
    <cfRule type="aboveAverage" dxfId="503" priority="750"/>
  </conditionalFormatting>
  <conditionalFormatting sqref="G586:G587">
    <cfRule type="aboveAverage" dxfId="502" priority="906"/>
  </conditionalFormatting>
  <conditionalFormatting sqref="G600:G604 G606">
    <cfRule type="aboveAverage" dxfId="501" priority="905"/>
  </conditionalFormatting>
  <conditionalFormatting sqref="G609">
    <cfRule type="aboveAverage" dxfId="500" priority="854"/>
  </conditionalFormatting>
  <conditionalFormatting sqref="G610">
    <cfRule type="aboveAverage" dxfId="499" priority="857"/>
  </conditionalFormatting>
  <conditionalFormatting sqref="G614">
    <cfRule type="aboveAverage" dxfId="498" priority="867"/>
  </conditionalFormatting>
  <conditionalFormatting sqref="G619:G621">
    <cfRule type="aboveAverage" dxfId="497" priority="903"/>
  </conditionalFormatting>
  <conditionalFormatting sqref="G667">
    <cfRule type="aboveAverage" dxfId="496" priority="1036"/>
  </conditionalFormatting>
  <conditionalFormatting sqref="G668">
    <cfRule type="aboveAverage" dxfId="495" priority="1031"/>
  </conditionalFormatting>
  <conditionalFormatting sqref="G670">
    <cfRule type="aboveAverage" dxfId="494" priority="1035"/>
  </conditionalFormatting>
  <conditionalFormatting sqref="G671">
    <cfRule type="aboveAverage" dxfId="493" priority="1032"/>
  </conditionalFormatting>
  <conditionalFormatting sqref="G672">
    <cfRule type="aboveAverage" dxfId="492" priority="1029"/>
  </conditionalFormatting>
  <conditionalFormatting sqref="G673">
    <cfRule type="aboveAverage" dxfId="491" priority="1034"/>
  </conditionalFormatting>
  <conditionalFormatting sqref="G674">
    <cfRule type="aboveAverage" dxfId="490" priority="1033"/>
  </conditionalFormatting>
  <conditionalFormatting sqref="G744">
    <cfRule type="aboveAverage" dxfId="489" priority="1081"/>
  </conditionalFormatting>
  <conditionalFormatting sqref="G745:G746">
    <cfRule type="aboveAverage" dxfId="488" priority="1080"/>
  </conditionalFormatting>
  <conditionalFormatting sqref="G747">
    <cfRule type="aboveAverage" dxfId="487" priority="1079"/>
  </conditionalFormatting>
  <conditionalFormatting sqref="G748">
    <cfRule type="aboveAverage" dxfId="486" priority="1078"/>
  </conditionalFormatting>
  <conditionalFormatting sqref="G749">
    <cfRule type="aboveAverage" dxfId="485" priority="1076"/>
  </conditionalFormatting>
  <conditionalFormatting sqref="G750">
    <cfRule type="aboveAverage" dxfId="484" priority="1075"/>
  </conditionalFormatting>
  <conditionalFormatting sqref="G751">
    <cfRule type="aboveAverage" dxfId="483" priority="1077"/>
  </conditionalFormatting>
  <conditionalFormatting sqref="G516:I516 K516:N516">
    <cfRule type="aboveAverage" dxfId="482" priority="786"/>
  </conditionalFormatting>
  <conditionalFormatting sqref="G517:I517 K517:N517">
    <cfRule type="aboveAverage" dxfId="481" priority="784"/>
  </conditionalFormatting>
  <conditionalFormatting sqref="H170">
    <cfRule type="aboveAverage" dxfId="480" priority="19"/>
  </conditionalFormatting>
  <conditionalFormatting sqref="H181">
    <cfRule type="aboveAverage" dxfId="479" priority="73"/>
  </conditionalFormatting>
  <conditionalFormatting sqref="H182:H184">
    <cfRule type="aboveAverage" dxfId="478" priority="62"/>
  </conditionalFormatting>
  <conditionalFormatting sqref="H187:H188">
    <cfRule type="aboveAverage" dxfId="477" priority="83"/>
  </conditionalFormatting>
  <conditionalFormatting sqref="H201:H205">
    <cfRule type="aboveAverage" dxfId="476" priority="39"/>
  </conditionalFormatting>
  <conditionalFormatting sqref="H207">
    <cfRule type="aboveAverage" dxfId="475" priority="38"/>
  </conditionalFormatting>
  <conditionalFormatting sqref="H210:H211">
    <cfRule type="aboveAverage" dxfId="474" priority="34"/>
  </conditionalFormatting>
  <conditionalFormatting sqref="H255">
    <cfRule type="aboveAverage" dxfId="473" priority="273"/>
  </conditionalFormatting>
  <conditionalFormatting sqref="H258">
    <cfRule type="aboveAverage" dxfId="472" priority="272"/>
  </conditionalFormatting>
  <conditionalFormatting sqref="H259">
    <cfRule type="aboveAverage" dxfId="471" priority="271"/>
  </conditionalFormatting>
  <conditionalFormatting sqref="H260">
    <cfRule type="aboveAverage" dxfId="470" priority="270"/>
  </conditionalFormatting>
  <conditionalFormatting sqref="H261">
    <cfRule type="aboveAverage" dxfId="469" priority="269"/>
  </conditionalFormatting>
  <conditionalFormatting sqref="H264">
    <cfRule type="aboveAverage" dxfId="468" priority="268"/>
  </conditionalFormatting>
  <conditionalFormatting sqref="H265">
    <cfRule type="aboveAverage" dxfId="467" priority="267"/>
  </conditionalFormatting>
  <conditionalFormatting sqref="H278:H282 H284">
    <cfRule type="aboveAverage" dxfId="466" priority="266"/>
  </conditionalFormatting>
  <conditionalFormatting sqref="H287:H288 H290:H292">
    <cfRule type="aboveAverage" dxfId="465" priority="168"/>
  </conditionalFormatting>
  <conditionalFormatting sqref="H295:H296">
    <cfRule type="aboveAverage" dxfId="464" priority="265"/>
  </conditionalFormatting>
  <conditionalFormatting sqref="H300">
    <cfRule type="aboveAverage" dxfId="463" priority="106"/>
  </conditionalFormatting>
  <conditionalFormatting sqref="H331">
    <cfRule type="aboveAverage" dxfId="462" priority="335"/>
  </conditionalFormatting>
  <conditionalFormatting sqref="H342:H345">
    <cfRule type="aboveAverage" dxfId="461" priority="441"/>
  </conditionalFormatting>
  <conditionalFormatting sqref="H348:H349">
    <cfRule type="aboveAverage" dxfId="460" priority="425"/>
  </conditionalFormatting>
  <conditionalFormatting sqref="H362:H366">
    <cfRule type="aboveAverage" dxfId="459" priority="439"/>
  </conditionalFormatting>
  <conditionalFormatting sqref="H368">
    <cfRule type="aboveAverage" dxfId="458" priority="438"/>
  </conditionalFormatting>
  <conditionalFormatting sqref="H371">
    <cfRule type="aboveAverage" dxfId="457" priority="437"/>
  </conditionalFormatting>
  <conditionalFormatting sqref="H372">
    <cfRule type="aboveAverage" dxfId="456" priority="436"/>
  </conditionalFormatting>
  <conditionalFormatting sqref="H374">
    <cfRule type="aboveAverage" dxfId="455" priority="434"/>
  </conditionalFormatting>
  <conditionalFormatting sqref="H375">
    <cfRule type="aboveAverage" dxfId="454" priority="433"/>
  </conditionalFormatting>
  <conditionalFormatting sqref="H376">
    <cfRule type="aboveAverage" dxfId="453" priority="432"/>
  </conditionalFormatting>
  <conditionalFormatting sqref="H379">
    <cfRule type="aboveAverage" dxfId="452" priority="431"/>
  </conditionalFormatting>
  <conditionalFormatting sqref="H380">
    <cfRule type="aboveAverage" dxfId="451" priority="430"/>
  </conditionalFormatting>
  <conditionalFormatting sqref="H456">
    <cfRule type="aboveAverage" dxfId="450" priority="589"/>
  </conditionalFormatting>
  <conditionalFormatting sqref="H457">
    <cfRule type="aboveAverage" dxfId="449" priority="1563"/>
  </conditionalFormatting>
  <conditionalFormatting sqref="H461">
    <cfRule type="aboveAverage" dxfId="448" priority="674"/>
  </conditionalFormatting>
  <conditionalFormatting sqref="H466:H467">
    <cfRule type="aboveAverage" dxfId="447" priority="658"/>
  </conditionalFormatting>
  <conditionalFormatting sqref="H468">
    <cfRule type="aboveAverage" dxfId="446" priority="651"/>
  </conditionalFormatting>
  <conditionalFormatting sqref="H504:H507">
    <cfRule type="aboveAverage" dxfId="445" priority="769"/>
  </conditionalFormatting>
  <conditionalFormatting sqref="H510:H511">
    <cfRule type="aboveAverage" dxfId="444" priority="827"/>
  </conditionalFormatting>
  <conditionalFormatting sqref="H524:H530">
    <cfRule type="aboveAverage" dxfId="443" priority="773"/>
  </conditionalFormatting>
  <conditionalFormatting sqref="H533:H534">
    <cfRule type="aboveAverage" dxfId="442" priority="772"/>
  </conditionalFormatting>
  <conditionalFormatting sqref="H538">
    <cfRule type="aboveAverage" dxfId="441" priority="771"/>
  </conditionalFormatting>
  <conditionalFormatting sqref="H543:H544">
    <cfRule type="aboveAverage" dxfId="440" priority="770"/>
  </conditionalFormatting>
  <conditionalFormatting sqref="H545">
    <cfRule type="aboveAverage" dxfId="439" priority="749"/>
  </conditionalFormatting>
  <conditionalFormatting sqref="H580:H583">
    <cfRule type="aboveAverage" dxfId="438" priority="900"/>
  </conditionalFormatting>
  <conditionalFormatting sqref="H586:H587">
    <cfRule type="aboveAverage" dxfId="437" priority="899"/>
  </conditionalFormatting>
  <conditionalFormatting sqref="H600:H604 H606">
    <cfRule type="aboveAverage" dxfId="436" priority="970"/>
  </conditionalFormatting>
  <conditionalFormatting sqref="H609:H610">
    <cfRule type="aboveAverage" dxfId="435" priority="902"/>
  </conditionalFormatting>
  <conditionalFormatting sqref="H614">
    <cfRule type="aboveAverage" dxfId="434" priority="866"/>
  </conditionalFormatting>
  <conditionalFormatting sqref="H619:H621">
    <cfRule type="aboveAverage" dxfId="433" priority="901"/>
  </conditionalFormatting>
  <conditionalFormatting sqref="H687">
    <cfRule type="aboveAverage" dxfId="432" priority="1028"/>
  </conditionalFormatting>
  <conditionalFormatting sqref="H515:I515 K515:N515">
    <cfRule type="aboveAverage" dxfId="431" priority="774"/>
  </conditionalFormatting>
  <conditionalFormatting sqref="H744:I744">
    <cfRule type="aboveAverage" dxfId="430" priority="1074"/>
  </conditionalFormatting>
  <conditionalFormatting sqref="H745:I746">
    <cfRule type="aboveAverage" dxfId="429" priority="1073"/>
  </conditionalFormatting>
  <conditionalFormatting sqref="H747:I747">
    <cfRule type="aboveAverage" dxfId="428" priority="1072"/>
  </conditionalFormatting>
  <conditionalFormatting sqref="H748:I748">
    <cfRule type="aboveAverage" dxfId="427" priority="1071"/>
  </conditionalFormatting>
  <conditionalFormatting sqref="H749:I749">
    <cfRule type="aboveAverage" dxfId="426" priority="1069"/>
  </conditionalFormatting>
  <conditionalFormatting sqref="H750:I750">
    <cfRule type="aboveAverage" dxfId="425" priority="1068"/>
  </conditionalFormatting>
  <conditionalFormatting sqref="H751:I751">
    <cfRule type="aboveAverage" dxfId="424" priority="1070"/>
  </conditionalFormatting>
  <conditionalFormatting sqref="H673:M673">
    <cfRule type="aboveAverage" dxfId="423" priority="1696"/>
  </conditionalFormatting>
  <conditionalFormatting sqref="I170">
    <cfRule type="aboveAverage" dxfId="422" priority="18"/>
  </conditionalFormatting>
  <conditionalFormatting sqref="I181">
    <cfRule type="aboveAverage" dxfId="421" priority="72"/>
  </conditionalFormatting>
  <conditionalFormatting sqref="I182:I184">
    <cfRule type="aboveAverage" dxfId="420" priority="61"/>
  </conditionalFormatting>
  <conditionalFormatting sqref="I187:I188">
    <cfRule type="aboveAverage" dxfId="419" priority="82"/>
  </conditionalFormatting>
  <conditionalFormatting sqref="I201:I205">
    <cfRule type="aboveAverage" dxfId="418" priority="37"/>
  </conditionalFormatting>
  <conditionalFormatting sqref="I207">
    <cfRule type="aboveAverage" dxfId="417" priority="36"/>
  </conditionalFormatting>
  <conditionalFormatting sqref="I210:I211">
    <cfRule type="aboveAverage" dxfId="416" priority="35"/>
  </conditionalFormatting>
  <conditionalFormatting sqref="I254:I255">
    <cfRule type="aboveAverage" dxfId="415" priority="231"/>
  </conditionalFormatting>
  <conditionalFormatting sqref="I259">
    <cfRule type="aboveAverage" dxfId="414" priority="245"/>
  </conditionalFormatting>
  <conditionalFormatting sqref="I260">
    <cfRule type="aboveAverage" dxfId="413" priority="244"/>
  </conditionalFormatting>
  <conditionalFormatting sqref="I261">
    <cfRule type="aboveAverage" dxfId="412" priority="243"/>
  </conditionalFormatting>
  <conditionalFormatting sqref="I264">
    <cfRule type="aboveAverage" dxfId="411" priority="242"/>
  </conditionalFormatting>
  <conditionalFormatting sqref="I265">
    <cfRule type="aboveAverage" dxfId="410" priority="241"/>
  </conditionalFormatting>
  <conditionalFormatting sqref="I278">
    <cfRule type="aboveAverage" dxfId="409" priority="240"/>
  </conditionalFormatting>
  <conditionalFormatting sqref="I279">
    <cfRule type="aboveAverage" dxfId="408" priority="239"/>
  </conditionalFormatting>
  <conditionalFormatting sqref="I280">
    <cfRule type="aboveAverage" dxfId="407" priority="238"/>
  </conditionalFormatting>
  <conditionalFormatting sqref="I281">
    <cfRule type="aboveAverage" dxfId="406" priority="237"/>
  </conditionalFormatting>
  <conditionalFormatting sqref="I282">
    <cfRule type="aboveAverage" dxfId="405" priority="236"/>
  </conditionalFormatting>
  <conditionalFormatting sqref="I283">
    <cfRule type="aboveAverage" dxfId="404" priority="235"/>
  </conditionalFormatting>
  <conditionalFormatting sqref="I284">
    <cfRule type="aboveAverage" dxfId="403" priority="234"/>
  </conditionalFormatting>
  <conditionalFormatting sqref="I287:I288 I290:I292">
    <cfRule type="aboveAverage" dxfId="402" priority="167"/>
  </conditionalFormatting>
  <conditionalFormatting sqref="I295:I296">
    <cfRule type="aboveAverage" dxfId="401" priority="233"/>
  </conditionalFormatting>
  <conditionalFormatting sqref="I300">
    <cfRule type="aboveAverage" dxfId="400" priority="105"/>
  </conditionalFormatting>
  <conditionalFormatting sqref="I331">
    <cfRule type="aboveAverage" dxfId="399" priority="334"/>
  </conditionalFormatting>
  <conditionalFormatting sqref="I342">
    <cfRule type="aboveAverage" dxfId="398" priority="426"/>
  </conditionalFormatting>
  <conditionalFormatting sqref="I343">
    <cfRule type="aboveAverage" dxfId="397" priority="424"/>
  </conditionalFormatting>
  <conditionalFormatting sqref="I344">
    <cfRule type="aboveAverage" dxfId="396" priority="423"/>
  </conditionalFormatting>
  <conditionalFormatting sqref="I345">
    <cfRule type="aboveAverage" dxfId="395" priority="422"/>
  </conditionalFormatting>
  <conditionalFormatting sqref="I348">
    <cfRule type="aboveAverage" dxfId="394" priority="421"/>
  </conditionalFormatting>
  <conditionalFormatting sqref="I349">
    <cfRule type="aboveAverage" dxfId="393" priority="420"/>
  </conditionalFormatting>
  <conditionalFormatting sqref="I362:I366">
    <cfRule type="aboveAverage" dxfId="392" priority="419"/>
  </conditionalFormatting>
  <conditionalFormatting sqref="I368">
    <cfRule type="aboveAverage" dxfId="391" priority="418"/>
  </conditionalFormatting>
  <conditionalFormatting sqref="I371:I372 I374:I376">
    <cfRule type="aboveAverage" dxfId="390" priority="417"/>
  </conditionalFormatting>
  <conditionalFormatting sqref="I379:I380">
    <cfRule type="aboveAverage" dxfId="389" priority="416"/>
  </conditionalFormatting>
  <conditionalFormatting sqref="I416">
    <cfRule type="aboveAverage" dxfId="388" priority="566"/>
  </conditionalFormatting>
  <conditionalFormatting sqref="I427:I430">
    <cfRule type="aboveAverage" dxfId="387" priority="565"/>
  </conditionalFormatting>
  <conditionalFormatting sqref="I434">
    <cfRule type="aboveAverage" dxfId="386" priority="576"/>
  </conditionalFormatting>
  <conditionalFormatting sqref="I447:I451 I453">
    <cfRule type="aboveAverage" dxfId="385" priority="575"/>
  </conditionalFormatting>
  <conditionalFormatting sqref="I456">
    <cfRule type="aboveAverage" dxfId="384" priority="574"/>
  </conditionalFormatting>
  <conditionalFormatting sqref="I457">
    <cfRule type="aboveAverage" dxfId="383" priority="571"/>
  </conditionalFormatting>
  <conditionalFormatting sqref="I461">
    <cfRule type="aboveAverage" dxfId="382" priority="570"/>
  </conditionalFormatting>
  <conditionalFormatting sqref="I466">
    <cfRule type="aboveAverage" dxfId="381" priority="569"/>
  </conditionalFormatting>
  <conditionalFormatting sqref="I467">
    <cfRule type="aboveAverage" dxfId="380" priority="568"/>
  </conditionalFormatting>
  <conditionalFormatting sqref="I468">
    <cfRule type="aboveAverage" dxfId="379" priority="567"/>
  </conditionalFormatting>
  <conditionalFormatting sqref="I504:I507">
    <cfRule type="aboveAverage" dxfId="378" priority="835"/>
  </conditionalFormatting>
  <conditionalFormatting sqref="I510">
    <cfRule type="aboveAverage" dxfId="377" priority="767"/>
  </conditionalFormatting>
  <conditionalFormatting sqref="I511">
    <cfRule type="aboveAverage" dxfId="376" priority="766"/>
  </conditionalFormatting>
  <conditionalFormatting sqref="I524:I530">
    <cfRule type="aboveAverage" dxfId="375" priority="765"/>
  </conditionalFormatting>
  <conditionalFormatting sqref="I533:I534">
    <cfRule type="aboveAverage" dxfId="374" priority="764"/>
  </conditionalFormatting>
  <conditionalFormatting sqref="I538">
    <cfRule type="aboveAverage" dxfId="373" priority="763"/>
  </conditionalFormatting>
  <conditionalFormatting sqref="I543:I544">
    <cfRule type="aboveAverage" dxfId="372" priority="762"/>
  </conditionalFormatting>
  <conditionalFormatting sqref="I545">
    <cfRule type="aboveAverage" dxfId="371" priority="748"/>
  </conditionalFormatting>
  <conditionalFormatting sqref="I580:I583">
    <cfRule type="aboveAverage" dxfId="370" priority="944"/>
  </conditionalFormatting>
  <conditionalFormatting sqref="I586:I587">
    <cfRule type="aboveAverage" dxfId="369" priority="898"/>
  </conditionalFormatting>
  <conditionalFormatting sqref="I600:I604 I606">
    <cfRule type="aboveAverage" dxfId="368" priority="897"/>
  </conditionalFormatting>
  <conditionalFormatting sqref="I609:I610">
    <cfRule type="aboveAverage" dxfId="367" priority="896"/>
  </conditionalFormatting>
  <conditionalFormatting sqref="I614">
    <cfRule type="aboveAverage" dxfId="366" priority="865"/>
  </conditionalFormatting>
  <conditionalFormatting sqref="I619:I621">
    <cfRule type="aboveAverage" dxfId="365" priority="895"/>
  </conditionalFormatting>
  <conditionalFormatting sqref="I687">
    <cfRule type="aboveAverage" dxfId="364" priority="1056"/>
  </conditionalFormatting>
  <conditionalFormatting sqref="I1922">
    <cfRule type="aboveAverage" dxfId="363" priority="1855"/>
  </conditionalFormatting>
  <conditionalFormatting sqref="I258:J258">
    <cfRule type="aboveAverage" dxfId="362" priority="246"/>
  </conditionalFormatting>
  <conditionalFormatting sqref="J49">
    <cfRule type="aboveAverage" dxfId="361" priority="1307"/>
  </conditionalFormatting>
  <conditionalFormatting sqref="J52">
    <cfRule type="aboveAverage" dxfId="360" priority="1306"/>
  </conditionalFormatting>
  <conditionalFormatting sqref="J53">
    <cfRule type="aboveAverage" dxfId="359" priority="1305"/>
  </conditionalFormatting>
  <conditionalFormatting sqref="J63">
    <cfRule type="aboveAverage" dxfId="358" priority="1278"/>
  </conditionalFormatting>
  <conditionalFormatting sqref="J64">
    <cfRule type="aboveAverage" dxfId="357" priority="1281"/>
  </conditionalFormatting>
  <conditionalFormatting sqref="J124">
    <cfRule type="aboveAverage" dxfId="356" priority="1357"/>
  </conditionalFormatting>
  <conditionalFormatting sqref="J127">
    <cfRule type="aboveAverage" dxfId="355" priority="1356"/>
  </conditionalFormatting>
  <conditionalFormatting sqref="J128">
    <cfRule type="aboveAverage" dxfId="354" priority="1355"/>
  </conditionalFormatting>
  <conditionalFormatting sqref="J138">
    <cfRule type="aboveAverage" dxfId="353" priority="1328"/>
  </conditionalFormatting>
  <conditionalFormatting sqref="J139">
    <cfRule type="aboveAverage" dxfId="352" priority="1331"/>
  </conditionalFormatting>
  <conditionalFormatting sqref="J170">
    <cfRule type="aboveAverage" dxfId="351" priority="30"/>
  </conditionalFormatting>
  <conditionalFormatting sqref="J181">
    <cfRule type="aboveAverage" dxfId="350" priority="71"/>
  </conditionalFormatting>
  <conditionalFormatting sqref="J182:J184">
    <cfRule type="aboveAverage" dxfId="349" priority="60"/>
  </conditionalFormatting>
  <conditionalFormatting sqref="J187:J188">
    <cfRule type="aboveAverage" dxfId="348" priority="81"/>
  </conditionalFormatting>
  <conditionalFormatting sqref="J201:J205">
    <cfRule type="aboveAverage" dxfId="347" priority="32"/>
  </conditionalFormatting>
  <conditionalFormatting sqref="J207">
    <cfRule type="aboveAverage" dxfId="346" priority="31"/>
  </conditionalFormatting>
  <conditionalFormatting sqref="J210">
    <cfRule type="aboveAverage" dxfId="345" priority="15"/>
  </conditionalFormatting>
  <conditionalFormatting sqref="J211 L211:N211">
    <cfRule type="aboveAverage" dxfId="344" priority="44"/>
  </conditionalFormatting>
  <conditionalFormatting sqref="J215">
    <cfRule type="aboveAverage" dxfId="343" priority="1378"/>
  </conditionalFormatting>
  <conditionalFormatting sqref="J259">
    <cfRule type="aboveAverage" dxfId="342" priority="230"/>
  </conditionalFormatting>
  <conditionalFormatting sqref="J260">
    <cfRule type="aboveAverage" dxfId="341" priority="229"/>
  </conditionalFormatting>
  <conditionalFormatting sqref="J261">
    <cfRule type="aboveAverage" dxfId="340" priority="228"/>
  </conditionalFormatting>
  <conditionalFormatting sqref="J264">
    <cfRule type="aboveAverage" dxfId="339" priority="227"/>
  </conditionalFormatting>
  <conditionalFormatting sqref="J265">
    <cfRule type="aboveAverage" dxfId="338" priority="226"/>
  </conditionalFormatting>
  <conditionalFormatting sqref="J271 L271:N271">
    <cfRule type="aboveAverage" dxfId="337" priority="1471"/>
  </conditionalFormatting>
  <conditionalFormatting sqref="J278">
    <cfRule type="aboveAverage" dxfId="336" priority="225"/>
  </conditionalFormatting>
  <conditionalFormatting sqref="J279">
    <cfRule type="aboveAverage" dxfId="335" priority="224"/>
  </conditionalFormatting>
  <conditionalFormatting sqref="J280">
    <cfRule type="aboveAverage" dxfId="334" priority="223"/>
  </conditionalFormatting>
  <conditionalFormatting sqref="J281">
    <cfRule type="aboveAverage" dxfId="333" priority="222"/>
  </conditionalFormatting>
  <conditionalFormatting sqref="J282">
    <cfRule type="aboveAverage" dxfId="332" priority="221"/>
  </conditionalFormatting>
  <conditionalFormatting sqref="J283">
    <cfRule type="aboveAverage" dxfId="331" priority="220"/>
  </conditionalFormatting>
  <conditionalFormatting sqref="J284">
    <cfRule type="aboveAverage" dxfId="330" priority="219"/>
  </conditionalFormatting>
  <conditionalFormatting sqref="J287:J288 J290:J292">
    <cfRule type="aboveAverage" dxfId="329" priority="166"/>
  </conditionalFormatting>
  <conditionalFormatting sqref="J295:J296">
    <cfRule type="aboveAverage" dxfId="328" priority="218"/>
  </conditionalFormatting>
  <conditionalFormatting sqref="J300">
    <cfRule type="aboveAverage" dxfId="327" priority="104"/>
  </conditionalFormatting>
  <conditionalFormatting sqref="J301">
    <cfRule type="aboveAverage" dxfId="326" priority="1431"/>
  </conditionalFormatting>
  <conditionalFormatting sqref="J343">
    <cfRule type="aboveAverage" dxfId="325" priority="413"/>
  </conditionalFormatting>
  <conditionalFormatting sqref="J344">
    <cfRule type="aboveAverage" dxfId="324" priority="412"/>
  </conditionalFormatting>
  <conditionalFormatting sqref="J345">
    <cfRule type="aboveAverage" dxfId="323" priority="411"/>
  </conditionalFormatting>
  <conditionalFormatting sqref="J348">
    <cfRule type="aboveAverage" dxfId="322" priority="410"/>
  </conditionalFormatting>
  <conditionalFormatting sqref="J349">
    <cfRule type="aboveAverage" dxfId="321" priority="409"/>
  </conditionalFormatting>
  <conditionalFormatting sqref="J362">
    <cfRule type="aboveAverage" dxfId="320" priority="408"/>
  </conditionalFormatting>
  <conditionalFormatting sqref="J363">
    <cfRule type="aboveAverage" dxfId="319" priority="407"/>
  </conditionalFormatting>
  <conditionalFormatting sqref="J364">
    <cfRule type="aboveAverage" dxfId="318" priority="406"/>
  </conditionalFormatting>
  <conditionalFormatting sqref="J365">
    <cfRule type="aboveAverage" dxfId="317" priority="405"/>
  </conditionalFormatting>
  <conditionalFormatting sqref="J366">
    <cfRule type="aboveAverage" dxfId="316" priority="404"/>
  </conditionalFormatting>
  <conditionalFormatting sqref="J368">
    <cfRule type="aboveAverage" dxfId="315" priority="403"/>
  </conditionalFormatting>
  <conditionalFormatting sqref="J371">
    <cfRule type="aboveAverage" dxfId="314" priority="402"/>
  </conditionalFormatting>
  <conditionalFormatting sqref="J372">
    <cfRule type="aboveAverage" dxfId="313" priority="401"/>
  </conditionalFormatting>
  <conditionalFormatting sqref="J374">
    <cfRule type="aboveAverage" dxfId="312" priority="399"/>
  </conditionalFormatting>
  <conditionalFormatting sqref="J375">
    <cfRule type="aboveAverage" dxfId="311" priority="398"/>
  </conditionalFormatting>
  <conditionalFormatting sqref="J376">
    <cfRule type="aboveAverage" dxfId="310" priority="397"/>
  </conditionalFormatting>
  <conditionalFormatting sqref="J379:J380">
    <cfRule type="aboveAverage" dxfId="309" priority="396"/>
  </conditionalFormatting>
  <conditionalFormatting sqref="J384">
    <cfRule type="aboveAverage" dxfId="308" priority="1478"/>
  </conditionalFormatting>
  <conditionalFormatting sqref="J385">
    <cfRule type="aboveAverage" dxfId="307" priority="1481"/>
  </conditionalFormatting>
  <conditionalFormatting sqref="J427:J430">
    <cfRule type="aboveAverage" dxfId="306" priority="563"/>
  </conditionalFormatting>
  <conditionalFormatting sqref="J434">
    <cfRule type="aboveAverage" dxfId="305" priority="564"/>
  </conditionalFormatting>
  <conditionalFormatting sqref="J447:J451 J453">
    <cfRule type="aboveAverage" dxfId="304" priority="562"/>
  </conditionalFormatting>
  <conditionalFormatting sqref="J456:J457">
    <cfRule type="aboveAverage" dxfId="303" priority="561"/>
  </conditionalFormatting>
  <conditionalFormatting sqref="J461">
    <cfRule type="aboveAverage" dxfId="302" priority="560"/>
  </conditionalFormatting>
  <conditionalFormatting sqref="J462">
    <cfRule type="aboveAverage" dxfId="301" priority="680"/>
  </conditionalFormatting>
  <conditionalFormatting sqref="J466:J468">
    <cfRule type="aboveAverage" dxfId="300" priority="559"/>
  </conditionalFormatting>
  <conditionalFormatting sqref="J510:J511">
    <cfRule type="aboveAverage" dxfId="299" priority="760"/>
  </conditionalFormatting>
  <conditionalFormatting sqref="J514">
    <cfRule type="aboveAverage" dxfId="298" priority="740"/>
  </conditionalFormatting>
  <conditionalFormatting sqref="J515">
    <cfRule type="aboveAverage" dxfId="297" priority="733"/>
  </conditionalFormatting>
  <conditionalFormatting sqref="J516">
    <cfRule type="aboveAverage" dxfId="296" priority="736"/>
  </conditionalFormatting>
  <conditionalFormatting sqref="J517">
    <cfRule type="aboveAverage" dxfId="295" priority="735"/>
  </conditionalFormatting>
  <conditionalFormatting sqref="J518">
    <cfRule type="aboveAverage" dxfId="294" priority="734"/>
  </conditionalFormatting>
  <conditionalFormatting sqref="J519">
    <cfRule type="aboveAverage" dxfId="293" priority="739"/>
  </conditionalFormatting>
  <conditionalFormatting sqref="J520">
    <cfRule type="aboveAverage" dxfId="292" priority="738"/>
  </conditionalFormatting>
  <conditionalFormatting sqref="J521">
    <cfRule type="aboveAverage" dxfId="291" priority="737"/>
  </conditionalFormatting>
  <conditionalFormatting sqref="J524:J530">
    <cfRule type="aboveAverage" dxfId="290" priority="758"/>
  </conditionalFormatting>
  <conditionalFormatting sqref="J533:J534">
    <cfRule type="aboveAverage" dxfId="289" priority="757"/>
  </conditionalFormatting>
  <conditionalFormatting sqref="J538">
    <cfRule type="aboveAverage" dxfId="288" priority="756"/>
  </conditionalFormatting>
  <conditionalFormatting sqref="J539">
    <cfRule type="aboveAverage" dxfId="287" priority="1581"/>
  </conditionalFormatting>
  <conditionalFormatting sqref="J543:J544">
    <cfRule type="aboveAverage" dxfId="286" priority="805"/>
  </conditionalFormatting>
  <conditionalFormatting sqref="J545">
    <cfRule type="aboveAverage" dxfId="285" priority="753"/>
  </conditionalFormatting>
  <conditionalFormatting sqref="J586:J587">
    <cfRule type="aboveAverage" dxfId="284" priority="894"/>
  </conditionalFormatting>
  <conditionalFormatting sqref="J597">
    <cfRule type="aboveAverage" dxfId="283" priority="853"/>
  </conditionalFormatting>
  <conditionalFormatting sqref="J600:J604 J606">
    <cfRule type="aboveAverage" dxfId="282" priority="893"/>
  </conditionalFormatting>
  <conditionalFormatting sqref="J609:J610">
    <cfRule type="aboveAverage" dxfId="281" priority="892"/>
  </conditionalFormatting>
  <conditionalFormatting sqref="J614">
    <cfRule type="aboveAverage" dxfId="280" priority="864"/>
  </conditionalFormatting>
  <conditionalFormatting sqref="J615">
    <cfRule type="aboveAverage" dxfId="279" priority="1025"/>
  </conditionalFormatting>
  <conditionalFormatting sqref="J619:J621">
    <cfRule type="aboveAverage" dxfId="278" priority="891"/>
  </conditionalFormatting>
  <conditionalFormatting sqref="J691">
    <cfRule type="aboveAverage" dxfId="277" priority="1678"/>
  </conditionalFormatting>
  <conditionalFormatting sqref="J692">
    <cfRule type="aboveAverage" dxfId="276" priority="1681"/>
  </conditionalFormatting>
  <conditionalFormatting sqref="J754">
    <cfRule type="aboveAverage" dxfId="275" priority="1099"/>
  </conditionalFormatting>
  <conditionalFormatting sqref="J757">
    <cfRule type="aboveAverage" dxfId="274" priority="1098"/>
  </conditionalFormatting>
  <conditionalFormatting sqref="J758">
    <cfRule type="aboveAverage" dxfId="273" priority="1097"/>
  </conditionalFormatting>
  <conditionalFormatting sqref="J768">
    <cfRule type="aboveAverage" dxfId="272" priority="1084"/>
  </conditionalFormatting>
  <conditionalFormatting sqref="J831">
    <cfRule type="aboveAverage" dxfId="271" priority="1151"/>
  </conditionalFormatting>
  <conditionalFormatting sqref="J834">
    <cfRule type="aboveAverage" dxfId="270" priority="1150"/>
  </conditionalFormatting>
  <conditionalFormatting sqref="J835">
    <cfRule type="aboveAverage" dxfId="269" priority="1149"/>
  </conditionalFormatting>
  <conditionalFormatting sqref="J836">
    <cfRule type="aboveAverage" dxfId="268" priority="1148"/>
  </conditionalFormatting>
  <conditionalFormatting sqref="J845">
    <cfRule type="aboveAverage" dxfId="267" priority="1131"/>
  </conditionalFormatting>
  <conditionalFormatting sqref="J908">
    <cfRule type="aboveAverage" dxfId="266" priority="1187"/>
  </conditionalFormatting>
  <conditionalFormatting sqref="J911">
    <cfRule type="aboveAverage" dxfId="265" priority="1186"/>
  </conditionalFormatting>
  <conditionalFormatting sqref="J912">
    <cfRule type="aboveAverage" dxfId="264" priority="1185"/>
  </conditionalFormatting>
  <conditionalFormatting sqref="J913">
    <cfRule type="aboveAverage" dxfId="263" priority="1184"/>
  </conditionalFormatting>
  <conditionalFormatting sqref="J922">
    <cfRule type="aboveAverage" dxfId="262" priority="1168"/>
  </conditionalFormatting>
  <conditionalFormatting sqref="J504:L507">
    <cfRule type="aboveAverage" dxfId="261" priority="834"/>
  </conditionalFormatting>
  <conditionalFormatting sqref="J580:M583">
    <cfRule type="aboveAverage" dxfId="260" priority="943"/>
  </conditionalFormatting>
  <conditionalFormatting sqref="J42:N42">
    <cfRule type="aboveAverage" dxfId="259" priority="1321"/>
  </conditionalFormatting>
  <conditionalFormatting sqref="J43:N43">
    <cfRule type="aboveAverage" dxfId="258" priority="1320"/>
  </conditionalFormatting>
  <conditionalFormatting sqref="J46:N46">
    <cfRule type="aboveAverage" dxfId="257" priority="1318"/>
  </conditionalFormatting>
  <conditionalFormatting sqref="J355:N355">
    <cfRule type="aboveAverage" dxfId="256" priority="1521"/>
  </conditionalFormatting>
  <conditionalFormatting sqref="J593:N593">
    <cfRule type="aboveAverage" dxfId="255" priority="1671"/>
  </conditionalFormatting>
  <conditionalFormatting sqref="J594:N594">
    <cfRule type="aboveAverage" dxfId="254" priority="856"/>
  </conditionalFormatting>
  <conditionalFormatting sqref="J670:N670">
    <cfRule type="aboveAverage" dxfId="253" priority="1721"/>
  </conditionalFormatting>
  <conditionalFormatting sqref="J687:N687">
    <cfRule type="aboveAverage" dxfId="252" priority="1049"/>
  </conditionalFormatting>
  <conditionalFormatting sqref="J747:N747">
    <cfRule type="aboveAverage" dxfId="251" priority="1124"/>
  </conditionalFormatting>
  <conditionalFormatting sqref="J748:N748">
    <cfRule type="aboveAverage" dxfId="250" priority="1123"/>
  </conditionalFormatting>
  <conditionalFormatting sqref="J751:N751">
    <cfRule type="aboveAverage" dxfId="249" priority="1121"/>
  </conditionalFormatting>
  <conditionalFormatting sqref="J1905:N1905">
    <cfRule type="aboveAverage" dxfId="248" priority="1902"/>
  </conditionalFormatting>
  <conditionalFormatting sqref="J1921:N1922">
    <cfRule type="aboveAverage" dxfId="247" priority="1857"/>
  </conditionalFormatting>
  <conditionalFormatting sqref="J1927:N1927">
    <cfRule type="aboveAverage" dxfId="246" priority="1853"/>
  </conditionalFormatting>
  <conditionalFormatting sqref="K170">
    <cfRule type="aboveAverage" dxfId="245" priority="14"/>
  </conditionalFormatting>
  <conditionalFormatting sqref="K181:K184">
    <cfRule type="aboveAverage" dxfId="244" priority="8"/>
  </conditionalFormatting>
  <conditionalFormatting sqref="K187:K188">
    <cfRule type="aboveAverage" dxfId="243" priority="7"/>
  </conditionalFormatting>
  <conditionalFormatting sqref="K201:K205">
    <cfRule type="aboveAverage" dxfId="242" priority="6"/>
  </conditionalFormatting>
  <conditionalFormatting sqref="K207">
    <cfRule type="aboveAverage" dxfId="241" priority="5"/>
  </conditionalFormatting>
  <conditionalFormatting sqref="K210:K211">
    <cfRule type="aboveAverage" dxfId="240" priority="4"/>
  </conditionalFormatting>
  <conditionalFormatting sqref="K215">
    <cfRule type="aboveAverage" dxfId="239" priority="3"/>
  </conditionalFormatting>
  <conditionalFormatting sqref="K247">
    <cfRule type="aboveAverage" dxfId="238" priority="205"/>
  </conditionalFormatting>
  <conditionalFormatting sqref="K255">
    <cfRule type="aboveAverage" dxfId="237" priority="216"/>
  </conditionalFormatting>
  <conditionalFormatting sqref="K258">
    <cfRule type="aboveAverage" dxfId="236" priority="215"/>
  </conditionalFormatting>
  <conditionalFormatting sqref="K259">
    <cfRule type="aboveAverage" dxfId="235" priority="214"/>
  </conditionalFormatting>
  <conditionalFormatting sqref="K260">
    <cfRule type="aboveAverage" dxfId="234" priority="213"/>
  </conditionalFormatting>
  <conditionalFormatting sqref="K261">
    <cfRule type="aboveAverage" dxfId="233" priority="212"/>
  </conditionalFormatting>
  <conditionalFormatting sqref="K264:K265">
    <cfRule type="aboveAverage" dxfId="232" priority="211"/>
  </conditionalFormatting>
  <conditionalFormatting sqref="K271">
    <cfRule type="aboveAverage" dxfId="231" priority="209"/>
  </conditionalFormatting>
  <conditionalFormatting sqref="K278:K284">
    <cfRule type="aboveAverage" dxfId="230" priority="207"/>
  </conditionalFormatting>
  <conditionalFormatting sqref="K287:K288 K290:K292">
    <cfRule type="aboveAverage" dxfId="229" priority="165"/>
  </conditionalFormatting>
  <conditionalFormatting sqref="K295:K296">
    <cfRule type="aboveAverage" dxfId="228" priority="206"/>
  </conditionalFormatting>
  <conditionalFormatting sqref="K300">
    <cfRule type="aboveAverage" dxfId="227" priority="103"/>
  </conditionalFormatting>
  <conditionalFormatting sqref="K343">
    <cfRule type="aboveAverage" dxfId="226" priority="395"/>
  </conditionalFormatting>
  <conditionalFormatting sqref="K344">
    <cfRule type="aboveAverage" dxfId="225" priority="394"/>
  </conditionalFormatting>
  <conditionalFormatting sqref="K345">
    <cfRule type="aboveAverage" dxfId="224" priority="393"/>
  </conditionalFormatting>
  <conditionalFormatting sqref="K348">
    <cfRule type="aboveAverage" dxfId="223" priority="392"/>
  </conditionalFormatting>
  <conditionalFormatting sqref="K349">
    <cfRule type="aboveAverage" dxfId="222" priority="391"/>
  </conditionalFormatting>
  <conditionalFormatting sqref="K362">
    <cfRule type="aboveAverage" dxfId="221" priority="390"/>
  </conditionalFormatting>
  <conditionalFormatting sqref="K363">
    <cfRule type="aboveAverage" dxfId="220" priority="389"/>
  </conditionalFormatting>
  <conditionalFormatting sqref="K364">
    <cfRule type="aboveAverage" dxfId="219" priority="388"/>
  </conditionalFormatting>
  <conditionalFormatting sqref="K365">
    <cfRule type="aboveAverage" dxfId="218" priority="387"/>
  </conditionalFormatting>
  <conditionalFormatting sqref="K366">
    <cfRule type="aboveAverage" dxfId="217" priority="386"/>
  </conditionalFormatting>
  <conditionalFormatting sqref="K368">
    <cfRule type="aboveAverage" dxfId="216" priority="385"/>
  </conditionalFormatting>
  <conditionalFormatting sqref="K371">
    <cfRule type="aboveAverage" dxfId="215" priority="384"/>
  </conditionalFormatting>
  <conditionalFormatting sqref="K372">
    <cfRule type="aboveAverage" dxfId="214" priority="383"/>
  </conditionalFormatting>
  <conditionalFormatting sqref="K374">
    <cfRule type="aboveAverage" dxfId="213" priority="381"/>
  </conditionalFormatting>
  <conditionalFormatting sqref="K375">
    <cfRule type="aboveAverage" dxfId="212" priority="380"/>
  </conditionalFormatting>
  <conditionalFormatting sqref="K376">
    <cfRule type="aboveAverage" dxfId="211" priority="379"/>
  </conditionalFormatting>
  <conditionalFormatting sqref="K379:K380">
    <cfRule type="aboveAverage" dxfId="210" priority="378"/>
  </conditionalFormatting>
  <conditionalFormatting sqref="K416">
    <cfRule type="aboveAverage" dxfId="209" priority="553"/>
  </conditionalFormatting>
  <conditionalFormatting sqref="K428:K430">
    <cfRule type="aboveAverage" dxfId="208" priority="558"/>
  </conditionalFormatting>
  <conditionalFormatting sqref="K433:K434">
    <cfRule type="aboveAverage" dxfId="207" priority="557"/>
  </conditionalFormatting>
  <conditionalFormatting sqref="K447:K451 K453">
    <cfRule type="aboveAverage" dxfId="206" priority="556"/>
  </conditionalFormatting>
  <conditionalFormatting sqref="K456:K457">
    <cfRule type="aboveAverage" dxfId="205" priority="555"/>
  </conditionalFormatting>
  <conditionalFormatting sqref="K461">
    <cfRule type="aboveAverage" dxfId="204" priority="554"/>
  </conditionalFormatting>
  <conditionalFormatting sqref="K466:K468">
    <cfRule type="aboveAverage" dxfId="203" priority="649"/>
  </conditionalFormatting>
  <conditionalFormatting sqref="K493">
    <cfRule type="aboveAverage" dxfId="202" priority="732"/>
  </conditionalFormatting>
  <conditionalFormatting sqref="K510:K511">
    <cfRule type="aboveAverage" dxfId="201" priority="745"/>
  </conditionalFormatting>
  <conditionalFormatting sqref="K524:K530">
    <cfRule type="aboveAverage" dxfId="200" priority="744"/>
  </conditionalFormatting>
  <conditionalFormatting sqref="K533:K534">
    <cfRule type="aboveAverage" dxfId="199" priority="743"/>
  </conditionalFormatting>
  <conditionalFormatting sqref="K538">
    <cfRule type="aboveAverage" dxfId="198" priority="742"/>
  </conditionalFormatting>
  <conditionalFormatting sqref="K543:K545">
    <cfRule type="aboveAverage" dxfId="197" priority="741"/>
  </conditionalFormatting>
  <conditionalFormatting sqref="K586:K587">
    <cfRule type="aboveAverage" dxfId="196" priority="890"/>
  </conditionalFormatting>
  <conditionalFormatting sqref="K597">
    <cfRule type="aboveAverage" dxfId="195" priority="1668"/>
  </conditionalFormatting>
  <conditionalFormatting sqref="K600:K604 K606">
    <cfRule type="aboveAverage" dxfId="194" priority="889"/>
  </conditionalFormatting>
  <conditionalFormatting sqref="K609:K610">
    <cfRule type="aboveAverage" dxfId="193" priority="888"/>
  </conditionalFormatting>
  <conditionalFormatting sqref="K614">
    <cfRule type="aboveAverage" dxfId="192" priority="863"/>
  </conditionalFormatting>
  <conditionalFormatting sqref="K619:K621">
    <cfRule type="aboveAverage" dxfId="191" priority="887"/>
  </conditionalFormatting>
  <conditionalFormatting sqref="K427:L427 N427">
    <cfRule type="aboveAverage" dxfId="190" priority="1575"/>
  </conditionalFormatting>
  <conditionalFormatting sqref="K774:N775">
    <cfRule type="aboveAverage" dxfId="189" priority="1063"/>
  </conditionalFormatting>
  <conditionalFormatting sqref="K836:N836">
    <cfRule type="aboveAverage" dxfId="188" priority="1147"/>
  </conditionalFormatting>
  <conditionalFormatting sqref="L181:L184">
    <cfRule type="aboveAverage" dxfId="187" priority="69"/>
  </conditionalFormatting>
  <conditionalFormatting sqref="L255">
    <cfRule type="aboveAverage" dxfId="186" priority="164"/>
  </conditionalFormatting>
  <conditionalFormatting sqref="L258">
    <cfRule type="aboveAverage" dxfId="185" priority="163"/>
  </conditionalFormatting>
  <conditionalFormatting sqref="L259">
    <cfRule type="aboveAverage" dxfId="184" priority="162"/>
  </conditionalFormatting>
  <conditionalFormatting sqref="L260">
    <cfRule type="aboveAverage" dxfId="183" priority="161"/>
  </conditionalFormatting>
  <conditionalFormatting sqref="L261">
    <cfRule type="aboveAverage" dxfId="182" priority="160"/>
  </conditionalFormatting>
  <conditionalFormatting sqref="L264">
    <cfRule type="aboveAverage" dxfId="181" priority="159"/>
  </conditionalFormatting>
  <conditionalFormatting sqref="L265">
    <cfRule type="aboveAverage" dxfId="180" priority="158"/>
  </conditionalFormatting>
  <conditionalFormatting sqref="L278:L284">
    <cfRule type="aboveAverage" dxfId="179" priority="157"/>
  </conditionalFormatting>
  <conditionalFormatting sqref="L287:L288">
    <cfRule type="aboveAverage" dxfId="178" priority="156"/>
  </conditionalFormatting>
  <conditionalFormatting sqref="L290:L292">
    <cfRule type="aboveAverage" dxfId="177" priority="155"/>
  </conditionalFormatting>
  <conditionalFormatting sqref="L295:L296">
    <cfRule type="aboveAverage" dxfId="176" priority="154"/>
  </conditionalFormatting>
  <conditionalFormatting sqref="L300">
    <cfRule type="aboveAverage" dxfId="175" priority="102"/>
  </conditionalFormatting>
  <conditionalFormatting sqref="L331">
    <cfRule type="aboveAverage" dxfId="174" priority="341"/>
  </conditionalFormatting>
  <conditionalFormatting sqref="L343">
    <cfRule type="aboveAverage" dxfId="173" priority="377"/>
  </conditionalFormatting>
  <conditionalFormatting sqref="L344">
    <cfRule type="aboveAverage" dxfId="172" priority="376"/>
  </conditionalFormatting>
  <conditionalFormatting sqref="L345">
    <cfRule type="aboveAverage" dxfId="171" priority="375"/>
  </conditionalFormatting>
  <conditionalFormatting sqref="L348">
    <cfRule type="aboveAverage" dxfId="170" priority="374"/>
  </conditionalFormatting>
  <conditionalFormatting sqref="L349">
    <cfRule type="aboveAverage" dxfId="169" priority="373"/>
  </conditionalFormatting>
  <conditionalFormatting sqref="L362:L366">
    <cfRule type="aboveAverage" dxfId="168" priority="372"/>
  </conditionalFormatting>
  <conditionalFormatting sqref="L368">
    <cfRule type="aboveAverage" dxfId="167" priority="371"/>
  </conditionalFormatting>
  <conditionalFormatting sqref="L371:L372 L374:L376">
    <cfRule type="aboveAverage" dxfId="166" priority="370"/>
  </conditionalFormatting>
  <conditionalFormatting sqref="L379:L380">
    <cfRule type="aboveAverage" dxfId="165" priority="369"/>
  </conditionalFormatting>
  <conditionalFormatting sqref="L428:L430">
    <cfRule type="aboveAverage" dxfId="164" priority="552"/>
  </conditionalFormatting>
  <conditionalFormatting sqref="L433:L434">
    <cfRule type="aboveAverage" dxfId="163" priority="551"/>
  </conditionalFormatting>
  <conditionalFormatting sqref="L447:L451 L453">
    <cfRule type="aboveAverage" dxfId="162" priority="550"/>
  </conditionalFormatting>
  <conditionalFormatting sqref="L456:L457">
    <cfRule type="aboveAverage" dxfId="161" priority="549"/>
  </conditionalFormatting>
  <conditionalFormatting sqref="L461">
    <cfRule type="aboveAverage" dxfId="160" priority="548"/>
  </conditionalFormatting>
  <conditionalFormatting sqref="L466:L468">
    <cfRule type="aboveAverage" dxfId="159" priority="547"/>
  </conditionalFormatting>
  <conditionalFormatting sqref="L493">
    <cfRule type="aboveAverage" dxfId="158" priority="731"/>
  </conditionalFormatting>
  <conditionalFormatting sqref="L510:L511">
    <cfRule type="aboveAverage" dxfId="157" priority="730"/>
  </conditionalFormatting>
  <conditionalFormatting sqref="L524:L530">
    <cfRule type="aboveAverage" dxfId="156" priority="729"/>
  </conditionalFormatting>
  <conditionalFormatting sqref="L533">
    <cfRule type="aboveAverage" dxfId="155" priority="728"/>
  </conditionalFormatting>
  <conditionalFormatting sqref="L534">
    <cfRule type="aboveAverage" dxfId="154" priority="725"/>
  </conditionalFormatting>
  <conditionalFormatting sqref="L538">
    <cfRule type="aboveAverage" dxfId="153" priority="727"/>
  </conditionalFormatting>
  <conditionalFormatting sqref="L543:L545">
    <cfRule type="aboveAverage" dxfId="152" priority="726"/>
  </conditionalFormatting>
  <conditionalFormatting sqref="L586:L587">
    <cfRule type="aboveAverage" dxfId="151" priority="886"/>
  </conditionalFormatting>
  <conditionalFormatting sqref="L600:L604 L606">
    <cfRule type="aboveAverage" dxfId="150" priority="885"/>
  </conditionalFormatting>
  <conditionalFormatting sqref="L609:L610">
    <cfRule type="aboveAverage" dxfId="149" priority="884"/>
  </conditionalFormatting>
  <conditionalFormatting sqref="L614">
    <cfRule type="aboveAverage" dxfId="148" priority="862"/>
  </conditionalFormatting>
  <conditionalFormatting sqref="L619:L620">
    <cfRule type="aboveAverage" dxfId="147" priority="883"/>
  </conditionalFormatting>
  <conditionalFormatting sqref="L621">
    <cfRule type="aboveAverage" dxfId="146" priority="882"/>
  </conditionalFormatting>
  <conditionalFormatting sqref="L201:N201">
    <cfRule type="aboveAverage" dxfId="145" priority="1417"/>
  </conditionalFormatting>
  <conditionalFormatting sqref="L202:N202">
    <cfRule type="aboveAverage" dxfId="144" priority="1416"/>
  </conditionalFormatting>
  <conditionalFormatting sqref="L203:N203">
    <cfRule type="aboveAverage" dxfId="143" priority="1415"/>
  </conditionalFormatting>
  <conditionalFormatting sqref="L204:N204">
    <cfRule type="aboveAverage" dxfId="142" priority="1414"/>
  </conditionalFormatting>
  <conditionalFormatting sqref="L205:N205">
    <cfRule type="aboveAverage" dxfId="141" priority="1412"/>
  </conditionalFormatting>
  <conditionalFormatting sqref="L207:N207">
    <cfRule type="aboveAverage" dxfId="140" priority="1410"/>
  </conditionalFormatting>
  <conditionalFormatting sqref="L210:N210">
    <cfRule type="aboveAverage" dxfId="139" priority="1409"/>
  </conditionalFormatting>
  <conditionalFormatting sqref="L597:N597">
    <cfRule type="aboveAverage" dxfId="138" priority="851"/>
  </conditionalFormatting>
  <conditionalFormatting sqref="M181">
    <cfRule type="aboveAverage" dxfId="137" priority="68"/>
  </conditionalFormatting>
  <conditionalFormatting sqref="M182:M184">
    <cfRule type="aboveAverage" dxfId="136" priority="57"/>
  </conditionalFormatting>
  <conditionalFormatting sqref="M187:M188">
    <cfRule type="aboveAverage" dxfId="135" priority="78"/>
  </conditionalFormatting>
  <conditionalFormatting sqref="M255">
    <cfRule type="aboveAverage" dxfId="134" priority="151"/>
  </conditionalFormatting>
  <conditionalFormatting sqref="M258">
    <cfRule type="aboveAverage" dxfId="133" priority="150"/>
  </conditionalFormatting>
  <conditionalFormatting sqref="M259">
    <cfRule type="aboveAverage" dxfId="132" priority="149"/>
  </conditionalFormatting>
  <conditionalFormatting sqref="M260">
    <cfRule type="aboveAverage" dxfId="131" priority="148"/>
  </conditionalFormatting>
  <conditionalFormatting sqref="M261">
    <cfRule type="aboveAverage" dxfId="130" priority="147"/>
  </conditionalFormatting>
  <conditionalFormatting sqref="M264">
    <cfRule type="aboveAverage" dxfId="129" priority="146"/>
  </conditionalFormatting>
  <conditionalFormatting sqref="M265">
    <cfRule type="aboveAverage" dxfId="128" priority="145"/>
  </conditionalFormatting>
  <conditionalFormatting sqref="M278">
    <cfRule type="aboveAverage" dxfId="127" priority="144"/>
  </conditionalFormatting>
  <conditionalFormatting sqref="M279">
    <cfRule type="aboveAverage" dxfId="126" priority="143"/>
  </conditionalFormatting>
  <conditionalFormatting sqref="M280">
    <cfRule type="aboveAverage" dxfId="125" priority="142"/>
  </conditionalFormatting>
  <conditionalFormatting sqref="M281">
    <cfRule type="aboveAverage" dxfId="124" priority="141"/>
  </conditionalFormatting>
  <conditionalFormatting sqref="M282">
    <cfRule type="aboveAverage" dxfId="123" priority="140"/>
  </conditionalFormatting>
  <conditionalFormatting sqref="M283">
    <cfRule type="aboveAverage" dxfId="122" priority="139"/>
  </conditionalFormatting>
  <conditionalFormatting sqref="M284">
    <cfRule type="aboveAverage" dxfId="121" priority="138"/>
  </conditionalFormatting>
  <conditionalFormatting sqref="M287">
    <cfRule type="aboveAverage" dxfId="120" priority="137"/>
  </conditionalFormatting>
  <conditionalFormatting sqref="M288">
    <cfRule type="aboveAverage" dxfId="119" priority="136"/>
  </conditionalFormatting>
  <conditionalFormatting sqref="M290">
    <cfRule type="aboveAverage" dxfId="118" priority="132"/>
  </conditionalFormatting>
  <conditionalFormatting sqref="M291">
    <cfRule type="aboveAverage" dxfId="117" priority="134"/>
  </conditionalFormatting>
  <conditionalFormatting sqref="M292">
    <cfRule type="aboveAverage" dxfId="116" priority="133"/>
  </conditionalFormatting>
  <conditionalFormatting sqref="M295:M296">
    <cfRule type="aboveAverage" dxfId="115" priority="131"/>
  </conditionalFormatting>
  <conditionalFormatting sqref="M300">
    <cfRule type="aboveAverage" dxfId="114" priority="101"/>
  </conditionalFormatting>
  <conditionalFormatting sqref="M331">
    <cfRule type="aboveAverage" dxfId="113" priority="342"/>
  </conditionalFormatting>
  <conditionalFormatting sqref="M343">
    <cfRule type="aboveAverage" dxfId="112" priority="354"/>
  </conditionalFormatting>
  <conditionalFormatting sqref="M344">
    <cfRule type="aboveAverage" dxfId="111" priority="353"/>
  </conditionalFormatting>
  <conditionalFormatting sqref="M345">
    <cfRule type="aboveAverage" dxfId="110" priority="352"/>
  </conditionalFormatting>
  <conditionalFormatting sqref="M348:M349">
    <cfRule type="aboveAverage" dxfId="109" priority="355"/>
  </conditionalFormatting>
  <conditionalFormatting sqref="M362">
    <cfRule type="aboveAverage" dxfId="108" priority="351"/>
  </conditionalFormatting>
  <conditionalFormatting sqref="M363">
    <cfRule type="aboveAverage" dxfId="107" priority="350"/>
  </conditionalFormatting>
  <conditionalFormatting sqref="M364">
    <cfRule type="aboveAverage" dxfId="106" priority="349"/>
  </conditionalFormatting>
  <conditionalFormatting sqref="M365">
    <cfRule type="aboveAverage" dxfId="105" priority="348"/>
  </conditionalFormatting>
  <conditionalFormatting sqref="M366">
    <cfRule type="aboveAverage" dxfId="104" priority="347"/>
  </conditionalFormatting>
  <conditionalFormatting sqref="M368">
    <cfRule type="aboveAverage" dxfId="103" priority="346"/>
  </conditionalFormatting>
  <conditionalFormatting sqref="M371:M372">
    <cfRule type="aboveAverage" dxfId="102" priority="345"/>
  </conditionalFormatting>
  <conditionalFormatting sqref="M374:M376">
    <cfRule type="aboveAverage" dxfId="101" priority="344"/>
  </conditionalFormatting>
  <conditionalFormatting sqref="M379:M380">
    <cfRule type="aboveAverage" dxfId="100" priority="343"/>
  </conditionalFormatting>
  <conditionalFormatting sqref="M427:M430">
    <cfRule type="aboveAverage" dxfId="99" priority="536"/>
  </conditionalFormatting>
  <conditionalFormatting sqref="M433">
    <cfRule type="aboveAverage" dxfId="98" priority="541"/>
  </conditionalFormatting>
  <conditionalFormatting sqref="M434">
    <cfRule type="aboveAverage" dxfId="97" priority="540"/>
  </conditionalFormatting>
  <conditionalFormatting sqref="M447:M451 M453">
    <cfRule type="aboveAverage" dxfId="96" priority="539"/>
  </conditionalFormatting>
  <conditionalFormatting sqref="M456:M457">
    <cfRule type="aboveAverage" dxfId="95" priority="535"/>
  </conditionalFormatting>
  <conditionalFormatting sqref="M461">
    <cfRule type="aboveAverage" dxfId="94" priority="534"/>
  </conditionalFormatting>
  <conditionalFormatting sqref="M466:M468">
    <cfRule type="aboveAverage" dxfId="93" priority="533"/>
  </conditionalFormatting>
  <conditionalFormatting sqref="M493">
    <cfRule type="aboveAverage" dxfId="92" priority="724"/>
  </conditionalFormatting>
  <conditionalFormatting sqref="M504:M507">
    <cfRule type="aboveAverage" dxfId="91" priority="723"/>
  </conditionalFormatting>
  <conditionalFormatting sqref="M510:M511">
    <cfRule type="aboveAverage" dxfId="90" priority="722"/>
  </conditionalFormatting>
  <conditionalFormatting sqref="M524:M530">
    <cfRule type="aboveAverage" dxfId="89" priority="720"/>
  </conditionalFormatting>
  <conditionalFormatting sqref="M533:M534">
    <cfRule type="aboveAverage" dxfId="88" priority="721"/>
  </conditionalFormatting>
  <conditionalFormatting sqref="M538">
    <cfRule type="aboveAverage" dxfId="87" priority="719"/>
  </conditionalFormatting>
  <conditionalFormatting sqref="M543:M545">
    <cfRule type="aboveAverage" dxfId="86" priority="718"/>
  </conditionalFormatting>
  <conditionalFormatting sqref="M586:M587">
    <cfRule type="aboveAverage" dxfId="85" priority="881"/>
  </conditionalFormatting>
  <conditionalFormatting sqref="M600:M604 M606">
    <cfRule type="aboveAverage" dxfId="84" priority="880"/>
  </conditionalFormatting>
  <conditionalFormatting sqref="M609:M610">
    <cfRule type="aboveAverage" dxfId="83" priority="879"/>
  </conditionalFormatting>
  <conditionalFormatting sqref="M614">
    <cfRule type="aboveAverage" dxfId="82" priority="861"/>
  </conditionalFormatting>
  <conditionalFormatting sqref="M619:M621">
    <cfRule type="aboveAverage" dxfId="81" priority="878"/>
  </conditionalFormatting>
  <conditionalFormatting sqref="N45">
    <cfRule type="aboveAverage" dxfId="80" priority="1319"/>
  </conditionalFormatting>
  <conditionalFormatting sqref="N120">
    <cfRule type="aboveAverage" dxfId="79" priority="1369"/>
  </conditionalFormatting>
  <conditionalFormatting sqref="N181">
    <cfRule type="aboveAverage" dxfId="78" priority="67"/>
  </conditionalFormatting>
  <conditionalFormatting sqref="N182:N184">
    <cfRule type="aboveAverage" dxfId="77" priority="56"/>
  </conditionalFormatting>
  <conditionalFormatting sqref="N187:N188">
    <cfRule type="aboveAverage" dxfId="76" priority="77"/>
  </conditionalFormatting>
  <conditionalFormatting sqref="N255">
    <cfRule type="aboveAverage" dxfId="75" priority="129"/>
  </conditionalFormatting>
  <conditionalFormatting sqref="N258">
    <cfRule type="aboveAverage" dxfId="74" priority="128"/>
  </conditionalFormatting>
  <conditionalFormatting sqref="N259">
    <cfRule type="aboveAverage" dxfId="73" priority="127"/>
  </conditionalFormatting>
  <conditionalFormatting sqref="N260">
    <cfRule type="aboveAverage" dxfId="72" priority="126"/>
  </conditionalFormatting>
  <conditionalFormatting sqref="N261">
    <cfRule type="aboveAverage" dxfId="71" priority="125"/>
  </conditionalFormatting>
  <conditionalFormatting sqref="N264">
    <cfRule type="aboveAverage" dxfId="70" priority="124"/>
  </conditionalFormatting>
  <conditionalFormatting sqref="N265">
    <cfRule type="aboveAverage" dxfId="69" priority="123"/>
  </conditionalFormatting>
  <conditionalFormatting sqref="N274">
    <cfRule type="aboveAverage" dxfId="68" priority="1469"/>
  </conditionalFormatting>
  <conditionalFormatting sqref="N278:N284">
    <cfRule type="aboveAverage" dxfId="67" priority="122"/>
  </conditionalFormatting>
  <conditionalFormatting sqref="N287:N288">
    <cfRule type="aboveAverage" dxfId="66" priority="121"/>
  </conditionalFormatting>
  <conditionalFormatting sqref="N290:N292">
    <cfRule type="aboveAverage" dxfId="65" priority="120"/>
  </conditionalFormatting>
  <conditionalFormatting sqref="N295:N296">
    <cfRule type="aboveAverage" dxfId="64" priority="119"/>
  </conditionalFormatting>
  <conditionalFormatting sqref="N300">
    <cfRule type="aboveAverage" dxfId="63" priority="100"/>
  </conditionalFormatting>
  <conditionalFormatting sqref="N331">
    <cfRule type="aboveAverage" dxfId="62" priority="333"/>
  </conditionalFormatting>
  <conditionalFormatting sqref="N343:N345">
    <cfRule type="aboveAverage" dxfId="61" priority="332"/>
  </conditionalFormatting>
  <conditionalFormatting sqref="N348:N349">
    <cfRule type="aboveAverage" dxfId="60" priority="331"/>
  </conditionalFormatting>
  <conditionalFormatting sqref="N358">
    <cfRule type="aboveAverage" dxfId="59" priority="1519"/>
  </conditionalFormatting>
  <conditionalFormatting sqref="N362:N366">
    <cfRule type="aboveAverage" dxfId="58" priority="330"/>
  </conditionalFormatting>
  <conditionalFormatting sqref="N368">
    <cfRule type="aboveAverage" dxfId="57" priority="329"/>
  </conditionalFormatting>
  <conditionalFormatting sqref="N371:N372">
    <cfRule type="aboveAverage" dxfId="56" priority="328"/>
  </conditionalFormatting>
  <conditionalFormatting sqref="N374:N376">
    <cfRule type="aboveAverage" dxfId="55" priority="327"/>
  </conditionalFormatting>
  <conditionalFormatting sqref="N379:N380">
    <cfRule type="aboveAverage" dxfId="54" priority="326"/>
  </conditionalFormatting>
  <conditionalFormatting sqref="N428:N430">
    <cfRule type="aboveAverage" dxfId="53" priority="532"/>
  </conditionalFormatting>
  <conditionalFormatting sqref="N433:N434">
    <cfRule type="aboveAverage" dxfId="52" priority="531"/>
  </conditionalFormatting>
  <conditionalFormatting sqref="N443">
    <cfRule type="aboveAverage" dxfId="51" priority="1569"/>
  </conditionalFormatting>
  <conditionalFormatting sqref="N447:N451 N453">
    <cfRule type="aboveAverage" dxfId="50" priority="530"/>
  </conditionalFormatting>
  <conditionalFormatting sqref="N456:N457">
    <cfRule type="aboveAverage" dxfId="49" priority="529"/>
  </conditionalFormatting>
  <conditionalFormatting sqref="N461">
    <cfRule type="aboveAverage" dxfId="48" priority="528"/>
  </conditionalFormatting>
  <conditionalFormatting sqref="N466:N468">
    <cfRule type="aboveAverage" dxfId="47" priority="527"/>
  </conditionalFormatting>
  <conditionalFormatting sqref="N493">
    <cfRule type="aboveAverage" dxfId="46" priority="717"/>
  </conditionalFormatting>
  <conditionalFormatting sqref="N504">
    <cfRule type="aboveAverage" dxfId="45" priority="715"/>
  </conditionalFormatting>
  <conditionalFormatting sqref="N505">
    <cfRule type="aboveAverage" dxfId="44" priority="714"/>
  </conditionalFormatting>
  <conditionalFormatting sqref="N506">
    <cfRule type="aboveAverage" dxfId="43" priority="713"/>
  </conditionalFormatting>
  <conditionalFormatting sqref="N507">
    <cfRule type="aboveAverage" dxfId="42" priority="712"/>
  </conditionalFormatting>
  <conditionalFormatting sqref="N510">
    <cfRule type="aboveAverage" dxfId="41" priority="711"/>
  </conditionalFormatting>
  <conditionalFormatting sqref="N511">
    <cfRule type="aboveAverage" dxfId="40" priority="710"/>
  </conditionalFormatting>
  <conditionalFormatting sqref="N520">
    <cfRule type="aboveAverage" dxfId="39" priority="1619"/>
  </conditionalFormatting>
  <conditionalFormatting sqref="N524">
    <cfRule type="aboveAverage" dxfId="38" priority="709"/>
  </conditionalFormatting>
  <conditionalFormatting sqref="N525">
    <cfRule type="aboveAverage" dxfId="37" priority="708"/>
  </conditionalFormatting>
  <conditionalFormatting sqref="N526">
    <cfRule type="aboveAverage" dxfId="36" priority="707"/>
  </conditionalFormatting>
  <conditionalFormatting sqref="N527">
    <cfRule type="aboveAverage" dxfId="35" priority="706"/>
  </conditionalFormatting>
  <conditionalFormatting sqref="N528">
    <cfRule type="aboveAverage" dxfId="34" priority="705"/>
  </conditionalFormatting>
  <conditionalFormatting sqref="N529">
    <cfRule type="aboveAverage" dxfId="33" priority="704"/>
  </conditionalFormatting>
  <conditionalFormatting sqref="N530">
    <cfRule type="aboveAverage" dxfId="32" priority="703"/>
  </conditionalFormatting>
  <conditionalFormatting sqref="N533">
    <cfRule type="aboveAverage" dxfId="31" priority="702"/>
  </conditionalFormatting>
  <conditionalFormatting sqref="N534">
    <cfRule type="aboveAverage" dxfId="30" priority="701"/>
  </conditionalFormatting>
  <conditionalFormatting sqref="N538">
    <cfRule type="aboveAverage" dxfId="29" priority="700"/>
  </conditionalFormatting>
  <conditionalFormatting sqref="N543">
    <cfRule type="aboveAverage" dxfId="28" priority="699"/>
  </conditionalFormatting>
  <conditionalFormatting sqref="N544">
    <cfRule type="aboveAverage" dxfId="27" priority="698"/>
  </conditionalFormatting>
  <conditionalFormatting sqref="N545">
    <cfRule type="aboveAverage" dxfId="26" priority="697"/>
  </conditionalFormatting>
  <conditionalFormatting sqref="N580:N583">
    <cfRule type="aboveAverage" dxfId="25" priority="922"/>
  </conditionalFormatting>
  <conditionalFormatting sqref="N586:N587">
    <cfRule type="aboveAverage" dxfId="24" priority="877"/>
  </conditionalFormatting>
  <conditionalFormatting sqref="N596">
    <cfRule type="aboveAverage" dxfId="23" priority="1669"/>
  </conditionalFormatting>
  <conditionalFormatting sqref="N600:N604 N606">
    <cfRule type="aboveAverage" dxfId="22" priority="876"/>
  </conditionalFormatting>
  <conditionalFormatting sqref="N609">
    <cfRule type="aboveAverage" dxfId="21" priority="852"/>
  </conditionalFormatting>
  <conditionalFormatting sqref="N610">
    <cfRule type="aboveAverage" dxfId="20" priority="875"/>
  </conditionalFormatting>
  <conditionalFormatting sqref="N614">
    <cfRule type="aboveAverage" dxfId="19" priority="860"/>
  </conditionalFormatting>
  <conditionalFormatting sqref="N619:N621">
    <cfRule type="aboveAverage" dxfId="18" priority="874"/>
  </conditionalFormatting>
  <conditionalFormatting sqref="N673">
    <cfRule type="aboveAverage" dxfId="17" priority="1719"/>
  </conditionalFormatting>
  <conditionalFormatting sqref="N750">
    <cfRule type="aboveAverage" dxfId="16" priority="1122"/>
  </conditionalFormatting>
  <conditionalFormatting sqref="L187">
    <cfRule type="aboveAverage" dxfId="15" priority="2"/>
  </conditionalFormatting>
  <conditionalFormatting sqref="L188">
    <cfRule type="aboveAverage" dxfId="14" priority="1"/>
  </conditionalFormatting>
  <hyperlinks>
    <hyperlink ref="M709" location="November!U1" display="Nov'12" xr:uid="{00000000-0004-0000-0700-000000000000}"/>
    <hyperlink ref="C709" location="January!AH1" display="Jan'14" xr:uid="{00000000-0004-0000-0700-000001000000}"/>
    <hyperlink ref="D709" location="February!AH1" display="Feb'12" xr:uid="{00000000-0004-0000-0700-000002000000}"/>
    <hyperlink ref="E709" location="March!U1" display="Mar'13" xr:uid="{00000000-0004-0000-0700-000003000000}"/>
    <hyperlink ref="F709:L709" location="March!Q1" display="Mar'07" xr:uid="{00000000-0004-0000-0700-000004000000}"/>
    <hyperlink ref="F709" location="April!T1" display="Apr'12" xr:uid="{00000000-0004-0000-0700-000005000000}"/>
    <hyperlink ref="G709" location="May!Q1" display="May'12" xr:uid="{00000000-0004-0000-0700-000006000000}"/>
    <hyperlink ref="H709" location="June!Q1" display="Jun'12" xr:uid="{00000000-0004-0000-0700-000007000000}"/>
    <hyperlink ref="I709" location="July!Q1" display="Jul'12" xr:uid="{00000000-0004-0000-0700-000008000000}"/>
    <hyperlink ref="J709" location="August!Q1" display="Aug'12" xr:uid="{00000000-0004-0000-0700-000009000000}"/>
    <hyperlink ref="K709" location="September!Q1" display="Sep'12" xr:uid="{00000000-0004-0000-0700-00000A000000}"/>
    <hyperlink ref="L709" location="October!Q1" display="Oct'12" xr:uid="{00000000-0004-0000-0700-00000B000000}"/>
    <hyperlink ref="N709" location="December!Q1" display="Dec'12" xr:uid="{00000000-0004-0000-0700-00000C000000}"/>
    <hyperlink ref="O709" location="APM!A1" display=" APM" xr:uid="{00000000-0004-0000-0700-00000D000000}"/>
    <hyperlink ref="M1790" location="November!U1" display="Nov'12" xr:uid="{00000000-0004-0000-0700-00000E000000}"/>
    <hyperlink ref="C1790" location="January!AH1" display="Jan'14" xr:uid="{00000000-0004-0000-0700-00000F000000}"/>
    <hyperlink ref="D1790" location="February!AH1" display="Feb'12" xr:uid="{00000000-0004-0000-0700-000010000000}"/>
    <hyperlink ref="E1790" location="March!U1" display="Mar'13" xr:uid="{00000000-0004-0000-0700-000011000000}"/>
    <hyperlink ref="F1790:L1790" location="March!Q1" display="Mar'07" xr:uid="{00000000-0004-0000-0700-000012000000}"/>
    <hyperlink ref="F1790" location="April!T1" display="Apr'12" xr:uid="{00000000-0004-0000-0700-000013000000}"/>
    <hyperlink ref="G1790" location="May!Q1" display="May'12" xr:uid="{00000000-0004-0000-0700-000014000000}"/>
    <hyperlink ref="H1790" location="June!Q1" display="Jun'12" xr:uid="{00000000-0004-0000-0700-000015000000}"/>
    <hyperlink ref="I1790" location="July!Q1" display="Jul'12" xr:uid="{00000000-0004-0000-0700-000016000000}"/>
    <hyperlink ref="J1790" location="August!Q1" display="Aug'12" xr:uid="{00000000-0004-0000-0700-000017000000}"/>
    <hyperlink ref="K1790" location="September!Q1" display="Sep'12" xr:uid="{00000000-0004-0000-0700-000018000000}"/>
    <hyperlink ref="L1790" location="October!Q1" display="Oct'12" xr:uid="{00000000-0004-0000-0700-000019000000}"/>
    <hyperlink ref="N1790" location="December!Q1" display="Dec'12" xr:uid="{00000000-0004-0000-0700-00001A000000}"/>
    <hyperlink ref="O1790" location="APM!A1" display=" APM" xr:uid="{00000000-0004-0000-0700-00001B000000}"/>
    <hyperlink ref="M1867" location="November!U1" display="Nov'12" xr:uid="{00000000-0004-0000-0700-00001C000000}"/>
    <hyperlink ref="C1867" location="January!AH1" display="Jan'14" xr:uid="{00000000-0004-0000-0700-00001D000000}"/>
    <hyperlink ref="D1867" location="February!AH1" display="Feb'12" xr:uid="{00000000-0004-0000-0700-00001E000000}"/>
    <hyperlink ref="E1867" location="March!U1" display="Mar'13" xr:uid="{00000000-0004-0000-0700-00001F000000}"/>
    <hyperlink ref="F1867:L1867" location="March!Q1" display="Mar'07" xr:uid="{00000000-0004-0000-0700-000020000000}"/>
    <hyperlink ref="F1867" location="April!T1" display="Apr'12" xr:uid="{00000000-0004-0000-0700-000021000000}"/>
    <hyperlink ref="G1867" location="May!Q1" display="May'12" xr:uid="{00000000-0004-0000-0700-000022000000}"/>
    <hyperlink ref="H1867" location="June!Q1" display="Jun'12" xr:uid="{00000000-0004-0000-0700-000023000000}"/>
    <hyperlink ref="I1867" location="July!Q1" display="Jul'12" xr:uid="{00000000-0004-0000-0700-000024000000}"/>
    <hyperlink ref="J1867" location="August!Q1" display="Aug'12" xr:uid="{00000000-0004-0000-0700-000025000000}"/>
    <hyperlink ref="K1867" location="September!Q1" display="Sep'12" xr:uid="{00000000-0004-0000-0700-000026000000}"/>
    <hyperlink ref="L1867" location="October!Q1" display="Oct'12" xr:uid="{00000000-0004-0000-0700-000027000000}"/>
    <hyperlink ref="N1867" location="December!Q1" display="Dec'12" xr:uid="{00000000-0004-0000-0700-000028000000}"/>
    <hyperlink ref="O1867" location="APM!A1" display=" APM" xr:uid="{00000000-0004-0000-0700-000029000000}"/>
    <hyperlink ref="M1713" location="November!U1" display="Nov'12" xr:uid="{00000000-0004-0000-0700-00002A000000}"/>
    <hyperlink ref="C1713" location="January!AH1" display="Jan'14" xr:uid="{00000000-0004-0000-0700-00002B000000}"/>
    <hyperlink ref="D1713" location="February!AH1" display="Feb'12" xr:uid="{00000000-0004-0000-0700-00002C000000}"/>
    <hyperlink ref="E1713" location="March!U1" display="Mar'13" xr:uid="{00000000-0004-0000-0700-00002D000000}"/>
    <hyperlink ref="F1713:L1713" location="March!Q1" display="Mar'07" xr:uid="{00000000-0004-0000-0700-00002E000000}"/>
    <hyperlink ref="F1713" location="April!T1" display="Apr'12" xr:uid="{00000000-0004-0000-0700-00002F000000}"/>
    <hyperlink ref="G1713" location="May!Q1" display="May'12" xr:uid="{00000000-0004-0000-0700-000030000000}"/>
    <hyperlink ref="H1713" location="June!Q1" display="Jun'12" xr:uid="{00000000-0004-0000-0700-000031000000}"/>
    <hyperlink ref="I1713" location="July!Q1" display="Jul'12" xr:uid="{00000000-0004-0000-0700-000032000000}"/>
    <hyperlink ref="J1713" location="August!Q1" display="Aug'12" xr:uid="{00000000-0004-0000-0700-000033000000}"/>
    <hyperlink ref="K1713" location="September!Q1" display="Sep'12" xr:uid="{00000000-0004-0000-0700-000034000000}"/>
    <hyperlink ref="L1713" location="October!Q1" display="Oct'12" xr:uid="{00000000-0004-0000-0700-000035000000}"/>
    <hyperlink ref="N1713" location="December!Q1" display="Dec'12" xr:uid="{00000000-0004-0000-0700-000036000000}"/>
    <hyperlink ref="O1713" location="APM!A1" display=" APM" xr:uid="{00000000-0004-0000-0700-000037000000}"/>
    <hyperlink ref="M1635" location="November!U1" display="Nov'12" xr:uid="{00000000-0004-0000-0700-000038000000}"/>
    <hyperlink ref="C1635" location="January!AH1" display="Jan'14" xr:uid="{00000000-0004-0000-0700-000039000000}"/>
    <hyperlink ref="D1635" location="February!AH1" display="Feb'12" xr:uid="{00000000-0004-0000-0700-00003A000000}"/>
    <hyperlink ref="E1635" location="March!U1" display="Mar'13" xr:uid="{00000000-0004-0000-0700-00003B000000}"/>
    <hyperlink ref="F1635:L1635" location="March!Q1" display="Mar'07" xr:uid="{00000000-0004-0000-0700-00003C000000}"/>
    <hyperlink ref="F1635" location="April!T1" display="Apr'12" xr:uid="{00000000-0004-0000-0700-00003D000000}"/>
    <hyperlink ref="G1635" location="May!Q1" display="May'12" xr:uid="{00000000-0004-0000-0700-00003E000000}"/>
    <hyperlink ref="H1635" location="June!Q1" display="Jun'12" xr:uid="{00000000-0004-0000-0700-00003F000000}"/>
    <hyperlink ref="I1635" location="July!Q1" display="Jul'12" xr:uid="{00000000-0004-0000-0700-000040000000}"/>
    <hyperlink ref="J1635" location="August!Q1" display="Aug'12" xr:uid="{00000000-0004-0000-0700-000041000000}"/>
    <hyperlink ref="K1635" location="September!Q1" display="Sep'12" xr:uid="{00000000-0004-0000-0700-000042000000}"/>
    <hyperlink ref="L1635" location="October!Q1" display="Oct'12" xr:uid="{00000000-0004-0000-0700-000043000000}"/>
    <hyperlink ref="N1635" location="December!Q1" display="Dec'12" xr:uid="{00000000-0004-0000-0700-000044000000}"/>
    <hyperlink ref="O1635" location="APM!A1" display=" APM" xr:uid="{00000000-0004-0000-0700-000045000000}"/>
    <hyperlink ref="M1557" location="November!U1" display="Nov'12" xr:uid="{00000000-0004-0000-0700-000046000000}"/>
    <hyperlink ref="C1557" location="January!AH1" display="Jan'14" xr:uid="{00000000-0004-0000-0700-000047000000}"/>
    <hyperlink ref="D1557" location="February!AH1" display="Feb'12" xr:uid="{00000000-0004-0000-0700-000048000000}"/>
    <hyperlink ref="E1557" location="March!U1" display="Mar'13" xr:uid="{00000000-0004-0000-0700-000049000000}"/>
    <hyperlink ref="F1557:L1557" location="March!Q1" display="Mar'07" xr:uid="{00000000-0004-0000-0700-00004A000000}"/>
    <hyperlink ref="F1557" location="April!T1" display="Apr'12" xr:uid="{00000000-0004-0000-0700-00004B000000}"/>
    <hyperlink ref="G1557" location="May!Q1" display="May'12" xr:uid="{00000000-0004-0000-0700-00004C000000}"/>
    <hyperlink ref="H1557" location="June!Q1" display="Jun'12" xr:uid="{00000000-0004-0000-0700-00004D000000}"/>
    <hyperlink ref="I1557" location="July!Q1" display="Jul'12" xr:uid="{00000000-0004-0000-0700-00004E000000}"/>
    <hyperlink ref="J1557" location="August!Q1" display="Aug'12" xr:uid="{00000000-0004-0000-0700-00004F000000}"/>
    <hyperlink ref="K1557" location="September!Q1" display="Sep'12" xr:uid="{00000000-0004-0000-0700-000050000000}"/>
    <hyperlink ref="L1557" location="October!Q1" display="Oct'12" xr:uid="{00000000-0004-0000-0700-000051000000}"/>
    <hyperlink ref="N1557" location="December!Q1" display="Dec'12" xr:uid="{00000000-0004-0000-0700-000052000000}"/>
    <hyperlink ref="O1557" location="APM!A1" display=" APM" xr:uid="{00000000-0004-0000-0700-000053000000}"/>
    <hyperlink ref="M1479" location="November!U1" display="Nov'12" xr:uid="{00000000-0004-0000-0700-000054000000}"/>
    <hyperlink ref="C1479" location="January!AH1" display="Jan'14" xr:uid="{00000000-0004-0000-0700-000055000000}"/>
    <hyperlink ref="D1479" location="February!AH1" display="Feb'12" xr:uid="{00000000-0004-0000-0700-000056000000}"/>
    <hyperlink ref="E1479" location="March!U1" display="Mar'13" xr:uid="{00000000-0004-0000-0700-000057000000}"/>
    <hyperlink ref="F1479:L1479" location="March!Q1" display="Mar'07" xr:uid="{00000000-0004-0000-0700-000058000000}"/>
    <hyperlink ref="F1479" location="April!T1" display="Apr'12" xr:uid="{00000000-0004-0000-0700-000059000000}"/>
    <hyperlink ref="G1479" location="May!Q1" display="May'12" xr:uid="{00000000-0004-0000-0700-00005A000000}"/>
    <hyperlink ref="H1479" location="June!Q1" display="Jun'12" xr:uid="{00000000-0004-0000-0700-00005B000000}"/>
    <hyperlink ref="I1479" location="July!Q1" display="Jul'12" xr:uid="{00000000-0004-0000-0700-00005C000000}"/>
    <hyperlink ref="J1479" location="August!Q1" display="Aug'12" xr:uid="{00000000-0004-0000-0700-00005D000000}"/>
    <hyperlink ref="K1479" location="September!Q1" display="Sep'12" xr:uid="{00000000-0004-0000-0700-00005E000000}"/>
    <hyperlink ref="L1479" location="October!Q1" display="Oct'12" xr:uid="{00000000-0004-0000-0700-00005F000000}"/>
    <hyperlink ref="N1479" location="December!Q1" display="Dec'12" xr:uid="{00000000-0004-0000-0700-000060000000}"/>
    <hyperlink ref="O1479" location="APM!A1" display=" APM" xr:uid="{00000000-0004-0000-0700-000061000000}"/>
    <hyperlink ref="M1402" location="November!U1" display="Nov'12" xr:uid="{00000000-0004-0000-0700-000062000000}"/>
    <hyperlink ref="C1402" location="January!AH1" display="Jan'14" xr:uid="{00000000-0004-0000-0700-000063000000}"/>
    <hyperlink ref="D1402" location="February!AH1" display="Feb'12" xr:uid="{00000000-0004-0000-0700-000064000000}"/>
    <hyperlink ref="E1402" location="March!U1" display="Mar'13" xr:uid="{00000000-0004-0000-0700-000065000000}"/>
    <hyperlink ref="F1402:L1402" location="March!Q1" display="Mar'07" xr:uid="{00000000-0004-0000-0700-000066000000}"/>
    <hyperlink ref="F1402" location="April!T1" display="Apr'12" xr:uid="{00000000-0004-0000-0700-000067000000}"/>
    <hyperlink ref="G1402" location="May!Q1" display="May'12" xr:uid="{00000000-0004-0000-0700-000068000000}"/>
    <hyperlink ref="H1402" location="June!Q1" display="Jun'12" xr:uid="{00000000-0004-0000-0700-000069000000}"/>
    <hyperlink ref="I1402" location="July!Q1" display="Jul'12" xr:uid="{00000000-0004-0000-0700-00006A000000}"/>
    <hyperlink ref="J1402" location="August!Q1" display="Aug'12" xr:uid="{00000000-0004-0000-0700-00006B000000}"/>
    <hyperlink ref="K1402" location="September!Q1" display="Sep'12" xr:uid="{00000000-0004-0000-0700-00006C000000}"/>
    <hyperlink ref="L1402" location="October!Q1" display="Oct'12" xr:uid="{00000000-0004-0000-0700-00006D000000}"/>
    <hyperlink ref="N1402" location="December!Q1" display="Dec'12" xr:uid="{00000000-0004-0000-0700-00006E000000}"/>
    <hyperlink ref="O1402" location="APM!A1" display=" APM" xr:uid="{00000000-0004-0000-0700-00006F000000}"/>
    <hyperlink ref="M1325" location="November!U1" display="Nov'12" xr:uid="{00000000-0004-0000-0700-000070000000}"/>
    <hyperlink ref="C1325" location="January!AH1" display="Jan'14" xr:uid="{00000000-0004-0000-0700-000071000000}"/>
    <hyperlink ref="D1325" location="February!AH1" display="Feb'12" xr:uid="{00000000-0004-0000-0700-000072000000}"/>
    <hyperlink ref="E1325" location="March!U1" display="Mar'13" xr:uid="{00000000-0004-0000-0700-000073000000}"/>
    <hyperlink ref="F1325:L1325" location="March!Q1" display="Mar'07" xr:uid="{00000000-0004-0000-0700-000074000000}"/>
    <hyperlink ref="F1325" location="April!T1" display="Apr'12" xr:uid="{00000000-0004-0000-0700-000075000000}"/>
    <hyperlink ref="G1325" location="May!Q1" display="May'12" xr:uid="{00000000-0004-0000-0700-000076000000}"/>
    <hyperlink ref="H1325" location="June!Q1" display="Jun'12" xr:uid="{00000000-0004-0000-0700-000077000000}"/>
    <hyperlink ref="I1325" location="July!Q1" display="Jul'12" xr:uid="{00000000-0004-0000-0700-000078000000}"/>
    <hyperlink ref="J1325" location="August!Q1" display="Aug'12" xr:uid="{00000000-0004-0000-0700-000079000000}"/>
    <hyperlink ref="K1325" location="September!Q1" display="Sep'12" xr:uid="{00000000-0004-0000-0700-00007A000000}"/>
    <hyperlink ref="L1325" location="October!Q1" display="Oct'12" xr:uid="{00000000-0004-0000-0700-00007B000000}"/>
    <hyperlink ref="N1325" location="December!Q1" display="Dec'12" xr:uid="{00000000-0004-0000-0700-00007C000000}"/>
    <hyperlink ref="O1325" location="APM!A1" display=" APM" xr:uid="{00000000-0004-0000-0700-00007D000000}"/>
    <hyperlink ref="M1248" location="November!U1" display="Nov'12" xr:uid="{00000000-0004-0000-0700-00007E000000}"/>
    <hyperlink ref="C1248" location="January!AH1" display="Jan'14" xr:uid="{00000000-0004-0000-0700-00007F000000}"/>
    <hyperlink ref="D1248" location="February!AH1" display="Feb'12" xr:uid="{00000000-0004-0000-0700-000080000000}"/>
    <hyperlink ref="E1248" location="March!U1" display="Mar'13" xr:uid="{00000000-0004-0000-0700-000081000000}"/>
    <hyperlink ref="F1248:L1248" location="March!Q1" display="Mar'07" xr:uid="{00000000-0004-0000-0700-000082000000}"/>
    <hyperlink ref="F1248" location="April!T1" display="Apr'12" xr:uid="{00000000-0004-0000-0700-000083000000}"/>
    <hyperlink ref="G1248" location="May!Q1" display="May'12" xr:uid="{00000000-0004-0000-0700-000084000000}"/>
    <hyperlink ref="H1248" location="June!Q1" display="Jun'12" xr:uid="{00000000-0004-0000-0700-000085000000}"/>
    <hyperlink ref="I1248" location="July!Q1" display="Jul'12" xr:uid="{00000000-0004-0000-0700-000086000000}"/>
    <hyperlink ref="J1248" location="August!Q1" display="Aug'12" xr:uid="{00000000-0004-0000-0700-000087000000}"/>
    <hyperlink ref="K1248" location="September!Q1" display="Sep'12" xr:uid="{00000000-0004-0000-0700-000088000000}"/>
    <hyperlink ref="L1248" location="October!Q1" display="Oct'12" xr:uid="{00000000-0004-0000-0700-000089000000}"/>
    <hyperlink ref="N1248" location="December!Q1" display="Dec'12" xr:uid="{00000000-0004-0000-0700-00008A000000}"/>
    <hyperlink ref="O1248" location="APM!A1" display=" APM" xr:uid="{00000000-0004-0000-0700-00008B000000}"/>
    <hyperlink ref="M1170" location="November!U1" display="Nov'12" xr:uid="{00000000-0004-0000-0700-00008C000000}"/>
    <hyperlink ref="C1170" location="January!AH1" display="Jan'14" xr:uid="{00000000-0004-0000-0700-00008D000000}"/>
    <hyperlink ref="D1170" location="February!AH1" display="Feb'12" xr:uid="{00000000-0004-0000-0700-00008E000000}"/>
    <hyperlink ref="E1170" location="March!U1" display="Mar'13" xr:uid="{00000000-0004-0000-0700-00008F000000}"/>
    <hyperlink ref="F1170:L1170" location="March!Q1" display="Mar'07" xr:uid="{00000000-0004-0000-0700-000090000000}"/>
    <hyperlink ref="F1170" location="April!T1" display="Apr'12" xr:uid="{00000000-0004-0000-0700-000091000000}"/>
    <hyperlink ref="G1170" location="May!Q1" display="May'12" xr:uid="{00000000-0004-0000-0700-000092000000}"/>
    <hyperlink ref="H1170" location="June!Q1" display="Jun'12" xr:uid="{00000000-0004-0000-0700-000093000000}"/>
    <hyperlink ref="I1170" location="July!Q1" display="Jul'12" xr:uid="{00000000-0004-0000-0700-000094000000}"/>
    <hyperlink ref="J1170" location="August!Q1" display="Aug'12" xr:uid="{00000000-0004-0000-0700-000095000000}"/>
    <hyperlink ref="K1170" location="September!Q1" display="Sep'12" xr:uid="{00000000-0004-0000-0700-000096000000}"/>
    <hyperlink ref="L1170" location="October!Q1" display="Oct'12" xr:uid="{00000000-0004-0000-0700-000097000000}"/>
    <hyperlink ref="N1170" location="December!Q1" display="Dec'12" xr:uid="{00000000-0004-0000-0700-000098000000}"/>
    <hyperlink ref="O1170" location="APM!A1" display=" APM" xr:uid="{00000000-0004-0000-0700-000099000000}"/>
    <hyperlink ref="M1093" location="November!U1" display="Nov'12" xr:uid="{00000000-0004-0000-0700-00009A000000}"/>
    <hyperlink ref="C1093" location="January!AH1" display="Jan'14" xr:uid="{00000000-0004-0000-0700-00009B000000}"/>
    <hyperlink ref="D1093" location="February!AH1" display="Feb'12" xr:uid="{00000000-0004-0000-0700-00009C000000}"/>
    <hyperlink ref="E1093" location="March!U1" display="Mar'13" xr:uid="{00000000-0004-0000-0700-00009D000000}"/>
    <hyperlink ref="F1093:L1093" location="March!Q1" display="Mar'07" xr:uid="{00000000-0004-0000-0700-00009E000000}"/>
    <hyperlink ref="F1093" location="April!T1" display="Apr'12" xr:uid="{00000000-0004-0000-0700-00009F000000}"/>
    <hyperlink ref="G1093" location="May!Q1" display="May'12" xr:uid="{00000000-0004-0000-0700-0000A0000000}"/>
    <hyperlink ref="H1093" location="June!Q1" display="Jun'12" xr:uid="{00000000-0004-0000-0700-0000A1000000}"/>
    <hyperlink ref="I1093" location="July!Q1" display="Jul'12" xr:uid="{00000000-0004-0000-0700-0000A2000000}"/>
    <hyperlink ref="J1093" location="August!Q1" display="Aug'12" xr:uid="{00000000-0004-0000-0700-0000A3000000}"/>
    <hyperlink ref="K1093" location="September!Q1" display="Sep'12" xr:uid="{00000000-0004-0000-0700-0000A4000000}"/>
    <hyperlink ref="L1093" location="October!Q1" display="Oct'12" xr:uid="{00000000-0004-0000-0700-0000A5000000}"/>
    <hyperlink ref="N1093" location="December!Q1" display="Dec'12" xr:uid="{00000000-0004-0000-0700-0000A6000000}"/>
    <hyperlink ref="O1093" location="APM!A1" display=" APM" xr:uid="{00000000-0004-0000-0700-0000A7000000}"/>
    <hyperlink ref="M1016" location="November!U1" display="Nov'12" xr:uid="{00000000-0004-0000-0700-0000A8000000}"/>
    <hyperlink ref="C1016" location="January!AH1" display="Jan'14" xr:uid="{00000000-0004-0000-0700-0000A9000000}"/>
    <hyperlink ref="D1016" location="February!AH1" display="Feb'12" xr:uid="{00000000-0004-0000-0700-0000AA000000}"/>
    <hyperlink ref="E1016" location="March!U1" display="Mar'13" xr:uid="{00000000-0004-0000-0700-0000AB000000}"/>
    <hyperlink ref="F1016:L1016" location="March!Q1" display="Mar'07" xr:uid="{00000000-0004-0000-0700-0000AC000000}"/>
    <hyperlink ref="F1016" location="April!T1" display="Apr'12" xr:uid="{00000000-0004-0000-0700-0000AD000000}"/>
    <hyperlink ref="G1016" location="May!Q1" display="May'12" xr:uid="{00000000-0004-0000-0700-0000AE000000}"/>
    <hyperlink ref="H1016" location="June!Q1" display="Jun'12" xr:uid="{00000000-0004-0000-0700-0000AF000000}"/>
    <hyperlink ref="I1016" location="July!Q1" display="Jul'12" xr:uid="{00000000-0004-0000-0700-0000B0000000}"/>
    <hyperlink ref="J1016" location="August!Q1" display="Aug'12" xr:uid="{00000000-0004-0000-0700-0000B1000000}"/>
    <hyperlink ref="K1016" location="September!Q1" display="Sep'12" xr:uid="{00000000-0004-0000-0700-0000B2000000}"/>
    <hyperlink ref="L1016" location="October!Q1" display="Oct'12" xr:uid="{00000000-0004-0000-0700-0000B3000000}"/>
    <hyperlink ref="N1016" location="December!Q1" display="Dec'12" xr:uid="{00000000-0004-0000-0700-0000B4000000}"/>
    <hyperlink ref="O1016" location="APM!A1" display=" APM" xr:uid="{00000000-0004-0000-0700-0000B5000000}"/>
    <hyperlink ref="M939" location="November!U1" display="Nov'12" xr:uid="{00000000-0004-0000-0700-0000B6000000}"/>
    <hyperlink ref="C939" location="January!AH1" display="Jan'14" xr:uid="{00000000-0004-0000-0700-0000B7000000}"/>
    <hyperlink ref="D939" location="February!AH1" display="Feb'12" xr:uid="{00000000-0004-0000-0700-0000B8000000}"/>
    <hyperlink ref="E939" location="March!U1" display="Mar'13" xr:uid="{00000000-0004-0000-0700-0000B9000000}"/>
    <hyperlink ref="F939:L939" location="March!Q1" display="Mar'07" xr:uid="{00000000-0004-0000-0700-0000BA000000}"/>
    <hyperlink ref="F939" location="April!T1" display="Apr'12" xr:uid="{00000000-0004-0000-0700-0000BB000000}"/>
    <hyperlink ref="G939" location="May!Q1" display="May'12" xr:uid="{00000000-0004-0000-0700-0000BC000000}"/>
    <hyperlink ref="H939" location="June!Q1" display="Jun'12" xr:uid="{00000000-0004-0000-0700-0000BD000000}"/>
    <hyperlink ref="I939" location="July!Q1" display="Jul'12" xr:uid="{00000000-0004-0000-0700-0000BE000000}"/>
    <hyperlink ref="J939" location="August!Q1" display="Aug'12" xr:uid="{00000000-0004-0000-0700-0000BF000000}"/>
    <hyperlink ref="K939" location="September!Q1" display="Sep'12" xr:uid="{00000000-0004-0000-0700-0000C0000000}"/>
    <hyperlink ref="L939" location="October!Q1" display="Oct'12" xr:uid="{00000000-0004-0000-0700-0000C1000000}"/>
    <hyperlink ref="N939" location="December!Q1" display="Dec'12" xr:uid="{00000000-0004-0000-0700-0000C2000000}"/>
    <hyperlink ref="O939" location="APM!A1" display=" APM" xr:uid="{00000000-0004-0000-0700-0000C3000000}"/>
    <hyperlink ref="M863" location="November!U1" display="Nov'12" xr:uid="{00000000-0004-0000-0700-0000C4000000}"/>
    <hyperlink ref="C863" location="January!AH1" display="Jan'14" xr:uid="{00000000-0004-0000-0700-0000C5000000}"/>
    <hyperlink ref="D863" location="February!AH1" display="Feb'12" xr:uid="{00000000-0004-0000-0700-0000C6000000}"/>
    <hyperlink ref="E863" location="March!U1" display="Mar'13" xr:uid="{00000000-0004-0000-0700-0000C7000000}"/>
    <hyperlink ref="F863:L863" location="March!Q1" display="Mar'07" xr:uid="{00000000-0004-0000-0700-0000C8000000}"/>
    <hyperlink ref="F863" location="April!T1" display="Apr'12" xr:uid="{00000000-0004-0000-0700-0000C9000000}"/>
    <hyperlink ref="G863" location="May!Q1" display="May'12" xr:uid="{00000000-0004-0000-0700-0000CA000000}"/>
    <hyperlink ref="H863" location="June!Q1" display="Jun'12" xr:uid="{00000000-0004-0000-0700-0000CB000000}"/>
    <hyperlink ref="I863" location="July!Q1" display="Jul'12" xr:uid="{00000000-0004-0000-0700-0000CC000000}"/>
    <hyperlink ref="J863" location="August!Q1" display="Aug'12" xr:uid="{00000000-0004-0000-0700-0000CD000000}"/>
    <hyperlink ref="K863" location="September!Q1" display="Sep'12" xr:uid="{00000000-0004-0000-0700-0000CE000000}"/>
    <hyperlink ref="L863" location="October!Q1" display="Oct'12" xr:uid="{00000000-0004-0000-0700-0000CF000000}"/>
    <hyperlink ref="N863" location="December!Q1" display="Dec'12" xr:uid="{00000000-0004-0000-0700-0000D0000000}"/>
    <hyperlink ref="O863" location="APM!A1" display=" APM" xr:uid="{00000000-0004-0000-0700-0000D1000000}"/>
    <hyperlink ref="M786" location="November!U1" display="Nov'12" xr:uid="{00000000-0004-0000-0700-0000D2000000}"/>
    <hyperlink ref="C786" location="January!AH1" display="Jan'14" xr:uid="{00000000-0004-0000-0700-0000D3000000}"/>
    <hyperlink ref="D786" location="February!AH1" display="Feb'12" xr:uid="{00000000-0004-0000-0700-0000D4000000}"/>
    <hyperlink ref="E786" location="March!U1" display="Mar'13" xr:uid="{00000000-0004-0000-0700-0000D5000000}"/>
    <hyperlink ref="F786:L786" location="March!Q1" display="Mar'07" xr:uid="{00000000-0004-0000-0700-0000D6000000}"/>
    <hyperlink ref="F786" location="April!T1" display="Apr'12" xr:uid="{00000000-0004-0000-0700-0000D7000000}"/>
    <hyperlink ref="G786" location="May!Q1" display="May'12" xr:uid="{00000000-0004-0000-0700-0000D8000000}"/>
    <hyperlink ref="H786" location="June!Q1" display="Jun'12" xr:uid="{00000000-0004-0000-0700-0000D9000000}"/>
    <hyperlink ref="I786" location="July!Q1" display="Jul'12" xr:uid="{00000000-0004-0000-0700-0000DA000000}"/>
    <hyperlink ref="J786" location="August!Q1" display="Aug'12" xr:uid="{00000000-0004-0000-0700-0000DB000000}"/>
    <hyperlink ref="K786" location="September!Q1" display="Sep'12" xr:uid="{00000000-0004-0000-0700-0000DC000000}"/>
    <hyperlink ref="L786" location="October!Q1" display="Oct'12" xr:uid="{00000000-0004-0000-0700-0000DD000000}"/>
    <hyperlink ref="N786" location="December!Q1" display="Dec'12" xr:uid="{00000000-0004-0000-0700-0000DE000000}"/>
    <hyperlink ref="O786" location="APM!A1" display=" APM" xr:uid="{00000000-0004-0000-0700-0000DF000000}"/>
    <hyperlink ref="M632" location="November!U1" display="Nov'12" xr:uid="{00000000-0004-0000-0700-0000E0000000}"/>
    <hyperlink ref="C632" location="January!AH1" display="Jan'14" xr:uid="{00000000-0004-0000-0700-0000E1000000}"/>
    <hyperlink ref="D632" location="February!AH1" display="Feb'12" xr:uid="{00000000-0004-0000-0700-0000E2000000}"/>
    <hyperlink ref="E632" location="March!U1" display="Mar'13" xr:uid="{00000000-0004-0000-0700-0000E3000000}"/>
    <hyperlink ref="F632:L632" location="March!Q1" display="Mar'07" xr:uid="{00000000-0004-0000-0700-0000E4000000}"/>
    <hyperlink ref="F632" location="April!T1" display="Apr'12" xr:uid="{00000000-0004-0000-0700-0000E5000000}"/>
    <hyperlink ref="G632" location="May!Q1" display="May'12" xr:uid="{00000000-0004-0000-0700-0000E6000000}"/>
    <hyperlink ref="H632" location="June!Q1" display="Jun'12" xr:uid="{00000000-0004-0000-0700-0000E7000000}"/>
    <hyperlink ref="I632" location="July!Q1" display="Jul'12" xr:uid="{00000000-0004-0000-0700-0000E8000000}"/>
    <hyperlink ref="J632" location="August!Q1" display="Aug'12" xr:uid="{00000000-0004-0000-0700-0000E9000000}"/>
    <hyperlink ref="K632" location="September!Q1" display="Sep'12" xr:uid="{00000000-0004-0000-0700-0000EA000000}"/>
    <hyperlink ref="L632" location="October!Q1" display="Oct'12" xr:uid="{00000000-0004-0000-0700-0000EB000000}"/>
    <hyperlink ref="N632" location="December!Q1" display="Dec'12" xr:uid="{00000000-0004-0000-0700-0000EC000000}"/>
    <hyperlink ref="O632" location="APM!A1" display=" APM" xr:uid="{00000000-0004-0000-0700-0000ED000000}"/>
    <hyperlink ref="M555" location="November!U1" display="Nov'12" xr:uid="{00000000-0004-0000-0700-0000EE000000}"/>
    <hyperlink ref="C555" location="January!AH1" display="Jan'14" xr:uid="{00000000-0004-0000-0700-0000EF000000}"/>
    <hyperlink ref="D555" location="February!AH1" display="Feb'12" xr:uid="{00000000-0004-0000-0700-0000F0000000}"/>
    <hyperlink ref="E555" location="March!U1" display="Mar'13" xr:uid="{00000000-0004-0000-0700-0000F1000000}"/>
    <hyperlink ref="F555:L555" location="March!Q1" display="Mar'07" xr:uid="{00000000-0004-0000-0700-0000F2000000}"/>
    <hyperlink ref="F555" location="April!T1" display="Apr'12" xr:uid="{00000000-0004-0000-0700-0000F3000000}"/>
    <hyperlink ref="G555" location="May!Q1" display="May'12" xr:uid="{00000000-0004-0000-0700-0000F4000000}"/>
    <hyperlink ref="H555" location="June!Q1" display="Jun'12" xr:uid="{00000000-0004-0000-0700-0000F5000000}"/>
    <hyperlink ref="I555" location="July!Q1" display="Jul'12" xr:uid="{00000000-0004-0000-0700-0000F6000000}"/>
    <hyperlink ref="J555" location="August!Q1" display="Aug'12" xr:uid="{00000000-0004-0000-0700-0000F7000000}"/>
    <hyperlink ref="K555" location="September!Q1" display="Sep'12" xr:uid="{00000000-0004-0000-0700-0000F8000000}"/>
    <hyperlink ref="L555" location="October!Q1" display="Oct'12" xr:uid="{00000000-0004-0000-0700-0000F9000000}"/>
    <hyperlink ref="N555" location="December!Q1" display="Dec'12" xr:uid="{00000000-0004-0000-0700-0000FA000000}"/>
    <hyperlink ref="O555" location="APM!A1" display=" APM" xr:uid="{00000000-0004-0000-0700-0000FB000000}"/>
    <hyperlink ref="M479" location="November!U1" display="Nov'12" xr:uid="{00000000-0004-0000-0700-0000FC000000}"/>
    <hyperlink ref="C479" location="January!AH1" display="Jan'14" xr:uid="{00000000-0004-0000-0700-0000FD000000}"/>
    <hyperlink ref="D479" location="February!AH1" display="Feb'12" xr:uid="{00000000-0004-0000-0700-0000FE000000}"/>
    <hyperlink ref="E479" location="March!U1" display="Mar'13" xr:uid="{00000000-0004-0000-0700-0000FF000000}"/>
    <hyperlink ref="F479:L479" location="March!Q1" display="Mar'07" xr:uid="{00000000-0004-0000-0700-000000010000}"/>
    <hyperlink ref="F479" location="April!T1" display="Apr'12" xr:uid="{00000000-0004-0000-0700-000001010000}"/>
    <hyperlink ref="G479" location="May!Q1" display="May'12" xr:uid="{00000000-0004-0000-0700-000002010000}"/>
    <hyperlink ref="H479" location="June!Q1" display="Jun'12" xr:uid="{00000000-0004-0000-0700-000003010000}"/>
    <hyperlink ref="I479" location="July!Q1" display="Jul'12" xr:uid="{00000000-0004-0000-0700-000004010000}"/>
    <hyperlink ref="J479" location="August!Q1" display="Aug'12" xr:uid="{00000000-0004-0000-0700-000005010000}"/>
    <hyperlink ref="K479" location="September!Q1" display="Sep'12" xr:uid="{00000000-0004-0000-0700-000006010000}"/>
    <hyperlink ref="L479" location="October!Q1" display="Oct'12" xr:uid="{00000000-0004-0000-0700-000007010000}"/>
    <hyperlink ref="N479" location="December!Q1" display="Dec'12" xr:uid="{00000000-0004-0000-0700-000008010000}"/>
    <hyperlink ref="O479" location="APM!A1" display=" APM" xr:uid="{00000000-0004-0000-0700-000009010000}"/>
    <hyperlink ref="M402" location="November!U1" display="Nov'12" xr:uid="{00000000-0004-0000-0700-00000A010000}"/>
    <hyperlink ref="C402" location="January!AH1" display="Jan'14" xr:uid="{00000000-0004-0000-0700-00000B010000}"/>
    <hyperlink ref="D402" location="February!AH1" display="Feb'12" xr:uid="{00000000-0004-0000-0700-00000C010000}"/>
    <hyperlink ref="E402" location="March!U1" display="Mar'13" xr:uid="{00000000-0004-0000-0700-00000D010000}"/>
    <hyperlink ref="F402:L402" location="March!Q1" display="Mar'07" xr:uid="{00000000-0004-0000-0700-00000E010000}"/>
    <hyperlink ref="F402" location="April!T1" display="Apr'12" xr:uid="{00000000-0004-0000-0700-00000F010000}"/>
    <hyperlink ref="G402" location="May!Q1" display="May'12" xr:uid="{00000000-0004-0000-0700-000010010000}"/>
    <hyperlink ref="H402" location="June!Q1" display="Jun'12" xr:uid="{00000000-0004-0000-0700-000011010000}"/>
    <hyperlink ref="I402" location="July!Q1" display="Jul'12" xr:uid="{00000000-0004-0000-0700-000012010000}"/>
    <hyperlink ref="J402" location="August!Q1" display="Aug'12" xr:uid="{00000000-0004-0000-0700-000013010000}"/>
    <hyperlink ref="K402" location="September!Q1" display="Sep'12" xr:uid="{00000000-0004-0000-0700-000014010000}"/>
    <hyperlink ref="L402" location="October!Q1" display="Oct'12" xr:uid="{00000000-0004-0000-0700-000015010000}"/>
    <hyperlink ref="N402" location="December!Q1" display="Dec'12" xr:uid="{00000000-0004-0000-0700-000016010000}"/>
    <hyperlink ref="O402" location="APM!A1" display=" APM" xr:uid="{00000000-0004-0000-0700-000017010000}"/>
    <hyperlink ref="M317" location="November!U1" display="Nov'12" xr:uid="{00000000-0004-0000-0700-000018010000}"/>
    <hyperlink ref="C317" location="January!AH1" display="Jan'14" xr:uid="{00000000-0004-0000-0700-000019010000}"/>
    <hyperlink ref="D317" location="February!AH1" display="Feb'12" xr:uid="{00000000-0004-0000-0700-00001A010000}"/>
    <hyperlink ref="E317" location="March!U1" display="Mar'13" xr:uid="{00000000-0004-0000-0700-00001B010000}"/>
    <hyperlink ref="F317:L317" location="March!Q1" display="Mar'07" xr:uid="{00000000-0004-0000-0700-00001C010000}"/>
    <hyperlink ref="F317" location="April!T1" display="Apr'12" xr:uid="{00000000-0004-0000-0700-00001D010000}"/>
    <hyperlink ref="G317" location="May!Q1" display="May'12" xr:uid="{00000000-0004-0000-0700-00001E010000}"/>
    <hyperlink ref="H317" location="June!Q1" display="Jun'12" xr:uid="{00000000-0004-0000-0700-00001F010000}"/>
    <hyperlink ref="I317" location="July!Q1" display="Jul'12" xr:uid="{00000000-0004-0000-0700-000020010000}"/>
    <hyperlink ref="J317" location="August!Q1" display="Aug'12" xr:uid="{00000000-0004-0000-0700-000021010000}"/>
    <hyperlink ref="K317" location="September!Q1" display="Sep'12" xr:uid="{00000000-0004-0000-0700-000022010000}"/>
    <hyperlink ref="L317" location="October!Q1" display="Oct'12" xr:uid="{00000000-0004-0000-0700-000023010000}"/>
    <hyperlink ref="N317" location="December!Q1" display="Dec'12" xr:uid="{00000000-0004-0000-0700-000024010000}"/>
    <hyperlink ref="O317" location="APM!A1" display=" APM" xr:uid="{00000000-0004-0000-0700-000025010000}"/>
    <hyperlink ref="M233" location="November!U1" display="Nov'12" xr:uid="{00000000-0004-0000-0700-000026010000}"/>
    <hyperlink ref="C233" location="January!AH1" display="Jan'14" xr:uid="{00000000-0004-0000-0700-000027010000}"/>
    <hyperlink ref="D233" location="February!AH1" display="Feb'12" xr:uid="{00000000-0004-0000-0700-000028010000}"/>
    <hyperlink ref="E233" location="March!U1" display="Mar'13" xr:uid="{00000000-0004-0000-0700-000029010000}"/>
    <hyperlink ref="F233:L233" location="March!Q1" display="Mar'07" xr:uid="{00000000-0004-0000-0700-00002A010000}"/>
    <hyperlink ref="F233" location="April!T1" display="Apr'12" xr:uid="{00000000-0004-0000-0700-00002B010000}"/>
    <hyperlink ref="G233" location="May!Q1" display="May'12" xr:uid="{00000000-0004-0000-0700-00002C010000}"/>
    <hyperlink ref="H233" location="June!Q1" display="Jun'12" xr:uid="{00000000-0004-0000-0700-00002D010000}"/>
    <hyperlink ref="I233" location="July!Q1" display="Jul'12" xr:uid="{00000000-0004-0000-0700-00002E010000}"/>
    <hyperlink ref="J233" location="August!Q1" display="Aug'12" xr:uid="{00000000-0004-0000-0700-00002F010000}"/>
    <hyperlink ref="K233" location="September!Q1" display="Sep'12" xr:uid="{00000000-0004-0000-0700-000030010000}"/>
    <hyperlink ref="L233" location="October!Q1" display="Oct'12" xr:uid="{00000000-0004-0000-0700-000031010000}"/>
    <hyperlink ref="N233" location="December!Q1" display="Dec'12" xr:uid="{00000000-0004-0000-0700-000032010000}"/>
    <hyperlink ref="O233" location="APM!A1" display=" APM" xr:uid="{00000000-0004-0000-0700-000033010000}"/>
    <hyperlink ref="M156" location="November!U1" display="Nov'12" xr:uid="{00000000-0004-0000-0700-000034010000}"/>
    <hyperlink ref="C156" location="January!AH1" display="Jan'14" xr:uid="{00000000-0004-0000-0700-000035010000}"/>
    <hyperlink ref="D156" location="February!AH1" display="Feb'12" xr:uid="{00000000-0004-0000-0700-000036010000}"/>
    <hyperlink ref="E156" location="March!U1" display="Mar'13" xr:uid="{00000000-0004-0000-0700-000037010000}"/>
    <hyperlink ref="F156:L156" location="March!Q1" display="Mar'07" xr:uid="{00000000-0004-0000-0700-000038010000}"/>
    <hyperlink ref="F156" location="April!T1" display="Apr'12" xr:uid="{00000000-0004-0000-0700-000039010000}"/>
    <hyperlink ref="G156" location="May!Q1" display="May'12" xr:uid="{00000000-0004-0000-0700-00003A010000}"/>
    <hyperlink ref="H156" location="June!Q1" display="Jun'12" xr:uid="{00000000-0004-0000-0700-00003B010000}"/>
    <hyperlink ref="I156" location="July!Q1" display="Jul'12" xr:uid="{00000000-0004-0000-0700-00003C010000}"/>
    <hyperlink ref="J156" location="August!Q1" display="Aug'12" xr:uid="{00000000-0004-0000-0700-00003D010000}"/>
    <hyperlink ref="K156" location="September!Q1" display="Sep'12" xr:uid="{00000000-0004-0000-0700-00003E010000}"/>
    <hyperlink ref="L156" location="October!Q1" display="Oct'12" xr:uid="{00000000-0004-0000-0700-00003F010000}"/>
    <hyperlink ref="N156" location="December!Q1" display="Dec'12" xr:uid="{00000000-0004-0000-0700-000040010000}"/>
    <hyperlink ref="O156" location="APM!A1" display=" APM" xr:uid="{00000000-0004-0000-0700-000041010000}"/>
    <hyperlink ref="M79" location="November!U1" display="Nov'12" xr:uid="{00000000-0004-0000-0700-000042010000}"/>
    <hyperlink ref="C79" location="January!AH1" display="Jan'14" xr:uid="{00000000-0004-0000-0700-000043010000}"/>
    <hyperlink ref="D79" location="February!AH1" display="Feb'12" xr:uid="{00000000-0004-0000-0700-000044010000}"/>
    <hyperlink ref="E79" location="March!U1" display="Mar'13" xr:uid="{00000000-0004-0000-0700-000045010000}"/>
    <hyperlink ref="F79:L79" location="March!Q1" display="Mar'07" xr:uid="{00000000-0004-0000-0700-000046010000}"/>
    <hyperlink ref="F79" location="April!T1" display="Apr'12" xr:uid="{00000000-0004-0000-0700-000047010000}"/>
    <hyperlink ref="G79" location="May!Q1" display="May'12" xr:uid="{00000000-0004-0000-0700-000048010000}"/>
    <hyperlink ref="H79" location="June!Q1" display="Jun'12" xr:uid="{00000000-0004-0000-0700-000049010000}"/>
    <hyperlink ref="I79" location="July!Q1" display="Jul'12" xr:uid="{00000000-0004-0000-0700-00004A010000}"/>
    <hyperlink ref="J79" location="August!Q1" display="Aug'12" xr:uid="{00000000-0004-0000-0700-00004B010000}"/>
    <hyperlink ref="K79" location="September!Q1" display="Sep'12" xr:uid="{00000000-0004-0000-0700-00004C010000}"/>
    <hyperlink ref="L79" location="October!Q1" display="Oct'12" xr:uid="{00000000-0004-0000-0700-00004D010000}"/>
    <hyperlink ref="N79" location="December!Q1" display="Dec'12" xr:uid="{00000000-0004-0000-0700-00004E010000}"/>
    <hyperlink ref="O79" location="APM!A1" display=" APM" xr:uid="{00000000-0004-0000-0700-00004F010000}"/>
    <hyperlink ref="M4" location="November!U1" display="Nov'12" xr:uid="{00000000-0004-0000-0700-000050010000}"/>
    <hyperlink ref="C4" location="January!AH1" display="Jan'14" xr:uid="{00000000-0004-0000-0700-000051010000}"/>
    <hyperlink ref="D4" location="February!AH1" display="Feb'12" xr:uid="{00000000-0004-0000-0700-000052010000}"/>
    <hyperlink ref="E4" location="March!U1" display="Mar'13" xr:uid="{00000000-0004-0000-0700-000053010000}"/>
    <hyperlink ref="F4:L4" location="March!Q1" display="Mar'07" xr:uid="{00000000-0004-0000-0700-000054010000}"/>
    <hyperlink ref="F4" location="April!T1" display="Apr'12" xr:uid="{00000000-0004-0000-0700-000055010000}"/>
    <hyperlink ref="G4" location="May!Q1" display="May'12" xr:uid="{00000000-0004-0000-0700-000056010000}"/>
    <hyperlink ref="H4" location="June!Q1" display="Jun'12" xr:uid="{00000000-0004-0000-0700-000057010000}"/>
    <hyperlink ref="I4" location="July!Q1" display="Jul'12" xr:uid="{00000000-0004-0000-0700-000058010000}"/>
    <hyperlink ref="J4" location="August!Q1" display="Aug'12" xr:uid="{00000000-0004-0000-0700-000059010000}"/>
    <hyperlink ref="K4" location="September!Q1" display="Sep'12" xr:uid="{00000000-0004-0000-0700-00005A010000}"/>
    <hyperlink ref="L4" location="October!Q1" display="Oct'12" xr:uid="{00000000-0004-0000-0700-00005B010000}"/>
    <hyperlink ref="N4" location="December!Q1" display="Dec'12" xr:uid="{00000000-0004-0000-0700-00005C010000}"/>
    <hyperlink ref="O4" location="APM!A1" display=" APM" xr:uid="{00000000-0004-0000-0700-00005D010000}"/>
  </hyperlinks>
  <pageMargins left="0.7" right="0.7" top="0.75" bottom="0.75" header="0.3" footer="0.3"/>
  <pageSetup orientation="portrait" horizontalDpi="0" verticalDpi="0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FFA926DC-E0BF-447C-9B98-89364839C6D6}">
          <xm:f>Monthly!B237</xm:f>
        </x15:webExtension>
      </x15:webExtens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indexed="13"/>
  </sheetPr>
  <dimension ref="A1:CV116"/>
  <sheetViews>
    <sheetView tabSelected="1" topLeftCell="CL1" zoomScale="196" zoomScaleNormal="196" workbookViewId="0">
      <selection activeCell="CS1" sqref="CS1"/>
    </sheetView>
  </sheetViews>
  <sheetFormatPr defaultColWidth="8.85546875" defaultRowHeight="15"/>
  <cols>
    <col min="1" max="4" width="0" style="737" hidden="1" customWidth="1"/>
    <col min="5" max="5" width="7" style="710" customWidth="1"/>
    <col min="6" max="6" width="24.28515625" style="710" customWidth="1"/>
    <col min="7" max="7" width="14.42578125" style="710" customWidth="1"/>
    <col min="8" max="8" width="14.140625" style="710" customWidth="1"/>
    <col min="9" max="9" width="11.85546875" style="710" customWidth="1"/>
    <col min="10" max="10" width="29.140625" style="710" customWidth="1"/>
    <col min="11" max="11" width="13.28515625" style="710" customWidth="1"/>
    <col min="12" max="12" width="12.28515625" style="710" customWidth="1"/>
    <col min="13" max="13" width="8.85546875" style="710"/>
    <col min="14" max="14" width="31" style="710" customWidth="1"/>
    <col min="15" max="15" width="12.140625" style="710" customWidth="1"/>
    <col min="16" max="16" width="11.85546875" style="710" customWidth="1"/>
    <col min="17" max="17" width="8.85546875" style="710"/>
    <col min="18" max="18" width="50.85546875" style="710" customWidth="1"/>
    <col min="19" max="21" width="8.85546875" style="710"/>
    <col min="22" max="22" width="61.85546875" style="710" customWidth="1"/>
    <col min="23" max="23" width="12.7109375" style="710" customWidth="1"/>
    <col min="24" max="24" width="19" style="738" customWidth="1"/>
    <col min="25" max="25" width="8.85546875" style="710"/>
    <col min="26" max="26" width="37.85546875" style="710" customWidth="1"/>
    <col min="27" max="27" width="8.85546875" style="710"/>
    <col min="28" max="28" width="12.28515625" style="739" bestFit="1" customWidth="1"/>
    <col min="29" max="29" width="8.85546875" style="710"/>
    <col min="30" max="30" width="35.42578125" style="710" customWidth="1"/>
    <col min="31" max="31" width="10.7109375" style="739" customWidth="1"/>
    <col min="32" max="33" width="8.85546875" style="710"/>
    <col min="34" max="34" width="43.42578125" style="710" customWidth="1"/>
    <col min="35" max="35" width="11.42578125" style="710" customWidth="1"/>
    <col min="36" max="37" width="8.85546875" style="710"/>
    <col min="38" max="38" width="43.7109375" style="710" customWidth="1"/>
    <col min="39" max="39" width="15.42578125" style="710" customWidth="1"/>
    <col min="40" max="40" width="13.85546875" style="710" customWidth="1"/>
    <col min="41" max="41" width="8.85546875" style="710"/>
    <col min="42" max="42" width="54.42578125" style="710" customWidth="1"/>
    <col min="43" max="43" width="15.42578125" style="710" customWidth="1"/>
    <col min="44" max="44" width="12.85546875" style="710" customWidth="1"/>
    <col min="45" max="45" width="8.85546875" style="710"/>
    <col min="46" max="46" width="42.7109375" style="710" customWidth="1"/>
    <col min="47" max="47" width="14" style="710" customWidth="1"/>
    <col min="48" max="49" width="8.85546875" style="710"/>
    <col min="50" max="50" width="44" style="710" customWidth="1"/>
    <col min="51" max="51" width="10.140625" style="710" bestFit="1" customWidth="1"/>
    <col min="52" max="53" width="8.85546875" style="710"/>
    <col min="54" max="54" width="58.28515625" style="710" customWidth="1"/>
    <col min="55" max="57" width="8.85546875" style="710"/>
    <col min="58" max="58" width="58.28515625" style="710" customWidth="1"/>
    <col min="59" max="61" width="8.85546875" style="710"/>
    <col min="62" max="62" width="58.28515625" style="710" customWidth="1"/>
    <col min="63" max="65" width="8.85546875" style="710"/>
    <col min="66" max="66" width="58.28515625" style="710" customWidth="1"/>
    <col min="67" max="67" width="8.85546875" style="740"/>
    <col min="68" max="69" width="8.85546875" style="710"/>
    <col min="70" max="70" width="58.28515625" style="710" customWidth="1"/>
    <col min="71" max="71" width="10.28515625" style="740" bestFit="1" customWidth="1"/>
    <col min="72" max="72" width="11.28515625" style="739" customWidth="1"/>
    <col min="73" max="73" width="8.85546875" style="710"/>
    <col min="74" max="74" width="58.28515625" style="710" customWidth="1"/>
    <col min="75" max="75" width="10.28515625" style="740" bestFit="1" customWidth="1"/>
    <col min="76" max="76" width="11.28515625" style="739" customWidth="1"/>
    <col min="77" max="77" width="8.85546875" style="710"/>
    <col min="78" max="78" width="58.28515625" style="710" customWidth="1"/>
    <col min="79" max="79" width="10.28515625" style="740" bestFit="1" customWidth="1"/>
    <col min="80" max="80" width="11.28515625" style="739" customWidth="1"/>
    <col min="81" max="81" width="8.85546875" style="710"/>
    <col min="82" max="82" width="58.28515625" style="710" customWidth="1"/>
    <col min="83" max="83" width="11.42578125" style="740" bestFit="1" customWidth="1"/>
    <col min="84" max="84" width="11.28515625" style="739" customWidth="1"/>
    <col min="85" max="85" width="9.140625" style="710"/>
    <col min="86" max="86" width="67.42578125" style="710" customWidth="1"/>
    <col min="87" max="87" width="11.42578125" style="740" bestFit="1" customWidth="1"/>
    <col min="88" max="88" width="11.28515625" style="739" customWidth="1"/>
    <col min="89" max="89" width="9.140625" style="710"/>
    <col min="90" max="90" width="67.42578125" style="710" customWidth="1"/>
    <col min="91" max="91" width="11.42578125" style="740" bestFit="1" customWidth="1"/>
    <col min="92" max="92" width="11.28515625" style="739" customWidth="1"/>
    <col min="93" max="93" width="8.85546875" style="710"/>
    <col min="94" max="94" width="62" style="710" customWidth="1"/>
    <col min="95" max="95" width="12.85546875" style="710" customWidth="1"/>
    <col min="96" max="96" width="14.140625" style="710" customWidth="1"/>
    <col min="97" max="97" width="8.85546875" style="710"/>
    <col min="98" max="98" width="28.85546875" style="710" customWidth="1"/>
    <col min="99" max="99" width="20.42578125" style="710" customWidth="1"/>
    <col min="100" max="100" width="19.5703125" style="710" customWidth="1"/>
    <col min="101" max="16384" width="8.85546875" style="710"/>
  </cols>
  <sheetData>
    <row r="1" spans="1:100" ht="15" customHeight="1">
      <c r="A1" s="737" t="s">
        <v>715</v>
      </c>
      <c r="CQ1" s="740"/>
      <c r="CR1" s="739"/>
      <c r="CU1" s="740"/>
      <c r="CV1" s="739"/>
    </row>
    <row r="2" spans="1:100" ht="14.1" customHeight="1">
      <c r="E2" s="741"/>
      <c r="F2" s="742" t="s">
        <v>716</v>
      </c>
      <c r="G2" s="743"/>
      <c r="H2" s="741"/>
      <c r="I2" s="741"/>
      <c r="J2" s="742" t="s">
        <v>717</v>
      </c>
      <c r="K2" s="743"/>
      <c r="L2" s="741"/>
      <c r="M2" s="741"/>
      <c r="N2" s="742" t="s">
        <v>718</v>
      </c>
      <c r="O2" s="743"/>
      <c r="P2" s="744"/>
      <c r="Q2" s="745"/>
      <c r="R2" s="742" t="s">
        <v>719</v>
      </c>
      <c r="S2" s="743"/>
      <c r="T2" s="741"/>
      <c r="U2" s="745"/>
      <c r="V2" s="742" t="s">
        <v>720</v>
      </c>
      <c r="W2" s="743"/>
      <c r="X2" s="746"/>
      <c r="Y2" s="745"/>
      <c r="Z2" s="747" t="s">
        <v>721</v>
      </c>
      <c r="AA2" s="743"/>
      <c r="AB2" s="748"/>
      <c r="AC2" s="745"/>
      <c r="AD2" s="747" t="s">
        <v>722</v>
      </c>
      <c r="AE2" s="749"/>
      <c r="AF2" s="750"/>
      <c r="AG2" s="745"/>
      <c r="AH2" s="747" t="s">
        <v>723</v>
      </c>
      <c r="AI2" s="749"/>
      <c r="AJ2" s="750"/>
      <c r="AK2" s="745"/>
      <c r="AL2" s="747" t="s">
        <v>724</v>
      </c>
      <c r="AM2" s="749"/>
      <c r="AN2" s="750"/>
      <c r="AO2" s="745"/>
      <c r="AP2" s="747" t="s">
        <v>725</v>
      </c>
      <c r="AQ2" s="749"/>
      <c r="AR2" s="750"/>
      <c r="AS2" s="745"/>
      <c r="AT2" s="747" t="s">
        <v>726</v>
      </c>
      <c r="AU2" s="749"/>
      <c r="AV2" s="750"/>
      <c r="AW2" s="745"/>
      <c r="AX2" s="747" t="s">
        <v>727</v>
      </c>
      <c r="AY2" s="749"/>
      <c r="AZ2" s="750"/>
      <c r="BA2" s="745"/>
      <c r="BB2" s="747" t="s">
        <v>728</v>
      </c>
      <c r="BC2" s="749"/>
      <c r="BD2" s="750"/>
      <c r="BE2" s="745"/>
      <c r="BF2" s="747" t="s">
        <v>729</v>
      </c>
      <c r="BG2" s="749"/>
      <c r="BH2" s="750"/>
      <c r="BI2" s="745"/>
      <c r="BJ2" s="747" t="s">
        <v>730</v>
      </c>
      <c r="BK2" s="749"/>
      <c r="BL2" s="750"/>
      <c r="BM2" s="745"/>
      <c r="BN2" s="747" t="s">
        <v>731</v>
      </c>
      <c r="BO2" s="751"/>
      <c r="BP2" s="750"/>
      <c r="BQ2" s="745"/>
      <c r="BR2" s="747" t="s">
        <v>732</v>
      </c>
      <c r="BS2" s="751"/>
      <c r="BT2" s="750"/>
      <c r="BU2" s="745"/>
      <c r="BV2" s="747" t="s">
        <v>733</v>
      </c>
      <c r="BW2" s="751"/>
      <c r="BX2" s="750"/>
      <c r="BY2" s="745"/>
      <c r="BZ2" s="747" t="s">
        <v>734</v>
      </c>
      <c r="CA2" s="751"/>
      <c r="CB2" s="750"/>
      <c r="CC2" s="745"/>
      <c r="CD2" s="747" t="s">
        <v>735</v>
      </c>
      <c r="CE2" s="751"/>
      <c r="CF2" s="750"/>
      <c r="CG2" s="745"/>
      <c r="CH2" s="747" t="s">
        <v>736</v>
      </c>
      <c r="CI2" s="751"/>
      <c r="CJ2" s="750"/>
      <c r="CK2" s="745"/>
      <c r="CL2" s="747" t="s">
        <v>737</v>
      </c>
      <c r="CM2" s="751"/>
      <c r="CN2" s="750"/>
      <c r="CO2" s="745"/>
      <c r="CP2" s="747" t="s">
        <v>738</v>
      </c>
      <c r="CQ2" s="751"/>
      <c r="CR2" s="750"/>
      <c r="CS2" s="745"/>
      <c r="CT2" s="747" t="s">
        <v>739</v>
      </c>
      <c r="CU2" s="751"/>
      <c r="CV2" s="750"/>
    </row>
    <row r="3" spans="1:100" ht="14.1" customHeight="1">
      <c r="E3" s="699" t="s">
        <v>740</v>
      </c>
      <c r="F3" s="700" t="s">
        <v>138</v>
      </c>
      <c r="G3" s="701" t="s">
        <v>741</v>
      </c>
      <c r="H3" s="702" t="s">
        <v>742</v>
      </c>
      <c r="I3" s="699" t="s">
        <v>740</v>
      </c>
      <c r="J3" s="700" t="s">
        <v>138</v>
      </c>
      <c r="K3" s="701" t="s">
        <v>741</v>
      </c>
      <c r="L3" s="702" t="s">
        <v>742</v>
      </c>
      <c r="M3" s="699" t="s">
        <v>740</v>
      </c>
      <c r="N3" s="700" t="s">
        <v>138</v>
      </c>
      <c r="O3" s="701" t="s">
        <v>741</v>
      </c>
      <c r="P3" s="752" t="s">
        <v>742</v>
      </c>
      <c r="Q3" s="699" t="s">
        <v>740</v>
      </c>
      <c r="R3" s="700" t="s">
        <v>138</v>
      </c>
      <c r="S3" s="701"/>
      <c r="T3" s="702"/>
      <c r="U3" s="699" t="s">
        <v>740</v>
      </c>
      <c r="V3" s="700" t="s">
        <v>138</v>
      </c>
      <c r="W3" s="701"/>
      <c r="X3" s="753"/>
      <c r="Y3" s="699" t="s">
        <v>740</v>
      </c>
      <c r="Z3" s="700" t="s">
        <v>138</v>
      </c>
      <c r="AA3" s="754"/>
      <c r="AB3" s="755"/>
      <c r="AC3" s="699" t="s">
        <v>740</v>
      </c>
      <c r="AD3" s="700" t="s">
        <v>138</v>
      </c>
      <c r="AE3" s="756"/>
      <c r="AF3" s="703"/>
      <c r="AG3" s="699" t="s">
        <v>740</v>
      </c>
      <c r="AH3" s="700" t="s">
        <v>138</v>
      </c>
      <c r="AI3" s="756"/>
      <c r="AJ3" s="703"/>
      <c r="AK3" s="699" t="s">
        <v>740</v>
      </c>
      <c r="AL3" s="700" t="s">
        <v>138</v>
      </c>
      <c r="AM3" s="756"/>
      <c r="AN3" s="703"/>
      <c r="AO3" s="699" t="s">
        <v>740</v>
      </c>
      <c r="AP3" s="700" t="s">
        <v>138</v>
      </c>
      <c r="AQ3" s="756"/>
      <c r="AR3" s="703"/>
      <c r="AS3" s="699" t="s">
        <v>740</v>
      </c>
      <c r="AT3" s="700" t="s">
        <v>138</v>
      </c>
      <c r="AU3" s="756"/>
      <c r="AV3" s="703"/>
      <c r="AW3" s="699" t="s">
        <v>740</v>
      </c>
      <c r="AX3" s="700" t="s">
        <v>138</v>
      </c>
      <c r="AY3" s="756"/>
      <c r="AZ3" s="703"/>
      <c r="BA3" s="699" t="s">
        <v>740</v>
      </c>
      <c r="BB3" s="700" t="s">
        <v>138</v>
      </c>
      <c r="BC3" s="756"/>
      <c r="BD3" s="703"/>
      <c r="BE3" s="699" t="s">
        <v>740</v>
      </c>
      <c r="BF3" s="700" t="s">
        <v>138</v>
      </c>
      <c r="BG3" s="756"/>
      <c r="BH3" s="703"/>
      <c r="BI3" s="699" t="s">
        <v>740</v>
      </c>
      <c r="BJ3" s="700" t="s">
        <v>138</v>
      </c>
      <c r="BK3" s="756"/>
      <c r="BL3" s="703"/>
      <c r="BM3" s="699" t="s">
        <v>740</v>
      </c>
      <c r="BN3" s="700" t="s">
        <v>138</v>
      </c>
      <c r="BO3" s="757"/>
      <c r="BP3" s="703"/>
      <c r="BQ3" s="699" t="s">
        <v>740</v>
      </c>
      <c r="BR3" s="700" t="s">
        <v>138</v>
      </c>
      <c r="BS3" s="757"/>
      <c r="BT3" s="703" t="s">
        <v>743</v>
      </c>
      <c r="BU3" s="699" t="s">
        <v>740</v>
      </c>
      <c r="BV3" s="700" t="s">
        <v>138</v>
      </c>
      <c r="BW3" s="757"/>
      <c r="BX3" s="703" t="s">
        <v>743</v>
      </c>
      <c r="BY3" s="699" t="s">
        <v>740</v>
      </c>
      <c r="BZ3" s="700" t="s">
        <v>138</v>
      </c>
      <c r="CA3" s="757"/>
      <c r="CB3" s="703" t="s">
        <v>743</v>
      </c>
      <c r="CC3" s="699" t="s">
        <v>740</v>
      </c>
      <c r="CD3" s="700" t="s">
        <v>138</v>
      </c>
      <c r="CE3" s="757"/>
      <c r="CF3" s="703" t="s">
        <v>743</v>
      </c>
      <c r="CG3" s="699" t="s">
        <v>740</v>
      </c>
      <c r="CH3" s="700" t="s">
        <v>138</v>
      </c>
      <c r="CI3" s="757"/>
      <c r="CJ3" s="703" t="s">
        <v>743</v>
      </c>
      <c r="CK3" s="699" t="s">
        <v>740</v>
      </c>
      <c r="CL3" s="700" t="s">
        <v>138</v>
      </c>
      <c r="CM3" s="757"/>
      <c r="CN3" s="703" t="s">
        <v>743</v>
      </c>
      <c r="CO3" s="699" t="s">
        <v>740</v>
      </c>
      <c r="CP3" s="700" t="s">
        <v>138</v>
      </c>
      <c r="CQ3" s="757"/>
      <c r="CR3" s="703" t="s">
        <v>743</v>
      </c>
      <c r="CS3" s="699" t="s">
        <v>740</v>
      </c>
      <c r="CT3" s="700" t="s">
        <v>138</v>
      </c>
      <c r="CU3" s="757"/>
      <c r="CV3" s="703" t="s">
        <v>743</v>
      </c>
    </row>
    <row r="4" spans="1:100" ht="14.1" customHeight="1">
      <c r="E4" s="705"/>
      <c r="F4" s="704"/>
      <c r="G4" s="705"/>
      <c r="H4" s="706"/>
      <c r="I4" s="705"/>
      <c r="J4" s="704"/>
      <c r="K4" s="705"/>
      <c r="L4" s="706"/>
      <c r="M4" s="705"/>
      <c r="N4" s="704"/>
      <c r="O4" s="705"/>
      <c r="P4" s="758"/>
      <c r="Q4" s="759"/>
      <c r="R4" s="704"/>
      <c r="S4" s="705"/>
      <c r="T4" s="760"/>
      <c r="U4" s="759"/>
      <c r="V4" s="704"/>
      <c r="W4" s="705"/>
      <c r="X4" s="761"/>
      <c r="Y4" s="759"/>
      <c r="Z4" s="762"/>
      <c r="AA4" s="763"/>
      <c r="AB4" s="764"/>
      <c r="AC4" s="765"/>
      <c r="AD4" s="704"/>
      <c r="AE4" s="766"/>
      <c r="AF4" s="767"/>
      <c r="AG4" s="765"/>
      <c r="AH4" s="704"/>
      <c r="AI4" s="766"/>
      <c r="AJ4" s="767"/>
      <c r="AK4" s="765"/>
      <c r="AL4" s="704"/>
      <c r="AM4" s="766"/>
      <c r="AN4" s="767"/>
      <c r="AO4" s="765"/>
      <c r="AP4" s="704"/>
      <c r="AQ4" s="766"/>
      <c r="AR4" s="767"/>
      <c r="AS4" s="765"/>
      <c r="AT4" s="704"/>
      <c r="AU4" s="766"/>
      <c r="AV4" s="767"/>
      <c r="AW4" s="765"/>
      <c r="AX4" s="704"/>
      <c r="AY4" s="766"/>
      <c r="AZ4" s="767"/>
      <c r="BA4" s="765"/>
      <c r="BB4" s="704"/>
      <c r="BC4" s="766"/>
      <c r="BD4" s="767"/>
      <c r="BE4" s="765"/>
      <c r="BF4" s="704"/>
      <c r="BG4" s="766"/>
      <c r="BH4" s="767"/>
      <c r="BI4" s="765"/>
      <c r="BJ4" s="704"/>
      <c r="BK4" s="766"/>
      <c r="BL4" s="767"/>
      <c r="BM4" s="765"/>
      <c r="BN4" s="704"/>
      <c r="BO4" s="768"/>
      <c r="BP4" s="767"/>
      <c r="BQ4" s="765"/>
      <c r="BR4" s="704"/>
      <c r="BS4" s="768"/>
      <c r="BT4" s="767"/>
      <c r="BU4" s="765"/>
      <c r="BV4" s="704"/>
      <c r="BW4" s="768"/>
      <c r="BX4" s="767"/>
      <c r="BY4" s="765"/>
      <c r="BZ4" s="704"/>
      <c r="CA4" s="768"/>
      <c r="CB4" s="767"/>
      <c r="CC4" s="765"/>
      <c r="CD4" s="704"/>
      <c r="CE4" s="768"/>
      <c r="CF4" s="767"/>
      <c r="CG4" s="765"/>
      <c r="CH4" s="704"/>
      <c r="CI4" s="768"/>
      <c r="CJ4" s="767"/>
      <c r="CK4" s="765"/>
      <c r="CL4" s="704"/>
      <c r="CM4" s="768"/>
      <c r="CN4" s="767"/>
      <c r="CO4" s="765"/>
      <c r="CP4" s="704"/>
      <c r="CQ4" s="768"/>
      <c r="CR4" s="767"/>
      <c r="CS4" s="765"/>
      <c r="CT4" s="704"/>
      <c r="CU4" s="768"/>
      <c r="CV4" s="767"/>
    </row>
    <row r="5" spans="1:100" ht="14.1" customHeight="1">
      <c r="E5" s="489"/>
      <c r="F5" s="711"/>
      <c r="G5" s="712"/>
      <c r="H5" s="493"/>
      <c r="I5" s="489"/>
      <c r="J5" s="711"/>
      <c r="K5" s="712"/>
      <c r="L5" s="493"/>
      <c r="M5" s="489"/>
      <c r="N5" s="711"/>
      <c r="O5" s="712"/>
      <c r="P5" s="769"/>
      <c r="Q5" s="489"/>
      <c r="R5" s="711"/>
      <c r="S5" s="712"/>
      <c r="T5" s="493"/>
      <c r="U5" s="489"/>
      <c r="V5" s="711"/>
      <c r="W5" s="712"/>
      <c r="X5" s="770"/>
      <c r="Y5" s="489"/>
      <c r="Z5" s="771"/>
      <c r="AA5" s="712"/>
      <c r="AB5" s="772"/>
      <c r="AC5" s="489"/>
      <c r="AD5" s="711"/>
      <c r="AE5" s="773"/>
      <c r="AF5" s="488"/>
      <c r="AG5" s="489"/>
      <c r="AH5" s="711"/>
      <c r="AI5" s="773"/>
      <c r="AJ5" s="488"/>
      <c r="AK5" s="489"/>
      <c r="AL5" s="711"/>
      <c r="AM5" s="773"/>
      <c r="AN5" s="488"/>
      <c r="AO5" s="489"/>
      <c r="AP5" s="711"/>
      <c r="AQ5" s="773"/>
      <c r="AR5" s="488"/>
      <c r="AS5" s="489"/>
      <c r="AT5" s="711"/>
      <c r="AU5" s="773"/>
      <c r="AV5" s="488"/>
      <c r="AW5" s="489"/>
      <c r="AX5" s="711"/>
      <c r="AY5" s="773"/>
      <c r="AZ5" s="488"/>
      <c r="BA5" s="489"/>
      <c r="BB5" s="711"/>
      <c r="BC5" s="773"/>
      <c r="BD5" s="488"/>
      <c r="BE5" s="489"/>
      <c r="BF5" s="711"/>
      <c r="BG5" s="773"/>
      <c r="BH5" s="488"/>
      <c r="BI5" s="489"/>
      <c r="BJ5" s="711"/>
      <c r="BK5" s="773"/>
      <c r="BL5" s="488"/>
      <c r="BM5" s="489"/>
      <c r="BN5" s="711"/>
      <c r="BO5" s="774"/>
      <c r="BP5" s="488"/>
      <c r="BQ5" s="489"/>
      <c r="BR5" s="711"/>
      <c r="BS5" s="774"/>
      <c r="BT5" s="488"/>
      <c r="BU5" s="489"/>
      <c r="BV5" s="711"/>
      <c r="BW5" s="774"/>
      <c r="BX5" s="488"/>
      <c r="BY5" s="489"/>
      <c r="BZ5" s="711"/>
      <c r="CA5" s="774"/>
      <c r="CB5" s="488"/>
      <c r="CC5" s="489"/>
      <c r="CD5" s="711"/>
      <c r="CE5" s="774"/>
      <c r="CF5" s="488"/>
      <c r="CG5" s="489"/>
      <c r="CH5" s="711"/>
      <c r="CI5" s="774"/>
      <c r="CJ5" s="488"/>
      <c r="CK5" s="489"/>
      <c r="CL5" s="711"/>
      <c r="CM5" s="774"/>
      <c r="CN5" s="488"/>
      <c r="CO5" s="489"/>
      <c r="CP5" s="711"/>
      <c r="CQ5" s="774"/>
      <c r="CR5" s="488"/>
      <c r="CS5" s="489"/>
      <c r="CT5" s="711"/>
      <c r="CU5" s="774"/>
      <c r="CV5" s="488"/>
    </row>
    <row r="6" spans="1:100" ht="14.1" customHeight="1">
      <c r="E6" s="489">
        <v>37257</v>
      </c>
      <c r="F6" s="490" t="s">
        <v>556</v>
      </c>
      <c r="G6" s="491">
        <v>1075</v>
      </c>
      <c r="H6" s="493"/>
      <c r="I6" s="489">
        <v>37257</v>
      </c>
      <c r="J6" s="490" t="s">
        <v>556</v>
      </c>
      <c r="K6" s="491">
        <v>1075</v>
      </c>
      <c r="L6" s="493"/>
      <c r="M6" s="489">
        <v>38353</v>
      </c>
      <c r="N6" s="490" t="s">
        <v>744</v>
      </c>
      <c r="O6" s="491">
        <v>3</v>
      </c>
      <c r="P6" s="769"/>
      <c r="Q6" s="489">
        <v>38720</v>
      </c>
      <c r="R6" s="490" t="s">
        <v>745</v>
      </c>
      <c r="S6" s="491">
        <v>14</v>
      </c>
      <c r="T6" s="493"/>
      <c r="U6" s="489">
        <v>39083</v>
      </c>
      <c r="V6" s="490" t="s">
        <v>746</v>
      </c>
      <c r="W6" s="491">
        <v>18</v>
      </c>
      <c r="X6" s="770"/>
      <c r="Y6" s="775">
        <v>39448</v>
      </c>
      <c r="Z6" s="771" t="s">
        <v>747</v>
      </c>
      <c r="AA6" s="712"/>
      <c r="AB6" s="776">
        <f>SUM(AB7:AB40)</f>
        <v>616.43200000000002</v>
      </c>
      <c r="AC6" s="775">
        <v>39814</v>
      </c>
      <c r="AD6" s="711" t="s">
        <v>748</v>
      </c>
      <c r="AE6" s="773">
        <v>11</v>
      </c>
      <c r="AF6" s="777"/>
      <c r="AG6" s="775">
        <v>40179</v>
      </c>
      <c r="AH6" s="711" t="s">
        <v>749</v>
      </c>
      <c r="AI6" s="773">
        <v>22</v>
      </c>
      <c r="AJ6" s="776"/>
      <c r="AK6" s="778">
        <v>40179</v>
      </c>
      <c r="AL6" s="779" t="s">
        <v>750</v>
      </c>
      <c r="AM6" s="773">
        <v>265</v>
      </c>
      <c r="AN6" s="777"/>
      <c r="AO6" s="778">
        <v>40909</v>
      </c>
      <c r="AP6" s="779" t="s">
        <v>751</v>
      </c>
      <c r="AQ6" s="773">
        <v>25</v>
      </c>
      <c r="AR6" s="777"/>
      <c r="AS6" s="778">
        <v>40909</v>
      </c>
      <c r="AT6" s="779" t="s">
        <v>752</v>
      </c>
      <c r="AU6" s="773">
        <v>540</v>
      </c>
      <c r="AV6" s="777"/>
      <c r="AW6" s="778">
        <v>40909</v>
      </c>
      <c r="AX6" s="779" t="s">
        <v>753</v>
      </c>
      <c r="AY6" s="773">
        <v>786</v>
      </c>
      <c r="AZ6" s="777"/>
      <c r="BA6" s="778">
        <v>42005</v>
      </c>
      <c r="BB6" s="779" t="s">
        <v>754</v>
      </c>
      <c r="BC6" s="773">
        <v>52</v>
      </c>
      <c r="BD6" s="777"/>
      <c r="BE6" s="489">
        <v>42005</v>
      </c>
      <c r="BF6" s="490" t="s">
        <v>755</v>
      </c>
      <c r="BG6" s="491">
        <v>158</v>
      </c>
      <c r="BH6" s="493"/>
      <c r="BI6" s="489">
        <v>42736</v>
      </c>
      <c r="BJ6" s="490" t="s">
        <v>756</v>
      </c>
      <c r="BK6" s="491"/>
      <c r="BL6" s="493"/>
      <c r="BM6" s="489">
        <v>42736</v>
      </c>
      <c r="BN6" s="490" t="s">
        <v>757</v>
      </c>
      <c r="BO6" s="719"/>
      <c r="BP6" s="493"/>
      <c r="BQ6" s="1017">
        <v>43466</v>
      </c>
      <c r="BR6" s="1019" t="s">
        <v>758</v>
      </c>
      <c r="BS6" s="1063">
        <v>1495</v>
      </c>
      <c r="BT6" s="1018" t="s">
        <v>706</v>
      </c>
      <c r="BU6" s="1017">
        <v>43466</v>
      </c>
      <c r="BV6" s="1019" t="s">
        <v>758</v>
      </c>
      <c r="BW6" s="1063">
        <v>1495</v>
      </c>
      <c r="BX6" s="1018" t="s">
        <v>706</v>
      </c>
      <c r="BY6" s="1017">
        <v>43466</v>
      </c>
      <c r="BZ6" s="1037" t="s">
        <v>759</v>
      </c>
      <c r="CA6" s="1038">
        <v>295</v>
      </c>
      <c r="CB6" s="1018" t="s">
        <v>689</v>
      </c>
      <c r="CC6" s="1017">
        <v>43466</v>
      </c>
      <c r="CD6" s="1037" t="s">
        <v>759</v>
      </c>
      <c r="CE6" s="1038">
        <v>0</v>
      </c>
      <c r="CF6" s="1018" t="s">
        <v>689</v>
      </c>
      <c r="CG6" s="1017">
        <v>43466</v>
      </c>
      <c r="CH6" s="1037" t="s">
        <v>759</v>
      </c>
      <c r="CI6" s="1038">
        <v>0</v>
      </c>
      <c r="CJ6" s="1018" t="s">
        <v>689</v>
      </c>
      <c r="CK6" s="1017">
        <v>43466</v>
      </c>
      <c r="CL6" s="1393" t="s">
        <v>760</v>
      </c>
      <c r="CM6" s="1395">
        <v>30</v>
      </c>
      <c r="CN6" s="1396" t="s">
        <v>689</v>
      </c>
      <c r="CO6" s="1017">
        <v>43466</v>
      </c>
      <c r="CP6" s="1393" t="s">
        <v>760</v>
      </c>
      <c r="CQ6" s="1395">
        <v>30</v>
      </c>
      <c r="CR6" s="1396" t="s">
        <v>689</v>
      </c>
      <c r="CS6" s="1017">
        <v>46023</v>
      </c>
      <c r="CT6" s="2174" t="s">
        <v>761</v>
      </c>
      <c r="CU6" s="1395">
        <v>100</v>
      </c>
      <c r="CV6" s="1396"/>
    </row>
    <row r="7" spans="1:100" ht="14.1" customHeight="1">
      <c r="E7" s="489">
        <v>37257</v>
      </c>
      <c r="F7" s="490" t="s">
        <v>276</v>
      </c>
      <c r="G7" s="491">
        <v>422</v>
      </c>
      <c r="H7" s="493">
        <v>386</v>
      </c>
      <c r="I7" s="489">
        <v>37257</v>
      </c>
      <c r="J7" s="490" t="s">
        <v>276</v>
      </c>
      <c r="K7" s="491">
        <v>422</v>
      </c>
      <c r="L7" s="493">
        <v>1000</v>
      </c>
      <c r="M7" s="489">
        <v>38354</v>
      </c>
      <c r="N7" s="490" t="s">
        <v>762</v>
      </c>
      <c r="O7" s="491">
        <v>21</v>
      </c>
      <c r="P7" s="769"/>
      <c r="Q7" s="489">
        <v>38721</v>
      </c>
      <c r="R7" s="490" t="s">
        <v>763</v>
      </c>
      <c r="S7" s="491">
        <v>335</v>
      </c>
      <c r="T7" s="493"/>
      <c r="U7" s="489">
        <v>39083</v>
      </c>
      <c r="V7" s="490" t="s">
        <v>764</v>
      </c>
      <c r="W7" s="491">
        <v>30</v>
      </c>
      <c r="X7" s="770"/>
      <c r="Y7" s="489">
        <v>39448</v>
      </c>
      <c r="Z7" s="714" t="s">
        <v>765</v>
      </c>
      <c r="AA7" s="780">
        <f>19</f>
        <v>19</v>
      </c>
      <c r="AB7" s="781">
        <f>AA7/2.5</f>
        <v>7.6</v>
      </c>
      <c r="AC7" s="489">
        <v>39814</v>
      </c>
      <c r="AD7" s="490" t="s">
        <v>766</v>
      </c>
      <c r="AE7" s="718">
        <v>10</v>
      </c>
      <c r="AF7" s="782"/>
      <c r="AG7" s="489">
        <v>40180</v>
      </c>
      <c r="AH7" s="490" t="s">
        <v>767</v>
      </c>
      <c r="AI7" s="718">
        <v>8</v>
      </c>
      <c r="AJ7" s="782"/>
      <c r="AK7" s="489">
        <v>40179</v>
      </c>
      <c r="AL7" s="490" t="s">
        <v>768</v>
      </c>
      <c r="AM7" s="718">
        <v>265</v>
      </c>
      <c r="AN7" s="782"/>
      <c r="AO7" s="778">
        <v>40909</v>
      </c>
      <c r="AP7" s="490" t="s">
        <v>769</v>
      </c>
      <c r="AQ7" s="718">
        <v>5</v>
      </c>
      <c r="AR7" s="782"/>
      <c r="AS7" s="778">
        <v>40909</v>
      </c>
      <c r="AT7" s="490" t="s">
        <v>770</v>
      </c>
      <c r="AU7" s="718">
        <v>265</v>
      </c>
      <c r="AV7" s="782"/>
      <c r="AW7" s="778">
        <v>40909</v>
      </c>
      <c r="AX7" s="490" t="s">
        <v>771</v>
      </c>
      <c r="AY7" s="718">
        <v>1089</v>
      </c>
      <c r="AZ7" s="782"/>
      <c r="BA7" s="778">
        <v>42005</v>
      </c>
      <c r="BB7" s="490" t="s">
        <v>772</v>
      </c>
      <c r="BC7" s="718">
        <v>66</v>
      </c>
      <c r="BD7" s="782"/>
      <c r="BE7" s="489">
        <v>42005</v>
      </c>
      <c r="BF7" s="490" t="s">
        <v>773</v>
      </c>
      <c r="BG7" s="491">
        <v>656</v>
      </c>
      <c r="BH7" s="493"/>
      <c r="BI7" s="489">
        <v>42737</v>
      </c>
      <c r="BJ7" s="490" t="s">
        <v>774</v>
      </c>
      <c r="BK7" s="491">
        <v>716</v>
      </c>
      <c r="BL7" s="493"/>
      <c r="BM7" s="489">
        <v>42737</v>
      </c>
      <c r="BN7" s="490" t="s">
        <v>775</v>
      </c>
      <c r="BO7" s="719"/>
      <c r="BP7" s="493"/>
      <c r="BQ7" s="1017">
        <v>43466</v>
      </c>
      <c r="BR7" s="1019" t="s">
        <v>776</v>
      </c>
      <c r="BS7" s="1063">
        <f>180*2</f>
        <v>360</v>
      </c>
      <c r="BT7" s="1018" t="s">
        <v>689</v>
      </c>
      <c r="BU7" s="1017">
        <v>43466</v>
      </c>
      <c r="BV7" s="1019" t="s">
        <v>776</v>
      </c>
      <c r="BW7" s="1063">
        <f>180*2</f>
        <v>360</v>
      </c>
      <c r="BX7" s="1018" t="s">
        <v>689</v>
      </c>
      <c r="BY7" s="1017">
        <v>43466</v>
      </c>
      <c r="BZ7" s="1019" t="s">
        <v>777</v>
      </c>
      <c r="CA7" s="1064">
        <v>288</v>
      </c>
      <c r="CB7" s="1018" t="s">
        <v>689</v>
      </c>
      <c r="CC7" s="1017">
        <v>43466</v>
      </c>
      <c r="CD7" s="1019" t="s">
        <v>778</v>
      </c>
      <c r="CE7" s="1064">
        <v>632</v>
      </c>
      <c r="CF7" s="1018" t="s">
        <v>689</v>
      </c>
      <c r="CG7" s="1017">
        <v>43466</v>
      </c>
      <c r="CH7" s="1019" t="s">
        <v>778</v>
      </c>
      <c r="CI7" s="1064">
        <v>0</v>
      </c>
      <c r="CJ7" s="1018" t="s">
        <v>689</v>
      </c>
      <c r="CK7" s="1017">
        <v>43466</v>
      </c>
      <c r="CL7" s="1402" t="s">
        <v>779</v>
      </c>
      <c r="CM7" s="1403">
        <v>1900</v>
      </c>
      <c r="CN7" s="1396" t="s">
        <v>689</v>
      </c>
      <c r="CO7" s="1017">
        <v>43466</v>
      </c>
      <c r="CP7" s="1402" t="s">
        <v>779</v>
      </c>
      <c r="CQ7" s="1403">
        <v>1900</v>
      </c>
      <c r="CR7" s="1396" t="s">
        <v>689</v>
      </c>
      <c r="CS7" s="1017">
        <v>46023</v>
      </c>
      <c r="CT7" s="1402"/>
      <c r="CU7" s="1403"/>
      <c r="CV7" s="1396"/>
    </row>
    <row r="8" spans="1:100" ht="14.1" customHeight="1">
      <c r="E8" s="489">
        <v>37257</v>
      </c>
      <c r="F8" s="490" t="s">
        <v>400</v>
      </c>
      <c r="G8" s="491">
        <v>0</v>
      </c>
      <c r="H8" s="493">
        <v>0</v>
      </c>
      <c r="I8" s="489">
        <v>37257</v>
      </c>
      <c r="J8" s="490" t="s">
        <v>400</v>
      </c>
      <c r="K8" s="491">
        <v>250</v>
      </c>
      <c r="L8" s="493">
        <v>0</v>
      </c>
      <c r="M8" s="489">
        <v>38354</v>
      </c>
      <c r="N8" s="490" t="s">
        <v>780</v>
      </c>
      <c r="O8" s="491">
        <v>32</v>
      </c>
      <c r="P8" s="769"/>
      <c r="Q8" s="489">
        <v>38721</v>
      </c>
      <c r="R8" s="490" t="s">
        <v>781</v>
      </c>
      <c r="S8" s="491">
        <v>6</v>
      </c>
      <c r="T8" s="493"/>
      <c r="U8" s="489">
        <v>39083</v>
      </c>
      <c r="V8" s="490" t="s">
        <v>782</v>
      </c>
      <c r="W8" s="491">
        <v>23</v>
      </c>
      <c r="X8" s="770"/>
      <c r="Y8" s="489">
        <v>39448</v>
      </c>
      <c r="Z8" s="714" t="s">
        <v>765</v>
      </c>
      <c r="AA8" s="783">
        <f>15.1</f>
        <v>15.1</v>
      </c>
      <c r="AB8" s="781">
        <f t="shared" ref="AB8:AB32" si="0">AA8/2.5</f>
        <v>6.04</v>
      </c>
      <c r="AC8" s="489">
        <v>39814</v>
      </c>
      <c r="AD8" s="490" t="s">
        <v>783</v>
      </c>
      <c r="AE8" s="716">
        <v>35</v>
      </c>
      <c r="AF8" s="782"/>
      <c r="AG8" s="489">
        <v>40180</v>
      </c>
      <c r="AH8" s="490" t="s">
        <v>784</v>
      </c>
      <c r="AI8" s="716">
        <v>111</v>
      </c>
      <c r="AJ8" s="782"/>
      <c r="AK8" s="489">
        <v>40179</v>
      </c>
      <c r="AL8" s="490" t="s">
        <v>785</v>
      </c>
      <c r="AM8" s="716">
        <v>172</v>
      </c>
      <c r="AN8" s="782"/>
      <c r="AO8" s="778">
        <v>40909</v>
      </c>
      <c r="AP8" s="490" t="s">
        <v>786</v>
      </c>
      <c r="AQ8" s="716">
        <v>30</v>
      </c>
      <c r="AR8" s="782"/>
      <c r="AS8" s="778">
        <v>41276</v>
      </c>
      <c r="AT8" s="490" t="s">
        <v>787</v>
      </c>
      <c r="AU8" s="716">
        <v>20</v>
      </c>
      <c r="AV8" s="782"/>
      <c r="AW8" s="778">
        <v>40909</v>
      </c>
      <c r="AX8" s="490" t="s">
        <v>754</v>
      </c>
      <c r="AY8" s="716">
        <v>130</v>
      </c>
      <c r="AZ8" s="782"/>
      <c r="BA8" s="778">
        <v>42005</v>
      </c>
      <c r="BB8" s="490" t="s">
        <v>781</v>
      </c>
      <c r="BC8" s="716">
        <v>14</v>
      </c>
      <c r="BD8" s="782"/>
      <c r="BE8" s="489">
        <v>42005</v>
      </c>
      <c r="BF8" s="490" t="s">
        <v>788</v>
      </c>
      <c r="BG8" s="491">
        <v>355</v>
      </c>
      <c r="BH8" s="493"/>
      <c r="BI8" s="489">
        <v>42737</v>
      </c>
      <c r="BJ8" s="490" t="s">
        <v>789</v>
      </c>
      <c r="BK8" s="491">
        <v>741</v>
      </c>
      <c r="BL8" s="493"/>
      <c r="BM8" s="489">
        <v>43104</v>
      </c>
      <c r="BN8" s="490" t="s">
        <v>790</v>
      </c>
      <c r="BO8" s="719">
        <v>20</v>
      </c>
      <c r="BP8" s="493"/>
      <c r="BQ8" s="1017">
        <v>43466</v>
      </c>
      <c r="BR8" s="1019" t="s">
        <v>791</v>
      </c>
      <c r="BS8" s="1063">
        <f>199*2</f>
        <v>398</v>
      </c>
      <c r="BT8" s="1018" t="s">
        <v>689</v>
      </c>
      <c r="BU8" s="1017">
        <v>43466</v>
      </c>
      <c r="BV8" s="1019" t="s">
        <v>791</v>
      </c>
      <c r="BW8" s="1063">
        <f>199*2</f>
        <v>398</v>
      </c>
      <c r="BX8" s="1018" t="s">
        <v>689</v>
      </c>
      <c r="BY8" s="1017">
        <v>43466</v>
      </c>
      <c r="BZ8" s="1019" t="s">
        <v>792</v>
      </c>
      <c r="CA8" s="1064">
        <v>30</v>
      </c>
      <c r="CB8" s="1018" t="s">
        <v>689</v>
      </c>
      <c r="CC8" s="1017">
        <v>43466</v>
      </c>
      <c r="CD8" s="1019" t="s">
        <v>793</v>
      </c>
      <c r="CE8" s="1064">
        <v>510</v>
      </c>
      <c r="CF8" s="1018" t="s">
        <v>689</v>
      </c>
      <c r="CG8" s="1017">
        <v>43466</v>
      </c>
      <c r="CH8" s="1019" t="s">
        <v>793</v>
      </c>
      <c r="CI8" s="1064" t="s">
        <v>37</v>
      </c>
      <c r="CJ8" s="1018" t="s">
        <v>689</v>
      </c>
      <c r="CK8" s="1017">
        <v>43466</v>
      </c>
      <c r="CL8" s="1402" t="s">
        <v>794</v>
      </c>
      <c r="CM8" s="1403">
        <v>299</v>
      </c>
      <c r="CN8" s="1396" t="s">
        <v>689</v>
      </c>
      <c r="CO8" s="1017">
        <v>43466</v>
      </c>
      <c r="CP8" s="1402" t="s">
        <v>794</v>
      </c>
      <c r="CQ8" s="1403">
        <v>299</v>
      </c>
      <c r="CR8" s="1396" t="s">
        <v>689</v>
      </c>
      <c r="CS8" s="1017">
        <v>46024</v>
      </c>
      <c r="CT8" s="1402" t="s">
        <v>795</v>
      </c>
      <c r="CU8" s="1403">
        <v>19</v>
      </c>
      <c r="CV8" s="1396" t="s">
        <v>278</v>
      </c>
    </row>
    <row r="9" spans="1:100" ht="14.1" customHeight="1">
      <c r="E9" s="489">
        <v>37257</v>
      </c>
      <c r="F9" s="490" t="s">
        <v>413</v>
      </c>
      <c r="G9" s="492">
        <v>25</v>
      </c>
      <c r="H9" s="717">
        <v>25</v>
      </c>
      <c r="I9" s="489">
        <v>37257</v>
      </c>
      <c r="J9" s="490" t="s">
        <v>413</v>
      </c>
      <c r="K9" s="492">
        <v>25</v>
      </c>
      <c r="L9" s="717">
        <v>25</v>
      </c>
      <c r="M9" s="489">
        <v>38354</v>
      </c>
      <c r="N9" s="490" t="s">
        <v>796</v>
      </c>
      <c r="O9" s="492">
        <v>20</v>
      </c>
      <c r="P9" s="784"/>
      <c r="Q9" s="489">
        <v>38721</v>
      </c>
      <c r="R9" s="490" t="s">
        <v>797</v>
      </c>
      <c r="S9" s="492">
        <v>24</v>
      </c>
      <c r="T9" s="717"/>
      <c r="U9" s="489">
        <v>39083</v>
      </c>
      <c r="V9" s="490" t="s">
        <v>769</v>
      </c>
      <c r="W9" s="492">
        <v>44</v>
      </c>
      <c r="X9" s="785"/>
      <c r="Y9" s="489">
        <v>39448</v>
      </c>
      <c r="Z9" s="714" t="s">
        <v>798</v>
      </c>
      <c r="AA9" s="783">
        <f>18.65</f>
        <v>18.649999999999999</v>
      </c>
      <c r="AB9" s="781">
        <f t="shared" si="0"/>
        <v>7.4599999999999991</v>
      </c>
      <c r="AC9" s="489">
        <v>39814</v>
      </c>
      <c r="AD9" s="490" t="s">
        <v>799</v>
      </c>
      <c r="AE9" s="716">
        <v>5</v>
      </c>
      <c r="AF9" s="782"/>
      <c r="AG9" s="489">
        <v>40180</v>
      </c>
      <c r="AH9" s="490" t="s">
        <v>800</v>
      </c>
      <c r="AI9" s="716">
        <v>75</v>
      </c>
      <c r="AJ9" s="782"/>
      <c r="AK9" s="489">
        <v>40546</v>
      </c>
      <c r="AL9" s="490" t="s">
        <v>801</v>
      </c>
      <c r="AM9" s="786">
        <v>1400</v>
      </c>
      <c r="AN9" s="787">
        <f xml:space="preserve"> AM9/44</f>
        <v>31.818181818181817</v>
      </c>
      <c r="AO9" s="489">
        <v>40910</v>
      </c>
      <c r="AP9" s="490" t="s">
        <v>802</v>
      </c>
      <c r="AQ9" s="718">
        <v>37</v>
      </c>
      <c r="AR9" s="787"/>
      <c r="AS9" s="778">
        <v>41276</v>
      </c>
      <c r="AT9" s="490" t="s">
        <v>803</v>
      </c>
      <c r="AU9" s="718">
        <v>15</v>
      </c>
      <c r="AV9" s="787"/>
      <c r="AW9" s="778">
        <v>40909</v>
      </c>
      <c r="AX9" s="490" t="s">
        <v>804</v>
      </c>
      <c r="AY9" s="718">
        <v>15</v>
      </c>
      <c r="AZ9" s="787"/>
      <c r="BA9" s="778">
        <v>42005</v>
      </c>
      <c r="BB9" s="490" t="s">
        <v>805</v>
      </c>
      <c r="BC9" s="718">
        <v>26</v>
      </c>
      <c r="BD9" s="787"/>
      <c r="BE9" s="489">
        <v>42005</v>
      </c>
      <c r="BF9" s="490" t="s">
        <v>806</v>
      </c>
      <c r="BG9" s="491">
        <v>85</v>
      </c>
      <c r="BH9" s="493"/>
      <c r="BI9" s="489">
        <v>42737</v>
      </c>
      <c r="BJ9" s="490" t="s">
        <v>807</v>
      </c>
      <c r="BK9" s="491">
        <v>300</v>
      </c>
      <c r="BL9" s="493"/>
      <c r="BM9" s="489">
        <v>43105</v>
      </c>
      <c r="BN9" s="490" t="s">
        <v>772</v>
      </c>
      <c r="BO9" s="719">
        <v>52</v>
      </c>
      <c r="BP9" s="493"/>
      <c r="BQ9" s="1017">
        <v>43466</v>
      </c>
      <c r="BR9" s="1019" t="s">
        <v>808</v>
      </c>
      <c r="BS9" s="1063">
        <v>295</v>
      </c>
      <c r="BT9" s="1018" t="s">
        <v>689</v>
      </c>
      <c r="BU9" s="1017">
        <v>43466</v>
      </c>
      <c r="BV9" s="1037" t="s">
        <v>759</v>
      </c>
      <c r="BW9" s="1063">
        <v>295</v>
      </c>
      <c r="BX9" s="1018" t="s">
        <v>689</v>
      </c>
      <c r="BY9" s="1017">
        <v>43466</v>
      </c>
      <c r="BZ9" s="1019" t="s">
        <v>809</v>
      </c>
      <c r="CA9" s="1064">
        <f>398 + 55 *4</f>
        <v>618</v>
      </c>
      <c r="CB9" s="1018" t="s">
        <v>689</v>
      </c>
      <c r="CC9" s="1017">
        <v>43466</v>
      </c>
      <c r="CD9" s="1019" t="s">
        <v>809</v>
      </c>
      <c r="CE9" s="1064">
        <v>400</v>
      </c>
      <c r="CF9" s="1018" t="s">
        <v>689</v>
      </c>
      <c r="CG9" s="1017">
        <v>43466</v>
      </c>
      <c r="CH9" s="1019" t="s">
        <v>809</v>
      </c>
      <c r="CI9" s="1064" t="s">
        <v>37</v>
      </c>
      <c r="CJ9" s="1018" t="s">
        <v>689</v>
      </c>
      <c r="CK9" s="1017">
        <v>43466</v>
      </c>
      <c r="CL9" s="1402" t="s">
        <v>772</v>
      </c>
      <c r="CM9" s="1403">
        <v>12</v>
      </c>
      <c r="CN9" s="1396" t="s">
        <v>414</v>
      </c>
      <c r="CO9" s="1017">
        <v>43466</v>
      </c>
      <c r="CP9" s="1402" t="s">
        <v>810</v>
      </c>
      <c r="CQ9" s="1403">
        <v>100</v>
      </c>
      <c r="CR9" s="1396"/>
      <c r="CS9" s="1017">
        <v>46023</v>
      </c>
      <c r="CT9" s="1402"/>
      <c r="CU9" s="1403"/>
      <c r="CV9" s="1396"/>
    </row>
    <row r="10" spans="1:100" ht="14.1" customHeight="1">
      <c r="E10" s="489">
        <v>37257</v>
      </c>
      <c r="F10" s="714" t="s">
        <v>811</v>
      </c>
      <c r="G10" s="491"/>
      <c r="H10" s="493">
        <v>100</v>
      </c>
      <c r="I10" s="489">
        <v>37257</v>
      </c>
      <c r="J10" s="714" t="s">
        <v>811</v>
      </c>
      <c r="K10" s="491"/>
      <c r="L10" s="493">
        <v>0</v>
      </c>
      <c r="M10" s="489">
        <v>38354</v>
      </c>
      <c r="N10" s="714" t="s">
        <v>812</v>
      </c>
      <c r="O10" s="491">
        <v>27</v>
      </c>
      <c r="P10" s="769"/>
      <c r="Q10" s="489">
        <v>38723</v>
      </c>
      <c r="R10" s="714" t="s">
        <v>813</v>
      </c>
      <c r="S10" s="491">
        <v>10</v>
      </c>
      <c r="T10" s="493"/>
      <c r="U10" s="489">
        <v>39083</v>
      </c>
      <c r="V10" s="714" t="s">
        <v>814</v>
      </c>
      <c r="W10" s="491">
        <v>7</v>
      </c>
      <c r="X10" s="770"/>
      <c r="Y10" s="489">
        <v>39448</v>
      </c>
      <c r="Z10" s="714" t="s">
        <v>815</v>
      </c>
      <c r="AA10" s="783">
        <f>10</f>
        <v>10</v>
      </c>
      <c r="AB10" s="781">
        <f t="shared" si="0"/>
        <v>4</v>
      </c>
      <c r="AC10" s="489">
        <v>39814</v>
      </c>
      <c r="AD10" s="490" t="s">
        <v>797</v>
      </c>
      <c r="AE10" s="716">
        <v>26</v>
      </c>
      <c r="AF10" s="782"/>
      <c r="AG10" s="489">
        <v>40180</v>
      </c>
      <c r="AH10" s="490" t="s">
        <v>816</v>
      </c>
      <c r="AI10" s="716">
        <v>25</v>
      </c>
      <c r="AJ10" s="782"/>
      <c r="AK10" s="489">
        <v>40548</v>
      </c>
      <c r="AL10" s="490" t="s">
        <v>817</v>
      </c>
      <c r="AM10" s="786">
        <v>30</v>
      </c>
      <c r="AN10" s="787">
        <f t="shared" ref="AN10:AN53" si="1" xml:space="preserve"> AM10/44</f>
        <v>0.68181818181818177</v>
      </c>
      <c r="AO10" s="489">
        <v>40910</v>
      </c>
      <c r="AP10" s="490" t="s">
        <v>818</v>
      </c>
      <c r="AQ10" s="718">
        <v>16</v>
      </c>
      <c r="AR10" s="787"/>
      <c r="AS10" s="778">
        <v>41276</v>
      </c>
      <c r="AT10" s="490" t="s">
        <v>803</v>
      </c>
      <c r="AU10" s="718">
        <v>75</v>
      </c>
      <c r="AV10" s="787"/>
      <c r="AW10" s="778">
        <v>40909</v>
      </c>
      <c r="AX10" s="490" t="s">
        <v>819</v>
      </c>
      <c r="AY10" s="718">
        <v>45</v>
      </c>
      <c r="AZ10" s="787"/>
      <c r="BA10" s="778">
        <v>42005</v>
      </c>
      <c r="BB10" s="490" t="s">
        <v>820</v>
      </c>
      <c r="BC10" s="718">
        <v>5</v>
      </c>
      <c r="BD10" s="787"/>
      <c r="BE10" s="489">
        <v>42005</v>
      </c>
      <c r="BF10" s="490" t="s">
        <v>821</v>
      </c>
      <c r="BG10" s="491">
        <v>30</v>
      </c>
      <c r="BH10" s="493"/>
      <c r="BI10" s="489">
        <v>42737</v>
      </c>
      <c r="BJ10" s="490" t="s">
        <v>822</v>
      </c>
      <c r="BK10" s="491">
        <v>0</v>
      </c>
      <c r="BL10" s="493"/>
      <c r="BM10" s="489">
        <v>43105</v>
      </c>
      <c r="BN10" s="490" t="s">
        <v>823</v>
      </c>
      <c r="BO10" s="719">
        <v>31</v>
      </c>
      <c r="BP10" s="493"/>
      <c r="BQ10" s="1017">
        <v>43466</v>
      </c>
      <c r="BR10" s="1019" t="s">
        <v>824</v>
      </c>
      <c r="BS10" s="1063">
        <f>190</f>
        <v>190</v>
      </c>
      <c r="BT10" s="1018" t="s">
        <v>689</v>
      </c>
      <c r="BU10" s="1017">
        <v>43466</v>
      </c>
      <c r="BV10" s="1037" t="s">
        <v>825</v>
      </c>
      <c r="BW10" s="1063">
        <v>700</v>
      </c>
      <c r="BX10" s="1018" t="s">
        <v>689</v>
      </c>
      <c r="BY10" s="1017">
        <v>43466</v>
      </c>
      <c r="BZ10" s="1019" t="s">
        <v>826</v>
      </c>
      <c r="CA10" s="1065" t="s">
        <v>37</v>
      </c>
      <c r="CB10" s="1018" t="s">
        <v>689</v>
      </c>
      <c r="CC10" s="1017">
        <v>43466</v>
      </c>
      <c r="CD10" s="1019" t="s">
        <v>827</v>
      </c>
      <c r="CE10" s="1065">
        <v>300</v>
      </c>
      <c r="CF10" s="1018" t="s">
        <v>689</v>
      </c>
      <c r="CG10" s="1017">
        <v>43466</v>
      </c>
      <c r="CH10" s="1019" t="s">
        <v>827</v>
      </c>
      <c r="CI10" s="1065">
        <v>300</v>
      </c>
      <c r="CJ10" s="1018" t="s">
        <v>689</v>
      </c>
      <c r="CK10" s="1017">
        <v>43466</v>
      </c>
      <c r="CL10" s="1402" t="s">
        <v>828</v>
      </c>
      <c r="CM10" s="1403">
        <v>7</v>
      </c>
      <c r="CN10" s="1396" t="s">
        <v>414</v>
      </c>
      <c r="CO10" s="1017">
        <v>43466</v>
      </c>
      <c r="CP10" s="1402" t="s">
        <v>829</v>
      </c>
      <c r="CQ10" s="1403">
        <v>199</v>
      </c>
      <c r="CR10" s="1396"/>
      <c r="CS10" s="1017"/>
      <c r="CT10" s="1402"/>
      <c r="CU10" s="1403"/>
      <c r="CV10" s="1396"/>
    </row>
    <row r="11" spans="1:100" ht="14.1" customHeight="1">
      <c r="E11" s="489">
        <v>37257</v>
      </c>
      <c r="F11" s="714" t="s">
        <v>415</v>
      </c>
      <c r="G11" s="491"/>
      <c r="H11" s="493">
        <v>39</v>
      </c>
      <c r="I11" s="489">
        <v>37257</v>
      </c>
      <c r="J11" s="714" t="s">
        <v>415</v>
      </c>
      <c r="K11" s="491"/>
      <c r="L11" s="493">
        <v>39</v>
      </c>
      <c r="M11" s="489">
        <v>38357</v>
      </c>
      <c r="N11" s="714" t="s">
        <v>830</v>
      </c>
      <c r="O11" s="491">
        <v>12</v>
      </c>
      <c r="P11" s="769"/>
      <c r="Q11" s="489">
        <v>38723</v>
      </c>
      <c r="R11" s="714" t="s">
        <v>802</v>
      </c>
      <c r="S11" s="491">
        <v>30</v>
      </c>
      <c r="T11" s="493"/>
      <c r="U11" s="489">
        <v>39083</v>
      </c>
      <c r="V11" s="714" t="s">
        <v>831</v>
      </c>
      <c r="W11" s="491">
        <v>13</v>
      </c>
      <c r="X11" s="770"/>
      <c r="Y11" s="489">
        <v>39448</v>
      </c>
      <c r="Z11" s="714" t="s">
        <v>832</v>
      </c>
      <c r="AA11" s="783">
        <v>67</v>
      </c>
      <c r="AB11" s="781">
        <f t="shared" si="0"/>
        <v>26.8</v>
      </c>
      <c r="AC11" s="489">
        <v>39816</v>
      </c>
      <c r="AD11" s="490" t="s">
        <v>833</v>
      </c>
      <c r="AE11" s="716">
        <v>7</v>
      </c>
      <c r="AF11" s="782"/>
      <c r="AG11" s="489">
        <v>40180</v>
      </c>
      <c r="AH11" s="490" t="s">
        <v>797</v>
      </c>
      <c r="AI11" s="716">
        <v>37</v>
      </c>
      <c r="AJ11" s="782"/>
      <c r="AK11" s="489">
        <v>40548</v>
      </c>
      <c r="AL11" s="490" t="s">
        <v>834</v>
      </c>
      <c r="AM11" s="786">
        <v>350</v>
      </c>
      <c r="AN11" s="787">
        <f t="shared" si="1"/>
        <v>7.9545454545454541</v>
      </c>
      <c r="AO11" s="489">
        <v>40910</v>
      </c>
      <c r="AP11" s="490" t="s">
        <v>835</v>
      </c>
      <c r="AQ11" s="718">
        <v>37</v>
      </c>
      <c r="AR11" s="787"/>
      <c r="AS11" s="778">
        <v>41276</v>
      </c>
      <c r="AT11" s="490" t="s">
        <v>781</v>
      </c>
      <c r="AU11" s="718">
        <v>31</v>
      </c>
      <c r="AV11" s="787"/>
      <c r="AW11" s="778">
        <v>41643</v>
      </c>
      <c r="AX11" s="490" t="s">
        <v>836</v>
      </c>
      <c r="AY11" s="718">
        <v>24</v>
      </c>
      <c r="AZ11" s="787"/>
      <c r="BA11" s="778">
        <v>42005</v>
      </c>
      <c r="BB11" s="490" t="s">
        <v>837</v>
      </c>
      <c r="BC11" s="718">
        <v>10</v>
      </c>
      <c r="BD11" s="787"/>
      <c r="BE11" s="489">
        <v>42005</v>
      </c>
      <c r="BF11" s="490" t="s">
        <v>838</v>
      </c>
      <c r="BG11" s="718">
        <v>75</v>
      </c>
      <c r="BH11" s="787"/>
      <c r="BI11" s="489">
        <v>42737</v>
      </c>
      <c r="BJ11" s="490" t="s">
        <v>839</v>
      </c>
      <c r="BK11" s="491">
        <v>185</v>
      </c>
      <c r="BL11" s="493"/>
      <c r="BM11" s="489">
        <v>43106</v>
      </c>
      <c r="BN11" s="490" t="s">
        <v>840</v>
      </c>
      <c r="BO11" s="719">
        <v>54</v>
      </c>
      <c r="BP11" s="493"/>
      <c r="BQ11" s="1017">
        <v>43101</v>
      </c>
      <c r="BR11" s="1019" t="s">
        <v>841</v>
      </c>
      <c r="BS11" s="1065">
        <f>SUM(BS12:BS25)</f>
        <v>2599</v>
      </c>
      <c r="BT11" s="1018" t="s">
        <v>244</v>
      </c>
      <c r="BU11" s="1017">
        <v>43466</v>
      </c>
      <c r="BV11" s="1019" t="s">
        <v>842</v>
      </c>
      <c r="BW11" s="1065">
        <v>700</v>
      </c>
      <c r="BX11" s="1018" t="s">
        <v>689</v>
      </c>
      <c r="BY11" s="1017">
        <v>44198</v>
      </c>
      <c r="BZ11" s="1019" t="s">
        <v>772</v>
      </c>
      <c r="CA11" s="1065">
        <v>48</v>
      </c>
      <c r="CB11" s="1018" t="s">
        <v>414</v>
      </c>
      <c r="CC11" s="1017">
        <v>44562</v>
      </c>
      <c r="CD11" s="1019" t="s">
        <v>843</v>
      </c>
      <c r="CE11" s="1065">
        <v>18</v>
      </c>
      <c r="CF11" s="1018" t="s">
        <v>414</v>
      </c>
      <c r="CG11" s="1017">
        <v>44563</v>
      </c>
      <c r="CH11" s="1019" t="s">
        <v>844</v>
      </c>
      <c r="CI11" s="1065">
        <f>SUM(CI12:CI37)</f>
        <v>5051</v>
      </c>
      <c r="CJ11" s="1018"/>
      <c r="CK11" s="1017">
        <v>43466</v>
      </c>
      <c r="CL11" s="1019" t="s">
        <v>845</v>
      </c>
      <c r="CM11" s="1065">
        <v>48</v>
      </c>
      <c r="CN11" s="1396" t="s">
        <v>414</v>
      </c>
      <c r="CO11" s="1017">
        <v>43466</v>
      </c>
      <c r="CP11" s="1019" t="s">
        <v>846</v>
      </c>
      <c r="CQ11" s="1065">
        <v>347</v>
      </c>
      <c r="CR11" s="1396" t="s">
        <v>712</v>
      </c>
      <c r="CS11" s="1017"/>
      <c r="CT11" s="1019"/>
      <c r="CU11" s="1065"/>
      <c r="CV11" s="1396"/>
    </row>
    <row r="12" spans="1:100" ht="14.1" customHeight="1">
      <c r="E12" s="489">
        <v>37622</v>
      </c>
      <c r="F12" s="714" t="s">
        <v>847</v>
      </c>
      <c r="G12" s="491">
        <v>70</v>
      </c>
      <c r="H12" s="493"/>
      <c r="I12" s="489">
        <v>37622</v>
      </c>
      <c r="J12" s="714" t="s">
        <v>847</v>
      </c>
      <c r="K12" s="491">
        <v>70</v>
      </c>
      <c r="L12" s="493"/>
      <c r="M12" s="489">
        <v>38359</v>
      </c>
      <c r="N12" s="714" t="s">
        <v>848</v>
      </c>
      <c r="O12" s="491">
        <v>24</v>
      </c>
      <c r="P12" s="769"/>
      <c r="Q12" s="489">
        <v>38724</v>
      </c>
      <c r="R12" s="714" t="s">
        <v>849</v>
      </c>
      <c r="S12" s="491">
        <v>6</v>
      </c>
      <c r="T12" s="493"/>
      <c r="U12" s="489">
        <v>39084</v>
      </c>
      <c r="V12" s="714" t="s">
        <v>850</v>
      </c>
      <c r="W12" s="491">
        <v>0</v>
      </c>
      <c r="X12" s="770"/>
      <c r="Y12" s="489">
        <v>39449</v>
      </c>
      <c r="Z12" s="714" t="s">
        <v>851</v>
      </c>
      <c r="AA12" s="783">
        <v>44</v>
      </c>
      <c r="AB12" s="781">
        <f t="shared" si="0"/>
        <v>17.600000000000001</v>
      </c>
      <c r="AC12" s="489">
        <v>39816</v>
      </c>
      <c r="AD12" s="490" t="s">
        <v>852</v>
      </c>
      <c r="AE12" s="716">
        <v>19</v>
      </c>
      <c r="AF12" s="782"/>
      <c r="AG12" s="489">
        <v>40181</v>
      </c>
      <c r="AH12" s="490" t="s">
        <v>853</v>
      </c>
      <c r="AI12" s="716">
        <v>9</v>
      </c>
      <c r="AJ12" s="782"/>
      <c r="AK12" s="489">
        <v>40548</v>
      </c>
      <c r="AL12" s="490" t="s">
        <v>854</v>
      </c>
      <c r="AM12" s="786">
        <v>299</v>
      </c>
      <c r="AN12" s="787">
        <f t="shared" si="1"/>
        <v>6.7954545454545459</v>
      </c>
      <c r="AO12" s="489">
        <v>40910</v>
      </c>
      <c r="AP12" s="490" t="s">
        <v>781</v>
      </c>
      <c r="AQ12" s="718">
        <v>28</v>
      </c>
      <c r="AR12" s="787"/>
      <c r="AS12" s="778">
        <v>41276</v>
      </c>
      <c r="AT12" s="490" t="s">
        <v>855</v>
      </c>
      <c r="AU12" s="718">
        <v>14</v>
      </c>
      <c r="AV12" s="787"/>
      <c r="AW12" s="778">
        <v>41643</v>
      </c>
      <c r="AX12" s="490" t="s">
        <v>856</v>
      </c>
      <c r="AY12" s="718">
        <v>20</v>
      </c>
      <c r="AZ12" s="787"/>
      <c r="BA12" s="778">
        <v>42007</v>
      </c>
      <c r="BB12" s="490" t="s">
        <v>802</v>
      </c>
      <c r="BC12" s="718">
        <v>41</v>
      </c>
      <c r="BD12" s="787"/>
      <c r="BE12" s="489">
        <v>42005</v>
      </c>
      <c r="BF12" s="490" t="s">
        <v>857</v>
      </c>
      <c r="BG12" s="718">
        <v>0</v>
      </c>
      <c r="BH12" s="787"/>
      <c r="BI12" s="489">
        <v>42737</v>
      </c>
      <c r="BJ12" s="490" t="s">
        <v>858</v>
      </c>
      <c r="BK12" s="491">
        <v>12</v>
      </c>
      <c r="BL12" s="493"/>
      <c r="BM12" s="489">
        <v>43107</v>
      </c>
      <c r="BN12" s="490" t="s">
        <v>859</v>
      </c>
      <c r="BO12" s="719">
        <v>16</v>
      </c>
      <c r="BP12" s="493"/>
      <c r="BQ12" s="1017">
        <v>43101</v>
      </c>
      <c r="BR12" s="1019" t="s">
        <v>860</v>
      </c>
      <c r="BS12" s="1065">
        <v>992</v>
      </c>
      <c r="BT12" s="1018" t="s">
        <v>244</v>
      </c>
      <c r="BU12" s="1017">
        <v>43466</v>
      </c>
      <c r="BV12" s="1019" t="s">
        <v>826</v>
      </c>
      <c r="BW12" s="1065">
        <v>200</v>
      </c>
      <c r="BX12" s="1018" t="s">
        <v>689</v>
      </c>
      <c r="BY12" s="1017">
        <v>44198</v>
      </c>
      <c r="BZ12" s="1019" t="s">
        <v>845</v>
      </c>
      <c r="CA12" s="1065">
        <v>39</v>
      </c>
      <c r="CB12" s="1018" t="s">
        <v>414</v>
      </c>
      <c r="CC12" s="1017">
        <v>44563</v>
      </c>
      <c r="CD12" s="1019" t="s">
        <v>772</v>
      </c>
      <c r="CE12" s="1065">
        <v>22</v>
      </c>
      <c r="CF12" s="1018" t="s">
        <v>414</v>
      </c>
      <c r="CG12" s="1017">
        <v>44563</v>
      </c>
      <c r="CH12" s="1019" t="s">
        <v>861</v>
      </c>
      <c r="CI12" s="1065">
        <f>3066-2350+276</f>
        <v>992</v>
      </c>
      <c r="CJ12" s="1018" t="s">
        <v>381</v>
      </c>
      <c r="CK12" s="1017">
        <v>45295</v>
      </c>
      <c r="CL12" s="1019" t="s">
        <v>862</v>
      </c>
      <c r="CM12" s="1065">
        <v>27</v>
      </c>
      <c r="CN12" s="1018" t="s">
        <v>414</v>
      </c>
      <c r="CO12" s="1017">
        <v>43466</v>
      </c>
      <c r="CP12" s="1019" t="s">
        <v>863</v>
      </c>
      <c r="CQ12" s="1065">
        <v>30</v>
      </c>
      <c r="CR12" s="1018" t="s">
        <v>280</v>
      </c>
      <c r="CS12" s="1017"/>
      <c r="CT12" s="1019"/>
      <c r="CU12" s="1065"/>
      <c r="CV12" s="1018"/>
    </row>
    <row r="13" spans="1:100" ht="14.1" customHeight="1">
      <c r="E13" s="489">
        <v>37257</v>
      </c>
      <c r="F13" s="714" t="s">
        <v>864</v>
      </c>
      <c r="G13" s="491">
        <v>30</v>
      </c>
      <c r="H13" s="493">
        <v>57</v>
      </c>
      <c r="I13" s="489">
        <v>37257</v>
      </c>
      <c r="J13" s="714" t="s">
        <v>864</v>
      </c>
      <c r="K13" s="491">
        <v>30</v>
      </c>
      <c r="L13" s="493">
        <v>50</v>
      </c>
      <c r="M13" s="489">
        <v>38359</v>
      </c>
      <c r="N13" s="714" t="s">
        <v>849</v>
      </c>
      <c r="O13" s="491">
        <v>12</v>
      </c>
      <c r="P13" s="769"/>
      <c r="Q13" s="489">
        <v>38725</v>
      </c>
      <c r="R13" s="714" t="s">
        <v>865</v>
      </c>
      <c r="S13" s="491">
        <v>0</v>
      </c>
      <c r="T13" s="493"/>
      <c r="U13" s="489">
        <v>39084</v>
      </c>
      <c r="V13" s="714" t="s">
        <v>866</v>
      </c>
      <c r="W13" s="491">
        <v>20</v>
      </c>
      <c r="X13" s="770"/>
      <c r="Y13" s="489">
        <v>39449</v>
      </c>
      <c r="Z13" s="714" t="s">
        <v>867</v>
      </c>
      <c r="AA13" s="783"/>
      <c r="AB13" s="781">
        <v>5</v>
      </c>
      <c r="AC13" s="489">
        <v>39816</v>
      </c>
      <c r="AD13" s="490" t="s">
        <v>781</v>
      </c>
      <c r="AE13" s="716">
        <v>64</v>
      </c>
      <c r="AF13" s="782"/>
      <c r="AG13" s="489">
        <v>40182</v>
      </c>
      <c r="AH13" s="490" t="s">
        <v>781</v>
      </c>
      <c r="AI13" s="716">
        <v>88</v>
      </c>
      <c r="AJ13" s="782"/>
      <c r="AK13" s="489">
        <v>40548</v>
      </c>
      <c r="AL13" s="490" t="s">
        <v>868</v>
      </c>
      <c r="AM13" s="786">
        <v>36</v>
      </c>
      <c r="AN13" s="787">
        <f t="shared" si="1"/>
        <v>0.81818181818181823</v>
      </c>
      <c r="AO13" s="489">
        <v>40911</v>
      </c>
      <c r="AP13" s="490" t="s">
        <v>781</v>
      </c>
      <c r="AQ13" s="718">
        <v>11</v>
      </c>
      <c r="AR13" s="787"/>
      <c r="AS13" s="489">
        <v>41277</v>
      </c>
      <c r="AT13" s="490" t="s">
        <v>797</v>
      </c>
      <c r="AU13" s="718">
        <v>36</v>
      </c>
      <c r="AV13" s="787"/>
      <c r="AW13" s="778">
        <v>41643</v>
      </c>
      <c r="AX13" s="490" t="s">
        <v>869</v>
      </c>
      <c r="AY13" s="718">
        <v>11</v>
      </c>
      <c r="AZ13" s="787"/>
      <c r="BA13" s="778">
        <v>42007</v>
      </c>
      <c r="BB13" s="490" t="s">
        <v>870</v>
      </c>
      <c r="BC13" s="718">
        <v>10</v>
      </c>
      <c r="BD13" s="787"/>
      <c r="BE13" s="489">
        <v>42005</v>
      </c>
      <c r="BF13" s="490" t="s">
        <v>871</v>
      </c>
      <c r="BG13" s="718">
        <v>0</v>
      </c>
      <c r="BH13" s="787"/>
      <c r="BI13" s="489">
        <v>42737</v>
      </c>
      <c r="BJ13" s="490" t="s">
        <v>872</v>
      </c>
      <c r="BK13" s="491">
        <v>21</v>
      </c>
      <c r="BL13" s="493"/>
      <c r="BM13" s="489">
        <v>43107</v>
      </c>
      <c r="BN13" s="490" t="s">
        <v>873</v>
      </c>
      <c r="BO13" s="719">
        <v>30</v>
      </c>
      <c r="BP13" s="493"/>
      <c r="BQ13" s="1017">
        <v>43101</v>
      </c>
      <c r="BR13" s="1019" t="s">
        <v>874</v>
      </c>
      <c r="BS13" s="1065">
        <v>781</v>
      </c>
      <c r="BT13" s="1018" t="s">
        <v>244</v>
      </c>
      <c r="BU13" s="1017">
        <v>43466</v>
      </c>
      <c r="BV13" s="1019" t="s">
        <v>875</v>
      </c>
      <c r="BW13" s="1065">
        <v>30</v>
      </c>
      <c r="BX13" s="1018" t="s">
        <v>689</v>
      </c>
      <c r="BY13" s="1017">
        <v>44198</v>
      </c>
      <c r="BZ13" s="1019" t="s">
        <v>876</v>
      </c>
      <c r="CA13" s="1065">
        <v>20</v>
      </c>
      <c r="CB13" s="1018" t="s">
        <v>414</v>
      </c>
      <c r="CC13" s="1017">
        <v>44563</v>
      </c>
      <c r="CD13" s="1019" t="s">
        <v>872</v>
      </c>
      <c r="CE13" s="1065">
        <v>10</v>
      </c>
      <c r="CF13" s="1018" t="s">
        <v>414</v>
      </c>
      <c r="CG13" s="1017">
        <v>44563</v>
      </c>
      <c r="CH13" s="1019" t="s">
        <v>877</v>
      </c>
      <c r="CI13" s="1065">
        <f>2348+70</f>
        <v>2418</v>
      </c>
      <c r="CJ13" s="1018" t="s">
        <v>381</v>
      </c>
      <c r="CK13" s="1017">
        <v>45295</v>
      </c>
      <c r="CL13" s="1019" t="s">
        <v>878</v>
      </c>
      <c r="CM13" s="1065">
        <v>27</v>
      </c>
      <c r="CN13" s="1018" t="s">
        <v>414</v>
      </c>
      <c r="CO13" s="1017">
        <v>43466</v>
      </c>
      <c r="CP13" s="1019" t="s">
        <v>879</v>
      </c>
      <c r="CQ13" s="1065">
        <v>90</v>
      </c>
      <c r="CR13" s="1018" t="s">
        <v>280</v>
      </c>
      <c r="CS13" s="1017"/>
      <c r="CT13" s="1019"/>
      <c r="CU13" s="1065"/>
      <c r="CV13" s="1018"/>
    </row>
    <row r="14" spans="1:100" ht="14.1" customHeight="1">
      <c r="E14" s="489">
        <v>37257</v>
      </c>
      <c r="F14" s="714" t="s">
        <v>419</v>
      </c>
      <c r="G14" s="491">
        <v>140</v>
      </c>
      <c r="H14" s="493"/>
      <c r="I14" s="489">
        <v>37257</v>
      </c>
      <c r="J14" s="714" t="s">
        <v>419</v>
      </c>
      <c r="K14" s="491">
        <v>121</v>
      </c>
      <c r="L14" s="493">
        <v>20</v>
      </c>
      <c r="M14" s="489">
        <v>38359</v>
      </c>
      <c r="N14" s="714" t="s">
        <v>880</v>
      </c>
      <c r="O14" s="491">
        <v>6</v>
      </c>
      <c r="P14" s="769"/>
      <c r="Q14" s="489">
        <v>38726</v>
      </c>
      <c r="R14" s="714" t="s">
        <v>797</v>
      </c>
      <c r="S14" s="491">
        <v>25</v>
      </c>
      <c r="T14" s="493"/>
      <c r="U14" s="489">
        <v>39084</v>
      </c>
      <c r="V14" s="714" t="s">
        <v>881</v>
      </c>
      <c r="W14" s="491">
        <v>6</v>
      </c>
      <c r="X14" s="770"/>
      <c r="Y14" s="489">
        <v>39449</v>
      </c>
      <c r="Z14" s="714" t="s">
        <v>882</v>
      </c>
      <c r="AA14" s="783"/>
      <c r="AB14" s="781">
        <v>5</v>
      </c>
      <c r="AC14" s="489">
        <v>39816</v>
      </c>
      <c r="AD14" s="490" t="s">
        <v>797</v>
      </c>
      <c r="AE14" s="716">
        <v>12</v>
      </c>
      <c r="AF14" s="782"/>
      <c r="AG14" s="489">
        <v>40183</v>
      </c>
      <c r="AH14" s="490" t="s">
        <v>883</v>
      </c>
      <c r="AI14" s="716">
        <v>227</v>
      </c>
      <c r="AJ14" s="782"/>
      <c r="AK14" s="489">
        <v>40549</v>
      </c>
      <c r="AL14" s="490" t="s">
        <v>884</v>
      </c>
      <c r="AM14" s="786">
        <v>700</v>
      </c>
      <c r="AN14" s="787">
        <f t="shared" si="1"/>
        <v>15.909090909090908</v>
      </c>
      <c r="AO14" s="489">
        <v>40911</v>
      </c>
      <c r="AP14" s="490" t="s">
        <v>885</v>
      </c>
      <c r="AQ14" s="718">
        <v>23</v>
      </c>
      <c r="AR14" s="787"/>
      <c r="AS14" s="489">
        <v>41278</v>
      </c>
      <c r="AT14" s="490" t="s">
        <v>886</v>
      </c>
      <c r="AU14" s="718">
        <v>15</v>
      </c>
      <c r="AV14" s="787"/>
      <c r="AW14" s="778">
        <v>41643</v>
      </c>
      <c r="AX14" s="490" t="s">
        <v>887</v>
      </c>
      <c r="AY14" s="718">
        <v>5</v>
      </c>
      <c r="AZ14" s="787"/>
      <c r="BA14" s="778">
        <v>42007</v>
      </c>
      <c r="BB14" s="490" t="s">
        <v>888</v>
      </c>
      <c r="BC14" s="718">
        <v>39</v>
      </c>
      <c r="BD14" s="787"/>
      <c r="BE14" s="778">
        <v>42005</v>
      </c>
      <c r="BF14" s="490" t="s">
        <v>889</v>
      </c>
      <c r="BG14" s="718">
        <v>423</v>
      </c>
      <c r="BH14" s="787"/>
      <c r="BI14" s="489">
        <v>42737</v>
      </c>
      <c r="BJ14" s="490" t="s">
        <v>890</v>
      </c>
      <c r="BK14" s="718">
        <v>5</v>
      </c>
      <c r="BL14" s="787"/>
      <c r="BM14" s="489">
        <v>43107</v>
      </c>
      <c r="BN14" s="490" t="s">
        <v>872</v>
      </c>
      <c r="BO14" s="719">
        <v>43</v>
      </c>
      <c r="BP14" s="493"/>
      <c r="BQ14" s="1017">
        <v>43101</v>
      </c>
      <c r="BR14" s="1019" t="s">
        <v>891</v>
      </c>
      <c r="BS14" s="1065">
        <f>149+BS36+BS37</f>
        <v>219</v>
      </c>
      <c r="BT14" s="1018" t="s">
        <v>244</v>
      </c>
      <c r="BU14" s="1017">
        <v>43466</v>
      </c>
      <c r="BV14" s="1066" t="s">
        <v>892</v>
      </c>
      <c r="BW14" s="1065">
        <v>18</v>
      </c>
      <c r="BX14" s="1018" t="s">
        <v>280</v>
      </c>
      <c r="BY14" s="1017">
        <v>44198</v>
      </c>
      <c r="BZ14" s="1019" t="s">
        <v>893</v>
      </c>
      <c r="CA14" s="1065">
        <v>30</v>
      </c>
      <c r="CB14" s="1018" t="s">
        <v>414</v>
      </c>
      <c r="CC14" s="1017">
        <v>44563</v>
      </c>
      <c r="CD14" s="1019" t="s">
        <v>894</v>
      </c>
      <c r="CE14" s="1065">
        <v>0</v>
      </c>
      <c r="CF14" s="1018" t="s">
        <v>414</v>
      </c>
      <c r="CG14" s="1017">
        <v>44563</v>
      </c>
      <c r="CH14" s="1019" t="s">
        <v>895</v>
      </c>
      <c r="CI14" s="1065">
        <v>60</v>
      </c>
      <c r="CJ14" s="1018" t="s">
        <v>707</v>
      </c>
      <c r="CK14" s="1017">
        <v>45295</v>
      </c>
      <c r="CL14" s="1019" t="s">
        <v>896</v>
      </c>
      <c r="CM14" s="1065">
        <v>58</v>
      </c>
      <c r="CN14" s="1018" t="s">
        <v>414</v>
      </c>
      <c r="CO14" s="1017">
        <v>45661</v>
      </c>
      <c r="CP14" s="1019" t="s">
        <v>897</v>
      </c>
      <c r="CQ14" s="1065">
        <v>0</v>
      </c>
      <c r="CR14" s="1018" t="s">
        <v>280</v>
      </c>
      <c r="CS14" s="1017"/>
      <c r="CT14" s="1019"/>
      <c r="CU14" s="1065"/>
      <c r="CV14" s="1018"/>
    </row>
    <row r="15" spans="1:100" ht="14.1" customHeight="1">
      <c r="E15" s="489">
        <v>37625</v>
      </c>
      <c r="F15" s="714" t="s">
        <v>410</v>
      </c>
      <c r="G15" s="491">
        <v>21</v>
      </c>
      <c r="H15" s="493"/>
      <c r="I15" s="489">
        <v>37987</v>
      </c>
      <c r="J15" s="714" t="s">
        <v>898</v>
      </c>
      <c r="K15" s="491">
        <v>52</v>
      </c>
      <c r="L15" s="493"/>
      <c r="M15" s="489">
        <v>38359</v>
      </c>
      <c r="N15" s="714" t="s">
        <v>899</v>
      </c>
      <c r="O15" s="491">
        <v>4</v>
      </c>
      <c r="P15" s="769"/>
      <c r="Q15" s="489">
        <v>38726</v>
      </c>
      <c r="R15" s="714" t="s">
        <v>900</v>
      </c>
      <c r="S15" s="491">
        <v>3</v>
      </c>
      <c r="T15" s="493"/>
      <c r="U15" s="489">
        <v>39084</v>
      </c>
      <c r="V15" s="714" t="s">
        <v>767</v>
      </c>
      <c r="W15" s="491">
        <v>2</v>
      </c>
      <c r="X15" s="770"/>
      <c r="Y15" s="489">
        <v>39449</v>
      </c>
      <c r="Z15" s="714" t="s">
        <v>765</v>
      </c>
      <c r="AA15" s="783">
        <f>28.03</f>
        <v>28.03</v>
      </c>
      <c r="AB15" s="781">
        <f t="shared" si="0"/>
        <v>11.212</v>
      </c>
      <c r="AC15" s="489">
        <v>39816</v>
      </c>
      <c r="AD15" s="490" t="s">
        <v>901</v>
      </c>
      <c r="AE15" s="716">
        <v>22</v>
      </c>
      <c r="AF15" s="782"/>
      <c r="AG15" s="489">
        <v>40184</v>
      </c>
      <c r="AH15" s="490" t="s">
        <v>902</v>
      </c>
      <c r="AI15" s="716">
        <v>90</v>
      </c>
      <c r="AJ15" s="782"/>
      <c r="AK15" s="489">
        <v>40549</v>
      </c>
      <c r="AL15" s="490" t="s">
        <v>903</v>
      </c>
      <c r="AM15" s="786">
        <v>400</v>
      </c>
      <c r="AN15" s="787">
        <f t="shared" si="1"/>
        <v>9.0909090909090917</v>
      </c>
      <c r="AO15" s="489">
        <v>40911</v>
      </c>
      <c r="AP15" s="490" t="s">
        <v>904</v>
      </c>
      <c r="AQ15" s="718">
        <v>5</v>
      </c>
      <c r="AR15" s="787"/>
      <c r="AS15" s="489">
        <v>41278</v>
      </c>
      <c r="AT15" s="490" t="s">
        <v>787</v>
      </c>
      <c r="AU15" s="718">
        <v>20</v>
      </c>
      <c r="AV15" s="787"/>
      <c r="AW15" s="778">
        <v>41643</v>
      </c>
      <c r="AX15" s="490" t="s">
        <v>905</v>
      </c>
      <c r="AY15" s="718">
        <v>4</v>
      </c>
      <c r="AZ15" s="787"/>
      <c r="BA15" s="778">
        <v>42008</v>
      </c>
      <c r="BB15" s="490" t="s">
        <v>754</v>
      </c>
      <c r="BC15" s="718">
        <v>5</v>
      </c>
      <c r="BD15" s="787"/>
      <c r="BE15" s="778">
        <v>42370</v>
      </c>
      <c r="BF15" s="490" t="s">
        <v>906</v>
      </c>
      <c r="BG15" s="718">
        <v>95</v>
      </c>
      <c r="BH15" s="787"/>
      <c r="BI15" s="489">
        <v>42738</v>
      </c>
      <c r="BJ15" s="490" t="s">
        <v>907</v>
      </c>
      <c r="BK15" s="718">
        <v>50</v>
      </c>
      <c r="BL15" s="787"/>
      <c r="BM15" s="489">
        <v>43107</v>
      </c>
      <c r="BN15" s="490" t="s">
        <v>908</v>
      </c>
      <c r="BO15" s="715">
        <v>33</v>
      </c>
      <c r="BP15" s="787"/>
      <c r="BQ15" s="1017">
        <v>43101</v>
      </c>
      <c r="BR15" s="1019" t="s">
        <v>909</v>
      </c>
      <c r="BS15" s="1065">
        <f xml:space="preserve"> 253 + 78/2 + 43</f>
        <v>335</v>
      </c>
      <c r="BT15" s="1018" t="s">
        <v>244</v>
      </c>
      <c r="BU15" s="1017">
        <v>43466</v>
      </c>
      <c r="BV15" s="1019" t="s">
        <v>910</v>
      </c>
      <c r="BW15" s="1065">
        <v>16</v>
      </c>
      <c r="BX15" s="1018" t="s">
        <v>280</v>
      </c>
      <c r="BY15" s="1017">
        <v>44198</v>
      </c>
      <c r="BZ15" s="1019" t="s">
        <v>911</v>
      </c>
      <c r="CA15" s="1065">
        <v>70</v>
      </c>
      <c r="CB15" s="1018" t="s">
        <v>701</v>
      </c>
      <c r="CC15" s="1017">
        <v>44563</v>
      </c>
      <c r="CD15" s="1019" t="s">
        <v>845</v>
      </c>
      <c r="CE15" s="1065">
        <v>43</v>
      </c>
      <c r="CF15" s="1018" t="s">
        <v>414</v>
      </c>
      <c r="CG15" s="1017">
        <v>44563</v>
      </c>
      <c r="CH15" s="1019" t="s">
        <v>912</v>
      </c>
      <c r="CI15" s="1065">
        <v>150</v>
      </c>
      <c r="CJ15" s="1018" t="s">
        <v>707</v>
      </c>
      <c r="CK15" s="1017">
        <v>45295</v>
      </c>
      <c r="CL15" s="1019" t="s">
        <v>913</v>
      </c>
      <c r="CM15" s="1065">
        <v>20</v>
      </c>
      <c r="CN15" s="1018" t="s">
        <v>414</v>
      </c>
      <c r="CO15" s="1017">
        <v>45661</v>
      </c>
      <c r="CP15" s="1019" t="s">
        <v>914</v>
      </c>
      <c r="CQ15" s="1065">
        <v>15</v>
      </c>
      <c r="CR15" s="1018" t="s">
        <v>700</v>
      </c>
      <c r="CS15" s="1017"/>
      <c r="CT15" s="1019"/>
      <c r="CU15" s="1065"/>
      <c r="CV15" s="1018"/>
    </row>
    <row r="16" spans="1:100" ht="14.1" customHeight="1">
      <c r="E16" s="489">
        <v>37625</v>
      </c>
      <c r="F16" s="714" t="s">
        <v>915</v>
      </c>
      <c r="G16" s="491">
        <v>3</v>
      </c>
      <c r="H16" s="493"/>
      <c r="I16" s="489">
        <v>37987</v>
      </c>
      <c r="J16" s="714" t="s">
        <v>916</v>
      </c>
      <c r="K16" s="491">
        <v>5</v>
      </c>
      <c r="L16" s="493"/>
      <c r="M16" s="489">
        <v>38360</v>
      </c>
      <c r="N16" s="714" t="s">
        <v>917</v>
      </c>
      <c r="O16" s="491">
        <v>10</v>
      </c>
      <c r="P16" s="769"/>
      <c r="Q16" s="489">
        <v>38728</v>
      </c>
      <c r="R16" s="714" t="s">
        <v>918</v>
      </c>
      <c r="S16" s="491">
        <v>0</v>
      </c>
      <c r="T16" s="493"/>
      <c r="U16" s="489">
        <v>39085</v>
      </c>
      <c r="V16" s="714" t="s">
        <v>919</v>
      </c>
      <c r="W16" s="491">
        <v>100</v>
      </c>
      <c r="X16" s="770"/>
      <c r="Y16" s="489">
        <v>39449</v>
      </c>
      <c r="Z16" s="714" t="s">
        <v>920</v>
      </c>
      <c r="AA16" s="783">
        <v>77</v>
      </c>
      <c r="AB16" s="781">
        <f t="shared" si="0"/>
        <v>30.8</v>
      </c>
      <c r="AC16" s="489">
        <v>39816</v>
      </c>
      <c r="AD16" s="490" t="s">
        <v>921</v>
      </c>
      <c r="AE16" s="716">
        <v>84</v>
      </c>
      <c r="AF16" s="782"/>
      <c r="AG16" s="489">
        <v>40184</v>
      </c>
      <c r="AH16" s="490" t="s">
        <v>922</v>
      </c>
      <c r="AI16" s="716">
        <v>6</v>
      </c>
      <c r="AJ16" s="782"/>
      <c r="AK16" s="489">
        <v>40549</v>
      </c>
      <c r="AL16" s="490" t="s">
        <v>923</v>
      </c>
      <c r="AM16" s="786">
        <v>7500</v>
      </c>
      <c r="AN16" s="787">
        <f t="shared" si="1"/>
        <v>170.45454545454547</v>
      </c>
      <c r="AO16" s="489">
        <v>40915</v>
      </c>
      <c r="AP16" s="490" t="s">
        <v>924</v>
      </c>
      <c r="AQ16" s="718">
        <v>16</v>
      </c>
      <c r="AR16" s="787"/>
      <c r="AS16" s="489">
        <v>41278</v>
      </c>
      <c r="AT16" s="490" t="s">
        <v>925</v>
      </c>
      <c r="AU16" s="718">
        <v>5</v>
      </c>
      <c r="AV16" s="787"/>
      <c r="AW16" s="778">
        <v>41643</v>
      </c>
      <c r="AX16" s="490" t="s">
        <v>926</v>
      </c>
      <c r="AY16" s="718">
        <v>38</v>
      </c>
      <c r="AZ16" s="787"/>
      <c r="BA16" s="778">
        <v>42008</v>
      </c>
      <c r="BB16" s="490" t="s">
        <v>772</v>
      </c>
      <c r="BC16" s="718">
        <v>6</v>
      </c>
      <c r="BD16" s="787"/>
      <c r="BE16" s="778">
        <v>42370</v>
      </c>
      <c r="BF16" s="490" t="s">
        <v>927</v>
      </c>
      <c r="BG16" s="718">
        <v>20</v>
      </c>
      <c r="BH16" s="787"/>
      <c r="BI16" s="489">
        <v>42738</v>
      </c>
      <c r="BJ16" s="490" t="s">
        <v>928</v>
      </c>
      <c r="BK16" s="718">
        <v>130</v>
      </c>
      <c r="BL16" s="787"/>
      <c r="BM16" s="489">
        <v>43107</v>
      </c>
      <c r="BN16" s="490" t="s">
        <v>929</v>
      </c>
      <c r="BO16" s="715">
        <v>35</v>
      </c>
      <c r="BP16" s="787"/>
      <c r="BQ16" s="1017">
        <v>43101</v>
      </c>
      <c r="BR16" s="1019" t="s">
        <v>930</v>
      </c>
      <c r="BS16" s="1065">
        <v>56</v>
      </c>
      <c r="BT16" s="1018" t="s">
        <v>244</v>
      </c>
      <c r="BU16" s="1017">
        <v>43834</v>
      </c>
      <c r="BV16" s="1019" t="s">
        <v>845</v>
      </c>
      <c r="BW16" s="1065">
        <v>59</v>
      </c>
      <c r="BX16" s="1018" t="s">
        <v>414</v>
      </c>
      <c r="BY16" s="1017">
        <v>44198</v>
      </c>
      <c r="BZ16" s="1019" t="s">
        <v>872</v>
      </c>
      <c r="CA16" s="1065">
        <v>18</v>
      </c>
      <c r="CB16" s="1018" t="s">
        <v>414</v>
      </c>
      <c r="CC16" s="1017">
        <v>44563</v>
      </c>
      <c r="CD16" s="1019" t="s">
        <v>931</v>
      </c>
      <c r="CE16" s="1065">
        <v>15</v>
      </c>
      <c r="CF16" s="1018" t="s">
        <v>414</v>
      </c>
      <c r="CG16" s="1017">
        <v>44563</v>
      </c>
      <c r="CH16" s="1019" t="s">
        <v>932</v>
      </c>
      <c r="CI16" s="1065">
        <v>469</v>
      </c>
      <c r="CJ16" s="1018" t="s">
        <v>707</v>
      </c>
      <c r="CK16" s="1017">
        <v>45295</v>
      </c>
      <c r="CL16" s="1019" t="s">
        <v>933</v>
      </c>
      <c r="CM16" s="1065">
        <v>20</v>
      </c>
      <c r="CN16" s="1018" t="s">
        <v>414</v>
      </c>
      <c r="CO16" s="1017">
        <v>45661</v>
      </c>
      <c r="CP16" s="1019" t="s">
        <v>934</v>
      </c>
      <c r="CQ16" s="1065">
        <v>0</v>
      </c>
      <c r="CR16" s="1018" t="s">
        <v>700</v>
      </c>
      <c r="CS16" s="1017"/>
      <c r="CT16" s="1019"/>
      <c r="CU16" s="1065"/>
      <c r="CV16" s="1018"/>
    </row>
    <row r="17" spans="5:100" ht="14.1" customHeight="1">
      <c r="E17" s="489">
        <v>37627</v>
      </c>
      <c r="F17" s="714" t="s">
        <v>410</v>
      </c>
      <c r="G17" s="491"/>
      <c r="H17" s="493">
        <v>25</v>
      </c>
      <c r="I17" s="489">
        <v>37987</v>
      </c>
      <c r="J17" s="714" t="s">
        <v>935</v>
      </c>
      <c r="K17" s="491">
        <v>3</v>
      </c>
      <c r="L17" s="493"/>
      <c r="M17" s="489">
        <v>38362</v>
      </c>
      <c r="N17" s="714" t="s">
        <v>936</v>
      </c>
      <c r="O17" s="491">
        <v>7</v>
      </c>
      <c r="P17" s="769"/>
      <c r="Q17" s="489">
        <v>38729</v>
      </c>
      <c r="R17" s="714" t="s">
        <v>937</v>
      </c>
      <c r="S17" s="491">
        <v>10</v>
      </c>
      <c r="T17" s="493"/>
      <c r="U17" s="489">
        <v>39085</v>
      </c>
      <c r="V17" s="714" t="s">
        <v>938</v>
      </c>
      <c r="W17" s="491">
        <v>487</v>
      </c>
      <c r="X17" s="770"/>
      <c r="Y17" s="489">
        <v>39450</v>
      </c>
      <c r="Z17" s="714" t="s">
        <v>939</v>
      </c>
      <c r="AA17" s="783">
        <v>179.34</v>
      </c>
      <c r="AB17" s="781">
        <f t="shared" si="0"/>
        <v>71.736000000000004</v>
      </c>
      <c r="AC17" s="489">
        <v>39817</v>
      </c>
      <c r="AD17" s="490" t="s">
        <v>940</v>
      </c>
      <c r="AE17" s="716">
        <v>20</v>
      </c>
      <c r="AF17" s="782"/>
      <c r="AG17" s="489">
        <v>40184</v>
      </c>
      <c r="AH17" s="490" t="s">
        <v>941</v>
      </c>
      <c r="AI17" s="716">
        <v>223</v>
      </c>
      <c r="AJ17" s="782"/>
      <c r="AK17" s="489">
        <v>40549</v>
      </c>
      <c r="AL17" s="490" t="s">
        <v>942</v>
      </c>
      <c r="AM17" s="786">
        <v>800</v>
      </c>
      <c r="AN17" s="787">
        <f t="shared" si="1"/>
        <v>18.181818181818183</v>
      </c>
      <c r="AO17" s="489">
        <v>40915</v>
      </c>
      <c r="AP17" s="490" t="s">
        <v>754</v>
      </c>
      <c r="AQ17" s="718">
        <v>130</v>
      </c>
      <c r="AR17" s="787"/>
      <c r="AS17" s="489">
        <v>41279</v>
      </c>
      <c r="AT17" s="490" t="s">
        <v>943</v>
      </c>
      <c r="AU17" s="718">
        <v>21</v>
      </c>
      <c r="AV17" s="787"/>
      <c r="AW17" s="778">
        <v>41643</v>
      </c>
      <c r="AX17" s="490" t="s">
        <v>944</v>
      </c>
      <c r="AY17" s="718">
        <v>7</v>
      </c>
      <c r="AZ17" s="787"/>
      <c r="BA17" s="778">
        <v>42008</v>
      </c>
      <c r="BB17" s="490" t="s">
        <v>754</v>
      </c>
      <c r="BC17" s="718">
        <v>20</v>
      </c>
      <c r="BD17" s="787"/>
      <c r="BE17" s="778">
        <v>42371</v>
      </c>
      <c r="BF17" s="490" t="s">
        <v>754</v>
      </c>
      <c r="BG17" s="718">
        <v>64</v>
      </c>
      <c r="BH17" s="787"/>
      <c r="BI17" s="489">
        <v>42738</v>
      </c>
      <c r="BJ17" s="490" t="s">
        <v>945</v>
      </c>
      <c r="BK17" s="718">
        <v>10</v>
      </c>
      <c r="BL17" s="787"/>
      <c r="BM17" s="489">
        <v>43107</v>
      </c>
      <c r="BN17" s="490" t="s">
        <v>946</v>
      </c>
      <c r="BO17" s="715">
        <v>44</v>
      </c>
      <c r="BP17" s="787"/>
      <c r="BQ17" s="1017">
        <v>43101</v>
      </c>
      <c r="BR17" s="1019" t="s">
        <v>947</v>
      </c>
      <c r="BS17" s="1065">
        <v>0</v>
      </c>
      <c r="BT17" s="1018" t="s">
        <v>381</v>
      </c>
      <c r="BU17" s="1017">
        <v>43834</v>
      </c>
      <c r="BV17" s="1019" t="s">
        <v>948</v>
      </c>
      <c r="BW17" s="1065">
        <v>35</v>
      </c>
      <c r="BX17" s="1018" t="s">
        <v>414</v>
      </c>
      <c r="BY17" s="1017">
        <v>44198</v>
      </c>
      <c r="BZ17" s="1019" t="s">
        <v>949</v>
      </c>
      <c r="CA17" s="1065">
        <v>10</v>
      </c>
      <c r="CB17" s="1018" t="s">
        <v>414</v>
      </c>
      <c r="CC17" s="1017">
        <v>44563</v>
      </c>
      <c r="CD17" s="1019" t="s">
        <v>950</v>
      </c>
      <c r="CE17" s="1065">
        <v>36</v>
      </c>
      <c r="CF17" s="1018" t="s">
        <v>414</v>
      </c>
      <c r="CG17" s="1017">
        <v>44928</v>
      </c>
      <c r="CH17" s="1019" t="s">
        <v>951</v>
      </c>
      <c r="CI17" s="1065">
        <v>65</v>
      </c>
      <c r="CJ17" s="1018" t="s">
        <v>278</v>
      </c>
      <c r="CK17" s="1017">
        <v>45295</v>
      </c>
      <c r="CL17" s="1019" t="s">
        <v>952</v>
      </c>
      <c r="CM17" s="1065">
        <v>3</v>
      </c>
      <c r="CN17" s="1018" t="s">
        <v>414</v>
      </c>
      <c r="CO17" s="1017">
        <v>45661</v>
      </c>
      <c r="CP17" s="1019" t="s">
        <v>953</v>
      </c>
      <c r="CQ17" s="1065">
        <v>0</v>
      </c>
      <c r="CR17" s="1018" t="s">
        <v>700</v>
      </c>
      <c r="CS17" s="1017"/>
      <c r="CT17" s="1019"/>
      <c r="CU17" s="1065"/>
      <c r="CV17" s="1018"/>
    </row>
    <row r="18" spans="5:100" ht="14.1" customHeight="1">
      <c r="E18" s="489">
        <v>37630</v>
      </c>
      <c r="F18" s="714" t="s">
        <v>954</v>
      </c>
      <c r="G18" s="491">
        <v>47</v>
      </c>
      <c r="H18" s="493"/>
      <c r="I18" s="489">
        <v>37987</v>
      </c>
      <c r="J18" s="714" t="s">
        <v>955</v>
      </c>
      <c r="K18" s="491">
        <v>2</v>
      </c>
      <c r="L18" s="493"/>
      <c r="M18" s="489">
        <v>38362</v>
      </c>
      <c r="N18" s="714" t="s">
        <v>956</v>
      </c>
      <c r="O18" s="491">
        <v>2</v>
      </c>
      <c r="P18" s="769"/>
      <c r="Q18" s="489">
        <v>38729</v>
      </c>
      <c r="R18" s="714" t="s">
        <v>957</v>
      </c>
      <c r="S18" s="491">
        <v>23</v>
      </c>
      <c r="T18" s="493"/>
      <c r="U18" s="489">
        <v>39086</v>
      </c>
      <c r="V18" s="714" t="s">
        <v>958</v>
      </c>
      <c r="W18" s="491">
        <v>40</v>
      </c>
      <c r="X18" s="770"/>
      <c r="Y18" s="489">
        <v>39450</v>
      </c>
      <c r="Z18" s="714" t="s">
        <v>959</v>
      </c>
      <c r="AA18" s="783">
        <v>41.88</v>
      </c>
      <c r="AB18" s="781">
        <f t="shared" si="0"/>
        <v>16.752000000000002</v>
      </c>
      <c r="AC18" s="489">
        <v>39817</v>
      </c>
      <c r="AD18" s="490" t="s">
        <v>960</v>
      </c>
      <c r="AE18" s="716">
        <v>14</v>
      </c>
      <c r="AF18" s="782"/>
      <c r="AG18" s="489">
        <v>40184</v>
      </c>
      <c r="AH18" s="490" t="s">
        <v>797</v>
      </c>
      <c r="AI18" s="716">
        <v>38</v>
      </c>
      <c r="AJ18" s="782"/>
      <c r="AK18" s="489">
        <v>40550</v>
      </c>
      <c r="AL18" s="490" t="s">
        <v>961</v>
      </c>
      <c r="AM18" s="786">
        <v>150</v>
      </c>
      <c r="AN18" s="787">
        <f t="shared" si="1"/>
        <v>3.4090909090909092</v>
      </c>
      <c r="AO18" s="489">
        <v>40915</v>
      </c>
      <c r="AP18" s="490" t="s">
        <v>962</v>
      </c>
      <c r="AQ18" s="718">
        <v>10</v>
      </c>
      <c r="AR18" s="787"/>
      <c r="AS18" s="489">
        <v>41279</v>
      </c>
      <c r="AT18" s="490" t="s">
        <v>754</v>
      </c>
      <c r="AU18" s="718">
        <v>65</v>
      </c>
      <c r="AV18" s="787"/>
      <c r="AW18" s="778">
        <v>41643</v>
      </c>
      <c r="AX18" s="490" t="s">
        <v>963</v>
      </c>
      <c r="AY18" s="718">
        <v>5</v>
      </c>
      <c r="AZ18" s="787"/>
      <c r="BA18" s="778">
        <v>42008</v>
      </c>
      <c r="BB18" s="490" t="s">
        <v>797</v>
      </c>
      <c r="BC18" s="718">
        <v>39</v>
      </c>
      <c r="BD18" s="787"/>
      <c r="BE18" s="778">
        <v>42371</v>
      </c>
      <c r="BF18" s="490" t="s">
        <v>954</v>
      </c>
      <c r="BG18" s="718">
        <v>29</v>
      </c>
      <c r="BH18" s="787"/>
      <c r="BI18" s="778">
        <v>42741</v>
      </c>
      <c r="BJ18" s="490" t="s">
        <v>964</v>
      </c>
      <c r="BK18" s="718">
        <v>21</v>
      </c>
      <c r="BL18" s="787"/>
      <c r="BM18" s="489">
        <v>43107</v>
      </c>
      <c r="BN18" s="490" t="s">
        <v>965</v>
      </c>
      <c r="BO18" s="715">
        <v>14</v>
      </c>
      <c r="BP18" s="787"/>
      <c r="BQ18" s="1017">
        <v>43101</v>
      </c>
      <c r="BR18" s="1019" t="s">
        <v>966</v>
      </c>
      <c r="BS18" s="1065">
        <v>45</v>
      </c>
      <c r="BT18" s="1018" t="s">
        <v>278</v>
      </c>
      <c r="BU18" s="1017">
        <v>43834</v>
      </c>
      <c r="BV18" s="1019" t="s">
        <v>828</v>
      </c>
      <c r="BW18" s="1065">
        <v>35</v>
      </c>
      <c r="BX18" s="1018" t="s">
        <v>414</v>
      </c>
      <c r="BY18" s="1017">
        <v>44198</v>
      </c>
      <c r="BZ18" s="1019" t="s">
        <v>967</v>
      </c>
      <c r="CA18" s="1065">
        <v>0</v>
      </c>
      <c r="CB18" s="1018" t="s">
        <v>701</v>
      </c>
      <c r="CC18" s="1017">
        <v>44563</v>
      </c>
      <c r="CD18" s="1019" t="s">
        <v>968</v>
      </c>
      <c r="CE18" s="1065">
        <v>2</v>
      </c>
      <c r="CF18" s="1018" t="s">
        <v>414</v>
      </c>
      <c r="CG18" s="1017">
        <v>44928</v>
      </c>
      <c r="CH18" s="1019" t="s">
        <v>969</v>
      </c>
      <c r="CI18" s="1065">
        <v>40</v>
      </c>
      <c r="CJ18" s="1018" t="s">
        <v>278</v>
      </c>
      <c r="CK18" s="1017">
        <v>45295</v>
      </c>
      <c r="CL18" s="1019" t="s">
        <v>970</v>
      </c>
      <c r="CM18" s="1065">
        <v>9</v>
      </c>
      <c r="CN18" s="1018" t="s">
        <v>414</v>
      </c>
      <c r="CO18" s="1017">
        <v>45661</v>
      </c>
      <c r="CP18" s="1019" t="s">
        <v>971</v>
      </c>
      <c r="CQ18" s="1065">
        <v>63</v>
      </c>
      <c r="CR18" s="1018" t="s">
        <v>414</v>
      </c>
      <c r="CS18" s="1017"/>
      <c r="CT18" s="1019"/>
      <c r="CU18" s="1065"/>
      <c r="CV18" s="1018"/>
    </row>
    <row r="19" spans="5:100" ht="14.1" customHeight="1">
      <c r="E19" s="489">
        <v>37630</v>
      </c>
      <c r="F19" s="714" t="s">
        <v>972</v>
      </c>
      <c r="G19" s="491">
        <v>12</v>
      </c>
      <c r="H19" s="493"/>
      <c r="I19" s="489">
        <v>37988</v>
      </c>
      <c r="J19" s="714" t="s">
        <v>802</v>
      </c>
      <c r="K19" s="491">
        <v>22</v>
      </c>
      <c r="L19" s="493"/>
      <c r="M19" s="489">
        <v>38363</v>
      </c>
      <c r="N19" s="714" t="s">
        <v>802</v>
      </c>
      <c r="O19" s="491">
        <v>25</v>
      </c>
      <c r="P19" s="769"/>
      <c r="Q19" s="489">
        <v>38729</v>
      </c>
      <c r="R19" s="714" t="s">
        <v>973</v>
      </c>
      <c r="S19" s="491">
        <v>20</v>
      </c>
      <c r="T19" s="493"/>
      <c r="U19" s="489">
        <v>39086</v>
      </c>
      <c r="V19" s="714" t="s">
        <v>974</v>
      </c>
      <c r="W19" s="491">
        <v>10</v>
      </c>
      <c r="X19" s="770"/>
      <c r="Y19" s="489">
        <v>39450</v>
      </c>
      <c r="Z19" s="714" t="s">
        <v>975</v>
      </c>
      <c r="AA19" s="783">
        <v>100</v>
      </c>
      <c r="AB19" s="781">
        <f t="shared" si="0"/>
        <v>40</v>
      </c>
      <c r="AC19" s="489">
        <v>39818</v>
      </c>
      <c r="AD19" s="490" t="s">
        <v>976</v>
      </c>
      <c r="AE19" s="716">
        <v>23</v>
      </c>
      <c r="AF19" s="782"/>
      <c r="AG19" s="489">
        <v>40184</v>
      </c>
      <c r="AH19" s="490" t="s">
        <v>977</v>
      </c>
      <c r="AI19" s="716">
        <v>21</v>
      </c>
      <c r="AJ19" s="782"/>
      <c r="AK19" s="489">
        <v>40550</v>
      </c>
      <c r="AL19" s="490" t="s">
        <v>978</v>
      </c>
      <c r="AM19" s="786">
        <v>16</v>
      </c>
      <c r="AN19" s="787">
        <f t="shared" si="1"/>
        <v>0.36363636363636365</v>
      </c>
      <c r="AO19" s="489">
        <v>40916</v>
      </c>
      <c r="AP19" s="490" t="s">
        <v>781</v>
      </c>
      <c r="AQ19" s="718">
        <v>33</v>
      </c>
      <c r="AR19" s="787"/>
      <c r="AS19" s="489">
        <v>41279</v>
      </c>
      <c r="AT19" s="490" t="s">
        <v>979</v>
      </c>
      <c r="AU19" s="718">
        <v>22</v>
      </c>
      <c r="AV19" s="787"/>
      <c r="AW19" s="778">
        <v>41643</v>
      </c>
      <c r="AX19" s="490" t="s">
        <v>979</v>
      </c>
      <c r="AY19" s="718">
        <v>47</v>
      </c>
      <c r="AZ19" s="787"/>
      <c r="BA19" s="778">
        <v>42012</v>
      </c>
      <c r="BB19" s="490" t="s">
        <v>980</v>
      </c>
      <c r="BC19" s="718">
        <v>399</v>
      </c>
      <c r="BD19" s="787"/>
      <c r="BE19" s="778">
        <v>42371</v>
      </c>
      <c r="BF19" s="490" t="s">
        <v>981</v>
      </c>
      <c r="BG19" s="718">
        <v>41</v>
      </c>
      <c r="BH19" s="787"/>
      <c r="BI19" s="778">
        <v>42742</v>
      </c>
      <c r="BJ19" s="490" t="s">
        <v>797</v>
      </c>
      <c r="BK19" s="718">
        <v>30</v>
      </c>
      <c r="BL19" s="787"/>
      <c r="BM19" s="489">
        <v>43107</v>
      </c>
      <c r="BN19" s="490" t="s">
        <v>982</v>
      </c>
      <c r="BO19" s="715">
        <v>38</v>
      </c>
      <c r="BP19" s="787"/>
      <c r="BQ19" s="1017">
        <v>43101</v>
      </c>
      <c r="BR19" s="1019" t="s">
        <v>983</v>
      </c>
      <c r="BS19" s="1065">
        <v>120</v>
      </c>
      <c r="BT19" s="1018" t="s">
        <v>278</v>
      </c>
      <c r="BU19" s="1017">
        <v>43834</v>
      </c>
      <c r="BV19" s="1019" t="s">
        <v>772</v>
      </c>
      <c r="BW19" s="1065">
        <v>15</v>
      </c>
      <c r="BX19" s="1018" t="s">
        <v>414</v>
      </c>
      <c r="BY19" s="1017">
        <v>44199</v>
      </c>
      <c r="BZ19" s="1019" t="s">
        <v>984</v>
      </c>
      <c r="CA19" s="1065">
        <v>17</v>
      </c>
      <c r="CB19" s="1018" t="s">
        <v>280</v>
      </c>
      <c r="CC19" s="1017">
        <v>44563</v>
      </c>
      <c r="CD19" s="1019" t="s">
        <v>985</v>
      </c>
      <c r="CE19" s="1065">
        <v>8</v>
      </c>
      <c r="CF19" s="1018" t="s">
        <v>414</v>
      </c>
      <c r="CG19" s="1017">
        <v>44929</v>
      </c>
      <c r="CH19" s="1019" t="s">
        <v>986</v>
      </c>
      <c r="CI19" s="1065">
        <v>100</v>
      </c>
      <c r="CJ19" s="1018" t="s">
        <v>278</v>
      </c>
      <c r="CK19" s="1017">
        <v>45295</v>
      </c>
      <c r="CL19" s="1019" t="s">
        <v>987</v>
      </c>
      <c r="CM19" s="1065">
        <v>16</v>
      </c>
      <c r="CN19" s="1018" t="s">
        <v>414</v>
      </c>
      <c r="CO19" s="1017">
        <v>45661</v>
      </c>
      <c r="CP19" s="1019" t="s">
        <v>843</v>
      </c>
      <c r="CQ19" s="1065">
        <v>55</v>
      </c>
      <c r="CR19" s="1018" t="s">
        <v>414</v>
      </c>
      <c r="CS19" s="1017"/>
      <c r="CT19" s="1019"/>
      <c r="CU19" s="1065"/>
      <c r="CV19" s="1018"/>
    </row>
    <row r="20" spans="5:100" ht="14.1" customHeight="1">
      <c r="E20" s="489">
        <v>37630</v>
      </c>
      <c r="F20" s="714" t="s">
        <v>988</v>
      </c>
      <c r="G20" s="491"/>
      <c r="H20" s="493">
        <v>110</v>
      </c>
      <c r="I20" s="489">
        <v>37988</v>
      </c>
      <c r="J20" s="714" t="s">
        <v>989</v>
      </c>
      <c r="K20" s="491">
        <v>12</v>
      </c>
      <c r="L20" s="493"/>
      <c r="M20" s="489">
        <v>38365</v>
      </c>
      <c r="N20" s="714" t="s">
        <v>990</v>
      </c>
      <c r="O20" s="491">
        <v>43</v>
      </c>
      <c r="P20" s="769"/>
      <c r="Q20" s="489">
        <v>38729</v>
      </c>
      <c r="R20" s="714" t="s">
        <v>991</v>
      </c>
      <c r="S20" s="491">
        <v>24</v>
      </c>
      <c r="T20" s="493"/>
      <c r="U20" s="489">
        <v>39087</v>
      </c>
      <c r="V20" s="714" t="s">
        <v>992</v>
      </c>
      <c r="W20" s="491">
        <f t="shared" ref="W20:W63" si="2">X20/43</f>
        <v>0.93023255813953487</v>
      </c>
      <c r="X20" s="788">
        <v>40</v>
      </c>
      <c r="Y20" s="489">
        <v>39450</v>
      </c>
      <c r="Z20" s="714" t="s">
        <v>765</v>
      </c>
      <c r="AA20" s="789">
        <v>18.54</v>
      </c>
      <c r="AB20" s="781">
        <f t="shared" si="0"/>
        <v>7.4159999999999995</v>
      </c>
      <c r="AC20" s="489">
        <v>39819</v>
      </c>
      <c r="AD20" s="490" t="s">
        <v>993</v>
      </c>
      <c r="AE20" s="713">
        <v>70</v>
      </c>
      <c r="AF20" s="782"/>
      <c r="AG20" s="489">
        <v>40184</v>
      </c>
      <c r="AH20" s="490" t="s">
        <v>994</v>
      </c>
      <c r="AI20" s="716">
        <v>14</v>
      </c>
      <c r="AJ20" s="782"/>
      <c r="AK20" s="489">
        <v>40550</v>
      </c>
      <c r="AL20" s="490" t="s">
        <v>868</v>
      </c>
      <c r="AM20" s="786">
        <v>16</v>
      </c>
      <c r="AN20" s="787">
        <f t="shared" si="1"/>
        <v>0.36363636363636365</v>
      </c>
      <c r="AO20" s="489">
        <v>40917</v>
      </c>
      <c r="AP20" s="490" t="s">
        <v>995</v>
      </c>
      <c r="AQ20" s="718">
        <v>12</v>
      </c>
      <c r="AR20" s="787"/>
      <c r="AS20" s="489">
        <v>41281</v>
      </c>
      <c r="AT20" s="490" t="s">
        <v>754</v>
      </c>
      <c r="AU20" s="718">
        <v>26</v>
      </c>
      <c r="AV20" s="787"/>
      <c r="AW20" s="778">
        <v>41643</v>
      </c>
      <c r="AX20" s="490" t="s">
        <v>996</v>
      </c>
      <c r="AY20" s="718">
        <v>70</v>
      </c>
      <c r="AZ20" s="787"/>
      <c r="BA20" s="778">
        <v>42012</v>
      </c>
      <c r="BB20" s="490" t="s">
        <v>997</v>
      </c>
      <c r="BC20" s="718">
        <v>22</v>
      </c>
      <c r="BD20" s="787"/>
      <c r="BE20" s="778">
        <v>42371</v>
      </c>
      <c r="BF20" s="490" t="s">
        <v>998</v>
      </c>
      <c r="BG20" s="718">
        <v>31</v>
      </c>
      <c r="BH20" s="787"/>
      <c r="BI20" s="778">
        <v>42742</v>
      </c>
      <c r="BJ20" s="490" t="s">
        <v>872</v>
      </c>
      <c r="BK20" s="718">
        <v>13</v>
      </c>
      <c r="BL20" s="787"/>
      <c r="BM20" s="778">
        <v>43108</v>
      </c>
      <c r="BN20" s="490" t="s">
        <v>999</v>
      </c>
      <c r="BO20" s="715">
        <v>34</v>
      </c>
      <c r="BP20" s="787"/>
      <c r="BQ20" s="1017">
        <v>43101</v>
      </c>
      <c r="BR20" s="1019" t="s">
        <v>1000</v>
      </c>
      <c r="BS20" s="1065">
        <v>15</v>
      </c>
      <c r="BT20" s="1018" t="s">
        <v>278</v>
      </c>
      <c r="BU20" s="1017">
        <v>43834</v>
      </c>
      <c r="BV20" s="1019" t="s">
        <v>1001</v>
      </c>
      <c r="BW20" s="1065">
        <v>6</v>
      </c>
      <c r="BX20" s="1018" t="s">
        <v>414</v>
      </c>
      <c r="BY20" s="1017">
        <v>44201</v>
      </c>
      <c r="BZ20" s="1035" t="s">
        <v>1002</v>
      </c>
      <c r="CA20" s="1065">
        <v>0</v>
      </c>
      <c r="CB20" s="1018" t="s">
        <v>414</v>
      </c>
      <c r="CC20" s="1017">
        <v>44563</v>
      </c>
      <c r="CD20" s="1019" t="s">
        <v>1003</v>
      </c>
      <c r="CE20" s="1065">
        <v>17</v>
      </c>
      <c r="CF20" s="1018" t="s">
        <v>414</v>
      </c>
      <c r="CG20" s="1017">
        <v>44929</v>
      </c>
      <c r="CH20" s="1019" t="s">
        <v>1004</v>
      </c>
      <c r="CI20" s="1063">
        <v>129</v>
      </c>
      <c r="CJ20" s="1018" t="s">
        <v>278</v>
      </c>
      <c r="CK20" s="1017">
        <v>45295</v>
      </c>
      <c r="CL20" s="1019" t="s">
        <v>1005</v>
      </c>
      <c r="CM20" s="1063">
        <v>9</v>
      </c>
      <c r="CN20" s="1018" t="s">
        <v>414</v>
      </c>
      <c r="CO20" s="1017">
        <v>45661</v>
      </c>
      <c r="CP20" s="1019" t="s">
        <v>1006</v>
      </c>
      <c r="CQ20" s="1063">
        <v>150</v>
      </c>
      <c r="CR20" s="1018" t="s">
        <v>700</v>
      </c>
      <c r="CS20" s="1017"/>
      <c r="CT20" s="1019"/>
      <c r="CU20" s="1063"/>
      <c r="CV20" s="1018"/>
    </row>
    <row r="21" spans="5:100" ht="14.1" customHeight="1">
      <c r="E21" s="489">
        <v>37630</v>
      </c>
      <c r="F21" s="714" t="s">
        <v>286</v>
      </c>
      <c r="G21" s="491">
        <v>500</v>
      </c>
      <c r="H21" s="493">
        <v>400</v>
      </c>
      <c r="I21" s="489">
        <v>37988</v>
      </c>
      <c r="J21" s="714" t="s">
        <v>1007</v>
      </c>
      <c r="K21" s="491">
        <v>50</v>
      </c>
      <c r="L21" s="493"/>
      <c r="M21" s="489">
        <v>38365</v>
      </c>
      <c r="N21" s="714" t="s">
        <v>1008</v>
      </c>
      <c r="O21" s="491">
        <v>10</v>
      </c>
      <c r="P21" s="769"/>
      <c r="Q21" s="489">
        <v>38731</v>
      </c>
      <c r="R21" s="714" t="s">
        <v>1009</v>
      </c>
      <c r="S21" s="491">
        <v>26</v>
      </c>
      <c r="T21" s="493"/>
      <c r="U21" s="489">
        <v>39088</v>
      </c>
      <c r="V21" s="714" t="s">
        <v>1010</v>
      </c>
      <c r="W21" s="491">
        <f t="shared" si="2"/>
        <v>41.162790697674417</v>
      </c>
      <c r="X21" s="788">
        <v>1770</v>
      </c>
      <c r="Y21" s="489">
        <v>39451</v>
      </c>
      <c r="Z21" s="714" t="s">
        <v>1011</v>
      </c>
      <c r="AA21" s="789">
        <v>83</v>
      </c>
      <c r="AB21" s="781">
        <f t="shared" si="0"/>
        <v>33.200000000000003</v>
      </c>
      <c r="AC21" s="489">
        <v>39820</v>
      </c>
      <c r="AD21" s="490" t="s">
        <v>802</v>
      </c>
      <c r="AE21" s="713">
        <v>20</v>
      </c>
      <c r="AF21" s="782"/>
      <c r="AG21" s="489">
        <v>40184</v>
      </c>
      <c r="AH21" s="490" t="s">
        <v>1012</v>
      </c>
      <c r="AI21" s="716">
        <v>25</v>
      </c>
      <c r="AJ21" s="782"/>
      <c r="AK21" s="489">
        <v>40550</v>
      </c>
      <c r="AL21" s="490" t="s">
        <v>1013</v>
      </c>
      <c r="AM21" s="786">
        <v>600</v>
      </c>
      <c r="AN21" s="787">
        <f t="shared" si="1"/>
        <v>13.636363636363637</v>
      </c>
      <c r="AO21" s="489">
        <v>40918</v>
      </c>
      <c r="AP21" s="490" t="s">
        <v>797</v>
      </c>
      <c r="AQ21" s="718">
        <v>56</v>
      </c>
      <c r="AR21" s="787"/>
      <c r="AS21" s="489">
        <v>41281</v>
      </c>
      <c r="AT21" s="490" t="s">
        <v>1014</v>
      </c>
      <c r="AU21" s="718">
        <v>4</v>
      </c>
      <c r="AV21" s="787"/>
      <c r="AW21" s="778">
        <v>41643</v>
      </c>
      <c r="AX21" s="490" t="s">
        <v>754</v>
      </c>
      <c r="AY21" s="718">
        <v>97</v>
      </c>
      <c r="AZ21" s="787"/>
      <c r="BA21" s="778">
        <v>42012</v>
      </c>
      <c r="BB21" s="490" t="s">
        <v>1015</v>
      </c>
      <c r="BC21" s="718">
        <v>171</v>
      </c>
      <c r="BD21" s="787"/>
      <c r="BE21" s="778">
        <v>42372</v>
      </c>
      <c r="BF21" s="490" t="s">
        <v>1016</v>
      </c>
      <c r="BG21" s="718">
        <v>10</v>
      </c>
      <c r="BH21" s="787"/>
      <c r="BI21" s="778">
        <v>42742</v>
      </c>
      <c r="BJ21" s="490" t="s">
        <v>859</v>
      </c>
      <c r="BK21" s="718">
        <v>23</v>
      </c>
      <c r="BL21" s="787"/>
      <c r="BM21" s="778">
        <v>43108</v>
      </c>
      <c r="BN21" s="490" t="s">
        <v>1017</v>
      </c>
      <c r="BO21" s="715">
        <v>110</v>
      </c>
      <c r="BP21" s="787"/>
      <c r="BQ21" s="1017">
        <v>43101</v>
      </c>
      <c r="BR21" s="1019" t="s">
        <v>1018</v>
      </c>
      <c r="BS21" s="1063">
        <v>16</v>
      </c>
      <c r="BT21" s="1018" t="s">
        <v>278</v>
      </c>
      <c r="BU21" s="1017">
        <v>43838</v>
      </c>
      <c r="BV21" s="1019" t="s">
        <v>1019</v>
      </c>
      <c r="BW21" s="1065">
        <v>26</v>
      </c>
      <c r="BX21" s="1018" t="s">
        <v>458</v>
      </c>
      <c r="BY21" s="1017">
        <v>44201</v>
      </c>
      <c r="BZ21" s="1019" t="s">
        <v>1020</v>
      </c>
      <c r="CA21" s="1065">
        <v>12</v>
      </c>
      <c r="CB21" s="1018" t="s">
        <v>414</v>
      </c>
      <c r="CC21" s="1017">
        <v>44563</v>
      </c>
      <c r="CD21" s="1019" t="s">
        <v>1021</v>
      </c>
      <c r="CE21" s="1065">
        <v>16</v>
      </c>
      <c r="CF21" s="1018" t="s">
        <v>414</v>
      </c>
      <c r="CG21" s="1017">
        <v>44929</v>
      </c>
      <c r="CH21" s="1019" t="s">
        <v>1022</v>
      </c>
      <c r="CI21" s="1063">
        <v>7</v>
      </c>
      <c r="CJ21" s="1018" t="s">
        <v>381</v>
      </c>
      <c r="CK21" s="1017">
        <v>45295</v>
      </c>
      <c r="CL21" s="1019" t="s">
        <v>1023</v>
      </c>
      <c r="CM21" s="1063">
        <v>13</v>
      </c>
      <c r="CN21" s="1018" t="s">
        <v>414</v>
      </c>
      <c r="CO21" s="1017">
        <v>45660</v>
      </c>
      <c r="CP21" s="1019" t="s">
        <v>1024</v>
      </c>
      <c r="CQ21" s="1063">
        <v>15</v>
      </c>
      <c r="CR21" s="1018" t="s">
        <v>278</v>
      </c>
      <c r="CS21" s="1017"/>
      <c r="CT21" s="1019"/>
      <c r="CU21" s="1063"/>
      <c r="CV21" s="1018"/>
    </row>
    <row r="22" spans="5:100" ht="14.1" customHeight="1">
      <c r="E22" s="489">
        <v>37631</v>
      </c>
      <c r="F22" s="714" t="s">
        <v>410</v>
      </c>
      <c r="G22" s="491"/>
      <c r="H22" s="493">
        <v>19</v>
      </c>
      <c r="I22" s="489">
        <v>37988</v>
      </c>
      <c r="J22" s="714" t="s">
        <v>1025</v>
      </c>
      <c r="K22" s="491">
        <v>10</v>
      </c>
      <c r="L22" s="493"/>
      <c r="M22" s="489">
        <v>38366</v>
      </c>
      <c r="N22" s="714" t="s">
        <v>797</v>
      </c>
      <c r="O22" s="491">
        <v>27</v>
      </c>
      <c r="P22" s="769"/>
      <c r="Q22" s="489">
        <v>38731</v>
      </c>
      <c r="R22" s="714" t="s">
        <v>937</v>
      </c>
      <c r="S22" s="491">
        <v>35</v>
      </c>
      <c r="T22" s="493"/>
      <c r="U22" s="489">
        <v>39088</v>
      </c>
      <c r="V22" s="714" t="s">
        <v>1026</v>
      </c>
      <c r="W22" s="491">
        <f t="shared" si="2"/>
        <v>2.3255813953488373</v>
      </c>
      <c r="X22" s="788">
        <v>100</v>
      </c>
      <c r="Y22" s="489">
        <v>39451</v>
      </c>
      <c r="Z22" s="714" t="s">
        <v>1027</v>
      </c>
      <c r="AA22" s="789">
        <v>5</v>
      </c>
      <c r="AB22" s="781">
        <f t="shared" si="0"/>
        <v>2</v>
      </c>
      <c r="AC22" s="489">
        <v>39820</v>
      </c>
      <c r="AD22" s="490" t="s">
        <v>900</v>
      </c>
      <c r="AE22" s="713">
        <v>5</v>
      </c>
      <c r="AF22" s="782"/>
      <c r="AG22" s="489">
        <v>40187</v>
      </c>
      <c r="AH22" s="490" t="s">
        <v>1028</v>
      </c>
      <c r="AI22" s="716">
        <v>975</v>
      </c>
      <c r="AJ22" s="782"/>
      <c r="AK22" s="489">
        <v>40551</v>
      </c>
      <c r="AL22" s="490" t="s">
        <v>1029</v>
      </c>
      <c r="AM22" s="786">
        <v>2880</v>
      </c>
      <c r="AN22" s="787">
        <f t="shared" si="1"/>
        <v>65.454545454545453</v>
      </c>
      <c r="AO22" s="489">
        <v>40919</v>
      </c>
      <c r="AP22" s="490" t="s">
        <v>1030</v>
      </c>
      <c r="AQ22" s="718">
        <v>16</v>
      </c>
      <c r="AR22" s="787"/>
      <c r="AS22" s="489">
        <v>41281</v>
      </c>
      <c r="AT22" s="490" t="s">
        <v>772</v>
      </c>
      <c r="AU22" s="718">
        <v>37</v>
      </c>
      <c r="AV22" s="787"/>
      <c r="AW22" s="778">
        <v>41643</v>
      </c>
      <c r="AX22" s="490" t="s">
        <v>772</v>
      </c>
      <c r="AY22" s="718">
        <v>29</v>
      </c>
      <c r="AZ22" s="787"/>
      <c r="BA22" s="778">
        <v>42013</v>
      </c>
      <c r="BB22" s="490" t="s">
        <v>1031</v>
      </c>
      <c r="BC22" s="718">
        <v>100</v>
      </c>
      <c r="BD22" s="787"/>
      <c r="BE22" s="778">
        <v>42373</v>
      </c>
      <c r="BF22" s="490" t="s">
        <v>1032</v>
      </c>
      <c r="BG22" s="718">
        <v>10</v>
      </c>
      <c r="BH22" s="787"/>
      <c r="BI22" s="778">
        <v>42742</v>
      </c>
      <c r="BJ22" s="490" t="s">
        <v>823</v>
      </c>
      <c r="BK22" s="718">
        <v>27</v>
      </c>
      <c r="BL22" s="787"/>
      <c r="BM22" s="778">
        <v>43108</v>
      </c>
      <c r="BN22" s="490" t="s">
        <v>1033</v>
      </c>
      <c r="BO22" s="715">
        <v>1</v>
      </c>
      <c r="BP22" s="787"/>
      <c r="BQ22" s="1017">
        <v>43467</v>
      </c>
      <c r="BR22" s="1019" t="s">
        <v>1034</v>
      </c>
      <c r="BS22" s="1063"/>
      <c r="BT22" s="1062" t="s">
        <v>707</v>
      </c>
      <c r="BU22" s="1017">
        <v>43840</v>
      </c>
      <c r="BV22" s="1019" t="s">
        <v>890</v>
      </c>
      <c r="BW22" s="1065">
        <v>45</v>
      </c>
      <c r="BX22" s="1018" t="s">
        <v>414</v>
      </c>
      <c r="BY22" s="1017">
        <v>44201</v>
      </c>
      <c r="BZ22" s="1019" t="s">
        <v>1035</v>
      </c>
      <c r="CA22" s="1065">
        <v>10</v>
      </c>
      <c r="CB22" s="1018" t="s">
        <v>414</v>
      </c>
      <c r="CC22" s="1017">
        <v>44563</v>
      </c>
      <c r="CD22" s="1019" t="s">
        <v>1036</v>
      </c>
      <c r="CE22" s="1065">
        <v>16</v>
      </c>
      <c r="CF22" s="1018" t="s">
        <v>414</v>
      </c>
      <c r="CG22" s="1017">
        <v>44930</v>
      </c>
      <c r="CH22" s="1019" t="s">
        <v>1037</v>
      </c>
      <c r="CI22" s="1063">
        <f xml:space="preserve"> 275 + 40</f>
        <v>315</v>
      </c>
      <c r="CJ22" s="1018" t="s">
        <v>381</v>
      </c>
      <c r="CK22" s="1017">
        <v>45295</v>
      </c>
      <c r="CL22" s="1019" t="s">
        <v>1038</v>
      </c>
      <c r="CM22" s="1063">
        <v>48</v>
      </c>
      <c r="CN22" s="1018" t="s">
        <v>414</v>
      </c>
      <c r="CO22" s="1017">
        <v>45663</v>
      </c>
      <c r="CP22" s="1019" t="s">
        <v>1039</v>
      </c>
      <c r="CQ22" s="1063">
        <v>46</v>
      </c>
      <c r="CR22" s="1018" t="s">
        <v>280</v>
      </c>
      <c r="CS22" s="1017"/>
      <c r="CT22" s="1019"/>
      <c r="CU22" s="1063"/>
      <c r="CV22" s="1018"/>
    </row>
    <row r="23" spans="5:100" ht="14.1" customHeight="1">
      <c r="E23" s="489">
        <v>37631</v>
      </c>
      <c r="F23" s="714" t="s">
        <v>1040</v>
      </c>
      <c r="G23" s="491">
        <v>33</v>
      </c>
      <c r="H23" s="493"/>
      <c r="I23" s="489">
        <v>37988</v>
      </c>
      <c r="J23" s="714" t="s">
        <v>1041</v>
      </c>
      <c r="K23" s="491">
        <v>8</v>
      </c>
      <c r="L23" s="493"/>
      <c r="M23" s="489">
        <v>38366</v>
      </c>
      <c r="N23" s="714" t="s">
        <v>1042</v>
      </c>
      <c r="O23" s="491">
        <v>23</v>
      </c>
      <c r="P23" s="769"/>
      <c r="Q23" s="489">
        <v>38731</v>
      </c>
      <c r="R23" s="714" t="s">
        <v>1043</v>
      </c>
      <c r="S23" s="491">
        <v>10</v>
      </c>
      <c r="T23" s="493"/>
      <c r="U23" s="489">
        <v>39088</v>
      </c>
      <c r="V23" s="714" t="s">
        <v>1044</v>
      </c>
      <c r="W23" s="491">
        <f t="shared" si="2"/>
        <v>3.7209302325581395</v>
      </c>
      <c r="X23" s="788">
        <v>160</v>
      </c>
      <c r="Y23" s="489">
        <v>39451</v>
      </c>
      <c r="Z23" s="714" t="s">
        <v>1045</v>
      </c>
      <c r="AA23" s="789">
        <v>100</v>
      </c>
      <c r="AB23" s="781">
        <f t="shared" si="0"/>
        <v>40</v>
      </c>
      <c r="AC23" s="489">
        <v>39820</v>
      </c>
      <c r="AD23" s="490" t="s">
        <v>1046</v>
      </c>
      <c r="AE23" s="713">
        <v>5</v>
      </c>
      <c r="AF23" s="782"/>
      <c r="AG23" s="489">
        <v>40187</v>
      </c>
      <c r="AH23" s="490" t="s">
        <v>1047</v>
      </c>
      <c r="AI23" s="716">
        <v>30</v>
      </c>
      <c r="AJ23" s="782"/>
      <c r="AK23" s="489">
        <v>40554</v>
      </c>
      <c r="AL23" s="490" t="s">
        <v>1048</v>
      </c>
      <c r="AM23" s="786">
        <v>1500</v>
      </c>
      <c r="AN23" s="787">
        <f t="shared" si="1"/>
        <v>34.090909090909093</v>
      </c>
      <c r="AO23" s="489">
        <v>40920</v>
      </c>
      <c r="AP23" s="490" t="s">
        <v>1049</v>
      </c>
      <c r="AQ23" s="718">
        <v>23</v>
      </c>
      <c r="AR23" s="787"/>
      <c r="AS23" s="489">
        <v>41281</v>
      </c>
      <c r="AT23" s="490" t="s">
        <v>797</v>
      </c>
      <c r="AU23" s="718">
        <v>47</v>
      </c>
      <c r="AV23" s="787"/>
      <c r="AW23" s="778">
        <v>41643</v>
      </c>
      <c r="AX23" s="490" t="s">
        <v>867</v>
      </c>
      <c r="AY23" s="718">
        <v>15</v>
      </c>
      <c r="AZ23" s="787"/>
      <c r="BA23" s="778">
        <v>42013</v>
      </c>
      <c r="BB23" s="490" t="s">
        <v>1050</v>
      </c>
      <c r="BC23" s="718">
        <v>18</v>
      </c>
      <c r="BD23" s="787"/>
      <c r="BE23" s="778">
        <v>42373</v>
      </c>
      <c r="BF23" s="490" t="s">
        <v>1051</v>
      </c>
      <c r="BG23" s="718">
        <v>77</v>
      </c>
      <c r="BH23" s="787"/>
      <c r="BI23" s="778">
        <v>42742</v>
      </c>
      <c r="BJ23" s="490" t="s">
        <v>1052</v>
      </c>
      <c r="BK23" s="718">
        <v>21</v>
      </c>
      <c r="BL23" s="787"/>
      <c r="BM23" s="778">
        <v>43108</v>
      </c>
      <c r="BN23" s="490" t="s">
        <v>1053</v>
      </c>
      <c r="BO23" s="715">
        <v>17</v>
      </c>
      <c r="BP23" s="787"/>
      <c r="BQ23" s="1017">
        <v>43467</v>
      </c>
      <c r="BR23" s="1019" t="s">
        <v>1054</v>
      </c>
      <c r="BS23" s="1063"/>
      <c r="BT23" s="1062" t="s">
        <v>707</v>
      </c>
      <c r="BU23" s="1017">
        <v>43840</v>
      </c>
      <c r="BV23" s="1019" t="s">
        <v>1055</v>
      </c>
      <c r="BW23" s="1063">
        <v>38</v>
      </c>
      <c r="BX23" s="1018" t="s">
        <v>414</v>
      </c>
      <c r="BY23" s="1017">
        <v>44201</v>
      </c>
      <c r="BZ23" s="1019" t="s">
        <v>1056</v>
      </c>
      <c r="CA23" s="1063">
        <v>13</v>
      </c>
      <c r="CB23" s="1018" t="s">
        <v>414</v>
      </c>
      <c r="CC23" s="1017">
        <v>44563</v>
      </c>
      <c r="CD23" s="1019" t="s">
        <v>1057</v>
      </c>
      <c r="CE23" s="1063">
        <v>0</v>
      </c>
      <c r="CF23" s="1018" t="s">
        <v>414</v>
      </c>
      <c r="CG23" s="1017">
        <v>44930</v>
      </c>
      <c r="CH23" s="1019" t="s">
        <v>1004</v>
      </c>
      <c r="CI23" s="1063">
        <v>21</v>
      </c>
      <c r="CJ23" s="1018" t="s">
        <v>278</v>
      </c>
      <c r="CK23" s="1017">
        <v>45295</v>
      </c>
      <c r="CL23" s="1019" t="s">
        <v>1058</v>
      </c>
      <c r="CM23" s="1063">
        <v>36</v>
      </c>
      <c r="CN23" s="1018" t="s">
        <v>414</v>
      </c>
      <c r="CO23" s="1017">
        <v>45663</v>
      </c>
      <c r="CP23" s="1019" t="s">
        <v>1059</v>
      </c>
      <c r="CQ23" s="1063">
        <v>8</v>
      </c>
      <c r="CR23" s="1018" t="s">
        <v>414</v>
      </c>
      <c r="CS23" s="1017"/>
      <c r="CT23" s="1019"/>
      <c r="CU23" s="1063"/>
      <c r="CV23" s="1018"/>
    </row>
    <row r="24" spans="5:100" ht="14.1" customHeight="1">
      <c r="E24" s="489">
        <v>37631</v>
      </c>
      <c r="F24" s="714" t="s">
        <v>1060</v>
      </c>
      <c r="G24" s="491">
        <v>40</v>
      </c>
      <c r="H24" s="493"/>
      <c r="I24" s="489">
        <v>37988</v>
      </c>
      <c r="J24" s="714" t="s">
        <v>1061</v>
      </c>
      <c r="K24" s="491">
        <v>2</v>
      </c>
      <c r="L24" s="493"/>
      <c r="M24" s="489">
        <v>38368</v>
      </c>
      <c r="N24" s="714" t="s">
        <v>1062</v>
      </c>
      <c r="O24" s="491">
        <v>52</v>
      </c>
      <c r="P24" s="769"/>
      <c r="Q24" s="489">
        <v>38735</v>
      </c>
      <c r="R24" s="714" t="s">
        <v>1063</v>
      </c>
      <c r="S24" s="491">
        <v>10</v>
      </c>
      <c r="T24" s="493"/>
      <c r="U24" s="489">
        <v>39089</v>
      </c>
      <c r="V24" s="714" t="s">
        <v>1064</v>
      </c>
      <c r="W24" s="491">
        <f t="shared" si="2"/>
        <v>34.883720930232556</v>
      </c>
      <c r="X24" s="788">
        <v>1500</v>
      </c>
      <c r="Y24" s="489">
        <v>39451</v>
      </c>
      <c r="Z24" s="714" t="s">
        <v>1065</v>
      </c>
      <c r="AA24" s="789">
        <v>20</v>
      </c>
      <c r="AB24" s="781">
        <f t="shared" si="0"/>
        <v>8</v>
      </c>
      <c r="AC24" s="489">
        <v>39823</v>
      </c>
      <c r="AD24" s="490" t="s">
        <v>781</v>
      </c>
      <c r="AE24" s="713">
        <v>40</v>
      </c>
      <c r="AF24" s="782"/>
      <c r="AG24" s="489">
        <v>40188</v>
      </c>
      <c r="AH24" s="490" t="s">
        <v>772</v>
      </c>
      <c r="AI24" s="713">
        <v>41</v>
      </c>
      <c r="AJ24" s="782"/>
      <c r="AK24" s="489">
        <v>40554</v>
      </c>
      <c r="AL24" s="490" t="s">
        <v>1066</v>
      </c>
      <c r="AM24" s="786">
        <v>4800</v>
      </c>
      <c r="AN24" s="787">
        <f t="shared" si="1"/>
        <v>109.09090909090909</v>
      </c>
      <c r="AO24" s="489">
        <v>40920</v>
      </c>
      <c r="AP24" s="490" t="s">
        <v>1067</v>
      </c>
      <c r="AQ24" s="718">
        <v>10</v>
      </c>
      <c r="AR24" s="787"/>
      <c r="AS24" s="489">
        <v>41281</v>
      </c>
      <c r="AT24" s="490" t="s">
        <v>802</v>
      </c>
      <c r="AU24" s="718">
        <v>47</v>
      </c>
      <c r="AV24" s="787"/>
      <c r="AW24" s="489">
        <v>41645</v>
      </c>
      <c r="AX24" s="490" t="s">
        <v>802</v>
      </c>
      <c r="AY24" s="718">
        <v>63</v>
      </c>
      <c r="AZ24" s="787"/>
      <c r="BA24" s="778">
        <v>42013</v>
      </c>
      <c r="BB24" s="490" t="s">
        <v>802</v>
      </c>
      <c r="BC24" s="718">
        <v>30</v>
      </c>
      <c r="BD24" s="787"/>
      <c r="BE24" s="778">
        <v>42373</v>
      </c>
      <c r="BF24" s="490" t="s">
        <v>772</v>
      </c>
      <c r="BG24" s="718">
        <v>25</v>
      </c>
      <c r="BH24" s="787"/>
      <c r="BI24" s="778">
        <v>42743</v>
      </c>
      <c r="BJ24" s="490" t="s">
        <v>1068</v>
      </c>
      <c r="BK24" s="718">
        <v>385</v>
      </c>
      <c r="BL24" s="787"/>
      <c r="BM24" s="778">
        <v>43108</v>
      </c>
      <c r="BN24" s="490" t="s">
        <v>1069</v>
      </c>
      <c r="BO24" s="715">
        <v>14</v>
      </c>
      <c r="BP24" s="787"/>
      <c r="BQ24" s="1017">
        <v>43467</v>
      </c>
      <c r="BR24" s="1019" t="s">
        <v>1070</v>
      </c>
      <c r="BS24" s="1063">
        <v>20</v>
      </c>
      <c r="BT24" s="1062" t="s">
        <v>707</v>
      </c>
      <c r="BU24" s="1017">
        <v>43840</v>
      </c>
      <c r="BV24" s="1019" t="s">
        <v>1071</v>
      </c>
      <c r="BW24" s="1063">
        <v>25</v>
      </c>
      <c r="BX24" s="1018" t="s">
        <v>280</v>
      </c>
      <c r="BY24" s="1017">
        <v>44205</v>
      </c>
      <c r="BZ24" s="1019" t="s">
        <v>772</v>
      </c>
      <c r="CA24" s="1063">
        <v>47</v>
      </c>
      <c r="CB24" s="1018" t="s">
        <v>414</v>
      </c>
      <c r="CC24" s="1017">
        <v>44563</v>
      </c>
      <c r="CD24" s="1019" t="s">
        <v>1072</v>
      </c>
      <c r="CE24" s="1063">
        <v>0</v>
      </c>
      <c r="CF24" s="1018" t="s">
        <v>700</v>
      </c>
      <c r="CG24" s="1017">
        <v>44930</v>
      </c>
      <c r="CH24" s="1019" t="s">
        <v>1073</v>
      </c>
      <c r="CI24" s="1063">
        <v>36</v>
      </c>
      <c r="CJ24" s="1018" t="s">
        <v>278</v>
      </c>
      <c r="CK24" s="1017">
        <v>45295</v>
      </c>
      <c r="CL24" s="1019" t="s">
        <v>862</v>
      </c>
      <c r="CM24" s="1063">
        <v>27</v>
      </c>
      <c r="CN24" s="1018" t="s">
        <v>414</v>
      </c>
      <c r="CO24" s="1017">
        <v>45667</v>
      </c>
      <c r="CP24" s="1019" t="s">
        <v>845</v>
      </c>
      <c r="CQ24" s="1063">
        <v>54</v>
      </c>
      <c r="CR24" s="1018" t="s">
        <v>414</v>
      </c>
      <c r="CS24" s="1017"/>
      <c r="CT24" s="1019"/>
      <c r="CU24" s="1063"/>
      <c r="CV24" s="1018"/>
    </row>
    <row r="25" spans="5:100" ht="14.1" customHeight="1">
      <c r="E25" s="489">
        <v>37631</v>
      </c>
      <c r="F25" s="714" t="s">
        <v>1074</v>
      </c>
      <c r="G25" s="491"/>
      <c r="H25" s="493">
        <v>25</v>
      </c>
      <c r="I25" s="489">
        <v>37989</v>
      </c>
      <c r="J25" s="714" t="s">
        <v>1075</v>
      </c>
      <c r="K25" s="491">
        <v>16</v>
      </c>
      <c r="L25" s="493"/>
      <c r="M25" s="489">
        <v>38368</v>
      </c>
      <c r="N25" s="714" t="s">
        <v>1076</v>
      </c>
      <c r="O25" s="491">
        <v>10</v>
      </c>
      <c r="P25" s="769"/>
      <c r="Q25" s="489">
        <v>38735</v>
      </c>
      <c r="R25" s="714" t="s">
        <v>1077</v>
      </c>
      <c r="S25" s="491">
        <v>10</v>
      </c>
      <c r="T25" s="493"/>
      <c r="U25" s="489">
        <v>39090</v>
      </c>
      <c r="V25" s="714" t="s">
        <v>1078</v>
      </c>
      <c r="W25" s="491">
        <f t="shared" si="2"/>
        <v>232.55813953488371</v>
      </c>
      <c r="X25" s="788">
        <v>10000</v>
      </c>
      <c r="Y25" s="489">
        <v>39451</v>
      </c>
      <c r="Z25" s="714" t="s">
        <v>1079</v>
      </c>
      <c r="AA25" s="789"/>
      <c r="AB25" s="781">
        <v>22</v>
      </c>
      <c r="AC25" s="489">
        <v>39823</v>
      </c>
      <c r="AD25" s="490" t="s">
        <v>937</v>
      </c>
      <c r="AE25" s="713">
        <v>30</v>
      </c>
      <c r="AF25" s="782"/>
      <c r="AG25" s="489">
        <v>40188</v>
      </c>
      <c r="AH25" s="490" t="s">
        <v>784</v>
      </c>
      <c r="AI25" s="713">
        <v>66</v>
      </c>
      <c r="AJ25" s="782"/>
      <c r="AK25" s="489">
        <v>40555</v>
      </c>
      <c r="AL25" s="490" t="s">
        <v>1080</v>
      </c>
      <c r="AM25" s="786">
        <v>250</v>
      </c>
      <c r="AN25" s="787">
        <f t="shared" si="1"/>
        <v>5.6818181818181817</v>
      </c>
      <c r="AO25" s="489">
        <v>40922</v>
      </c>
      <c r="AP25" s="490" t="s">
        <v>1081</v>
      </c>
      <c r="AQ25" s="718">
        <v>23</v>
      </c>
      <c r="AR25" s="787"/>
      <c r="AS25" s="489">
        <v>41282</v>
      </c>
      <c r="AT25" s="490" t="s">
        <v>1082</v>
      </c>
      <c r="AU25" s="718">
        <v>10</v>
      </c>
      <c r="AV25" s="787"/>
      <c r="AW25" s="489">
        <v>41646</v>
      </c>
      <c r="AX25" s="490" t="s">
        <v>797</v>
      </c>
      <c r="AY25" s="718">
        <v>20</v>
      </c>
      <c r="AZ25" s="787"/>
      <c r="BA25" s="778">
        <v>42014</v>
      </c>
      <c r="BB25" s="490" t="s">
        <v>1083</v>
      </c>
      <c r="BC25" s="718">
        <v>7</v>
      </c>
      <c r="BD25" s="787"/>
      <c r="BE25" s="778">
        <v>42374</v>
      </c>
      <c r="BF25" s="490" t="s">
        <v>797</v>
      </c>
      <c r="BG25" s="718">
        <v>33</v>
      </c>
      <c r="BH25" s="787"/>
      <c r="BI25" s="778">
        <v>42745</v>
      </c>
      <c r="BJ25" s="490" t="s">
        <v>1084</v>
      </c>
      <c r="BK25" s="718">
        <v>30</v>
      </c>
      <c r="BL25" s="787"/>
      <c r="BM25" s="778">
        <v>43108</v>
      </c>
      <c r="BN25" s="490" t="s">
        <v>1085</v>
      </c>
      <c r="BO25" s="715">
        <v>7</v>
      </c>
      <c r="BP25" s="787"/>
      <c r="BQ25" s="1017">
        <v>43468</v>
      </c>
      <c r="BR25" s="1019" t="s">
        <v>1086</v>
      </c>
      <c r="BS25" s="1063"/>
      <c r="BT25" s="1062" t="s">
        <v>381</v>
      </c>
      <c r="BU25" s="1017">
        <v>43840</v>
      </c>
      <c r="BV25" s="1019" t="s">
        <v>1087</v>
      </c>
      <c r="BW25" s="1063">
        <v>56</v>
      </c>
      <c r="BX25" s="1018" t="s">
        <v>414</v>
      </c>
      <c r="BY25" s="1017">
        <v>44205</v>
      </c>
      <c r="BZ25" s="1019" t="s">
        <v>872</v>
      </c>
      <c r="CA25" s="1063">
        <v>21</v>
      </c>
      <c r="CB25" s="1018" t="s">
        <v>414</v>
      </c>
      <c r="CC25" s="1017">
        <v>44563</v>
      </c>
      <c r="CD25" s="1019" t="s">
        <v>1088</v>
      </c>
      <c r="CE25" s="1063">
        <v>0</v>
      </c>
      <c r="CF25" s="1018" t="s">
        <v>700</v>
      </c>
      <c r="CG25" s="1017">
        <v>44930</v>
      </c>
      <c r="CH25" s="1019" t="s">
        <v>1089</v>
      </c>
      <c r="CI25" s="1063">
        <v>40</v>
      </c>
      <c r="CJ25" s="1018" t="s">
        <v>278</v>
      </c>
      <c r="CK25" s="1017">
        <v>45295</v>
      </c>
      <c r="CL25" s="1019" t="s">
        <v>1090</v>
      </c>
      <c r="CM25" s="1063">
        <v>3</v>
      </c>
      <c r="CN25" s="1018" t="s">
        <v>414</v>
      </c>
      <c r="CO25" s="1017">
        <v>45667</v>
      </c>
      <c r="CP25" s="1019" t="s">
        <v>1091</v>
      </c>
      <c r="CQ25" s="1063">
        <v>20</v>
      </c>
      <c r="CR25" s="1018" t="s">
        <v>280</v>
      </c>
      <c r="CS25" s="1017"/>
      <c r="CT25" s="1019"/>
      <c r="CU25" s="1063"/>
      <c r="CV25" s="1018"/>
    </row>
    <row r="26" spans="5:100" ht="14.1" customHeight="1">
      <c r="E26" s="489">
        <v>37632</v>
      </c>
      <c r="F26" s="714" t="s">
        <v>1092</v>
      </c>
      <c r="G26" s="491">
        <v>25</v>
      </c>
      <c r="H26" s="493"/>
      <c r="I26" s="489">
        <v>37989</v>
      </c>
      <c r="J26" s="714" t="s">
        <v>1093</v>
      </c>
      <c r="K26" s="491">
        <v>34</v>
      </c>
      <c r="L26" s="493"/>
      <c r="M26" s="489">
        <v>38368</v>
      </c>
      <c r="N26" s="714" t="s">
        <v>1094</v>
      </c>
      <c r="O26" s="491">
        <v>8</v>
      </c>
      <c r="P26" s="769"/>
      <c r="Q26" s="489">
        <v>38735</v>
      </c>
      <c r="R26" s="714" t="s">
        <v>802</v>
      </c>
      <c r="S26" s="491">
        <v>35</v>
      </c>
      <c r="T26" s="493"/>
      <c r="U26" s="489">
        <v>39090</v>
      </c>
      <c r="V26" s="714" t="s">
        <v>1095</v>
      </c>
      <c r="W26" s="491">
        <f t="shared" si="2"/>
        <v>139.53488372093022</v>
      </c>
      <c r="X26" s="788">
        <v>6000</v>
      </c>
      <c r="Y26" s="489">
        <v>39451</v>
      </c>
      <c r="Z26" s="714" t="s">
        <v>1096</v>
      </c>
      <c r="AA26" s="789">
        <v>19.7</v>
      </c>
      <c r="AB26" s="781">
        <f t="shared" si="0"/>
        <v>7.88</v>
      </c>
      <c r="AC26" s="489">
        <v>39823</v>
      </c>
      <c r="AD26" s="490" t="s">
        <v>802</v>
      </c>
      <c r="AE26" s="713">
        <v>7</v>
      </c>
      <c r="AF26" s="782"/>
      <c r="AG26" s="489">
        <v>40189</v>
      </c>
      <c r="AH26" s="490" t="s">
        <v>797</v>
      </c>
      <c r="AI26" s="713">
        <v>43</v>
      </c>
      <c r="AJ26" s="782"/>
      <c r="AK26" s="489">
        <v>40558</v>
      </c>
      <c r="AL26" s="490" t="s">
        <v>1097</v>
      </c>
      <c r="AM26" s="786">
        <v>1500</v>
      </c>
      <c r="AN26" s="787">
        <f t="shared" si="1"/>
        <v>34.090909090909093</v>
      </c>
      <c r="AO26" s="489">
        <v>40923</v>
      </c>
      <c r="AP26" s="490" t="s">
        <v>754</v>
      </c>
      <c r="AQ26" s="718">
        <v>87</v>
      </c>
      <c r="AR26" s="787"/>
      <c r="AS26" s="489">
        <v>41282</v>
      </c>
      <c r="AT26" s="490" t="s">
        <v>1098</v>
      </c>
      <c r="AU26" s="718">
        <v>2</v>
      </c>
      <c r="AV26" s="787"/>
      <c r="AW26" s="489">
        <v>41648</v>
      </c>
      <c r="AX26" s="490" t="s">
        <v>1099</v>
      </c>
      <c r="AY26" s="718">
        <v>1</v>
      </c>
      <c r="AZ26" s="787"/>
      <c r="BA26" s="489">
        <v>42015</v>
      </c>
      <c r="BB26" s="490" t="s">
        <v>772</v>
      </c>
      <c r="BC26" s="718">
        <v>25</v>
      </c>
      <c r="BD26" s="787"/>
      <c r="BE26" s="778">
        <v>42375</v>
      </c>
      <c r="BF26" s="490" t="s">
        <v>1100</v>
      </c>
      <c r="BG26" s="718">
        <v>16</v>
      </c>
      <c r="BH26" s="787"/>
      <c r="BI26" s="778">
        <v>42750</v>
      </c>
      <c r="BJ26" s="490" t="s">
        <v>1101</v>
      </c>
      <c r="BK26" s="718">
        <v>30</v>
      </c>
      <c r="BL26" s="787"/>
      <c r="BM26" s="778">
        <v>43109</v>
      </c>
      <c r="BN26" s="490" t="s">
        <v>805</v>
      </c>
      <c r="BO26" s="715">
        <v>10</v>
      </c>
      <c r="BP26" s="787"/>
      <c r="BQ26" s="1017">
        <v>43468</v>
      </c>
      <c r="BR26" s="1019" t="s">
        <v>1102</v>
      </c>
      <c r="BS26" s="1063">
        <v>56</v>
      </c>
      <c r="BT26" s="1062" t="s">
        <v>280</v>
      </c>
      <c r="BU26" s="1017">
        <v>43840</v>
      </c>
      <c r="BV26" s="1019" t="s">
        <v>1103</v>
      </c>
      <c r="BW26" s="1063">
        <v>23</v>
      </c>
      <c r="BX26" s="1018" t="s">
        <v>414</v>
      </c>
      <c r="BY26" s="1017">
        <v>44205</v>
      </c>
      <c r="BZ26" s="1019" t="s">
        <v>845</v>
      </c>
      <c r="CA26" s="1063">
        <v>39</v>
      </c>
      <c r="CB26" s="1018" t="s">
        <v>414</v>
      </c>
      <c r="CC26" s="1017">
        <v>44565</v>
      </c>
      <c r="CD26" s="1019" t="s">
        <v>1104</v>
      </c>
      <c r="CE26" s="1063">
        <v>60</v>
      </c>
      <c r="CF26" s="1018" t="s">
        <v>414</v>
      </c>
      <c r="CG26" s="1017">
        <v>44930</v>
      </c>
      <c r="CH26" s="1019" t="s">
        <v>1004</v>
      </c>
      <c r="CI26" s="1063">
        <v>21</v>
      </c>
      <c r="CJ26" s="1018" t="s">
        <v>278</v>
      </c>
      <c r="CK26" s="1017">
        <v>45295</v>
      </c>
      <c r="CL26" s="1019" t="s">
        <v>1105</v>
      </c>
      <c r="CM26" s="1063">
        <v>2</v>
      </c>
      <c r="CN26" s="1018" t="s">
        <v>414</v>
      </c>
      <c r="CO26" s="1017">
        <v>45667</v>
      </c>
      <c r="CP26" s="1019" t="s">
        <v>1106</v>
      </c>
      <c r="CQ26" s="1063">
        <v>75</v>
      </c>
      <c r="CR26" s="1018" t="s">
        <v>278</v>
      </c>
      <c r="CS26" s="1017"/>
      <c r="CT26" s="1019"/>
      <c r="CU26" s="1063"/>
      <c r="CV26" s="1018"/>
    </row>
    <row r="27" spans="5:100" ht="14.1" customHeight="1">
      <c r="E27" s="489">
        <v>37632</v>
      </c>
      <c r="F27" s="714" t="s">
        <v>1107</v>
      </c>
      <c r="G27" s="491"/>
      <c r="H27" s="493">
        <v>7</v>
      </c>
      <c r="I27" s="489">
        <v>37989</v>
      </c>
      <c r="J27" s="714" t="s">
        <v>1108</v>
      </c>
      <c r="K27" s="491">
        <v>23</v>
      </c>
      <c r="L27" s="493"/>
      <c r="M27" s="489">
        <v>38368</v>
      </c>
      <c r="N27" s="714" t="s">
        <v>1109</v>
      </c>
      <c r="O27" s="491">
        <v>8</v>
      </c>
      <c r="P27" s="769"/>
      <c r="Q27" s="489">
        <v>38737</v>
      </c>
      <c r="R27" s="714" t="s">
        <v>797</v>
      </c>
      <c r="S27" s="491">
        <v>35</v>
      </c>
      <c r="T27" s="493"/>
      <c r="U27" s="489">
        <v>39092</v>
      </c>
      <c r="V27" s="714" t="s">
        <v>1110</v>
      </c>
      <c r="W27" s="491">
        <f t="shared" si="2"/>
        <v>43.02325581395349</v>
      </c>
      <c r="X27" s="788">
        <v>1850</v>
      </c>
      <c r="Y27" s="489">
        <v>39451</v>
      </c>
      <c r="Z27" s="714" t="s">
        <v>765</v>
      </c>
      <c r="AA27" s="789">
        <v>33.549999999999997</v>
      </c>
      <c r="AB27" s="781">
        <f t="shared" si="0"/>
        <v>13.419999999999998</v>
      </c>
      <c r="AC27" s="489">
        <v>39823</v>
      </c>
      <c r="AD27" s="490" t="s">
        <v>797</v>
      </c>
      <c r="AE27" s="713">
        <v>20</v>
      </c>
      <c r="AF27" s="782"/>
      <c r="AG27" s="489">
        <v>40189</v>
      </c>
      <c r="AH27" s="490" t="s">
        <v>1111</v>
      </c>
      <c r="AI27" s="713">
        <v>10</v>
      </c>
      <c r="AJ27" s="782"/>
      <c r="AK27" s="489">
        <v>40559</v>
      </c>
      <c r="AL27" s="490" t="s">
        <v>1112</v>
      </c>
      <c r="AM27" s="786">
        <v>1000</v>
      </c>
      <c r="AN27" s="787">
        <f t="shared" si="1"/>
        <v>22.727272727272727</v>
      </c>
      <c r="AO27" s="489">
        <v>40923</v>
      </c>
      <c r="AP27" s="490" t="s">
        <v>781</v>
      </c>
      <c r="AQ27" s="718">
        <v>33</v>
      </c>
      <c r="AR27" s="787"/>
      <c r="AS27" s="489">
        <v>41282</v>
      </c>
      <c r="AT27" s="490" t="s">
        <v>1113</v>
      </c>
      <c r="AU27" s="718">
        <v>33</v>
      </c>
      <c r="AV27" s="787"/>
      <c r="AW27" s="489">
        <v>41648</v>
      </c>
      <c r="AX27" s="490" t="s">
        <v>1114</v>
      </c>
      <c r="AY27" s="718">
        <v>2</v>
      </c>
      <c r="AZ27" s="787"/>
      <c r="BA27" s="489">
        <v>42015</v>
      </c>
      <c r="BB27" s="490" t="s">
        <v>1115</v>
      </c>
      <c r="BC27" s="718">
        <v>81</v>
      </c>
      <c r="BD27" s="787"/>
      <c r="BE27" s="489">
        <v>42376</v>
      </c>
      <c r="BF27" s="490" t="s">
        <v>1116</v>
      </c>
      <c r="BG27" s="718">
        <v>18</v>
      </c>
      <c r="BH27" s="787"/>
      <c r="BI27" s="778">
        <v>42750</v>
      </c>
      <c r="BJ27" s="490" t="s">
        <v>1117</v>
      </c>
      <c r="BK27" s="718">
        <v>81</v>
      </c>
      <c r="BL27" s="787"/>
      <c r="BM27" s="778">
        <v>43111</v>
      </c>
      <c r="BN27" s="490" t="s">
        <v>1118</v>
      </c>
      <c r="BO27" s="715">
        <v>10</v>
      </c>
      <c r="BP27" s="787"/>
      <c r="BQ27" s="1017">
        <v>43468</v>
      </c>
      <c r="BR27" s="1019" t="s">
        <v>1119</v>
      </c>
      <c r="BS27" s="1063">
        <v>10</v>
      </c>
      <c r="BT27" s="1018" t="s">
        <v>278</v>
      </c>
      <c r="BU27" s="1017">
        <v>43840</v>
      </c>
      <c r="BV27" s="1019" t="s">
        <v>1120</v>
      </c>
      <c r="BW27" s="1063">
        <v>18</v>
      </c>
      <c r="BX27" s="1018" t="s">
        <v>414</v>
      </c>
      <c r="BY27" s="1017">
        <v>44205</v>
      </c>
      <c r="BZ27" s="1019" t="s">
        <v>1121</v>
      </c>
      <c r="CA27" s="1063">
        <v>53</v>
      </c>
      <c r="CB27" s="1018" t="s">
        <v>414</v>
      </c>
      <c r="CC27" s="1017">
        <v>44568</v>
      </c>
      <c r="CD27" s="1019" t="s">
        <v>1122</v>
      </c>
      <c r="CE27" s="1063">
        <v>27</v>
      </c>
      <c r="CF27" s="1018" t="s">
        <v>414</v>
      </c>
      <c r="CG27" s="1017">
        <v>44930</v>
      </c>
      <c r="CH27" s="1019" t="s">
        <v>1123</v>
      </c>
      <c r="CI27" s="1063">
        <v>14</v>
      </c>
      <c r="CJ27" s="1018" t="s">
        <v>278</v>
      </c>
      <c r="CK27" s="1017">
        <v>45295</v>
      </c>
      <c r="CL27" s="1019" t="s">
        <v>1124</v>
      </c>
      <c r="CM27" s="1063">
        <v>27</v>
      </c>
      <c r="CN27" s="1018" t="s">
        <v>414</v>
      </c>
      <c r="CO27" s="1017">
        <v>45668</v>
      </c>
      <c r="CP27" s="1019" t="s">
        <v>845</v>
      </c>
      <c r="CQ27" s="1063">
        <v>65</v>
      </c>
      <c r="CR27" s="1018" t="s">
        <v>414</v>
      </c>
      <c r="CS27" s="1017"/>
      <c r="CT27" s="1019"/>
      <c r="CU27" s="1063"/>
      <c r="CV27" s="1018"/>
    </row>
    <row r="28" spans="5:100" ht="14.1" customHeight="1">
      <c r="E28" s="489">
        <v>37632</v>
      </c>
      <c r="F28" s="714" t="s">
        <v>1125</v>
      </c>
      <c r="G28" s="491">
        <v>53</v>
      </c>
      <c r="H28" s="493"/>
      <c r="I28" s="489">
        <v>37989</v>
      </c>
      <c r="J28" s="714" t="s">
        <v>1126</v>
      </c>
      <c r="K28" s="491">
        <v>23</v>
      </c>
      <c r="L28" s="493"/>
      <c r="M28" s="489">
        <v>38370</v>
      </c>
      <c r="N28" s="714" t="s">
        <v>1127</v>
      </c>
      <c r="O28" s="491">
        <v>45</v>
      </c>
      <c r="P28" s="769"/>
      <c r="Q28" s="489">
        <v>38737</v>
      </c>
      <c r="R28" s="714" t="s">
        <v>1128</v>
      </c>
      <c r="S28" s="491">
        <v>50</v>
      </c>
      <c r="T28" s="493"/>
      <c r="U28" s="489">
        <v>39093</v>
      </c>
      <c r="V28" s="714" t="s">
        <v>1129</v>
      </c>
      <c r="W28" s="491">
        <f t="shared" si="2"/>
        <v>8.5348837209302317</v>
      </c>
      <c r="X28" s="788">
        <v>367</v>
      </c>
      <c r="Y28" s="489">
        <v>39452</v>
      </c>
      <c r="Z28" s="714" t="s">
        <v>1130</v>
      </c>
      <c r="AA28" s="789">
        <v>29</v>
      </c>
      <c r="AB28" s="781">
        <f t="shared" si="0"/>
        <v>11.6</v>
      </c>
      <c r="AC28" s="489">
        <v>39823</v>
      </c>
      <c r="AD28" s="490" t="s">
        <v>1131</v>
      </c>
      <c r="AE28" s="713">
        <v>3</v>
      </c>
      <c r="AF28" s="782"/>
      <c r="AG28" s="489">
        <v>40194</v>
      </c>
      <c r="AH28" s="490" t="s">
        <v>1132</v>
      </c>
      <c r="AI28" s="713">
        <v>180</v>
      </c>
      <c r="AJ28" s="782"/>
      <c r="AK28" s="489">
        <v>40559</v>
      </c>
      <c r="AL28" s="490" t="s">
        <v>1133</v>
      </c>
      <c r="AM28" s="786">
        <v>2000</v>
      </c>
      <c r="AN28" s="787">
        <f t="shared" si="1"/>
        <v>45.454545454545453</v>
      </c>
      <c r="AO28" s="489">
        <v>40927</v>
      </c>
      <c r="AP28" s="490" t="s">
        <v>802</v>
      </c>
      <c r="AQ28" s="718">
        <v>20</v>
      </c>
      <c r="AR28" s="787"/>
      <c r="AS28" s="489">
        <v>41282</v>
      </c>
      <c r="AT28" s="490" t="s">
        <v>1134</v>
      </c>
      <c r="AU28" s="718">
        <v>4</v>
      </c>
      <c r="AV28" s="787"/>
      <c r="AW28" s="489">
        <v>41648</v>
      </c>
      <c r="AX28" s="490" t="s">
        <v>1135</v>
      </c>
      <c r="AY28" s="718">
        <v>4</v>
      </c>
      <c r="AZ28" s="787"/>
      <c r="BA28" s="489">
        <v>42015</v>
      </c>
      <c r="BB28" s="490" t="s">
        <v>754</v>
      </c>
      <c r="BC28" s="718">
        <v>108</v>
      </c>
      <c r="BD28" s="787"/>
      <c r="BE28" s="489">
        <v>42376</v>
      </c>
      <c r="BF28" s="490" t="s">
        <v>802</v>
      </c>
      <c r="BG28" s="718">
        <v>27</v>
      </c>
      <c r="BH28" s="787"/>
      <c r="BI28" s="778">
        <v>42750</v>
      </c>
      <c r="BJ28" s="490" t="s">
        <v>872</v>
      </c>
      <c r="BK28" s="718">
        <v>34</v>
      </c>
      <c r="BL28" s="787"/>
      <c r="BM28" s="778">
        <v>43111</v>
      </c>
      <c r="BN28" s="490" t="s">
        <v>1136</v>
      </c>
      <c r="BO28" s="715">
        <v>8</v>
      </c>
      <c r="BP28" s="787"/>
      <c r="BQ28" s="1017">
        <v>43468</v>
      </c>
      <c r="BR28" s="1019" t="s">
        <v>1137</v>
      </c>
      <c r="BS28" s="1063">
        <v>30</v>
      </c>
      <c r="BT28" s="1018" t="s">
        <v>278</v>
      </c>
      <c r="BU28" s="1017">
        <v>43840</v>
      </c>
      <c r="BV28" s="1019" t="s">
        <v>1138</v>
      </c>
      <c r="BW28" s="1063">
        <v>5</v>
      </c>
      <c r="BX28" s="1018" t="s">
        <v>414</v>
      </c>
      <c r="BY28" s="1017">
        <v>44205</v>
      </c>
      <c r="BZ28" s="1019" t="s">
        <v>1139</v>
      </c>
      <c r="CA28" s="1063">
        <v>220</v>
      </c>
      <c r="CB28" s="1018" t="s">
        <v>701</v>
      </c>
      <c r="CC28" s="1017">
        <v>44568</v>
      </c>
      <c r="CD28" s="1019" t="s">
        <v>1140</v>
      </c>
      <c r="CE28" s="1063">
        <v>0</v>
      </c>
      <c r="CF28" s="1018" t="s">
        <v>414</v>
      </c>
      <c r="CG28" s="1017">
        <v>44931</v>
      </c>
      <c r="CH28" s="1019" t="s">
        <v>1141</v>
      </c>
      <c r="CI28" s="1063">
        <v>18</v>
      </c>
      <c r="CJ28" s="1018" t="s">
        <v>278</v>
      </c>
      <c r="CK28" s="1017">
        <v>45295</v>
      </c>
      <c r="CL28" s="1019" t="s">
        <v>845</v>
      </c>
      <c r="CM28" s="1063">
        <v>50</v>
      </c>
      <c r="CN28" s="1018" t="s">
        <v>414</v>
      </c>
      <c r="CO28" s="1017">
        <v>45668</v>
      </c>
      <c r="CP28" s="1019" t="s">
        <v>828</v>
      </c>
      <c r="CQ28" s="1063">
        <v>9</v>
      </c>
      <c r="CR28" s="1018" t="s">
        <v>414</v>
      </c>
      <c r="CS28" s="1017"/>
      <c r="CT28" s="1019"/>
      <c r="CU28" s="1063"/>
      <c r="CV28" s="1018"/>
    </row>
    <row r="29" spans="5:100" ht="14.1" customHeight="1">
      <c r="E29" s="489">
        <v>37632</v>
      </c>
      <c r="F29" s="714" t="s">
        <v>915</v>
      </c>
      <c r="G29" s="491">
        <v>25</v>
      </c>
      <c r="H29" s="493"/>
      <c r="I29" s="489">
        <v>37989</v>
      </c>
      <c r="J29" s="714" t="s">
        <v>1142</v>
      </c>
      <c r="K29" s="491">
        <v>19</v>
      </c>
      <c r="L29" s="493"/>
      <c r="M29" s="489">
        <v>38370</v>
      </c>
      <c r="N29" s="714" t="s">
        <v>802</v>
      </c>
      <c r="O29" s="491">
        <v>27</v>
      </c>
      <c r="P29" s="769"/>
      <c r="Q29" s="489">
        <v>38737</v>
      </c>
      <c r="R29" s="714" t="s">
        <v>1143</v>
      </c>
      <c r="S29" s="491">
        <v>27</v>
      </c>
      <c r="T29" s="493"/>
      <c r="U29" s="489">
        <v>39093</v>
      </c>
      <c r="V29" s="714" t="s">
        <v>1144</v>
      </c>
      <c r="W29" s="491">
        <f t="shared" si="2"/>
        <v>11.627906976744185</v>
      </c>
      <c r="X29" s="788">
        <v>500</v>
      </c>
      <c r="Y29" s="489">
        <v>39452</v>
      </c>
      <c r="Z29" s="714" t="s">
        <v>1130</v>
      </c>
      <c r="AA29" s="789">
        <v>6</v>
      </c>
      <c r="AB29" s="781">
        <v>6</v>
      </c>
      <c r="AC29" s="489">
        <v>39825</v>
      </c>
      <c r="AD29" s="490" t="s">
        <v>1145</v>
      </c>
      <c r="AE29" s="713">
        <v>20</v>
      </c>
      <c r="AF29" s="782"/>
      <c r="AG29" s="489">
        <v>40194</v>
      </c>
      <c r="AH29" s="490" t="s">
        <v>1146</v>
      </c>
      <c r="AI29" s="713">
        <v>115</v>
      </c>
      <c r="AJ29" s="782"/>
      <c r="AK29" s="489">
        <v>40559</v>
      </c>
      <c r="AL29" s="490" t="s">
        <v>1147</v>
      </c>
      <c r="AM29" s="786">
        <v>500</v>
      </c>
      <c r="AN29" s="787">
        <f t="shared" si="1"/>
        <v>11.363636363636363</v>
      </c>
      <c r="AO29" s="489">
        <v>40928</v>
      </c>
      <c r="AP29" s="490" t="s">
        <v>1148</v>
      </c>
      <c r="AQ29" s="718">
        <v>21</v>
      </c>
      <c r="AR29" s="787"/>
      <c r="AS29" s="489">
        <v>41282</v>
      </c>
      <c r="AT29" s="490" t="s">
        <v>1149</v>
      </c>
      <c r="AU29" s="718">
        <v>14</v>
      </c>
      <c r="AV29" s="787"/>
      <c r="AW29" s="489">
        <v>41649</v>
      </c>
      <c r="AX29" s="490" t="s">
        <v>1052</v>
      </c>
      <c r="AY29" s="718">
        <v>19</v>
      </c>
      <c r="AZ29" s="787"/>
      <c r="BA29" s="489">
        <v>42015</v>
      </c>
      <c r="BB29" s="490" t="s">
        <v>797</v>
      </c>
      <c r="BC29" s="718">
        <v>35</v>
      </c>
      <c r="BD29" s="787"/>
      <c r="BE29" s="489">
        <v>42376</v>
      </c>
      <c r="BF29" s="490" t="s">
        <v>1052</v>
      </c>
      <c r="BG29" s="718">
        <v>17</v>
      </c>
      <c r="BH29" s="787"/>
      <c r="BI29" s="778">
        <v>42750</v>
      </c>
      <c r="BJ29" s="490" t="s">
        <v>859</v>
      </c>
      <c r="BK29" s="718">
        <v>30</v>
      </c>
      <c r="BL29" s="787"/>
      <c r="BM29" s="778">
        <v>43111</v>
      </c>
      <c r="BN29" s="490" t="s">
        <v>1150</v>
      </c>
      <c r="BO29" s="715">
        <v>60</v>
      </c>
      <c r="BP29" s="787"/>
      <c r="BQ29" s="1017">
        <v>43468</v>
      </c>
      <c r="BR29" s="1019" t="s">
        <v>1151</v>
      </c>
      <c r="BS29" s="1063">
        <v>18</v>
      </c>
      <c r="BT29" s="1018" t="s">
        <v>278</v>
      </c>
      <c r="BU29" s="1017">
        <v>43840</v>
      </c>
      <c r="BV29" s="1019" t="s">
        <v>1152</v>
      </c>
      <c r="BW29" s="1063">
        <v>0</v>
      </c>
      <c r="BX29" s="1018" t="s">
        <v>414</v>
      </c>
      <c r="BY29" s="1017">
        <v>44207</v>
      </c>
      <c r="BZ29" s="1019" t="s">
        <v>1153</v>
      </c>
      <c r="CA29" s="1063">
        <v>550</v>
      </c>
      <c r="CB29" s="1018" t="s">
        <v>701</v>
      </c>
      <c r="CC29" s="1017">
        <v>44568</v>
      </c>
      <c r="CD29" s="1019" t="s">
        <v>1154</v>
      </c>
      <c r="CE29" s="1063">
        <v>12</v>
      </c>
      <c r="CF29" s="1018" t="s">
        <v>414</v>
      </c>
      <c r="CG29" s="1017">
        <v>44931</v>
      </c>
      <c r="CH29" s="1019" t="s">
        <v>1155</v>
      </c>
      <c r="CI29" s="1063">
        <v>19</v>
      </c>
      <c r="CJ29" s="1018" t="s">
        <v>278</v>
      </c>
      <c r="CK29" s="1017">
        <v>45295</v>
      </c>
      <c r="CL29" s="1019" t="s">
        <v>948</v>
      </c>
      <c r="CM29" s="1063">
        <v>31</v>
      </c>
      <c r="CN29" s="1018" t="s">
        <v>414</v>
      </c>
      <c r="CO29" s="1017">
        <v>45668</v>
      </c>
      <c r="CP29" s="1019" t="s">
        <v>948</v>
      </c>
      <c r="CQ29" s="1063">
        <v>47</v>
      </c>
      <c r="CR29" s="1018" t="s">
        <v>414</v>
      </c>
      <c r="CS29" s="1017"/>
      <c r="CT29" s="1019"/>
      <c r="CU29" s="1063"/>
      <c r="CV29" s="1018"/>
    </row>
    <row r="30" spans="5:100" ht="14.1" customHeight="1">
      <c r="E30" s="489">
        <v>37632</v>
      </c>
      <c r="F30" s="714" t="s">
        <v>915</v>
      </c>
      <c r="G30" s="491">
        <v>18</v>
      </c>
      <c r="H30" s="493"/>
      <c r="I30" s="489">
        <v>37993</v>
      </c>
      <c r="J30" s="714" t="s">
        <v>1156</v>
      </c>
      <c r="K30" s="491">
        <v>38</v>
      </c>
      <c r="L30" s="493"/>
      <c r="M30" s="489">
        <v>38374</v>
      </c>
      <c r="N30" s="714" t="s">
        <v>1157</v>
      </c>
      <c r="O30" s="491">
        <v>104</v>
      </c>
      <c r="P30" s="769"/>
      <c r="Q30" s="489">
        <v>38737</v>
      </c>
      <c r="R30" s="714" t="s">
        <v>1158</v>
      </c>
      <c r="S30" s="491">
        <v>8</v>
      </c>
      <c r="T30" s="493"/>
      <c r="U30" s="489">
        <v>39096</v>
      </c>
      <c r="V30" s="714" t="s">
        <v>1159</v>
      </c>
      <c r="W30" s="491">
        <f t="shared" si="2"/>
        <v>93.023255813953483</v>
      </c>
      <c r="X30" s="788">
        <v>4000</v>
      </c>
      <c r="Y30" s="489">
        <v>39452</v>
      </c>
      <c r="Z30" s="714" t="s">
        <v>1096</v>
      </c>
      <c r="AA30" s="789">
        <v>19.7</v>
      </c>
      <c r="AB30" s="781">
        <f t="shared" si="0"/>
        <v>7.88</v>
      </c>
      <c r="AC30" s="489">
        <v>39829</v>
      </c>
      <c r="AD30" s="490" t="s">
        <v>797</v>
      </c>
      <c r="AE30" s="713">
        <v>28</v>
      </c>
      <c r="AF30" s="782"/>
      <c r="AG30" s="489">
        <v>40194</v>
      </c>
      <c r="AH30" s="490" t="s">
        <v>797</v>
      </c>
      <c r="AI30" s="713">
        <v>27</v>
      </c>
      <c r="AJ30" s="782"/>
      <c r="AK30" s="489">
        <v>40559</v>
      </c>
      <c r="AL30" s="490" t="s">
        <v>1160</v>
      </c>
      <c r="AM30" s="786">
        <v>2000</v>
      </c>
      <c r="AN30" s="787">
        <f t="shared" si="1"/>
        <v>45.454545454545453</v>
      </c>
      <c r="AO30" s="489">
        <v>40929</v>
      </c>
      <c r="AP30" s="490" t="s">
        <v>797</v>
      </c>
      <c r="AQ30" s="718">
        <v>61</v>
      </c>
      <c r="AR30" s="787"/>
      <c r="AS30" s="489">
        <v>41282</v>
      </c>
      <c r="AT30" s="490" t="s">
        <v>1161</v>
      </c>
      <c r="AU30" s="718">
        <v>17</v>
      </c>
      <c r="AV30" s="787"/>
      <c r="AW30" s="489">
        <v>41649</v>
      </c>
      <c r="AX30" s="490" t="s">
        <v>1162</v>
      </c>
      <c r="AY30" s="718">
        <v>67</v>
      </c>
      <c r="AZ30" s="787"/>
      <c r="BA30" s="489">
        <v>42021</v>
      </c>
      <c r="BB30" s="490" t="s">
        <v>1163</v>
      </c>
      <c r="BC30" s="718">
        <v>16</v>
      </c>
      <c r="BD30" s="787"/>
      <c r="BE30" s="489">
        <v>42377</v>
      </c>
      <c r="BF30" s="490" t="s">
        <v>1164</v>
      </c>
      <c r="BG30" s="718">
        <v>13</v>
      </c>
      <c r="BH30" s="787"/>
      <c r="BI30" s="778">
        <v>42750</v>
      </c>
      <c r="BJ30" s="490" t="s">
        <v>823</v>
      </c>
      <c r="BK30" s="718">
        <v>33</v>
      </c>
      <c r="BL30" s="787"/>
      <c r="BM30" s="778">
        <v>43111</v>
      </c>
      <c r="BN30" s="490" t="s">
        <v>873</v>
      </c>
      <c r="BO30" s="715">
        <v>25</v>
      </c>
      <c r="BP30" s="787"/>
      <c r="BQ30" s="1017">
        <v>43468</v>
      </c>
      <c r="BR30" s="1019" t="s">
        <v>1165</v>
      </c>
      <c r="BS30" s="1063">
        <v>15</v>
      </c>
      <c r="BT30" s="1018" t="s">
        <v>278</v>
      </c>
      <c r="BU30" s="1017">
        <v>43840</v>
      </c>
      <c r="BV30" s="1019" t="s">
        <v>1166</v>
      </c>
      <c r="BW30" s="1063">
        <v>32</v>
      </c>
      <c r="BX30" s="1018" t="s">
        <v>414</v>
      </c>
      <c r="BY30" s="1017">
        <v>44211</v>
      </c>
      <c r="BZ30" s="1019" t="s">
        <v>1167</v>
      </c>
      <c r="CA30" s="1063">
        <v>11</v>
      </c>
      <c r="CB30" s="1018" t="s">
        <v>414</v>
      </c>
      <c r="CC30" s="1017">
        <v>44568</v>
      </c>
      <c r="CD30" s="1019" t="s">
        <v>1168</v>
      </c>
      <c r="CE30" s="1063">
        <v>18</v>
      </c>
      <c r="CF30" s="1018" t="s">
        <v>414</v>
      </c>
      <c r="CG30" s="1017">
        <v>44931</v>
      </c>
      <c r="CH30" s="1019" t="s">
        <v>1169</v>
      </c>
      <c r="CI30" s="1063">
        <v>11</v>
      </c>
      <c r="CJ30" s="1018" t="s">
        <v>278</v>
      </c>
      <c r="CK30" s="1017">
        <v>45295</v>
      </c>
      <c r="CL30" s="1019" t="s">
        <v>1170</v>
      </c>
      <c r="CM30" s="1063">
        <v>30</v>
      </c>
      <c r="CN30" s="1018" t="s">
        <v>700</v>
      </c>
      <c r="CO30" s="1017">
        <v>45668</v>
      </c>
      <c r="CP30" s="1019" t="s">
        <v>772</v>
      </c>
      <c r="CQ30" s="1063">
        <v>13</v>
      </c>
      <c r="CR30" s="1018" t="s">
        <v>414</v>
      </c>
      <c r="CS30" s="1017"/>
      <c r="CT30" s="1019"/>
      <c r="CU30" s="1063"/>
      <c r="CV30" s="1018"/>
    </row>
    <row r="31" spans="5:100" ht="14.1" customHeight="1">
      <c r="E31" s="489">
        <v>37632</v>
      </c>
      <c r="F31" s="714" t="s">
        <v>410</v>
      </c>
      <c r="G31" s="491">
        <v>25</v>
      </c>
      <c r="H31" s="493"/>
      <c r="I31" s="489">
        <v>37994</v>
      </c>
      <c r="J31" s="714" t="s">
        <v>1156</v>
      </c>
      <c r="K31" s="491">
        <v>6</v>
      </c>
      <c r="L31" s="493"/>
      <c r="M31" s="489">
        <v>38376</v>
      </c>
      <c r="N31" s="714" t="s">
        <v>1171</v>
      </c>
      <c r="O31" s="491">
        <v>11</v>
      </c>
      <c r="P31" s="769"/>
      <c r="Q31" s="489">
        <v>38738</v>
      </c>
      <c r="R31" s="714" t="s">
        <v>1172</v>
      </c>
      <c r="S31" s="491">
        <v>18</v>
      </c>
      <c r="T31" s="493"/>
      <c r="U31" s="489">
        <v>39096</v>
      </c>
      <c r="V31" s="714" t="s">
        <v>1173</v>
      </c>
      <c r="W31" s="491">
        <f t="shared" si="2"/>
        <v>39.534883720930232</v>
      </c>
      <c r="X31" s="788">
        <v>1700</v>
      </c>
      <c r="Y31" s="489">
        <v>39452</v>
      </c>
      <c r="Z31" s="714" t="s">
        <v>1151</v>
      </c>
      <c r="AA31" s="789">
        <v>18</v>
      </c>
      <c r="AB31" s="781">
        <f t="shared" si="0"/>
        <v>7.2</v>
      </c>
      <c r="AC31" s="489">
        <v>39829</v>
      </c>
      <c r="AD31" s="490" t="s">
        <v>1174</v>
      </c>
      <c r="AE31" s="713">
        <v>15</v>
      </c>
      <c r="AF31" s="782"/>
      <c r="AG31" s="489">
        <v>40194</v>
      </c>
      <c r="AH31" s="490" t="s">
        <v>1175</v>
      </c>
      <c r="AI31" s="713">
        <v>22</v>
      </c>
      <c r="AJ31" s="782"/>
      <c r="AK31" s="489">
        <v>40559</v>
      </c>
      <c r="AL31" s="490" t="s">
        <v>1176</v>
      </c>
      <c r="AM31" s="786">
        <v>1500</v>
      </c>
      <c r="AN31" s="787">
        <f t="shared" si="1"/>
        <v>34.090909090909093</v>
      </c>
      <c r="AO31" s="489">
        <v>40929</v>
      </c>
      <c r="AP31" s="490" t="s">
        <v>772</v>
      </c>
      <c r="AQ31" s="718">
        <v>105</v>
      </c>
      <c r="AR31" s="787"/>
      <c r="AS31" s="489">
        <v>41283</v>
      </c>
      <c r="AT31" s="490" t="s">
        <v>1177</v>
      </c>
      <c r="AU31" s="718">
        <v>30</v>
      </c>
      <c r="AV31" s="787"/>
      <c r="AW31" s="489">
        <v>41649</v>
      </c>
      <c r="AX31" s="490" t="s">
        <v>1178</v>
      </c>
      <c r="AY31" s="718">
        <v>28</v>
      </c>
      <c r="AZ31" s="787"/>
      <c r="BA31" s="489">
        <v>42021</v>
      </c>
      <c r="BB31" s="490" t="s">
        <v>781</v>
      </c>
      <c r="BC31" s="718">
        <v>72</v>
      </c>
      <c r="BD31" s="787"/>
      <c r="BE31" s="489">
        <v>42377</v>
      </c>
      <c r="BF31" s="490" t="s">
        <v>1179</v>
      </c>
      <c r="BG31" s="718">
        <v>11</v>
      </c>
      <c r="BH31" s="787"/>
      <c r="BI31" s="778">
        <v>42750</v>
      </c>
      <c r="BJ31" s="490" t="s">
        <v>1180</v>
      </c>
      <c r="BK31" s="718">
        <v>61</v>
      </c>
      <c r="BL31" s="787"/>
      <c r="BM31" s="778">
        <v>43111</v>
      </c>
      <c r="BN31" s="490" t="s">
        <v>1181</v>
      </c>
      <c r="BO31" s="715">
        <v>23</v>
      </c>
      <c r="BP31" s="787"/>
      <c r="BQ31" s="1017">
        <v>43468</v>
      </c>
      <c r="BR31" s="1019" t="s">
        <v>1182</v>
      </c>
      <c r="BS31" s="1063">
        <v>10</v>
      </c>
      <c r="BT31" s="1062" t="s">
        <v>707</v>
      </c>
      <c r="BU31" s="1017">
        <v>43840</v>
      </c>
      <c r="BV31" s="1019" t="s">
        <v>1183</v>
      </c>
      <c r="BW31" s="1063">
        <v>5</v>
      </c>
      <c r="BX31" s="1018" t="s">
        <v>414</v>
      </c>
      <c r="BY31" s="1017">
        <v>44211</v>
      </c>
      <c r="BZ31" s="1019" t="s">
        <v>1184</v>
      </c>
      <c r="CA31" s="1063">
        <v>26</v>
      </c>
      <c r="CB31" s="1018" t="s">
        <v>414</v>
      </c>
      <c r="CC31" s="1017">
        <v>44568</v>
      </c>
      <c r="CD31" s="1019" t="s">
        <v>1185</v>
      </c>
      <c r="CE31" s="1063">
        <v>15</v>
      </c>
      <c r="CF31" s="1018" t="s">
        <v>414</v>
      </c>
      <c r="CG31" s="1017">
        <v>44931</v>
      </c>
      <c r="CH31" s="1019" t="s">
        <v>1186</v>
      </c>
      <c r="CI31" s="1063">
        <v>10</v>
      </c>
      <c r="CJ31" s="1018" t="s">
        <v>278</v>
      </c>
      <c r="CK31" s="1017">
        <v>45295</v>
      </c>
      <c r="CL31" s="1019" t="s">
        <v>1187</v>
      </c>
      <c r="CM31" s="1063">
        <v>7</v>
      </c>
      <c r="CN31" s="1018" t="s">
        <v>414</v>
      </c>
      <c r="CO31" s="1017">
        <v>45668</v>
      </c>
      <c r="CP31" s="1019" t="s">
        <v>1188</v>
      </c>
      <c r="CQ31" s="1063">
        <v>65</v>
      </c>
      <c r="CR31" s="1018" t="s">
        <v>280</v>
      </c>
      <c r="CS31" s="1017"/>
      <c r="CT31" s="1019"/>
      <c r="CU31" s="1063"/>
      <c r="CV31" s="1018"/>
    </row>
    <row r="32" spans="5:100" ht="14.1" customHeight="1">
      <c r="E32" s="489">
        <v>37633</v>
      </c>
      <c r="F32" s="714" t="s">
        <v>1189</v>
      </c>
      <c r="G32" s="491">
        <v>73</v>
      </c>
      <c r="H32" s="493"/>
      <c r="I32" s="489">
        <v>37995</v>
      </c>
      <c r="J32" s="714" t="s">
        <v>989</v>
      </c>
      <c r="K32" s="491">
        <v>8</v>
      </c>
      <c r="L32" s="493"/>
      <c r="M32" s="489">
        <v>38377</v>
      </c>
      <c r="N32" s="714" t="s">
        <v>797</v>
      </c>
      <c r="O32" s="491">
        <v>28</v>
      </c>
      <c r="P32" s="769"/>
      <c r="Q32" s="489">
        <v>38738</v>
      </c>
      <c r="R32" s="714" t="s">
        <v>1190</v>
      </c>
      <c r="S32" s="491">
        <v>3</v>
      </c>
      <c r="T32" s="493"/>
      <c r="U32" s="489">
        <v>39097</v>
      </c>
      <c r="V32" s="714" t="s">
        <v>1191</v>
      </c>
      <c r="W32" s="491">
        <f t="shared" si="2"/>
        <v>46.511627906976742</v>
      </c>
      <c r="X32" s="788">
        <v>2000</v>
      </c>
      <c r="Y32" s="489">
        <v>39452</v>
      </c>
      <c r="Z32" s="714" t="s">
        <v>765</v>
      </c>
      <c r="AA32" s="789">
        <v>37.06</v>
      </c>
      <c r="AB32" s="781">
        <f t="shared" si="0"/>
        <v>14.824000000000002</v>
      </c>
      <c r="AC32" s="489">
        <v>39831</v>
      </c>
      <c r="AD32" s="490" t="s">
        <v>767</v>
      </c>
      <c r="AE32" s="713">
        <v>17</v>
      </c>
      <c r="AF32" s="782"/>
      <c r="AG32" s="489">
        <v>40194</v>
      </c>
      <c r="AH32" s="490" t="s">
        <v>1192</v>
      </c>
      <c r="AI32" s="713">
        <v>14</v>
      </c>
      <c r="AJ32" s="782"/>
      <c r="AK32" s="489">
        <v>40561</v>
      </c>
      <c r="AL32" s="490" t="s">
        <v>1193</v>
      </c>
      <c r="AM32" s="786">
        <v>1699</v>
      </c>
      <c r="AN32" s="787">
        <f t="shared" si="1"/>
        <v>38.613636363636367</v>
      </c>
      <c r="AO32" s="489">
        <v>40929</v>
      </c>
      <c r="AP32" s="490" t="s">
        <v>754</v>
      </c>
      <c r="AQ32" s="718">
        <v>70</v>
      </c>
      <c r="AR32" s="787"/>
      <c r="AS32" s="489">
        <v>41283</v>
      </c>
      <c r="AT32" s="490" t="s">
        <v>1194</v>
      </c>
      <c r="AU32" s="718">
        <v>14</v>
      </c>
      <c r="AV32" s="787"/>
      <c r="AW32" s="489">
        <v>41649</v>
      </c>
      <c r="AX32" s="490" t="s">
        <v>1195</v>
      </c>
      <c r="AY32" s="718">
        <v>9</v>
      </c>
      <c r="AZ32" s="787"/>
      <c r="BA32" s="489">
        <v>42022</v>
      </c>
      <c r="BB32" s="490" t="s">
        <v>754</v>
      </c>
      <c r="BC32" s="718">
        <v>142</v>
      </c>
      <c r="BD32" s="787"/>
      <c r="BE32" s="489">
        <v>42378</v>
      </c>
      <c r="BF32" s="490" t="s">
        <v>954</v>
      </c>
      <c r="BG32" s="718">
        <v>70</v>
      </c>
      <c r="BH32" s="787"/>
      <c r="BI32" s="778">
        <v>42750</v>
      </c>
      <c r="BJ32" s="490" t="s">
        <v>1196</v>
      </c>
      <c r="BK32" s="718">
        <v>50</v>
      </c>
      <c r="BL32" s="787"/>
      <c r="BM32" s="778">
        <v>43112</v>
      </c>
      <c r="BN32" s="490" t="s">
        <v>872</v>
      </c>
      <c r="BO32" s="715">
        <v>28</v>
      </c>
      <c r="BP32" s="787"/>
      <c r="BQ32" s="1017">
        <v>43469</v>
      </c>
      <c r="BR32" s="1019" t="s">
        <v>1197</v>
      </c>
      <c r="BS32" s="1063">
        <v>9</v>
      </c>
      <c r="BT32" s="1018" t="s">
        <v>278</v>
      </c>
      <c r="BU32" s="1017">
        <v>43840</v>
      </c>
      <c r="BV32" s="1019" t="s">
        <v>1198</v>
      </c>
      <c r="BW32" s="1063">
        <v>9</v>
      </c>
      <c r="BX32" s="1018" t="s">
        <v>414</v>
      </c>
      <c r="BY32" s="1017">
        <v>44211</v>
      </c>
      <c r="BZ32" s="1019" t="s">
        <v>1199</v>
      </c>
      <c r="CA32" s="1063">
        <v>43</v>
      </c>
      <c r="CB32" s="1018" t="s">
        <v>701</v>
      </c>
      <c r="CC32" s="1017">
        <v>44568</v>
      </c>
      <c r="CD32" s="1019" t="s">
        <v>1200</v>
      </c>
      <c r="CE32" s="1063">
        <v>20</v>
      </c>
      <c r="CF32" s="1018" t="s">
        <v>414</v>
      </c>
      <c r="CG32" s="1017">
        <v>44932</v>
      </c>
      <c r="CH32" s="1019" t="s">
        <v>1201</v>
      </c>
      <c r="CI32" s="1063">
        <v>30</v>
      </c>
      <c r="CJ32" s="1018" t="s">
        <v>278</v>
      </c>
      <c r="CK32" s="1017">
        <v>45296</v>
      </c>
      <c r="CL32" s="1019" t="s">
        <v>1202</v>
      </c>
      <c r="CM32" s="1063">
        <v>70</v>
      </c>
      <c r="CN32" s="1018" t="s">
        <v>280</v>
      </c>
      <c r="CO32" s="1017">
        <v>45668</v>
      </c>
      <c r="CP32" s="1019" t="s">
        <v>1203</v>
      </c>
      <c r="CQ32" s="1063">
        <v>0</v>
      </c>
      <c r="CR32" s="1018" t="s">
        <v>700</v>
      </c>
      <c r="CS32" s="1017"/>
      <c r="CT32" s="1019"/>
      <c r="CU32" s="1063"/>
      <c r="CV32" s="1018"/>
    </row>
    <row r="33" spans="5:100" ht="14.1" customHeight="1">
      <c r="E33" s="489">
        <v>37633</v>
      </c>
      <c r="F33" s="714" t="s">
        <v>1204</v>
      </c>
      <c r="G33" s="491">
        <v>16</v>
      </c>
      <c r="H33" s="493"/>
      <c r="I33" s="489">
        <v>37995</v>
      </c>
      <c r="J33" s="714" t="s">
        <v>1007</v>
      </c>
      <c r="K33" s="491">
        <v>6</v>
      </c>
      <c r="L33" s="493"/>
      <c r="M33" s="489">
        <v>38377</v>
      </c>
      <c r="N33" s="714" t="s">
        <v>1205</v>
      </c>
      <c r="O33" s="491">
        <v>27</v>
      </c>
      <c r="P33" s="769"/>
      <c r="Q33" s="489">
        <v>38738</v>
      </c>
      <c r="R33" s="714" t="s">
        <v>1206</v>
      </c>
      <c r="S33" s="491">
        <v>51</v>
      </c>
      <c r="T33" s="493"/>
      <c r="U33" s="489">
        <v>39097</v>
      </c>
      <c r="V33" s="714" t="s">
        <v>1207</v>
      </c>
      <c r="W33" s="491">
        <f t="shared" si="2"/>
        <v>34.232558139534881</v>
      </c>
      <c r="X33" s="788">
        <v>1472</v>
      </c>
      <c r="Y33" s="489">
        <v>39452</v>
      </c>
      <c r="Z33" s="714" t="s">
        <v>1208</v>
      </c>
      <c r="AA33" s="789">
        <v>73</v>
      </c>
      <c r="AB33" s="781">
        <f>AA33/2.5</f>
        <v>29.2</v>
      </c>
      <c r="AC33" s="489">
        <v>39831</v>
      </c>
      <c r="AD33" s="490" t="s">
        <v>797</v>
      </c>
      <c r="AE33" s="713">
        <v>6</v>
      </c>
      <c r="AF33" s="782"/>
      <c r="AG33" s="489">
        <v>40195</v>
      </c>
      <c r="AH33" s="490" t="s">
        <v>797</v>
      </c>
      <c r="AI33" s="713">
        <v>35</v>
      </c>
      <c r="AJ33" s="782"/>
      <c r="AK33" s="489">
        <v>40561</v>
      </c>
      <c r="AL33" s="490" t="s">
        <v>1209</v>
      </c>
      <c r="AM33" s="786"/>
      <c r="AN33" s="787">
        <f t="shared" si="1"/>
        <v>0</v>
      </c>
      <c r="AO33" s="489">
        <v>40929</v>
      </c>
      <c r="AP33" s="490" t="s">
        <v>781</v>
      </c>
      <c r="AQ33" s="718">
        <v>35</v>
      </c>
      <c r="AR33" s="787"/>
      <c r="AS33" s="489">
        <v>41283</v>
      </c>
      <c r="AT33" s="490" t="s">
        <v>1210</v>
      </c>
      <c r="AU33" s="718">
        <v>4</v>
      </c>
      <c r="AV33" s="787"/>
      <c r="AW33" s="489">
        <v>41650</v>
      </c>
      <c r="AX33" s="490" t="s">
        <v>1211</v>
      </c>
      <c r="AY33" s="718">
        <v>21</v>
      </c>
      <c r="AZ33" s="787"/>
      <c r="BA33" s="489">
        <v>42022</v>
      </c>
      <c r="BB33" s="490" t="s">
        <v>772</v>
      </c>
      <c r="BC33" s="718">
        <v>25</v>
      </c>
      <c r="BD33" s="787"/>
      <c r="BE33" s="489">
        <v>42378</v>
      </c>
      <c r="BF33" s="490" t="s">
        <v>754</v>
      </c>
      <c r="BG33" s="718">
        <v>90</v>
      </c>
      <c r="BH33" s="787"/>
      <c r="BI33" s="489">
        <v>42751</v>
      </c>
      <c r="BJ33" s="490" t="s">
        <v>1212</v>
      </c>
      <c r="BK33" s="718">
        <v>15</v>
      </c>
      <c r="BL33" s="787"/>
      <c r="BM33" s="489">
        <v>43113</v>
      </c>
      <c r="BN33" s="490" t="s">
        <v>823</v>
      </c>
      <c r="BO33" s="715">
        <v>32</v>
      </c>
      <c r="BP33" s="787"/>
      <c r="BQ33" s="1017">
        <v>43469</v>
      </c>
      <c r="BR33" s="1019" t="s">
        <v>1213</v>
      </c>
      <c r="BS33" s="1063">
        <v>5</v>
      </c>
      <c r="BT33" s="1062" t="s">
        <v>712</v>
      </c>
      <c r="BU33" s="1017">
        <v>43840</v>
      </c>
      <c r="BV33" s="1019" t="s">
        <v>1214</v>
      </c>
      <c r="BW33" s="1063">
        <v>3</v>
      </c>
      <c r="BX33" s="1018" t="s">
        <v>414</v>
      </c>
      <c r="BY33" s="1017">
        <v>44211</v>
      </c>
      <c r="BZ33" s="1019" t="s">
        <v>1215</v>
      </c>
      <c r="CA33" s="1063">
        <v>19</v>
      </c>
      <c r="CB33" s="1018" t="s">
        <v>414</v>
      </c>
      <c r="CC33" s="1017">
        <v>44569</v>
      </c>
      <c r="CD33" s="1019" t="s">
        <v>1216</v>
      </c>
      <c r="CE33" s="1063">
        <v>15</v>
      </c>
      <c r="CF33" s="1018" t="s">
        <v>280</v>
      </c>
      <c r="CG33" s="1017">
        <v>44932</v>
      </c>
      <c r="CH33" s="1019" t="s">
        <v>1217</v>
      </c>
      <c r="CI33" s="1063">
        <v>20</v>
      </c>
      <c r="CJ33" s="1018" t="s">
        <v>278</v>
      </c>
      <c r="CK33" s="1017">
        <v>45296</v>
      </c>
      <c r="CL33" s="1019" t="s">
        <v>1218</v>
      </c>
      <c r="CM33" s="1063">
        <v>70</v>
      </c>
      <c r="CN33" s="1018" t="s">
        <v>702</v>
      </c>
      <c r="CO33" s="1017">
        <v>45668</v>
      </c>
      <c r="CP33" s="1019" t="s">
        <v>1219</v>
      </c>
      <c r="CQ33" s="1063">
        <v>140</v>
      </c>
      <c r="CR33" s="1018" t="s">
        <v>700</v>
      </c>
      <c r="CS33" s="1017"/>
      <c r="CT33" s="1019"/>
      <c r="CU33" s="1063"/>
      <c r="CV33" s="1018"/>
    </row>
    <row r="34" spans="5:100" ht="14.1" customHeight="1">
      <c r="E34" s="489">
        <v>37633</v>
      </c>
      <c r="F34" s="714" t="s">
        <v>1220</v>
      </c>
      <c r="G34" s="491">
        <v>10</v>
      </c>
      <c r="H34" s="493"/>
      <c r="I34" s="489">
        <v>37999</v>
      </c>
      <c r="J34" s="714" t="s">
        <v>1221</v>
      </c>
      <c r="K34" s="491">
        <v>21</v>
      </c>
      <c r="L34" s="493"/>
      <c r="M34" s="489">
        <v>38377</v>
      </c>
      <c r="N34" s="714" t="s">
        <v>1222</v>
      </c>
      <c r="O34" s="491">
        <v>322</v>
      </c>
      <c r="P34" s="769"/>
      <c r="Q34" s="489">
        <v>38738</v>
      </c>
      <c r="R34" s="714" t="s">
        <v>1223</v>
      </c>
      <c r="S34" s="491">
        <v>15</v>
      </c>
      <c r="T34" s="493"/>
      <c r="U34" s="489">
        <v>39097</v>
      </c>
      <c r="V34" s="714" t="s">
        <v>1224</v>
      </c>
      <c r="W34" s="491">
        <f t="shared" si="2"/>
        <v>0.46511627906976744</v>
      </c>
      <c r="X34" s="788">
        <v>20</v>
      </c>
      <c r="Y34" s="489">
        <v>39452</v>
      </c>
      <c r="Z34" s="714" t="s">
        <v>1225</v>
      </c>
      <c r="AA34" s="789"/>
      <c r="AB34" s="781">
        <v>18</v>
      </c>
      <c r="AC34" s="489">
        <v>39833</v>
      </c>
      <c r="AD34" s="490" t="s">
        <v>1226</v>
      </c>
      <c r="AE34" s="713">
        <v>4</v>
      </c>
      <c r="AF34" s="782"/>
      <c r="AG34" s="489">
        <v>40195</v>
      </c>
      <c r="AH34" s="490" t="s">
        <v>781</v>
      </c>
      <c r="AI34" s="713">
        <v>85</v>
      </c>
      <c r="AJ34" s="782"/>
      <c r="AK34" s="489">
        <v>40562</v>
      </c>
      <c r="AL34" s="490" t="s">
        <v>1227</v>
      </c>
      <c r="AM34" s="786">
        <v>200</v>
      </c>
      <c r="AN34" s="787">
        <f t="shared" si="1"/>
        <v>4.5454545454545459</v>
      </c>
      <c r="AO34" s="489">
        <v>40930</v>
      </c>
      <c r="AP34" s="490" t="s">
        <v>781</v>
      </c>
      <c r="AQ34" s="718">
        <v>6</v>
      </c>
      <c r="AR34" s="787"/>
      <c r="AS34" s="489">
        <v>41283</v>
      </c>
      <c r="AT34" s="490" t="s">
        <v>1228</v>
      </c>
      <c r="AU34" s="718">
        <v>54</v>
      </c>
      <c r="AV34" s="787"/>
      <c r="AW34" s="489">
        <v>41650</v>
      </c>
      <c r="AX34" s="490" t="s">
        <v>797</v>
      </c>
      <c r="AY34" s="718">
        <v>61</v>
      </c>
      <c r="AZ34" s="787"/>
      <c r="BA34" s="489">
        <v>42023</v>
      </c>
      <c r="BB34" s="490" t="s">
        <v>802</v>
      </c>
      <c r="BC34" s="718">
        <v>29</v>
      </c>
      <c r="BD34" s="787"/>
      <c r="BE34" s="489">
        <v>42380</v>
      </c>
      <c r="BF34" s="490" t="s">
        <v>754</v>
      </c>
      <c r="BG34" s="718">
        <v>12</v>
      </c>
      <c r="BH34" s="787"/>
      <c r="BI34" s="489">
        <v>42751</v>
      </c>
      <c r="BJ34" s="490" t="s">
        <v>1229</v>
      </c>
      <c r="BK34" s="718">
        <v>7</v>
      </c>
      <c r="BL34" s="787"/>
      <c r="BM34" s="489">
        <v>43113</v>
      </c>
      <c r="BN34" s="490" t="s">
        <v>1230</v>
      </c>
      <c r="BO34" s="715">
        <v>16</v>
      </c>
      <c r="BP34" s="787"/>
      <c r="BQ34" s="1017">
        <v>43469</v>
      </c>
      <c r="BR34" s="1019" t="s">
        <v>1231</v>
      </c>
      <c r="BS34" s="1063">
        <v>60</v>
      </c>
      <c r="BT34" s="1062" t="s">
        <v>414</v>
      </c>
      <c r="BU34" s="1017">
        <v>43840</v>
      </c>
      <c r="BV34" s="1019" t="s">
        <v>1232</v>
      </c>
      <c r="BW34" s="1063">
        <v>2</v>
      </c>
      <c r="BX34" s="1018" t="s">
        <v>414</v>
      </c>
      <c r="BY34" s="1017">
        <v>44211</v>
      </c>
      <c r="BZ34" s="1019" t="s">
        <v>1233</v>
      </c>
      <c r="CA34" s="1063">
        <v>16</v>
      </c>
      <c r="CB34" s="1018" t="s">
        <v>414</v>
      </c>
      <c r="CC34" s="1017">
        <v>44569</v>
      </c>
      <c r="CD34" s="1019" t="s">
        <v>1234</v>
      </c>
      <c r="CE34" s="1063">
        <v>0</v>
      </c>
      <c r="CF34" s="1018" t="s">
        <v>280</v>
      </c>
      <c r="CG34" s="1017">
        <v>44932</v>
      </c>
      <c r="CH34" s="1019" t="s">
        <v>1235</v>
      </c>
      <c r="CI34" s="1063">
        <v>18</v>
      </c>
      <c r="CJ34" s="1018" t="s">
        <v>278</v>
      </c>
      <c r="CK34" s="1017">
        <v>45296</v>
      </c>
      <c r="CL34" s="1019" t="s">
        <v>1236</v>
      </c>
      <c r="CM34" s="1063">
        <v>0</v>
      </c>
      <c r="CN34" s="1018" t="s">
        <v>700</v>
      </c>
      <c r="CO34" s="1017">
        <v>45668</v>
      </c>
      <c r="CP34" s="1019" t="s">
        <v>1237</v>
      </c>
      <c r="CQ34" s="1063">
        <v>12</v>
      </c>
      <c r="CR34" s="1018" t="s">
        <v>426</v>
      </c>
      <c r="CS34" s="1017"/>
      <c r="CT34" s="1019"/>
      <c r="CU34" s="1063"/>
      <c r="CV34" s="1018"/>
    </row>
    <row r="35" spans="5:100" ht="14.1" customHeight="1">
      <c r="E35" s="489">
        <v>37634</v>
      </c>
      <c r="F35" s="714" t="s">
        <v>1238</v>
      </c>
      <c r="G35" s="491"/>
      <c r="H35" s="493">
        <v>40</v>
      </c>
      <c r="I35" s="489">
        <v>37999</v>
      </c>
      <c r="J35" s="714" t="s">
        <v>772</v>
      </c>
      <c r="K35" s="491">
        <v>55</v>
      </c>
      <c r="L35" s="493"/>
      <c r="M35" s="489">
        <v>38381</v>
      </c>
      <c r="N35" s="714" t="s">
        <v>1157</v>
      </c>
      <c r="O35" s="491">
        <v>11</v>
      </c>
      <c r="P35" s="769"/>
      <c r="Q35" s="489">
        <v>38739</v>
      </c>
      <c r="R35" s="714" t="s">
        <v>1239</v>
      </c>
      <c r="S35" s="491">
        <v>8</v>
      </c>
      <c r="T35" s="493"/>
      <c r="U35" s="489">
        <v>39097</v>
      </c>
      <c r="V35" s="714" t="s">
        <v>1240</v>
      </c>
      <c r="W35" s="491">
        <f t="shared" si="2"/>
        <v>32.558139534883722</v>
      </c>
      <c r="X35" s="788">
        <v>1400</v>
      </c>
      <c r="Y35" s="489">
        <v>39452</v>
      </c>
      <c r="Z35" s="714" t="s">
        <v>1241</v>
      </c>
      <c r="AA35" s="789">
        <v>33</v>
      </c>
      <c r="AB35" s="781">
        <f>AA35/2</f>
        <v>16.5</v>
      </c>
      <c r="AC35" s="489">
        <v>39834</v>
      </c>
      <c r="AD35" s="490" t="s">
        <v>1226</v>
      </c>
      <c r="AE35" s="713">
        <v>4</v>
      </c>
      <c r="AF35" s="782"/>
      <c r="AG35" s="489">
        <v>40195</v>
      </c>
      <c r="AH35" s="490" t="s">
        <v>960</v>
      </c>
      <c r="AI35" s="713">
        <v>23</v>
      </c>
      <c r="AJ35" s="782"/>
      <c r="AK35" s="489">
        <v>40562</v>
      </c>
      <c r="AL35" s="490" t="s">
        <v>1242</v>
      </c>
      <c r="AM35" s="786">
        <v>600</v>
      </c>
      <c r="AN35" s="787">
        <f t="shared" si="1"/>
        <v>13.636363636363637</v>
      </c>
      <c r="AO35" s="489">
        <v>40930</v>
      </c>
      <c r="AP35" s="490" t="s">
        <v>867</v>
      </c>
      <c r="AQ35" s="718">
        <v>20</v>
      </c>
      <c r="AR35" s="787"/>
      <c r="AS35" s="489">
        <v>41283</v>
      </c>
      <c r="AT35" s="490" t="s">
        <v>1243</v>
      </c>
      <c r="AU35" s="718">
        <v>550</v>
      </c>
      <c r="AV35" s="787"/>
      <c r="AW35" s="489">
        <v>41650</v>
      </c>
      <c r="AX35" s="490" t="s">
        <v>1244</v>
      </c>
      <c r="AY35" s="718">
        <v>20</v>
      </c>
      <c r="AZ35" s="787"/>
      <c r="BA35" s="489">
        <v>42024</v>
      </c>
      <c r="BB35" s="490" t="s">
        <v>797</v>
      </c>
      <c r="BC35" s="718">
        <v>14</v>
      </c>
      <c r="BD35" s="787"/>
      <c r="BE35" s="489">
        <v>42381</v>
      </c>
      <c r="BF35" s="490" t="s">
        <v>1245</v>
      </c>
      <c r="BG35" s="718">
        <v>8</v>
      </c>
      <c r="BH35" s="787"/>
      <c r="BI35" s="489">
        <v>42755</v>
      </c>
      <c r="BJ35" s="490" t="s">
        <v>797</v>
      </c>
      <c r="BK35" s="718">
        <v>51</v>
      </c>
      <c r="BL35" s="787"/>
      <c r="BM35" s="489">
        <v>43113</v>
      </c>
      <c r="BN35" s="490" t="s">
        <v>1246</v>
      </c>
      <c r="BO35" s="715">
        <v>4</v>
      </c>
      <c r="BP35" s="787"/>
      <c r="BQ35" s="1017">
        <v>43469</v>
      </c>
      <c r="BR35" s="1019" t="s">
        <v>1247</v>
      </c>
      <c r="BS35" s="1063">
        <v>30</v>
      </c>
      <c r="BT35" s="1062" t="s">
        <v>414</v>
      </c>
      <c r="BU35" s="1017">
        <v>43842</v>
      </c>
      <c r="BV35" s="1019" t="s">
        <v>772</v>
      </c>
      <c r="BW35" s="1063">
        <v>10</v>
      </c>
      <c r="BX35" s="1018" t="s">
        <v>414</v>
      </c>
      <c r="BY35" s="1017">
        <v>44211</v>
      </c>
      <c r="BZ35" s="1019" t="s">
        <v>1248</v>
      </c>
      <c r="CA35" s="1063">
        <v>15</v>
      </c>
      <c r="CB35" s="1018" t="s">
        <v>414</v>
      </c>
      <c r="CC35" s="1017">
        <v>44569</v>
      </c>
      <c r="CD35" s="1019" t="s">
        <v>845</v>
      </c>
      <c r="CE35" s="1063">
        <v>52</v>
      </c>
      <c r="CF35" s="1018" t="s">
        <v>414</v>
      </c>
      <c r="CG35" s="1017">
        <v>44932</v>
      </c>
      <c r="CH35" s="1019" t="s">
        <v>1249</v>
      </c>
      <c r="CI35" s="1063">
        <v>10</v>
      </c>
      <c r="CJ35" s="1018" t="s">
        <v>278</v>
      </c>
      <c r="CK35" s="1017">
        <v>45297</v>
      </c>
      <c r="CL35" s="1019" t="s">
        <v>772</v>
      </c>
      <c r="CM35" s="1063">
        <v>45</v>
      </c>
      <c r="CN35" s="1018" t="s">
        <v>414</v>
      </c>
      <c r="CO35" s="1017">
        <v>45668</v>
      </c>
      <c r="CP35" s="1019" t="s">
        <v>797</v>
      </c>
      <c r="CQ35" s="1063">
        <v>60</v>
      </c>
      <c r="CR35" s="1018" t="s">
        <v>410</v>
      </c>
      <c r="CS35" s="1017"/>
      <c r="CT35" s="1019"/>
      <c r="CU35" s="1063"/>
      <c r="CV35" s="1018"/>
    </row>
    <row r="36" spans="5:100" ht="14.1" customHeight="1">
      <c r="E36" s="489">
        <v>37634</v>
      </c>
      <c r="F36" s="714" t="s">
        <v>1250</v>
      </c>
      <c r="G36" s="491">
        <v>190</v>
      </c>
      <c r="H36" s="493"/>
      <c r="I36" s="489">
        <v>37999</v>
      </c>
      <c r="J36" s="714" t="s">
        <v>1251</v>
      </c>
      <c r="K36" s="491">
        <v>30</v>
      </c>
      <c r="L36" s="493"/>
      <c r="M36" s="489">
        <v>38381</v>
      </c>
      <c r="N36" s="714" t="s">
        <v>1252</v>
      </c>
      <c r="O36" s="491">
        <v>7</v>
      </c>
      <c r="P36" s="769"/>
      <c r="Q36" s="489">
        <v>38739</v>
      </c>
      <c r="R36" s="714" t="s">
        <v>1253</v>
      </c>
      <c r="S36" s="491">
        <v>2</v>
      </c>
      <c r="T36" s="493"/>
      <c r="U36" s="489">
        <v>39097</v>
      </c>
      <c r="V36" s="714" t="s">
        <v>1254</v>
      </c>
      <c r="W36" s="491">
        <f t="shared" si="2"/>
        <v>20.930232558139537</v>
      </c>
      <c r="X36" s="788">
        <v>900</v>
      </c>
      <c r="Y36" s="489">
        <v>39453</v>
      </c>
      <c r="Z36" s="714" t="s">
        <v>1255</v>
      </c>
      <c r="AA36" s="789">
        <v>108</v>
      </c>
      <c r="AB36" s="781">
        <f>AA36/2.5</f>
        <v>43.2</v>
      </c>
      <c r="AC36" s="489">
        <v>39835</v>
      </c>
      <c r="AD36" s="490" t="s">
        <v>797</v>
      </c>
      <c r="AE36" s="713">
        <v>11</v>
      </c>
      <c r="AF36" s="782"/>
      <c r="AG36" s="489">
        <v>40195</v>
      </c>
      <c r="AH36" s="490" t="s">
        <v>1256</v>
      </c>
      <c r="AI36" s="713">
        <v>81</v>
      </c>
      <c r="AJ36" s="782"/>
      <c r="AK36" s="489">
        <v>40562</v>
      </c>
      <c r="AL36" s="490" t="s">
        <v>1257</v>
      </c>
      <c r="AM36" s="786">
        <v>200</v>
      </c>
      <c r="AN36" s="787">
        <f t="shared" si="1"/>
        <v>4.5454545454545459</v>
      </c>
      <c r="AO36" s="489">
        <v>40930</v>
      </c>
      <c r="AP36" s="490" t="s">
        <v>1258</v>
      </c>
      <c r="AQ36" s="718">
        <v>14</v>
      </c>
      <c r="AR36" s="787"/>
      <c r="AS36" s="489">
        <v>41283</v>
      </c>
      <c r="AT36" s="490" t="s">
        <v>1259</v>
      </c>
      <c r="AU36" s="718">
        <v>11</v>
      </c>
      <c r="AV36" s="787"/>
      <c r="AW36" s="489">
        <v>41650</v>
      </c>
      <c r="AX36" s="490" t="s">
        <v>754</v>
      </c>
      <c r="AY36" s="718">
        <v>123</v>
      </c>
      <c r="AZ36" s="787"/>
      <c r="BA36" s="489">
        <v>42028</v>
      </c>
      <c r="BB36" s="490" t="s">
        <v>1260</v>
      </c>
      <c r="BC36" s="718">
        <v>24</v>
      </c>
      <c r="BD36" s="787"/>
      <c r="BE36" s="489">
        <v>42381</v>
      </c>
      <c r="BF36" s="490" t="s">
        <v>797</v>
      </c>
      <c r="BG36" s="718">
        <v>34</v>
      </c>
      <c r="BH36" s="787"/>
      <c r="BI36" s="489">
        <v>42756</v>
      </c>
      <c r="BJ36" s="490" t="s">
        <v>823</v>
      </c>
      <c r="BK36" s="718">
        <v>36</v>
      </c>
      <c r="BL36" s="787"/>
      <c r="BM36" s="489">
        <v>43113</v>
      </c>
      <c r="BN36" s="490" t="s">
        <v>859</v>
      </c>
      <c r="BO36" s="715">
        <v>23</v>
      </c>
      <c r="BP36" s="787"/>
      <c r="BQ36" s="1017">
        <v>43469</v>
      </c>
      <c r="BR36" s="1019" t="s">
        <v>1261</v>
      </c>
      <c r="BS36" s="1063">
        <v>25</v>
      </c>
      <c r="BT36" s="1062" t="s">
        <v>707</v>
      </c>
      <c r="BU36" s="1017">
        <v>43842</v>
      </c>
      <c r="BV36" s="1019" t="s">
        <v>828</v>
      </c>
      <c r="BW36" s="1063">
        <v>39</v>
      </c>
      <c r="BX36" s="1018" t="s">
        <v>414</v>
      </c>
      <c r="BY36" s="1017">
        <v>44211</v>
      </c>
      <c r="BZ36" s="1019" t="s">
        <v>1262</v>
      </c>
      <c r="CA36" s="1063">
        <v>10</v>
      </c>
      <c r="CB36" s="1018" t="s">
        <v>414</v>
      </c>
      <c r="CC36" s="1017">
        <v>44569</v>
      </c>
      <c r="CD36" s="1019" t="s">
        <v>772</v>
      </c>
      <c r="CE36" s="1063">
        <v>12</v>
      </c>
      <c r="CF36" s="1018" t="s">
        <v>414</v>
      </c>
      <c r="CG36" s="1017">
        <v>44932</v>
      </c>
      <c r="CH36" s="1019" t="s">
        <v>1004</v>
      </c>
      <c r="CI36" s="1063">
        <v>20</v>
      </c>
      <c r="CJ36" s="1018" t="s">
        <v>278</v>
      </c>
      <c r="CK36" s="1017">
        <v>45297</v>
      </c>
      <c r="CL36" s="1019" t="s">
        <v>845</v>
      </c>
      <c r="CM36" s="1063">
        <v>30</v>
      </c>
      <c r="CN36" s="1018" t="s">
        <v>414</v>
      </c>
      <c r="CO36" s="1017">
        <v>45669</v>
      </c>
      <c r="CP36" s="1019" t="s">
        <v>1263</v>
      </c>
      <c r="CQ36" s="1063">
        <v>11</v>
      </c>
      <c r="CR36" s="1018" t="s">
        <v>280</v>
      </c>
      <c r="CS36" s="1017"/>
      <c r="CT36" s="1019"/>
      <c r="CU36" s="1063"/>
      <c r="CV36" s="1018"/>
    </row>
    <row r="37" spans="5:100" ht="14.1" customHeight="1">
      <c r="E37" s="489">
        <v>37635</v>
      </c>
      <c r="F37" s="714" t="s">
        <v>1264</v>
      </c>
      <c r="G37" s="491">
        <v>26</v>
      </c>
      <c r="H37" s="493"/>
      <c r="I37" s="489">
        <v>38000</v>
      </c>
      <c r="J37" s="714" t="s">
        <v>1265</v>
      </c>
      <c r="K37" s="491">
        <v>106</v>
      </c>
      <c r="L37" s="493"/>
      <c r="M37" s="489">
        <v>38382</v>
      </c>
      <c r="N37" s="714" t="s">
        <v>1266</v>
      </c>
      <c r="O37" s="491">
        <v>31</v>
      </c>
      <c r="P37" s="769"/>
      <c r="Q37" s="489">
        <v>38739</v>
      </c>
      <c r="R37" s="714" t="s">
        <v>1267</v>
      </c>
      <c r="S37" s="491">
        <v>9</v>
      </c>
      <c r="T37" s="493"/>
      <c r="U37" s="489">
        <v>39097</v>
      </c>
      <c r="V37" s="714" t="s">
        <v>1268</v>
      </c>
      <c r="W37" s="491">
        <f t="shared" si="2"/>
        <v>11.627906976744185</v>
      </c>
      <c r="X37" s="788">
        <v>500</v>
      </c>
      <c r="Y37" s="489">
        <v>39453</v>
      </c>
      <c r="Z37" s="714" t="s">
        <v>1269</v>
      </c>
      <c r="AA37" s="789"/>
      <c r="AB37" s="781">
        <v>20</v>
      </c>
      <c r="AC37" s="489">
        <v>39835</v>
      </c>
      <c r="AD37" s="490" t="s">
        <v>1226</v>
      </c>
      <c r="AE37" s="713">
        <v>4</v>
      </c>
      <c r="AF37" s="782"/>
      <c r="AG37" s="489">
        <v>40197</v>
      </c>
      <c r="AH37" s="490" t="s">
        <v>1270</v>
      </c>
      <c r="AI37" s="713">
        <v>7</v>
      </c>
      <c r="AJ37" s="782"/>
      <c r="AK37" s="489">
        <v>40563</v>
      </c>
      <c r="AL37" s="490" t="s">
        <v>1271</v>
      </c>
      <c r="AM37" s="786">
        <v>116000</v>
      </c>
      <c r="AN37" s="787">
        <f t="shared" si="1"/>
        <v>2636.3636363636365</v>
      </c>
      <c r="AO37" s="489">
        <v>40930</v>
      </c>
      <c r="AP37" s="490" t="s">
        <v>1272</v>
      </c>
      <c r="AQ37" s="718">
        <v>20</v>
      </c>
      <c r="AR37" s="787"/>
      <c r="AS37" s="489">
        <v>41283</v>
      </c>
      <c r="AT37" s="490" t="s">
        <v>1273</v>
      </c>
      <c r="AU37" s="718">
        <v>75</v>
      </c>
      <c r="AV37" s="787"/>
      <c r="AW37" s="489">
        <v>41651</v>
      </c>
      <c r="AX37" s="490" t="s">
        <v>781</v>
      </c>
      <c r="AY37" s="718">
        <v>34</v>
      </c>
      <c r="AZ37" s="787"/>
      <c r="BA37" s="489">
        <v>42029</v>
      </c>
      <c r="BB37" s="490" t="s">
        <v>772</v>
      </c>
      <c r="BC37" s="718">
        <v>45</v>
      </c>
      <c r="BD37" s="787"/>
      <c r="BE37" s="489">
        <v>42381</v>
      </c>
      <c r="BF37" s="490" t="s">
        <v>1274</v>
      </c>
      <c r="BG37" s="718">
        <v>20</v>
      </c>
      <c r="BH37" s="787"/>
      <c r="BI37" s="489">
        <v>42756</v>
      </c>
      <c r="BJ37" s="490" t="s">
        <v>859</v>
      </c>
      <c r="BK37" s="718">
        <v>15</v>
      </c>
      <c r="BL37" s="787"/>
      <c r="BM37" s="489">
        <v>43114</v>
      </c>
      <c r="BN37" s="490" t="s">
        <v>873</v>
      </c>
      <c r="BO37" s="715">
        <v>49</v>
      </c>
      <c r="BP37" s="787"/>
      <c r="BQ37" s="1017">
        <v>43469</v>
      </c>
      <c r="BR37" s="1019" t="s">
        <v>1275</v>
      </c>
      <c r="BS37" s="1063">
        <v>45</v>
      </c>
      <c r="BT37" s="1062" t="s">
        <v>707</v>
      </c>
      <c r="BU37" s="1017">
        <v>43842</v>
      </c>
      <c r="BV37" s="1019" t="s">
        <v>845</v>
      </c>
      <c r="BW37" s="1063">
        <v>45</v>
      </c>
      <c r="BX37" s="1018" t="s">
        <v>414</v>
      </c>
      <c r="BY37" s="1017">
        <v>44211</v>
      </c>
      <c r="BZ37" s="1019" t="s">
        <v>1276</v>
      </c>
      <c r="CA37" s="1063">
        <v>21</v>
      </c>
      <c r="CB37" s="1018" t="s">
        <v>414</v>
      </c>
      <c r="CC37" s="1017">
        <v>44569</v>
      </c>
      <c r="CD37" s="1019" t="s">
        <v>872</v>
      </c>
      <c r="CE37" s="1063">
        <v>11</v>
      </c>
      <c r="CF37" s="1018" t="s">
        <v>414</v>
      </c>
      <c r="CG37" s="1017">
        <v>44932</v>
      </c>
      <c r="CH37" s="1019" t="s">
        <v>1277</v>
      </c>
      <c r="CI37" s="1063">
        <v>18</v>
      </c>
      <c r="CJ37" s="1018" t="s">
        <v>280</v>
      </c>
      <c r="CK37" s="1017">
        <v>45300</v>
      </c>
      <c r="CL37" s="1019" t="s">
        <v>1278</v>
      </c>
      <c r="CM37" s="1063">
        <v>11</v>
      </c>
      <c r="CN37" s="1018" t="s">
        <v>414</v>
      </c>
      <c r="CO37" s="1017">
        <v>45669</v>
      </c>
      <c r="CP37" s="1019" t="s">
        <v>1279</v>
      </c>
      <c r="CQ37" s="1063">
        <v>11</v>
      </c>
      <c r="CR37" s="1018" t="s">
        <v>280</v>
      </c>
      <c r="CS37" s="1017"/>
      <c r="CT37" s="1019"/>
      <c r="CU37" s="1063"/>
      <c r="CV37" s="1018"/>
    </row>
    <row r="38" spans="5:100" ht="14.1" customHeight="1">
      <c r="E38" s="489">
        <v>37635</v>
      </c>
      <c r="F38" s="714" t="s">
        <v>1280</v>
      </c>
      <c r="G38" s="491"/>
      <c r="H38" s="493">
        <v>30</v>
      </c>
      <c r="I38" s="489">
        <v>38000</v>
      </c>
      <c r="J38" s="714" t="s">
        <v>1281</v>
      </c>
      <c r="K38" s="491">
        <v>24</v>
      </c>
      <c r="L38" s="493"/>
      <c r="M38" s="489">
        <v>38382</v>
      </c>
      <c r="N38" s="714" t="s">
        <v>1282</v>
      </c>
      <c r="O38" s="491">
        <v>5</v>
      </c>
      <c r="P38" s="769"/>
      <c r="Q38" s="489">
        <v>38740</v>
      </c>
      <c r="R38" s="714" t="s">
        <v>786</v>
      </c>
      <c r="S38" s="491">
        <v>2</v>
      </c>
      <c r="T38" s="493"/>
      <c r="U38" s="489">
        <v>39098</v>
      </c>
      <c r="V38" s="714" t="s">
        <v>1283</v>
      </c>
      <c r="W38" s="491">
        <f t="shared" si="2"/>
        <v>6.3953488372093021</v>
      </c>
      <c r="X38" s="788">
        <v>275</v>
      </c>
      <c r="Y38" s="489">
        <v>39453</v>
      </c>
      <c r="Z38" s="714" t="s">
        <v>1284</v>
      </c>
      <c r="AA38" s="789"/>
      <c r="AB38" s="781">
        <v>10</v>
      </c>
      <c r="AC38" s="489">
        <v>39836</v>
      </c>
      <c r="AD38" s="490" t="s">
        <v>1226</v>
      </c>
      <c r="AE38" s="713">
        <v>4</v>
      </c>
      <c r="AF38" s="782"/>
      <c r="AG38" s="489">
        <v>40200</v>
      </c>
      <c r="AH38" s="490" t="s">
        <v>797</v>
      </c>
      <c r="AI38" s="713">
        <v>39</v>
      </c>
      <c r="AJ38" s="782"/>
      <c r="AK38" s="489">
        <v>40563</v>
      </c>
      <c r="AL38" s="490" t="s">
        <v>1285</v>
      </c>
      <c r="AM38" s="786">
        <v>500</v>
      </c>
      <c r="AN38" s="787">
        <f t="shared" si="1"/>
        <v>11.363636363636363</v>
      </c>
      <c r="AO38" s="489">
        <v>40933</v>
      </c>
      <c r="AP38" s="490" t="s">
        <v>1286</v>
      </c>
      <c r="AQ38" s="718">
        <v>36</v>
      </c>
      <c r="AR38" s="787"/>
      <c r="AS38" s="489">
        <v>41283</v>
      </c>
      <c r="AT38" s="490" t="s">
        <v>1287</v>
      </c>
      <c r="AU38" s="718">
        <v>45</v>
      </c>
      <c r="AV38" s="787"/>
      <c r="AW38" s="489">
        <v>41651</v>
      </c>
      <c r="AX38" s="490" t="s">
        <v>1288</v>
      </c>
      <c r="AY38" s="718">
        <v>11</v>
      </c>
      <c r="AZ38" s="787"/>
      <c r="BA38" s="489">
        <v>42029</v>
      </c>
      <c r="BB38" s="490" t="s">
        <v>754</v>
      </c>
      <c r="BC38" s="718">
        <v>110</v>
      </c>
      <c r="BD38" s="787"/>
      <c r="BE38" s="489">
        <v>42383</v>
      </c>
      <c r="BF38" s="490" t="s">
        <v>1289</v>
      </c>
      <c r="BG38" s="718">
        <v>10</v>
      </c>
      <c r="BH38" s="787"/>
      <c r="BI38" s="489">
        <v>42757</v>
      </c>
      <c r="BJ38" s="490" t="s">
        <v>1290</v>
      </c>
      <c r="BK38" s="718">
        <v>46</v>
      </c>
      <c r="BL38" s="787"/>
      <c r="BM38" s="489">
        <v>43114</v>
      </c>
      <c r="BN38" s="490" t="s">
        <v>872</v>
      </c>
      <c r="BO38" s="715">
        <v>8</v>
      </c>
      <c r="BP38" s="787"/>
      <c r="BQ38" s="1017">
        <v>43469</v>
      </c>
      <c r="BR38" s="1019" t="s">
        <v>1291</v>
      </c>
      <c r="BS38" s="1063">
        <v>13</v>
      </c>
      <c r="BT38" s="1062" t="s">
        <v>280</v>
      </c>
      <c r="BU38" s="1017">
        <v>43842</v>
      </c>
      <c r="BV38" s="1019" t="s">
        <v>873</v>
      </c>
      <c r="BW38" s="1063">
        <v>21</v>
      </c>
      <c r="BX38" s="1018" t="s">
        <v>414</v>
      </c>
      <c r="BY38" s="1017">
        <v>44211</v>
      </c>
      <c r="BZ38" s="1019" t="s">
        <v>1292</v>
      </c>
      <c r="CA38" s="1063">
        <v>8</v>
      </c>
      <c r="CB38" s="1018" t="s">
        <v>414</v>
      </c>
      <c r="CC38" s="1017">
        <v>44569</v>
      </c>
      <c r="CD38" s="1019" t="s">
        <v>1293</v>
      </c>
      <c r="CE38" s="1063">
        <v>28</v>
      </c>
      <c r="CF38" s="1018" t="s">
        <v>414</v>
      </c>
      <c r="CG38" s="1017">
        <v>44932</v>
      </c>
      <c r="CH38" s="1019" t="s">
        <v>1294</v>
      </c>
      <c r="CI38" s="1063">
        <v>20</v>
      </c>
      <c r="CJ38" s="1018" t="s">
        <v>700</v>
      </c>
      <c r="CK38" s="1017">
        <v>45300</v>
      </c>
      <c r="CL38" s="1019" t="s">
        <v>1295</v>
      </c>
      <c r="CM38" s="1063" t="s">
        <v>37</v>
      </c>
      <c r="CN38" s="1018" t="s">
        <v>700</v>
      </c>
      <c r="CO38" s="1017">
        <v>45675</v>
      </c>
      <c r="CP38" s="1019" t="s">
        <v>845</v>
      </c>
      <c r="CQ38" s="1063">
        <v>19</v>
      </c>
      <c r="CR38" s="1018" t="s">
        <v>414</v>
      </c>
      <c r="CS38" s="1017"/>
      <c r="CT38" s="1019"/>
      <c r="CU38" s="1063"/>
      <c r="CV38" s="1018"/>
    </row>
    <row r="39" spans="5:100" ht="14.1" customHeight="1">
      <c r="E39" s="489">
        <v>37635</v>
      </c>
      <c r="F39" s="714" t="s">
        <v>1296</v>
      </c>
      <c r="G39" s="491"/>
      <c r="H39" s="493">
        <v>25</v>
      </c>
      <c r="I39" s="489">
        <v>38000</v>
      </c>
      <c r="J39" s="714" t="s">
        <v>772</v>
      </c>
      <c r="K39" s="491">
        <v>23</v>
      </c>
      <c r="L39" s="493"/>
      <c r="M39" s="489">
        <v>38383</v>
      </c>
      <c r="N39" s="714" t="s">
        <v>802</v>
      </c>
      <c r="O39" s="491">
        <v>28</v>
      </c>
      <c r="P39" s="769"/>
      <c r="Q39" s="489">
        <v>38740</v>
      </c>
      <c r="R39" s="714" t="s">
        <v>1297</v>
      </c>
      <c r="S39" s="491">
        <v>4</v>
      </c>
      <c r="T39" s="493"/>
      <c r="U39" s="489">
        <v>39098</v>
      </c>
      <c r="V39" s="714" t="s">
        <v>1298</v>
      </c>
      <c r="W39" s="491">
        <f t="shared" si="2"/>
        <v>11.627906976744185</v>
      </c>
      <c r="X39" s="788">
        <v>500</v>
      </c>
      <c r="Y39" s="489">
        <v>39454</v>
      </c>
      <c r="Z39" s="714" t="s">
        <v>765</v>
      </c>
      <c r="AA39" s="789">
        <v>14.03</v>
      </c>
      <c r="AB39" s="781">
        <f>AA39/2.5</f>
        <v>5.6120000000000001</v>
      </c>
      <c r="AC39" s="489">
        <v>39836</v>
      </c>
      <c r="AD39" s="490" t="s">
        <v>797</v>
      </c>
      <c r="AE39" s="713">
        <v>11</v>
      </c>
      <c r="AF39" s="782"/>
      <c r="AG39" s="489">
        <v>40201</v>
      </c>
      <c r="AH39" s="490" t="s">
        <v>1299</v>
      </c>
      <c r="AI39" s="713">
        <v>28</v>
      </c>
      <c r="AJ39" s="782"/>
      <c r="AK39" s="489">
        <v>40563</v>
      </c>
      <c r="AL39" s="490" t="s">
        <v>1300</v>
      </c>
      <c r="AM39" s="786">
        <v>500</v>
      </c>
      <c r="AN39" s="787">
        <f t="shared" si="1"/>
        <v>11.363636363636363</v>
      </c>
      <c r="AO39" s="489">
        <v>40933</v>
      </c>
      <c r="AP39" s="490" t="s">
        <v>1301</v>
      </c>
      <c r="AQ39" s="718">
        <v>13</v>
      </c>
      <c r="AR39" s="787"/>
      <c r="AS39" s="489">
        <v>41284</v>
      </c>
      <c r="AT39" s="490" t="s">
        <v>1302</v>
      </c>
      <c r="AU39" s="718">
        <v>19</v>
      </c>
      <c r="AV39" s="787"/>
      <c r="AW39" s="489">
        <v>41651</v>
      </c>
      <c r="AX39" s="490" t="s">
        <v>1303</v>
      </c>
      <c r="AY39" s="718">
        <v>21</v>
      </c>
      <c r="AZ39" s="787"/>
      <c r="BA39" s="489">
        <v>42029</v>
      </c>
      <c r="BB39" s="490" t="s">
        <v>781</v>
      </c>
      <c r="BC39" s="718">
        <v>39</v>
      </c>
      <c r="BD39" s="787"/>
      <c r="BE39" s="489">
        <v>42383</v>
      </c>
      <c r="BF39" s="490" t="s">
        <v>1304</v>
      </c>
      <c r="BG39" s="718">
        <v>168</v>
      </c>
      <c r="BH39" s="787"/>
      <c r="BI39" s="489">
        <v>42757</v>
      </c>
      <c r="BJ39" s="490" t="s">
        <v>1305</v>
      </c>
      <c r="BK39" s="718">
        <v>16</v>
      </c>
      <c r="BL39" s="787"/>
      <c r="BM39" s="489">
        <v>43114</v>
      </c>
      <c r="BN39" s="490" t="s">
        <v>797</v>
      </c>
      <c r="BO39" s="715">
        <v>48</v>
      </c>
      <c r="BP39" s="787"/>
      <c r="BQ39" s="1017">
        <v>43470</v>
      </c>
      <c r="BR39" s="1019" t="s">
        <v>872</v>
      </c>
      <c r="BS39" s="1063">
        <v>15</v>
      </c>
      <c r="BT39" s="1062" t="s">
        <v>414</v>
      </c>
      <c r="BU39" s="1017">
        <v>43842</v>
      </c>
      <c r="BV39" s="1019" t="s">
        <v>1306</v>
      </c>
      <c r="BW39" s="1063">
        <v>68</v>
      </c>
      <c r="BX39" s="1062" t="s">
        <v>426</v>
      </c>
      <c r="BY39" s="1017">
        <v>44211</v>
      </c>
      <c r="BZ39" s="1019" t="s">
        <v>1307</v>
      </c>
      <c r="CA39" s="1063">
        <v>10</v>
      </c>
      <c r="CB39" s="1018" t="s">
        <v>414</v>
      </c>
      <c r="CC39" s="1017">
        <v>44570</v>
      </c>
      <c r="CD39" s="1019" t="s">
        <v>1180</v>
      </c>
      <c r="CE39" s="1063">
        <v>115</v>
      </c>
      <c r="CF39" s="1018" t="s">
        <v>410</v>
      </c>
      <c r="CG39" s="1017">
        <v>44932</v>
      </c>
      <c r="CH39" s="1019" t="s">
        <v>1308</v>
      </c>
      <c r="CI39" s="1063">
        <v>45</v>
      </c>
      <c r="CJ39" s="1018" t="s">
        <v>707</v>
      </c>
      <c r="CK39" s="1017">
        <v>45300</v>
      </c>
      <c r="CL39" s="1019" t="s">
        <v>1005</v>
      </c>
      <c r="CM39" s="1063">
        <v>25</v>
      </c>
      <c r="CN39" s="1018" t="s">
        <v>414</v>
      </c>
      <c r="CO39" s="1017">
        <v>45675</v>
      </c>
      <c r="CP39" s="1019" t="s">
        <v>1309</v>
      </c>
      <c r="CQ39" s="1063">
        <v>160</v>
      </c>
      <c r="CR39" s="1018" t="s">
        <v>280</v>
      </c>
      <c r="CS39" s="1017"/>
      <c r="CT39" s="1019"/>
      <c r="CU39" s="1063"/>
      <c r="CV39" s="1018"/>
    </row>
    <row r="40" spans="5:100" ht="14.1" customHeight="1">
      <c r="E40" s="489">
        <v>37635</v>
      </c>
      <c r="F40" s="714" t="s">
        <v>1310</v>
      </c>
      <c r="G40" s="491"/>
      <c r="H40" s="493">
        <v>2</v>
      </c>
      <c r="I40" s="489">
        <v>38003</v>
      </c>
      <c r="J40" s="714" t="s">
        <v>1311</v>
      </c>
      <c r="K40" s="491">
        <v>13</v>
      </c>
      <c r="L40" s="493"/>
      <c r="M40" s="489"/>
      <c r="N40" s="714"/>
      <c r="O40" s="491"/>
      <c r="P40" s="769"/>
      <c r="Q40" s="489">
        <v>38741</v>
      </c>
      <c r="R40" s="714" t="s">
        <v>1312</v>
      </c>
      <c r="S40" s="491">
        <v>15</v>
      </c>
      <c r="T40" s="493"/>
      <c r="U40" s="489">
        <v>39099</v>
      </c>
      <c r="V40" s="714" t="s">
        <v>1313</v>
      </c>
      <c r="W40" s="491">
        <f t="shared" si="2"/>
        <v>1.1627906976744187</v>
      </c>
      <c r="X40" s="788">
        <v>50</v>
      </c>
      <c r="Y40" s="489">
        <v>39454</v>
      </c>
      <c r="Z40" s="714" t="s">
        <v>1314</v>
      </c>
      <c r="AA40" s="789">
        <v>85</v>
      </c>
      <c r="AB40" s="781">
        <f>AA40/2</f>
        <v>42.5</v>
      </c>
      <c r="AC40" s="489">
        <v>39838</v>
      </c>
      <c r="AD40" s="490" t="s">
        <v>767</v>
      </c>
      <c r="AE40" s="713">
        <v>14</v>
      </c>
      <c r="AF40" s="782"/>
      <c r="AG40" s="489">
        <v>40201</v>
      </c>
      <c r="AH40" s="490" t="s">
        <v>1315</v>
      </c>
      <c r="AI40" s="713">
        <v>20</v>
      </c>
      <c r="AJ40" s="782"/>
      <c r="AK40" s="489">
        <v>40563</v>
      </c>
      <c r="AL40" s="490" t="s">
        <v>942</v>
      </c>
      <c r="AM40" s="786">
        <v>1200</v>
      </c>
      <c r="AN40" s="787">
        <f t="shared" si="1"/>
        <v>27.272727272727273</v>
      </c>
      <c r="AO40" s="489">
        <v>40934</v>
      </c>
      <c r="AP40" s="490" t="s">
        <v>802</v>
      </c>
      <c r="AQ40" s="718">
        <v>40</v>
      </c>
      <c r="AR40" s="787"/>
      <c r="AS40" s="489">
        <v>41284</v>
      </c>
      <c r="AT40" s="490" t="s">
        <v>1316</v>
      </c>
      <c r="AU40" s="718">
        <v>20</v>
      </c>
      <c r="AV40" s="787"/>
      <c r="AW40" s="489">
        <v>41653</v>
      </c>
      <c r="AX40" s="490" t="s">
        <v>802</v>
      </c>
      <c r="AY40" s="718">
        <v>51</v>
      </c>
      <c r="AZ40" s="787"/>
      <c r="BA40" s="489">
        <v>42029</v>
      </c>
      <c r="BB40" s="490" t="s">
        <v>1317</v>
      </c>
      <c r="BC40" s="718">
        <v>10</v>
      </c>
      <c r="BD40" s="787"/>
      <c r="BE40" s="489">
        <v>42383</v>
      </c>
      <c r="BF40" s="490" t="s">
        <v>1318</v>
      </c>
      <c r="BG40" s="718">
        <v>12</v>
      </c>
      <c r="BH40" s="787"/>
      <c r="BI40" s="489">
        <v>42757</v>
      </c>
      <c r="BJ40" s="490" t="s">
        <v>1319</v>
      </c>
      <c r="BK40" s="718">
        <v>22</v>
      </c>
      <c r="BL40" s="787"/>
      <c r="BM40" s="489">
        <v>43119</v>
      </c>
      <c r="BN40" s="490" t="s">
        <v>1320</v>
      </c>
      <c r="BO40" s="715">
        <v>13</v>
      </c>
      <c r="BP40" s="787"/>
      <c r="BQ40" s="1017">
        <v>43470</v>
      </c>
      <c r="BR40" s="1019" t="s">
        <v>845</v>
      </c>
      <c r="BS40" s="1063">
        <v>27</v>
      </c>
      <c r="BT40" s="1062" t="s">
        <v>414</v>
      </c>
      <c r="BU40" s="1017">
        <v>43842</v>
      </c>
      <c r="BV40" s="1019" t="s">
        <v>797</v>
      </c>
      <c r="BW40" s="1063">
        <v>55</v>
      </c>
      <c r="BX40" s="1062" t="s">
        <v>410</v>
      </c>
      <c r="BY40" s="1017">
        <v>44211</v>
      </c>
      <c r="BZ40" s="1019" t="s">
        <v>1321</v>
      </c>
      <c r="CA40" s="1063">
        <v>11</v>
      </c>
      <c r="CB40" s="1018" t="s">
        <v>414</v>
      </c>
      <c r="CC40" s="1017">
        <v>44571</v>
      </c>
      <c r="CD40" s="1019" t="s">
        <v>797</v>
      </c>
      <c r="CE40" s="1063">
        <v>78</v>
      </c>
      <c r="CF40" s="1018" t="s">
        <v>410</v>
      </c>
      <c r="CG40" s="1017">
        <v>44933</v>
      </c>
      <c r="CH40" s="1019" t="s">
        <v>1322</v>
      </c>
      <c r="CI40" s="1063">
        <v>46</v>
      </c>
      <c r="CJ40" s="1018" t="s">
        <v>707</v>
      </c>
      <c r="CK40" s="1017">
        <v>45304</v>
      </c>
      <c r="CL40" s="1019" t="s">
        <v>845</v>
      </c>
      <c r="CM40" s="1063">
        <v>49</v>
      </c>
      <c r="CN40" s="1018" t="s">
        <v>414</v>
      </c>
      <c r="CO40" s="1017">
        <v>45675</v>
      </c>
      <c r="CP40" s="1019" t="s">
        <v>1323</v>
      </c>
      <c r="CQ40" s="1063">
        <v>14</v>
      </c>
      <c r="CR40" s="1018" t="s">
        <v>280</v>
      </c>
      <c r="CS40" s="1017"/>
      <c r="CT40" s="1019"/>
      <c r="CU40" s="1063"/>
      <c r="CV40" s="1018"/>
    </row>
    <row r="41" spans="5:100" ht="14.1" customHeight="1">
      <c r="E41" s="489">
        <v>37635</v>
      </c>
      <c r="F41" s="714" t="s">
        <v>1324</v>
      </c>
      <c r="G41" s="491"/>
      <c r="H41" s="493">
        <v>20</v>
      </c>
      <c r="I41" s="489">
        <v>38003</v>
      </c>
      <c r="J41" s="714" t="s">
        <v>1325</v>
      </c>
      <c r="K41" s="491">
        <v>18</v>
      </c>
      <c r="L41" s="493"/>
      <c r="M41" s="489"/>
      <c r="N41" s="714"/>
      <c r="O41" s="491"/>
      <c r="P41" s="769"/>
      <c r="Q41" s="489">
        <v>38741</v>
      </c>
      <c r="R41" s="714" t="s">
        <v>1052</v>
      </c>
      <c r="S41" s="491">
        <v>16</v>
      </c>
      <c r="T41" s="493"/>
      <c r="U41" s="489">
        <v>39099</v>
      </c>
      <c r="V41" s="714" t="s">
        <v>1326</v>
      </c>
      <c r="W41" s="491">
        <f t="shared" si="2"/>
        <v>9.0697674418604652</v>
      </c>
      <c r="X41" s="788">
        <v>390</v>
      </c>
      <c r="Y41" s="790">
        <v>39454</v>
      </c>
      <c r="Z41" s="791" t="s">
        <v>797</v>
      </c>
      <c r="AA41" s="792">
        <v>54</v>
      </c>
      <c r="AB41" s="793"/>
      <c r="AC41" s="489">
        <v>39838</v>
      </c>
      <c r="AD41" s="490" t="s">
        <v>797</v>
      </c>
      <c r="AE41" s="713">
        <v>31</v>
      </c>
      <c r="AF41" s="782"/>
      <c r="AG41" s="489">
        <v>40201</v>
      </c>
      <c r="AH41" s="490" t="s">
        <v>1244</v>
      </c>
      <c r="AI41" s="713">
        <v>20</v>
      </c>
      <c r="AJ41" s="782"/>
      <c r="AK41" s="489">
        <v>40564</v>
      </c>
      <c r="AL41" s="490" t="s">
        <v>1327</v>
      </c>
      <c r="AM41" s="786">
        <v>800</v>
      </c>
      <c r="AN41" s="787">
        <f t="shared" si="1"/>
        <v>18.181818181818183</v>
      </c>
      <c r="AO41" s="489">
        <v>40935</v>
      </c>
      <c r="AP41" s="490" t="s">
        <v>979</v>
      </c>
      <c r="AQ41" s="718">
        <v>160</v>
      </c>
      <c r="AR41" s="787"/>
      <c r="AS41" s="489">
        <v>41284</v>
      </c>
      <c r="AT41" s="490" t="s">
        <v>1328</v>
      </c>
      <c r="AU41" s="718">
        <v>20</v>
      </c>
      <c r="AV41" s="787"/>
      <c r="AW41" s="489">
        <v>41653</v>
      </c>
      <c r="AX41" s="490" t="s">
        <v>1329</v>
      </c>
      <c r="AY41" s="718">
        <v>7</v>
      </c>
      <c r="AZ41" s="787"/>
      <c r="BA41" s="489">
        <v>42029</v>
      </c>
      <c r="BB41" s="490" t="s">
        <v>797</v>
      </c>
      <c r="BC41" s="718">
        <v>35</v>
      </c>
      <c r="BD41" s="787"/>
      <c r="BE41" s="489">
        <v>42384</v>
      </c>
      <c r="BF41" s="490" t="s">
        <v>1330</v>
      </c>
      <c r="BG41" s="718">
        <v>19</v>
      </c>
      <c r="BH41" s="787"/>
      <c r="BI41" s="489">
        <v>42757</v>
      </c>
      <c r="BJ41" s="490" t="s">
        <v>1331</v>
      </c>
      <c r="BK41" s="718">
        <v>11</v>
      </c>
      <c r="BL41" s="787"/>
      <c r="BM41" s="489">
        <v>43119</v>
      </c>
      <c r="BN41" s="490" t="s">
        <v>1332</v>
      </c>
      <c r="BO41" s="715">
        <v>11</v>
      </c>
      <c r="BP41" s="787"/>
      <c r="BQ41" s="1017">
        <v>43470</v>
      </c>
      <c r="BR41" s="1019" t="s">
        <v>843</v>
      </c>
      <c r="BS41" s="1063">
        <v>21</v>
      </c>
      <c r="BT41" s="1062" t="s">
        <v>414</v>
      </c>
      <c r="BU41" s="1017">
        <v>43842</v>
      </c>
      <c r="BV41" s="1019" t="s">
        <v>1180</v>
      </c>
      <c r="BW41" s="1063">
        <v>85</v>
      </c>
      <c r="BX41" s="1062" t="s">
        <v>410</v>
      </c>
      <c r="BY41" s="1017">
        <v>44211</v>
      </c>
      <c r="BZ41" s="1019" t="s">
        <v>1333</v>
      </c>
      <c r="CA41" s="1063">
        <v>13</v>
      </c>
      <c r="CB41" s="1018" t="s">
        <v>414</v>
      </c>
      <c r="CC41" s="1017">
        <v>44571</v>
      </c>
      <c r="CD41" s="1019" t="s">
        <v>1334</v>
      </c>
      <c r="CE41" s="1063">
        <v>38</v>
      </c>
      <c r="CF41" s="1018" t="s">
        <v>280</v>
      </c>
      <c r="CG41" s="1017">
        <v>44933</v>
      </c>
      <c r="CH41" s="1019" t="s">
        <v>845</v>
      </c>
      <c r="CI41" s="1063">
        <v>65</v>
      </c>
      <c r="CJ41" s="1018" t="s">
        <v>414</v>
      </c>
      <c r="CK41" s="1017">
        <v>45304</v>
      </c>
      <c r="CL41" s="1019" t="s">
        <v>948</v>
      </c>
      <c r="CM41" s="1063">
        <v>35</v>
      </c>
      <c r="CN41" s="1018" t="s">
        <v>414</v>
      </c>
      <c r="CO41" s="1017">
        <v>45675</v>
      </c>
      <c r="CP41" s="1019" t="s">
        <v>1335</v>
      </c>
      <c r="CQ41" s="1063">
        <v>30</v>
      </c>
      <c r="CR41" s="1018" t="s">
        <v>700</v>
      </c>
      <c r="CS41" s="1017"/>
      <c r="CT41" s="1019"/>
      <c r="CU41" s="1063"/>
      <c r="CV41" s="1018"/>
    </row>
    <row r="42" spans="5:100" ht="14.1" customHeight="1">
      <c r="E42" s="489">
        <v>37636</v>
      </c>
      <c r="F42" s="714" t="s">
        <v>1336</v>
      </c>
      <c r="G42" s="491"/>
      <c r="H42" s="493">
        <v>40</v>
      </c>
      <c r="I42" s="489">
        <v>38003</v>
      </c>
      <c r="J42" s="714" t="s">
        <v>1337</v>
      </c>
      <c r="K42" s="491">
        <v>18</v>
      </c>
      <c r="L42" s="493"/>
      <c r="M42" s="489"/>
      <c r="N42" s="714"/>
      <c r="O42" s="491"/>
      <c r="P42" s="769"/>
      <c r="Q42" s="489">
        <v>38742</v>
      </c>
      <c r="R42" s="714" t="s">
        <v>1338</v>
      </c>
      <c r="S42" s="491">
        <v>10</v>
      </c>
      <c r="T42" s="493"/>
      <c r="U42" s="489">
        <v>39099</v>
      </c>
      <c r="V42" s="714" t="s">
        <v>1339</v>
      </c>
      <c r="W42" s="491">
        <f t="shared" si="2"/>
        <v>3.7209302325581395</v>
      </c>
      <c r="X42" s="788">
        <v>160</v>
      </c>
      <c r="Y42" s="489">
        <v>39454</v>
      </c>
      <c r="Z42" s="714" t="s">
        <v>937</v>
      </c>
      <c r="AA42" s="789">
        <v>20</v>
      </c>
      <c r="AC42" s="489">
        <v>39839</v>
      </c>
      <c r="AD42" s="490" t="s">
        <v>1226</v>
      </c>
      <c r="AE42" s="713">
        <v>4</v>
      </c>
      <c r="AF42" s="782"/>
      <c r="AG42" s="489">
        <v>40202</v>
      </c>
      <c r="AH42" s="490" t="s">
        <v>772</v>
      </c>
      <c r="AI42" s="713">
        <v>72</v>
      </c>
      <c r="AJ42" s="782"/>
      <c r="AK42" s="489">
        <v>40564</v>
      </c>
      <c r="AL42" s="490" t="s">
        <v>1340</v>
      </c>
      <c r="AM42" s="786">
        <v>2100</v>
      </c>
      <c r="AN42" s="787">
        <f t="shared" si="1"/>
        <v>47.727272727272727</v>
      </c>
      <c r="AO42" s="489">
        <v>40935</v>
      </c>
      <c r="AP42" s="490" t="s">
        <v>1341</v>
      </c>
      <c r="AQ42" s="718">
        <v>40</v>
      </c>
      <c r="AR42" s="787"/>
      <c r="AS42" s="489">
        <v>41284</v>
      </c>
      <c r="AT42" s="490" t="s">
        <v>1342</v>
      </c>
      <c r="AU42" s="718">
        <v>13</v>
      </c>
      <c r="AV42" s="787"/>
      <c r="AW42" s="489">
        <v>41654</v>
      </c>
      <c r="AX42" s="490" t="s">
        <v>1329</v>
      </c>
      <c r="AY42" s="718">
        <v>6</v>
      </c>
      <c r="AZ42" s="787"/>
      <c r="BA42" s="489">
        <v>42029</v>
      </c>
      <c r="BB42" s="490" t="s">
        <v>925</v>
      </c>
      <c r="BC42" s="718">
        <v>2</v>
      </c>
      <c r="BD42" s="787"/>
      <c r="BE42" s="489">
        <v>42384</v>
      </c>
      <c r="BF42" s="490" t="s">
        <v>772</v>
      </c>
      <c r="BG42" s="718">
        <v>12</v>
      </c>
      <c r="BH42" s="787"/>
      <c r="BI42" s="489">
        <v>42757</v>
      </c>
      <c r="BJ42" s="490" t="s">
        <v>1343</v>
      </c>
      <c r="BK42" s="718">
        <v>2</v>
      </c>
      <c r="BL42" s="787"/>
      <c r="BM42" s="489">
        <v>43119</v>
      </c>
      <c r="BN42" s="490" t="s">
        <v>1344</v>
      </c>
      <c r="BO42" s="715">
        <v>10</v>
      </c>
      <c r="BP42" s="787"/>
      <c r="BQ42" s="1017">
        <v>43470</v>
      </c>
      <c r="BR42" s="1019" t="s">
        <v>1345</v>
      </c>
      <c r="BS42" s="1063">
        <v>7</v>
      </c>
      <c r="BT42" s="1062" t="s">
        <v>284</v>
      </c>
      <c r="BU42" s="1017">
        <v>43842</v>
      </c>
      <c r="BV42" s="1019" t="s">
        <v>1052</v>
      </c>
      <c r="BW42" s="1063">
        <v>19</v>
      </c>
      <c r="BX42" s="1062" t="s">
        <v>280</v>
      </c>
      <c r="BY42" s="1017">
        <v>44211</v>
      </c>
      <c r="BZ42" s="1019" t="s">
        <v>1346</v>
      </c>
      <c r="CA42" s="1063">
        <v>21</v>
      </c>
      <c r="CB42" s="1018" t="s">
        <v>414</v>
      </c>
      <c r="CC42" s="1017">
        <v>44571</v>
      </c>
      <c r="CD42" s="1019" t="s">
        <v>1347</v>
      </c>
      <c r="CE42" s="1063">
        <v>325</v>
      </c>
      <c r="CF42" s="1018" t="s">
        <v>701</v>
      </c>
      <c r="CG42" s="1017">
        <v>44933</v>
      </c>
      <c r="CH42" s="1019" t="s">
        <v>843</v>
      </c>
      <c r="CI42" s="1063">
        <v>20</v>
      </c>
      <c r="CJ42" s="1018" t="s">
        <v>414</v>
      </c>
      <c r="CK42" s="1017">
        <v>45304</v>
      </c>
      <c r="CL42" s="1019" t="s">
        <v>828</v>
      </c>
      <c r="CM42" s="1063">
        <v>11</v>
      </c>
      <c r="CN42" s="1018" t="s">
        <v>414</v>
      </c>
      <c r="CO42" s="1017">
        <v>45675</v>
      </c>
      <c r="CP42" s="1019" t="s">
        <v>1348</v>
      </c>
      <c r="CQ42" s="1063">
        <v>85</v>
      </c>
      <c r="CR42" s="1018" t="s">
        <v>414</v>
      </c>
      <c r="CS42" s="1017"/>
      <c r="CT42" s="1019"/>
      <c r="CU42" s="1063"/>
      <c r="CV42" s="1018"/>
    </row>
    <row r="43" spans="5:100" ht="14.1" customHeight="1">
      <c r="E43" s="489">
        <v>37638</v>
      </c>
      <c r="F43" s="714" t="s">
        <v>410</v>
      </c>
      <c r="G43" s="491"/>
      <c r="H43" s="493">
        <v>28</v>
      </c>
      <c r="I43" s="489">
        <v>38003</v>
      </c>
      <c r="J43" s="714" t="s">
        <v>1349</v>
      </c>
      <c r="K43" s="491">
        <v>20</v>
      </c>
      <c r="L43" s="493"/>
      <c r="M43" s="489"/>
      <c r="N43" s="714"/>
      <c r="O43" s="491"/>
      <c r="P43" s="769"/>
      <c r="Q43" s="489">
        <v>38743</v>
      </c>
      <c r="R43" s="714" t="s">
        <v>1350</v>
      </c>
      <c r="S43" s="491">
        <v>10</v>
      </c>
      <c r="T43" s="493"/>
      <c r="U43" s="489">
        <v>39100</v>
      </c>
      <c r="V43" s="714" t="s">
        <v>1351</v>
      </c>
      <c r="W43" s="491">
        <f t="shared" si="2"/>
        <v>0.69767441860465118</v>
      </c>
      <c r="X43" s="788">
        <v>30</v>
      </c>
      <c r="Y43" s="489">
        <v>39457</v>
      </c>
      <c r="Z43" s="714" t="s">
        <v>1308</v>
      </c>
      <c r="AA43" s="783">
        <v>15</v>
      </c>
      <c r="AB43" s="794"/>
      <c r="AC43" s="489">
        <v>39840</v>
      </c>
      <c r="AD43" s="490" t="s">
        <v>1226</v>
      </c>
      <c r="AE43" s="713">
        <v>4</v>
      </c>
      <c r="AF43" s="795"/>
      <c r="AG43" s="489">
        <v>40202</v>
      </c>
      <c r="AH43" s="490" t="s">
        <v>1352</v>
      </c>
      <c r="AI43" s="713">
        <v>34</v>
      </c>
      <c r="AJ43" s="782"/>
      <c r="AK43" s="489">
        <v>40564</v>
      </c>
      <c r="AL43" s="490" t="s">
        <v>1353</v>
      </c>
      <c r="AM43" s="786">
        <v>60</v>
      </c>
      <c r="AN43" s="787">
        <f t="shared" si="1"/>
        <v>1.3636363636363635</v>
      </c>
      <c r="AO43" s="489">
        <v>40936</v>
      </c>
      <c r="AP43" s="490" t="s">
        <v>1354</v>
      </c>
      <c r="AQ43" s="718">
        <v>36</v>
      </c>
      <c r="AR43" s="787"/>
      <c r="AS43" s="489">
        <v>41284</v>
      </c>
      <c r="AT43" s="490" t="s">
        <v>1355</v>
      </c>
      <c r="AU43" s="718">
        <v>4</v>
      </c>
      <c r="AV43" s="787"/>
      <c r="AW43" s="489">
        <v>41654</v>
      </c>
      <c r="AX43" s="490" t="s">
        <v>1356</v>
      </c>
      <c r="AY43" s="718">
        <v>33</v>
      </c>
      <c r="AZ43" s="787"/>
      <c r="BA43" s="489">
        <v>42030</v>
      </c>
      <c r="BB43" s="490" t="s">
        <v>781</v>
      </c>
      <c r="BC43" s="718">
        <v>27</v>
      </c>
      <c r="BD43" s="787"/>
      <c r="BE43" s="489">
        <v>42384</v>
      </c>
      <c r="BF43" s="490" t="s">
        <v>754</v>
      </c>
      <c r="BG43" s="718">
        <v>55</v>
      </c>
      <c r="BH43" s="787"/>
      <c r="BI43" s="489">
        <v>42757</v>
      </c>
      <c r="BJ43" s="490" t="s">
        <v>1357</v>
      </c>
      <c r="BK43" s="718">
        <v>6</v>
      </c>
      <c r="BL43" s="787"/>
      <c r="BM43" s="489">
        <v>43119</v>
      </c>
      <c r="BN43" s="490" t="s">
        <v>1358</v>
      </c>
      <c r="BO43" s="715">
        <v>0</v>
      </c>
      <c r="BP43" s="787"/>
      <c r="BQ43" s="1017">
        <v>43472</v>
      </c>
      <c r="BR43" s="1019" t="s">
        <v>1359</v>
      </c>
      <c r="BS43" s="1063">
        <v>25</v>
      </c>
      <c r="BT43" s="1062" t="s">
        <v>284</v>
      </c>
      <c r="BU43" s="1017">
        <v>43848</v>
      </c>
      <c r="BV43" s="1019" t="s">
        <v>1360</v>
      </c>
      <c r="BW43" s="1063">
        <v>26</v>
      </c>
      <c r="BX43" s="1018" t="s">
        <v>414</v>
      </c>
      <c r="BY43" s="1017">
        <v>44211</v>
      </c>
      <c r="BZ43" s="1019" t="s">
        <v>1361</v>
      </c>
      <c r="CA43" s="1063">
        <v>0</v>
      </c>
      <c r="CB43" s="1018" t="s">
        <v>414</v>
      </c>
      <c r="CC43" s="1017">
        <v>44571</v>
      </c>
      <c r="CD43" s="1019" t="s">
        <v>1362</v>
      </c>
      <c r="CE43" s="1063">
        <v>250</v>
      </c>
      <c r="CF43" s="1018" t="s">
        <v>284</v>
      </c>
      <c r="CG43" s="1017">
        <v>44933</v>
      </c>
      <c r="CH43" s="1019" t="s">
        <v>1363</v>
      </c>
      <c r="CI43" s="1063">
        <v>82</v>
      </c>
      <c r="CJ43" s="1018" t="s">
        <v>700</v>
      </c>
      <c r="CK43" s="1017">
        <v>45304</v>
      </c>
      <c r="CL43" s="1019" t="s">
        <v>772</v>
      </c>
      <c r="CM43" s="1063">
        <v>35</v>
      </c>
      <c r="CN43" s="1018" t="s">
        <v>414</v>
      </c>
      <c r="CO43" s="1017">
        <v>45675</v>
      </c>
      <c r="CP43" s="1019" t="s">
        <v>1364</v>
      </c>
      <c r="CQ43" s="1063">
        <v>16</v>
      </c>
      <c r="CR43" s="1018" t="s">
        <v>414</v>
      </c>
      <c r="CS43" s="1017"/>
      <c r="CT43" s="1019"/>
      <c r="CU43" s="1063"/>
      <c r="CV43" s="1018"/>
    </row>
    <row r="44" spans="5:100" ht="14.1" customHeight="1">
      <c r="E44" s="489">
        <v>37639</v>
      </c>
      <c r="F44" s="714" t="s">
        <v>1365</v>
      </c>
      <c r="G44" s="491">
        <v>50</v>
      </c>
      <c r="H44" s="493"/>
      <c r="I44" s="489">
        <v>38005</v>
      </c>
      <c r="J44" s="714" t="s">
        <v>1366</v>
      </c>
      <c r="K44" s="491">
        <v>46</v>
      </c>
      <c r="L44" s="493"/>
      <c r="M44" s="489"/>
      <c r="N44" s="714"/>
      <c r="O44" s="491"/>
      <c r="P44" s="769"/>
      <c r="Q44" s="489">
        <v>38743</v>
      </c>
      <c r="R44" s="714" t="s">
        <v>1367</v>
      </c>
      <c r="S44" s="491">
        <v>14</v>
      </c>
      <c r="T44" s="493"/>
      <c r="U44" s="489">
        <v>39100</v>
      </c>
      <c r="V44" s="714" t="s">
        <v>1368</v>
      </c>
      <c r="W44" s="491">
        <f t="shared" si="2"/>
        <v>0.46511627906976744</v>
      </c>
      <c r="X44" s="788">
        <v>20</v>
      </c>
      <c r="Y44" s="489">
        <v>39458</v>
      </c>
      <c r="Z44" s="714" t="s">
        <v>1369</v>
      </c>
      <c r="AA44" s="783">
        <v>17</v>
      </c>
      <c r="AB44" s="794"/>
      <c r="AC44" s="489">
        <v>39842</v>
      </c>
      <c r="AD44" s="490" t="s">
        <v>1226</v>
      </c>
      <c r="AE44" s="713">
        <v>4</v>
      </c>
      <c r="AF44" s="795"/>
      <c r="AG44" s="489">
        <v>40202</v>
      </c>
      <c r="AH44" s="490" t="s">
        <v>748</v>
      </c>
      <c r="AI44" s="713">
        <v>6</v>
      </c>
      <c r="AJ44" s="782"/>
      <c r="AK44" s="489">
        <v>40564</v>
      </c>
      <c r="AL44" s="490" t="s">
        <v>1370</v>
      </c>
      <c r="AM44" s="786">
        <v>6500</v>
      </c>
      <c r="AN44" s="787">
        <f t="shared" si="1"/>
        <v>147.72727272727272</v>
      </c>
      <c r="AO44" s="489">
        <v>40937</v>
      </c>
      <c r="AP44" s="490" t="s">
        <v>925</v>
      </c>
      <c r="AQ44" s="718">
        <v>20</v>
      </c>
      <c r="AR44" s="787"/>
      <c r="AS44" s="489">
        <v>41284</v>
      </c>
      <c r="AT44" s="490" t="s">
        <v>1161</v>
      </c>
      <c r="AU44" s="718">
        <v>23</v>
      </c>
      <c r="AV44" s="787"/>
      <c r="AW44" s="489">
        <v>41654</v>
      </c>
      <c r="AX44" s="490" t="s">
        <v>1371</v>
      </c>
      <c r="AY44" s="718">
        <v>128</v>
      </c>
      <c r="AZ44" s="787"/>
      <c r="BA44" s="489">
        <v>42030</v>
      </c>
      <c r="BB44" s="490" t="s">
        <v>1372</v>
      </c>
      <c r="BC44" s="718">
        <v>12</v>
      </c>
      <c r="BD44" s="787"/>
      <c r="BE44" s="489">
        <v>42384</v>
      </c>
      <c r="BF44" s="490" t="s">
        <v>802</v>
      </c>
      <c r="BG44" s="718">
        <v>29</v>
      </c>
      <c r="BH44" s="787"/>
      <c r="BI44" s="489">
        <v>42757</v>
      </c>
      <c r="BJ44" s="490" t="s">
        <v>1373</v>
      </c>
      <c r="BK44" s="718">
        <v>10</v>
      </c>
      <c r="BL44" s="787"/>
      <c r="BM44" s="489">
        <v>43120</v>
      </c>
      <c r="BN44" s="490" t="s">
        <v>872</v>
      </c>
      <c r="BO44" s="715">
        <v>37</v>
      </c>
      <c r="BP44" s="787"/>
      <c r="BQ44" s="1017">
        <v>43472</v>
      </c>
      <c r="BR44" s="1019" t="s">
        <v>1374</v>
      </c>
      <c r="BS44" s="1063">
        <v>50</v>
      </c>
      <c r="BT44" s="1062" t="s">
        <v>700</v>
      </c>
      <c r="BU44" s="1017">
        <v>43848</v>
      </c>
      <c r="BV44" s="1019" t="s">
        <v>948</v>
      </c>
      <c r="BW44" s="1063">
        <v>37</v>
      </c>
      <c r="BX44" s="1018" t="s">
        <v>414</v>
      </c>
      <c r="BY44" s="1017">
        <v>44211</v>
      </c>
      <c r="BZ44" s="1019" t="s">
        <v>1375</v>
      </c>
      <c r="CA44" s="1063">
        <v>16</v>
      </c>
      <c r="CB44" s="1018" t="s">
        <v>414</v>
      </c>
      <c r="CC44" s="1017">
        <v>44576</v>
      </c>
      <c r="CD44" s="1019" t="s">
        <v>1376</v>
      </c>
      <c r="CE44" s="1063">
        <v>400</v>
      </c>
      <c r="CF44" s="1018" t="s">
        <v>701</v>
      </c>
      <c r="CG44" s="1017">
        <v>44935</v>
      </c>
      <c r="CH44" s="1019" t="s">
        <v>1377</v>
      </c>
      <c r="CI44" s="1063">
        <v>51</v>
      </c>
      <c r="CJ44" s="1018" t="s">
        <v>701</v>
      </c>
      <c r="CK44" s="1017">
        <v>45304</v>
      </c>
      <c r="CL44" s="1019" t="s">
        <v>797</v>
      </c>
      <c r="CM44" s="1063">
        <v>57</v>
      </c>
      <c r="CN44" s="1018" t="s">
        <v>410</v>
      </c>
      <c r="CO44" s="1017">
        <v>45675</v>
      </c>
      <c r="CP44" s="1019" t="s">
        <v>1378</v>
      </c>
      <c r="CQ44" s="1063">
        <v>40</v>
      </c>
      <c r="CR44" s="1018" t="s">
        <v>414</v>
      </c>
      <c r="CS44" s="1017"/>
      <c r="CT44" s="1019"/>
      <c r="CU44" s="1063"/>
      <c r="CV44" s="1018"/>
    </row>
    <row r="45" spans="5:100" ht="14.1" customHeight="1">
      <c r="E45" s="489">
        <v>37639</v>
      </c>
      <c r="F45" s="714" t="s">
        <v>1379</v>
      </c>
      <c r="G45" s="491">
        <v>26</v>
      </c>
      <c r="H45" s="493"/>
      <c r="I45" s="489">
        <v>38005</v>
      </c>
      <c r="J45" s="714" t="s">
        <v>1380</v>
      </c>
      <c r="K45" s="491">
        <v>40</v>
      </c>
      <c r="L45" s="493"/>
      <c r="M45" s="489"/>
      <c r="N45" s="714"/>
      <c r="O45" s="491"/>
      <c r="P45" s="769"/>
      <c r="Q45" s="489">
        <v>38743</v>
      </c>
      <c r="R45" s="714" t="s">
        <v>1381</v>
      </c>
      <c r="S45" s="491">
        <v>7</v>
      </c>
      <c r="T45" s="493"/>
      <c r="U45" s="489">
        <v>39100</v>
      </c>
      <c r="V45" s="714" t="s">
        <v>1382</v>
      </c>
      <c r="W45" s="491">
        <f t="shared" si="2"/>
        <v>0.65116279069767447</v>
      </c>
      <c r="X45" s="788">
        <v>28</v>
      </c>
      <c r="Y45" s="489">
        <v>39459</v>
      </c>
      <c r="Z45" s="714" t="s">
        <v>1383</v>
      </c>
      <c r="AA45" s="783">
        <v>14</v>
      </c>
      <c r="AB45" s="794"/>
      <c r="AC45" s="489">
        <v>39842</v>
      </c>
      <c r="AD45" s="490" t="s">
        <v>802</v>
      </c>
      <c r="AE45" s="716">
        <v>15</v>
      </c>
      <c r="AF45" s="796"/>
      <c r="AG45" s="489">
        <v>40202</v>
      </c>
      <c r="AH45" s="490" t="s">
        <v>1384</v>
      </c>
      <c r="AI45" s="713">
        <v>12</v>
      </c>
      <c r="AJ45" s="782"/>
      <c r="AK45" s="489">
        <v>40564</v>
      </c>
      <c r="AL45" s="490" t="s">
        <v>1385</v>
      </c>
      <c r="AM45" s="786"/>
      <c r="AN45" s="787">
        <f t="shared" si="1"/>
        <v>0</v>
      </c>
      <c r="AO45" s="489">
        <v>40937</v>
      </c>
      <c r="AP45" s="490" t="s">
        <v>781</v>
      </c>
      <c r="AQ45" s="718">
        <v>41</v>
      </c>
      <c r="AR45" s="787"/>
      <c r="AS45" s="489">
        <v>41285</v>
      </c>
      <c r="AT45" s="490" t="s">
        <v>1386</v>
      </c>
      <c r="AU45" s="718">
        <v>23</v>
      </c>
      <c r="AV45" s="787"/>
      <c r="AW45" s="489">
        <v>41654</v>
      </c>
      <c r="AX45" s="490" t="s">
        <v>954</v>
      </c>
      <c r="AY45" s="718">
        <v>9</v>
      </c>
      <c r="AZ45" s="787"/>
      <c r="BA45" s="489">
        <v>42030</v>
      </c>
      <c r="BB45" s="490" t="s">
        <v>1387</v>
      </c>
      <c r="BC45" s="718">
        <v>7</v>
      </c>
      <c r="BD45" s="787"/>
      <c r="BE45" s="489">
        <v>42385</v>
      </c>
      <c r="BF45" s="490" t="s">
        <v>1388</v>
      </c>
      <c r="BG45" s="718" t="s">
        <v>37</v>
      </c>
      <c r="BH45" s="787"/>
      <c r="BI45" s="489">
        <v>42757</v>
      </c>
      <c r="BJ45" s="490" t="s">
        <v>1389</v>
      </c>
      <c r="BK45" s="718">
        <v>2</v>
      </c>
      <c r="BL45" s="787"/>
      <c r="BM45" s="489">
        <v>43120</v>
      </c>
      <c r="BN45" s="490" t="s">
        <v>823</v>
      </c>
      <c r="BO45" s="715">
        <v>40</v>
      </c>
      <c r="BP45" s="787"/>
      <c r="BQ45" s="1017">
        <v>43472</v>
      </c>
      <c r="BR45" s="1019" t="s">
        <v>1390</v>
      </c>
      <c r="BS45" s="1063">
        <v>32</v>
      </c>
      <c r="BT45" s="1062" t="s">
        <v>700</v>
      </c>
      <c r="BU45" s="1017">
        <v>43848</v>
      </c>
      <c r="BV45" s="1019" t="s">
        <v>828</v>
      </c>
      <c r="BW45" s="1063">
        <v>23</v>
      </c>
      <c r="BX45" s="1018" t="s">
        <v>414</v>
      </c>
      <c r="BY45" s="1017">
        <v>44211</v>
      </c>
      <c r="BZ45" s="1019" t="s">
        <v>1391</v>
      </c>
      <c r="CA45" s="1063">
        <v>4</v>
      </c>
      <c r="CB45" s="1018" t="s">
        <v>414</v>
      </c>
      <c r="CC45" s="1017">
        <v>44576</v>
      </c>
      <c r="CD45" s="1019" t="s">
        <v>1392</v>
      </c>
      <c r="CE45" s="1063">
        <v>500</v>
      </c>
      <c r="CF45" s="1018" t="s">
        <v>701</v>
      </c>
      <c r="CG45" s="1017">
        <v>44940</v>
      </c>
      <c r="CH45" s="1019" t="s">
        <v>845</v>
      </c>
      <c r="CI45" s="1063">
        <v>36</v>
      </c>
      <c r="CJ45" s="1018" t="s">
        <v>414</v>
      </c>
      <c r="CK45" s="1017">
        <v>45307</v>
      </c>
      <c r="CL45" s="1019" t="s">
        <v>1170</v>
      </c>
      <c r="CM45" s="1063">
        <v>20</v>
      </c>
      <c r="CN45" s="1018" t="s">
        <v>700</v>
      </c>
      <c r="CO45" s="1017">
        <v>45675</v>
      </c>
      <c r="CP45" s="1019" t="s">
        <v>1393</v>
      </c>
      <c r="CQ45" s="1063">
        <v>20</v>
      </c>
      <c r="CR45" s="1018" t="s">
        <v>414</v>
      </c>
      <c r="CS45" s="1017"/>
      <c r="CT45" s="1019"/>
      <c r="CU45" s="1063"/>
      <c r="CV45" s="1018"/>
    </row>
    <row r="46" spans="5:100" ht="14.1" customHeight="1">
      <c r="E46" s="489">
        <v>37639</v>
      </c>
      <c r="F46" s="714" t="s">
        <v>1394</v>
      </c>
      <c r="G46" s="491">
        <v>10</v>
      </c>
      <c r="H46" s="493"/>
      <c r="I46" s="489">
        <v>38006</v>
      </c>
      <c r="J46" s="714" t="s">
        <v>1395</v>
      </c>
      <c r="K46" s="491">
        <v>747</v>
      </c>
      <c r="L46" s="493"/>
      <c r="M46" s="489"/>
      <c r="N46" s="714"/>
      <c r="O46" s="491"/>
      <c r="P46" s="769"/>
      <c r="Q46" s="489">
        <v>38744</v>
      </c>
      <c r="R46" s="714" t="s">
        <v>1396</v>
      </c>
      <c r="S46" s="491">
        <v>20</v>
      </c>
      <c r="T46" s="493"/>
      <c r="U46" s="489">
        <v>39100</v>
      </c>
      <c r="V46" s="714" t="s">
        <v>1397</v>
      </c>
      <c r="W46" s="491">
        <f t="shared" si="2"/>
        <v>1.1627906976744187</v>
      </c>
      <c r="X46" s="788">
        <v>50</v>
      </c>
      <c r="Y46" s="489">
        <v>39459</v>
      </c>
      <c r="Z46" s="714" t="s">
        <v>1308</v>
      </c>
      <c r="AA46" s="783">
        <v>21</v>
      </c>
      <c r="AB46" s="794"/>
      <c r="AC46" s="489">
        <v>39842</v>
      </c>
      <c r="AD46" s="490" t="s">
        <v>1288</v>
      </c>
      <c r="AE46" s="716">
        <v>16</v>
      </c>
      <c r="AF46" s="796"/>
      <c r="AG46" s="489">
        <v>40202</v>
      </c>
      <c r="AH46" s="490" t="s">
        <v>1398</v>
      </c>
      <c r="AI46" s="713">
        <v>12</v>
      </c>
      <c r="AJ46" s="782"/>
      <c r="AK46" s="489">
        <v>40565</v>
      </c>
      <c r="AL46" s="490" t="s">
        <v>1399</v>
      </c>
      <c r="AM46" s="786">
        <v>700</v>
      </c>
      <c r="AN46" s="787">
        <f t="shared" si="1"/>
        <v>15.909090909090908</v>
      </c>
      <c r="AO46" s="489">
        <v>40937</v>
      </c>
      <c r="AP46" s="490" t="s">
        <v>797</v>
      </c>
      <c r="AQ46" s="718">
        <v>56</v>
      </c>
      <c r="AR46" s="787"/>
      <c r="AS46" s="489">
        <v>41285</v>
      </c>
      <c r="AT46" s="490" t="s">
        <v>1400</v>
      </c>
      <c r="AU46" s="718">
        <v>107</v>
      </c>
      <c r="AV46" s="787"/>
      <c r="AW46" s="489">
        <v>41654</v>
      </c>
      <c r="AX46" s="490" t="s">
        <v>1401</v>
      </c>
      <c r="AY46" s="718">
        <v>30</v>
      </c>
      <c r="AZ46" s="787"/>
      <c r="BA46" s="489">
        <v>42030</v>
      </c>
      <c r="BB46" s="490" t="s">
        <v>925</v>
      </c>
      <c r="BC46" s="718">
        <v>5</v>
      </c>
      <c r="BD46" s="787"/>
      <c r="BE46" s="489">
        <v>42385</v>
      </c>
      <c r="BF46" s="490" t="s">
        <v>1402</v>
      </c>
      <c r="BG46" s="718">
        <v>3</v>
      </c>
      <c r="BH46" s="787"/>
      <c r="BI46" s="489">
        <v>42757</v>
      </c>
      <c r="BJ46" s="490" t="s">
        <v>1403</v>
      </c>
      <c r="BK46" s="718">
        <v>13</v>
      </c>
      <c r="BL46" s="787"/>
      <c r="BM46" s="489">
        <v>43120</v>
      </c>
      <c r="BN46" s="490" t="s">
        <v>1404</v>
      </c>
      <c r="BO46" s="715">
        <v>13</v>
      </c>
      <c r="BP46" s="787"/>
      <c r="BQ46" s="1017">
        <v>43473</v>
      </c>
      <c r="BR46" s="1019" t="s">
        <v>1405</v>
      </c>
      <c r="BS46" s="1063">
        <v>16</v>
      </c>
      <c r="BT46" s="1062" t="s">
        <v>426</v>
      </c>
      <c r="BU46" s="1017">
        <v>43848</v>
      </c>
      <c r="BV46" s="1019" t="s">
        <v>772</v>
      </c>
      <c r="BW46" s="1063">
        <v>22</v>
      </c>
      <c r="BX46" s="1018" t="s">
        <v>414</v>
      </c>
      <c r="BY46" s="1017">
        <v>44211</v>
      </c>
      <c r="BZ46" s="1019" t="s">
        <v>1406</v>
      </c>
      <c r="CA46" s="1063">
        <v>17</v>
      </c>
      <c r="CB46" s="1018" t="s">
        <v>414</v>
      </c>
      <c r="CC46" s="1017">
        <v>44576</v>
      </c>
      <c r="CD46" s="1019" t="s">
        <v>1407</v>
      </c>
      <c r="CE46" s="1063">
        <v>90</v>
      </c>
      <c r="CF46" s="1018" t="s">
        <v>701</v>
      </c>
      <c r="CG46" s="1017">
        <v>44940</v>
      </c>
      <c r="CH46" s="1019" t="s">
        <v>843</v>
      </c>
      <c r="CI46" s="1063">
        <v>39</v>
      </c>
      <c r="CJ46" s="1018" t="s">
        <v>414</v>
      </c>
      <c r="CK46" s="1017">
        <v>45310</v>
      </c>
      <c r="CL46" s="1019" t="s">
        <v>845</v>
      </c>
      <c r="CM46" s="1063">
        <v>30</v>
      </c>
      <c r="CN46" s="1018" t="s">
        <v>414</v>
      </c>
      <c r="CO46" s="1017">
        <v>45675</v>
      </c>
      <c r="CP46" s="1019" t="s">
        <v>1408</v>
      </c>
      <c r="CQ46" s="1063">
        <v>20</v>
      </c>
      <c r="CR46" s="1018" t="s">
        <v>414</v>
      </c>
      <c r="CS46" s="1017"/>
      <c r="CT46" s="1019"/>
      <c r="CU46" s="1063"/>
      <c r="CV46" s="1018"/>
    </row>
    <row r="47" spans="5:100" ht="14.1" customHeight="1">
      <c r="E47" s="489">
        <v>37640</v>
      </c>
      <c r="F47" s="714" t="s">
        <v>1409</v>
      </c>
      <c r="G47" s="491">
        <v>15</v>
      </c>
      <c r="H47" s="493"/>
      <c r="I47" s="489">
        <v>38007</v>
      </c>
      <c r="J47" s="714" t="s">
        <v>797</v>
      </c>
      <c r="K47" s="491">
        <v>35</v>
      </c>
      <c r="L47" s="493"/>
      <c r="M47" s="489"/>
      <c r="N47" s="714"/>
      <c r="O47" s="491"/>
      <c r="P47" s="769"/>
      <c r="Q47" s="489">
        <v>38745</v>
      </c>
      <c r="R47" s="714" t="s">
        <v>1410</v>
      </c>
      <c r="S47" s="491">
        <v>29</v>
      </c>
      <c r="T47" s="493"/>
      <c r="U47" s="489">
        <v>39100</v>
      </c>
      <c r="V47" s="714" t="s">
        <v>1411</v>
      </c>
      <c r="W47" s="491">
        <f t="shared" si="2"/>
        <v>9.3023255813953494</v>
      </c>
      <c r="X47" s="788">
        <v>400</v>
      </c>
      <c r="Y47" s="489">
        <v>39459</v>
      </c>
      <c r="Z47" s="714" t="s">
        <v>937</v>
      </c>
      <c r="AA47" s="783">
        <v>82</v>
      </c>
      <c r="AB47" s="794"/>
      <c r="AC47" s="489">
        <v>39843</v>
      </c>
      <c r="AD47" s="490" t="s">
        <v>802</v>
      </c>
      <c r="AE47" s="716">
        <v>26</v>
      </c>
      <c r="AF47" s="796"/>
      <c r="AG47" s="489">
        <v>40204</v>
      </c>
      <c r="AH47" s="490" t="s">
        <v>937</v>
      </c>
      <c r="AI47" s="713">
        <v>5</v>
      </c>
      <c r="AJ47" s="795"/>
      <c r="AK47" s="489">
        <v>40566</v>
      </c>
      <c r="AL47" s="490" t="s">
        <v>1412</v>
      </c>
      <c r="AM47" s="786">
        <v>500</v>
      </c>
      <c r="AN47" s="787">
        <f t="shared" si="1"/>
        <v>11.363636363636363</v>
      </c>
      <c r="AO47" s="489">
        <v>40937</v>
      </c>
      <c r="AP47" s="490" t="s">
        <v>1413</v>
      </c>
      <c r="AQ47" s="718">
        <v>120</v>
      </c>
      <c r="AR47" s="787"/>
      <c r="AS47" s="489">
        <v>41285</v>
      </c>
      <c r="AT47" s="490" t="s">
        <v>1414</v>
      </c>
      <c r="AU47" s="718">
        <v>36</v>
      </c>
      <c r="AV47" s="787"/>
      <c r="AW47" s="489">
        <v>41654</v>
      </c>
      <c r="AX47" s="490" t="s">
        <v>787</v>
      </c>
      <c r="AY47" s="718">
        <v>30</v>
      </c>
      <c r="AZ47" s="787"/>
      <c r="BA47" s="489">
        <v>42030</v>
      </c>
      <c r="BB47" s="490" t="s">
        <v>797</v>
      </c>
      <c r="BC47" s="718">
        <v>33</v>
      </c>
      <c r="BD47" s="787"/>
      <c r="BE47" s="489">
        <v>42386</v>
      </c>
      <c r="BF47" s="490" t="s">
        <v>1415</v>
      </c>
      <c r="BG47" s="718">
        <v>10</v>
      </c>
      <c r="BH47" s="787"/>
      <c r="BI47" s="489">
        <v>42757</v>
      </c>
      <c r="BJ47" s="490" t="s">
        <v>772</v>
      </c>
      <c r="BK47" s="718">
        <v>46</v>
      </c>
      <c r="BL47" s="787"/>
      <c r="BM47" s="489">
        <v>43120</v>
      </c>
      <c r="BN47" s="490" t="s">
        <v>873</v>
      </c>
      <c r="BO47" s="715">
        <v>11</v>
      </c>
      <c r="BP47" s="787"/>
      <c r="BQ47" s="1017">
        <v>43474</v>
      </c>
      <c r="BR47" s="1019" t="s">
        <v>1416</v>
      </c>
      <c r="BS47" s="1063">
        <v>1</v>
      </c>
      <c r="BT47" s="1062" t="s">
        <v>280</v>
      </c>
      <c r="BU47" s="1017">
        <v>43848</v>
      </c>
      <c r="BV47" s="1019" t="s">
        <v>1417</v>
      </c>
      <c r="BW47" s="1063">
        <v>19</v>
      </c>
      <c r="BX47" s="1018" t="s">
        <v>280</v>
      </c>
      <c r="BY47" s="1017">
        <v>44211</v>
      </c>
      <c r="BZ47" s="1019" t="s">
        <v>1418</v>
      </c>
      <c r="CA47" s="1063">
        <v>24</v>
      </c>
      <c r="CB47" s="1018" t="s">
        <v>414</v>
      </c>
      <c r="CC47" s="1017">
        <v>44576</v>
      </c>
      <c r="CD47" s="1019" t="s">
        <v>1419</v>
      </c>
      <c r="CE47" s="1063">
        <v>40</v>
      </c>
      <c r="CF47" s="1018" t="s">
        <v>701</v>
      </c>
      <c r="CG47" s="1017">
        <v>44940</v>
      </c>
      <c r="CH47" s="1019" t="s">
        <v>772</v>
      </c>
      <c r="CI47" s="1063">
        <v>121</v>
      </c>
      <c r="CJ47" s="1018" t="s">
        <v>414</v>
      </c>
      <c r="CK47" s="1017">
        <v>45310</v>
      </c>
      <c r="CL47" s="1019" t="s">
        <v>1420</v>
      </c>
      <c r="CM47" s="1063">
        <v>30</v>
      </c>
      <c r="CN47" s="1018" t="s">
        <v>700</v>
      </c>
      <c r="CO47" s="1017">
        <v>45675</v>
      </c>
      <c r="CP47" s="1019" t="s">
        <v>1421</v>
      </c>
      <c r="CQ47" s="1063">
        <v>16</v>
      </c>
      <c r="CR47" s="1018" t="s">
        <v>414</v>
      </c>
      <c r="CS47" s="1017"/>
      <c r="CT47" s="1019"/>
      <c r="CU47" s="1063"/>
      <c r="CV47" s="1018"/>
    </row>
    <row r="48" spans="5:100" ht="14.1" customHeight="1">
      <c r="E48" s="489">
        <v>37641</v>
      </c>
      <c r="F48" s="714" t="s">
        <v>410</v>
      </c>
      <c r="G48" s="491">
        <v>25</v>
      </c>
      <c r="H48" s="493"/>
      <c r="I48" s="489">
        <v>38009</v>
      </c>
      <c r="J48" s="714" t="s">
        <v>1114</v>
      </c>
      <c r="K48" s="491">
        <v>15</v>
      </c>
      <c r="L48" s="493"/>
      <c r="M48" s="489"/>
      <c r="N48" s="714"/>
      <c r="O48" s="491"/>
      <c r="P48" s="769"/>
      <c r="Q48" s="489">
        <v>38745</v>
      </c>
      <c r="R48" s="714" t="s">
        <v>1422</v>
      </c>
      <c r="S48" s="491">
        <v>14</v>
      </c>
      <c r="T48" s="493"/>
      <c r="U48" s="489">
        <v>39101</v>
      </c>
      <c r="V48" s="714" t="s">
        <v>1423</v>
      </c>
      <c r="W48" s="491">
        <f t="shared" si="2"/>
        <v>41.395348837209305</v>
      </c>
      <c r="X48" s="788">
        <v>1780</v>
      </c>
      <c r="Y48" s="489">
        <v>39459</v>
      </c>
      <c r="Z48" s="714" t="s">
        <v>783</v>
      </c>
      <c r="AA48" s="783">
        <v>8</v>
      </c>
      <c r="AB48" s="794"/>
      <c r="AC48" s="489">
        <v>39843</v>
      </c>
      <c r="AD48" s="490" t="s">
        <v>781</v>
      </c>
      <c r="AE48" s="716">
        <v>62</v>
      </c>
      <c r="AF48" s="796"/>
      <c r="AG48" s="489">
        <v>40204</v>
      </c>
      <c r="AH48" s="490" t="s">
        <v>797</v>
      </c>
      <c r="AI48" s="713">
        <v>46</v>
      </c>
      <c r="AJ48" s="795"/>
      <c r="AK48" s="489">
        <v>40566</v>
      </c>
      <c r="AL48" s="490" t="s">
        <v>1029</v>
      </c>
      <c r="AM48" s="786">
        <v>300</v>
      </c>
      <c r="AN48" s="787">
        <f t="shared" si="1"/>
        <v>6.8181818181818183</v>
      </c>
      <c r="AO48" s="489">
        <v>40937</v>
      </c>
      <c r="AP48" s="490" t="s">
        <v>979</v>
      </c>
      <c r="AQ48" s="718">
        <v>5</v>
      </c>
      <c r="AR48" s="787"/>
      <c r="AS48" s="489">
        <v>41285</v>
      </c>
      <c r="AT48" s="490" t="s">
        <v>1424</v>
      </c>
      <c r="AU48" s="718">
        <v>15</v>
      </c>
      <c r="AV48" s="787"/>
      <c r="AW48" s="489">
        <v>41654</v>
      </c>
      <c r="AX48" s="490" t="s">
        <v>855</v>
      </c>
      <c r="AY48" s="718">
        <v>9</v>
      </c>
      <c r="AZ48" s="787"/>
      <c r="BA48" s="489">
        <v>42032</v>
      </c>
      <c r="BB48" s="490" t="s">
        <v>1425</v>
      </c>
      <c r="BC48" s="718">
        <v>4</v>
      </c>
      <c r="BD48" s="787"/>
      <c r="BE48" s="489">
        <v>42539</v>
      </c>
      <c r="BF48" s="490" t="s">
        <v>1426</v>
      </c>
      <c r="BG48" s="718">
        <v>57</v>
      </c>
      <c r="BH48" s="787"/>
      <c r="BI48" s="489">
        <v>42757</v>
      </c>
      <c r="BJ48" s="490" t="s">
        <v>823</v>
      </c>
      <c r="BK48" s="718">
        <v>26</v>
      </c>
      <c r="BL48" s="787"/>
      <c r="BM48" s="489">
        <v>43120</v>
      </c>
      <c r="BN48" s="490" t="s">
        <v>1427</v>
      </c>
      <c r="BO48" s="715">
        <v>17</v>
      </c>
      <c r="BP48" s="787"/>
      <c r="BQ48" s="1017">
        <v>43475</v>
      </c>
      <c r="BR48" s="1019" t="s">
        <v>1428</v>
      </c>
      <c r="BS48" s="1063">
        <v>150</v>
      </c>
      <c r="BT48" s="1062" t="s">
        <v>280</v>
      </c>
      <c r="BU48" s="1017">
        <v>43848</v>
      </c>
      <c r="BV48" s="1019" t="s">
        <v>1429</v>
      </c>
      <c r="BW48" s="1063">
        <v>9</v>
      </c>
      <c r="BX48" s="1062" t="s">
        <v>414</v>
      </c>
      <c r="BY48" s="1017">
        <v>44211</v>
      </c>
      <c r="BZ48" s="1019" t="s">
        <v>1430</v>
      </c>
      <c r="CA48" s="1063">
        <v>0</v>
      </c>
      <c r="CB48" s="1018" t="s">
        <v>414</v>
      </c>
      <c r="CC48" s="1017">
        <v>44576</v>
      </c>
      <c r="CD48" s="1019" t="s">
        <v>1431</v>
      </c>
      <c r="CE48" s="1063">
        <v>529</v>
      </c>
      <c r="CF48" s="1018" t="s">
        <v>701</v>
      </c>
      <c r="CG48" s="1017">
        <v>44940</v>
      </c>
      <c r="CH48" s="1019" t="s">
        <v>872</v>
      </c>
      <c r="CI48" s="1063">
        <v>16</v>
      </c>
      <c r="CJ48" s="1018" t="s">
        <v>414</v>
      </c>
      <c r="CK48" s="1017">
        <v>45310</v>
      </c>
      <c r="CL48" s="1019" t="s">
        <v>1432</v>
      </c>
      <c r="CM48" s="1063" t="s">
        <v>37</v>
      </c>
      <c r="CN48" s="1018" t="s">
        <v>700</v>
      </c>
      <c r="CO48" s="1017">
        <v>45675</v>
      </c>
      <c r="CP48" s="1019" t="s">
        <v>1433</v>
      </c>
      <c r="CQ48" s="1063">
        <v>50</v>
      </c>
      <c r="CR48" s="1018" t="s">
        <v>414</v>
      </c>
      <c r="CS48" s="1017"/>
      <c r="CT48" s="1019"/>
      <c r="CU48" s="1063"/>
      <c r="CV48" s="1018"/>
    </row>
    <row r="49" spans="5:100" ht="14.1" customHeight="1">
      <c r="E49" s="489">
        <v>37641</v>
      </c>
      <c r="F49" s="714" t="s">
        <v>915</v>
      </c>
      <c r="G49" s="491">
        <v>15</v>
      </c>
      <c r="H49" s="493"/>
      <c r="I49" s="489">
        <v>38009</v>
      </c>
      <c r="J49" s="714" t="s">
        <v>1434</v>
      </c>
      <c r="K49" s="491">
        <v>24</v>
      </c>
      <c r="L49" s="493"/>
      <c r="M49" s="489"/>
      <c r="N49" s="714"/>
      <c r="O49" s="491"/>
      <c r="P49" s="769"/>
      <c r="Q49" s="489">
        <v>38745</v>
      </c>
      <c r="R49" s="714" t="s">
        <v>772</v>
      </c>
      <c r="S49" s="491">
        <v>36</v>
      </c>
      <c r="T49" s="493"/>
      <c r="U49" s="489">
        <v>39101</v>
      </c>
      <c r="V49" s="714" t="s">
        <v>1435</v>
      </c>
      <c r="W49" s="491">
        <f t="shared" si="2"/>
        <v>6.9767441860465116</v>
      </c>
      <c r="X49" s="788">
        <v>300</v>
      </c>
      <c r="Y49" s="489">
        <v>39459</v>
      </c>
      <c r="Z49" s="714" t="s">
        <v>1436</v>
      </c>
      <c r="AA49" s="783">
        <v>10</v>
      </c>
      <c r="AB49" s="794"/>
      <c r="AC49" s="489">
        <v>39843</v>
      </c>
      <c r="AD49" s="490" t="s">
        <v>1437</v>
      </c>
      <c r="AE49" s="716">
        <v>145</v>
      </c>
      <c r="AF49" s="796"/>
      <c r="AG49" s="489">
        <v>40204</v>
      </c>
      <c r="AH49" s="490" t="s">
        <v>1052</v>
      </c>
      <c r="AI49" s="716">
        <v>19</v>
      </c>
      <c r="AJ49" s="796"/>
      <c r="AK49" s="489">
        <v>40567</v>
      </c>
      <c r="AL49" s="490" t="s">
        <v>1438</v>
      </c>
      <c r="AM49" s="786">
        <v>2000</v>
      </c>
      <c r="AN49" s="787">
        <f t="shared" si="1"/>
        <v>45.454545454545453</v>
      </c>
      <c r="AO49" s="489"/>
      <c r="AP49" s="490"/>
      <c r="AQ49" s="718"/>
      <c r="AR49" s="787"/>
      <c r="AS49" s="489">
        <v>41285</v>
      </c>
      <c r="AT49" s="490" t="s">
        <v>1439</v>
      </c>
      <c r="AU49" s="718">
        <v>15</v>
      </c>
      <c r="AV49" s="787"/>
      <c r="AW49" s="489">
        <v>41655</v>
      </c>
      <c r="AX49" s="490" t="s">
        <v>1440</v>
      </c>
      <c r="AY49" s="718">
        <v>42</v>
      </c>
      <c r="AZ49" s="787"/>
      <c r="BA49" s="489">
        <v>42032</v>
      </c>
      <c r="BB49" s="490" t="s">
        <v>1441</v>
      </c>
      <c r="BC49" s="718">
        <v>300</v>
      </c>
      <c r="BD49" s="787"/>
      <c r="BE49" s="489">
        <v>42539</v>
      </c>
      <c r="BF49" s="490" t="s">
        <v>781</v>
      </c>
      <c r="BG49" s="718">
        <v>8</v>
      </c>
      <c r="BH49" s="787"/>
      <c r="BI49" s="489">
        <v>42757</v>
      </c>
      <c r="BJ49" s="490" t="s">
        <v>1442</v>
      </c>
      <c r="BK49" s="718">
        <v>27</v>
      </c>
      <c r="BL49" s="787"/>
      <c r="BM49" s="489">
        <v>43120</v>
      </c>
      <c r="BN49" s="490" t="s">
        <v>1443</v>
      </c>
      <c r="BO49" s="715">
        <v>20</v>
      </c>
      <c r="BP49" s="787"/>
      <c r="BQ49" s="1017">
        <v>43475</v>
      </c>
      <c r="BR49" s="1019" t="s">
        <v>1444</v>
      </c>
      <c r="BS49" s="1063">
        <v>37</v>
      </c>
      <c r="BT49" s="1062"/>
      <c r="BU49" s="1017">
        <v>43848</v>
      </c>
      <c r="BV49" s="1019" t="s">
        <v>1445</v>
      </c>
      <c r="BW49" s="1063">
        <v>23</v>
      </c>
      <c r="BX49" s="1018" t="s">
        <v>426</v>
      </c>
      <c r="BY49" s="1017">
        <v>44211</v>
      </c>
      <c r="BZ49" s="1019" t="s">
        <v>1446</v>
      </c>
      <c r="CA49" s="1063">
        <v>47</v>
      </c>
      <c r="CB49" s="1018" t="s">
        <v>414</v>
      </c>
      <c r="CC49" s="1017">
        <v>44576</v>
      </c>
      <c r="CD49" s="1019" t="s">
        <v>1447</v>
      </c>
      <c r="CE49" s="1063">
        <v>20</v>
      </c>
      <c r="CF49" s="1018" t="s">
        <v>701</v>
      </c>
      <c r="CG49" s="1017">
        <v>44940</v>
      </c>
      <c r="CH49" s="1019" t="s">
        <v>1448</v>
      </c>
      <c r="CI49" s="1063">
        <v>130</v>
      </c>
      <c r="CJ49" s="1018" t="s">
        <v>284</v>
      </c>
      <c r="CK49" s="1017">
        <v>45310</v>
      </c>
      <c r="CL49" s="1019" t="s">
        <v>1449</v>
      </c>
      <c r="CM49" s="1063">
        <v>66</v>
      </c>
      <c r="CN49" s="1018" t="s">
        <v>700</v>
      </c>
      <c r="CO49" s="1017">
        <v>45675</v>
      </c>
      <c r="CP49" s="1019" t="s">
        <v>1450</v>
      </c>
      <c r="CQ49" s="1063">
        <v>15</v>
      </c>
      <c r="CR49" s="1018" t="s">
        <v>414</v>
      </c>
      <c r="CS49" s="1017"/>
      <c r="CT49" s="1019"/>
      <c r="CU49" s="1063"/>
      <c r="CV49" s="1018"/>
    </row>
    <row r="50" spans="5:100" ht="14.1" customHeight="1">
      <c r="E50" s="489">
        <v>37641</v>
      </c>
      <c r="F50" s="714" t="s">
        <v>1189</v>
      </c>
      <c r="G50" s="491">
        <v>31</v>
      </c>
      <c r="H50" s="493"/>
      <c r="I50" s="489">
        <v>38010</v>
      </c>
      <c r="J50" s="714" t="s">
        <v>1451</v>
      </c>
      <c r="K50" s="491">
        <v>24</v>
      </c>
      <c r="L50" s="493"/>
      <c r="M50" s="489"/>
      <c r="N50" s="714"/>
      <c r="O50" s="491"/>
      <c r="P50" s="769"/>
      <c r="Q50" s="489">
        <v>38745</v>
      </c>
      <c r="R50" s="714" t="s">
        <v>937</v>
      </c>
      <c r="S50" s="491">
        <v>25</v>
      </c>
      <c r="T50" s="493"/>
      <c r="U50" s="489">
        <v>39101</v>
      </c>
      <c r="V50" s="714" t="s">
        <v>1452</v>
      </c>
      <c r="W50" s="491">
        <f t="shared" si="2"/>
        <v>4.0697674418604652</v>
      </c>
      <c r="X50" s="788">
        <v>175</v>
      </c>
      <c r="Y50" s="489">
        <v>39460</v>
      </c>
      <c r="Z50" s="714" t="s">
        <v>1453</v>
      </c>
      <c r="AA50" s="783">
        <v>6</v>
      </c>
      <c r="AB50" s="794"/>
      <c r="AC50" s="489"/>
      <c r="AD50" s="490"/>
      <c r="AE50" s="716"/>
      <c r="AF50" s="796"/>
      <c r="AG50" s="489">
        <v>40206</v>
      </c>
      <c r="AH50" s="490" t="s">
        <v>787</v>
      </c>
      <c r="AI50" s="716">
        <v>10</v>
      </c>
      <c r="AJ50" s="796"/>
      <c r="AK50" s="489">
        <v>40567</v>
      </c>
      <c r="AL50" s="490" t="s">
        <v>1454</v>
      </c>
      <c r="AM50" s="786">
        <v>1000</v>
      </c>
      <c r="AN50" s="787">
        <f t="shared" si="1"/>
        <v>22.727272727272727</v>
      </c>
      <c r="AO50" s="489"/>
      <c r="AP50" s="490"/>
      <c r="AQ50" s="718"/>
      <c r="AR50" s="787"/>
      <c r="AS50" s="489">
        <v>41286</v>
      </c>
      <c r="AT50" s="490" t="s">
        <v>1455</v>
      </c>
      <c r="AU50" s="718">
        <v>27</v>
      </c>
      <c r="AV50" s="787"/>
      <c r="AW50" s="489">
        <v>41655</v>
      </c>
      <c r="AX50" s="490" t="s">
        <v>1456</v>
      </c>
      <c r="AY50" s="718">
        <v>150</v>
      </c>
      <c r="AZ50" s="787"/>
      <c r="BA50" s="489">
        <v>42035</v>
      </c>
      <c r="BB50" s="490" t="s">
        <v>754</v>
      </c>
      <c r="BC50" s="718">
        <v>125</v>
      </c>
      <c r="BD50" s="787"/>
      <c r="BE50" s="489">
        <v>42387</v>
      </c>
      <c r="BF50" s="490" t="s">
        <v>797</v>
      </c>
      <c r="BG50" s="718">
        <v>34</v>
      </c>
      <c r="BH50" s="787"/>
      <c r="BI50" s="489">
        <v>42760</v>
      </c>
      <c r="BJ50" s="490" t="s">
        <v>872</v>
      </c>
      <c r="BK50" s="718">
        <v>13</v>
      </c>
      <c r="BL50" s="787"/>
      <c r="BM50" s="489">
        <v>43121</v>
      </c>
      <c r="BN50" s="490" t="s">
        <v>1457</v>
      </c>
      <c r="BO50" s="715"/>
      <c r="BP50" s="787"/>
      <c r="BQ50" s="1017">
        <v>43475</v>
      </c>
      <c r="BR50" s="1019" t="s">
        <v>1458</v>
      </c>
      <c r="BS50" s="1063">
        <v>379</v>
      </c>
      <c r="BT50" s="1062" t="s">
        <v>436</v>
      </c>
      <c r="BU50" s="1017">
        <v>43848</v>
      </c>
      <c r="BV50" s="1019" t="s">
        <v>1459</v>
      </c>
      <c r="BW50" s="1063">
        <v>33</v>
      </c>
      <c r="BX50" s="1062" t="s">
        <v>284</v>
      </c>
      <c r="BY50" s="1017">
        <v>44211</v>
      </c>
      <c r="BZ50" s="1019" t="s">
        <v>1460</v>
      </c>
      <c r="CA50" s="1063">
        <v>0</v>
      </c>
      <c r="CB50" s="1018" t="s">
        <v>414</v>
      </c>
      <c r="CC50" s="1017">
        <v>44576</v>
      </c>
      <c r="CD50" s="1019" t="s">
        <v>1461</v>
      </c>
      <c r="CE50" s="1063">
        <v>100</v>
      </c>
      <c r="CF50" s="1018" t="s">
        <v>436</v>
      </c>
      <c r="CG50" s="1017">
        <v>44940</v>
      </c>
      <c r="CH50" s="1019" t="s">
        <v>1462</v>
      </c>
      <c r="CI50" s="1063">
        <v>150</v>
      </c>
      <c r="CJ50" s="1018" t="s">
        <v>284</v>
      </c>
      <c r="CK50" s="1017">
        <v>45311</v>
      </c>
      <c r="CL50" s="1019" t="s">
        <v>772</v>
      </c>
      <c r="CM50" s="1063">
        <v>15</v>
      </c>
      <c r="CN50" s="1018" t="s">
        <v>414</v>
      </c>
      <c r="CO50" s="1017">
        <v>45675</v>
      </c>
      <c r="CP50" s="1019" t="s">
        <v>1463</v>
      </c>
      <c r="CQ50" s="1063">
        <v>25</v>
      </c>
      <c r="CR50" s="1018" t="s">
        <v>414</v>
      </c>
      <c r="CS50" s="1017"/>
      <c r="CT50" s="1019"/>
      <c r="CU50" s="1063"/>
      <c r="CV50" s="1018"/>
    </row>
    <row r="51" spans="5:100" ht="14.1" customHeight="1">
      <c r="E51" s="489">
        <v>37641</v>
      </c>
      <c r="F51" s="714" t="s">
        <v>1464</v>
      </c>
      <c r="G51" s="491">
        <v>10</v>
      </c>
      <c r="H51" s="493"/>
      <c r="I51" s="489">
        <v>38010</v>
      </c>
      <c r="J51" s="714" t="s">
        <v>1465</v>
      </c>
      <c r="K51" s="491">
        <v>16</v>
      </c>
      <c r="L51" s="493"/>
      <c r="M51" s="489"/>
      <c r="N51" s="714"/>
      <c r="O51" s="491"/>
      <c r="P51" s="769"/>
      <c r="Q51" s="489">
        <v>38747</v>
      </c>
      <c r="R51" s="714" t="s">
        <v>1466</v>
      </c>
      <c r="S51" s="491">
        <v>11</v>
      </c>
      <c r="T51" s="493"/>
      <c r="U51" s="489">
        <v>39101</v>
      </c>
      <c r="V51" s="714" t="s">
        <v>1467</v>
      </c>
      <c r="W51" s="491">
        <f t="shared" si="2"/>
        <v>9.3023255813953494</v>
      </c>
      <c r="X51" s="788">
        <v>400</v>
      </c>
      <c r="Y51" s="489">
        <v>39463</v>
      </c>
      <c r="Z51" s="714" t="s">
        <v>1308</v>
      </c>
      <c r="AA51" s="783">
        <v>22</v>
      </c>
      <c r="AB51" s="794"/>
      <c r="AC51" s="489"/>
      <c r="AD51" s="490"/>
      <c r="AE51" s="716"/>
      <c r="AF51" s="796"/>
      <c r="AG51" s="489">
        <v>40207</v>
      </c>
      <c r="AH51" s="490" t="s">
        <v>1468</v>
      </c>
      <c r="AI51" s="716">
        <v>5</v>
      </c>
      <c r="AJ51" s="796"/>
      <c r="AK51" s="489">
        <v>40567</v>
      </c>
      <c r="AL51" s="490" t="s">
        <v>1469</v>
      </c>
      <c r="AM51" s="786">
        <v>16500</v>
      </c>
      <c r="AN51" s="787">
        <f t="shared" si="1"/>
        <v>375</v>
      </c>
      <c r="AO51" s="489"/>
      <c r="AP51" s="490"/>
      <c r="AQ51" s="718"/>
      <c r="AR51" s="787"/>
      <c r="AS51" s="489">
        <v>41286</v>
      </c>
      <c r="AT51" s="490" t="s">
        <v>1470</v>
      </c>
      <c r="AU51" s="718">
        <v>3</v>
      </c>
      <c r="AV51" s="787"/>
      <c r="AW51" s="489">
        <v>41655</v>
      </c>
      <c r="AX51" s="490" t="s">
        <v>1471</v>
      </c>
      <c r="AY51" s="718">
        <v>7</v>
      </c>
      <c r="AZ51" s="787"/>
      <c r="BA51" s="489">
        <v>42035</v>
      </c>
      <c r="BB51" s="490" t="s">
        <v>772</v>
      </c>
      <c r="BC51" s="718">
        <v>75</v>
      </c>
      <c r="BD51" s="787"/>
      <c r="BE51" s="489">
        <v>42390</v>
      </c>
      <c r="BF51" s="490" t="s">
        <v>1472</v>
      </c>
      <c r="BG51" s="718">
        <v>16</v>
      </c>
      <c r="BH51" s="787"/>
      <c r="BI51" s="489">
        <v>42761</v>
      </c>
      <c r="BJ51" s="490" t="s">
        <v>1473</v>
      </c>
      <c r="BK51" s="718">
        <v>14</v>
      </c>
      <c r="BL51" s="787"/>
      <c r="BM51" s="489">
        <v>43121</v>
      </c>
      <c r="BN51" s="490" t="s">
        <v>1474</v>
      </c>
      <c r="BO51" s="715"/>
      <c r="BP51" s="787"/>
      <c r="BQ51" s="1017">
        <v>43476</v>
      </c>
      <c r="BR51" s="1019" t="s">
        <v>823</v>
      </c>
      <c r="BS51" s="1063">
        <v>13</v>
      </c>
      <c r="BT51" s="1062" t="s">
        <v>414</v>
      </c>
      <c r="BU51" s="1017">
        <v>43848</v>
      </c>
      <c r="BV51" s="1019" t="s">
        <v>1475</v>
      </c>
      <c r="BW51" s="1063">
        <v>9</v>
      </c>
      <c r="BX51" s="1062" t="s">
        <v>280</v>
      </c>
      <c r="BY51" s="1017">
        <v>44211</v>
      </c>
      <c r="BZ51" s="1019" t="s">
        <v>1476</v>
      </c>
      <c r="CA51" s="1063">
        <v>0</v>
      </c>
      <c r="CB51" s="1018" t="s">
        <v>414</v>
      </c>
      <c r="CC51" s="1017">
        <v>44576</v>
      </c>
      <c r="CD51" s="1019" t="s">
        <v>1477</v>
      </c>
      <c r="CE51" s="1063">
        <v>200</v>
      </c>
      <c r="CF51" s="1018" t="s">
        <v>689</v>
      </c>
      <c r="CG51" s="1017">
        <v>44940</v>
      </c>
      <c r="CH51" s="1019" t="s">
        <v>1180</v>
      </c>
      <c r="CI51" s="1063">
        <v>100</v>
      </c>
      <c r="CJ51" s="1018" t="s">
        <v>410</v>
      </c>
      <c r="CK51" s="1017">
        <v>45311</v>
      </c>
      <c r="CL51" s="1019" t="s">
        <v>948</v>
      </c>
      <c r="CM51" s="1063">
        <v>39</v>
      </c>
      <c r="CN51" s="1018" t="s">
        <v>414</v>
      </c>
      <c r="CO51" s="1017">
        <v>45675</v>
      </c>
      <c r="CP51" s="1019" t="s">
        <v>1478</v>
      </c>
      <c r="CQ51" s="1063">
        <v>27</v>
      </c>
      <c r="CR51" s="1018" t="s">
        <v>414</v>
      </c>
      <c r="CS51" s="1017"/>
      <c r="CT51" s="1019"/>
      <c r="CU51" s="1063"/>
      <c r="CV51" s="1018"/>
    </row>
    <row r="52" spans="5:100" ht="14.1" customHeight="1">
      <c r="E52" s="489">
        <v>37641</v>
      </c>
      <c r="F52" s="714" t="s">
        <v>1479</v>
      </c>
      <c r="G52" s="491">
        <v>8</v>
      </c>
      <c r="H52" s="493"/>
      <c r="I52" s="489">
        <v>38010</v>
      </c>
      <c r="J52" s="714" t="s">
        <v>1480</v>
      </c>
      <c r="K52" s="491">
        <v>10</v>
      </c>
      <c r="L52" s="493"/>
      <c r="M52" s="489"/>
      <c r="N52" s="714"/>
      <c r="O52" s="491"/>
      <c r="P52" s="769"/>
      <c r="Q52" s="489">
        <v>38747</v>
      </c>
      <c r="R52" s="714" t="s">
        <v>797</v>
      </c>
      <c r="S52" s="491">
        <v>35</v>
      </c>
      <c r="T52" s="493"/>
      <c r="U52" s="489">
        <v>39101</v>
      </c>
      <c r="V52" s="714" t="s">
        <v>1481</v>
      </c>
      <c r="W52" s="491">
        <f t="shared" si="2"/>
        <v>3.4883720930232558</v>
      </c>
      <c r="X52" s="788">
        <v>150</v>
      </c>
      <c r="Y52" s="489">
        <v>39464</v>
      </c>
      <c r="Z52" s="714" t="s">
        <v>849</v>
      </c>
      <c r="AA52" s="783">
        <v>11</v>
      </c>
      <c r="AB52" s="794"/>
      <c r="AC52" s="489"/>
      <c r="AD52" s="490"/>
      <c r="AE52" s="716"/>
      <c r="AF52" s="796"/>
      <c r="AG52" s="489">
        <v>40208</v>
      </c>
      <c r="AH52" s="490" t="s">
        <v>1146</v>
      </c>
      <c r="AI52" s="716">
        <v>72</v>
      </c>
      <c r="AJ52" s="796"/>
      <c r="AK52" s="489">
        <v>40567</v>
      </c>
      <c r="AL52" s="490" t="s">
        <v>1482</v>
      </c>
      <c r="AM52" s="786">
        <v>200</v>
      </c>
      <c r="AN52" s="787">
        <f t="shared" si="1"/>
        <v>4.5454545454545459</v>
      </c>
      <c r="AO52" s="489"/>
      <c r="AP52" s="490"/>
      <c r="AQ52" s="718"/>
      <c r="AR52" s="787"/>
      <c r="AS52" s="489">
        <v>41286</v>
      </c>
      <c r="AT52" s="490" t="s">
        <v>1483</v>
      </c>
      <c r="AU52" s="718">
        <v>135</v>
      </c>
      <c r="AV52" s="787"/>
      <c r="AW52" s="489">
        <v>41655</v>
      </c>
      <c r="AX52" s="490" t="s">
        <v>1484</v>
      </c>
      <c r="AY52" s="718">
        <v>124</v>
      </c>
      <c r="AZ52" s="787"/>
      <c r="BA52" s="489">
        <v>42035</v>
      </c>
      <c r="BB52" s="490" t="s">
        <v>781</v>
      </c>
      <c r="BC52" s="718">
        <v>53</v>
      </c>
      <c r="BD52" s="787"/>
      <c r="BE52" s="489">
        <v>42391</v>
      </c>
      <c r="BF52" s="490" t="s">
        <v>772</v>
      </c>
      <c r="BG52" s="718">
        <v>46</v>
      </c>
      <c r="BH52" s="787"/>
      <c r="BI52" s="489">
        <v>42761</v>
      </c>
      <c r="BJ52" s="490" t="s">
        <v>1485</v>
      </c>
      <c r="BK52" s="718">
        <v>6</v>
      </c>
      <c r="BL52" s="787"/>
      <c r="BM52" s="489">
        <v>43121</v>
      </c>
      <c r="BN52" s="490" t="s">
        <v>772</v>
      </c>
      <c r="BO52" s="715">
        <v>5</v>
      </c>
      <c r="BP52" s="787"/>
      <c r="BQ52" s="1017">
        <v>43476</v>
      </c>
      <c r="BR52" s="1019" t="s">
        <v>873</v>
      </c>
      <c r="BS52" s="1063">
        <v>10</v>
      </c>
      <c r="BT52" s="1062" t="s">
        <v>414</v>
      </c>
      <c r="BU52" s="1017">
        <v>43848</v>
      </c>
      <c r="BV52" s="1019" t="s">
        <v>1486</v>
      </c>
      <c r="BW52" s="1063">
        <v>20</v>
      </c>
      <c r="BX52" s="1062" t="s">
        <v>280</v>
      </c>
      <c r="BY52" s="1017">
        <v>44211</v>
      </c>
      <c r="BZ52" s="1019" t="s">
        <v>1487</v>
      </c>
      <c r="CA52" s="1063">
        <v>4</v>
      </c>
      <c r="CB52" s="1018" t="s">
        <v>414</v>
      </c>
      <c r="CC52" s="1017">
        <v>44576</v>
      </c>
      <c r="CD52" s="1019" t="s">
        <v>1488</v>
      </c>
      <c r="CE52" s="1063">
        <v>69</v>
      </c>
      <c r="CF52" s="1018" t="s">
        <v>284</v>
      </c>
      <c r="CG52" s="1017">
        <v>44940</v>
      </c>
      <c r="CH52" s="1019" t="s">
        <v>1489</v>
      </c>
      <c r="CI52" s="1063">
        <v>80</v>
      </c>
      <c r="CJ52" s="1018" t="s">
        <v>280</v>
      </c>
      <c r="CK52" s="1017">
        <v>45311</v>
      </c>
      <c r="CL52" s="1019" t="s">
        <v>781</v>
      </c>
      <c r="CM52" s="1063">
        <v>50</v>
      </c>
      <c r="CN52" s="1018" t="s">
        <v>414</v>
      </c>
      <c r="CO52" s="1017">
        <v>45675</v>
      </c>
      <c r="CP52" s="1019" t="s">
        <v>1490</v>
      </c>
      <c r="CQ52" s="1063">
        <v>50</v>
      </c>
      <c r="CR52" s="1018" t="s">
        <v>414</v>
      </c>
      <c r="CS52" s="1017"/>
      <c r="CT52" s="1019"/>
      <c r="CU52" s="1063"/>
      <c r="CV52" s="1018"/>
    </row>
    <row r="53" spans="5:100" ht="14.1" customHeight="1">
      <c r="E53" s="489">
        <v>37642</v>
      </c>
      <c r="F53" s="714" t="s">
        <v>1491</v>
      </c>
      <c r="G53" s="491"/>
      <c r="H53" s="493">
        <v>40</v>
      </c>
      <c r="I53" s="489">
        <v>38011</v>
      </c>
      <c r="J53" s="714" t="s">
        <v>1492</v>
      </c>
      <c r="K53" s="491">
        <v>13</v>
      </c>
      <c r="L53" s="493"/>
      <c r="M53" s="489"/>
      <c r="N53" s="714"/>
      <c r="O53" s="491"/>
      <c r="P53" s="769"/>
      <c r="Q53" s="489">
        <v>38748</v>
      </c>
      <c r="R53" s="714" t="s">
        <v>1493</v>
      </c>
      <c r="S53" s="491">
        <v>10</v>
      </c>
      <c r="T53" s="493"/>
      <c r="U53" s="489">
        <v>39101</v>
      </c>
      <c r="V53" s="714" t="s">
        <v>1494</v>
      </c>
      <c r="W53" s="491">
        <f t="shared" si="2"/>
        <v>7.5348837209302326</v>
      </c>
      <c r="X53" s="788">
        <v>324</v>
      </c>
      <c r="Y53" s="489">
        <v>39465</v>
      </c>
      <c r="Z53" s="714" t="s">
        <v>1495</v>
      </c>
      <c r="AA53" s="783">
        <v>27</v>
      </c>
      <c r="AB53" s="794"/>
      <c r="AC53" s="489"/>
      <c r="AD53" s="490"/>
      <c r="AE53" s="716"/>
      <c r="AF53" s="796"/>
      <c r="AG53" s="489">
        <v>40208</v>
      </c>
      <c r="AH53" s="490" t="s">
        <v>781</v>
      </c>
      <c r="AI53" s="716">
        <v>71</v>
      </c>
      <c r="AJ53" s="796"/>
      <c r="AK53" s="489">
        <v>40568</v>
      </c>
      <c r="AL53" s="490" t="s">
        <v>1496</v>
      </c>
      <c r="AM53" s="786">
        <v>200</v>
      </c>
      <c r="AN53" s="787">
        <f t="shared" si="1"/>
        <v>4.5454545454545459</v>
      </c>
      <c r="AO53" s="489"/>
      <c r="AP53" s="490"/>
      <c r="AQ53" s="718"/>
      <c r="AR53" s="787"/>
      <c r="AS53" s="489"/>
      <c r="AT53" s="490"/>
      <c r="AU53" s="718"/>
      <c r="AV53" s="787"/>
      <c r="AW53" s="489">
        <v>41655</v>
      </c>
      <c r="AX53" s="490" t="s">
        <v>1497</v>
      </c>
      <c r="AY53" s="718">
        <v>4</v>
      </c>
      <c r="AZ53" s="787"/>
      <c r="BA53" s="489">
        <v>42035</v>
      </c>
      <c r="BB53" s="490" t="s">
        <v>1498</v>
      </c>
      <c r="BC53" s="718">
        <v>20</v>
      </c>
      <c r="BD53" s="787"/>
      <c r="BE53" s="489">
        <v>42391</v>
      </c>
      <c r="BF53" s="490" t="s">
        <v>754</v>
      </c>
      <c r="BG53" s="718">
        <v>140</v>
      </c>
      <c r="BH53" s="787"/>
      <c r="BI53" s="489">
        <v>42762</v>
      </c>
      <c r="BJ53" s="490" t="s">
        <v>998</v>
      </c>
      <c r="BK53" s="718">
        <v>40</v>
      </c>
      <c r="BL53" s="787"/>
      <c r="BM53" s="489">
        <v>43124</v>
      </c>
      <c r="BN53" s="490" t="s">
        <v>1499</v>
      </c>
      <c r="BO53" s="715">
        <v>441</v>
      </c>
      <c r="BP53" s="787"/>
      <c r="BQ53" s="1017">
        <v>43478</v>
      </c>
      <c r="BR53" s="1019" t="s">
        <v>1500</v>
      </c>
      <c r="BS53" s="1063">
        <v>0</v>
      </c>
      <c r="BT53" s="1062" t="s">
        <v>1501</v>
      </c>
      <c r="BU53" s="1017">
        <v>43851</v>
      </c>
      <c r="BV53" s="1019" t="s">
        <v>1502</v>
      </c>
      <c r="BW53" s="1063">
        <v>16</v>
      </c>
      <c r="BX53" s="1062" t="s">
        <v>280</v>
      </c>
      <c r="BY53" s="1017">
        <v>44211</v>
      </c>
      <c r="BZ53" s="1019" t="s">
        <v>1503</v>
      </c>
      <c r="CA53" s="1063">
        <v>0</v>
      </c>
      <c r="CB53" s="1062" t="s">
        <v>701</v>
      </c>
      <c r="CC53" s="1017">
        <v>44577</v>
      </c>
      <c r="CD53" s="1019" t="s">
        <v>845</v>
      </c>
      <c r="CE53" s="1063">
        <v>25</v>
      </c>
      <c r="CF53" s="1018" t="s">
        <v>414</v>
      </c>
      <c r="CG53" s="1017">
        <v>44940</v>
      </c>
      <c r="CH53" s="1019" t="s">
        <v>1504</v>
      </c>
      <c r="CI53" s="1063">
        <v>15</v>
      </c>
      <c r="CJ53" s="1018" t="s">
        <v>700</v>
      </c>
      <c r="CK53" s="1017">
        <v>45311</v>
      </c>
      <c r="CL53" s="1019" t="s">
        <v>1505</v>
      </c>
      <c r="CM53" s="1063">
        <v>6</v>
      </c>
      <c r="CN53" s="1018" t="s">
        <v>414</v>
      </c>
      <c r="CO53" s="1017"/>
      <c r="CP53" s="1019"/>
      <c r="CQ53" s="1063"/>
      <c r="CR53" s="1018"/>
      <c r="CS53" s="1017"/>
      <c r="CT53" s="1019"/>
      <c r="CU53" s="1063"/>
      <c r="CV53" s="1018"/>
    </row>
    <row r="54" spans="5:100" ht="14.1" customHeight="1">
      <c r="E54" s="489">
        <v>37644</v>
      </c>
      <c r="F54" s="714" t="s">
        <v>410</v>
      </c>
      <c r="G54" s="491"/>
      <c r="H54" s="493">
        <v>27</v>
      </c>
      <c r="I54" s="489">
        <v>38011</v>
      </c>
      <c r="J54" s="714" t="s">
        <v>797</v>
      </c>
      <c r="K54" s="491">
        <v>19</v>
      </c>
      <c r="L54" s="493"/>
      <c r="M54" s="489"/>
      <c r="N54" s="714"/>
      <c r="O54" s="491"/>
      <c r="P54" s="769"/>
      <c r="Q54" s="489">
        <v>38748</v>
      </c>
      <c r="R54" s="714" t="s">
        <v>1506</v>
      </c>
      <c r="S54" s="491">
        <v>10</v>
      </c>
      <c r="T54" s="493"/>
      <c r="U54" s="489">
        <v>39102</v>
      </c>
      <c r="V54" s="714" t="s">
        <v>1507</v>
      </c>
      <c r="W54" s="491">
        <f t="shared" si="2"/>
        <v>23.162790697674417</v>
      </c>
      <c r="X54" s="788">
        <v>996</v>
      </c>
      <c r="Y54" s="489">
        <v>39465</v>
      </c>
      <c r="Z54" s="714" t="s">
        <v>1508</v>
      </c>
      <c r="AA54" s="783">
        <v>18</v>
      </c>
      <c r="AB54" s="794"/>
      <c r="AC54" s="489"/>
      <c r="AD54" s="490"/>
      <c r="AE54" s="716"/>
      <c r="AF54" s="796"/>
      <c r="AG54" s="489">
        <v>40208</v>
      </c>
      <c r="AH54" s="490" t="s">
        <v>867</v>
      </c>
      <c r="AI54" s="716">
        <v>15</v>
      </c>
      <c r="AJ54" s="796"/>
      <c r="AK54" s="489">
        <v>40568</v>
      </c>
      <c r="AL54" s="490" t="s">
        <v>1509</v>
      </c>
      <c r="AM54" s="716">
        <v>5</v>
      </c>
      <c r="AN54" s="787">
        <f xml:space="preserve"> AM54/1.2</f>
        <v>4.166666666666667</v>
      </c>
      <c r="AO54" s="489"/>
      <c r="AP54" s="490"/>
      <c r="AQ54" s="718"/>
      <c r="AR54" s="787"/>
      <c r="AS54" s="489"/>
      <c r="AT54" s="490" t="s">
        <v>1510</v>
      </c>
      <c r="AU54" s="718"/>
      <c r="AV54" s="787"/>
      <c r="AW54" s="489">
        <v>41656</v>
      </c>
      <c r="AX54" s="490" t="s">
        <v>1511</v>
      </c>
      <c r="AY54" s="718">
        <v>45</v>
      </c>
      <c r="AZ54" s="787"/>
      <c r="BA54" s="489">
        <v>42035</v>
      </c>
      <c r="BB54" s="490" t="s">
        <v>1512</v>
      </c>
      <c r="BC54" s="718">
        <v>3</v>
      </c>
      <c r="BD54" s="787"/>
      <c r="BE54" s="489">
        <v>42391</v>
      </c>
      <c r="BF54" s="490" t="s">
        <v>1513</v>
      </c>
      <c r="BG54" s="718">
        <v>20</v>
      </c>
      <c r="BH54" s="787"/>
      <c r="BI54" s="489">
        <v>42762</v>
      </c>
      <c r="BJ54" s="490" t="s">
        <v>1514</v>
      </c>
      <c r="BK54" s="718">
        <v>5</v>
      </c>
      <c r="BL54" s="787"/>
      <c r="BM54" s="489">
        <v>43124</v>
      </c>
      <c r="BN54" s="490" t="s">
        <v>1515</v>
      </c>
      <c r="BO54" s="715">
        <v>450</v>
      </c>
      <c r="BP54" s="787"/>
      <c r="BQ54" s="1017">
        <v>43478</v>
      </c>
      <c r="BR54" s="1019" t="s">
        <v>843</v>
      </c>
      <c r="BS54" s="1063">
        <v>9</v>
      </c>
      <c r="BT54" s="1062" t="s">
        <v>414</v>
      </c>
      <c r="BU54" s="1017">
        <v>43851</v>
      </c>
      <c r="BV54" s="1019" t="s">
        <v>1516</v>
      </c>
      <c r="BW54" s="1063">
        <v>25</v>
      </c>
      <c r="BX54" s="1062" t="s">
        <v>280</v>
      </c>
      <c r="BY54" s="1017">
        <v>44211</v>
      </c>
      <c r="BZ54" s="1019" t="s">
        <v>1517</v>
      </c>
      <c r="CA54" s="1063">
        <v>11</v>
      </c>
      <c r="CB54" s="1018" t="s">
        <v>414</v>
      </c>
      <c r="CC54" s="1017">
        <v>44577</v>
      </c>
      <c r="CD54" s="1019" t="s">
        <v>772</v>
      </c>
      <c r="CE54" s="1063">
        <v>38</v>
      </c>
      <c r="CF54" s="1018" t="s">
        <v>414</v>
      </c>
      <c r="CG54" s="1017">
        <v>44940</v>
      </c>
      <c r="CH54" s="1019" t="s">
        <v>1518</v>
      </c>
      <c r="CI54" s="1063">
        <v>20</v>
      </c>
      <c r="CJ54" s="1018" t="s">
        <v>280</v>
      </c>
      <c r="CK54" s="1017">
        <v>45311</v>
      </c>
      <c r="CL54" s="1019" t="s">
        <v>1519</v>
      </c>
      <c r="CM54" s="1063">
        <v>25</v>
      </c>
      <c r="CN54" s="1018" t="s">
        <v>280</v>
      </c>
      <c r="CO54" s="1017"/>
      <c r="CP54" s="1019"/>
      <c r="CQ54" s="1063"/>
      <c r="CR54" s="1018"/>
      <c r="CS54" s="1017"/>
      <c r="CT54" s="1019"/>
      <c r="CU54" s="1063"/>
      <c r="CV54" s="1018"/>
    </row>
    <row r="55" spans="5:100" ht="14.1" customHeight="1">
      <c r="E55" s="489">
        <v>37645</v>
      </c>
      <c r="F55" s="714" t="s">
        <v>1520</v>
      </c>
      <c r="G55" s="491"/>
      <c r="H55" s="493">
        <v>25</v>
      </c>
      <c r="I55" s="489">
        <v>38011</v>
      </c>
      <c r="J55" s="714" t="s">
        <v>772</v>
      </c>
      <c r="K55" s="491">
        <v>40</v>
      </c>
      <c r="L55" s="493"/>
      <c r="M55" s="489"/>
      <c r="N55" s="714"/>
      <c r="O55" s="491"/>
      <c r="P55" s="769"/>
      <c r="Q55" s="489"/>
      <c r="R55" s="714"/>
      <c r="S55" s="491"/>
      <c r="T55" s="493"/>
      <c r="U55" s="489">
        <v>39102</v>
      </c>
      <c r="V55" s="714" t="s">
        <v>1521</v>
      </c>
      <c r="W55" s="491">
        <f t="shared" si="2"/>
        <v>106.04651162790698</v>
      </c>
      <c r="X55" s="788">
        <v>4560</v>
      </c>
      <c r="Y55" s="489">
        <v>39466</v>
      </c>
      <c r="Z55" s="714" t="s">
        <v>1308</v>
      </c>
      <c r="AA55" s="783">
        <v>25</v>
      </c>
      <c r="AB55" s="794"/>
      <c r="AC55" s="489"/>
      <c r="AD55" s="490"/>
      <c r="AE55" s="716"/>
      <c r="AF55" s="796"/>
      <c r="AG55" s="489">
        <v>40204</v>
      </c>
      <c r="AH55" s="490" t="s">
        <v>1522</v>
      </c>
      <c r="AI55" s="716">
        <v>71</v>
      </c>
      <c r="AJ55" s="796"/>
      <c r="AK55" s="489">
        <v>40568</v>
      </c>
      <c r="AL55" s="490" t="s">
        <v>1523</v>
      </c>
      <c r="AM55" s="716">
        <v>15</v>
      </c>
      <c r="AN55" s="787">
        <f xml:space="preserve"> AM55/1.2</f>
        <v>12.5</v>
      </c>
      <c r="AO55" s="489"/>
      <c r="AP55" s="490"/>
      <c r="AQ55" s="718"/>
      <c r="AR55" s="787"/>
      <c r="AS55" s="489"/>
      <c r="AT55" s="490" t="s">
        <v>1524</v>
      </c>
      <c r="AU55" s="718">
        <v>265</v>
      </c>
      <c r="AV55" s="787"/>
      <c r="AW55" s="489">
        <v>41656</v>
      </c>
      <c r="AX55" s="490" t="s">
        <v>1525</v>
      </c>
      <c r="AY55" s="718">
        <v>100</v>
      </c>
      <c r="AZ55" s="787"/>
      <c r="BA55" s="489"/>
      <c r="BB55" s="490"/>
      <c r="BC55" s="718"/>
      <c r="BD55" s="787"/>
      <c r="BE55" s="489">
        <v>42392</v>
      </c>
      <c r="BF55" s="490" t="s">
        <v>954</v>
      </c>
      <c r="BG55" s="718">
        <v>37</v>
      </c>
      <c r="BH55" s="787"/>
      <c r="BI55" s="489">
        <v>42762</v>
      </c>
      <c r="BJ55" s="490" t="s">
        <v>1526</v>
      </c>
      <c r="BK55" s="718">
        <v>15</v>
      </c>
      <c r="BL55" s="787"/>
      <c r="BM55" s="489">
        <v>43126</v>
      </c>
      <c r="BN55" s="490" t="s">
        <v>1527</v>
      </c>
      <c r="BO55" s="715">
        <v>15</v>
      </c>
      <c r="BP55" s="787"/>
      <c r="BQ55" s="1017">
        <v>43478</v>
      </c>
      <c r="BR55" s="1019" t="s">
        <v>1459</v>
      </c>
      <c r="BS55" s="1063">
        <v>7</v>
      </c>
      <c r="BT55" s="1062" t="s">
        <v>284</v>
      </c>
      <c r="BU55" s="1017">
        <v>43854</v>
      </c>
      <c r="BV55" s="1019" t="s">
        <v>845</v>
      </c>
      <c r="BW55" s="1063">
        <v>29</v>
      </c>
      <c r="BX55" s="1062" t="s">
        <v>414</v>
      </c>
      <c r="BY55" s="1017">
        <v>44211</v>
      </c>
      <c r="BZ55" s="1019" t="s">
        <v>1528</v>
      </c>
      <c r="CA55" s="1063">
        <v>3</v>
      </c>
      <c r="CB55" s="1018" t="s">
        <v>414</v>
      </c>
      <c r="CC55" s="1017">
        <v>44577</v>
      </c>
      <c r="CD55" s="1019" t="s">
        <v>872</v>
      </c>
      <c r="CE55" s="1063">
        <v>14</v>
      </c>
      <c r="CF55" s="1018" t="s">
        <v>414</v>
      </c>
      <c r="CG55" s="1017">
        <v>44943</v>
      </c>
      <c r="CH55" s="1019" t="s">
        <v>1529</v>
      </c>
      <c r="CI55" s="1063">
        <v>50</v>
      </c>
      <c r="CJ55" s="1018" t="s">
        <v>700</v>
      </c>
      <c r="CK55" s="1017">
        <v>45311</v>
      </c>
      <c r="CL55" s="1019" t="s">
        <v>1530</v>
      </c>
      <c r="CM55" s="1063">
        <v>15</v>
      </c>
      <c r="CN55" s="1018" t="s">
        <v>280</v>
      </c>
      <c r="CO55" s="1017"/>
      <c r="CP55" s="1019"/>
      <c r="CQ55" s="1063"/>
      <c r="CR55" s="1018"/>
      <c r="CS55" s="1017"/>
      <c r="CT55" s="1019"/>
      <c r="CU55" s="1063"/>
      <c r="CV55" s="1018"/>
    </row>
    <row r="56" spans="5:100" ht="14.1" customHeight="1">
      <c r="E56" s="489">
        <v>37646</v>
      </c>
      <c r="F56" s="714" t="s">
        <v>1531</v>
      </c>
      <c r="G56" s="491">
        <v>24</v>
      </c>
      <c r="H56" s="493"/>
      <c r="I56" s="489">
        <v>38012</v>
      </c>
      <c r="J56" s="714" t="s">
        <v>1532</v>
      </c>
      <c r="K56" s="491">
        <v>50</v>
      </c>
      <c r="L56" s="493"/>
      <c r="M56" s="489"/>
      <c r="N56" s="714"/>
      <c r="O56" s="491"/>
      <c r="P56" s="769"/>
      <c r="Q56" s="489"/>
      <c r="R56" s="714"/>
      <c r="S56" s="491"/>
      <c r="T56" s="493"/>
      <c r="U56" s="489">
        <v>39102</v>
      </c>
      <c r="V56" s="714" t="s">
        <v>1533</v>
      </c>
      <c r="W56" s="491">
        <f t="shared" si="2"/>
        <v>2.3255813953488373</v>
      </c>
      <c r="X56" s="788">
        <v>100</v>
      </c>
      <c r="Y56" s="489">
        <v>39466</v>
      </c>
      <c r="Z56" s="714" t="s">
        <v>1534</v>
      </c>
      <c r="AA56" s="783">
        <v>697</v>
      </c>
      <c r="AB56" s="794"/>
      <c r="AC56" s="489"/>
      <c r="AD56" s="490"/>
      <c r="AE56" s="716"/>
      <c r="AF56" s="796"/>
      <c r="AG56" s="489">
        <v>40179</v>
      </c>
      <c r="AH56" s="490" t="s">
        <v>1535</v>
      </c>
      <c r="AI56" s="716">
        <v>119</v>
      </c>
      <c r="AJ56" s="796"/>
      <c r="AK56" s="489">
        <v>40568</v>
      </c>
      <c r="AL56" s="490" t="s">
        <v>1536</v>
      </c>
      <c r="AM56" s="716">
        <v>2</v>
      </c>
      <c r="AN56" s="787">
        <f xml:space="preserve"> AM56/1.2</f>
        <v>1.6666666666666667</v>
      </c>
      <c r="AO56" s="489"/>
      <c r="AP56" s="490"/>
      <c r="AQ56" s="718"/>
      <c r="AR56" s="787"/>
      <c r="AS56" s="489"/>
      <c r="AT56" s="490" t="s">
        <v>1537</v>
      </c>
      <c r="AU56" s="718">
        <v>540</v>
      </c>
      <c r="AV56" s="787"/>
      <c r="AW56" s="489">
        <v>41656</v>
      </c>
      <c r="AX56" s="490" t="s">
        <v>1538</v>
      </c>
      <c r="AY56" s="718">
        <v>30</v>
      </c>
      <c r="AZ56" s="787"/>
      <c r="BA56" s="489"/>
      <c r="BB56" s="490"/>
      <c r="BC56" s="718"/>
      <c r="BD56" s="787"/>
      <c r="BE56" s="489">
        <v>42392</v>
      </c>
      <c r="BF56" s="490" t="s">
        <v>1539</v>
      </c>
      <c r="BG56" s="718">
        <v>10</v>
      </c>
      <c r="BH56" s="787"/>
      <c r="BI56" s="489">
        <v>42762</v>
      </c>
      <c r="BJ56" s="490" t="s">
        <v>1540</v>
      </c>
      <c r="BK56" s="718">
        <v>43</v>
      </c>
      <c r="BL56" s="787"/>
      <c r="BM56" s="489">
        <v>43127</v>
      </c>
      <c r="BN56" s="490" t="s">
        <v>1541</v>
      </c>
      <c r="BO56" s="715">
        <v>17</v>
      </c>
      <c r="BP56" s="787"/>
      <c r="BQ56" s="1017">
        <v>43483</v>
      </c>
      <c r="BR56" s="1019" t="s">
        <v>1542</v>
      </c>
      <c r="BS56" s="1063">
        <v>0</v>
      </c>
      <c r="BT56" s="1062" t="s">
        <v>280</v>
      </c>
      <c r="BU56" s="1017">
        <v>43855</v>
      </c>
      <c r="BV56" s="1019" t="s">
        <v>828</v>
      </c>
      <c r="BW56" s="1063">
        <v>29</v>
      </c>
      <c r="BX56" s="1062" t="s">
        <v>414</v>
      </c>
      <c r="BY56" s="1017">
        <v>44211</v>
      </c>
      <c r="BZ56" s="1019" t="s">
        <v>1543</v>
      </c>
      <c r="CA56" s="1063">
        <v>0</v>
      </c>
      <c r="CB56" s="1018" t="s">
        <v>414</v>
      </c>
      <c r="CC56" s="1017">
        <v>44577</v>
      </c>
      <c r="CD56" s="1019" t="s">
        <v>843</v>
      </c>
      <c r="CE56" s="1063">
        <v>0</v>
      </c>
      <c r="CF56" s="1018" t="s">
        <v>414</v>
      </c>
      <c r="CG56" s="1017">
        <v>44943</v>
      </c>
      <c r="CH56" s="1019" t="s">
        <v>1544</v>
      </c>
      <c r="CI56" s="1063">
        <v>7</v>
      </c>
      <c r="CJ56" s="1018" t="s">
        <v>693</v>
      </c>
      <c r="CK56" s="1017">
        <v>45311</v>
      </c>
      <c r="CL56" s="1019" t="s">
        <v>1545</v>
      </c>
      <c r="CM56" s="1063">
        <v>16</v>
      </c>
      <c r="CN56" s="1018" t="s">
        <v>414</v>
      </c>
      <c r="CO56" s="1017"/>
      <c r="CP56" s="1019"/>
      <c r="CQ56" s="1063"/>
      <c r="CR56" s="1018"/>
      <c r="CS56" s="1017"/>
      <c r="CT56" s="1019"/>
      <c r="CU56" s="1063"/>
      <c r="CV56" s="1018"/>
    </row>
    <row r="57" spans="5:100" ht="14.1" customHeight="1">
      <c r="E57" s="489">
        <v>37646</v>
      </c>
      <c r="F57" s="714" t="s">
        <v>1546</v>
      </c>
      <c r="G57" s="491">
        <v>42</v>
      </c>
      <c r="H57" s="493"/>
      <c r="I57" s="489">
        <v>38012</v>
      </c>
      <c r="J57" s="714" t="s">
        <v>1547</v>
      </c>
      <c r="K57" s="491">
        <v>76</v>
      </c>
      <c r="L57" s="493"/>
      <c r="M57" s="489"/>
      <c r="N57" s="714"/>
      <c r="O57" s="491"/>
      <c r="P57" s="769"/>
      <c r="Q57" s="489"/>
      <c r="R57" s="714"/>
      <c r="S57" s="491"/>
      <c r="T57" s="493"/>
      <c r="U57" s="489">
        <v>39102</v>
      </c>
      <c r="V57" s="714" t="s">
        <v>1548</v>
      </c>
      <c r="W57" s="491">
        <f t="shared" si="2"/>
        <v>18.604651162790699</v>
      </c>
      <c r="X57" s="788">
        <v>800</v>
      </c>
      <c r="Y57" s="489">
        <v>39466</v>
      </c>
      <c r="Z57" s="714" t="s">
        <v>797</v>
      </c>
      <c r="AA57" s="783">
        <v>53</v>
      </c>
      <c r="AB57" s="794"/>
      <c r="AC57" s="489"/>
      <c r="AD57" s="490"/>
      <c r="AE57" s="716"/>
      <c r="AF57" s="796"/>
      <c r="AG57" s="489">
        <v>40179</v>
      </c>
      <c r="AH57" s="490" t="s">
        <v>1549</v>
      </c>
      <c r="AI57" s="716">
        <v>4459</v>
      </c>
      <c r="AJ57" s="796"/>
      <c r="AK57" s="489">
        <v>40568</v>
      </c>
      <c r="AL57" s="490" t="s">
        <v>767</v>
      </c>
      <c r="AM57" s="716">
        <v>50</v>
      </c>
      <c r="AN57" s="787"/>
      <c r="AO57" s="489"/>
      <c r="AP57" s="490"/>
      <c r="AQ57" s="718"/>
      <c r="AR57" s="787"/>
      <c r="AS57" s="489"/>
      <c r="AT57" s="490" t="s">
        <v>278</v>
      </c>
      <c r="AU57" s="718">
        <v>339</v>
      </c>
      <c r="AV57" s="787"/>
      <c r="AW57" s="489">
        <v>41657</v>
      </c>
      <c r="AX57" s="490" t="s">
        <v>1550</v>
      </c>
      <c r="AY57" s="718">
        <v>15</v>
      </c>
      <c r="AZ57" s="787"/>
      <c r="BA57" s="489"/>
      <c r="BB57" s="490"/>
      <c r="BC57" s="718"/>
      <c r="BD57" s="787"/>
      <c r="BE57" s="489">
        <v>42392</v>
      </c>
      <c r="BF57" s="490" t="s">
        <v>867</v>
      </c>
      <c r="BG57" s="718">
        <v>15</v>
      </c>
      <c r="BH57" s="787"/>
      <c r="BI57" s="489">
        <v>42762</v>
      </c>
      <c r="BJ57" s="490" t="s">
        <v>1551</v>
      </c>
      <c r="BK57" s="718">
        <v>10</v>
      </c>
      <c r="BL57" s="787"/>
      <c r="BM57" s="489">
        <v>43127</v>
      </c>
      <c r="BN57" s="490" t="s">
        <v>872</v>
      </c>
      <c r="BO57" s="715">
        <v>25</v>
      </c>
      <c r="BP57" s="787"/>
      <c r="BQ57" s="1017">
        <v>43483</v>
      </c>
      <c r="BR57" s="1019" t="s">
        <v>1552</v>
      </c>
      <c r="BS57" s="1063">
        <v>15</v>
      </c>
      <c r="BT57" s="1062" t="s">
        <v>700</v>
      </c>
      <c r="BU57" s="1017">
        <v>43855</v>
      </c>
      <c r="BV57" s="1019" t="s">
        <v>948</v>
      </c>
      <c r="BW57" s="1063">
        <v>59</v>
      </c>
      <c r="BX57" s="1062" t="s">
        <v>414</v>
      </c>
      <c r="BY57" s="1017">
        <v>44211</v>
      </c>
      <c r="BZ57" s="1019" t="s">
        <v>1553</v>
      </c>
      <c r="CA57" s="1063">
        <v>18</v>
      </c>
      <c r="CB57" s="1018" t="s">
        <v>414</v>
      </c>
      <c r="CC57" s="1017">
        <v>44577</v>
      </c>
      <c r="CD57" s="1019" t="s">
        <v>1554</v>
      </c>
      <c r="CE57" s="1063">
        <v>260</v>
      </c>
      <c r="CF57" s="1018" t="s">
        <v>701</v>
      </c>
      <c r="CG57" s="1017">
        <v>44945</v>
      </c>
      <c r="CH57" s="1019" t="s">
        <v>1555</v>
      </c>
      <c r="CI57" s="1063">
        <v>0</v>
      </c>
      <c r="CJ57" s="1018" t="s">
        <v>700</v>
      </c>
      <c r="CK57" s="1017">
        <v>45311</v>
      </c>
      <c r="CL57" s="1019" t="s">
        <v>1556</v>
      </c>
      <c r="CM57" s="1063">
        <v>15</v>
      </c>
      <c r="CN57" s="1018" t="s">
        <v>414</v>
      </c>
      <c r="CO57" s="1017"/>
      <c r="CP57" s="1019"/>
      <c r="CQ57" s="1063"/>
      <c r="CR57" s="1018"/>
      <c r="CS57" s="1017"/>
      <c r="CT57" s="1019"/>
      <c r="CU57" s="1063"/>
      <c r="CV57" s="1018"/>
    </row>
    <row r="58" spans="5:100" ht="14.1" customHeight="1">
      <c r="E58" s="489">
        <v>37646</v>
      </c>
      <c r="F58" s="714" t="s">
        <v>1557</v>
      </c>
      <c r="G58" s="491">
        <v>15</v>
      </c>
      <c r="H58" s="491"/>
      <c r="I58" s="489">
        <v>38012</v>
      </c>
      <c r="J58" s="714" t="s">
        <v>1558</v>
      </c>
      <c r="K58" s="491">
        <v>0</v>
      </c>
      <c r="L58" s="491"/>
      <c r="M58" s="489"/>
      <c r="N58" s="714"/>
      <c r="O58" s="491"/>
      <c r="P58" s="797"/>
      <c r="Q58" s="489"/>
      <c r="R58" s="714"/>
      <c r="S58" s="491"/>
      <c r="T58" s="493"/>
      <c r="U58" s="489">
        <v>39103</v>
      </c>
      <c r="V58" s="714" t="s">
        <v>1559</v>
      </c>
      <c r="W58" s="491">
        <v>0</v>
      </c>
      <c r="X58" s="788"/>
      <c r="Y58" s="489">
        <v>39466</v>
      </c>
      <c r="Z58" s="714" t="s">
        <v>772</v>
      </c>
      <c r="AA58" s="783">
        <v>6</v>
      </c>
      <c r="AB58" s="794"/>
      <c r="AC58" s="489"/>
      <c r="AD58" s="490"/>
      <c r="AE58" s="716"/>
      <c r="AF58" s="796"/>
      <c r="AG58" s="489">
        <v>40179</v>
      </c>
      <c r="AH58" s="490" t="s">
        <v>1560</v>
      </c>
      <c r="AI58" s="716">
        <v>2283</v>
      </c>
      <c r="AJ58" s="796"/>
      <c r="AK58" s="489">
        <v>40571</v>
      </c>
      <c r="AL58" s="490" t="s">
        <v>797</v>
      </c>
      <c r="AM58" s="716">
        <v>20</v>
      </c>
      <c r="AN58" s="787"/>
      <c r="AO58" s="489"/>
      <c r="AP58" s="490"/>
      <c r="AQ58" s="718"/>
      <c r="AR58" s="787"/>
      <c r="AS58" s="489"/>
      <c r="AT58" s="490" t="s">
        <v>1561</v>
      </c>
      <c r="AU58" s="718">
        <v>550</v>
      </c>
      <c r="AV58" s="787"/>
      <c r="AW58" s="489">
        <v>41657</v>
      </c>
      <c r="AX58" s="490" t="s">
        <v>1562</v>
      </c>
      <c r="AY58" s="718">
        <v>30</v>
      </c>
      <c r="AZ58" s="787"/>
      <c r="BA58" s="489"/>
      <c r="BB58" s="490"/>
      <c r="BC58" s="718"/>
      <c r="BD58" s="787"/>
      <c r="BE58" s="489">
        <v>42392</v>
      </c>
      <c r="BF58" s="490" t="s">
        <v>802</v>
      </c>
      <c r="BG58" s="718">
        <v>30</v>
      </c>
      <c r="BH58" s="787"/>
      <c r="BI58" s="489">
        <v>42763</v>
      </c>
      <c r="BJ58" s="490" t="s">
        <v>823</v>
      </c>
      <c r="BK58" s="718">
        <v>25</v>
      </c>
      <c r="BL58" s="787"/>
      <c r="BM58" s="489">
        <v>43127</v>
      </c>
      <c r="BN58" s="490" t="s">
        <v>772</v>
      </c>
      <c r="BO58" s="715">
        <v>21</v>
      </c>
      <c r="BP58" s="787"/>
      <c r="BQ58" s="1017">
        <v>43484</v>
      </c>
      <c r="BR58" s="1019" t="s">
        <v>1563</v>
      </c>
      <c r="BS58" s="1063">
        <v>8</v>
      </c>
      <c r="BT58" s="1062" t="s">
        <v>414</v>
      </c>
      <c r="BU58" s="1017">
        <v>43855</v>
      </c>
      <c r="BV58" s="1019" t="s">
        <v>797</v>
      </c>
      <c r="BW58" s="1063">
        <v>49</v>
      </c>
      <c r="BX58" s="1062" t="s">
        <v>410</v>
      </c>
      <c r="BY58" s="1017">
        <v>44211</v>
      </c>
      <c r="BZ58" s="1019" t="s">
        <v>1564</v>
      </c>
      <c r="CA58" s="1063">
        <v>30</v>
      </c>
      <c r="CB58" s="1062" t="s">
        <v>426</v>
      </c>
      <c r="CC58" s="1017">
        <v>44578</v>
      </c>
      <c r="CD58" s="1019" t="s">
        <v>894</v>
      </c>
      <c r="CE58" s="1063">
        <v>18</v>
      </c>
      <c r="CF58" s="1018" t="s">
        <v>414</v>
      </c>
      <c r="CG58" s="1017">
        <v>44945</v>
      </c>
      <c r="CH58" s="1019" t="s">
        <v>1565</v>
      </c>
      <c r="CI58" s="1063">
        <v>15</v>
      </c>
      <c r="CJ58" s="1018" t="s">
        <v>700</v>
      </c>
      <c r="CK58" s="1017">
        <v>45311</v>
      </c>
      <c r="CL58" s="1019" t="s">
        <v>1566</v>
      </c>
      <c r="CM58" s="1063">
        <v>100</v>
      </c>
      <c r="CN58" s="1018" t="s">
        <v>426</v>
      </c>
      <c r="CO58" s="1017"/>
      <c r="CP58" s="1019"/>
      <c r="CQ58" s="1063"/>
      <c r="CR58" s="1018"/>
      <c r="CS58" s="1017"/>
      <c r="CT58" s="1019"/>
      <c r="CU58" s="1063"/>
      <c r="CV58" s="1018"/>
    </row>
    <row r="59" spans="5:100" ht="14.1" customHeight="1">
      <c r="E59" s="489">
        <v>37647</v>
      </c>
      <c r="F59" s="714" t="s">
        <v>915</v>
      </c>
      <c r="G59" s="491"/>
      <c r="H59" s="493">
        <v>20</v>
      </c>
      <c r="I59" s="489">
        <v>38012</v>
      </c>
      <c r="J59" s="714" t="s">
        <v>1567</v>
      </c>
      <c r="K59" s="491">
        <v>14</v>
      </c>
      <c r="L59" s="493"/>
      <c r="M59" s="489"/>
      <c r="N59" s="714"/>
      <c r="O59" s="491"/>
      <c r="P59" s="769"/>
      <c r="Q59" s="489"/>
      <c r="R59" s="714"/>
      <c r="S59" s="491"/>
      <c r="T59" s="798"/>
      <c r="U59" s="489">
        <v>39103</v>
      </c>
      <c r="V59" s="714" t="s">
        <v>1568</v>
      </c>
      <c r="W59" s="491">
        <f t="shared" si="2"/>
        <v>9.3023255813953494</v>
      </c>
      <c r="X59" s="788">
        <v>400</v>
      </c>
      <c r="Y59" s="489">
        <v>39466</v>
      </c>
      <c r="Z59" s="714" t="s">
        <v>937</v>
      </c>
      <c r="AA59" s="783">
        <v>48</v>
      </c>
      <c r="AB59" s="794"/>
      <c r="AC59" s="489"/>
      <c r="AD59" s="490"/>
      <c r="AE59" s="716"/>
      <c r="AF59" s="796"/>
      <c r="AG59" s="489"/>
      <c r="AH59" s="490"/>
      <c r="AI59" s="716"/>
      <c r="AJ59" s="796"/>
      <c r="AK59" s="489">
        <v>40571</v>
      </c>
      <c r="AL59" s="490" t="s">
        <v>802</v>
      </c>
      <c r="AM59" s="716">
        <v>45</v>
      </c>
      <c r="AN59" s="787"/>
      <c r="AO59" s="489"/>
      <c r="AP59" s="490"/>
      <c r="AQ59" s="718"/>
      <c r="AR59" s="787"/>
      <c r="AS59" s="489"/>
      <c r="AT59" s="490" t="s">
        <v>277</v>
      </c>
      <c r="AU59" s="718">
        <v>134</v>
      </c>
      <c r="AV59" s="787"/>
      <c r="AW59" s="489">
        <v>41657</v>
      </c>
      <c r="AX59" s="490" t="s">
        <v>1483</v>
      </c>
      <c r="AY59" s="718">
        <v>45</v>
      </c>
      <c r="AZ59" s="787"/>
      <c r="BA59" s="489"/>
      <c r="BB59" s="490"/>
      <c r="BC59" s="718"/>
      <c r="BD59" s="787"/>
      <c r="BE59" s="489">
        <v>42393</v>
      </c>
      <c r="BF59" s="490" t="s">
        <v>1569</v>
      </c>
      <c r="BG59" s="718"/>
      <c r="BH59" s="787"/>
      <c r="BI59" s="489">
        <v>42763</v>
      </c>
      <c r="BJ59" s="490" t="s">
        <v>890</v>
      </c>
      <c r="BK59" s="718">
        <v>20</v>
      </c>
      <c r="BL59" s="787"/>
      <c r="BM59" s="489">
        <v>43127</v>
      </c>
      <c r="BN59" s="490" t="s">
        <v>823</v>
      </c>
      <c r="BO59" s="715">
        <v>29</v>
      </c>
      <c r="BP59" s="787"/>
      <c r="BQ59" s="1017">
        <v>43484</v>
      </c>
      <c r="BR59" s="1019" t="s">
        <v>823</v>
      </c>
      <c r="BS59" s="1063">
        <v>39</v>
      </c>
      <c r="BT59" s="1062" t="s">
        <v>414</v>
      </c>
      <c r="BU59" s="1017">
        <v>43857</v>
      </c>
      <c r="BV59" s="1019" t="s">
        <v>1570</v>
      </c>
      <c r="BW59" s="1063">
        <v>20</v>
      </c>
      <c r="BX59" s="1062" t="s">
        <v>414</v>
      </c>
      <c r="BY59" s="1017">
        <v>44211</v>
      </c>
      <c r="BZ59" s="1019" t="s">
        <v>1571</v>
      </c>
      <c r="CA59" s="1063">
        <v>153</v>
      </c>
      <c r="CB59" s="1062" t="s">
        <v>280</v>
      </c>
      <c r="CC59" s="1017">
        <v>44578</v>
      </c>
      <c r="CD59" s="1019" t="s">
        <v>1572</v>
      </c>
      <c r="CE59" s="1063">
        <v>421</v>
      </c>
      <c r="CF59" s="1018" t="s">
        <v>701</v>
      </c>
      <c r="CG59" s="1017">
        <v>44946</v>
      </c>
      <c r="CH59" s="1019" t="s">
        <v>845</v>
      </c>
      <c r="CI59" s="1063">
        <v>42</v>
      </c>
      <c r="CJ59" s="1018" t="s">
        <v>700</v>
      </c>
      <c r="CK59" s="1017">
        <v>45311</v>
      </c>
      <c r="CL59" s="1019" t="s">
        <v>1573</v>
      </c>
      <c r="CM59" s="1063">
        <v>32</v>
      </c>
      <c r="CN59" s="1018" t="s">
        <v>700</v>
      </c>
      <c r="CO59" s="1017"/>
      <c r="CP59" s="1019"/>
      <c r="CQ59" s="1063"/>
      <c r="CR59" s="1018"/>
      <c r="CS59" s="1017"/>
      <c r="CT59" s="1019"/>
      <c r="CU59" s="1063"/>
      <c r="CV59" s="1018"/>
    </row>
    <row r="60" spans="5:100" ht="14.1" customHeight="1">
      <c r="E60" s="489">
        <v>37647</v>
      </c>
      <c r="F60" s="714" t="s">
        <v>1189</v>
      </c>
      <c r="G60" s="491">
        <v>48</v>
      </c>
      <c r="H60" s="493"/>
      <c r="I60" s="489">
        <v>38013</v>
      </c>
      <c r="J60" s="714" t="s">
        <v>1410</v>
      </c>
      <c r="K60" s="491">
        <v>29</v>
      </c>
      <c r="L60" s="493"/>
      <c r="M60" s="489"/>
      <c r="N60" s="714"/>
      <c r="O60" s="491"/>
      <c r="P60" s="769"/>
      <c r="Q60" s="489"/>
      <c r="R60" s="714"/>
      <c r="S60" s="491"/>
      <c r="T60" s="493"/>
      <c r="U60" s="489">
        <v>39103</v>
      </c>
      <c r="V60" s="714" t="s">
        <v>1574</v>
      </c>
      <c r="W60" s="491">
        <f t="shared" si="2"/>
        <v>4.6511627906976747</v>
      </c>
      <c r="X60" s="788">
        <v>200</v>
      </c>
      <c r="Y60" s="489">
        <v>39466</v>
      </c>
      <c r="Z60" s="714" t="s">
        <v>787</v>
      </c>
      <c r="AA60" s="783">
        <v>21</v>
      </c>
      <c r="AB60" s="794"/>
      <c r="AC60" s="489"/>
      <c r="AD60" s="490"/>
      <c r="AE60" s="716"/>
      <c r="AF60" s="796"/>
      <c r="AG60" s="489"/>
      <c r="AH60" s="490"/>
      <c r="AI60" s="716"/>
      <c r="AJ60" s="796"/>
      <c r="AK60" s="489">
        <v>40572</v>
      </c>
      <c r="AL60" s="490" t="s">
        <v>1575</v>
      </c>
      <c r="AM60" s="716">
        <v>4</v>
      </c>
      <c r="AN60" s="787"/>
      <c r="AO60" s="489"/>
      <c r="AP60" s="490"/>
      <c r="AQ60" s="718"/>
      <c r="AR60" s="787"/>
      <c r="AS60" s="489"/>
      <c r="AT60" s="490" t="s">
        <v>698</v>
      </c>
      <c r="AU60" s="718">
        <v>135</v>
      </c>
      <c r="AV60" s="787"/>
      <c r="AW60" s="489">
        <v>41657</v>
      </c>
      <c r="AX60" s="490" t="s">
        <v>772</v>
      </c>
      <c r="AY60" s="718">
        <v>40</v>
      </c>
      <c r="AZ60" s="787"/>
      <c r="BA60" s="489"/>
      <c r="BB60" s="490"/>
      <c r="BC60" s="718"/>
      <c r="BD60" s="787"/>
      <c r="BE60" s="489">
        <v>42393</v>
      </c>
      <c r="BF60" s="490" t="s">
        <v>855</v>
      </c>
      <c r="BG60" s="718">
        <v>15</v>
      </c>
      <c r="BH60" s="787"/>
      <c r="BI60" s="489">
        <v>42763</v>
      </c>
      <c r="BJ60" s="490" t="s">
        <v>1573</v>
      </c>
      <c r="BK60" s="718">
        <v>40</v>
      </c>
      <c r="BL60" s="787"/>
      <c r="BM60" s="489">
        <v>43127</v>
      </c>
      <c r="BN60" s="490" t="s">
        <v>873</v>
      </c>
      <c r="BO60" s="715">
        <v>11</v>
      </c>
      <c r="BP60" s="787"/>
      <c r="BQ60" s="1017">
        <v>43484</v>
      </c>
      <c r="BR60" s="1019" t="s">
        <v>1576</v>
      </c>
      <c r="BS60" s="1063">
        <v>3</v>
      </c>
      <c r="BT60" s="1062" t="s">
        <v>414</v>
      </c>
      <c r="BU60" s="1017">
        <v>43860</v>
      </c>
      <c r="BV60" s="1019" t="s">
        <v>1577</v>
      </c>
      <c r="BW60" s="1063">
        <v>6</v>
      </c>
      <c r="BX60" s="1062" t="s">
        <v>414</v>
      </c>
      <c r="BY60" s="1017">
        <v>44211</v>
      </c>
      <c r="BZ60" s="1019" t="s">
        <v>1578</v>
      </c>
      <c r="CA60" s="1063">
        <v>100</v>
      </c>
      <c r="CB60" s="1062" t="s">
        <v>701</v>
      </c>
      <c r="CC60" s="1017">
        <v>44578</v>
      </c>
      <c r="CD60" s="1019" t="s">
        <v>1579</v>
      </c>
      <c r="CE60" s="1063">
        <v>45</v>
      </c>
      <c r="CF60" s="1018" t="s">
        <v>701</v>
      </c>
      <c r="CG60" s="1017">
        <v>44947</v>
      </c>
      <c r="CH60" s="1019" t="s">
        <v>1580</v>
      </c>
      <c r="CI60" s="1063">
        <v>169</v>
      </c>
      <c r="CJ60" s="1018" t="s">
        <v>700</v>
      </c>
      <c r="CK60" s="1017">
        <v>45311</v>
      </c>
      <c r="CL60" s="1019" t="s">
        <v>781</v>
      </c>
      <c r="CM60" s="1063">
        <v>40</v>
      </c>
      <c r="CN60" s="1018" t="s">
        <v>414</v>
      </c>
      <c r="CO60" s="1017"/>
      <c r="CP60" s="1019"/>
      <c r="CQ60" s="1063"/>
      <c r="CR60" s="1018"/>
      <c r="CS60" s="1017"/>
      <c r="CT60" s="1019"/>
      <c r="CU60" s="1063"/>
      <c r="CV60" s="1018"/>
    </row>
    <row r="61" spans="5:100" ht="14.1" customHeight="1">
      <c r="E61" s="489">
        <v>37647</v>
      </c>
      <c r="F61" s="714" t="s">
        <v>410</v>
      </c>
      <c r="G61" s="491">
        <v>26</v>
      </c>
      <c r="H61" s="493"/>
      <c r="I61" s="489">
        <v>38013</v>
      </c>
      <c r="J61" s="714" t="s">
        <v>1581</v>
      </c>
      <c r="K61" s="491">
        <v>7</v>
      </c>
      <c r="L61" s="493"/>
      <c r="M61" s="489"/>
      <c r="N61" s="714"/>
      <c r="O61" s="491"/>
      <c r="P61" s="769"/>
      <c r="Q61" s="489"/>
      <c r="R61" s="714"/>
      <c r="S61" s="491"/>
      <c r="T61" s="493"/>
      <c r="U61" s="489">
        <v>39103</v>
      </c>
      <c r="V61" s="714" t="s">
        <v>1582</v>
      </c>
      <c r="W61" s="491">
        <f t="shared" si="2"/>
        <v>17.418604651162791</v>
      </c>
      <c r="X61" s="788">
        <v>749</v>
      </c>
      <c r="Y61" s="489">
        <v>39466</v>
      </c>
      <c r="Z61" s="714" t="s">
        <v>1583</v>
      </c>
      <c r="AA61" s="783">
        <v>507</v>
      </c>
      <c r="AB61" s="794"/>
      <c r="AC61" s="489"/>
      <c r="AD61" s="490"/>
      <c r="AE61" s="716"/>
      <c r="AF61" s="796"/>
      <c r="AG61" s="489"/>
      <c r="AH61" s="490"/>
      <c r="AI61" s="716"/>
      <c r="AJ61" s="796"/>
      <c r="AK61" s="489">
        <v>40572</v>
      </c>
      <c r="AL61" s="490" t="s">
        <v>1584</v>
      </c>
      <c r="AM61" s="716">
        <v>24</v>
      </c>
      <c r="AN61" s="787"/>
      <c r="AO61" s="489"/>
      <c r="AP61" s="490"/>
      <c r="AQ61" s="718"/>
      <c r="AR61" s="787"/>
      <c r="AS61" s="489"/>
      <c r="AT61" s="490" t="s">
        <v>280</v>
      </c>
      <c r="AU61" s="718">
        <v>84</v>
      </c>
      <c r="AV61" s="787"/>
      <c r="AW61" s="489">
        <v>41657</v>
      </c>
      <c r="AX61" s="490" t="s">
        <v>754</v>
      </c>
      <c r="AY61" s="718">
        <v>55</v>
      </c>
      <c r="AZ61" s="787"/>
      <c r="BA61" s="489"/>
      <c r="BB61" s="490"/>
      <c r="BC61" s="718"/>
      <c r="BD61" s="787"/>
      <c r="BE61" s="489">
        <v>42546</v>
      </c>
      <c r="BF61" s="490" t="s">
        <v>1585</v>
      </c>
      <c r="BG61" s="718">
        <v>15</v>
      </c>
      <c r="BH61" s="787"/>
      <c r="BI61" s="489">
        <v>42763</v>
      </c>
      <c r="BJ61" s="490" t="s">
        <v>859</v>
      </c>
      <c r="BK61" s="718">
        <v>18</v>
      </c>
      <c r="BL61" s="787"/>
      <c r="BM61" s="489">
        <v>43127</v>
      </c>
      <c r="BN61" s="490" t="s">
        <v>859</v>
      </c>
      <c r="BO61" s="715">
        <v>8</v>
      </c>
      <c r="BP61" s="787"/>
      <c r="BQ61" s="1017">
        <v>43484</v>
      </c>
      <c r="BR61" s="1019" t="s">
        <v>872</v>
      </c>
      <c r="BS61" s="1063">
        <v>21</v>
      </c>
      <c r="BT61" s="1062" t="s">
        <v>414</v>
      </c>
      <c r="BU61" s="1017">
        <v>43860</v>
      </c>
      <c r="BV61" s="1019" t="s">
        <v>1586</v>
      </c>
      <c r="BW61" s="1063">
        <v>8</v>
      </c>
      <c r="BX61" s="1062" t="s">
        <v>414</v>
      </c>
      <c r="BY61" s="1017">
        <v>44211</v>
      </c>
      <c r="BZ61" s="1019" t="s">
        <v>1587</v>
      </c>
      <c r="CA61" s="1063">
        <v>38</v>
      </c>
      <c r="CB61" s="1062" t="s">
        <v>701</v>
      </c>
      <c r="CC61" s="1017">
        <v>44578</v>
      </c>
      <c r="CD61" s="1019" t="s">
        <v>1588</v>
      </c>
      <c r="CE61" s="1063">
        <v>15</v>
      </c>
      <c r="CF61" s="1062" t="s">
        <v>278</v>
      </c>
      <c r="CG61" s="1017">
        <v>44947</v>
      </c>
      <c r="CH61" s="1019" t="s">
        <v>797</v>
      </c>
      <c r="CI61" s="1063">
        <v>69</v>
      </c>
      <c r="CJ61" s="1018" t="s">
        <v>410</v>
      </c>
      <c r="CK61" s="1017">
        <v>45319</v>
      </c>
      <c r="CL61" s="1019" t="s">
        <v>1589</v>
      </c>
      <c r="CM61" s="1063">
        <v>35</v>
      </c>
      <c r="CN61" s="1018" t="s">
        <v>280</v>
      </c>
      <c r="CO61" s="1017"/>
      <c r="CP61" s="1552"/>
      <c r="CQ61" s="1063"/>
      <c r="CR61" s="1018"/>
      <c r="CS61" s="1017"/>
      <c r="CT61" s="1552"/>
      <c r="CU61" s="1063"/>
      <c r="CV61" s="1018"/>
    </row>
    <row r="62" spans="5:100" ht="14.1" customHeight="1">
      <c r="E62" s="489">
        <v>37647</v>
      </c>
      <c r="F62" s="714" t="s">
        <v>1590</v>
      </c>
      <c r="G62" s="491">
        <v>10</v>
      </c>
      <c r="H62" s="493"/>
      <c r="I62" s="489">
        <v>38013</v>
      </c>
      <c r="J62" s="714" t="s">
        <v>1591</v>
      </c>
      <c r="K62" s="491">
        <v>38</v>
      </c>
      <c r="L62" s="493"/>
      <c r="M62" s="489"/>
      <c r="N62" s="714"/>
      <c r="O62" s="491"/>
      <c r="P62" s="769"/>
      <c r="Q62" s="489"/>
      <c r="R62" s="714"/>
      <c r="S62" s="491"/>
      <c r="T62" s="493"/>
      <c r="U62" s="489">
        <v>39103</v>
      </c>
      <c r="V62" s="714" t="s">
        <v>1592</v>
      </c>
      <c r="W62" s="491">
        <f t="shared" si="2"/>
        <v>22.86046511627907</v>
      </c>
      <c r="X62" s="788">
        <v>983</v>
      </c>
      <c r="Y62" s="489">
        <v>39468</v>
      </c>
      <c r="Z62" s="714" t="s">
        <v>1308</v>
      </c>
      <c r="AA62" s="783">
        <v>25</v>
      </c>
      <c r="AB62" s="794"/>
      <c r="AC62" s="489"/>
      <c r="AD62" s="490"/>
      <c r="AE62" s="716"/>
      <c r="AF62" s="796"/>
      <c r="AG62" s="489"/>
      <c r="AH62" s="490"/>
      <c r="AI62" s="716"/>
      <c r="AJ62" s="796"/>
      <c r="AK62" s="489">
        <v>40572</v>
      </c>
      <c r="AL62" s="490" t="s">
        <v>1244</v>
      </c>
      <c r="AM62" s="716">
        <v>5</v>
      </c>
      <c r="AN62" s="787"/>
      <c r="AO62" s="489"/>
      <c r="AP62" s="490"/>
      <c r="AQ62" s="718"/>
      <c r="AR62" s="787"/>
      <c r="AS62" s="489"/>
      <c r="AT62" s="490" t="s">
        <v>244</v>
      </c>
      <c r="AU62" s="718">
        <f>SUM(AU55:AU61)</f>
        <v>2047</v>
      </c>
      <c r="AV62" s="787"/>
      <c r="AW62" s="489">
        <v>41662</v>
      </c>
      <c r="AX62" s="490" t="s">
        <v>797</v>
      </c>
      <c r="AY62" s="718">
        <v>59</v>
      </c>
      <c r="AZ62" s="787"/>
      <c r="BA62" s="489"/>
      <c r="BB62" s="490"/>
      <c r="BC62" s="718"/>
      <c r="BD62" s="787"/>
      <c r="BE62" s="489">
        <v>42546</v>
      </c>
      <c r="BF62" s="490" t="s">
        <v>754</v>
      </c>
      <c r="BG62" s="718">
        <v>7</v>
      </c>
      <c r="BH62" s="787"/>
      <c r="BI62" s="489">
        <v>42763</v>
      </c>
      <c r="BJ62" s="490" t="s">
        <v>872</v>
      </c>
      <c r="BK62" s="718">
        <v>24</v>
      </c>
      <c r="BL62" s="787"/>
      <c r="BM62" s="489">
        <v>43127</v>
      </c>
      <c r="BN62" s="490" t="s">
        <v>1136</v>
      </c>
      <c r="BO62" s="715">
        <v>4</v>
      </c>
      <c r="BP62" s="787"/>
      <c r="BQ62" s="1017">
        <v>43484</v>
      </c>
      <c r="BR62" s="1019" t="s">
        <v>772</v>
      </c>
      <c r="BS62" s="1063"/>
      <c r="BT62" s="1062" t="s">
        <v>414</v>
      </c>
      <c r="BU62" s="1017"/>
      <c r="BV62" s="1019"/>
      <c r="BW62" s="1063"/>
      <c r="BX62" s="1062"/>
      <c r="BY62" s="1017">
        <v>44212</v>
      </c>
      <c r="BZ62" s="1019" t="s">
        <v>772</v>
      </c>
      <c r="CA62" s="1063">
        <v>31</v>
      </c>
      <c r="CB62" s="1018" t="s">
        <v>414</v>
      </c>
      <c r="CC62" s="1017">
        <v>44578</v>
      </c>
      <c r="CD62" s="1019" t="s">
        <v>1593</v>
      </c>
      <c r="CE62" s="1063">
        <v>10</v>
      </c>
      <c r="CF62" s="1062" t="s">
        <v>278</v>
      </c>
      <c r="CG62" s="1017">
        <v>44947</v>
      </c>
      <c r="CH62" s="1019" t="s">
        <v>872</v>
      </c>
      <c r="CI62" s="1063">
        <v>19</v>
      </c>
      <c r="CJ62" s="1018" t="s">
        <v>414</v>
      </c>
      <c r="CK62" s="1017">
        <v>45319</v>
      </c>
      <c r="CL62" s="1019" t="s">
        <v>845</v>
      </c>
      <c r="CM62" s="1063">
        <v>45</v>
      </c>
      <c r="CN62" s="1018" t="s">
        <v>414</v>
      </c>
      <c r="CO62" s="1017"/>
      <c r="CP62" s="1019"/>
      <c r="CQ62" s="1063"/>
      <c r="CR62" s="1018"/>
      <c r="CS62" s="1017"/>
      <c r="CT62" s="1019"/>
      <c r="CU62" s="1063"/>
      <c r="CV62" s="1018"/>
    </row>
    <row r="63" spans="5:100" ht="14.1" customHeight="1">
      <c r="E63" s="489">
        <v>37648</v>
      </c>
      <c r="F63" s="714" t="s">
        <v>1594</v>
      </c>
      <c r="G63" s="491">
        <v>10</v>
      </c>
      <c r="H63" s="493"/>
      <c r="I63" s="489">
        <v>38014</v>
      </c>
      <c r="J63" s="714" t="s">
        <v>1595</v>
      </c>
      <c r="K63" s="491">
        <v>10</v>
      </c>
      <c r="L63" s="493"/>
      <c r="M63" s="489"/>
      <c r="N63" s="714"/>
      <c r="O63" s="491"/>
      <c r="P63" s="769"/>
      <c r="Q63" s="489"/>
      <c r="R63" s="714"/>
      <c r="S63" s="491"/>
      <c r="T63" s="493"/>
      <c r="U63" s="489">
        <v>39104</v>
      </c>
      <c r="V63" s="714" t="s">
        <v>1596</v>
      </c>
      <c r="W63" s="491">
        <f t="shared" si="2"/>
        <v>13.674418604651162</v>
      </c>
      <c r="X63" s="799">
        <v>588</v>
      </c>
      <c r="Y63" s="489">
        <v>39470</v>
      </c>
      <c r="Z63" s="714" t="s">
        <v>1597</v>
      </c>
      <c r="AA63" s="783">
        <v>21</v>
      </c>
      <c r="AB63" s="794"/>
      <c r="AC63" s="489"/>
      <c r="AD63" s="490"/>
      <c r="AE63" s="716"/>
      <c r="AF63" s="796"/>
      <c r="AG63" s="489"/>
      <c r="AH63" s="490"/>
      <c r="AI63" s="716"/>
      <c r="AJ63" s="796"/>
      <c r="AK63" s="489">
        <v>40572</v>
      </c>
      <c r="AL63" s="490" t="s">
        <v>1130</v>
      </c>
      <c r="AM63" s="716">
        <v>15</v>
      </c>
      <c r="AN63" s="787"/>
      <c r="AO63" s="489"/>
      <c r="AP63" s="490"/>
      <c r="AQ63" s="718"/>
      <c r="AR63" s="787"/>
      <c r="AS63" s="489">
        <v>41287</v>
      </c>
      <c r="AT63" s="490" t="s">
        <v>754</v>
      </c>
      <c r="AU63" s="718">
        <v>76</v>
      </c>
      <c r="AV63" s="787"/>
      <c r="AW63" s="489">
        <v>41663</v>
      </c>
      <c r="AX63" s="490" t="s">
        <v>1598</v>
      </c>
      <c r="AY63" s="718">
        <v>83</v>
      </c>
      <c r="AZ63" s="787"/>
      <c r="BA63" s="489"/>
      <c r="BB63" s="490"/>
      <c r="BC63" s="718"/>
      <c r="BD63" s="787"/>
      <c r="BE63" s="489">
        <v>42396</v>
      </c>
      <c r="BF63" s="490" t="s">
        <v>802</v>
      </c>
      <c r="BG63" s="718">
        <v>28</v>
      </c>
      <c r="BH63" s="787"/>
      <c r="BI63" s="489">
        <v>42763</v>
      </c>
      <c r="BJ63" s="490" t="s">
        <v>797</v>
      </c>
      <c r="BK63" s="718">
        <v>24</v>
      </c>
      <c r="BL63" s="787"/>
      <c r="BM63" s="489">
        <v>43127</v>
      </c>
      <c r="BN63" s="490" t="s">
        <v>1180</v>
      </c>
      <c r="BO63" s="715">
        <v>67</v>
      </c>
      <c r="BP63" s="787"/>
      <c r="BQ63" s="1017">
        <v>43484</v>
      </c>
      <c r="BR63" s="1019" t="s">
        <v>873</v>
      </c>
      <c r="BS63" s="1063"/>
      <c r="BT63" s="1062" t="s">
        <v>414</v>
      </c>
      <c r="BU63" s="1017"/>
      <c r="BV63" s="1019"/>
      <c r="BW63" s="1063"/>
      <c r="BX63" s="1062"/>
      <c r="BY63" s="1017">
        <v>44212</v>
      </c>
      <c r="BZ63" s="1019" t="s">
        <v>843</v>
      </c>
      <c r="CA63" s="1063">
        <v>49</v>
      </c>
      <c r="CB63" s="1018" t="s">
        <v>414</v>
      </c>
      <c r="CC63" s="1017">
        <v>44581</v>
      </c>
      <c r="CD63" s="1019" t="s">
        <v>1599</v>
      </c>
      <c r="CE63" s="1063">
        <v>300</v>
      </c>
      <c r="CF63" s="1018" t="s">
        <v>674</v>
      </c>
      <c r="CG63" s="1017">
        <v>44947</v>
      </c>
      <c r="CH63" s="1019" t="s">
        <v>772</v>
      </c>
      <c r="CI63" s="1063">
        <v>17</v>
      </c>
      <c r="CJ63" s="1018" t="s">
        <v>414</v>
      </c>
      <c r="CK63" s="1017">
        <v>45319</v>
      </c>
      <c r="CL63" s="1019" t="s">
        <v>797</v>
      </c>
      <c r="CM63" s="1063">
        <v>75</v>
      </c>
      <c r="CN63" s="1018" t="s">
        <v>410</v>
      </c>
      <c r="CO63" s="1017"/>
      <c r="CP63" s="1019" t="s">
        <v>1180</v>
      </c>
      <c r="CQ63" s="1063">
        <v>110</v>
      </c>
      <c r="CR63" s="1018" t="s">
        <v>410</v>
      </c>
      <c r="CS63" s="1017"/>
      <c r="CT63" s="1019"/>
      <c r="CU63" s="1063"/>
      <c r="CV63" s="1018"/>
    </row>
    <row r="64" spans="5:100" ht="14.1" customHeight="1">
      <c r="E64" s="489">
        <v>37648</v>
      </c>
      <c r="F64" s="714" t="s">
        <v>1600</v>
      </c>
      <c r="G64" s="491">
        <v>3</v>
      </c>
      <c r="H64" s="493"/>
      <c r="I64" s="489">
        <v>38014</v>
      </c>
      <c r="J64" s="714" t="s">
        <v>1156</v>
      </c>
      <c r="K64" s="491">
        <v>17</v>
      </c>
      <c r="L64" s="493"/>
      <c r="M64" s="489"/>
      <c r="N64" s="714"/>
      <c r="O64" s="491"/>
      <c r="P64" s="769"/>
      <c r="Q64" s="489"/>
      <c r="R64" s="714"/>
      <c r="S64" s="491"/>
      <c r="T64" s="493"/>
      <c r="U64" s="489">
        <v>39104</v>
      </c>
      <c r="V64" s="714" t="s">
        <v>1601</v>
      </c>
      <c r="W64" s="491">
        <v>50</v>
      </c>
      <c r="X64" s="788"/>
      <c r="Y64" s="489">
        <v>39470</v>
      </c>
      <c r="Z64" s="714" t="s">
        <v>1602</v>
      </c>
      <c r="AA64" s="783">
        <v>10</v>
      </c>
      <c r="AB64" s="794"/>
      <c r="AC64" s="489"/>
      <c r="AD64" s="490"/>
      <c r="AE64" s="716"/>
      <c r="AF64" s="796"/>
      <c r="AG64" s="489"/>
      <c r="AH64" s="490"/>
      <c r="AI64" s="716"/>
      <c r="AJ64" s="796"/>
      <c r="AK64" s="489">
        <v>40572</v>
      </c>
      <c r="AL64" s="490" t="s">
        <v>1603</v>
      </c>
      <c r="AM64" s="716">
        <v>24</v>
      </c>
      <c r="AN64" s="787"/>
      <c r="AO64" s="489"/>
      <c r="AP64" s="490"/>
      <c r="AQ64" s="716"/>
      <c r="AR64" s="787"/>
      <c r="AS64" s="489">
        <v>41288</v>
      </c>
      <c r="AT64" s="490" t="s">
        <v>925</v>
      </c>
      <c r="AU64" s="718">
        <v>2</v>
      </c>
      <c r="AV64" s="787"/>
      <c r="AW64" s="489">
        <v>41663</v>
      </c>
      <c r="AX64" s="490" t="s">
        <v>754</v>
      </c>
      <c r="AY64" s="718">
        <v>13</v>
      </c>
      <c r="AZ64" s="787"/>
      <c r="BA64" s="489"/>
      <c r="BB64" s="490"/>
      <c r="BC64" s="718"/>
      <c r="BD64" s="787"/>
      <c r="BE64" s="489">
        <v>42396</v>
      </c>
      <c r="BF64" s="490" t="s">
        <v>797</v>
      </c>
      <c r="BG64" s="718">
        <v>31</v>
      </c>
      <c r="BH64" s="787"/>
      <c r="BI64" s="489"/>
      <c r="BJ64" s="490"/>
      <c r="BK64" s="718"/>
      <c r="BL64" s="787"/>
      <c r="BM64" s="489">
        <v>43128</v>
      </c>
      <c r="BN64" s="490" t="s">
        <v>1604</v>
      </c>
      <c r="BO64" s="715">
        <v>80</v>
      </c>
      <c r="BP64" s="787"/>
      <c r="BQ64" s="1017">
        <v>43484</v>
      </c>
      <c r="BR64" s="1019" t="s">
        <v>797</v>
      </c>
      <c r="BS64" s="1063">
        <v>54</v>
      </c>
      <c r="BT64" s="1062" t="s">
        <v>410</v>
      </c>
      <c r="BU64" s="1017"/>
      <c r="BV64" s="1019"/>
      <c r="BW64" s="1063"/>
      <c r="BX64" s="1062"/>
      <c r="BY64" s="1017">
        <v>44212</v>
      </c>
      <c r="BZ64" s="1019" t="s">
        <v>872</v>
      </c>
      <c r="CA64" s="1063">
        <v>25</v>
      </c>
      <c r="CB64" s="1018" t="s">
        <v>414</v>
      </c>
      <c r="CC64" s="1017">
        <v>44581</v>
      </c>
      <c r="CD64" s="1019" t="s">
        <v>1605</v>
      </c>
      <c r="CE64" s="1063">
        <v>21</v>
      </c>
      <c r="CF64" s="1018" t="s">
        <v>280</v>
      </c>
      <c r="CG64" s="1017">
        <v>44947</v>
      </c>
      <c r="CH64" s="1019" t="s">
        <v>843</v>
      </c>
      <c r="CI64" s="1063">
        <v>30</v>
      </c>
      <c r="CJ64" s="1018" t="s">
        <v>414</v>
      </c>
      <c r="CK64" s="1017">
        <v>45319</v>
      </c>
      <c r="CL64" s="1019" t="s">
        <v>1606</v>
      </c>
      <c r="CM64" s="1063">
        <v>75</v>
      </c>
      <c r="CN64" s="1018" t="s">
        <v>689</v>
      </c>
      <c r="CO64" s="1017">
        <v>45681</v>
      </c>
      <c r="CP64" s="1019" t="s">
        <v>797</v>
      </c>
      <c r="CQ64" s="1063">
        <v>30</v>
      </c>
      <c r="CR64" s="1018" t="s">
        <v>410</v>
      </c>
      <c r="CS64" s="1017"/>
      <c r="CT64" s="1019"/>
      <c r="CU64" s="1063"/>
      <c r="CV64" s="1018"/>
    </row>
    <row r="65" spans="5:100" ht="14.1" customHeight="1">
      <c r="E65" s="489">
        <v>37650</v>
      </c>
      <c r="F65" s="714" t="s">
        <v>410</v>
      </c>
      <c r="G65" s="491">
        <v>32</v>
      </c>
      <c r="H65" s="493"/>
      <c r="I65" s="489">
        <v>38015</v>
      </c>
      <c r="J65" s="714" t="s">
        <v>1156</v>
      </c>
      <c r="K65" s="491">
        <v>7</v>
      </c>
      <c r="L65" s="493"/>
      <c r="M65" s="489"/>
      <c r="N65" s="714"/>
      <c r="O65" s="491"/>
      <c r="P65" s="769"/>
      <c r="Q65" s="489"/>
      <c r="R65" s="714"/>
      <c r="S65" s="491"/>
      <c r="T65" s="493"/>
      <c r="U65" s="489">
        <v>39105</v>
      </c>
      <c r="V65" s="714" t="s">
        <v>1607</v>
      </c>
      <c r="W65" s="491">
        <f>X65*1.9</f>
        <v>5.6999999999999993</v>
      </c>
      <c r="X65" s="800">
        <v>3</v>
      </c>
      <c r="Y65" s="489">
        <v>39472</v>
      </c>
      <c r="Z65" s="714" t="s">
        <v>1608</v>
      </c>
      <c r="AA65" s="783">
        <v>32</v>
      </c>
      <c r="AB65" s="794"/>
      <c r="AC65" s="489"/>
      <c r="AD65" s="490"/>
      <c r="AE65" s="716"/>
      <c r="AF65" s="796"/>
      <c r="AG65" s="489"/>
      <c r="AH65" s="490"/>
      <c r="AI65" s="716"/>
      <c r="AJ65" s="796"/>
      <c r="AK65" s="489">
        <v>40572</v>
      </c>
      <c r="AL65" s="490" t="s">
        <v>1609</v>
      </c>
      <c r="AM65" s="716">
        <v>30</v>
      </c>
      <c r="AN65" s="787"/>
      <c r="AO65" s="489"/>
      <c r="AP65" s="490"/>
      <c r="AQ65" s="716"/>
      <c r="AR65" s="787"/>
      <c r="AS65" s="489">
        <v>41289</v>
      </c>
      <c r="AT65" s="490" t="s">
        <v>1610</v>
      </c>
      <c r="AU65" s="716">
        <v>15</v>
      </c>
      <c r="AV65" s="787"/>
      <c r="AW65" s="489">
        <v>41663</v>
      </c>
      <c r="AX65" s="490" t="s">
        <v>802</v>
      </c>
      <c r="AY65" s="718">
        <v>50</v>
      </c>
      <c r="AZ65" s="787"/>
      <c r="BA65" s="489"/>
      <c r="BB65" s="490"/>
      <c r="BC65" s="718"/>
      <c r="BD65" s="787"/>
      <c r="BE65" s="489">
        <v>42398</v>
      </c>
      <c r="BF65" s="490" t="s">
        <v>1611</v>
      </c>
      <c r="BG65" s="718">
        <v>10</v>
      </c>
      <c r="BH65" s="787"/>
      <c r="BI65" s="489"/>
      <c r="BJ65" s="490"/>
      <c r="BK65" s="718"/>
      <c r="BL65" s="787"/>
      <c r="BM65" s="489">
        <v>43128</v>
      </c>
      <c r="BN65" s="490" t="s">
        <v>1612</v>
      </c>
      <c r="BO65" s="715">
        <v>32</v>
      </c>
      <c r="BP65" s="787"/>
      <c r="BQ65" s="1017">
        <v>43484</v>
      </c>
      <c r="BR65" s="1019" t="s">
        <v>1613</v>
      </c>
      <c r="BS65" s="1063">
        <v>40</v>
      </c>
      <c r="BT65" s="1062" t="s">
        <v>280</v>
      </c>
      <c r="BU65" s="1017"/>
      <c r="BV65" s="1019"/>
      <c r="BW65" s="1063"/>
      <c r="BX65" s="1062"/>
      <c r="BY65" s="1017">
        <v>44212</v>
      </c>
      <c r="BZ65" s="1019" t="s">
        <v>797</v>
      </c>
      <c r="CA65" s="1063">
        <v>66</v>
      </c>
      <c r="CB65" s="1062" t="s">
        <v>410</v>
      </c>
      <c r="CC65" s="1017">
        <v>44583</v>
      </c>
      <c r="CD65" s="1019" t="s">
        <v>1614</v>
      </c>
      <c r="CE65" s="1063">
        <v>10275</v>
      </c>
      <c r="CF65" s="1018" t="s">
        <v>674</v>
      </c>
      <c r="CG65" s="1017">
        <v>44947</v>
      </c>
      <c r="CH65" s="1019" t="s">
        <v>859</v>
      </c>
      <c r="CI65" s="1063">
        <v>22</v>
      </c>
      <c r="CJ65" s="1018" t="s">
        <v>414</v>
      </c>
      <c r="CK65" s="1017">
        <v>45319</v>
      </c>
      <c r="CL65" s="1019" t="s">
        <v>1615</v>
      </c>
      <c r="CM65" s="1063">
        <v>150</v>
      </c>
      <c r="CN65" s="1018" t="s">
        <v>700</v>
      </c>
      <c r="CO65" s="1017">
        <v>45681</v>
      </c>
      <c r="CP65" s="1019" t="s">
        <v>845</v>
      </c>
      <c r="CQ65" s="1063">
        <v>20</v>
      </c>
      <c r="CR65" s="1018" t="s">
        <v>414</v>
      </c>
      <c r="CS65" s="1017"/>
      <c r="CT65" s="1019"/>
      <c r="CU65" s="1063"/>
      <c r="CV65" s="1018"/>
    </row>
    <row r="66" spans="5:100" ht="14.1" customHeight="1">
      <c r="E66" s="489">
        <v>37651</v>
      </c>
      <c r="F66" s="714" t="s">
        <v>1616</v>
      </c>
      <c r="G66" s="491"/>
      <c r="H66" s="493">
        <v>7</v>
      </c>
      <c r="I66" s="489">
        <v>38016</v>
      </c>
      <c r="J66" s="714" t="s">
        <v>1617</v>
      </c>
      <c r="K66" s="491">
        <v>50</v>
      </c>
      <c r="L66" s="493"/>
      <c r="M66" s="489"/>
      <c r="N66" s="714"/>
      <c r="O66" s="491"/>
      <c r="P66" s="769"/>
      <c r="Q66" s="489"/>
      <c r="R66" s="714"/>
      <c r="S66" s="491"/>
      <c r="T66" s="493"/>
      <c r="U66" s="489">
        <v>39105</v>
      </c>
      <c r="V66" s="714" t="s">
        <v>1618</v>
      </c>
      <c r="W66" s="491">
        <f>X66*1.9</f>
        <v>3.8</v>
      </c>
      <c r="X66" s="800">
        <v>2</v>
      </c>
      <c r="Y66" s="489">
        <v>39473</v>
      </c>
      <c r="Z66" s="714" t="s">
        <v>937</v>
      </c>
      <c r="AA66" s="783">
        <v>40</v>
      </c>
      <c r="AB66" s="794"/>
      <c r="AC66" s="489"/>
      <c r="AD66" s="490"/>
      <c r="AE66" s="716"/>
      <c r="AF66" s="796"/>
      <c r="AG66" s="489"/>
      <c r="AH66" s="490"/>
      <c r="AI66" s="716"/>
      <c r="AJ66" s="796"/>
      <c r="AK66" s="489">
        <v>40572</v>
      </c>
      <c r="AL66" s="490" t="s">
        <v>1619</v>
      </c>
      <c r="AM66" s="716">
        <v>145</v>
      </c>
      <c r="AN66" s="787"/>
      <c r="AO66" s="489"/>
      <c r="AP66" s="490"/>
      <c r="AQ66" s="716"/>
      <c r="AR66" s="787"/>
      <c r="AS66" s="489">
        <v>41293</v>
      </c>
      <c r="AT66" s="490" t="s">
        <v>754</v>
      </c>
      <c r="AU66" s="716">
        <v>93</v>
      </c>
      <c r="AV66" s="787"/>
      <c r="AW66" s="489">
        <v>41663</v>
      </c>
      <c r="AX66" s="490" t="s">
        <v>1620</v>
      </c>
      <c r="AY66" s="718">
        <v>8</v>
      </c>
      <c r="AZ66" s="787"/>
      <c r="BA66" s="489"/>
      <c r="BB66" s="490"/>
      <c r="BC66" s="718"/>
      <c r="BD66" s="787"/>
      <c r="BE66" s="489">
        <v>42399</v>
      </c>
      <c r="BF66" s="490" t="s">
        <v>1621</v>
      </c>
      <c r="BG66" s="718">
        <v>300</v>
      </c>
      <c r="BH66" s="787"/>
      <c r="BI66" s="489"/>
      <c r="BJ66" s="490"/>
      <c r="BK66" s="718"/>
      <c r="BL66" s="787"/>
      <c r="BM66" s="489">
        <v>43128</v>
      </c>
      <c r="BN66" s="490" t="s">
        <v>1622</v>
      </c>
      <c r="BO66" s="715">
        <v>60</v>
      </c>
      <c r="BP66" s="787"/>
      <c r="BQ66" s="1017">
        <v>43484</v>
      </c>
      <c r="BR66" s="1019" t="s">
        <v>1623</v>
      </c>
      <c r="BS66" s="1063">
        <v>10</v>
      </c>
      <c r="BT66" s="1062" t="s">
        <v>700</v>
      </c>
      <c r="BU66" s="1017"/>
      <c r="BV66" s="1019"/>
      <c r="BW66" s="1063"/>
      <c r="BX66" s="1062"/>
      <c r="BY66" s="1017">
        <v>44212</v>
      </c>
      <c r="BZ66" s="1019" t="s">
        <v>1180</v>
      </c>
      <c r="CA66" s="1063">
        <v>70</v>
      </c>
      <c r="CB66" s="1062" t="s">
        <v>410</v>
      </c>
      <c r="CC66" s="1017">
        <v>44583</v>
      </c>
      <c r="CD66" s="1019" t="s">
        <v>1624</v>
      </c>
      <c r="CE66" s="1063">
        <v>2500</v>
      </c>
      <c r="CF66" s="1018" t="s">
        <v>697</v>
      </c>
      <c r="CG66" s="1017">
        <v>44947</v>
      </c>
      <c r="CH66" s="1019" t="s">
        <v>1625</v>
      </c>
      <c r="CI66" s="1063">
        <v>28</v>
      </c>
      <c r="CJ66" s="1018" t="s">
        <v>414</v>
      </c>
      <c r="CK66" s="1017">
        <v>45320</v>
      </c>
      <c r="CL66" s="1019" t="s">
        <v>1052</v>
      </c>
      <c r="CM66" s="1063">
        <v>40</v>
      </c>
      <c r="CN66" s="1018" t="s">
        <v>280</v>
      </c>
      <c r="CO66" s="1017">
        <v>45682</v>
      </c>
      <c r="CP66" s="1738" t="s">
        <v>772</v>
      </c>
      <c r="CQ66" s="1839">
        <v>36</v>
      </c>
      <c r="CR66" s="1018" t="s">
        <v>414</v>
      </c>
      <c r="CS66" s="1017"/>
      <c r="CT66" s="1738"/>
      <c r="CU66" s="1839"/>
      <c r="CV66" s="1018"/>
    </row>
    <row r="67" spans="5:100" ht="14.1" customHeight="1">
      <c r="E67" s="489">
        <v>37651</v>
      </c>
      <c r="F67" s="714" t="s">
        <v>1626</v>
      </c>
      <c r="G67" s="491">
        <v>24</v>
      </c>
      <c r="H67" s="493"/>
      <c r="I67" s="489">
        <v>38016</v>
      </c>
      <c r="J67" s="714" t="s">
        <v>1627</v>
      </c>
      <c r="K67" s="491">
        <v>16</v>
      </c>
      <c r="L67" s="493"/>
      <c r="M67" s="489"/>
      <c r="N67" s="714"/>
      <c r="O67" s="491"/>
      <c r="P67" s="769"/>
      <c r="Q67" s="489"/>
      <c r="R67" s="714"/>
      <c r="S67" s="491"/>
      <c r="T67" s="493"/>
      <c r="U67" s="489">
        <v>39105</v>
      </c>
      <c r="V67" s="714" t="s">
        <v>1628</v>
      </c>
      <c r="W67" s="491">
        <v>10</v>
      </c>
      <c r="X67" s="800"/>
      <c r="Y67" s="489">
        <v>39474</v>
      </c>
      <c r="Z67" s="714" t="s">
        <v>783</v>
      </c>
      <c r="AA67" s="783">
        <v>20</v>
      </c>
      <c r="AB67" s="794"/>
      <c r="AC67" s="489"/>
      <c r="AD67" s="490"/>
      <c r="AE67" s="716"/>
      <c r="AF67" s="796"/>
      <c r="AG67" s="489"/>
      <c r="AH67" s="490"/>
      <c r="AI67" s="716"/>
      <c r="AJ67" s="796"/>
      <c r="AK67" s="489">
        <v>40572</v>
      </c>
      <c r="AL67" s="490" t="s">
        <v>787</v>
      </c>
      <c r="AM67" s="716">
        <v>1</v>
      </c>
      <c r="AN67" s="787"/>
      <c r="AO67" s="489"/>
      <c r="AP67" s="490"/>
      <c r="AQ67" s="716"/>
      <c r="AR67" s="787"/>
      <c r="AS67" s="489">
        <v>41293</v>
      </c>
      <c r="AT67" s="490" t="s">
        <v>1629</v>
      </c>
      <c r="AU67" s="716">
        <v>31</v>
      </c>
      <c r="AV67" s="787"/>
      <c r="AW67" s="489">
        <v>41664</v>
      </c>
      <c r="AX67" s="490" t="s">
        <v>1630</v>
      </c>
      <c r="AY67" s="718">
        <v>50</v>
      </c>
      <c r="AZ67" s="787"/>
      <c r="BA67" s="489"/>
      <c r="BB67" s="490"/>
      <c r="BC67" s="718"/>
      <c r="BD67" s="787"/>
      <c r="BE67" s="489">
        <v>42399</v>
      </c>
      <c r="BF67" s="490" t="s">
        <v>1631</v>
      </c>
      <c r="BG67" s="718">
        <v>300</v>
      </c>
      <c r="BH67" s="787"/>
      <c r="BI67" s="489"/>
      <c r="BJ67" s="490"/>
      <c r="BK67" s="718"/>
      <c r="BL67" s="787"/>
      <c r="BM67" s="489">
        <v>43129</v>
      </c>
      <c r="BN67" s="490" t="s">
        <v>1632</v>
      </c>
      <c r="BO67" s="715">
        <v>55</v>
      </c>
      <c r="BP67" s="787"/>
      <c r="BQ67" s="1017">
        <v>43484</v>
      </c>
      <c r="BR67" s="1019" t="s">
        <v>1633</v>
      </c>
      <c r="BS67" s="1063">
        <v>0</v>
      </c>
      <c r="BT67" s="1062" t="s">
        <v>414</v>
      </c>
      <c r="BU67" s="1017"/>
      <c r="BV67" s="1019"/>
      <c r="BW67" s="1063"/>
      <c r="BX67" s="1062"/>
      <c r="BY67" s="1017">
        <v>44214</v>
      </c>
      <c r="BZ67" s="1019" t="s">
        <v>1634</v>
      </c>
      <c r="CA67" s="1063">
        <v>37</v>
      </c>
      <c r="CB67" s="1018" t="s">
        <v>414</v>
      </c>
      <c r="CC67" s="1017">
        <v>44583</v>
      </c>
      <c r="CD67" s="1019" t="s">
        <v>1635</v>
      </c>
      <c r="CE67" s="1063">
        <v>59</v>
      </c>
      <c r="CF67" s="1018" t="s">
        <v>414</v>
      </c>
      <c r="CG67" s="1017">
        <v>44947</v>
      </c>
      <c r="CH67" s="1019" t="s">
        <v>1636</v>
      </c>
      <c r="CI67" s="1063">
        <v>19</v>
      </c>
      <c r="CJ67" s="1018" t="s">
        <v>414</v>
      </c>
      <c r="CK67" s="1017">
        <v>45321</v>
      </c>
      <c r="CL67" s="1019" t="s">
        <v>1637</v>
      </c>
      <c r="CM67" s="1063">
        <v>20</v>
      </c>
      <c r="CN67" s="1018" t="s">
        <v>414</v>
      </c>
      <c r="CO67" s="1017">
        <v>45682</v>
      </c>
      <c r="CP67" s="1019" t="s">
        <v>948</v>
      </c>
      <c r="CQ67" s="1063">
        <v>57</v>
      </c>
      <c r="CR67" s="1018" t="s">
        <v>414</v>
      </c>
      <c r="CS67" s="1017"/>
      <c r="CT67" s="1019"/>
      <c r="CU67" s="1063"/>
      <c r="CV67" s="1018"/>
    </row>
    <row r="68" spans="5:100" ht="14.1" customHeight="1">
      <c r="E68" s="489">
        <v>37652</v>
      </c>
      <c r="F68" s="714" t="s">
        <v>1189</v>
      </c>
      <c r="G68" s="491">
        <v>17</v>
      </c>
      <c r="H68" s="493"/>
      <c r="I68" s="489">
        <v>38017</v>
      </c>
      <c r="J68" s="714" t="s">
        <v>1502</v>
      </c>
      <c r="K68" s="491">
        <v>30</v>
      </c>
      <c r="L68" s="493"/>
      <c r="M68" s="489"/>
      <c r="N68" s="714"/>
      <c r="O68" s="491"/>
      <c r="P68" s="769"/>
      <c r="Q68" s="489"/>
      <c r="R68" s="714"/>
      <c r="S68" s="491"/>
      <c r="T68" s="493"/>
      <c r="U68" s="489">
        <v>39105</v>
      </c>
      <c r="V68" s="714" t="s">
        <v>767</v>
      </c>
      <c r="W68" s="491">
        <v>24</v>
      </c>
      <c r="X68" s="800"/>
      <c r="Y68" s="489">
        <v>39474</v>
      </c>
      <c r="Z68" s="714" t="s">
        <v>1308</v>
      </c>
      <c r="AA68" s="783">
        <v>30</v>
      </c>
      <c r="AB68" s="794"/>
      <c r="AC68" s="489"/>
      <c r="AD68" s="490"/>
      <c r="AE68" s="716"/>
      <c r="AF68" s="796"/>
      <c r="AG68" s="489"/>
      <c r="AH68" s="490"/>
      <c r="AI68" s="716"/>
      <c r="AJ68" s="796"/>
      <c r="AK68" s="489">
        <v>40573</v>
      </c>
      <c r="AL68" s="490" t="s">
        <v>781</v>
      </c>
      <c r="AM68" s="716">
        <v>125</v>
      </c>
      <c r="AN68" s="787"/>
      <c r="AO68" s="489"/>
      <c r="AP68" s="490"/>
      <c r="AQ68" s="716"/>
      <c r="AR68" s="787"/>
      <c r="AS68" s="489">
        <v>41293</v>
      </c>
      <c r="AT68" s="490" t="s">
        <v>1638</v>
      </c>
      <c r="AU68" s="716">
        <v>12</v>
      </c>
      <c r="AV68" s="787"/>
      <c r="AW68" s="489">
        <v>41664</v>
      </c>
      <c r="AX68" s="490" t="s">
        <v>1639</v>
      </c>
      <c r="AY68" s="718">
        <v>30</v>
      </c>
      <c r="AZ68" s="787"/>
      <c r="BA68" s="489"/>
      <c r="BB68" s="490"/>
      <c r="BC68" s="718"/>
      <c r="BD68" s="787"/>
      <c r="BE68" s="489">
        <v>42399</v>
      </c>
      <c r="BF68" s="490" t="s">
        <v>754</v>
      </c>
      <c r="BG68" s="718">
        <v>38</v>
      </c>
      <c r="BH68" s="787"/>
      <c r="BI68" s="489"/>
      <c r="BJ68" s="490"/>
      <c r="BK68" s="718"/>
      <c r="BL68" s="787"/>
      <c r="BM68" s="489">
        <v>43129</v>
      </c>
      <c r="BN68" s="490" t="s">
        <v>1640</v>
      </c>
      <c r="BO68" s="715">
        <v>30</v>
      </c>
      <c r="BP68" s="787"/>
      <c r="BQ68" s="1017">
        <v>43484</v>
      </c>
      <c r="BR68" s="1019" t="s">
        <v>1641</v>
      </c>
      <c r="BS68" s="1063">
        <v>22</v>
      </c>
      <c r="BT68" s="1062" t="s">
        <v>414</v>
      </c>
      <c r="BU68" s="1017"/>
      <c r="BV68" s="1019"/>
      <c r="BW68" s="1063"/>
      <c r="BX68" s="1062"/>
      <c r="BY68" s="1017">
        <v>44214</v>
      </c>
      <c r="BZ68" s="1019" t="s">
        <v>1642</v>
      </c>
      <c r="CA68" s="1063">
        <v>35</v>
      </c>
      <c r="CB68" s="1062" t="s">
        <v>701</v>
      </c>
      <c r="CC68" s="1017">
        <v>44583</v>
      </c>
      <c r="CD68" s="1019" t="s">
        <v>1643</v>
      </c>
      <c r="CE68" s="1063">
        <v>90</v>
      </c>
      <c r="CF68" s="1018" t="s">
        <v>693</v>
      </c>
      <c r="CG68" s="1017">
        <v>44953</v>
      </c>
      <c r="CH68" s="1019" t="s">
        <v>1644</v>
      </c>
      <c r="CI68" s="1063">
        <v>18</v>
      </c>
      <c r="CJ68" s="1018" t="s">
        <v>414</v>
      </c>
      <c r="CK68" s="1017">
        <v>45321</v>
      </c>
      <c r="CL68" s="1552" t="s">
        <v>1645</v>
      </c>
      <c r="CM68" s="1063">
        <v>21</v>
      </c>
      <c r="CN68" s="1018" t="s">
        <v>414</v>
      </c>
      <c r="CO68" s="1017">
        <v>45682</v>
      </c>
      <c r="CP68" s="1019" t="s">
        <v>781</v>
      </c>
      <c r="CQ68" s="1063">
        <v>60</v>
      </c>
      <c r="CR68" s="1018" t="s">
        <v>414</v>
      </c>
      <c r="CS68" s="1017"/>
      <c r="CT68" s="1019"/>
      <c r="CU68" s="1063"/>
      <c r="CV68" s="1018"/>
    </row>
    <row r="69" spans="5:100" ht="14.1" customHeight="1">
      <c r="E69" s="489">
        <v>37652</v>
      </c>
      <c r="F69" s="714" t="s">
        <v>1394</v>
      </c>
      <c r="G69" s="491">
        <v>9</v>
      </c>
      <c r="H69" s="493"/>
      <c r="I69" s="489"/>
      <c r="J69" s="714"/>
      <c r="K69" s="491"/>
      <c r="L69" s="493"/>
      <c r="M69" s="489"/>
      <c r="N69" s="714"/>
      <c r="O69" s="491"/>
      <c r="P69" s="769"/>
      <c r="Q69" s="489"/>
      <c r="R69" s="714"/>
      <c r="S69" s="491"/>
      <c r="T69" s="493"/>
      <c r="U69" s="489">
        <v>39106</v>
      </c>
      <c r="V69" s="714" t="s">
        <v>1646</v>
      </c>
      <c r="W69" s="491">
        <v>0</v>
      </c>
      <c r="X69" s="800"/>
      <c r="Y69" s="489">
        <v>39474</v>
      </c>
      <c r="Z69" s="714" t="s">
        <v>1647</v>
      </c>
      <c r="AA69" s="783">
        <v>20</v>
      </c>
      <c r="AB69" s="794"/>
      <c r="AC69" s="489"/>
      <c r="AD69" s="490"/>
      <c r="AE69" s="716"/>
      <c r="AF69" s="796"/>
      <c r="AG69" s="489"/>
      <c r="AH69" s="490"/>
      <c r="AI69" s="716"/>
      <c r="AJ69" s="796"/>
      <c r="AK69" s="489">
        <v>40573</v>
      </c>
      <c r="AL69" s="490" t="s">
        <v>797</v>
      </c>
      <c r="AM69" s="716">
        <v>48</v>
      </c>
      <c r="AN69" s="787"/>
      <c r="AO69" s="489"/>
      <c r="AP69" s="490"/>
      <c r="AQ69" s="716"/>
      <c r="AR69" s="787"/>
      <c r="AS69" s="489">
        <v>41293</v>
      </c>
      <c r="AT69" s="490" t="s">
        <v>1648</v>
      </c>
      <c r="AU69" s="716">
        <v>18</v>
      </c>
      <c r="AV69" s="787"/>
      <c r="AW69" s="489">
        <v>41664</v>
      </c>
      <c r="AX69" s="490" t="s">
        <v>1649</v>
      </c>
      <c r="AY69" s="718">
        <v>27</v>
      </c>
      <c r="AZ69" s="787"/>
      <c r="BA69" s="489"/>
      <c r="BB69" s="490"/>
      <c r="BC69" s="718"/>
      <c r="BD69" s="787"/>
      <c r="BE69" s="489">
        <v>42399</v>
      </c>
      <c r="BF69" s="490" t="s">
        <v>954</v>
      </c>
      <c r="BG69" s="718">
        <v>11</v>
      </c>
      <c r="BH69" s="787"/>
      <c r="BI69" s="489"/>
      <c r="BJ69" s="490"/>
      <c r="BK69" s="718"/>
      <c r="BL69" s="787"/>
      <c r="BM69" s="489"/>
      <c r="BN69" s="490"/>
      <c r="BO69" s="715"/>
      <c r="BP69" s="787"/>
      <c r="BQ69" s="1017">
        <v>43484</v>
      </c>
      <c r="BR69" s="1019" t="s">
        <v>1166</v>
      </c>
      <c r="BS69" s="1063">
        <v>27</v>
      </c>
      <c r="BT69" s="1062" t="s">
        <v>414</v>
      </c>
      <c r="BU69" s="1017"/>
      <c r="BV69" s="1019"/>
      <c r="BW69" s="1063"/>
      <c r="BX69" s="1062"/>
      <c r="BY69" s="1017">
        <v>44216</v>
      </c>
      <c r="BZ69" s="1019" t="s">
        <v>1650</v>
      </c>
      <c r="CA69" s="1063">
        <v>50</v>
      </c>
      <c r="CB69" s="1062" t="s">
        <v>426</v>
      </c>
      <c r="CC69" s="1017">
        <v>44583</v>
      </c>
      <c r="CD69" s="1019" t="s">
        <v>1651</v>
      </c>
      <c r="CE69" s="1063">
        <v>60</v>
      </c>
      <c r="CF69" s="1018" t="s">
        <v>693</v>
      </c>
      <c r="CG69" s="1017">
        <v>44953</v>
      </c>
      <c r="CH69" s="1019" t="s">
        <v>1652</v>
      </c>
      <c r="CI69" s="1063">
        <v>16</v>
      </c>
      <c r="CJ69" s="1018" t="s">
        <v>414</v>
      </c>
      <c r="CK69" s="1017">
        <v>45321</v>
      </c>
      <c r="CL69" s="1019" t="s">
        <v>1653</v>
      </c>
      <c r="CM69" s="1063">
        <v>25</v>
      </c>
      <c r="CN69" s="1018" t="s">
        <v>414</v>
      </c>
      <c r="CO69" s="1017">
        <v>45682</v>
      </c>
      <c r="CP69" s="1019" t="s">
        <v>797</v>
      </c>
      <c r="CQ69" s="1063">
        <v>30</v>
      </c>
      <c r="CR69" s="1018" t="s">
        <v>410</v>
      </c>
      <c r="CS69" s="1017"/>
      <c r="CT69" s="1019"/>
      <c r="CU69" s="1063"/>
      <c r="CV69" s="1018"/>
    </row>
    <row r="70" spans="5:100" ht="15" customHeight="1">
      <c r="E70" s="489"/>
      <c r="F70" s="714"/>
      <c r="G70" s="491"/>
      <c r="H70" s="493"/>
      <c r="I70" s="489"/>
      <c r="J70" s="714"/>
      <c r="K70" s="491"/>
      <c r="L70" s="493"/>
      <c r="M70" s="489"/>
      <c r="N70" s="714"/>
      <c r="O70" s="491"/>
      <c r="P70" s="769"/>
      <c r="Q70" s="489"/>
      <c r="R70" s="714"/>
      <c r="S70" s="491"/>
      <c r="T70" s="493"/>
      <c r="U70" s="489">
        <v>39106</v>
      </c>
      <c r="V70" s="714" t="s">
        <v>1654</v>
      </c>
      <c r="W70" s="491">
        <v>83</v>
      </c>
      <c r="X70" s="800"/>
      <c r="Y70" s="489">
        <v>39474</v>
      </c>
      <c r="Z70" s="714" t="s">
        <v>1655</v>
      </c>
      <c r="AA70" s="783">
        <v>26</v>
      </c>
      <c r="AB70" s="794"/>
      <c r="AC70" s="489"/>
      <c r="AD70" s="490"/>
      <c r="AE70" s="716"/>
      <c r="AF70" s="796"/>
      <c r="AG70" s="489"/>
      <c r="AH70" s="490"/>
      <c r="AI70" s="716"/>
      <c r="AJ70" s="796"/>
      <c r="AK70" s="489">
        <v>40572</v>
      </c>
      <c r="AL70" s="490" t="s">
        <v>1656</v>
      </c>
      <c r="AM70" s="716">
        <v>21</v>
      </c>
      <c r="AN70" s="787"/>
      <c r="AO70" s="489"/>
      <c r="AP70" s="490"/>
      <c r="AQ70" s="716"/>
      <c r="AR70" s="787"/>
      <c r="AS70" s="489">
        <v>41293</v>
      </c>
      <c r="AT70" s="490" t="s">
        <v>781</v>
      </c>
      <c r="AU70" s="716">
        <v>75</v>
      </c>
      <c r="AV70" s="787"/>
      <c r="AW70" s="489">
        <v>41664</v>
      </c>
      <c r="AX70" s="490" t="s">
        <v>1657</v>
      </c>
      <c r="AY70" s="718">
        <v>9</v>
      </c>
      <c r="AZ70" s="787"/>
      <c r="BA70" s="489"/>
      <c r="BB70" s="490"/>
      <c r="BC70" s="718"/>
      <c r="BD70" s="787"/>
      <c r="BE70" s="489">
        <v>42399</v>
      </c>
      <c r="BF70" s="490" t="s">
        <v>867</v>
      </c>
      <c r="BG70" s="718">
        <v>13</v>
      </c>
      <c r="BH70" s="787"/>
      <c r="BI70" s="489"/>
      <c r="BJ70" s="490"/>
      <c r="BK70" s="718"/>
      <c r="BL70" s="787"/>
      <c r="BM70" s="489"/>
      <c r="BN70" s="490"/>
      <c r="BO70" s="715"/>
      <c r="BP70" s="787"/>
      <c r="BQ70" s="1017">
        <v>43484</v>
      </c>
      <c r="BR70" s="1019" t="s">
        <v>1183</v>
      </c>
      <c r="BS70" s="1063">
        <v>6</v>
      </c>
      <c r="BT70" s="1062" t="s">
        <v>414</v>
      </c>
      <c r="BU70" s="1017"/>
      <c r="BV70" s="1019"/>
      <c r="BW70" s="1063"/>
      <c r="BX70" s="1062"/>
      <c r="BY70" s="1017">
        <v>44216</v>
      </c>
      <c r="BZ70" s="1019" t="s">
        <v>1658</v>
      </c>
      <c r="CA70" s="1063">
        <v>90</v>
      </c>
      <c r="CB70" s="1062" t="s">
        <v>701</v>
      </c>
      <c r="CC70" s="1017">
        <v>44583</v>
      </c>
      <c r="CD70" s="1019" t="s">
        <v>1659</v>
      </c>
      <c r="CE70" s="1063">
        <v>16</v>
      </c>
      <c r="CF70" s="1018" t="s">
        <v>693</v>
      </c>
      <c r="CG70" s="1017">
        <v>44953</v>
      </c>
      <c r="CH70" s="1019" t="s">
        <v>1660</v>
      </c>
      <c r="CI70" s="1063">
        <v>25</v>
      </c>
      <c r="CJ70" s="1018" t="s">
        <v>414</v>
      </c>
      <c r="CK70" s="1017">
        <v>45321</v>
      </c>
      <c r="CL70" s="1019" t="s">
        <v>1661</v>
      </c>
      <c r="CM70" s="1063">
        <v>15</v>
      </c>
      <c r="CN70" s="1018" t="s">
        <v>693</v>
      </c>
      <c r="CO70" s="1017">
        <v>45682</v>
      </c>
      <c r="CP70" s="1019" t="s">
        <v>1052</v>
      </c>
      <c r="CQ70" s="1063">
        <v>35</v>
      </c>
      <c r="CR70" s="1018" t="s">
        <v>280</v>
      </c>
      <c r="CS70" s="1017"/>
      <c r="CT70" s="1019"/>
      <c r="CU70" s="1063"/>
      <c r="CV70" s="1018"/>
    </row>
    <row r="71" spans="5:100" ht="14.1" customHeight="1">
      <c r="E71" s="721" t="s">
        <v>477</v>
      </c>
      <c r="F71" s="722"/>
      <c r="G71" s="723">
        <f>SUM(G5:G70)</f>
        <v>3329</v>
      </c>
      <c r="H71" s="723">
        <f>SUM(H5:H70)</f>
        <v>1497</v>
      </c>
      <c r="I71" s="721" t="s">
        <v>477</v>
      </c>
      <c r="J71" s="722"/>
      <c r="K71" s="723">
        <f>SUM(K5:K70)</f>
        <v>4033</v>
      </c>
      <c r="L71" s="723">
        <f>SUM(L5:L70)</f>
        <v>1134</v>
      </c>
      <c r="M71" s="721" t="s">
        <v>477</v>
      </c>
      <c r="N71" s="722"/>
      <c r="O71" s="723">
        <f>SUM(O5:O70)</f>
        <v>1032</v>
      </c>
      <c r="P71" s="801">
        <f>SUM(P5:P70)</f>
        <v>0</v>
      </c>
      <c r="Q71" s="721"/>
      <c r="R71" s="722"/>
      <c r="S71" s="723"/>
      <c r="T71" s="723"/>
      <c r="U71" s="489">
        <v>39106</v>
      </c>
      <c r="V71" s="714" t="s">
        <v>1662</v>
      </c>
      <c r="W71" s="491">
        <v>110</v>
      </c>
      <c r="X71" s="788"/>
      <c r="Y71" s="489">
        <v>39477</v>
      </c>
      <c r="Z71" s="714" t="s">
        <v>1663</v>
      </c>
      <c r="AA71" s="783">
        <v>27</v>
      </c>
      <c r="AB71" s="794"/>
      <c r="AC71" s="489"/>
      <c r="AD71" s="490"/>
      <c r="AE71" s="716"/>
      <c r="AF71" s="796"/>
      <c r="AG71" s="489"/>
      <c r="AH71" s="490"/>
      <c r="AI71" s="716"/>
      <c r="AJ71" s="796"/>
      <c r="AK71" s="489"/>
      <c r="AL71" s="490"/>
      <c r="AM71" s="716"/>
      <c r="AN71" s="787"/>
      <c r="AO71" s="489"/>
      <c r="AP71" s="490"/>
      <c r="AQ71" s="716"/>
      <c r="AR71" s="787"/>
      <c r="AS71" s="489">
        <v>41293</v>
      </c>
      <c r="AT71" s="490" t="s">
        <v>1664</v>
      </c>
      <c r="AU71" s="716">
        <v>20</v>
      </c>
      <c r="AV71" s="787"/>
      <c r="AW71" s="489">
        <v>41664</v>
      </c>
      <c r="AX71" s="490" t="s">
        <v>1665</v>
      </c>
      <c r="AY71" s="716">
        <v>180</v>
      </c>
      <c r="AZ71" s="787"/>
      <c r="BA71" s="489"/>
      <c r="BB71" s="490"/>
      <c r="BC71" s="716"/>
      <c r="BD71" s="787"/>
      <c r="BE71" s="489">
        <v>42399</v>
      </c>
      <c r="BF71" s="490" t="s">
        <v>1666</v>
      </c>
      <c r="BG71" s="718">
        <v>20</v>
      </c>
      <c r="BH71" s="787"/>
      <c r="BI71" s="489"/>
      <c r="BJ71" s="490"/>
      <c r="BK71" s="718"/>
      <c r="BL71" s="787"/>
      <c r="BM71" s="489"/>
      <c r="BN71" s="490"/>
      <c r="BO71" s="715"/>
      <c r="BP71" s="787"/>
      <c r="BQ71" s="1017">
        <v>43484</v>
      </c>
      <c r="BR71" s="1019" t="s">
        <v>1667</v>
      </c>
      <c r="BS71" s="1063">
        <v>7</v>
      </c>
      <c r="BT71" s="1062" t="s">
        <v>414</v>
      </c>
      <c r="BU71" s="1017"/>
      <c r="BV71" s="1019"/>
      <c r="BW71" s="1063"/>
      <c r="BX71" s="1062"/>
      <c r="BY71" s="1017">
        <v>44216</v>
      </c>
      <c r="BZ71" s="1019" t="s">
        <v>1668</v>
      </c>
      <c r="CA71" s="1063">
        <v>15</v>
      </c>
      <c r="CB71" s="1062" t="s">
        <v>280</v>
      </c>
      <c r="CC71" s="1017">
        <v>44583</v>
      </c>
      <c r="CD71" s="1019" t="s">
        <v>1669</v>
      </c>
      <c r="CE71" s="1063">
        <v>15</v>
      </c>
      <c r="CF71" s="1018" t="s">
        <v>693</v>
      </c>
      <c r="CG71" s="1017">
        <v>44953</v>
      </c>
      <c r="CH71" s="1019" t="s">
        <v>1670</v>
      </c>
      <c r="CI71" s="1063">
        <v>29</v>
      </c>
      <c r="CJ71" s="1018" t="s">
        <v>414</v>
      </c>
      <c r="CK71" s="1017">
        <v>45321</v>
      </c>
      <c r="CL71" s="1019" t="s">
        <v>1671</v>
      </c>
      <c r="CM71" s="1063">
        <v>25</v>
      </c>
      <c r="CN71" s="1018" t="s">
        <v>700</v>
      </c>
      <c r="CO71" s="1017">
        <v>45689</v>
      </c>
      <c r="CP71" s="1019" t="s">
        <v>781</v>
      </c>
      <c r="CQ71" s="1063"/>
      <c r="CR71" s="1018"/>
      <c r="CS71" s="1017"/>
      <c r="CT71" s="1019"/>
      <c r="CU71" s="1063"/>
      <c r="CV71" s="1018"/>
    </row>
    <row r="72" spans="5:100" ht="15" customHeight="1">
      <c r="E72" s="725" t="s">
        <v>1672</v>
      </c>
      <c r="F72" s="726"/>
      <c r="G72" s="727"/>
      <c r="H72" s="728"/>
      <c r="I72" s="725" t="s">
        <v>1672</v>
      </c>
      <c r="J72" s="726"/>
      <c r="K72" s="727"/>
      <c r="L72" s="728"/>
      <c r="M72" s="725" t="s">
        <v>1672</v>
      </c>
      <c r="N72" s="726"/>
      <c r="O72" s="727"/>
      <c r="P72" s="802"/>
      <c r="Q72" s="725"/>
      <c r="R72" s="726"/>
      <c r="S72" s="727"/>
      <c r="T72" s="728"/>
      <c r="U72" s="489">
        <v>39109</v>
      </c>
      <c r="V72" s="714" t="s">
        <v>1673</v>
      </c>
      <c r="W72" s="491">
        <v>13</v>
      </c>
      <c r="X72" s="788"/>
      <c r="Y72" s="489">
        <v>39478</v>
      </c>
      <c r="Z72" s="714" t="s">
        <v>1308</v>
      </c>
      <c r="AA72" s="783">
        <v>8</v>
      </c>
      <c r="AB72" s="794"/>
      <c r="AC72" s="489"/>
      <c r="AD72" s="490"/>
      <c r="AE72" s="716"/>
      <c r="AF72" s="796"/>
      <c r="AG72" s="489"/>
      <c r="AH72" s="490"/>
      <c r="AI72" s="716"/>
      <c r="AJ72" s="796"/>
      <c r="AK72" s="489"/>
      <c r="AL72" s="490"/>
      <c r="AM72" s="716"/>
      <c r="AN72" s="787"/>
      <c r="AO72" s="489"/>
      <c r="AP72" s="490"/>
      <c r="AQ72" s="716"/>
      <c r="AR72" s="787"/>
      <c r="AS72" s="489">
        <v>41293</v>
      </c>
      <c r="AT72" s="490" t="s">
        <v>1674</v>
      </c>
      <c r="AU72" s="716">
        <v>20</v>
      </c>
      <c r="AV72" s="787"/>
      <c r="AW72" s="489">
        <v>41664</v>
      </c>
      <c r="AX72" s="490" t="s">
        <v>1675</v>
      </c>
      <c r="AY72" s="716">
        <v>275</v>
      </c>
      <c r="AZ72" s="787"/>
      <c r="BA72" s="489"/>
      <c r="BB72" s="490"/>
      <c r="BC72" s="716"/>
      <c r="BD72" s="787"/>
      <c r="BE72" s="489">
        <v>42399</v>
      </c>
      <c r="BF72" s="490" t="s">
        <v>1676</v>
      </c>
      <c r="BG72" s="716">
        <v>45</v>
      </c>
      <c r="BH72" s="787"/>
      <c r="BI72" s="489"/>
      <c r="BJ72" s="490"/>
      <c r="BK72" s="718"/>
      <c r="BL72" s="787"/>
      <c r="BM72" s="489"/>
      <c r="BN72" s="490"/>
      <c r="BO72" s="715"/>
      <c r="BP72" s="787"/>
      <c r="BQ72" s="1017">
        <v>43484</v>
      </c>
      <c r="BR72" s="1019" t="s">
        <v>1677</v>
      </c>
      <c r="BS72" s="1063">
        <v>15</v>
      </c>
      <c r="BT72" s="1062" t="s">
        <v>414</v>
      </c>
      <c r="BU72" s="1017"/>
      <c r="BV72" s="1019"/>
      <c r="BW72" s="1063"/>
      <c r="BX72" s="1062"/>
      <c r="BY72" s="1017">
        <v>44216</v>
      </c>
      <c r="BZ72" s="1019" t="s">
        <v>1678</v>
      </c>
      <c r="CA72" s="1063">
        <v>6</v>
      </c>
      <c r="CB72" s="1018" t="s">
        <v>414</v>
      </c>
      <c r="CC72" s="1017">
        <v>44583</v>
      </c>
      <c r="CD72" s="1019" t="s">
        <v>1679</v>
      </c>
      <c r="CE72" s="1063">
        <v>12</v>
      </c>
      <c r="CF72" s="1018" t="s">
        <v>693</v>
      </c>
      <c r="CG72" s="1017">
        <v>44953</v>
      </c>
      <c r="CH72" s="1019" t="s">
        <v>1680</v>
      </c>
      <c r="CI72" s="1063">
        <v>0</v>
      </c>
      <c r="CJ72" s="1018" t="s">
        <v>414</v>
      </c>
      <c r="CK72" s="1017">
        <v>45321</v>
      </c>
      <c r="CL72" s="1019" t="s">
        <v>1681</v>
      </c>
      <c r="CM72" s="1063">
        <v>12</v>
      </c>
      <c r="CN72" s="1018" t="s">
        <v>414</v>
      </c>
      <c r="CO72" s="1017">
        <v>45689</v>
      </c>
      <c r="CP72" s="1019" t="s">
        <v>772</v>
      </c>
      <c r="CQ72" s="1063"/>
      <c r="CR72" s="1018"/>
      <c r="CS72" s="1017"/>
      <c r="CT72" s="1019"/>
      <c r="CU72" s="1063"/>
      <c r="CV72" s="1018"/>
    </row>
    <row r="73" spans="5:100" ht="15" customHeight="1">
      <c r="E73" s="803" t="s">
        <v>138</v>
      </c>
      <c r="F73" s="729"/>
      <c r="G73" s="730">
        <f>SUM(G71,H71)</f>
        <v>4826</v>
      </c>
      <c r="H73" s="731"/>
      <c r="I73" s="803" t="s">
        <v>138</v>
      </c>
      <c r="J73" s="729"/>
      <c r="K73" s="730">
        <f>SUM(K71,L71)</f>
        <v>5167</v>
      </c>
      <c r="L73" s="731"/>
      <c r="M73" s="803" t="s">
        <v>138</v>
      </c>
      <c r="N73" s="729"/>
      <c r="O73" s="730">
        <f>SUM(O71,P71)</f>
        <v>1032</v>
      </c>
      <c r="P73" s="804"/>
      <c r="Q73" s="803"/>
      <c r="R73" s="729"/>
      <c r="S73" s="730"/>
      <c r="T73" s="731"/>
      <c r="U73" s="489">
        <v>39109</v>
      </c>
      <c r="V73" s="714" t="s">
        <v>1682</v>
      </c>
      <c r="W73" s="491">
        <v>6</v>
      </c>
      <c r="X73" s="788"/>
      <c r="Y73" s="489">
        <v>39478</v>
      </c>
      <c r="Z73" s="714" t="s">
        <v>797</v>
      </c>
      <c r="AA73" s="783">
        <v>50</v>
      </c>
      <c r="AB73" s="794"/>
      <c r="AC73" s="489"/>
      <c r="AD73" s="490"/>
      <c r="AE73" s="716"/>
      <c r="AF73" s="796"/>
      <c r="AG73" s="489"/>
      <c r="AH73" s="490"/>
      <c r="AI73" s="716"/>
      <c r="AJ73" s="796"/>
      <c r="AK73" s="489"/>
      <c r="AL73" s="490"/>
      <c r="AM73" s="716"/>
      <c r="AN73" s="787"/>
      <c r="AO73" s="489"/>
      <c r="AP73" s="490"/>
      <c r="AQ73" s="716"/>
      <c r="AR73" s="787"/>
      <c r="AS73" s="489">
        <v>41293</v>
      </c>
      <c r="AT73" s="490" t="s">
        <v>1683</v>
      </c>
      <c r="AU73" s="716">
        <v>16</v>
      </c>
      <c r="AV73" s="787"/>
      <c r="AW73" s="489">
        <v>41664</v>
      </c>
      <c r="AX73" s="490" t="s">
        <v>1684</v>
      </c>
      <c r="AY73" s="716">
        <v>300</v>
      </c>
      <c r="AZ73" s="787"/>
      <c r="BA73" s="489"/>
      <c r="BB73" s="490"/>
      <c r="BC73" s="716"/>
      <c r="BD73" s="787"/>
      <c r="BE73" s="489"/>
      <c r="BF73" s="490"/>
      <c r="BG73" s="716"/>
      <c r="BH73" s="787"/>
      <c r="BI73" s="489"/>
      <c r="BJ73" s="490"/>
      <c r="BK73" s="718"/>
      <c r="BL73" s="787"/>
      <c r="BM73" s="489"/>
      <c r="BN73" s="490"/>
      <c r="BO73" s="715"/>
      <c r="BP73" s="787"/>
      <c r="BQ73" s="1017">
        <v>43484</v>
      </c>
      <c r="BR73" s="1019" t="s">
        <v>1685</v>
      </c>
      <c r="BS73" s="1063">
        <v>0</v>
      </c>
      <c r="BT73" s="1062" t="s">
        <v>414</v>
      </c>
      <c r="BU73" s="1017"/>
      <c r="BV73" s="1019"/>
      <c r="BW73" s="1063"/>
      <c r="BX73" s="1062"/>
      <c r="BY73" s="1017">
        <v>44216</v>
      </c>
      <c r="BZ73" s="1019" t="s">
        <v>1686</v>
      </c>
      <c r="CA73" s="1063">
        <v>0</v>
      </c>
      <c r="CB73" s="1018" t="s">
        <v>414</v>
      </c>
      <c r="CC73" s="1017">
        <v>44583</v>
      </c>
      <c r="CD73" s="1019" t="s">
        <v>1687</v>
      </c>
      <c r="CE73" s="1063">
        <v>17</v>
      </c>
      <c r="CF73" s="1018" t="s">
        <v>692</v>
      </c>
      <c r="CG73" s="1017">
        <v>44953</v>
      </c>
      <c r="CH73" s="1019" t="s">
        <v>1688</v>
      </c>
      <c r="CI73" s="1063">
        <v>15</v>
      </c>
      <c r="CJ73" s="1018" t="s">
        <v>414</v>
      </c>
      <c r="CK73" s="1017"/>
      <c r="CL73" s="1738" t="s">
        <v>1689</v>
      </c>
      <c r="CM73" s="1839">
        <v>100</v>
      </c>
      <c r="CN73" s="1787" t="s">
        <v>674</v>
      </c>
      <c r="CO73" s="1017">
        <v>45689</v>
      </c>
      <c r="CP73" s="1019" t="s">
        <v>948</v>
      </c>
      <c r="CQ73" s="1063"/>
      <c r="CR73" s="1018"/>
      <c r="CS73" s="1017"/>
      <c r="CT73" s="1019"/>
      <c r="CU73" s="1063"/>
      <c r="CV73" s="1018"/>
    </row>
    <row r="74" spans="5:100" ht="14.1" customHeight="1">
      <c r="U74" s="489">
        <v>39109</v>
      </c>
      <c r="V74" s="714" t="s">
        <v>797</v>
      </c>
      <c r="W74" s="491">
        <v>35</v>
      </c>
      <c r="X74" s="788"/>
      <c r="Y74" s="489"/>
      <c r="Z74" s="714"/>
      <c r="AA74" s="783"/>
      <c r="AB74" s="794"/>
      <c r="AC74" s="489"/>
      <c r="AD74" s="490"/>
      <c r="AE74" s="716"/>
      <c r="AF74" s="796"/>
      <c r="AG74" s="489"/>
      <c r="AH74" s="490"/>
      <c r="AI74" s="716"/>
      <c r="AJ74" s="796"/>
      <c r="AK74" s="489"/>
      <c r="AL74" s="490"/>
      <c r="AM74" s="716"/>
      <c r="AN74" s="787"/>
      <c r="AO74" s="489"/>
      <c r="AP74" s="490"/>
      <c r="AQ74" s="716"/>
      <c r="AR74" s="787"/>
      <c r="AS74" s="489">
        <v>41294</v>
      </c>
      <c r="AT74" s="490" t="s">
        <v>797</v>
      </c>
      <c r="AU74" s="716">
        <v>58</v>
      </c>
      <c r="AV74" s="787"/>
      <c r="AW74" s="489">
        <v>41665</v>
      </c>
      <c r="AX74" s="490" t="s">
        <v>954</v>
      </c>
      <c r="AY74" s="716">
        <v>69</v>
      </c>
      <c r="AZ74" s="787"/>
      <c r="BA74" s="489"/>
      <c r="BB74" s="490"/>
      <c r="BC74" s="716"/>
      <c r="BD74" s="787"/>
      <c r="BE74" s="489"/>
      <c r="BF74" s="490"/>
      <c r="BG74" s="716"/>
      <c r="BH74" s="787"/>
      <c r="BI74" s="489"/>
      <c r="BJ74" s="490"/>
      <c r="BK74" s="718"/>
      <c r="BL74" s="787"/>
      <c r="BM74" s="489"/>
      <c r="BN74" s="490"/>
      <c r="BO74" s="715"/>
      <c r="BP74" s="787"/>
      <c r="BQ74" s="1017">
        <v>43484</v>
      </c>
      <c r="BR74" s="1019" t="s">
        <v>1690</v>
      </c>
      <c r="BS74" s="1063">
        <v>15</v>
      </c>
      <c r="BT74" s="1062" t="s">
        <v>414</v>
      </c>
      <c r="BU74" s="1017"/>
      <c r="BV74" s="1019"/>
      <c r="BW74" s="1063"/>
      <c r="BX74" s="1062"/>
      <c r="BY74" s="1017">
        <v>44216</v>
      </c>
      <c r="BZ74" s="1019" t="s">
        <v>1691</v>
      </c>
      <c r="CA74" s="1063">
        <v>16</v>
      </c>
      <c r="CB74" s="1018" t="s">
        <v>414</v>
      </c>
      <c r="CC74" s="1017">
        <v>44583</v>
      </c>
      <c r="CD74" s="1019" t="s">
        <v>1692</v>
      </c>
      <c r="CE74" s="1063">
        <v>11</v>
      </c>
      <c r="CF74" s="1018" t="s">
        <v>693</v>
      </c>
      <c r="CG74" s="1017">
        <v>44953</v>
      </c>
      <c r="CH74" s="1019" t="s">
        <v>1693</v>
      </c>
      <c r="CI74" s="1063">
        <v>41</v>
      </c>
      <c r="CJ74" s="1018" t="s">
        <v>414</v>
      </c>
      <c r="CK74" s="1017"/>
      <c r="CL74" s="1019"/>
      <c r="CM74" s="1063"/>
      <c r="CN74" s="1018"/>
      <c r="CO74" s="1017">
        <v>45689</v>
      </c>
      <c r="CP74" s="1019" t="s">
        <v>1694</v>
      </c>
      <c r="CQ74" s="1063"/>
      <c r="CR74" s="1018"/>
      <c r="CS74" s="1017"/>
      <c r="CT74" s="1019"/>
      <c r="CU74" s="1063"/>
      <c r="CV74" s="1018"/>
    </row>
    <row r="75" spans="5:100" ht="14.1" customHeight="1">
      <c r="U75" s="489">
        <v>39109</v>
      </c>
      <c r="V75" s="714" t="s">
        <v>781</v>
      </c>
      <c r="W75" s="491">
        <v>10</v>
      </c>
      <c r="X75" s="788"/>
      <c r="Y75" s="489"/>
      <c r="Z75" s="714"/>
      <c r="AA75" s="783"/>
      <c r="AB75" s="794"/>
      <c r="AC75" s="489"/>
      <c r="AD75" s="490"/>
      <c r="AE75" s="716"/>
      <c r="AF75" s="796"/>
      <c r="AG75" s="489"/>
      <c r="AH75" s="490"/>
      <c r="AI75" s="716"/>
      <c r="AJ75" s="796"/>
      <c r="AK75" s="489"/>
      <c r="AL75" s="490"/>
      <c r="AM75" s="716"/>
      <c r="AN75" s="787"/>
      <c r="AO75" s="489"/>
      <c r="AP75" s="490"/>
      <c r="AQ75" s="716"/>
      <c r="AR75" s="787"/>
      <c r="AS75" s="489">
        <v>41295</v>
      </c>
      <c r="AT75" s="490" t="s">
        <v>925</v>
      </c>
      <c r="AU75" s="716">
        <v>5</v>
      </c>
      <c r="AV75" s="787"/>
      <c r="AW75" s="489">
        <v>41665</v>
      </c>
      <c r="AX75" s="490" t="s">
        <v>998</v>
      </c>
      <c r="AY75" s="716">
        <v>16</v>
      </c>
      <c r="AZ75" s="787"/>
      <c r="BA75" s="489"/>
      <c r="BB75" s="490"/>
      <c r="BC75" s="716"/>
      <c r="BD75" s="787"/>
      <c r="BE75" s="489"/>
      <c r="BF75" s="490"/>
      <c r="BG75" s="716"/>
      <c r="BH75" s="787"/>
      <c r="BI75" s="489"/>
      <c r="BJ75" s="490"/>
      <c r="BK75" s="716"/>
      <c r="BL75" s="787"/>
      <c r="BM75" s="489"/>
      <c r="BN75" s="490"/>
      <c r="BO75" s="715"/>
      <c r="BP75" s="787"/>
      <c r="BQ75" s="1017">
        <v>43484</v>
      </c>
      <c r="BR75" s="1019" t="s">
        <v>1695</v>
      </c>
      <c r="BS75" s="1063" t="s">
        <v>37</v>
      </c>
      <c r="BT75" s="1062" t="s">
        <v>414</v>
      </c>
      <c r="BU75" s="1017"/>
      <c r="BV75" s="1019"/>
      <c r="BW75" s="1063"/>
      <c r="BX75" s="1062"/>
      <c r="BY75" s="1017">
        <v>44219</v>
      </c>
      <c r="BZ75" s="1019" t="s">
        <v>845</v>
      </c>
      <c r="CA75" s="1063">
        <v>49</v>
      </c>
      <c r="CB75" s="1018" t="s">
        <v>414</v>
      </c>
      <c r="CC75" s="1017">
        <v>44584</v>
      </c>
      <c r="CD75" s="1019" t="s">
        <v>1696</v>
      </c>
      <c r="CE75" s="1063">
        <v>26</v>
      </c>
      <c r="CF75" s="1018" t="s">
        <v>700</v>
      </c>
      <c r="CG75" s="1017">
        <v>44953</v>
      </c>
      <c r="CH75" s="1019" t="s">
        <v>1697</v>
      </c>
      <c r="CI75" s="1063">
        <v>65</v>
      </c>
      <c r="CJ75" s="1018" t="s">
        <v>414</v>
      </c>
      <c r="CK75" s="1017"/>
      <c r="CL75" s="1019"/>
      <c r="CM75" s="1063"/>
      <c r="CN75" s="1018"/>
      <c r="CO75" s="1017">
        <v>45689</v>
      </c>
      <c r="CP75" s="1019" t="s">
        <v>797</v>
      </c>
      <c r="CQ75" s="1063"/>
      <c r="CR75" s="1018"/>
      <c r="CS75" s="1017"/>
      <c r="CT75" s="1019"/>
      <c r="CU75" s="1063"/>
      <c r="CV75" s="1018"/>
    </row>
    <row r="76" spans="5:100" ht="14.1" customHeight="1">
      <c r="U76" s="489">
        <v>39109</v>
      </c>
      <c r="V76" s="714" t="s">
        <v>1698</v>
      </c>
      <c r="W76" s="491">
        <v>20</v>
      </c>
      <c r="X76" s="788"/>
      <c r="Y76" s="489"/>
      <c r="Z76" s="714"/>
      <c r="AA76" s="783"/>
      <c r="AB76" s="805"/>
      <c r="AC76" s="489"/>
      <c r="AD76" s="490"/>
      <c r="AE76" s="716"/>
      <c r="AF76" s="796"/>
      <c r="AG76" s="489"/>
      <c r="AH76" s="490"/>
      <c r="AI76" s="716"/>
      <c r="AJ76" s="796"/>
      <c r="AK76" s="489"/>
      <c r="AL76" s="490"/>
      <c r="AM76" s="716"/>
      <c r="AN76" s="787"/>
      <c r="AO76" s="489"/>
      <c r="AP76" s="490"/>
      <c r="AQ76" s="716"/>
      <c r="AR76" s="787"/>
      <c r="AS76" s="489">
        <v>41298</v>
      </c>
      <c r="AT76" s="490" t="s">
        <v>802</v>
      </c>
      <c r="AU76" s="716">
        <v>15</v>
      </c>
      <c r="AV76" s="787"/>
      <c r="AW76" s="489">
        <v>41666</v>
      </c>
      <c r="AX76" s="490" t="s">
        <v>802</v>
      </c>
      <c r="AY76" s="716">
        <v>40</v>
      </c>
      <c r="AZ76" s="787"/>
      <c r="BA76" s="489"/>
      <c r="BB76" s="490"/>
      <c r="BC76" s="716"/>
      <c r="BD76" s="787"/>
      <c r="BE76" s="489"/>
      <c r="BF76" s="490"/>
      <c r="BG76" s="716"/>
      <c r="BH76" s="787"/>
      <c r="BI76" s="489"/>
      <c r="BJ76" s="490"/>
      <c r="BK76" s="716"/>
      <c r="BL76" s="787"/>
      <c r="BM76" s="489"/>
      <c r="BN76" s="490"/>
      <c r="BO76" s="715"/>
      <c r="BP76" s="787"/>
      <c r="BQ76" s="1017">
        <v>43484</v>
      </c>
      <c r="BR76" s="1019" t="s">
        <v>1699</v>
      </c>
      <c r="BS76" s="1063">
        <v>33</v>
      </c>
      <c r="BT76" s="1062" t="s">
        <v>1501</v>
      </c>
      <c r="BU76" s="1017"/>
      <c r="BV76" s="1019"/>
      <c r="BW76" s="1063"/>
      <c r="BX76" s="1062"/>
      <c r="BY76" s="1017">
        <v>44220</v>
      </c>
      <c r="BZ76" s="1019" t="s">
        <v>1700</v>
      </c>
      <c r="CA76" s="1063">
        <v>55</v>
      </c>
      <c r="CB76" s="1062" t="s">
        <v>701</v>
      </c>
      <c r="CC76" s="1017">
        <v>44584</v>
      </c>
      <c r="CD76" s="1019" t="s">
        <v>1701</v>
      </c>
      <c r="CE76" s="1063">
        <v>51</v>
      </c>
      <c r="CF76" s="1018" t="s">
        <v>693</v>
      </c>
      <c r="CG76" s="1017">
        <v>44953</v>
      </c>
      <c r="CH76" s="1019" t="s">
        <v>1702</v>
      </c>
      <c r="CI76" s="1063">
        <v>15</v>
      </c>
      <c r="CJ76" s="1018" t="s">
        <v>414</v>
      </c>
      <c r="CK76" s="1017"/>
      <c r="CL76" s="1019"/>
      <c r="CM76" s="1063"/>
      <c r="CN76" s="1018"/>
      <c r="CO76" s="1017"/>
      <c r="CP76" s="1019"/>
      <c r="CQ76" s="1063"/>
      <c r="CR76" s="1018"/>
      <c r="CS76" s="1017"/>
      <c r="CT76" s="1019"/>
      <c r="CU76" s="1063"/>
      <c r="CV76" s="1018"/>
    </row>
    <row r="77" spans="5:100" ht="14.1" customHeight="1">
      <c r="U77" s="489">
        <v>39110</v>
      </c>
      <c r="V77" s="714" t="s">
        <v>802</v>
      </c>
      <c r="W77" s="491">
        <v>24</v>
      </c>
      <c r="X77" s="788"/>
      <c r="Y77" s="489"/>
      <c r="Z77" s="714"/>
      <c r="AA77" s="783"/>
      <c r="AB77" s="805"/>
      <c r="AC77" s="489"/>
      <c r="AD77" s="490"/>
      <c r="AE77" s="716"/>
      <c r="AF77" s="796"/>
      <c r="AG77" s="489"/>
      <c r="AH77" s="490"/>
      <c r="AI77" s="716"/>
      <c r="AJ77" s="796"/>
      <c r="AK77" s="489"/>
      <c r="AL77" s="490"/>
      <c r="AM77" s="716"/>
      <c r="AN77" s="787"/>
      <c r="AO77" s="489"/>
      <c r="AP77" s="490"/>
      <c r="AQ77" s="716"/>
      <c r="AR77" s="787"/>
      <c r="AS77" s="489">
        <v>41299</v>
      </c>
      <c r="AT77" s="490" t="s">
        <v>1703</v>
      </c>
      <c r="AU77" s="716">
        <v>4</v>
      </c>
      <c r="AV77" s="787"/>
      <c r="AW77" s="489">
        <v>41666</v>
      </c>
      <c r="AX77" s="490" t="s">
        <v>1178</v>
      </c>
      <c r="AY77" s="716">
        <v>15</v>
      </c>
      <c r="AZ77" s="787"/>
      <c r="BA77" s="489"/>
      <c r="BB77" s="490"/>
      <c r="BC77" s="716"/>
      <c r="BD77" s="787"/>
      <c r="BE77" s="489"/>
      <c r="BF77" s="490"/>
      <c r="BG77" s="716"/>
      <c r="BH77" s="787"/>
      <c r="BI77" s="489"/>
      <c r="BJ77" s="490"/>
      <c r="BK77" s="716"/>
      <c r="BL77" s="787"/>
      <c r="BM77" s="489"/>
      <c r="BN77" s="490"/>
      <c r="BO77" s="715"/>
      <c r="BP77" s="787"/>
      <c r="BQ77" s="1017">
        <v>43490</v>
      </c>
      <c r="BR77" s="1019" t="s">
        <v>823</v>
      </c>
      <c r="BS77" s="1063">
        <v>41</v>
      </c>
      <c r="BT77" s="1062" t="s">
        <v>414</v>
      </c>
      <c r="BU77" s="1017"/>
      <c r="BV77" s="1019"/>
      <c r="BW77" s="1063"/>
      <c r="BX77" s="1062"/>
      <c r="BY77" s="1017">
        <v>44220</v>
      </c>
      <c r="BZ77" s="1019" t="s">
        <v>1704</v>
      </c>
      <c r="CA77" s="1063">
        <v>250</v>
      </c>
      <c r="CB77" s="1062" t="s">
        <v>701</v>
      </c>
      <c r="CC77" s="1017">
        <v>44584</v>
      </c>
      <c r="CD77" s="1019" t="s">
        <v>1705</v>
      </c>
      <c r="CE77" s="1063">
        <v>186</v>
      </c>
      <c r="CF77" s="1018" t="s">
        <v>693</v>
      </c>
      <c r="CG77" s="1017">
        <v>44953</v>
      </c>
      <c r="CH77" s="1019" t="s">
        <v>1706</v>
      </c>
      <c r="CI77" s="1063">
        <v>15</v>
      </c>
      <c r="CJ77" s="1018" t="s">
        <v>414</v>
      </c>
      <c r="CK77" s="1017"/>
      <c r="CL77" s="1019"/>
      <c r="CM77" s="1063"/>
      <c r="CN77" s="1018"/>
      <c r="CO77" s="1017"/>
      <c r="CP77" s="1019"/>
      <c r="CQ77" s="1063"/>
      <c r="CR77" s="1018"/>
      <c r="CS77" s="1017"/>
      <c r="CT77" s="1019"/>
      <c r="CU77" s="1063"/>
      <c r="CV77" s="1018"/>
    </row>
    <row r="78" spans="5:100" ht="14.1" customHeight="1">
      <c r="U78" s="489">
        <v>39112</v>
      </c>
      <c r="V78" s="714" t="s">
        <v>1707</v>
      </c>
      <c r="W78" s="491">
        <v>16</v>
      </c>
      <c r="X78" s="788"/>
      <c r="Y78" s="489"/>
      <c r="Z78" s="714"/>
      <c r="AA78" s="783"/>
      <c r="AB78" s="806"/>
      <c r="AC78" s="489"/>
      <c r="AD78" s="490"/>
      <c r="AE78" s="716"/>
      <c r="AF78" s="807"/>
      <c r="AG78" s="489"/>
      <c r="AH78" s="490"/>
      <c r="AI78" s="716"/>
      <c r="AJ78" s="796"/>
      <c r="AK78" s="489"/>
      <c r="AL78" s="490"/>
      <c r="AM78" s="716"/>
      <c r="AN78" s="787"/>
      <c r="AO78" s="489"/>
      <c r="AP78" s="490"/>
      <c r="AQ78" s="716"/>
      <c r="AR78" s="787"/>
      <c r="AS78" s="489">
        <v>41299</v>
      </c>
      <c r="AT78" s="490" t="s">
        <v>1708</v>
      </c>
      <c r="AU78" s="716">
        <v>15</v>
      </c>
      <c r="AV78" s="787"/>
      <c r="AW78" s="489">
        <v>41666</v>
      </c>
      <c r="AX78" s="490" t="s">
        <v>925</v>
      </c>
      <c r="AY78" s="716">
        <v>10</v>
      </c>
      <c r="AZ78" s="787"/>
      <c r="BA78" s="489"/>
      <c r="BB78" s="490"/>
      <c r="BC78" s="716"/>
      <c r="BD78" s="787"/>
      <c r="BE78" s="489"/>
      <c r="BF78" s="490"/>
      <c r="BG78" s="716"/>
      <c r="BH78" s="787"/>
      <c r="BI78" s="489"/>
      <c r="BJ78" s="490"/>
      <c r="BK78" s="716"/>
      <c r="BL78" s="787"/>
      <c r="BM78" s="489"/>
      <c r="BN78" s="490"/>
      <c r="BO78" s="715"/>
      <c r="BP78" s="787"/>
      <c r="BQ78" s="1017">
        <v>43491</v>
      </c>
      <c r="BR78" s="1019" t="s">
        <v>797</v>
      </c>
      <c r="BS78" s="1063">
        <v>30</v>
      </c>
      <c r="BT78" s="1062" t="s">
        <v>410</v>
      </c>
      <c r="BU78" s="1017"/>
      <c r="BV78" s="1019"/>
      <c r="BW78" s="1063"/>
      <c r="BX78" s="1062"/>
      <c r="BY78" s="1017">
        <v>44222</v>
      </c>
      <c r="BZ78" s="1019" t="s">
        <v>1231</v>
      </c>
      <c r="CA78" s="1063">
        <v>67</v>
      </c>
      <c r="CB78" s="1018" t="s">
        <v>414</v>
      </c>
      <c r="CC78" s="1017">
        <v>44584</v>
      </c>
      <c r="CD78" s="1019" t="s">
        <v>1709</v>
      </c>
      <c r="CE78" s="1063">
        <v>12</v>
      </c>
      <c r="CF78" s="1018" t="s">
        <v>693</v>
      </c>
      <c r="CG78" s="1017">
        <v>44953</v>
      </c>
      <c r="CH78" s="1019" t="s">
        <v>1710</v>
      </c>
      <c r="CI78" s="1063">
        <v>16</v>
      </c>
      <c r="CJ78" s="1018" t="s">
        <v>414</v>
      </c>
      <c r="CK78" s="1017"/>
      <c r="CL78" s="1019"/>
      <c r="CM78" s="1063"/>
      <c r="CN78" s="1018"/>
      <c r="CO78" s="1017"/>
      <c r="CP78" s="1019"/>
      <c r="CQ78" s="1063"/>
      <c r="CR78" s="1018"/>
      <c r="CS78" s="1017"/>
      <c r="CT78" s="1019"/>
      <c r="CU78" s="1063"/>
      <c r="CV78" s="1018"/>
    </row>
    <row r="79" spans="5:100" ht="14.1" customHeight="1">
      <c r="U79" s="489"/>
      <c r="V79" s="714"/>
      <c r="W79" s="491"/>
      <c r="X79" s="788"/>
      <c r="Y79" s="489"/>
      <c r="Z79" s="714"/>
      <c r="AA79" s="783"/>
      <c r="AB79" s="806"/>
      <c r="AC79" s="489"/>
      <c r="AD79" s="490"/>
      <c r="AE79" s="716"/>
      <c r="AF79" s="807"/>
      <c r="AG79" s="489"/>
      <c r="AH79" s="490"/>
      <c r="AI79" s="716"/>
      <c r="AJ79" s="796"/>
      <c r="AK79" s="489"/>
      <c r="AL79" s="490"/>
      <c r="AM79" s="716"/>
      <c r="AN79" s="787"/>
      <c r="AO79" s="489"/>
      <c r="AP79" s="490"/>
      <c r="AQ79" s="716"/>
      <c r="AR79" s="787"/>
      <c r="AS79" s="489">
        <v>41299</v>
      </c>
      <c r="AT79" s="490" t="s">
        <v>787</v>
      </c>
      <c r="AU79" s="716">
        <v>30</v>
      </c>
      <c r="AV79" s="787"/>
      <c r="AW79" s="489"/>
      <c r="AX79" s="490"/>
      <c r="AY79" s="716"/>
      <c r="AZ79" s="787"/>
      <c r="BA79" s="489"/>
      <c r="BB79" s="490"/>
      <c r="BC79" s="716"/>
      <c r="BD79" s="787"/>
      <c r="BE79" s="489"/>
      <c r="BF79" s="490"/>
      <c r="BG79" s="716"/>
      <c r="BH79" s="787"/>
      <c r="BI79" s="489"/>
      <c r="BJ79" s="490"/>
      <c r="BK79" s="716"/>
      <c r="BL79" s="787"/>
      <c r="BM79" s="489"/>
      <c r="BN79" s="490"/>
      <c r="BO79" s="715"/>
      <c r="BP79" s="787"/>
      <c r="BQ79" s="1017">
        <v>43491</v>
      </c>
      <c r="BR79" s="1019" t="s">
        <v>872</v>
      </c>
      <c r="BS79" s="1063">
        <v>28</v>
      </c>
      <c r="BT79" s="1062" t="s">
        <v>414</v>
      </c>
      <c r="BU79" s="1017"/>
      <c r="BV79" s="1019"/>
      <c r="BW79" s="1063"/>
      <c r="BX79" s="1062"/>
      <c r="BY79" s="1017">
        <v>44224</v>
      </c>
      <c r="BZ79" s="1019" t="s">
        <v>1711</v>
      </c>
      <c r="CA79" s="1063">
        <v>26</v>
      </c>
      <c r="CB79" s="1018" t="s">
        <v>414</v>
      </c>
      <c r="CC79" s="1017">
        <v>44584</v>
      </c>
      <c r="CD79" s="1019" t="s">
        <v>1712</v>
      </c>
      <c r="CE79" s="1063">
        <v>5</v>
      </c>
      <c r="CF79" s="1018" t="s">
        <v>693</v>
      </c>
      <c r="CG79" s="1017">
        <v>44953</v>
      </c>
      <c r="CH79" s="1019" t="s">
        <v>1713</v>
      </c>
      <c r="CI79" s="1063">
        <v>30</v>
      </c>
      <c r="CJ79" s="1018" t="s">
        <v>414</v>
      </c>
      <c r="CK79" s="1017"/>
      <c r="CL79" s="1019"/>
      <c r="CM79" s="1063"/>
      <c r="CN79" s="1018"/>
      <c r="CO79" s="1017"/>
      <c r="CP79" s="1019"/>
      <c r="CQ79" s="1063"/>
      <c r="CR79" s="1018"/>
      <c r="CS79" s="1017"/>
      <c r="CT79" s="1019"/>
      <c r="CU79" s="1063"/>
      <c r="CV79" s="1018"/>
    </row>
    <row r="80" spans="5:100" ht="15" customHeight="1">
      <c r="U80" s="489"/>
      <c r="V80" s="714"/>
      <c r="W80" s="491"/>
      <c r="X80" s="788"/>
      <c r="Y80" s="489"/>
      <c r="Z80" s="714"/>
      <c r="AA80" s="783"/>
      <c r="AB80" s="806"/>
      <c r="AC80" s="808"/>
      <c r="AD80" s="720"/>
      <c r="AE80" s="809"/>
      <c r="AF80" s="810"/>
      <c r="AG80" s="489"/>
      <c r="AH80" s="490"/>
      <c r="AI80" s="716"/>
      <c r="AJ80" s="796"/>
      <c r="AK80" s="489"/>
      <c r="AL80" s="490"/>
      <c r="AM80" s="716"/>
      <c r="AN80" s="796"/>
      <c r="AO80" s="489"/>
      <c r="AP80" s="490"/>
      <c r="AQ80" s="716"/>
      <c r="AR80" s="787"/>
      <c r="AS80" s="489">
        <v>41300</v>
      </c>
      <c r="AT80" s="490" t="s">
        <v>1714</v>
      </c>
      <c r="AU80" s="716">
        <v>21</v>
      </c>
      <c r="AV80" s="787"/>
      <c r="AW80" s="489"/>
      <c r="AX80" s="490"/>
      <c r="AY80" s="716"/>
      <c r="AZ80" s="787"/>
      <c r="BA80" s="489"/>
      <c r="BB80" s="490"/>
      <c r="BC80" s="716"/>
      <c r="BD80" s="787"/>
      <c r="BE80" s="489"/>
      <c r="BF80" s="490"/>
      <c r="BG80" s="716"/>
      <c r="BH80" s="787"/>
      <c r="BI80" s="489"/>
      <c r="BJ80" s="490"/>
      <c r="BK80" s="716"/>
      <c r="BL80" s="787"/>
      <c r="BM80" s="489"/>
      <c r="BN80" s="490"/>
      <c r="BO80" s="715"/>
      <c r="BP80" s="787"/>
      <c r="BQ80" s="1017">
        <v>43491</v>
      </c>
      <c r="BR80" s="1019" t="s">
        <v>772</v>
      </c>
      <c r="BS80" s="1063">
        <v>15</v>
      </c>
      <c r="BT80" s="1062" t="s">
        <v>414</v>
      </c>
      <c r="BU80" s="1017"/>
      <c r="BV80" s="1019"/>
      <c r="BW80" s="1063"/>
      <c r="BX80" s="1062"/>
      <c r="BY80" s="1017">
        <v>44225</v>
      </c>
      <c r="BZ80" s="1019" t="s">
        <v>1715</v>
      </c>
      <c r="CA80" s="1063">
        <v>13</v>
      </c>
      <c r="CB80" s="1018" t="s">
        <v>414</v>
      </c>
      <c r="CC80" s="1017">
        <v>44584</v>
      </c>
      <c r="CD80" s="1019" t="s">
        <v>797</v>
      </c>
      <c r="CE80" s="1063">
        <v>60</v>
      </c>
      <c r="CF80" s="1018" t="s">
        <v>410</v>
      </c>
      <c r="CG80" s="1017">
        <v>44953</v>
      </c>
      <c r="CH80" s="1019" t="s">
        <v>1716</v>
      </c>
      <c r="CI80" s="1063">
        <v>16</v>
      </c>
      <c r="CJ80" s="1018" t="s">
        <v>414</v>
      </c>
      <c r="CK80" s="1017"/>
      <c r="CL80" s="1019"/>
      <c r="CM80" s="1063"/>
      <c r="CN80" s="1018"/>
      <c r="CO80" s="1017"/>
      <c r="CP80" s="1019"/>
      <c r="CQ80" s="1063"/>
      <c r="CR80" s="1018"/>
      <c r="CS80" s="1017"/>
      <c r="CT80" s="1019"/>
      <c r="CU80" s="1063"/>
      <c r="CV80" s="1018"/>
    </row>
    <row r="81" spans="45:100" ht="14.1" customHeight="1">
      <c r="AS81" s="489">
        <v>41300</v>
      </c>
      <c r="AT81" s="490" t="s">
        <v>754</v>
      </c>
      <c r="AU81" s="716">
        <v>130</v>
      </c>
      <c r="AV81" s="787"/>
      <c r="AW81" s="489"/>
      <c r="AX81" s="490"/>
      <c r="AY81" s="716"/>
      <c r="AZ81" s="787"/>
      <c r="BA81" s="489"/>
      <c r="BB81" s="490"/>
      <c r="BC81" s="716"/>
      <c r="BD81" s="787"/>
      <c r="BE81" s="489"/>
      <c r="BF81" s="490"/>
      <c r="BG81" s="716"/>
      <c r="BH81" s="787"/>
      <c r="BI81" s="489"/>
      <c r="BJ81" s="490"/>
      <c r="BK81" s="716"/>
      <c r="BL81" s="787"/>
      <c r="BM81" s="489"/>
      <c r="BN81" s="490"/>
      <c r="BO81" s="715"/>
      <c r="BP81" s="787"/>
      <c r="BQ81" s="1017">
        <v>43491</v>
      </c>
      <c r="BR81" s="1019" t="s">
        <v>873</v>
      </c>
      <c r="BS81" s="1063">
        <v>21</v>
      </c>
      <c r="BT81" s="1062" t="s">
        <v>414</v>
      </c>
      <c r="BU81" s="1017"/>
      <c r="BV81" s="1019"/>
      <c r="BW81" s="1063"/>
      <c r="BX81" s="1062"/>
      <c r="BY81" s="1017">
        <v>44226</v>
      </c>
      <c r="BZ81" s="1019" t="s">
        <v>1717</v>
      </c>
      <c r="CA81" s="1063">
        <v>40</v>
      </c>
      <c r="CB81" s="1018" t="s">
        <v>414</v>
      </c>
      <c r="CC81" s="1017">
        <v>44584</v>
      </c>
      <c r="CD81" s="1019" t="s">
        <v>843</v>
      </c>
      <c r="CE81" s="1063">
        <v>35</v>
      </c>
      <c r="CF81" s="1018" t="s">
        <v>414</v>
      </c>
      <c r="CG81" s="1017">
        <v>44953</v>
      </c>
      <c r="CH81" s="1019" t="s">
        <v>1718</v>
      </c>
      <c r="CI81" s="1063">
        <v>15</v>
      </c>
      <c r="CJ81" s="1018" t="s">
        <v>692</v>
      </c>
      <c r="CK81" s="1017"/>
      <c r="CL81" s="1019"/>
      <c r="CM81" s="1063"/>
      <c r="CN81" s="1018"/>
      <c r="CO81" s="1017"/>
      <c r="CP81" s="1019"/>
      <c r="CQ81" s="1063"/>
      <c r="CR81" s="1018"/>
      <c r="CS81" s="1017"/>
      <c r="CT81" s="1019"/>
      <c r="CU81" s="1063"/>
      <c r="CV81" s="1018"/>
    </row>
    <row r="82" spans="45:100" ht="15" customHeight="1">
      <c r="AS82" s="489">
        <v>41300</v>
      </c>
      <c r="AT82" s="490" t="s">
        <v>802</v>
      </c>
      <c r="AU82" s="716">
        <v>40</v>
      </c>
      <c r="AV82" s="796"/>
      <c r="AW82" s="489"/>
      <c r="AX82" s="490"/>
      <c r="AY82" s="716"/>
      <c r="AZ82" s="787"/>
      <c r="BA82" s="489"/>
      <c r="BB82" s="490"/>
      <c r="BC82" s="716"/>
      <c r="BD82" s="787"/>
      <c r="BE82" s="489"/>
      <c r="BF82" s="490"/>
      <c r="BG82" s="716"/>
      <c r="BH82" s="787"/>
      <c r="BI82" s="489"/>
      <c r="BJ82" s="490"/>
      <c r="BK82" s="716"/>
      <c r="BL82" s="787"/>
      <c r="BM82" s="489"/>
      <c r="BN82" s="490"/>
      <c r="BO82" s="715"/>
      <c r="BP82" s="787"/>
      <c r="BQ82" s="1017">
        <v>43491</v>
      </c>
      <c r="BR82" s="1019" t="s">
        <v>823</v>
      </c>
      <c r="BS82" s="1063">
        <v>25</v>
      </c>
      <c r="BT82" s="1062" t="s">
        <v>414</v>
      </c>
      <c r="BU82" s="1017"/>
      <c r="BV82" s="1019"/>
      <c r="BW82" s="1063"/>
      <c r="BX82" s="1062"/>
      <c r="BY82" s="1017">
        <v>44226</v>
      </c>
      <c r="BZ82" s="1019" t="s">
        <v>845</v>
      </c>
      <c r="CA82" s="1063">
        <v>57</v>
      </c>
      <c r="CB82" s="1018" t="s">
        <v>414</v>
      </c>
      <c r="CC82" s="1017">
        <v>44584</v>
      </c>
      <c r="CD82" s="1019" t="s">
        <v>872</v>
      </c>
      <c r="CE82" s="1063">
        <v>5</v>
      </c>
      <c r="CF82" s="1018" t="s">
        <v>414</v>
      </c>
      <c r="CG82" s="1017">
        <v>44953</v>
      </c>
      <c r="CH82" s="1019" t="s">
        <v>1719</v>
      </c>
      <c r="CI82" s="1063">
        <v>21</v>
      </c>
      <c r="CJ82" s="1018" t="s">
        <v>692</v>
      </c>
      <c r="CK82" s="1017"/>
      <c r="CL82" s="1019"/>
      <c r="CM82" s="1063"/>
      <c r="CN82" s="1018"/>
      <c r="CO82" s="1017"/>
      <c r="CP82" s="1019"/>
      <c r="CQ82" s="1063"/>
      <c r="CR82" s="1062"/>
      <c r="CS82" s="1017"/>
      <c r="CT82" s="1019"/>
      <c r="CU82" s="1063"/>
      <c r="CV82" s="1062"/>
    </row>
    <row r="83" spans="45:100" ht="15" customHeight="1">
      <c r="AS83" s="489">
        <v>41300</v>
      </c>
      <c r="AT83" s="490" t="s">
        <v>797</v>
      </c>
      <c r="AU83" s="716">
        <v>40</v>
      </c>
      <c r="AV83" s="796"/>
      <c r="AW83" s="489"/>
      <c r="AX83" s="490"/>
      <c r="AY83" s="716"/>
      <c r="AZ83" s="787"/>
      <c r="BA83" s="489"/>
      <c r="BB83" s="490"/>
      <c r="BC83" s="716"/>
      <c r="BD83" s="787"/>
      <c r="BE83" s="489"/>
      <c r="BF83" s="490"/>
      <c r="BG83" s="716"/>
      <c r="BH83" s="787"/>
      <c r="BI83" s="489"/>
      <c r="BJ83" s="490"/>
      <c r="BK83" s="716"/>
      <c r="BL83" s="787"/>
      <c r="BM83" s="489"/>
      <c r="BN83" s="490"/>
      <c r="BO83" s="715"/>
      <c r="BP83" s="787"/>
      <c r="BQ83" s="1017">
        <v>43491</v>
      </c>
      <c r="BR83" s="1019" t="s">
        <v>1720</v>
      </c>
      <c r="BS83" s="1063">
        <v>45</v>
      </c>
      <c r="BT83" s="1062"/>
      <c r="BU83" s="1017"/>
      <c r="BV83" s="1019"/>
      <c r="BW83" s="1063"/>
      <c r="BX83" s="1062"/>
      <c r="BY83" s="1017">
        <v>44226</v>
      </c>
      <c r="BZ83" s="1019" t="s">
        <v>1721</v>
      </c>
      <c r="CA83" s="1063">
        <v>5</v>
      </c>
      <c r="CB83" s="1018" t="s">
        <v>414</v>
      </c>
      <c r="CC83" s="1017">
        <v>44584</v>
      </c>
      <c r="CD83" s="1019" t="s">
        <v>772</v>
      </c>
      <c r="CE83" s="1063">
        <v>16</v>
      </c>
      <c r="CF83" s="1018" t="s">
        <v>414</v>
      </c>
      <c r="CG83" s="1017">
        <v>44953</v>
      </c>
      <c r="CH83" s="1019" t="s">
        <v>1722</v>
      </c>
      <c r="CI83" s="1063">
        <v>12</v>
      </c>
      <c r="CJ83" s="1018" t="s">
        <v>414</v>
      </c>
      <c r="CK83" s="1017"/>
      <c r="CL83" s="1019"/>
      <c r="CM83" s="1063"/>
      <c r="CN83" s="1018"/>
      <c r="CO83" s="1017"/>
      <c r="CP83" s="1019"/>
      <c r="CQ83" s="1063"/>
      <c r="CR83" s="1062"/>
      <c r="CS83" s="1017"/>
      <c r="CT83" s="1019"/>
      <c r="CU83" s="1063"/>
      <c r="CV83" s="1062"/>
    </row>
    <row r="84" spans="45:100" ht="15" customHeight="1">
      <c r="AS84" s="489">
        <v>41300</v>
      </c>
      <c r="AT84" s="490" t="s">
        <v>772</v>
      </c>
      <c r="AU84" s="716">
        <v>33</v>
      </c>
      <c r="AV84" s="796"/>
      <c r="AW84" s="489"/>
      <c r="AX84" s="490"/>
      <c r="AY84" s="716"/>
      <c r="AZ84" s="787"/>
      <c r="BA84" s="489"/>
      <c r="BB84" s="490"/>
      <c r="BC84" s="716"/>
      <c r="BD84" s="787"/>
      <c r="BE84" s="489"/>
      <c r="BF84" s="490"/>
      <c r="BG84" s="716"/>
      <c r="BH84" s="787"/>
      <c r="BI84" s="489"/>
      <c r="BJ84" s="490"/>
      <c r="BK84" s="716"/>
      <c r="BL84" s="787"/>
      <c r="BM84" s="489"/>
      <c r="BN84" s="490"/>
      <c r="BO84" s="715"/>
      <c r="BP84" s="787"/>
      <c r="BQ84" s="1017">
        <v>43492</v>
      </c>
      <c r="BR84" s="1019" t="s">
        <v>1723</v>
      </c>
      <c r="BS84" s="1063">
        <v>22</v>
      </c>
      <c r="BT84" s="1062" t="s">
        <v>280</v>
      </c>
      <c r="BU84" s="1017"/>
      <c r="BV84" s="1019"/>
      <c r="BW84" s="1063"/>
      <c r="BX84" s="1062"/>
      <c r="BY84" s="1017">
        <v>44227</v>
      </c>
      <c r="BZ84" s="1019" t="s">
        <v>872</v>
      </c>
      <c r="CA84" s="1063">
        <v>22</v>
      </c>
      <c r="CB84" s="1018" t="s">
        <v>414</v>
      </c>
      <c r="CC84" s="1017">
        <v>44584</v>
      </c>
      <c r="CD84" s="1019" t="s">
        <v>1724</v>
      </c>
      <c r="CE84" s="1063">
        <v>18</v>
      </c>
      <c r="CF84" s="1018" t="s">
        <v>693</v>
      </c>
      <c r="CG84" s="1017">
        <v>44953</v>
      </c>
      <c r="CH84" s="1019" t="s">
        <v>845</v>
      </c>
      <c r="CI84" s="1063">
        <v>38</v>
      </c>
      <c r="CJ84" s="1018" t="s">
        <v>414</v>
      </c>
      <c r="CK84" s="1017"/>
      <c r="CL84" s="1019"/>
      <c r="CM84" s="1063"/>
      <c r="CN84" s="1018"/>
      <c r="CO84" s="1017"/>
      <c r="CP84" s="1019"/>
      <c r="CQ84" s="1063"/>
      <c r="CR84" s="1018"/>
      <c r="CS84" s="1017"/>
      <c r="CT84" s="1019"/>
      <c r="CU84" s="1063"/>
      <c r="CV84" s="1018"/>
    </row>
    <row r="85" spans="45:100" ht="15" customHeight="1">
      <c r="AS85" s="489">
        <v>41300</v>
      </c>
      <c r="AT85" s="490" t="s">
        <v>1725</v>
      </c>
      <c r="AU85" s="716">
        <v>13</v>
      </c>
      <c r="AV85" s="796"/>
      <c r="AW85" s="489"/>
      <c r="AX85" s="490"/>
      <c r="AY85" s="716"/>
      <c r="AZ85" s="787"/>
      <c r="BA85" s="489"/>
      <c r="BB85" s="490"/>
      <c r="BC85" s="716"/>
      <c r="BD85" s="787"/>
      <c r="BE85" s="489"/>
      <c r="BF85" s="490"/>
      <c r="BG85" s="716"/>
      <c r="BH85" s="787"/>
      <c r="BI85" s="489"/>
      <c r="BJ85" s="490"/>
      <c r="BK85" s="716"/>
      <c r="BL85" s="787"/>
      <c r="BM85" s="489"/>
      <c r="BN85" s="490"/>
      <c r="BO85" s="715"/>
      <c r="BP85" s="787"/>
      <c r="BQ85" s="1017">
        <v>43496</v>
      </c>
      <c r="BR85" s="1019" t="s">
        <v>1726</v>
      </c>
      <c r="BS85" s="1063">
        <v>21</v>
      </c>
      <c r="BT85" s="1062" t="s">
        <v>700</v>
      </c>
      <c r="BU85" s="1017"/>
      <c r="BV85" s="1019"/>
      <c r="BW85" s="1063"/>
      <c r="BX85" s="1062"/>
      <c r="BY85" s="1017">
        <v>44227</v>
      </c>
      <c r="BZ85" s="1019" t="s">
        <v>843</v>
      </c>
      <c r="CA85" s="1063"/>
      <c r="CB85" s="1062"/>
      <c r="CC85" s="1017">
        <v>44584</v>
      </c>
      <c r="CD85" s="1019" t="s">
        <v>1727</v>
      </c>
      <c r="CE85" s="1063">
        <v>4</v>
      </c>
      <c r="CF85" s="1018" t="s">
        <v>692</v>
      </c>
      <c r="CG85" s="1017">
        <v>44953</v>
      </c>
      <c r="CH85" s="1019" t="s">
        <v>1728</v>
      </c>
      <c r="CI85" s="1063">
        <v>39</v>
      </c>
      <c r="CJ85" s="1018" t="s">
        <v>280</v>
      </c>
      <c r="CK85" s="1017"/>
      <c r="CL85" s="1019"/>
      <c r="CM85" s="1063"/>
      <c r="CN85" s="1018"/>
      <c r="CO85" s="1017"/>
      <c r="CP85" s="1019"/>
      <c r="CQ85" s="1063"/>
      <c r="CR85" s="1018"/>
      <c r="CS85" s="1017"/>
      <c r="CT85" s="1019"/>
      <c r="CU85" s="1063"/>
      <c r="CV85" s="1018"/>
    </row>
    <row r="86" spans="45:100" ht="15" customHeight="1">
      <c r="AS86" s="489">
        <v>41300</v>
      </c>
      <c r="AT86" s="490" t="s">
        <v>1729</v>
      </c>
      <c r="AU86" s="716">
        <v>6</v>
      </c>
      <c r="AV86" s="796"/>
      <c r="AW86" s="489"/>
      <c r="AX86" s="490"/>
      <c r="AY86" s="716"/>
      <c r="AZ86" s="787"/>
      <c r="BA86" s="489"/>
      <c r="BB86" s="490"/>
      <c r="BC86" s="716"/>
      <c r="BD86" s="787"/>
      <c r="BE86" s="489"/>
      <c r="BF86" s="490"/>
      <c r="BG86" s="716"/>
      <c r="BH86" s="787"/>
      <c r="BI86" s="489"/>
      <c r="BJ86" s="490"/>
      <c r="BK86" s="716"/>
      <c r="BL86" s="787"/>
      <c r="BM86" s="489"/>
      <c r="BN86" s="490"/>
      <c r="BO86" s="715"/>
      <c r="BP86" s="787"/>
      <c r="BQ86" s="1017">
        <v>43496</v>
      </c>
      <c r="BR86" s="1019" t="s">
        <v>1730</v>
      </c>
      <c r="BS86" s="1063">
        <v>310</v>
      </c>
      <c r="BT86" s="1062" t="s">
        <v>707</v>
      </c>
      <c r="BU86" s="1017"/>
      <c r="BV86" s="1019"/>
      <c r="BW86" s="1063"/>
      <c r="BX86" s="1062"/>
      <c r="BY86" s="1017"/>
      <c r="BZ86" s="1019"/>
      <c r="CA86" s="1063"/>
      <c r="CB86" s="1062"/>
      <c r="CC86" s="1017">
        <v>44584</v>
      </c>
      <c r="CD86" s="1019" t="s">
        <v>1731</v>
      </c>
      <c r="CE86" s="1063">
        <v>24</v>
      </c>
      <c r="CF86" s="1018" t="s">
        <v>693</v>
      </c>
      <c r="CG86" s="1017">
        <v>44953</v>
      </c>
      <c r="CH86" s="1019" t="s">
        <v>1732</v>
      </c>
      <c r="CI86" s="1063">
        <v>200</v>
      </c>
      <c r="CJ86" s="1018" t="s">
        <v>700</v>
      </c>
      <c r="CK86" s="1017"/>
      <c r="CL86" s="1019"/>
      <c r="CM86" s="1063"/>
      <c r="CN86" s="1018"/>
      <c r="CO86" s="1017"/>
      <c r="CP86" s="1019"/>
      <c r="CQ86" s="1063"/>
      <c r="CR86" s="1018"/>
      <c r="CS86" s="1017"/>
      <c r="CT86" s="1019"/>
      <c r="CU86" s="1063"/>
      <c r="CV86" s="1018"/>
    </row>
    <row r="87" spans="45:100" ht="15" customHeight="1">
      <c r="AS87" s="489">
        <v>41301</v>
      </c>
      <c r="AT87" s="490" t="s">
        <v>1733</v>
      </c>
      <c r="AU87" s="716">
        <v>40</v>
      </c>
      <c r="AV87" s="796"/>
      <c r="AW87" s="489"/>
      <c r="AX87" s="490"/>
      <c r="AY87" s="716"/>
      <c r="AZ87" s="787"/>
      <c r="BA87" s="489"/>
      <c r="BB87" s="490"/>
      <c r="BC87" s="716"/>
      <c r="BD87" s="787"/>
      <c r="BE87" s="489"/>
      <c r="BF87" s="490"/>
      <c r="BG87" s="716"/>
      <c r="BH87" s="787"/>
      <c r="BI87" s="489"/>
      <c r="BJ87" s="490"/>
      <c r="BK87" s="716"/>
      <c r="BL87" s="787"/>
      <c r="BM87" s="489"/>
      <c r="BN87" s="490"/>
      <c r="BO87" s="715"/>
      <c r="BP87" s="787"/>
      <c r="BQ87" s="1017">
        <v>43496</v>
      </c>
      <c r="BR87" s="1019" t="s">
        <v>759</v>
      </c>
      <c r="BS87" s="1063">
        <v>295</v>
      </c>
      <c r="BT87" s="1062" t="s">
        <v>689</v>
      </c>
      <c r="BU87" s="1017"/>
      <c r="BV87" s="1019"/>
      <c r="BW87" s="1063"/>
      <c r="BX87" s="1062"/>
      <c r="BY87" s="1017"/>
      <c r="BZ87" s="1019"/>
      <c r="CA87" s="1063"/>
      <c r="CB87" s="1062"/>
      <c r="CC87" s="1017">
        <v>44584</v>
      </c>
      <c r="CD87" s="1019" t="s">
        <v>1734</v>
      </c>
      <c r="CE87" s="1063">
        <v>16</v>
      </c>
      <c r="CF87" s="1018" t="s">
        <v>693</v>
      </c>
      <c r="CG87" s="1017">
        <v>44953</v>
      </c>
      <c r="CH87" s="1019" t="s">
        <v>1735</v>
      </c>
      <c r="CI87" s="1063">
        <v>50</v>
      </c>
      <c r="CJ87" s="1018" t="s">
        <v>426</v>
      </c>
      <c r="CK87" s="1017"/>
      <c r="CL87" s="1019"/>
      <c r="CM87" s="1063"/>
      <c r="CN87" s="1018"/>
      <c r="CO87" s="1017"/>
      <c r="CP87" s="1019"/>
      <c r="CQ87" s="1063"/>
      <c r="CR87" s="1062"/>
      <c r="CS87" s="1017"/>
      <c r="CT87" s="1019"/>
      <c r="CU87" s="1063"/>
      <c r="CV87" s="1062"/>
    </row>
    <row r="88" spans="45:100" ht="14.1" customHeight="1">
      <c r="AS88" s="489">
        <v>41304</v>
      </c>
      <c r="AT88" s="490" t="s">
        <v>1736</v>
      </c>
      <c r="AU88" s="716">
        <v>4</v>
      </c>
      <c r="AV88" s="796"/>
      <c r="AW88" s="489"/>
      <c r="AX88" s="490"/>
      <c r="AY88" s="716"/>
      <c r="AZ88" s="796"/>
      <c r="BA88" s="489"/>
      <c r="BB88" s="490"/>
      <c r="BC88" s="716"/>
      <c r="BD88" s="796"/>
      <c r="BE88" s="489"/>
      <c r="BF88" s="490"/>
      <c r="BG88" s="716"/>
      <c r="BH88" s="787"/>
      <c r="BI88" s="489"/>
      <c r="BJ88" s="490"/>
      <c r="BK88" s="716"/>
      <c r="BL88" s="787"/>
      <c r="BM88" s="489"/>
      <c r="BN88" s="490"/>
      <c r="BO88" s="715"/>
      <c r="BP88" s="787"/>
      <c r="BQ88" s="1017"/>
      <c r="BR88" s="1019"/>
      <c r="BS88" s="1063"/>
      <c r="BT88" s="1062"/>
      <c r="BU88" s="1017"/>
      <c r="BV88" s="1019"/>
      <c r="BW88" s="1063"/>
      <c r="BX88" s="1062"/>
      <c r="BY88" s="1046"/>
      <c r="BZ88" s="1022"/>
      <c r="CA88" s="1067"/>
      <c r="CB88" s="1068"/>
      <c r="CC88" s="1017">
        <v>44585</v>
      </c>
      <c r="CD88" s="1019" t="s">
        <v>1737</v>
      </c>
      <c r="CE88" s="1063">
        <v>30</v>
      </c>
      <c r="CF88" s="1018" t="s">
        <v>693</v>
      </c>
      <c r="CG88" s="1017">
        <v>44953</v>
      </c>
      <c r="CH88" s="1019" t="s">
        <v>1738</v>
      </c>
      <c r="CI88" s="1063">
        <v>30</v>
      </c>
      <c r="CJ88" s="1018" t="s">
        <v>414</v>
      </c>
      <c r="CK88" s="1017"/>
      <c r="CL88" s="1019"/>
      <c r="CM88" s="1063"/>
      <c r="CN88" s="1018"/>
      <c r="CO88" s="1017"/>
      <c r="CP88" s="1019"/>
      <c r="CQ88" s="1063"/>
      <c r="CR88" s="1062"/>
      <c r="CS88" s="1017"/>
      <c r="CT88" s="1019"/>
      <c r="CU88" s="1063"/>
      <c r="CV88" s="1062"/>
    </row>
    <row r="89" spans="45:100" ht="14.1" customHeight="1">
      <c r="AS89" s="489">
        <v>41304</v>
      </c>
      <c r="AT89" s="490" t="s">
        <v>1739</v>
      </c>
      <c r="AU89" s="716">
        <v>6</v>
      </c>
      <c r="AV89" s="796"/>
      <c r="AW89" s="489"/>
      <c r="AX89" s="490"/>
      <c r="AY89" s="716"/>
      <c r="AZ89" s="796"/>
      <c r="BA89" s="489"/>
      <c r="BB89" s="490"/>
      <c r="BC89" s="716"/>
      <c r="BD89" s="796"/>
      <c r="BE89" s="489"/>
      <c r="BF89" s="490"/>
      <c r="BG89" s="716"/>
      <c r="BH89" s="796"/>
      <c r="BI89" s="489"/>
      <c r="BJ89" s="490"/>
      <c r="BK89" s="716"/>
      <c r="BL89" s="787"/>
      <c r="BM89" s="489"/>
      <c r="BN89" s="490"/>
      <c r="BO89" s="715"/>
      <c r="BP89" s="787"/>
      <c r="BQ89" s="1017"/>
      <c r="BR89" s="1019"/>
      <c r="BS89" s="1063"/>
      <c r="BT89" s="1062"/>
      <c r="BU89" s="1017"/>
      <c r="BV89" s="1019"/>
      <c r="BW89" s="1063"/>
      <c r="BX89" s="1062"/>
      <c r="BY89" s="1024"/>
      <c r="BZ89" s="1025"/>
      <c r="CA89" s="1069"/>
      <c r="CB89" s="1070"/>
      <c r="CC89" s="1017">
        <v>44585</v>
      </c>
      <c r="CD89" s="1019" t="s">
        <v>1740</v>
      </c>
      <c r="CE89" s="1063">
        <v>40</v>
      </c>
      <c r="CF89" s="1018" t="s">
        <v>712</v>
      </c>
      <c r="CG89" s="1017">
        <v>44953</v>
      </c>
      <c r="CH89" s="1019" t="s">
        <v>1741</v>
      </c>
      <c r="CI89" s="1063">
        <v>8</v>
      </c>
      <c r="CJ89" s="1018" t="s">
        <v>414</v>
      </c>
      <c r="CK89" s="1017"/>
      <c r="CL89" s="1019"/>
      <c r="CM89" s="1063"/>
      <c r="CN89" s="1062"/>
      <c r="CO89" s="1017"/>
      <c r="CP89" s="1019"/>
      <c r="CQ89" s="1063"/>
      <c r="CR89" s="1062"/>
      <c r="CS89" s="1017"/>
      <c r="CT89" s="1019"/>
      <c r="CU89" s="1063"/>
      <c r="CV89" s="1062"/>
    </row>
    <row r="90" spans="45:100" ht="14.1" customHeight="1">
      <c r="AS90" s="489">
        <v>41304</v>
      </c>
      <c r="AT90" s="490" t="s">
        <v>1742</v>
      </c>
      <c r="AU90" s="716">
        <v>6</v>
      </c>
      <c r="AV90" s="796"/>
      <c r="AW90" s="489"/>
      <c r="AX90" s="490"/>
      <c r="AY90" s="716"/>
      <c r="AZ90" s="796"/>
      <c r="BA90" s="489"/>
      <c r="BB90" s="490"/>
      <c r="BC90" s="716"/>
      <c r="BD90" s="796"/>
      <c r="BE90" s="489"/>
      <c r="BF90" s="490"/>
      <c r="BG90" s="716"/>
      <c r="BH90" s="796"/>
      <c r="BI90" s="489"/>
      <c r="BJ90" s="490"/>
      <c r="BK90" s="716"/>
      <c r="BL90" s="787"/>
      <c r="BM90" s="489"/>
      <c r="BN90" s="490"/>
      <c r="BO90" s="715"/>
      <c r="BP90" s="787"/>
      <c r="BQ90" s="1017"/>
      <c r="BR90" s="1019"/>
      <c r="BS90" s="1063"/>
      <c r="BT90" s="1062"/>
      <c r="BU90" s="1017"/>
      <c r="BV90" s="1019"/>
      <c r="BW90" s="1063"/>
      <c r="BX90" s="1062"/>
      <c r="BY90" s="1071"/>
      <c r="BZ90" s="1029"/>
      <c r="CA90" s="1072"/>
      <c r="CB90" s="1073"/>
      <c r="CC90" s="1017">
        <v>44588</v>
      </c>
      <c r="CD90" s="1019" t="s">
        <v>1743</v>
      </c>
      <c r="CE90" s="1063">
        <v>480</v>
      </c>
      <c r="CF90" s="1018" t="s">
        <v>695</v>
      </c>
      <c r="CG90" s="1017">
        <v>44953</v>
      </c>
      <c r="CH90" s="1019" t="s">
        <v>1744</v>
      </c>
      <c r="CI90" s="1063">
        <v>16</v>
      </c>
      <c r="CJ90" s="1018" t="s">
        <v>414</v>
      </c>
      <c r="CK90" s="1017"/>
      <c r="CL90" s="1019"/>
      <c r="CM90" s="1063"/>
      <c r="CN90" s="1062"/>
      <c r="CO90" s="1046"/>
      <c r="CP90" s="1022"/>
      <c r="CQ90" s="1067"/>
      <c r="CR90" s="1068"/>
      <c r="CS90" s="1046"/>
      <c r="CT90" s="1022"/>
      <c r="CU90" s="1067"/>
      <c r="CV90" s="1068"/>
    </row>
    <row r="91" spans="45:100" ht="14.1" customHeight="1">
      <c r="AS91" s="489">
        <v>41305</v>
      </c>
      <c r="AT91" s="490" t="s">
        <v>1288</v>
      </c>
      <c r="AU91" s="716">
        <v>11</v>
      </c>
      <c r="AV91" s="796"/>
      <c r="AW91" s="489"/>
      <c r="AX91" s="490"/>
      <c r="AY91" s="716"/>
      <c r="AZ91" s="796"/>
      <c r="BA91" s="489"/>
      <c r="BB91" s="490"/>
      <c r="BC91" s="716"/>
      <c r="BD91" s="796"/>
      <c r="BE91" s="489"/>
      <c r="BF91" s="490"/>
      <c r="BG91" s="716"/>
      <c r="BH91" s="796"/>
      <c r="BI91" s="489"/>
      <c r="BJ91" s="490"/>
      <c r="BK91" s="716"/>
      <c r="BL91" s="787"/>
      <c r="BM91" s="489"/>
      <c r="BN91" s="490"/>
      <c r="BO91" s="715"/>
      <c r="BP91" s="787"/>
      <c r="BQ91" s="1017"/>
      <c r="BR91" s="1019"/>
      <c r="BS91" s="1063"/>
      <c r="BT91" s="1062"/>
      <c r="BU91" s="1017"/>
      <c r="BV91" s="1019"/>
      <c r="BW91" s="1063"/>
      <c r="BX91" s="1062"/>
      <c r="BY91" s="1074"/>
      <c r="BZ91" s="1074"/>
      <c r="CA91" s="1075"/>
      <c r="CB91" s="1076"/>
      <c r="CC91" s="1017">
        <v>44588</v>
      </c>
      <c r="CD91" s="1019" t="s">
        <v>1745</v>
      </c>
      <c r="CE91" s="1063">
        <v>4</v>
      </c>
      <c r="CF91" s="1018" t="s">
        <v>692</v>
      </c>
      <c r="CG91" s="1017">
        <v>44953</v>
      </c>
      <c r="CH91" s="1019" t="s">
        <v>1746</v>
      </c>
      <c r="CI91" s="1063">
        <v>16</v>
      </c>
      <c r="CJ91" s="1018" t="s">
        <v>414</v>
      </c>
      <c r="CK91" s="1017"/>
      <c r="CL91" s="1019"/>
      <c r="CM91" s="1063"/>
      <c r="CN91" s="1018"/>
      <c r="CO91" s="1024"/>
      <c r="CP91" s="1025"/>
      <c r="CQ91" s="1069"/>
      <c r="CR91" s="1070"/>
      <c r="CS91" s="1024"/>
      <c r="CT91" s="1025"/>
      <c r="CU91" s="1069"/>
      <c r="CV91" s="1070"/>
    </row>
    <row r="92" spans="45:100" ht="15" customHeight="1">
      <c r="AS92" s="489"/>
      <c r="AT92" s="490"/>
      <c r="AU92" s="716"/>
      <c r="AV92" s="796"/>
      <c r="AW92" s="489"/>
      <c r="AX92" s="490"/>
      <c r="AY92" s="716"/>
      <c r="AZ92" s="796"/>
      <c r="BA92" s="489"/>
      <c r="BB92" s="490"/>
      <c r="BC92" s="716"/>
      <c r="BD92" s="796"/>
      <c r="BE92" s="489"/>
      <c r="BF92" s="490"/>
      <c r="BG92" s="716"/>
      <c r="BH92" s="796"/>
      <c r="BI92" s="489"/>
      <c r="BJ92" s="490"/>
      <c r="BK92" s="716"/>
      <c r="BL92" s="796"/>
      <c r="BM92" s="489"/>
      <c r="BN92" s="490"/>
      <c r="BO92" s="715"/>
      <c r="BP92" s="787"/>
      <c r="BQ92" s="1017"/>
      <c r="BR92" s="1019"/>
      <c r="BS92" s="1063"/>
      <c r="BT92" s="1062"/>
      <c r="BU92" s="1017"/>
      <c r="BV92" s="1019"/>
      <c r="BW92" s="1063"/>
      <c r="BX92" s="1062"/>
      <c r="BY92" s="1074"/>
      <c r="BZ92" s="1074"/>
      <c r="CA92" s="1075"/>
      <c r="CB92" s="1076"/>
      <c r="CC92" s="1017">
        <v>44588</v>
      </c>
      <c r="CD92" s="1019" t="s">
        <v>1747</v>
      </c>
      <c r="CE92" s="1063">
        <v>75</v>
      </c>
      <c r="CF92" s="1018" t="s">
        <v>701</v>
      </c>
      <c r="CG92" s="1017">
        <v>44953</v>
      </c>
      <c r="CH92" s="1019" t="s">
        <v>1748</v>
      </c>
      <c r="CI92" s="1063">
        <v>16</v>
      </c>
      <c r="CJ92" s="1018" t="s">
        <v>414</v>
      </c>
      <c r="CK92" s="1017"/>
      <c r="CL92" s="1019"/>
      <c r="CM92" s="1063"/>
      <c r="CN92" s="1018"/>
      <c r="CO92" s="1071"/>
      <c r="CP92" s="1029"/>
      <c r="CQ92" s="1072"/>
      <c r="CR92" s="1073"/>
      <c r="CS92" s="1071"/>
      <c r="CT92" s="1029"/>
      <c r="CU92" s="1072"/>
      <c r="CV92" s="1073"/>
    </row>
    <row r="93" spans="45:100" ht="14.1" customHeight="1">
      <c r="AS93" s="721"/>
      <c r="AT93" s="722"/>
      <c r="AU93" s="811"/>
      <c r="AV93" s="724"/>
      <c r="AW93" s="721"/>
      <c r="AX93" s="722"/>
      <c r="AY93" s="811"/>
      <c r="AZ93" s="724"/>
      <c r="BA93" s="721"/>
      <c r="BB93" s="722"/>
      <c r="BC93" s="811"/>
      <c r="BD93" s="724"/>
      <c r="BE93" s="721"/>
      <c r="BF93" s="722"/>
      <c r="BG93" s="811"/>
      <c r="BH93" s="724"/>
      <c r="BI93" s="721"/>
      <c r="BJ93" s="722"/>
      <c r="BK93" s="811"/>
      <c r="BL93" s="724"/>
      <c r="BM93" s="721"/>
      <c r="BN93" s="722"/>
      <c r="BO93" s="813"/>
      <c r="BP93" s="724"/>
      <c r="BQ93" s="1046"/>
      <c r="BR93" s="1022"/>
      <c r="BS93" s="1067"/>
      <c r="BT93" s="1068"/>
      <c r="BU93" s="1046"/>
      <c r="BV93" s="1022"/>
      <c r="BW93" s="1067"/>
      <c r="BX93" s="1068"/>
      <c r="BY93" s="1074"/>
      <c r="BZ93" s="1074"/>
      <c r="CA93" s="1075"/>
      <c r="CB93" s="1076"/>
      <c r="CC93" s="1017">
        <v>44589</v>
      </c>
      <c r="CD93" s="1019" t="s">
        <v>1749</v>
      </c>
      <c r="CE93" s="1063">
        <v>75</v>
      </c>
      <c r="CF93" s="1018" t="s">
        <v>700</v>
      </c>
      <c r="CG93" s="1017">
        <v>44953</v>
      </c>
      <c r="CH93" s="1019" t="s">
        <v>1750</v>
      </c>
      <c r="CI93" s="1063">
        <v>13</v>
      </c>
      <c r="CJ93" s="1018" t="s">
        <v>414</v>
      </c>
      <c r="CK93" s="1017"/>
      <c r="CL93" s="1019"/>
      <c r="CM93" s="1063"/>
      <c r="CN93" s="1018"/>
      <c r="CQ93" s="740"/>
      <c r="CR93" s="739"/>
      <c r="CU93" s="740"/>
      <c r="CV93" s="739"/>
    </row>
    <row r="94" spans="45:100" ht="15" customHeight="1">
      <c r="AS94" s="725"/>
      <c r="AT94" s="726"/>
      <c r="AU94" s="812"/>
      <c r="AV94" s="733"/>
      <c r="AW94" s="725"/>
      <c r="AX94" s="726"/>
      <c r="AY94" s="812"/>
      <c r="AZ94" s="733"/>
      <c r="BA94" s="725"/>
      <c r="BB94" s="726"/>
      <c r="BC94" s="812"/>
      <c r="BD94" s="733"/>
      <c r="BE94" s="725"/>
      <c r="BF94" s="726"/>
      <c r="BG94" s="812"/>
      <c r="BH94" s="733"/>
      <c r="BI94" s="725"/>
      <c r="BJ94" s="726"/>
      <c r="BK94" s="812"/>
      <c r="BL94" s="733"/>
      <c r="BM94" s="725"/>
      <c r="BN94" s="726"/>
      <c r="BO94" s="814"/>
      <c r="BP94" s="733"/>
      <c r="BQ94" s="1024"/>
      <c r="BR94" s="1025"/>
      <c r="BS94" s="1069"/>
      <c r="BT94" s="1070"/>
      <c r="BU94" s="1024"/>
      <c r="BV94" s="1025"/>
      <c r="BW94" s="1069"/>
      <c r="BX94" s="1070"/>
      <c r="BY94" s="1074"/>
      <c r="BZ94" s="1074"/>
      <c r="CA94" s="1075"/>
      <c r="CB94" s="1076"/>
      <c r="CC94" s="1017">
        <v>44589</v>
      </c>
      <c r="CD94" s="1019" t="s">
        <v>1751</v>
      </c>
      <c r="CE94" s="1063">
        <v>60</v>
      </c>
      <c r="CF94" s="1018" t="s">
        <v>280</v>
      </c>
      <c r="CG94" s="1017">
        <v>44953</v>
      </c>
      <c r="CH94" s="1019" t="s">
        <v>872</v>
      </c>
      <c r="CI94" s="1063">
        <v>16</v>
      </c>
      <c r="CJ94" s="1018" t="s">
        <v>414</v>
      </c>
      <c r="CK94" s="1017"/>
      <c r="CL94" s="1019"/>
      <c r="CM94" s="1063"/>
      <c r="CN94" s="1062"/>
      <c r="CQ94" s="740"/>
      <c r="CR94" s="739"/>
      <c r="CU94" s="740"/>
      <c r="CV94" s="739"/>
    </row>
    <row r="95" spans="45:100" ht="15" customHeight="1">
      <c r="AS95" s="803"/>
      <c r="AT95" s="729"/>
      <c r="AU95" s="732"/>
      <c r="AV95" s="734"/>
      <c r="AW95" s="803"/>
      <c r="AX95" s="729"/>
      <c r="AY95" s="732"/>
      <c r="AZ95" s="734"/>
      <c r="BA95" s="803"/>
      <c r="BB95" s="729"/>
      <c r="BC95" s="732"/>
      <c r="BD95" s="734"/>
      <c r="BE95" s="803"/>
      <c r="BF95" s="729"/>
      <c r="BG95" s="732"/>
      <c r="BH95" s="734"/>
      <c r="BI95" s="803"/>
      <c r="BJ95" s="729"/>
      <c r="BK95" s="732"/>
      <c r="BL95" s="734"/>
      <c r="BM95" s="803"/>
      <c r="BN95" s="729"/>
      <c r="BO95" s="815"/>
      <c r="BP95" s="734"/>
      <c r="BQ95" s="1071"/>
      <c r="BR95" s="1029"/>
      <c r="BS95" s="1072"/>
      <c r="BT95" s="1073"/>
      <c r="BU95" s="1071"/>
      <c r="BV95" s="1029"/>
      <c r="BW95" s="1072"/>
      <c r="BX95" s="1073"/>
      <c r="BY95" s="1074"/>
      <c r="BZ95" s="1074"/>
      <c r="CA95" s="1075"/>
      <c r="CB95" s="1076"/>
      <c r="CC95" s="1017">
        <v>44589</v>
      </c>
      <c r="CD95" s="1019" t="s">
        <v>1752</v>
      </c>
      <c r="CE95" s="1063">
        <v>25</v>
      </c>
      <c r="CF95" s="1018" t="s">
        <v>280</v>
      </c>
      <c r="CG95" s="1017">
        <v>44953</v>
      </c>
      <c r="CH95" s="1019" t="s">
        <v>772</v>
      </c>
      <c r="CI95" s="1063">
        <v>20</v>
      </c>
      <c r="CJ95" s="1018" t="s">
        <v>414</v>
      </c>
      <c r="CK95" s="1017"/>
      <c r="CL95" s="1019"/>
      <c r="CM95" s="1063"/>
      <c r="CN95" s="1062"/>
      <c r="CQ95" s="740"/>
      <c r="CR95" s="739"/>
      <c r="CU95" s="740"/>
      <c r="CV95" s="739"/>
    </row>
    <row r="96" spans="45:100" ht="14.1" customHeight="1">
      <c r="BQ96" s="1074"/>
      <c r="BR96" s="1074"/>
      <c r="BS96" s="1075"/>
      <c r="BT96" s="1076"/>
      <c r="BU96" s="1074"/>
      <c r="BV96" s="1074"/>
      <c r="BW96" s="1075"/>
      <c r="BX96" s="1076"/>
      <c r="BY96" s="1074"/>
      <c r="BZ96" s="1074"/>
      <c r="CA96" s="1075"/>
      <c r="CB96" s="1076"/>
      <c r="CC96" s="1017">
        <v>44590</v>
      </c>
      <c r="CD96" s="1019" t="s">
        <v>1753</v>
      </c>
      <c r="CE96" s="1063">
        <v>12</v>
      </c>
      <c r="CF96" s="1018" t="s">
        <v>693</v>
      </c>
      <c r="CG96" s="1017">
        <v>44953</v>
      </c>
      <c r="CH96" s="1019" t="s">
        <v>843</v>
      </c>
      <c r="CI96" s="1063">
        <v>36</v>
      </c>
      <c r="CJ96" s="1018" t="s">
        <v>414</v>
      </c>
      <c r="CK96" s="1017"/>
      <c r="CL96" s="1019"/>
      <c r="CM96" s="1063"/>
      <c r="CN96" s="1062"/>
      <c r="CQ96" s="740"/>
      <c r="CR96" s="739"/>
      <c r="CU96" s="740"/>
      <c r="CV96" s="739"/>
    </row>
    <row r="97" spans="69:100" ht="15" customHeight="1">
      <c r="BQ97" s="1074"/>
      <c r="BR97" s="1074"/>
      <c r="BS97" s="1075"/>
      <c r="BT97" s="1076"/>
      <c r="BU97" s="1074"/>
      <c r="BV97" s="1074"/>
      <c r="BW97" s="1075"/>
      <c r="BX97" s="1076"/>
      <c r="BY97" s="1074"/>
      <c r="BZ97" s="1074"/>
      <c r="CA97" s="1075"/>
      <c r="CB97" s="1076"/>
      <c r="CC97" s="1017">
        <v>44590</v>
      </c>
      <c r="CD97" s="1019" t="s">
        <v>1754</v>
      </c>
      <c r="CE97" s="1063">
        <v>68</v>
      </c>
      <c r="CF97" s="1018" t="s">
        <v>693</v>
      </c>
      <c r="CG97" s="1017">
        <v>44955</v>
      </c>
      <c r="CH97" s="1019" t="s">
        <v>1755</v>
      </c>
      <c r="CI97" s="1063">
        <v>45</v>
      </c>
      <c r="CJ97" s="1018" t="s">
        <v>693</v>
      </c>
      <c r="CK97" s="1046"/>
      <c r="CL97" s="1022"/>
      <c r="CM97" s="1067"/>
      <c r="CN97" s="1068"/>
      <c r="CQ97" s="740"/>
      <c r="CR97" s="739"/>
      <c r="CU97" s="740"/>
      <c r="CV97" s="739"/>
    </row>
    <row r="98" spans="69:100" ht="15" customHeight="1">
      <c r="BQ98" s="1074"/>
      <c r="BR98" s="1074"/>
      <c r="BS98" s="1075"/>
      <c r="BT98" s="1076"/>
      <c r="BU98" s="1074"/>
      <c r="BV98" s="1074"/>
      <c r="BW98" s="1075"/>
      <c r="BX98" s="1076"/>
      <c r="BY98" s="1074"/>
      <c r="BZ98" s="1074"/>
      <c r="CA98" s="1075"/>
      <c r="CB98" s="1076"/>
      <c r="CC98" s="1017">
        <v>44590</v>
      </c>
      <c r="CD98" s="1019" t="s">
        <v>845</v>
      </c>
      <c r="CE98" s="1063">
        <v>25</v>
      </c>
      <c r="CF98" s="1018" t="s">
        <v>414</v>
      </c>
      <c r="CG98" s="1017">
        <v>44955</v>
      </c>
      <c r="CH98" s="1019" t="s">
        <v>1756</v>
      </c>
      <c r="CI98" s="1063">
        <v>200</v>
      </c>
      <c r="CJ98" s="1018" t="s">
        <v>689</v>
      </c>
      <c r="CK98" s="1024"/>
      <c r="CL98" s="1025"/>
      <c r="CM98" s="1069"/>
      <c r="CN98" s="1070"/>
      <c r="CQ98" s="740"/>
      <c r="CR98" s="739"/>
      <c r="CU98" s="740"/>
      <c r="CV98" s="739"/>
    </row>
    <row r="99" spans="69:100" ht="14.1" customHeight="1">
      <c r="BQ99" s="1074"/>
      <c r="BR99" s="1074"/>
      <c r="BS99" s="1075"/>
      <c r="BT99" s="1076"/>
      <c r="BU99" s="1074"/>
      <c r="BV99" s="1074"/>
      <c r="BW99" s="1075"/>
      <c r="BX99" s="1076"/>
      <c r="BY99" s="1074"/>
      <c r="BZ99" s="1074"/>
      <c r="CA99" s="1075"/>
      <c r="CB99" s="1076"/>
      <c r="CC99" s="1017">
        <v>44590</v>
      </c>
      <c r="CD99" s="1019" t="s">
        <v>772</v>
      </c>
      <c r="CE99" s="1063">
        <v>38</v>
      </c>
      <c r="CF99" s="1018" t="s">
        <v>414</v>
      </c>
      <c r="CG99" s="1017">
        <v>44955</v>
      </c>
      <c r="CH99" s="1019" t="s">
        <v>1757</v>
      </c>
      <c r="CI99" s="1063">
        <v>41</v>
      </c>
      <c r="CJ99" s="1018" t="s">
        <v>692</v>
      </c>
      <c r="CK99" s="1071"/>
      <c r="CL99" s="1029"/>
      <c r="CM99" s="1072"/>
      <c r="CN99" s="1073"/>
      <c r="CQ99" s="740"/>
      <c r="CR99" s="739"/>
      <c r="CU99" s="740"/>
      <c r="CV99" s="739"/>
    </row>
    <row r="100" spans="69:100" ht="15" customHeight="1">
      <c r="BQ100" s="1074"/>
      <c r="BR100" s="1074"/>
      <c r="BS100" s="1075"/>
      <c r="BT100" s="1076"/>
      <c r="BU100" s="1074"/>
      <c r="BV100" s="1074"/>
      <c r="BW100" s="1075"/>
      <c r="BX100" s="1076"/>
      <c r="BY100" s="1074"/>
      <c r="BZ100" s="1074"/>
      <c r="CA100" s="1075"/>
      <c r="CB100" s="1076"/>
      <c r="CC100" s="1017">
        <v>44590</v>
      </c>
      <c r="CD100" s="1019" t="s">
        <v>797</v>
      </c>
      <c r="CE100" s="1063">
        <v>81</v>
      </c>
      <c r="CF100" s="1018" t="s">
        <v>410</v>
      </c>
      <c r="CG100" s="1017">
        <v>44956</v>
      </c>
      <c r="CH100" s="1019" t="s">
        <v>1758</v>
      </c>
      <c r="CI100" s="1063">
        <v>110</v>
      </c>
      <c r="CJ100" s="1018" t="s">
        <v>700</v>
      </c>
      <c r="CQ100" s="740"/>
      <c r="CR100" s="739"/>
      <c r="CU100" s="740"/>
      <c r="CV100" s="739"/>
    </row>
    <row r="101" spans="69:100" ht="15" customHeight="1">
      <c r="BQ101" s="1074"/>
      <c r="BR101" s="1074"/>
      <c r="BS101" s="1075"/>
      <c r="BT101" s="1076"/>
      <c r="BU101" s="1074"/>
      <c r="BV101" s="1074"/>
      <c r="BW101" s="1075"/>
      <c r="BX101" s="1076"/>
      <c r="BY101" s="1074"/>
      <c r="BZ101" s="1074"/>
      <c r="CA101" s="1075"/>
      <c r="CB101" s="1076"/>
      <c r="CC101" s="1017">
        <v>44590</v>
      </c>
      <c r="CD101" s="1019" t="s">
        <v>843</v>
      </c>
      <c r="CE101" s="1063">
        <v>31</v>
      </c>
      <c r="CF101" s="1018" t="s">
        <v>414</v>
      </c>
      <c r="CG101" s="1017">
        <v>44956</v>
      </c>
      <c r="CH101" s="1019" t="s">
        <v>1759</v>
      </c>
      <c r="CI101" s="1063">
        <v>70</v>
      </c>
      <c r="CJ101" s="1018" t="s">
        <v>700</v>
      </c>
      <c r="CQ101" s="740"/>
      <c r="CR101" s="739"/>
      <c r="CU101" s="740"/>
      <c r="CV101" s="739"/>
    </row>
    <row r="102" spans="69:100" ht="14.1" customHeight="1">
      <c r="BQ102" s="1074"/>
      <c r="BR102" s="1074"/>
      <c r="BS102" s="1075"/>
      <c r="BT102" s="1076"/>
      <c r="BU102" s="1074"/>
      <c r="BV102" s="1074"/>
      <c r="BW102" s="1075"/>
      <c r="BX102" s="1076"/>
      <c r="BY102" s="1074"/>
      <c r="BZ102" s="1074"/>
      <c r="CA102" s="1075"/>
      <c r="CB102" s="1076"/>
      <c r="CC102" s="1017">
        <v>44590</v>
      </c>
      <c r="CD102" s="1019" t="s">
        <v>1760</v>
      </c>
      <c r="CE102" s="1063">
        <v>431</v>
      </c>
      <c r="CF102" s="1018" t="s">
        <v>284</v>
      </c>
      <c r="CG102" s="1017">
        <v>44956</v>
      </c>
      <c r="CH102" s="1019" t="s">
        <v>1761</v>
      </c>
      <c r="CI102" s="1063">
        <v>33</v>
      </c>
      <c r="CJ102" s="1018" t="s">
        <v>700</v>
      </c>
      <c r="CQ102" s="740"/>
      <c r="CR102" s="739"/>
      <c r="CU102" s="740"/>
      <c r="CV102" s="739"/>
    </row>
    <row r="103" spans="69:100" ht="14.1" customHeight="1">
      <c r="BQ103" s="1074"/>
      <c r="BR103" s="1074"/>
      <c r="BS103" s="1075"/>
      <c r="BT103" s="1076"/>
      <c r="BU103" s="1074"/>
      <c r="BV103" s="1074"/>
      <c r="BW103" s="1075"/>
      <c r="BX103" s="1076"/>
      <c r="BY103" s="1074"/>
      <c r="BZ103" s="1074"/>
      <c r="CA103" s="1075"/>
      <c r="CB103" s="1076"/>
      <c r="CC103" s="1017">
        <v>44590</v>
      </c>
      <c r="CD103" s="1019" t="s">
        <v>1762</v>
      </c>
      <c r="CE103" s="1063">
        <v>46</v>
      </c>
      <c r="CF103" s="1018" t="s">
        <v>701</v>
      </c>
      <c r="CG103" s="1017">
        <v>44956</v>
      </c>
      <c r="CH103" s="1019" t="s">
        <v>1763</v>
      </c>
      <c r="CI103" s="1063">
        <v>33</v>
      </c>
      <c r="CJ103" s="1062" t="s">
        <v>414</v>
      </c>
      <c r="CQ103" s="740"/>
      <c r="CR103" s="739"/>
      <c r="CU103" s="740"/>
      <c r="CV103" s="739"/>
    </row>
    <row r="104" spans="69:100" ht="14.1" customHeight="1">
      <c r="BQ104" s="1074"/>
      <c r="BR104" s="1074"/>
      <c r="BS104" s="1075"/>
      <c r="BT104" s="1076"/>
      <c r="BU104" s="1074"/>
      <c r="BV104" s="1074"/>
      <c r="BW104" s="1075"/>
      <c r="BX104" s="1076"/>
      <c r="BY104" s="1074"/>
      <c r="BZ104" s="1074"/>
      <c r="CA104" s="1075"/>
      <c r="CB104" s="1076"/>
      <c r="CC104" s="1017">
        <v>44590</v>
      </c>
      <c r="CD104" s="1019" t="s">
        <v>1764</v>
      </c>
      <c r="CE104" s="1063">
        <v>36</v>
      </c>
      <c r="CF104" s="1018" t="s">
        <v>701</v>
      </c>
      <c r="CG104" s="1017">
        <v>44956</v>
      </c>
      <c r="CH104" s="1019" t="s">
        <v>1755</v>
      </c>
      <c r="CI104" s="1063"/>
      <c r="CJ104" s="1062"/>
      <c r="CQ104" s="740"/>
      <c r="CR104" s="739"/>
      <c r="CU104" s="740"/>
      <c r="CV104" s="739"/>
    </row>
    <row r="105" spans="69:100" ht="14.1" customHeight="1">
      <c r="BQ105" s="1074"/>
      <c r="BR105" s="1074"/>
      <c r="BS105" s="1075"/>
      <c r="BT105" s="1076"/>
      <c r="BU105" s="1074"/>
      <c r="BV105" s="1074"/>
      <c r="BW105" s="1075"/>
      <c r="BX105" s="1076"/>
      <c r="BY105" s="1074"/>
      <c r="BZ105" s="1074"/>
      <c r="CA105" s="1075"/>
      <c r="CB105" s="1076"/>
      <c r="CC105" s="1017">
        <v>44590</v>
      </c>
      <c r="CD105" s="1019" t="s">
        <v>1765</v>
      </c>
      <c r="CE105" s="1063">
        <v>13</v>
      </c>
      <c r="CF105" s="1018" t="s">
        <v>414</v>
      </c>
      <c r="CG105" s="1017"/>
      <c r="CH105" s="1019"/>
      <c r="CI105" s="1063"/>
      <c r="CJ105" s="1018"/>
      <c r="CQ105" s="740"/>
      <c r="CR105" s="739"/>
      <c r="CU105" s="740"/>
      <c r="CV105" s="739"/>
    </row>
    <row r="106" spans="69:100" ht="14.1" customHeight="1">
      <c r="BQ106" s="1074"/>
      <c r="BR106" s="1074"/>
      <c r="BS106" s="1075"/>
      <c r="BT106" s="1076"/>
      <c r="BU106" s="1074"/>
      <c r="BV106" s="1074"/>
      <c r="BW106" s="1075"/>
      <c r="BX106" s="1076"/>
      <c r="BY106" s="1074"/>
      <c r="BZ106" s="1074"/>
      <c r="CA106" s="1075"/>
      <c r="CB106" s="1076"/>
      <c r="CC106" s="1017">
        <v>44590</v>
      </c>
      <c r="CD106" s="1019" t="s">
        <v>1766</v>
      </c>
      <c r="CE106" s="1063">
        <v>2300</v>
      </c>
      <c r="CF106" s="1062" t="s">
        <v>674</v>
      </c>
      <c r="CG106" s="1017"/>
      <c r="CH106" s="1019"/>
      <c r="CI106" s="1063"/>
      <c r="CJ106" s="1018"/>
    </row>
    <row r="107" spans="69:100" ht="14.1" customHeight="1">
      <c r="BQ107" s="1074"/>
      <c r="BR107" s="1074"/>
      <c r="BS107" s="1075"/>
      <c r="BT107" s="1076"/>
      <c r="BU107" s="1074"/>
      <c r="BV107" s="1074"/>
      <c r="BW107" s="1075"/>
      <c r="BX107" s="1076"/>
      <c r="BY107" s="1074"/>
      <c r="BZ107" s="1074"/>
      <c r="CA107" s="1075"/>
      <c r="CB107" s="1076"/>
      <c r="CC107" s="1017">
        <v>44590</v>
      </c>
      <c r="CD107" s="1019" t="s">
        <v>1767</v>
      </c>
      <c r="CE107" s="1063">
        <v>32</v>
      </c>
      <c r="CF107" s="1062" t="s">
        <v>280</v>
      </c>
      <c r="CG107" s="1017"/>
      <c r="CH107" s="1019"/>
      <c r="CI107" s="1063"/>
      <c r="CJ107" s="1018"/>
    </row>
    <row r="108" spans="69:100" ht="14.1" customHeight="1">
      <c r="BQ108" s="1074"/>
      <c r="BR108" s="1074"/>
      <c r="BS108" s="1075"/>
      <c r="BT108" s="1076"/>
      <c r="BU108" s="1074"/>
      <c r="BV108" s="1074"/>
      <c r="BW108" s="1075"/>
      <c r="BX108" s="1076"/>
      <c r="BY108" s="1074"/>
      <c r="BZ108" s="1074"/>
      <c r="CA108" s="1075"/>
      <c r="CB108" s="1076"/>
      <c r="CC108" s="1017">
        <v>44590</v>
      </c>
      <c r="CD108" s="1019" t="s">
        <v>1768</v>
      </c>
      <c r="CE108" s="1063" t="s">
        <v>37</v>
      </c>
      <c r="CF108" s="1018" t="s">
        <v>414</v>
      </c>
      <c r="CG108" s="1017"/>
      <c r="CH108" s="1019"/>
      <c r="CI108" s="1063"/>
      <c r="CJ108" s="1062"/>
    </row>
    <row r="109" spans="69:100" ht="14.1" customHeight="1">
      <c r="BQ109" s="1074"/>
      <c r="BR109" s="1074"/>
      <c r="BS109" s="1075"/>
      <c r="BT109" s="1076"/>
      <c r="BU109" s="1074"/>
      <c r="BV109" s="1074"/>
      <c r="BW109" s="1075"/>
      <c r="BX109" s="1076"/>
      <c r="BY109" s="1074"/>
      <c r="BZ109" s="1074"/>
      <c r="CA109" s="1075"/>
      <c r="CB109" s="1076"/>
      <c r="CC109" s="1017">
        <v>44590</v>
      </c>
      <c r="CD109" s="1019" t="s">
        <v>1769</v>
      </c>
      <c r="CE109" s="1063">
        <v>9</v>
      </c>
      <c r="CF109" s="1018" t="s">
        <v>693</v>
      </c>
      <c r="CG109" s="1017"/>
      <c r="CH109" s="1019"/>
      <c r="CI109" s="1063"/>
      <c r="CJ109" s="1062"/>
    </row>
    <row r="110" spans="69:100" ht="14.1" customHeight="1">
      <c r="BQ110" s="1074"/>
      <c r="BR110" s="1074"/>
      <c r="BS110" s="1075"/>
      <c r="BT110" s="1076"/>
      <c r="BU110" s="1074"/>
      <c r="BV110" s="1074"/>
      <c r="BW110" s="1075"/>
      <c r="BX110" s="1076"/>
      <c r="BY110" s="1074"/>
      <c r="BZ110" s="1074"/>
      <c r="CA110" s="1075"/>
      <c r="CB110" s="1076"/>
      <c r="CC110" s="1017">
        <v>44591</v>
      </c>
      <c r="CD110" s="1019" t="s">
        <v>872</v>
      </c>
      <c r="CE110" s="1063">
        <v>9</v>
      </c>
      <c r="CF110" s="1018" t="s">
        <v>414</v>
      </c>
      <c r="CG110" s="1017"/>
      <c r="CH110" s="1019"/>
      <c r="CI110" s="1063"/>
      <c r="CJ110" s="1062"/>
    </row>
    <row r="111" spans="69:100" ht="14.1" customHeight="1">
      <c r="BQ111" s="1074"/>
      <c r="BR111" s="1074"/>
      <c r="BS111" s="1075"/>
      <c r="BT111" s="1076"/>
      <c r="BU111" s="1074"/>
      <c r="BV111" s="1074"/>
      <c r="BW111" s="1075"/>
      <c r="BX111" s="1076"/>
      <c r="BY111" s="1074"/>
      <c r="BZ111" s="1074"/>
      <c r="CA111" s="1075"/>
      <c r="CB111" s="1076"/>
      <c r="CC111" s="1017">
        <v>44591</v>
      </c>
      <c r="CD111" s="1019" t="s">
        <v>1770</v>
      </c>
      <c r="CE111" s="1063">
        <v>49</v>
      </c>
      <c r="CF111" s="1062" t="s">
        <v>280</v>
      </c>
      <c r="CG111" s="1046"/>
      <c r="CH111" s="1022"/>
      <c r="CI111" s="1067"/>
      <c r="CJ111" s="1068"/>
    </row>
    <row r="112" spans="69:100" ht="14.1" customHeight="1">
      <c r="BQ112" s="1074"/>
      <c r="BR112" s="1074"/>
      <c r="BS112" s="1075"/>
      <c r="BT112" s="1076"/>
      <c r="BU112" s="1074"/>
      <c r="BV112" s="1074"/>
      <c r="BW112" s="1075"/>
      <c r="BX112" s="1076"/>
      <c r="BY112" s="1074"/>
      <c r="BZ112" s="1074"/>
      <c r="CA112" s="1075"/>
      <c r="CB112" s="1076"/>
      <c r="CC112" s="1017">
        <v>44592</v>
      </c>
      <c r="CD112" s="1019" t="s">
        <v>1771</v>
      </c>
      <c r="CE112" s="1063"/>
      <c r="CF112" s="1062"/>
      <c r="CG112" s="1024"/>
      <c r="CH112" s="1025"/>
      <c r="CI112" s="1069"/>
      <c r="CJ112" s="1070"/>
    </row>
    <row r="113" spans="69:88" ht="14.1" customHeight="1">
      <c r="BQ113" s="1074"/>
      <c r="BR113" s="1074"/>
      <c r="BS113" s="1075"/>
      <c r="BT113" s="1076"/>
      <c r="BU113" s="1074"/>
      <c r="BV113" s="1074"/>
      <c r="BW113" s="1075"/>
      <c r="BX113" s="1076"/>
      <c r="BY113" s="1074"/>
      <c r="BZ113" s="1074"/>
      <c r="CA113" s="1075"/>
      <c r="CB113" s="1076"/>
      <c r="CC113" s="1017">
        <v>44592</v>
      </c>
      <c r="CD113" s="1019" t="s">
        <v>1772</v>
      </c>
      <c r="CE113" s="1063"/>
      <c r="CF113" s="1062"/>
      <c r="CG113" s="1071"/>
      <c r="CH113" s="1029"/>
      <c r="CI113" s="1072"/>
      <c r="CJ113" s="1073"/>
    </row>
    <row r="114" spans="69:88">
      <c r="CC114" s="1046"/>
      <c r="CD114" s="1022"/>
      <c r="CE114" s="1067"/>
      <c r="CF114" s="1068"/>
    </row>
    <row r="115" spans="69:88">
      <c r="CC115" s="1024"/>
      <c r="CD115" s="1025"/>
      <c r="CE115" s="1069"/>
      <c r="CF115" s="1070"/>
    </row>
    <row r="116" spans="69:88">
      <c r="CC116" s="1071"/>
      <c r="CD116" s="1029"/>
      <c r="CE116" s="1072"/>
      <c r="CF116" s="1073"/>
    </row>
  </sheetData>
  <phoneticPr fontId="4" type="noConversion"/>
  <hyperlinks>
    <hyperlink ref="Z2" location="Monthly!A1" display="Jan' 08" xr:uid="{00000000-0004-0000-0800-000000000000}"/>
    <hyperlink ref="AD2" location="Monthly!A1" display="Jan' 09" xr:uid="{00000000-0004-0000-0800-000001000000}"/>
    <hyperlink ref="AH2" location="Monthly!A1" display="Jan' 10" xr:uid="{00000000-0004-0000-0800-000002000000}"/>
    <hyperlink ref="AL2" location="Monthly!A1" display="Jan' 11" xr:uid="{00000000-0004-0000-0800-000003000000}"/>
    <hyperlink ref="AP2" location="Monthly!A1" display="Jan' 11" xr:uid="{00000000-0004-0000-0800-000004000000}"/>
    <hyperlink ref="AT2" location="Monthly!A1" display="Jan' 11" xr:uid="{00000000-0004-0000-0800-000005000000}"/>
    <hyperlink ref="AX2" location="Monthly!A1" display="Jan' 11" xr:uid="{00000000-0004-0000-0800-000006000000}"/>
    <hyperlink ref="BB2" location="Monthly!A1" display="Jan' 11" xr:uid="{00000000-0004-0000-0800-000007000000}"/>
    <hyperlink ref="BF2" location="Monthly!A1" display="Jan' 11" xr:uid="{00000000-0004-0000-0800-000008000000}"/>
    <hyperlink ref="BJ2" location="Monthly!A1" display="Jan' 11" xr:uid="{00000000-0004-0000-0800-000009000000}"/>
    <hyperlink ref="BN2" location="Monthly!A1" display="Jan' 11" xr:uid="{00000000-0004-0000-0800-00000A000000}"/>
    <hyperlink ref="BR2" location="Monthly!A1" display="Jan' 11" xr:uid="{00000000-0004-0000-0800-00000B000000}"/>
    <hyperlink ref="BV2" location="Monthly!A1" display="Jan' 11" xr:uid="{26DF9C71-17BB-4B46-9ABF-9D5C87CD1F88}"/>
    <hyperlink ref="BZ2" location="Monthly!A1" display="Jan' 11" xr:uid="{6F50C3FB-3A6B-C943-9A54-6AAFF1282819}"/>
    <hyperlink ref="CD2" location="Monthly!A1" display="Jan' 11" xr:uid="{F9AC7050-9208-5747-B233-44A9452B167D}"/>
    <hyperlink ref="CH2" location="Monthly!A1" display="Jan' 11" xr:uid="{8C497A96-405A-4989-9A44-8AC577F6C32F}"/>
    <hyperlink ref="CL2" location="Monthly!A1" display="Jan' 11" xr:uid="{DAF68D96-08EE-4C94-BC31-0784D626C4A6}"/>
    <hyperlink ref="CP2" location="Monthly!A1" display="Jan' 11" xr:uid="{D43D059A-D714-4884-A15F-8AFB7FA699E6}"/>
    <hyperlink ref="CT2" location="Monthly!A1" display="Jan' 11" xr:uid="{67ECEACE-F58F-4CCA-8809-8B7A85F8F6C2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Monthly!$V$556:$V$584</xm:f>
          </x14:formula1>
          <xm:sqref>BT6:BT92 BX6:BX92 CB6:CB87 CF6:CF113 CJ6:CJ110 CN6:CN96 CR6:CR89 CV6:CV89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indexed="11"/>
  </sheetPr>
  <dimension ref="A3:CU1048302"/>
  <sheetViews>
    <sheetView topLeftCell="CL37" zoomScale="167" zoomScaleNormal="167" workbookViewId="0">
      <selection activeCell="CQ19" sqref="CQ19"/>
    </sheetView>
  </sheetViews>
  <sheetFormatPr defaultColWidth="8.85546875" defaultRowHeight="15"/>
  <cols>
    <col min="1" max="1" width="8.28515625" style="304" customWidth="1"/>
    <col min="2" max="2" width="28" style="304" customWidth="1"/>
    <col min="3" max="3" width="12.28515625" style="304" customWidth="1"/>
    <col min="4" max="4" width="11.42578125" style="304" customWidth="1"/>
    <col min="5" max="5" width="8.85546875" style="304"/>
    <col min="6" max="6" width="33.140625" style="304" customWidth="1"/>
    <col min="7" max="7" width="13.42578125" style="304" customWidth="1"/>
    <col min="8" max="8" width="14" style="304" customWidth="1"/>
    <col min="9" max="9" width="8.85546875" style="304"/>
    <col min="10" max="10" width="26.85546875" style="304" customWidth="1"/>
    <col min="11" max="12" width="8.85546875" style="304"/>
    <col min="13" max="13" width="9.85546875" style="304" customWidth="1"/>
    <col min="14" max="14" width="48" style="304" customWidth="1"/>
    <col min="15" max="16" width="8.85546875" style="304"/>
    <col min="17" max="17" width="8.85546875" style="304" customWidth="1"/>
    <col min="18" max="18" width="43.140625" style="304" customWidth="1"/>
    <col min="19" max="19" width="15.28515625" style="304" customWidth="1"/>
    <col min="20" max="21" width="8.85546875" style="304"/>
    <col min="22" max="22" width="35.42578125" style="304" customWidth="1"/>
    <col min="23" max="25" width="8.85546875" style="304"/>
    <col min="26" max="26" width="35.42578125" style="304" customWidth="1"/>
    <col min="27" max="29" width="8.85546875" style="304"/>
    <col min="30" max="30" width="43.42578125" style="304" customWidth="1"/>
    <col min="31" max="33" width="8.85546875" style="304"/>
    <col min="34" max="34" width="42.42578125" style="304" customWidth="1"/>
    <col min="35" max="37" width="8.85546875" style="304"/>
    <col min="38" max="38" width="36.28515625" style="304" customWidth="1"/>
    <col min="39" max="41" width="8.85546875" style="304"/>
    <col min="42" max="42" width="50.7109375" style="304" customWidth="1"/>
    <col min="43" max="43" width="10.140625" style="304" bestFit="1" customWidth="1"/>
    <col min="44" max="45" width="8.85546875" style="304"/>
    <col min="46" max="46" width="37.140625" style="304" customWidth="1"/>
    <col min="47" max="49" width="8.85546875" style="304"/>
    <col min="50" max="50" width="66.28515625" style="304" customWidth="1"/>
    <col min="51" max="51" width="9.140625" style="304" bestFit="1" customWidth="1"/>
    <col min="52" max="53" width="8.85546875" style="304"/>
    <col min="54" max="54" width="66.28515625" style="304" customWidth="1"/>
    <col min="55" max="56" width="9.140625" style="304" bestFit="1" customWidth="1"/>
    <col min="57" max="57" width="8.85546875" style="304"/>
    <col min="58" max="58" width="66.28515625" style="304" customWidth="1"/>
    <col min="59" max="60" width="9.140625" style="304" bestFit="1" customWidth="1"/>
    <col min="61" max="61" width="8.85546875" style="304"/>
    <col min="62" max="62" width="66.28515625" style="304" customWidth="1"/>
    <col min="63" max="64" width="9.140625" style="304" bestFit="1" customWidth="1"/>
    <col min="65" max="65" width="0" style="304" hidden="1" customWidth="1"/>
    <col min="66" max="66" width="66.28515625" style="304" hidden="1" customWidth="1"/>
    <col min="67" max="68" width="9.140625" style="304" hidden="1" customWidth="1"/>
    <col min="69" max="69" width="9" style="304" bestFit="1" customWidth="1"/>
    <col min="70" max="70" width="66.28515625" style="304" customWidth="1"/>
    <col min="71" max="71" width="9.28515625" style="304" bestFit="1" customWidth="1"/>
    <col min="72" max="72" width="15.42578125" style="305" customWidth="1"/>
    <col min="73" max="73" width="9" style="304" bestFit="1" customWidth="1"/>
    <col min="74" max="74" width="66.28515625" style="304" customWidth="1"/>
    <col min="75" max="75" width="10.28515625" style="306" bestFit="1" customWidth="1"/>
    <col min="76" max="76" width="15.42578125" style="305" customWidth="1"/>
    <col min="77" max="77" width="9" style="304" bestFit="1" customWidth="1"/>
    <col min="78" max="78" width="66.28515625" style="304" customWidth="1"/>
    <col min="79" max="79" width="10.28515625" style="306" bestFit="1" customWidth="1"/>
    <col min="80" max="80" width="15.42578125" style="305" customWidth="1"/>
    <col min="81" max="81" width="9" style="304" bestFit="1" customWidth="1"/>
    <col min="82" max="82" width="66.28515625" style="304" customWidth="1"/>
    <col min="83" max="83" width="14.140625" style="306" customWidth="1"/>
    <col min="84" max="84" width="15.42578125" style="305" customWidth="1"/>
    <col min="85" max="85" width="8.85546875" style="304"/>
    <col min="86" max="86" width="64.42578125" style="304" customWidth="1"/>
    <col min="87" max="88" width="16" style="304" customWidth="1"/>
    <col min="89" max="89" width="8.85546875" style="304"/>
    <col min="90" max="90" width="55.28515625" style="304" customWidth="1"/>
    <col min="91" max="91" width="9.7109375" style="304" bestFit="1" customWidth="1"/>
    <col min="92" max="93" width="8.85546875" style="304"/>
    <col min="94" max="94" width="50" style="304" customWidth="1"/>
    <col min="95" max="95" width="9.42578125" style="304" bestFit="1" customWidth="1"/>
    <col min="96" max="16384" width="8.85546875" style="304"/>
  </cols>
  <sheetData>
    <row r="3" spans="1:96">
      <c r="A3" s="307"/>
      <c r="B3" s="308" t="s">
        <v>1773</v>
      </c>
      <c r="C3" s="309"/>
      <c r="D3" s="307"/>
      <c r="E3" s="307"/>
      <c r="F3" s="308" t="s">
        <v>1774</v>
      </c>
      <c r="G3" s="309"/>
      <c r="H3" s="307"/>
      <c r="I3" s="307"/>
      <c r="J3" s="308" t="s">
        <v>1775</v>
      </c>
      <c r="K3" s="309"/>
      <c r="L3" s="307"/>
      <c r="M3" s="307"/>
      <c r="N3" s="308" t="s">
        <v>1776</v>
      </c>
      <c r="O3" s="309"/>
      <c r="P3" s="307"/>
      <c r="Q3" s="307"/>
      <c r="R3" s="308" t="s">
        <v>1777</v>
      </c>
      <c r="S3" s="309"/>
      <c r="T3" s="307"/>
      <c r="U3" s="307"/>
      <c r="V3" s="308" t="s">
        <v>1778</v>
      </c>
      <c r="W3" s="309"/>
      <c r="X3" s="307"/>
      <c r="Y3" s="307"/>
      <c r="Z3" s="308" t="s">
        <v>1779</v>
      </c>
      <c r="AA3" s="309"/>
      <c r="AB3" s="307"/>
      <c r="AC3" s="307"/>
      <c r="AD3" s="308" t="s">
        <v>1780</v>
      </c>
      <c r="AE3" s="309"/>
      <c r="AF3" s="307"/>
      <c r="AG3" s="307"/>
      <c r="AH3" s="308" t="s">
        <v>1781</v>
      </c>
      <c r="AI3" s="309"/>
      <c r="AJ3" s="307"/>
      <c r="AK3" s="307"/>
      <c r="AL3" s="308" t="s">
        <v>1782</v>
      </c>
      <c r="AM3" s="309"/>
      <c r="AN3" s="307"/>
      <c r="AO3" s="307"/>
      <c r="AP3" s="308" t="s">
        <v>1783</v>
      </c>
      <c r="AQ3" s="309"/>
      <c r="AR3" s="307"/>
      <c r="AS3" s="307"/>
      <c r="AT3" s="308" t="s">
        <v>1784</v>
      </c>
      <c r="AU3" s="309"/>
      <c r="AV3" s="307"/>
      <c r="AW3" s="307"/>
      <c r="AX3" s="308" t="s">
        <v>1785</v>
      </c>
      <c r="AY3" s="309"/>
      <c r="AZ3" s="310"/>
      <c r="BA3" s="311"/>
      <c r="BB3" s="308" t="s">
        <v>1786</v>
      </c>
      <c r="BC3" s="309"/>
      <c r="BD3" s="310"/>
      <c r="BE3" s="311"/>
      <c r="BF3" s="308" t="s">
        <v>1787</v>
      </c>
      <c r="BG3" s="309"/>
      <c r="BH3" s="307"/>
      <c r="BI3" s="311"/>
      <c r="BJ3" s="308" t="s">
        <v>1788</v>
      </c>
      <c r="BK3" s="309"/>
      <c r="BL3" s="307"/>
      <c r="BM3" s="311"/>
      <c r="BN3" s="308" t="s">
        <v>1789</v>
      </c>
      <c r="BO3" s="309"/>
      <c r="BP3" s="307"/>
      <c r="BQ3" s="311"/>
      <c r="BR3" s="308" t="s">
        <v>1789</v>
      </c>
      <c r="BS3" s="309"/>
      <c r="BT3" s="312"/>
      <c r="BU3" s="311"/>
      <c r="BV3" s="308" t="s">
        <v>1790</v>
      </c>
      <c r="BW3" s="457"/>
      <c r="BX3" s="312"/>
      <c r="BY3" s="311"/>
      <c r="BZ3" s="308" t="s">
        <v>1791</v>
      </c>
      <c r="CA3" s="457"/>
      <c r="CB3" s="312"/>
      <c r="CC3" s="311"/>
      <c r="CD3" s="308" t="s">
        <v>1792</v>
      </c>
      <c r="CE3" s="457"/>
      <c r="CF3" s="312"/>
      <c r="CG3" s="311"/>
      <c r="CH3" s="308" t="s">
        <v>1793</v>
      </c>
      <c r="CI3" s="457"/>
      <c r="CJ3" s="312"/>
      <c r="CK3" s="311"/>
      <c r="CL3" s="308" t="s">
        <v>1794</v>
      </c>
      <c r="CM3" s="457"/>
      <c r="CN3" s="312"/>
      <c r="CO3" s="311"/>
      <c r="CP3" s="308" t="s">
        <v>1795</v>
      </c>
      <c r="CQ3" s="457"/>
      <c r="CR3" s="312"/>
    </row>
    <row r="4" spans="1:96">
      <c r="A4" s="313" t="s">
        <v>740</v>
      </c>
      <c r="B4" s="314" t="s">
        <v>138</v>
      </c>
      <c r="C4" s="315" t="s">
        <v>741</v>
      </c>
      <c r="D4" s="316" t="s">
        <v>742</v>
      </c>
      <c r="E4" s="313" t="s">
        <v>740</v>
      </c>
      <c r="F4" s="314" t="s">
        <v>138</v>
      </c>
      <c r="G4" s="315" t="s">
        <v>741</v>
      </c>
      <c r="H4" s="316" t="s">
        <v>742</v>
      </c>
      <c r="I4" s="313" t="s">
        <v>1796</v>
      </c>
      <c r="J4" s="314" t="s">
        <v>138</v>
      </c>
      <c r="K4" s="315"/>
      <c r="L4" s="316"/>
      <c r="M4" s="313" t="s">
        <v>1796</v>
      </c>
      <c r="N4" s="314" t="s">
        <v>138</v>
      </c>
      <c r="O4" s="315"/>
      <c r="P4" s="316"/>
      <c r="Q4" s="313" t="s">
        <v>1796</v>
      </c>
      <c r="R4" s="314" t="s">
        <v>138</v>
      </c>
      <c r="S4" s="315"/>
      <c r="T4" s="316"/>
      <c r="U4" s="313" t="s">
        <v>1796</v>
      </c>
      <c r="V4" s="314" t="s">
        <v>138</v>
      </c>
      <c r="W4" s="315"/>
      <c r="X4" s="316"/>
      <c r="Y4" s="313" t="s">
        <v>1796</v>
      </c>
      <c r="Z4" s="314" t="s">
        <v>138</v>
      </c>
      <c r="AA4" s="315"/>
      <c r="AB4" s="316"/>
      <c r="AC4" s="313" t="s">
        <v>1796</v>
      </c>
      <c r="AD4" s="314" t="s">
        <v>138</v>
      </c>
      <c r="AE4" s="315"/>
      <c r="AF4" s="316"/>
      <c r="AG4" s="313" t="s">
        <v>1796</v>
      </c>
      <c r="AH4" s="314" t="s">
        <v>138</v>
      </c>
      <c r="AI4" s="315"/>
      <c r="AJ4" s="316"/>
      <c r="AK4" s="313" t="s">
        <v>1796</v>
      </c>
      <c r="AL4" s="314" t="s">
        <v>138</v>
      </c>
      <c r="AM4" s="315"/>
      <c r="AN4" s="316"/>
      <c r="AO4" s="313" t="s">
        <v>1796</v>
      </c>
      <c r="AP4" s="314" t="s">
        <v>138</v>
      </c>
      <c r="AQ4" s="315"/>
      <c r="AR4" s="316"/>
      <c r="AS4" s="313" t="s">
        <v>1796</v>
      </c>
      <c r="AT4" s="314" t="s">
        <v>138</v>
      </c>
      <c r="AU4" s="315"/>
      <c r="AV4" s="316"/>
      <c r="AW4" s="313" t="s">
        <v>1796</v>
      </c>
      <c r="AX4" s="314" t="s">
        <v>138</v>
      </c>
      <c r="AY4" s="315"/>
      <c r="AZ4" s="317"/>
      <c r="BA4" s="313" t="s">
        <v>1796</v>
      </c>
      <c r="BB4" s="314" t="s">
        <v>138</v>
      </c>
      <c r="BC4" s="315"/>
      <c r="BD4" s="317"/>
      <c r="BE4" s="313" t="s">
        <v>1796</v>
      </c>
      <c r="BF4" s="314" t="s">
        <v>138</v>
      </c>
      <c r="BG4" s="315"/>
      <c r="BH4" s="316"/>
      <c r="BI4" s="313" t="s">
        <v>1796</v>
      </c>
      <c r="BJ4" s="314" t="s">
        <v>138</v>
      </c>
      <c r="BK4" s="315"/>
      <c r="BL4" s="316"/>
      <c r="BM4" s="313" t="s">
        <v>1796</v>
      </c>
      <c r="BN4" s="314" t="s">
        <v>138</v>
      </c>
      <c r="BO4" s="315"/>
      <c r="BP4" s="316"/>
      <c r="BQ4" s="313" t="s">
        <v>1796</v>
      </c>
      <c r="BR4" s="314" t="s">
        <v>138</v>
      </c>
      <c r="BS4" s="315"/>
      <c r="BT4" s="319"/>
      <c r="BU4" s="313" t="s">
        <v>1796</v>
      </c>
      <c r="BV4" s="314" t="s">
        <v>138</v>
      </c>
      <c r="BW4" s="458"/>
      <c r="BX4" s="319"/>
      <c r="BY4" s="313" t="s">
        <v>1796</v>
      </c>
      <c r="BZ4" s="314" t="s">
        <v>138</v>
      </c>
      <c r="CA4" s="458"/>
      <c r="CB4" s="319"/>
      <c r="CC4" s="313" t="s">
        <v>1796</v>
      </c>
      <c r="CD4" s="314" t="s">
        <v>138</v>
      </c>
      <c r="CE4" s="458"/>
      <c r="CF4" s="319"/>
      <c r="CG4" s="313" t="s">
        <v>1796</v>
      </c>
      <c r="CH4" s="314" t="s">
        <v>138</v>
      </c>
      <c r="CI4" s="458"/>
      <c r="CJ4" s="319"/>
      <c r="CK4" s="313" t="s">
        <v>1796</v>
      </c>
      <c r="CL4" s="314" t="s">
        <v>138</v>
      </c>
      <c r="CM4" s="458"/>
      <c r="CN4" s="319"/>
      <c r="CO4" s="313" t="s">
        <v>1796</v>
      </c>
      <c r="CP4" s="314" t="s">
        <v>138</v>
      </c>
      <c r="CQ4" s="458"/>
      <c r="CR4" s="319"/>
    </row>
    <row r="5" spans="1:96">
      <c r="A5" s="320"/>
      <c r="B5" s="321"/>
      <c r="C5" s="320"/>
      <c r="D5" s="322"/>
      <c r="E5" s="320"/>
      <c r="F5" s="321"/>
      <c r="G5" s="320"/>
      <c r="H5" s="322"/>
      <c r="I5" s="320"/>
      <c r="J5" s="321"/>
      <c r="K5" s="320"/>
      <c r="L5" s="322"/>
      <c r="M5" s="320"/>
      <c r="N5" s="321"/>
      <c r="O5" s="320"/>
      <c r="P5" s="322"/>
      <c r="Q5" s="320"/>
      <c r="R5" s="321"/>
      <c r="S5" s="320"/>
      <c r="T5" s="322"/>
      <c r="U5" s="320"/>
      <c r="V5" s="321"/>
      <c r="W5" s="320"/>
      <c r="X5" s="322"/>
      <c r="Y5" s="320"/>
      <c r="Z5" s="321"/>
      <c r="AA5" s="320"/>
      <c r="AB5" s="322"/>
      <c r="AC5" s="320"/>
      <c r="AD5" s="321"/>
      <c r="AE5" s="320"/>
      <c r="AF5" s="322"/>
      <c r="AG5" s="320"/>
      <c r="AH5" s="321"/>
      <c r="AI5" s="320"/>
      <c r="AJ5" s="322"/>
      <c r="AK5" s="320"/>
      <c r="AL5" s="321"/>
      <c r="AM5" s="320"/>
      <c r="AN5" s="322"/>
      <c r="AO5" s="320"/>
      <c r="AP5" s="321"/>
      <c r="AQ5" s="320"/>
      <c r="AR5" s="322"/>
      <c r="AS5" s="320"/>
      <c r="AT5" s="321"/>
      <c r="AU5" s="320"/>
      <c r="AV5" s="322"/>
      <c r="AW5" s="320"/>
      <c r="AX5" s="321"/>
      <c r="AY5" s="320"/>
      <c r="AZ5" s="323"/>
      <c r="BA5" s="324"/>
      <c r="BB5" s="321"/>
      <c r="BC5" s="320"/>
      <c r="BD5" s="323"/>
      <c r="BE5" s="324"/>
      <c r="BF5" s="321"/>
      <c r="BG5" s="320"/>
      <c r="BH5" s="325"/>
      <c r="BI5" s="324"/>
      <c r="BJ5" s="321"/>
      <c r="BK5" s="320"/>
      <c r="BL5" s="325"/>
      <c r="BM5" s="324"/>
      <c r="BN5" s="321"/>
      <c r="BO5" s="320"/>
      <c r="BP5" s="325"/>
      <c r="BQ5" s="324"/>
      <c r="BR5" s="321"/>
      <c r="BS5" s="320"/>
      <c r="BT5" s="328"/>
      <c r="BU5" s="324"/>
      <c r="BV5" s="321"/>
      <c r="BW5" s="459"/>
      <c r="BX5" s="328"/>
      <c r="BY5" s="324"/>
      <c r="BZ5" s="321"/>
      <c r="CA5" s="459"/>
      <c r="CB5" s="328"/>
      <c r="CC5" s="324"/>
      <c r="CD5" s="321"/>
      <c r="CE5" s="459"/>
      <c r="CF5" s="328"/>
      <c r="CG5" s="324"/>
      <c r="CH5" s="321"/>
      <c r="CI5" s="459"/>
      <c r="CJ5" s="328"/>
      <c r="CK5" s="324"/>
      <c r="CL5" s="321"/>
      <c r="CM5" s="459"/>
      <c r="CN5" s="328"/>
      <c r="CO5" s="324"/>
      <c r="CP5" s="321"/>
      <c r="CQ5" s="459"/>
      <c r="CR5" s="328"/>
    </row>
    <row r="6" spans="1:96">
      <c r="A6" s="329"/>
      <c r="B6" s="330"/>
      <c r="C6" s="331"/>
      <c r="D6" s="332"/>
      <c r="E6" s="329"/>
      <c r="F6" s="330"/>
      <c r="G6" s="331"/>
      <c r="H6" s="332"/>
      <c r="I6" s="329"/>
      <c r="J6" s="330"/>
      <c r="K6" s="331"/>
      <c r="L6" s="332"/>
      <c r="M6" s="329"/>
      <c r="N6" s="330"/>
      <c r="O6" s="331"/>
      <c r="P6" s="332"/>
      <c r="Q6" s="329"/>
      <c r="R6" s="330"/>
      <c r="S6" s="331"/>
      <c r="T6" s="332"/>
      <c r="U6" s="329"/>
      <c r="V6" s="330"/>
      <c r="W6" s="331"/>
      <c r="X6" s="332"/>
      <c r="Y6" s="329"/>
      <c r="Z6" s="330"/>
      <c r="AA6" s="331"/>
      <c r="AB6" s="332"/>
      <c r="AC6" s="329"/>
      <c r="AD6" s="330"/>
      <c r="AE6" s="331"/>
      <c r="AF6" s="332"/>
      <c r="AG6" s="329"/>
      <c r="AH6" s="330"/>
      <c r="AI6" s="331"/>
      <c r="AJ6" s="332"/>
      <c r="AK6" s="329"/>
      <c r="AL6" s="330"/>
      <c r="AM6" s="331"/>
      <c r="AN6" s="332"/>
      <c r="AO6" s="329"/>
      <c r="AP6" s="330"/>
      <c r="AQ6" s="331"/>
      <c r="AR6" s="332"/>
      <c r="AS6" s="329"/>
      <c r="AT6" s="330"/>
      <c r="AU6" s="331"/>
      <c r="AV6" s="332"/>
      <c r="AW6" s="329"/>
      <c r="AX6" s="330"/>
      <c r="AY6" s="331"/>
      <c r="AZ6" s="333"/>
      <c r="BA6" s="329"/>
      <c r="BB6" s="330"/>
      <c r="BC6" s="331"/>
      <c r="BD6" s="333"/>
      <c r="BE6" s="329"/>
      <c r="BF6" s="334"/>
      <c r="BG6" s="331"/>
      <c r="BH6" s="332"/>
      <c r="BI6" s="329"/>
      <c r="BJ6" s="334"/>
      <c r="BK6" s="331"/>
      <c r="BL6" s="332"/>
      <c r="BM6" s="329"/>
      <c r="BN6" s="334"/>
      <c r="BO6" s="331"/>
      <c r="BP6" s="332"/>
      <c r="BQ6" s="329"/>
      <c r="BR6" s="334"/>
      <c r="BS6" s="331"/>
      <c r="BT6" s="335"/>
      <c r="BU6" s="329"/>
      <c r="BV6" s="334"/>
      <c r="BW6" s="460"/>
      <c r="BX6" s="335"/>
      <c r="BY6" s="329"/>
      <c r="BZ6" s="334"/>
      <c r="CA6" s="460"/>
      <c r="CB6" s="335"/>
      <c r="CC6" s="329"/>
      <c r="CD6" s="334"/>
      <c r="CE6" s="460"/>
      <c r="CF6" s="335"/>
      <c r="CG6" s="329"/>
      <c r="CH6" s="334"/>
      <c r="CI6" s="460"/>
      <c r="CJ6" s="335"/>
      <c r="CK6" s="329"/>
      <c r="CL6" s="334"/>
      <c r="CM6" s="460"/>
      <c r="CN6" s="335"/>
      <c r="CO6" s="329"/>
      <c r="CP6" s="334"/>
      <c r="CQ6" s="460"/>
      <c r="CR6" s="335"/>
    </row>
    <row r="7" spans="1:96">
      <c r="A7" s="329">
        <v>37653</v>
      </c>
      <c r="B7" s="336" t="s">
        <v>556</v>
      </c>
      <c r="C7" s="337">
        <v>1075</v>
      </c>
      <c r="D7" s="332"/>
      <c r="E7" s="329">
        <v>37653</v>
      </c>
      <c r="F7" s="336" t="s">
        <v>556</v>
      </c>
      <c r="G7" s="337">
        <v>1075</v>
      </c>
      <c r="H7" s="332"/>
      <c r="I7" s="329">
        <v>38387</v>
      </c>
      <c r="J7" s="336" t="s">
        <v>1797</v>
      </c>
      <c r="K7" s="337">
        <v>20</v>
      </c>
      <c r="L7" s="332"/>
      <c r="M7" s="329">
        <v>38749</v>
      </c>
      <c r="N7" s="336" t="s">
        <v>802</v>
      </c>
      <c r="O7" s="337">
        <v>35</v>
      </c>
      <c r="P7" s="332"/>
      <c r="Q7" s="329">
        <v>39114</v>
      </c>
      <c r="R7" s="336" t="s">
        <v>1798</v>
      </c>
      <c r="S7" s="337">
        <v>0</v>
      </c>
      <c r="T7" s="332"/>
      <c r="U7" s="329">
        <v>39479</v>
      </c>
      <c r="V7" s="336" t="s">
        <v>1799</v>
      </c>
      <c r="W7" s="337">
        <v>16</v>
      </c>
      <c r="X7" s="332"/>
      <c r="Y7" s="329">
        <v>39846</v>
      </c>
      <c r="Z7" s="336" t="s">
        <v>797</v>
      </c>
      <c r="AA7" s="337">
        <v>31</v>
      </c>
      <c r="AB7" s="332"/>
      <c r="AC7" s="329">
        <v>40212</v>
      </c>
      <c r="AD7" s="336" t="s">
        <v>797</v>
      </c>
      <c r="AE7" s="337">
        <v>35</v>
      </c>
      <c r="AF7" s="332"/>
      <c r="AG7" s="329">
        <v>40576</v>
      </c>
      <c r="AH7" s="336" t="s">
        <v>1800</v>
      </c>
      <c r="AI7" s="337">
        <v>54</v>
      </c>
      <c r="AJ7" s="332"/>
      <c r="AK7" s="329">
        <v>40941</v>
      </c>
      <c r="AL7" s="336" t="s">
        <v>781</v>
      </c>
      <c r="AM7" s="337">
        <v>20</v>
      </c>
      <c r="AN7" s="332"/>
      <c r="AO7" s="329">
        <v>41306</v>
      </c>
      <c r="AP7" s="336" t="s">
        <v>1801</v>
      </c>
      <c r="AQ7" s="337">
        <v>11</v>
      </c>
      <c r="AR7" s="332"/>
      <c r="AS7" s="329">
        <v>41671</v>
      </c>
      <c r="AT7" s="336" t="s">
        <v>1802</v>
      </c>
      <c r="AU7" s="337">
        <v>45</v>
      </c>
      <c r="AV7" s="332"/>
      <c r="AW7" s="329">
        <v>42036</v>
      </c>
      <c r="AX7" s="336" t="s">
        <v>1803</v>
      </c>
      <c r="AY7" s="337"/>
      <c r="AZ7" s="333"/>
      <c r="BA7" s="329">
        <v>42401</v>
      </c>
      <c r="BB7" s="336" t="s">
        <v>754</v>
      </c>
      <c r="BC7" s="337">
        <v>32</v>
      </c>
      <c r="BD7" s="333"/>
      <c r="BE7" s="329">
        <v>42767</v>
      </c>
      <c r="BF7" s="339" t="s">
        <v>1804</v>
      </c>
      <c r="BG7" s="337">
        <v>21</v>
      </c>
      <c r="BH7" s="332"/>
      <c r="BI7" s="329">
        <v>43132</v>
      </c>
      <c r="BJ7" s="339" t="s">
        <v>1805</v>
      </c>
      <c r="BK7" s="337">
        <v>370</v>
      </c>
      <c r="BL7" s="332"/>
      <c r="BM7" s="329">
        <v>43497</v>
      </c>
      <c r="BN7" s="339" t="s">
        <v>1806</v>
      </c>
      <c r="BO7" s="337"/>
      <c r="BP7" s="332"/>
      <c r="BQ7" s="895">
        <v>43497</v>
      </c>
      <c r="BR7" s="901" t="s">
        <v>1807</v>
      </c>
      <c r="BS7" s="902">
        <v>1495</v>
      </c>
      <c r="BT7" s="899" t="s">
        <v>706</v>
      </c>
      <c r="BU7" s="895">
        <v>43862</v>
      </c>
      <c r="BV7" s="903" t="s">
        <v>758</v>
      </c>
      <c r="BW7" s="1243">
        <v>1495</v>
      </c>
      <c r="BX7" s="899" t="s">
        <v>706</v>
      </c>
      <c r="BY7" s="895">
        <v>43862</v>
      </c>
      <c r="BZ7" s="896" t="s">
        <v>759</v>
      </c>
      <c r="CA7" s="897">
        <v>0</v>
      </c>
      <c r="CB7" s="899" t="s">
        <v>689</v>
      </c>
      <c r="CC7" s="895">
        <v>43862</v>
      </c>
      <c r="CD7" s="896" t="s">
        <v>1808</v>
      </c>
      <c r="CE7" s="897">
        <v>1399</v>
      </c>
      <c r="CF7" s="899" t="s">
        <v>689</v>
      </c>
      <c r="CG7" s="895">
        <v>43862</v>
      </c>
      <c r="CH7" s="896" t="s">
        <v>1808</v>
      </c>
      <c r="CI7" s="897">
        <v>0</v>
      </c>
      <c r="CJ7" s="899" t="s">
        <v>689</v>
      </c>
      <c r="CK7" s="1553">
        <v>45323</v>
      </c>
      <c r="CL7" s="1554" t="s">
        <v>760</v>
      </c>
      <c r="CM7" s="1555">
        <v>30</v>
      </c>
      <c r="CN7" s="1556" t="s">
        <v>689</v>
      </c>
      <c r="CO7" s="1553">
        <v>45323</v>
      </c>
      <c r="CP7" s="1554" t="s">
        <v>760</v>
      </c>
      <c r="CQ7" s="1555">
        <v>30</v>
      </c>
      <c r="CR7" s="1556" t="s">
        <v>689</v>
      </c>
    </row>
    <row r="8" spans="1:96">
      <c r="A8" s="329">
        <v>37653</v>
      </c>
      <c r="B8" s="336" t="s">
        <v>276</v>
      </c>
      <c r="C8" s="337">
        <v>422</v>
      </c>
      <c r="D8" s="332">
        <v>386</v>
      </c>
      <c r="E8" s="329">
        <v>37653</v>
      </c>
      <c r="F8" s="336" t="s">
        <v>276</v>
      </c>
      <c r="G8" s="337">
        <v>422</v>
      </c>
      <c r="H8" s="332">
        <v>1000</v>
      </c>
      <c r="I8" s="329">
        <v>38388</v>
      </c>
      <c r="J8" s="336" t="s">
        <v>797</v>
      </c>
      <c r="K8" s="337">
        <v>31</v>
      </c>
      <c r="L8" s="332"/>
      <c r="M8" s="329">
        <v>38752</v>
      </c>
      <c r="N8" s="336" t="s">
        <v>1157</v>
      </c>
      <c r="O8" s="337">
        <v>66</v>
      </c>
      <c r="P8" s="332"/>
      <c r="Q8" s="329">
        <v>39116</v>
      </c>
      <c r="R8" s="336" t="s">
        <v>1809</v>
      </c>
      <c r="S8" s="337">
        <v>38</v>
      </c>
      <c r="T8" s="332"/>
      <c r="U8" s="329">
        <v>39480</v>
      </c>
      <c r="V8" s="336" t="s">
        <v>1810</v>
      </c>
      <c r="W8" s="337">
        <v>60</v>
      </c>
      <c r="X8" s="332"/>
      <c r="Y8" s="329">
        <v>39846</v>
      </c>
      <c r="Z8" s="336" t="s">
        <v>1811</v>
      </c>
      <c r="AA8" s="337">
        <v>2</v>
      </c>
      <c r="AB8" s="332"/>
      <c r="AC8" s="329">
        <v>40213</v>
      </c>
      <c r="AD8" s="336" t="s">
        <v>1812</v>
      </c>
      <c r="AE8" s="337">
        <v>10</v>
      </c>
      <c r="AF8" s="332"/>
      <c r="AG8" s="329">
        <v>40576</v>
      </c>
      <c r="AH8" s="336" t="s">
        <v>1813</v>
      </c>
      <c r="AI8" s="337">
        <v>23</v>
      </c>
      <c r="AJ8" s="332"/>
      <c r="AK8" s="329">
        <v>40942</v>
      </c>
      <c r="AL8" s="336" t="s">
        <v>1814</v>
      </c>
      <c r="AM8" s="337">
        <v>14</v>
      </c>
      <c r="AN8" s="332"/>
      <c r="AO8" s="329">
        <v>41306</v>
      </c>
      <c r="AP8" s="336" t="s">
        <v>1815</v>
      </c>
      <c r="AQ8" s="337">
        <v>29</v>
      </c>
      <c r="AR8" s="332"/>
      <c r="AS8" s="329">
        <v>41671</v>
      </c>
      <c r="AT8" s="336" t="s">
        <v>954</v>
      </c>
      <c r="AU8" s="337">
        <v>125</v>
      </c>
      <c r="AV8" s="332"/>
      <c r="AW8" s="329">
        <v>42036</v>
      </c>
      <c r="AX8" s="336" t="s">
        <v>855</v>
      </c>
      <c r="AY8" s="337">
        <v>31</v>
      </c>
      <c r="AZ8" s="333"/>
      <c r="BA8" s="329">
        <v>42401</v>
      </c>
      <c r="BB8" s="336" t="s">
        <v>954</v>
      </c>
      <c r="BC8" s="337">
        <v>35</v>
      </c>
      <c r="BD8" s="333"/>
      <c r="BE8" s="329">
        <v>42767</v>
      </c>
      <c r="BF8" s="339" t="s">
        <v>1180</v>
      </c>
      <c r="BG8" s="337">
        <v>56</v>
      </c>
      <c r="BH8" s="332"/>
      <c r="BI8" s="329">
        <v>43132</v>
      </c>
      <c r="BJ8" s="339" t="s">
        <v>1816</v>
      </c>
      <c r="BK8" s="337">
        <v>170</v>
      </c>
      <c r="BL8" s="332"/>
      <c r="BM8" s="329"/>
      <c r="BN8" s="339"/>
      <c r="BO8" s="337"/>
      <c r="BP8" s="332"/>
      <c r="BQ8" s="895">
        <v>43497</v>
      </c>
      <c r="BR8" s="901" t="s">
        <v>1806</v>
      </c>
      <c r="BS8" s="902">
        <v>700</v>
      </c>
      <c r="BT8" s="899" t="s">
        <v>381</v>
      </c>
      <c r="BU8" s="895">
        <v>43862</v>
      </c>
      <c r="BV8" s="903" t="s">
        <v>776</v>
      </c>
      <c r="BW8" s="1243" t="s">
        <v>37</v>
      </c>
      <c r="BX8" s="899" t="s">
        <v>689</v>
      </c>
      <c r="BY8" s="895">
        <v>43862</v>
      </c>
      <c r="BZ8" s="903" t="s">
        <v>777</v>
      </c>
      <c r="CA8" s="904">
        <v>306</v>
      </c>
      <c r="CB8" s="899" t="s">
        <v>689</v>
      </c>
      <c r="CC8" s="895">
        <v>43862</v>
      </c>
      <c r="CD8" s="903" t="s">
        <v>777</v>
      </c>
      <c r="CE8" s="904">
        <v>306</v>
      </c>
      <c r="CF8" s="899" t="s">
        <v>689</v>
      </c>
      <c r="CG8" s="895">
        <v>43862</v>
      </c>
      <c r="CH8" s="903" t="s">
        <v>777</v>
      </c>
      <c r="CI8" s="904">
        <v>0</v>
      </c>
      <c r="CJ8" s="899" t="s">
        <v>689</v>
      </c>
      <c r="CK8" s="1553">
        <v>45323</v>
      </c>
      <c r="CL8" s="1554" t="s">
        <v>1817</v>
      </c>
      <c r="CM8" s="1557">
        <v>1900</v>
      </c>
      <c r="CN8" s="1556" t="s">
        <v>689</v>
      </c>
      <c r="CO8" s="1553">
        <v>45323</v>
      </c>
      <c r="CP8" s="1554" t="s">
        <v>1817</v>
      </c>
      <c r="CQ8" s="1557">
        <v>1900</v>
      </c>
      <c r="CR8" s="1556" t="s">
        <v>689</v>
      </c>
    </row>
    <row r="9" spans="1:96">
      <c r="A9" s="329">
        <v>37653</v>
      </c>
      <c r="B9" s="336" t="s">
        <v>400</v>
      </c>
      <c r="C9" s="337">
        <v>216</v>
      </c>
      <c r="D9" s="332">
        <v>175</v>
      </c>
      <c r="E9" s="329">
        <v>37653</v>
      </c>
      <c r="F9" s="336" t="s">
        <v>400</v>
      </c>
      <c r="G9" s="337">
        <v>250</v>
      </c>
      <c r="H9" s="332">
        <v>241</v>
      </c>
      <c r="I9" s="329">
        <v>38388</v>
      </c>
      <c r="J9" s="336" t="s">
        <v>1818</v>
      </c>
      <c r="K9" s="337">
        <v>14</v>
      </c>
      <c r="L9" s="332"/>
      <c r="M9" s="329">
        <v>38752</v>
      </c>
      <c r="N9" s="336" t="s">
        <v>1819</v>
      </c>
      <c r="O9" s="337">
        <v>16</v>
      </c>
      <c r="P9" s="332"/>
      <c r="Q9" s="329">
        <v>39116</v>
      </c>
      <c r="R9" s="336" t="s">
        <v>797</v>
      </c>
      <c r="S9" s="337">
        <v>30</v>
      </c>
      <c r="T9" s="332"/>
      <c r="U9" s="329">
        <v>39480</v>
      </c>
      <c r="V9" s="336" t="s">
        <v>1052</v>
      </c>
      <c r="W9" s="337">
        <v>16</v>
      </c>
      <c r="X9" s="332"/>
      <c r="Y9" s="329">
        <v>39848</v>
      </c>
      <c r="Z9" s="336" t="s">
        <v>1820</v>
      </c>
      <c r="AA9" s="337">
        <v>4</v>
      </c>
      <c r="AB9" s="332"/>
      <c r="AC9" s="329">
        <v>40214</v>
      </c>
      <c r="AD9" s="336" t="s">
        <v>1821</v>
      </c>
      <c r="AE9" s="337">
        <v>30</v>
      </c>
      <c r="AF9" s="332"/>
      <c r="AG9" s="329">
        <v>40578</v>
      </c>
      <c r="AH9" s="336" t="s">
        <v>1822</v>
      </c>
      <c r="AI9" s="337">
        <v>30</v>
      </c>
      <c r="AJ9" s="332"/>
      <c r="AK9" s="329">
        <v>40943</v>
      </c>
      <c r="AL9" s="336" t="s">
        <v>754</v>
      </c>
      <c r="AM9" s="337">
        <v>87</v>
      </c>
      <c r="AN9" s="332"/>
      <c r="AO9" s="329">
        <v>41307</v>
      </c>
      <c r="AP9" s="336" t="s">
        <v>1823</v>
      </c>
      <c r="AQ9" s="337">
        <v>33</v>
      </c>
      <c r="AR9" s="332"/>
      <c r="AS9" s="329">
        <v>41672</v>
      </c>
      <c r="AT9" s="336" t="s">
        <v>1824</v>
      </c>
      <c r="AU9" s="337">
        <v>67</v>
      </c>
      <c r="AV9" s="332"/>
      <c r="AW9" s="329">
        <v>42036</v>
      </c>
      <c r="AX9" s="336" t="s">
        <v>802</v>
      </c>
      <c r="AY9" s="337">
        <v>25</v>
      </c>
      <c r="AZ9" s="333"/>
      <c r="BA9" s="329">
        <v>42401</v>
      </c>
      <c r="BB9" s="336" t="s">
        <v>1825</v>
      </c>
      <c r="BC9" s="337">
        <v>200</v>
      </c>
      <c r="BD9" s="333"/>
      <c r="BE9" s="329">
        <v>42769</v>
      </c>
      <c r="BF9" s="339" t="s">
        <v>1826</v>
      </c>
      <c r="BG9" s="337">
        <v>65</v>
      </c>
      <c r="BH9" s="332"/>
      <c r="BI9" s="329">
        <v>43132</v>
      </c>
      <c r="BJ9" s="339" t="s">
        <v>1827</v>
      </c>
      <c r="BK9" s="337">
        <v>295</v>
      </c>
      <c r="BL9" s="332"/>
      <c r="BM9" s="329"/>
      <c r="BN9" s="339"/>
      <c r="BO9" s="337"/>
      <c r="BP9" s="332"/>
      <c r="BQ9" s="895">
        <v>43497</v>
      </c>
      <c r="BR9" s="901" t="s">
        <v>823</v>
      </c>
      <c r="BS9" s="902">
        <v>49</v>
      </c>
      <c r="BT9" s="899" t="s">
        <v>414</v>
      </c>
      <c r="BU9" s="895">
        <v>43862</v>
      </c>
      <c r="BV9" s="903" t="s">
        <v>791</v>
      </c>
      <c r="BW9" s="1243" t="s">
        <v>37</v>
      </c>
      <c r="BX9" s="899" t="s">
        <v>689</v>
      </c>
      <c r="BY9" s="895">
        <v>43862</v>
      </c>
      <c r="BZ9" s="903" t="s">
        <v>792</v>
      </c>
      <c r="CA9" s="904">
        <v>30</v>
      </c>
      <c r="CB9" s="899" t="s">
        <v>689</v>
      </c>
      <c r="CC9" s="895">
        <v>43862</v>
      </c>
      <c r="CD9" s="903" t="s">
        <v>792</v>
      </c>
      <c r="CE9" s="904">
        <v>0</v>
      </c>
      <c r="CF9" s="899" t="s">
        <v>689</v>
      </c>
      <c r="CG9" s="895">
        <v>43862</v>
      </c>
      <c r="CH9" s="903" t="s">
        <v>792</v>
      </c>
      <c r="CI9" s="904">
        <v>0</v>
      </c>
      <c r="CJ9" s="899" t="s">
        <v>689</v>
      </c>
      <c r="CK9" s="1553">
        <v>45323</v>
      </c>
      <c r="CL9" s="1554" t="s">
        <v>794</v>
      </c>
      <c r="CM9" s="1557">
        <v>299</v>
      </c>
      <c r="CN9" s="1556" t="s">
        <v>689</v>
      </c>
      <c r="CO9" s="1553">
        <v>45323</v>
      </c>
      <c r="CP9" s="1554" t="s">
        <v>794</v>
      </c>
      <c r="CQ9" s="1557">
        <v>299</v>
      </c>
      <c r="CR9" s="1556" t="s">
        <v>689</v>
      </c>
    </row>
    <row r="10" spans="1:96">
      <c r="A10" s="329">
        <v>37653</v>
      </c>
      <c r="B10" s="336" t="s">
        <v>413</v>
      </c>
      <c r="C10" s="341">
        <v>25</v>
      </c>
      <c r="D10" s="342">
        <v>25</v>
      </c>
      <c r="E10" s="329">
        <v>37653</v>
      </c>
      <c r="F10" s="336" t="s">
        <v>413</v>
      </c>
      <c r="G10" s="341">
        <v>25</v>
      </c>
      <c r="H10" s="342">
        <v>25</v>
      </c>
      <c r="I10" s="329">
        <v>38388</v>
      </c>
      <c r="J10" s="336" t="s">
        <v>1828</v>
      </c>
      <c r="K10" s="337">
        <v>12</v>
      </c>
      <c r="L10" s="332"/>
      <c r="M10" s="329">
        <v>38752</v>
      </c>
      <c r="N10" s="336" t="s">
        <v>1829</v>
      </c>
      <c r="O10" s="337">
        <v>10</v>
      </c>
      <c r="P10" s="332"/>
      <c r="Q10" s="329">
        <v>39117</v>
      </c>
      <c r="R10" s="336" t="s">
        <v>1830</v>
      </c>
      <c r="S10" s="337">
        <v>6</v>
      </c>
      <c r="T10" s="332"/>
      <c r="U10" s="329">
        <v>39480</v>
      </c>
      <c r="V10" s="336" t="s">
        <v>1831</v>
      </c>
      <c r="W10" s="337">
        <v>25</v>
      </c>
      <c r="X10" s="332"/>
      <c r="Y10" s="329">
        <v>39849</v>
      </c>
      <c r="Z10" s="336" t="s">
        <v>1832</v>
      </c>
      <c r="AA10" s="337">
        <v>19</v>
      </c>
      <c r="AB10" s="332"/>
      <c r="AC10" s="329">
        <v>40215</v>
      </c>
      <c r="AD10" s="336" t="s">
        <v>1833</v>
      </c>
      <c r="AE10" s="337">
        <v>20</v>
      </c>
      <c r="AF10" s="332"/>
      <c r="AG10" s="329">
        <v>40578</v>
      </c>
      <c r="AH10" s="336" t="s">
        <v>1834</v>
      </c>
      <c r="AI10" s="337">
        <v>20</v>
      </c>
      <c r="AJ10" s="332"/>
      <c r="AK10" s="329">
        <v>40943</v>
      </c>
      <c r="AL10" s="336" t="s">
        <v>1835</v>
      </c>
      <c r="AM10" s="337">
        <v>6</v>
      </c>
      <c r="AN10" s="332"/>
      <c r="AO10" s="329">
        <v>41307</v>
      </c>
      <c r="AP10" s="336" t="s">
        <v>772</v>
      </c>
      <c r="AQ10" s="337">
        <v>49</v>
      </c>
      <c r="AR10" s="332"/>
      <c r="AS10" s="329">
        <v>41674</v>
      </c>
      <c r="AT10" s="336" t="s">
        <v>802</v>
      </c>
      <c r="AU10" s="337">
        <v>50</v>
      </c>
      <c r="AV10" s="332"/>
      <c r="AW10" s="329">
        <v>42037</v>
      </c>
      <c r="AX10" s="336" t="s">
        <v>1836</v>
      </c>
      <c r="AY10" s="337">
        <v>300</v>
      </c>
      <c r="AZ10" s="333"/>
      <c r="BA10" s="329">
        <v>42401</v>
      </c>
      <c r="BB10" s="336" t="s">
        <v>1837</v>
      </c>
      <c r="BC10" s="337">
        <v>95</v>
      </c>
      <c r="BD10" s="333"/>
      <c r="BE10" s="329">
        <v>42769</v>
      </c>
      <c r="BF10" s="339" t="s">
        <v>890</v>
      </c>
      <c r="BG10" s="337">
        <v>45</v>
      </c>
      <c r="BH10" s="332"/>
      <c r="BI10" s="329">
        <v>43132</v>
      </c>
      <c r="BJ10" s="339" t="s">
        <v>1838</v>
      </c>
      <c r="BK10" s="337">
        <f>158*2</f>
        <v>316</v>
      </c>
      <c r="BL10" s="332"/>
      <c r="BM10" s="329"/>
      <c r="BN10" s="339"/>
      <c r="BO10" s="337"/>
      <c r="BP10" s="332"/>
      <c r="BQ10" s="895">
        <v>43497</v>
      </c>
      <c r="BR10" s="901" t="s">
        <v>1839</v>
      </c>
      <c r="BS10" s="902">
        <v>120</v>
      </c>
      <c r="BT10" s="899" t="s">
        <v>700</v>
      </c>
      <c r="BU10" s="895">
        <v>43862</v>
      </c>
      <c r="BV10" s="896" t="s">
        <v>759</v>
      </c>
      <c r="BW10" s="1243">
        <v>295</v>
      </c>
      <c r="BX10" s="899" t="s">
        <v>689</v>
      </c>
      <c r="BY10" s="895">
        <v>43862</v>
      </c>
      <c r="BZ10" s="903" t="s">
        <v>809</v>
      </c>
      <c r="CA10" s="904">
        <f>219 + 179</f>
        <v>398</v>
      </c>
      <c r="CB10" s="899" t="s">
        <v>689</v>
      </c>
      <c r="CC10" s="895">
        <v>43862</v>
      </c>
      <c r="CD10" s="903" t="s">
        <v>809</v>
      </c>
      <c r="CE10" s="904">
        <f>219 + 179</f>
        <v>398</v>
      </c>
      <c r="CF10" s="899" t="s">
        <v>689</v>
      </c>
      <c r="CG10" s="895">
        <v>44960</v>
      </c>
      <c r="CH10" s="903" t="s">
        <v>1840</v>
      </c>
      <c r="CI10" s="904">
        <v>25</v>
      </c>
      <c r="CJ10" s="899" t="s">
        <v>280</v>
      </c>
      <c r="CK10" s="1553">
        <v>45323</v>
      </c>
      <c r="CL10" s="1554" t="s">
        <v>1841</v>
      </c>
      <c r="CM10" s="1557">
        <v>600</v>
      </c>
      <c r="CN10" s="1556" t="s">
        <v>689</v>
      </c>
      <c r="CO10" s="1553">
        <v>45323</v>
      </c>
      <c r="CP10" s="1554" t="s">
        <v>1841</v>
      </c>
      <c r="CQ10" s="1557">
        <v>600</v>
      </c>
      <c r="CR10" s="1556" t="s">
        <v>689</v>
      </c>
    </row>
    <row r="11" spans="1:96">
      <c r="A11" s="329">
        <v>37653</v>
      </c>
      <c r="B11" s="339" t="s">
        <v>811</v>
      </c>
      <c r="C11" s="337"/>
      <c r="D11" s="332">
        <v>0</v>
      </c>
      <c r="E11" s="329">
        <v>37653</v>
      </c>
      <c r="F11" s="339" t="s">
        <v>811</v>
      </c>
      <c r="G11" s="337"/>
      <c r="H11" s="332">
        <v>0</v>
      </c>
      <c r="I11" s="329">
        <v>38389</v>
      </c>
      <c r="J11" s="336" t="s">
        <v>1842</v>
      </c>
      <c r="K11" s="341">
        <v>50</v>
      </c>
      <c r="L11" s="342"/>
      <c r="M11" s="329">
        <v>38752</v>
      </c>
      <c r="N11" s="336" t="s">
        <v>797</v>
      </c>
      <c r="O11" s="341">
        <v>14</v>
      </c>
      <c r="P11" s="332"/>
      <c r="Q11" s="329">
        <v>39117</v>
      </c>
      <c r="R11" s="336" t="s">
        <v>802</v>
      </c>
      <c r="S11" s="337">
        <v>27</v>
      </c>
      <c r="T11" s="332"/>
      <c r="U11" s="329">
        <v>39481</v>
      </c>
      <c r="V11" s="336" t="s">
        <v>1843</v>
      </c>
      <c r="W11" s="337">
        <v>35</v>
      </c>
      <c r="X11" s="332"/>
      <c r="Y11" s="329">
        <v>39851</v>
      </c>
      <c r="Z11" s="336" t="s">
        <v>1844</v>
      </c>
      <c r="AA11" s="337">
        <v>12</v>
      </c>
      <c r="AB11" s="332"/>
      <c r="AC11" s="329">
        <v>40215</v>
      </c>
      <c r="AD11" s="336" t="s">
        <v>797</v>
      </c>
      <c r="AE11" s="337">
        <v>25</v>
      </c>
      <c r="AF11" s="332"/>
      <c r="AG11" s="329">
        <v>40578</v>
      </c>
      <c r="AH11" s="336" t="s">
        <v>1845</v>
      </c>
      <c r="AI11" s="337">
        <v>14</v>
      </c>
      <c r="AJ11" s="332"/>
      <c r="AK11" s="329">
        <v>40943</v>
      </c>
      <c r="AL11" s="336" t="s">
        <v>1244</v>
      </c>
      <c r="AM11" s="337">
        <v>10</v>
      </c>
      <c r="AN11" s="332"/>
      <c r="AO11" s="329">
        <v>41307</v>
      </c>
      <c r="AP11" s="336" t="s">
        <v>979</v>
      </c>
      <c r="AQ11" s="337">
        <v>81</v>
      </c>
      <c r="AR11" s="332"/>
      <c r="AS11" s="329">
        <v>41674</v>
      </c>
      <c r="AT11" s="336" t="s">
        <v>797</v>
      </c>
      <c r="AU11" s="337">
        <v>20</v>
      </c>
      <c r="AV11" s="332"/>
      <c r="AW11" s="329">
        <v>42037</v>
      </c>
      <c r="AX11" s="336" t="s">
        <v>1846</v>
      </c>
      <c r="AY11" s="337">
        <v>20</v>
      </c>
      <c r="AZ11" s="333"/>
      <c r="BA11" s="329">
        <v>42403</v>
      </c>
      <c r="BB11" s="336" t="s">
        <v>1847</v>
      </c>
      <c r="BC11" s="337">
        <v>17</v>
      </c>
      <c r="BD11" s="333"/>
      <c r="BE11" s="329">
        <v>42770</v>
      </c>
      <c r="BF11" s="339" t="s">
        <v>823</v>
      </c>
      <c r="BG11" s="337">
        <v>28</v>
      </c>
      <c r="BH11" s="332"/>
      <c r="BI11" s="329">
        <v>43132</v>
      </c>
      <c r="BJ11" s="339" t="s">
        <v>1848</v>
      </c>
      <c r="BK11" s="337">
        <v>390</v>
      </c>
      <c r="BL11" s="332"/>
      <c r="BM11" s="329"/>
      <c r="BN11" s="339"/>
      <c r="BO11" s="337"/>
      <c r="BP11" s="332"/>
      <c r="BQ11" s="895">
        <v>43497</v>
      </c>
      <c r="BR11" s="901" t="s">
        <v>1849</v>
      </c>
      <c r="BS11" s="902">
        <v>8</v>
      </c>
      <c r="BT11" s="899" t="s">
        <v>414</v>
      </c>
      <c r="BU11" s="895">
        <v>43862</v>
      </c>
      <c r="BV11" s="896" t="s">
        <v>825</v>
      </c>
      <c r="BW11" s="1243">
        <v>350</v>
      </c>
      <c r="BX11" s="899" t="s">
        <v>689</v>
      </c>
      <c r="BY11" s="895">
        <v>43862</v>
      </c>
      <c r="BZ11" s="903" t="s">
        <v>826</v>
      </c>
      <c r="CA11" s="908" t="s">
        <v>37</v>
      </c>
      <c r="CB11" s="899" t="s">
        <v>689</v>
      </c>
      <c r="CC11" s="895">
        <v>43862</v>
      </c>
      <c r="CD11" s="903" t="s">
        <v>1850</v>
      </c>
      <c r="CE11" s="908">
        <v>632</v>
      </c>
      <c r="CF11" s="899" t="s">
        <v>689</v>
      </c>
      <c r="CG11" s="895">
        <v>44960</v>
      </c>
      <c r="CH11" s="903" t="s">
        <v>1851</v>
      </c>
      <c r="CI11" s="908">
        <v>20</v>
      </c>
      <c r="CJ11" s="899" t="s">
        <v>700</v>
      </c>
      <c r="CK11" s="1553">
        <v>45323</v>
      </c>
      <c r="CL11" s="1554" t="s">
        <v>1852</v>
      </c>
      <c r="CM11" s="1557">
        <v>1075</v>
      </c>
      <c r="CN11" s="1556" t="s">
        <v>689</v>
      </c>
      <c r="CO11" s="1553">
        <v>45323</v>
      </c>
      <c r="CP11" s="1554" t="s">
        <v>1852</v>
      </c>
      <c r="CQ11" s="1557">
        <v>0</v>
      </c>
      <c r="CR11" s="1556" t="s">
        <v>689</v>
      </c>
    </row>
    <row r="12" spans="1:96">
      <c r="A12" s="329">
        <v>37653</v>
      </c>
      <c r="B12" s="339" t="s">
        <v>415</v>
      </c>
      <c r="C12" s="337">
        <v>36</v>
      </c>
      <c r="D12" s="332"/>
      <c r="E12" s="329">
        <v>37653</v>
      </c>
      <c r="F12" s="339" t="s">
        <v>415</v>
      </c>
      <c r="G12" s="337">
        <v>36</v>
      </c>
      <c r="H12" s="332"/>
      <c r="I12" s="329">
        <v>38390</v>
      </c>
      <c r="J12" s="339" t="s">
        <v>802</v>
      </c>
      <c r="K12" s="337">
        <v>28</v>
      </c>
      <c r="L12" s="332"/>
      <c r="M12" s="329">
        <v>38753</v>
      </c>
      <c r="N12" s="336" t="s">
        <v>1853</v>
      </c>
      <c r="O12" s="341">
        <v>11</v>
      </c>
      <c r="P12" s="342"/>
      <c r="Q12" s="329">
        <v>39117</v>
      </c>
      <c r="R12" s="336" t="s">
        <v>767</v>
      </c>
      <c r="S12" s="341">
        <v>20</v>
      </c>
      <c r="T12" s="332"/>
      <c r="U12" s="329">
        <v>39481</v>
      </c>
      <c r="V12" s="336" t="s">
        <v>1854</v>
      </c>
      <c r="W12" s="337">
        <v>5</v>
      </c>
      <c r="X12" s="332"/>
      <c r="Y12" s="329">
        <v>39851</v>
      </c>
      <c r="Z12" s="336" t="s">
        <v>767</v>
      </c>
      <c r="AA12" s="337">
        <v>29</v>
      </c>
      <c r="AB12" s="332"/>
      <c r="AC12" s="329">
        <v>40216</v>
      </c>
      <c r="AD12" s="336" t="s">
        <v>1459</v>
      </c>
      <c r="AE12" s="337">
        <v>14</v>
      </c>
      <c r="AF12" s="332"/>
      <c r="AG12" s="329">
        <v>40579</v>
      </c>
      <c r="AH12" s="336" t="s">
        <v>767</v>
      </c>
      <c r="AI12" s="337">
        <v>38</v>
      </c>
      <c r="AJ12" s="332"/>
      <c r="AK12" s="329">
        <v>40943</v>
      </c>
      <c r="AL12" s="336" t="s">
        <v>781</v>
      </c>
      <c r="AM12" s="337">
        <v>3</v>
      </c>
      <c r="AN12" s="332"/>
      <c r="AO12" s="329">
        <v>41307</v>
      </c>
      <c r="AP12" s="336" t="s">
        <v>1855</v>
      </c>
      <c r="AQ12" s="337">
        <v>25</v>
      </c>
      <c r="AR12" s="332"/>
      <c r="AS12" s="329">
        <v>41676</v>
      </c>
      <c r="AT12" s="336" t="s">
        <v>954</v>
      </c>
      <c r="AU12" s="337">
        <v>12</v>
      </c>
      <c r="AV12" s="332"/>
      <c r="AW12" s="329">
        <v>42040</v>
      </c>
      <c r="AX12" s="336" t="s">
        <v>1856</v>
      </c>
      <c r="AY12" s="337">
        <v>36</v>
      </c>
      <c r="AZ12" s="333"/>
      <c r="BA12" s="329">
        <v>42404</v>
      </c>
      <c r="BB12" s="336" t="s">
        <v>802</v>
      </c>
      <c r="BC12" s="337">
        <v>25</v>
      </c>
      <c r="BD12" s="333"/>
      <c r="BE12" s="329">
        <v>42770</v>
      </c>
      <c r="BF12" s="339" t="s">
        <v>859</v>
      </c>
      <c r="BG12" s="337">
        <v>43</v>
      </c>
      <c r="BH12" s="332"/>
      <c r="BI12" s="329">
        <v>43132</v>
      </c>
      <c r="BJ12" s="339" t="s">
        <v>1857</v>
      </c>
      <c r="BK12" s="337">
        <v>84</v>
      </c>
      <c r="BL12" s="332"/>
      <c r="BM12" s="329"/>
      <c r="BN12" s="339"/>
      <c r="BO12" s="337"/>
      <c r="BP12" s="332"/>
      <c r="BQ12" s="895">
        <v>43497</v>
      </c>
      <c r="BR12" s="901" t="s">
        <v>1858</v>
      </c>
      <c r="BS12" s="902">
        <v>2</v>
      </c>
      <c r="BT12" s="899" t="s">
        <v>280</v>
      </c>
      <c r="BU12" s="895">
        <v>43862</v>
      </c>
      <c r="BV12" s="903" t="s">
        <v>842</v>
      </c>
      <c r="BW12" s="908">
        <v>400</v>
      </c>
      <c r="BX12" s="899" t="s">
        <v>689</v>
      </c>
      <c r="BY12" s="895">
        <v>44230</v>
      </c>
      <c r="BZ12" s="903" t="s">
        <v>1859</v>
      </c>
      <c r="CA12" s="908">
        <v>65</v>
      </c>
      <c r="CB12" s="899" t="s">
        <v>701</v>
      </c>
      <c r="CC12" s="895">
        <v>44593</v>
      </c>
      <c r="CD12" s="903" t="s">
        <v>1860</v>
      </c>
      <c r="CE12" s="908">
        <v>34</v>
      </c>
      <c r="CF12" s="899" t="s">
        <v>692</v>
      </c>
      <c r="CG12" s="895">
        <v>44960</v>
      </c>
      <c r="CH12" s="903" t="s">
        <v>843</v>
      </c>
      <c r="CI12" s="908">
        <v>57</v>
      </c>
      <c r="CJ12" s="899" t="s">
        <v>414</v>
      </c>
      <c r="CK12" s="1553">
        <v>45323</v>
      </c>
      <c r="CL12" s="1554" t="s">
        <v>772</v>
      </c>
      <c r="CM12" s="1557">
        <v>12</v>
      </c>
      <c r="CN12" s="1556" t="s">
        <v>414</v>
      </c>
      <c r="CO12" s="1017">
        <v>45689</v>
      </c>
      <c r="CP12" s="1019" t="s">
        <v>781</v>
      </c>
      <c r="CQ12" s="1557">
        <v>12</v>
      </c>
      <c r="CR12" s="1556" t="s">
        <v>414</v>
      </c>
    </row>
    <row r="13" spans="1:96">
      <c r="A13" s="329">
        <v>37653</v>
      </c>
      <c r="B13" s="339" t="s">
        <v>847</v>
      </c>
      <c r="C13" s="337">
        <v>70</v>
      </c>
      <c r="D13" s="332"/>
      <c r="E13" s="329">
        <v>37653</v>
      </c>
      <c r="F13" s="339" t="s">
        <v>847</v>
      </c>
      <c r="G13" s="337">
        <v>70</v>
      </c>
      <c r="H13" s="332"/>
      <c r="I13" s="329">
        <v>38391</v>
      </c>
      <c r="J13" s="339" t="s">
        <v>1861</v>
      </c>
      <c r="K13" s="337">
        <v>6</v>
      </c>
      <c r="L13" s="332"/>
      <c r="M13" s="329">
        <v>38755</v>
      </c>
      <c r="N13" s="339" t="s">
        <v>1862</v>
      </c>
      <c r="O13" s="337">
        <v>284</v>
      </c>
      <c r="P13" s="332"/>
      <c r="Q13" s="329">
        <v>39117</v>
      </c>
      <c r="R13" s="336" t="s">
        <v>1863</v>
      </c>
      <c r="S13" s="341">
        <v>7</v>
      </c>
      <c r="T13" s="342"/>
      <c r="U13" s="329">
        <v>39481</v>
      </c>
      <c r="V13" s="336" t="s">
        <v>1864</v>
      </c>
      <c r="W13" s="341">
        <v>50</v>
      </c>
      <c r="X13" s="332"/>
      <c r="Y13" s="329">
        <v>39851</v>
      </c>
      <c r="Z13" s="336" t="s">
        <v>1865</v>
      </c>
      <c r="AA13" s="341">
        <v>2</v>
      </c>
      <c r="AB13" s="332"/>
      <c r="AC13" s="329">
        <v>40216</v>
      </c>
      <c r="AD13" s="336" t="s">
        <v>781</v>
      </c>
      <c r="AE13" s="337">
        <v>45</v>
      </c>
      <c r="AF13" s="332"/>
      <c r="AG13" s="329">
        <v>40579</v>
      </c>
      <c r="AH13" s="336" t="s">
        <v>1866</v>
      </c>
      <c r="AI13" s="337">
        <v>55</v>
      </c>
      <c r="AJ13" s="332"/>
      <c r="AK13" s="329">
        <v>40943</v>
      </c>
      <c r="AL13" s="336" t="s">
        <v>1867</v>
      </c>
      <c r="AM13" s="337">
        <v>28</v>
      </c>
      <c r="AN13" s="332"/>
      <c r="AO13" s="329">
        <v>41307</v>
      </c>
      <c r="AP13" s="336" t="s">
        <v>1868</v>
      </c>
      <c r="AQ13" s="337">
        <v>110</v>
      </c>
      <c r="AR13" s="332"/>
      <c r="AS13" s="329">
        <v>41678</v>
      </c>
      <c r="AT13" s="336" t="s">
        <v>1869</v>
      </c>
      <c r="AU13" s="337">
        <v>12</v>
      </c>
      <c r="AV13" s="332"/>
      <c r="AW13" s="329">
        <v>42040</v>
      </c>
      <c r="AX13" s="336" t="s">
        <v>1052</v>
      </c>
      <c r="AY13" s="337">
        <v>19</v>
      </c>
      <c r="AZ13" s="333"/>
      <c r="BA13" s="329">
        <v>42404</v>
      </c>
      <c r="BB13" s="336" t="s">
        <v>1870</v>
      </c>
      <c r="BC13" s="337">
        <v>146</v>
      </c>
      <c r="BD13" s="333"/>
      <c r="BE13" s="329">
        <v>42770</v>
      </c>
      <c r="BF13" s="339" t="s">
        <v>1871</v>
      </c>
      <c r="BG13" s="337">
        <v>27</v>
      </c>
      <c r="BH13" s="332"/>
      <c r="BI13" s="329">
        <v>43132</v>
      </c>
      <c r="BJ13" s="339" t="s">
        <v>1872</v>
      </c>
      <c r="BK13" s="337">
        <v>14</v>
      </c>
      <c r="BL13" s="332"/>
      <c r="BM13" s="329"/>
      <c r="BN13" s="339"/>
      <c r="BO13" s="337"/>
      <c r="BP13" s="332"/>
      <c r="BQ13" s="895">
        <v>43498</v>
      </c>
      <c r="BR13" s="901" t="s">
        <v>872</v>
      </c>
      <c r="BS13" s="902">
        <v>24</v>
      </c>
      <c r="BT13" s="899" t="s">
        <v>414</v>
      </c>
      <c r="BU13" s="895">
        <v>43862</v>
      </c>
      <c r="BV13" s="903" t="s">
        <v>826</v>
      </c>
      <c r="BW13" s="908">
        <v>288</v>
      </c>
      <c r="BX13" s="899" t="s">
        <v>689</v>
      </c>
      <c r="BY13" s="895">
        <v>44230</v>
      </c>
      <c r="BZ13" s="903" t="s">
        <v>1873</v>
      </c>
      <c r="CA13" s="908">
        <v>38</v>
      </c>
      <c r="CB13" s="899" t="s">
        <v>414</v>
      </c>
      <c r="CC13" s="895">
        <v>44595</v>
      </c>
      <c r="CD13" s="903" t="s">
        <v>1874</v>
      </c>
      <c r="CE13" s="908">
        <v>7</v>
      </c>
      <c r="CF13" s="899" t="s">
        <v>692</v>
      </c>
      <c r="CG13" s="895">
        <v>44960</v>
      </c>
      <c r="CH13" s="903" t="s">
        <v>845</v>
      </c>
      <c r="CI13" s="908">
        <v>77</v>
      </c>
      <c r="CJ13" s="899" t="s">
        <v>414</v>
      </c>
      <c r="CK13" s="1553">
        <v>45323</v>
      </c>
      <c r="CL13" s="1554" t="s">
        <v>828</v>
      </c>
      <c r="CM13" s="1557">
        <v>7</v>
      </c>
      <c r="CN13" s="1556" t="s">
        <v>414</v>
      </c>
      <c r="CO13" s="2055">
        <v>45689</v>
      </c>
      <c r="CP13" s="2056" t="s">
        <v>772</v>
      </c>
      <c r="CQ13" s="1403">
        <v>69</v>
      </c>
      <c r="CR13" s="2057" t="s">
        <v>414</v>
      </c>
    </row>
    <row r="14" spans="1:96">
      <c r="A14" s="329">
        <v>37653</v>
      </c>
      <c r="B14" s="339" t="s">
        <v>864</v>
      </c>
      <c r="C14" s="337">
        <v>30</v>
      </c>
      <c r="D14" s="332">
        <v>61</v>
      </c>
      <c r="E14" s="329">
        <v>37653</v>
      </c>
      <c r="F14" s="339" t="s">
        <v>864</v>
      </c>
      <c r="G14" s="337">
        <v>30</v>
      </c>
      <c r="H14" s="332">
        <v>50</v>
      </c>
      <c r="I14" s="329">
        <v>38391</v>
      </c>
      <c r="J14" s="339" t="s">
        <v>1875</v>
      </c>
      <c r="K14" s="337">
        <v>35</v>
      </c>
      <c r="L14" s="332"/>
      <c r="M14" s="329">
        <v>38755</v>
      </c>
      <c r="N14" s="339" t="s">
        <v>1876</v>
      </c>
      <c r="O14" s="337">
        <v>4</v>
      </c>
      <c r="P14" s="332"/>
      <c r="Q14" s="329">
        <v>39118</v>
      </c>
      <c r="R14" s="339" t="s">
        <v>787</v>
      </c>
      <c r="S14" s="337">
        <v>19</v>
      </c>
      <c r="T14" s="332"/>
      <c r="U14" s="329">
        <v>39481</v>
      </c>
      <c r="V14" s="336" t="s">
        <v>1877</v>
      </c>
      <c r="W14" s="341">
        <v>40</v>
      </c>
      <c r="X14" s="342"/>
      <c r="Y14" s="329">
        <v>39852</v>
      </c>
      <c r="Z14" s="336" t="s">
        <v>797</v>
      </c>
      <c r="AA14" s="341">
        <v>33</v>
      </c>
      <c r="AB14" s="342"/>
      <c r="AC14" s="329">
        <v>40216</v>
      </c>
      <c r="AD14" s="336" t="s">
        <v>937</v>
      </c>
      <c r="AE14" s="341">
        <v>3</v>
      </c>
      <c r="AF14" s="332"/>
      <c r="AG14" s="329">
        <v>40579</v>
      </c>
      <c r="AH14" s="336" t="s">
        <v>1878</v>
      </c>
      <c r="AI14" s="341">
        <v>10</v>
      </c>
      <c r="AJ14" s="332"/>
      <c r="AK14" s="329">
        <v>40946</v>
      </c>
      <c r="AL14" s="336" t="s">
        <v>1879</v>
      </c>
      <c r="AM14" s="337">
        <v>47</v>
      </c>
      <c r="AN14" s="332"/>
      <c r="AO14" s="329">
        <v>41308</v>
      </c>
      <c r="AP14" s="336" t="s">
        <v>1880</v>
      </c>
      <c r="AQ14" s="341">
        <v>15</v>
      </c>
      <c r="AR14" s="332"/>
      <c r="AS14" s="329">
        <v>41678</v>
      </c>
      <c r="AT14" s="336" t="s">
        <v>754</v>
      </c>
      <c r="AU14" s="337">
        <v>75</v>
      </c>
      <c r="AV14" s="332"/>
      <c r="AW14" s="329">
        <v>42041</v>
      </c>
      <c r="AX14" s="336" t="s">
        <v>925</v>
      </c>
      <c r="AY14" s="337">
        <v>6</v>
      </c>
      <c r="AZ14" s="333"/>
      <c r="BA14" s="329">
        <v>42405</v>
      </c>
      <c r="BB14" s="336" t="s">
        <v>998</v>
      </c>
      <c r="BC14" s="337">
        <v>42</v>
      </c>
      <c r="BD14" s="333"/>
      <c r="BE14" s="329">
        <v>42770</v>
      </c>
      <c r="BF14" s="339" t="s">
        <v>823</v>
      </c>
      <c r="BG14" s="337">
        <v>10</v>
      </c>
      <c r="BH14" s="332"/>
      <c r="BI14" s="329">
        <v>43132</v>
      </c>
      <c r="BJ14" s="339" t="s">
        <v>1881</v>
      </c>
      <c r="BK14" s="337">
        <v>18</v>
      </c>
      <c r="BL14" s="332"/>
      <c r="BM14" s="329"/>
      <c r="BN14" s="339"/>
      <c r="BO14" s="337"/>
      <c r="BP14" s="332"/>
      <c r="BQ14" s="895">
        <v>43498</v>
      </c>
      <c r="BR14" s="901" t="s">
        <v>843</v>
      </c>
      <c r="BS14" s="902">
        <v>39</v>
      </c>
      <c r="BT14" s="899" t="s">
        <v>414</v>
      </c>
      <c r="BU14" s="895">
        <v>43862</v>
      </c>
      <c r="BV14" s="903" t="s">
        <v>875</v>
      </c>
      <c r="BW14" s="908">
        <v>30</v>
      </c>
      <c r="BX14" s="899" t="s">
        <v>689</v>
      </c>
      <c r="BY14" s="895">
        <v>44232</v>
      </c>
      <c r="BZ14" s="901" t="s">
        <v>1882</v>
      </c>
      <c r="CA14" s="908">
        <v>171</v>
      </c>
      <c r="CB14" s="899" t="s">
        <v>701</v>
      </c>
      <c r="CC14" s="895">
        <v>44595</v>
      </c>
      <c r="CD14" s="901" t="s">
        <v>1883</v>
      </c>
      <c r="CE14" s="908">
        <v>17</v>
      </c>
      <c r="CF14" s="899" t="s">
        <v>414</v>
      </c>
      <c r="CG14" s="895">
        <v>44960</v>
      </c>
      <c r="CH14" s="901" t="s">
        <v>1884</v>
      </c>
      <c r="CI14" s="908">
        <v>25</v>
      </c>
      <c r="CJ14" s="899" t="s">
        <v>426</v>
      </c>
      <c r="CK14" s="1017">
        <v>45323</v>
      </c>
      <c r="CL14" s="1019" t="s">
        <v>845</v>
      </c>
      <c r="CM14" s="1065">
        <v>48</v>
      </c>
      <c r="CN14" s="1396" t="s">
        <v>414</v>
      </c>
      <c r="CO14" s="2055">
        <v>45689</v>
      </c>
      <c r="CP14" s="2056" t="s">
        <v>948</v>
      </c>
      <c r="CQ14" s="2058">
        <v>60</v>
      </c>
      <c r="CR14" s="2057" t="s">
        <v>414</v>
      </c>
    </row>
    <row r="15" spans="1:96">
      <c r="A15" s="329">
        <v>37653</v>
      </c>
      <c r="B15" s="339" t="s">
        <v>419</v>
      </c>
      <c r="C15" s="337">
        <v>250</v>
      </c>
      <c r="D15" s="332"/>
      <c r="E15" s="329">
        <v>37653</v>
      </c>
      <c r="F15" s="339" t="s">
        <v>419</v>
      </c>
      <c r="G15" s="337">
        <v>158</v>
      </c>
      <c r="H15" s="332">
        <v>40</v>
      </c>
      <c r="I15" s="329">
        <v>38395</v>
      </c>
      <c r="J15" s="339" t="s">
        <v>772</v>
      </c>
      <c r="K15" s="337">
        <v>123</v>
      </c>
      <c r="L15" s="332"/>
      <c r="M15" s="329">
        <v>38759</v>
      </c>
      <c r="N15" s="339" t="s">
        <v>937</v>
      </c>
      <c r="O15" s="337">
        <v>18</v>
      </c>
      <c r="P15" s="332"/>
      <c r="Q15" s="329">
        <v>39118</v>
      </c>
      <c r="R15" s="339" t="s">
        <v>767</v>
      </c>
      <c r="S15" s="337">
        <v>10</v>
      </c>
      <c r="T15" s="332"/>
      <c r="U15" s="329">
        <v>39483</v>
      </c>
      <c r="V15" s="339" t="s">
        <v>1885</v>
      </c>
      <c r="W15" s="337">
        <v>59</v>
      </c>
      <c r="X15" s="332"/>
      <c r="Y15" s="329">
        <v>39853</v>
      </c>
      <c r="Z15" s="339" t="s">
        <v>1820</v>
      </c>
      <c r="AA15" s="337">
        <v>2</v>
      </c>
      <c r="AB15" s="332"/>
      <c r="AC15" s="329">
        <v>40216</v>
      </c>
      <c r="AD15" s="336" t="s">
        <v>1886</v>
      </c>
      <c r="AE15" s="341">
        <v>103</v>
      </c>
      <c r="AF15" s="332"/>
      <c r="AG15" s="329">
        <v>40579</v>
      </c>
      <c r="AH15" s="336" t="s">
        <v>1887</v>
      </c>
      <c r="AI15" s="341">
        <v>8</v>
      </c>
      <c r="AJ15" s="332"/>
      <c r="AK15" s="329">
        <v>40946</v>
      </c>
      <c r="AL15" s="336" t="s">
        <v>1888</v>
      </c>
      <c r="AM15" s="341">
        <v>25</v>
      </c>
      <c r="AN15" s="332"/>
      <c r="AO15" s="329">
        <v>41308</v>
      </c>
      <c r="AP15" s="336" t="s">
        <v>781</v>
      </c>
      <c r="AQ15" s="341">
        <v>57</v>
      </c>
      <c r="AR15" s="332"/>
      <c r="AS15" s="329">
        <v>41678</v>
      </c>
      <c r="AT15" s="336" t="s">
        <v>772</v>
      </c>
      <c r="AU15" s="337">
        <v>93</v>
      </c>
      <c r="AV15" s="332"/>
      <c r="AW15" s="329">
        <v>42042</v>
      </c>
      <c r="AX15" s="336" t="s">
        <v>998</v>
      </c>
      <c r="AY15" s="337">
        <v>10</v>
      </c>
      <c r="AZ15" s="333"/>
      <c r="BA15" s="329">
        <v>42405</v>
      </c>
      <c r="BB15" s="336" t="s">
        <v>954</v>
      </c>
      <c r="BC15" s="337">
        <v>85</v>
      </c>
      <c r="BD15" s="333"/>
      <c r="BE15" s="329">
        <v>42770</v>
      </c>
      <c r="BF15" s="339" t="s">
        <v>1889</v>
      </c>
      <c r="BG15" s="337">
        <v>11</v>
      </c>
      <c r="BH15" s="332"/>
      <c r="BI15" s="329">
        <v>43132</v>
      </c>
      <c r="BJ15" s="339" t="s">
        <v>1890</v>
      </c>
      <c r="BK15" s="337">
        <v>7</v>
      </c>
      <c r="BL15" s="332"/>
      <c r="BM15" s="329"/>
      <c r="BN15" s="339"/>
      <c r="BO15" s="337"/>
      <c r="BP15" s="332"/>
      <c r="BQ15" s="895">
        <v>43498</v>
      </c>
      <c r="BR15" s="901" t="s">
        <v>1427</v>
      </c>
      <c r="BS15" s="902">
        <v>3</v>
      </c>
      <c r="BT15" s="899" t="s">
        <v>414</v>
      </c>
      <c r="BU15" s="895">
        <v>43863</v>
      </c>
      <c r="BV15" s="901" t="s">
        <v>873</v>
      </c>
      <c r="BW15" s="908">
        <v>31</v>
      </c>
      <c r="BX15" s="899" t="s">
        <v>414</v>
      </c>
      <c r="BY15" s="895">
        <v>44232</v>
      </c>
      <c r="BZ15" s="901" t="s">
        <v>1891</v>
      </c>
      <c r="CA15" s="908">
        <v>175</v>
      </c>
      <c r="CB15" s="899" t="s">
        <v>701</v>
      </c>
      <c r="CC15" s="895">
        <v>44595</v>
      </c>
      <c r="CD15" s="901" t="s">
        <v>1633</v>
      </c>
      <c r="CE15" s="908">
        <v>14</v>
      </c>
      <c r="CF15" s="899" t="s">
        <v>414</v>
      </c>
      <c r="CG15" s="895">
        <v>44963</v>
      </c>
      <c r="CH15" s="901" t="s">
        <v>1892</v>
      </c>
      <c r="CI15" s="908">
        <v>0</v>
      </c>
      <c r="CJ15" s="899" t="s">
        <v>700</v>
      </c>
      <c r="CK15" s="1017">
        <v>45323</v>
      </c>
      <c r="CL15" s="903" t="s">
        <v>772</v>
      </c>
      <c r="CM15" s="908">
        <v>37</v>
      </c>
      <c r="CN15" s="1396" t="s">
        <v>414</v>
      </c>
      <c r="CO15" s="2055">
        <v>45689</v>
      </c>
      <c r="CP15" s="2056" t="s">
        <v>1694</v>
      </c>
      <c r="CQ15" s="2059">
        <v>90</v>
      </c>
      <c r="CR15" s="2057" t="s">
        <v>414</v>
      </c>
    </row>
    <row r="16" spans="1:96">
      <c r="A16" s="329">
        <v>37654</v>
      </c>
      <c r="B16" s="339" t="s">
        <v>915</v>
      </c>
      <c r="C16" s="337">
        <v>35</v>
      </c>
      <c r="D16" s="332"/>
      <c r="E16" s="329">
        <v>37653</v>
      </c>
      <c r="F16" s="339" t="s">
        <v>937</v>
      </c>
      <c r="G16" s="337">
        <v>10</v>
      </c>
      <c r="H16" s="332"/>
      <c r="I16" s="329">
        <v>38395</v>
      </c>
      <c r="J16" s="339" t="s">
        <v>1893</v>
      </c>
      <c r="K16" s="337">
        <v>6</v>
      </c>
      <c r="L16" s="332"/>
      <c r="M16" s="329">
        <v>38759</v>
      </c>
      <c r="N16" s="339" t="s">
        <v>797</v>
      </c>
      <c r="O16" s="337">
        <v>32</v>
      </c>
      <c r="P16" s="332"/>
      <c r="Q16" s="329">
        <v>39118</v>
      </c>
      <c r="R16" s="339" t="s">
        <v>1894</v>
      </c>
      <c r="S16" s="337">
        <v>8</v>
      </c>
      <c r="T16" s="332"/>
      <c r="U16" s="329">
        <v>39483</v>
      </c>
      <c r="V16" s="339" t="s">
        <v>802</v>
      </c>
      <c r="W16" s="337">
        <v>42</v>
      </c>
      <c r="X16" s="332"/>
      <c r="Y16" s="329">
        <v>39854</v>
      </c>
      <c r="Z16" s="339" t="s">
        <v>1895</v>
      </c>
      <c r="AA16" s="337">
        <v>32</v>
      </c>
      <c r="AB16" s="332"/>
      <c r="AC16" s="329">
        <v>40218</v>
      </c>
      <c r="AD16" s="336" t="s">
        <v>1896</v>
      </c>
      <c r="AE16" s="341">
        <v>26</v>
      </c>
      <c r="AF16" s="342"/>
      <c r="AG16" s="329">
        <v>40580</v>
      </c>
      <c r="AH16" s="336" t="s">
        <v>802</v>
      </c>
      <c r="AI16" s="341">
        <v>35</v>
      </c>
      <c r="AJ16" s="342"/>
      <c r="AK16" s="329">
        <v>40946</v>
      </c>
      <c r="AL16" s="336" t="s">
        <v>1897</v>
      </c>
      <c r="AM16" s="341">
        <v>13</v>
      </c>
      <c r="AN16" s="332"/>
      <c r="AO16" s="329">
        <v>41308</v>
      </c>
      <c r="AP16" s="336" t="s">
        <v>797</v>
      </c>
      <c r="AQ16" s="341">
        <v>57</v>
      </c>
      <c r="AR16" s="342"/>
      <c r="AS16" s="329">
        <v>41678</v>
      </c>
      <c r="AT16" s="336" t="s">
        <v>797</v>
      </c>
      <c r="AU16" s="341">
        <v>55</v>
      </c>
      <c r="AV16" s="332"/>
      <c r="AW16" s="329">
        <v>42042</v>
      </c>
      <c r="AX16" s="336" t="s">
        <v>1898</v>
      </c>
      <c r="AY16" s="337">
        <v>25</v>
      </c>
      <c r="AZ16" s="333"/>
      <c r="BA16" s="329">
        <v>42405</v>
      </c>
      <c r="BB16" s="336" t="s">
        <v>1899</v>
      </c>
      <c r="BC16" s="341">
        <v>10</v>
      </c>
      <c r="BD16" s="333"/>
      <c r="BE16" s="329">
        <v>42774</v>
      </c>
      <c r="BF16" s="339" t="s">
        <v>1900</v>
      </c>
      <c r="BG16" s="337">
        <v>6</v>
      </c>
      <c r="BH16" s="332"/>
      <c r="BI16" s="329">
        <v>43132</v>
      </c>
      <c r="BJ16" s="339" t="s">
        <v>1901</v>
      </c>
      <c r="BK16" s="337">
        <v>66</v>
      </c>
      <c r="BL16" s="332"/>
      <c r="BM16" s="329"/>
      <c r="BN16" s="339"/>
      <c r="BO16" s="337"/>
      <c r="BP16" s="332"/>
      <c r="BQ16" s="895">
        <v>43498</v>
      </c>
      <c r="BR16" s="901" t="s">
        <v>1902</v>
      </c>
      <c r="BS16" s="902">
        <v>460</v>
      </c>
      <c r="BT16" s="899" t="s">
        <v>426</v>
      </c>
      <c r="BU16" s="895">
        <v>43868</v>
      </c>
      <c r="BV16" s="901" t="s">
        <v>1903</v>
      </c>
      <c r="BW16" s="908">
        <v>79</v>
      </c>
      <c r="BX16" s="899" t="s">
        <v>700</v>
      </c>
      <c r="BY16" s="895">
        <v>44232</v>
      </c>
      <c r="BZ16" s="901" t="s">
        <v>1904</v>
      </c>
      <c r="CA16" s="908">
        <v>8</v>
      </c>
      <c r="CB16" s="899" t="s">
        <v>701</v>
      </c>
      <c r="CC16" s="895">
        <v>44595</v>
      </c>
      <c r="CD16" s="901" t="s">
        <v>1905</v>
      </c>
      <c r="CE16" s="908">
        <v>35</v>
      </c>
      <c r="CF16" s="899" t="s">
        <v>414</v>
      </c>
      <c r="CG16" s="895">
        <v>44963</v>
      </c>
      <c r="CH16" s="901" t="s">
        <v>1906</v>
      </c>
      <c r="CI16" s="908">
        <v>151</v>
      </c>
      <c r="CJ16" s="899" t="s">
        <v>414</v>
      </c>
      <c r="CK16" s="1017">
        <v>45323</v>
      </c>
      <c r="CL16" s="901" t="s">
        <v>843</v>
      </c>
      <c r="CM16" s="908">
        <v>57</v>
      </c>
      <c r="CN16" s="1396" t="s">
        <v>414</v>
      </c>
      <c r="CO16" s="2055">
        <v>45689</v>
      </c>
      <c r="CP16" s="2056" t="s">
        <v>797</v>
      </c>
      <c r="CQ16" s="2059">
        <v>30</v>
      </c>
      <c r="CR16" s="2057" t="s">
        <v>414</v>
      </c>
    </row>
    <row r="17" spans="1:96">
      <c r="A17" s="329">
        <v>37663</v>
      </c>
      <c r="B17" s="339" t="s">
        <v>915</v>
      </c>
      <c r="C17" s="337">
        <v>15</v>
      </c>
      <c r="D17" s="332"/>
      <c r="E17" s="329">
        <v>38028</v>
      </c>
      <c r="F17" s="339" t="s">
        <v>1907</v>
      </c>
      <c r="G17" s="337">
        <v>60</v>
      </c>
      <c r="H17" s="332"/>
      <c r="I17" s="329">
        <v>38409</v>
      </c>
      <c r="J17" s="339" t="s">
        <v>1908</v>
      </c>
      <c r="K17" s="337">
        <v>32</v>
      </c>
      <c r="L17" s="332"/>
      <c r="M17" s="329">
        <v>38768</v>
      </c>
      <c r="N17" s="339" t="s">
        <v>797</v>
      </c>
      <c r="O17" s="337">
        <v>26</v>
      </c>
      <c r="P17" s="332"/>
      <c r="Q17" s="329">
        <v>39131</v>
      </c>
      <c r="R17" s="339" t="s">
        <v>1909</v>
      </c>
      <c r="S17" s="337">
        <v>25</v>
      </c>
      <c r="T17" s="332"/>
      <c r="U17" s="329">
        <v>39499</v>
      </c>
      <c r="V17" s="339" t="s">
        <v>1910</v>
      </c>
      <c r="W17" s="337">
        <v>288</v>
      </c>
      <c r="X17" s="332"/>
      <c r="Y17" s="329">
        <v>39867</v>
      </c>
      <c r="Z17" s="339" t="s">
        <v>1820</v>
      </c>
      <c r="AA17" s="337">
        <v>2</v>
      </c>
      <c r="AB17" s="332"/>
      <c r="AC17" s="329">
        <v>40224</v>
      </c>
      <c r="AD17" s="339" t="s">
        <v>1911</v>
      </c>
      <c r="AE17" s="337">
        <v>8</v>
      </c>
      <c r="AF17" s="332"/>
      <c r="AG17" s="329">
        <v>40587</v>
      </c>
      <c r="AH17" s="339" t="s">
        <v>1912</v>
      </c>
      <c r="AI17" s="337">
        <v>8</v>
      </c>
      <c r="AJ17" s="332"/>
      <c r="AK17" s="329">
        <v>40951</v>
      </c>
      <c r="AL17" s="339" t="s">
        <v>1913</v>
      </c>
      <c r="AM17" s="337">
        <v>15</v>
      </c>
      <c r="AN17" s="332"/>
      <c r="AO17" s="329">
        <v>41322</v>
      </c>
      <c r="AP17" s="339" t="s">
        <v>1914</v>
      </c>
      <c r="AQ17" s="337">
        <v>120</v>
      </c>
      <c r="AR17" s="332"/>
      <c r="AS17" s="329">
        <v>41687</v>
      </c>
      <c r="AT17" s="339" t="s">
        <v>772</v>
      </c>
      <c r="AU17" s="337">
        <v>24</v>
      </c>
      <c r="AV17" s="332"/>
      <c r="AW17" s="329">
        <v>42054</v>
      </c>
      <c r="AX17" s="339" t="s">
        <v>754</v>
      </c>
      <c r="AY17" s="337">
        <v>53</v>
      </c>
      <c r="AZ17" s="333"/>
      <c r="BA17" s="329">
        <v>42412</v>
      </c>
      <c r="BB17" s="339" t="s">
        <v>1915</v>
      </c>
      <c r="BC17" s="337">
        <v>25</v>
      </c>
      <c r="BD17" s="333"/>
      <c r="BE17" s="329">
        <v>42784</v>
      </c>
      <c r="BF17" s="339" t="s">
        <v>1916</v>
      </c>
      <c r="BG17" s="337">
        <v>8</v>
      </c>
      <c r="BH17" s="332"/>
      <c r="BI17" s="329">
        <v>43139</v>
      </c>
      <c r="BJ17" s="339" t="s">
        <v>1917</v>
      </c>
      <c r="BK17" s="337">
        <v>180</v>
      </c>
      <c r="BL17" s="332"/>
      <c r="BM17" s="329"/>
      <c r="BN17" s="339"/>
      <c r="BO17" s="337"/>
      <c r="BP17" s="332"/>
      <c r="BQ17" s="895">
        <v>43508</v>
      </c>
      <c r="BR17" s="901" t="s">
        <v>1918</v>
      </c>
      <c r="BS17" s="902">
        <v>3</v>
      </c>
      <c r="BT17" s="899" t="s">
        <v>702</v>
      </c>
      <c r="BU17" s="895">
        <v>43876</v>
      </c>
      <c r="BV17" s="901" t="s">
        <v>797</v>
      </c>
      <c r="BW17" s="908">
        <v>41</v>
      </c>
      <c r="BX17" s="899" t="s">
        <v>410</v>
      </c>
      <c r="BY17" s="895">
        <v>44237</v>
      </c>
      <c r="BZ17" s="901" t="s">
        <v>1391</v>
      </c>
      <c r="CA17" s="908">
        <v>11</v>
      </c>
      <c r="CB17" s="899" t="s">
        <v>414</v>
      </c>
      <c r="CC17" s="895">
        <v>44595</v>
      </c>
      <c r="CD17" s="901" t="s">
        <v>1919</v>
      </c>
      <c r="CE17" s="908">
        <v>14</v>
      </c>
      <c r="CF17" s="899" t="s">
        <v>693</v>
      </c>
      <c r="CG17" s="895">
        <v>44976</v>
      </c>
      <c r="CH17" s="901" t="s">
        <v>1920</v>
      </c>
      <c r="CI17" s="908">
        <v>17</v>
      </c>
      <c r="CJ17" s="899" t="s">
        <v>414</v>
      </c>
      <c r="CK17" s="895">
        <v>45332</v>
      </c>
      <c r="CL17" s="901" t="s">
        <v>1921</v>
      </c>
      <c r="CM17" s="908">
        <v>13</v>
      </c>
      <c r="CN17" s="1396" t="s">
        <v>414</v>
      </c>
      <c r="CO17" s="895">
        <v>45696</v>
      </c>
      <c r="CP17" s="901" t="s">
        <v>1922</v>
      </c>
      <c r="CQ17" s="908">
        <v>0</v>
      </c>
      <c r="CR17" s="1396" t="s">
        <v>700</v>
      </c>
    </row>
    <row r="18" spans="1:96">
      <c r="A18" s="329">
        <v>37663</v>
      </c>
      <c r="B18" s="339" t="s">
        <v>1590</v>
      </c>
      <c r="C18" s="337">
        <v>14</v>
      </c>
      <c r="D18" s="332"/>
      <c r="E18" s="329">
        <v>38028</v>
      </c>
      <c r="F18" s="339" t="s">
        <v>1923</v>
      </c>
      <c r="G18" s="337">
        <v>10</v>
      </c>
      <c r="H18" s="332"/>
      <c r="I18" s="329">
        <v>38409</v>
      </c>
      <c r="J18" s="339" t="s">
        <v>1924</v>
      </c>
      <c r="K18" s="337">
        <v>17</v>
      </c>
      <c r="L18" s="332"/>
      <c r="M18" s="329">
        <v>38768</v>
      </c>
      <c r="N18" s="339" t="s">
        <v>1925</v>
      </c>
      <c r="O18" s="337">
        <v>12</v>
      </c>
      <c r="P18" s="332"/>
      <c r="Q18" s="329">
        <v>39131</v>
      </c>
      <c r="R18" s="339" t="s">
        <v>1926</v>
      </c>
      <c r="S18" s="337">
        <v>8</v>
      </c>
      <c r="T18" s="332"/>
      <c r="U18" s="329">
        <v>39501</v>
      </c>
      <c r="V18" s="339" t="s">
        <v>797</v>
      </c>
      <c r="W18" s="337">
        <v>45</v>
      </c>
      <c r="X18" s="332"/>
      <c r="Y18" s="329">
        <v>39868</v>
      </c>
      <c r="Z18" s="339" t="s">
        <v>1052</v>
      </c>
      <c r="AA18" s="337">
        <v>18</v>
      </c>
      <c r="AB18" s="332"/>
      <c r="AC18" s="329">
        <v>40224</v>
      </c>
      <c r="AD18" s="339" t="s">
        <v>1927</v>
      </c>
      <c r="AE18" s="337">
        <v>10</v>
      </c>
      <c r="AF18" s="332"/>
      <c r="AG18" s="329">
        <v>40588</v>
      </c>
      <c r="AH18" s="339" t="s">
        <v>1928</v>
      </c>
      <c r="AI18" s="337">
        <v>45</v>
      </c>
      <c r="AJ18" s="332"/>
      <c r="AK18" s="329">
        <v>40951</v>
      </c>
      <c r="AL18" s="339" t="s">
        <v>1929</v>
      </c>
      <c r="AM18" s="337">
        <v>13</v>
      </c>
      <c r="AN18" s="332"/>
      <c r="AO18" s="329">
        <v>41322</v>
      </c>
      <c r="AP18" s="339" t="s">
        <v>797</v>
      </c>
      <c r="AQ18" s="337">
        <v>51</v>
      </c>
      <c r="AR18" s="332"/>
      <c r="AS18" s="329">
        <v>41687</v>
      </c>
      <c r="AT18" s="339" t="s">
        <v>754</v>
      </c>
      <c r="AU18" s="337">
        <v>30</v>
      </c>
      <c r="AV18" s="332"/>
      <c r="AW18" s="329">
        <v>42055</v>
      </c>
      <c r="AX18" s="336" t="s">
        <v>1930</v>
      </c>
      <c r="AY18" s="337">
        <v>36</v>
      </c>
      <c r="AZ18" s="333"/>
      <c r="BA18" s="329">
        <v>42413</v>
      </c>
      <c r="BB18" s="339" t="s">
        <v>754</v>
      </c>
      <c r="BC18" s="337">
        <v>33</v>
      </c>
      <c r="BD18" s="333"/>
      <c r="BE18" s="329">
        <v>42784</v>
      </c>
      <c r="BF18" s="339" t="s">
        <v>1931</v>
      </c>
      <c r="BG18" s="337">
        <v>18</v>
      </c>
      <c r="BH18" s="332"/>
      <c r="BI18" s="329">
        <v>43139</v>
      </c>
      <c r="BJ18" s="339" t="s">
        <v>797</v>
      </c>
      <c r="BK18" s="337">
        <v>55</v>
      </c>
      <c r="BL18" s="332"/>
      <c r="BM18" s="329"/>
      <c r="BN18" s="339"/>
      <c r="BO18" s="337"/>
      <c r="BP18" s="332"/>
      <c r="BQ18" s="895">
        <v>43510</v>
      </c>
      <c r="BR18" s="901" t="s">
        <v>1932</v>
      </c>
      <c r="BS18" s="902">
        <v>0</v>
      </c>
      <c r="BT18" s="899" t="s">
        <v>700</v>
      </c>
      <c r="BU18" s="895">
        <v>43876</v>
      </c>
      <c r="BV18" s="901" t="s">
        <v>1180</v>
      </c>
      <c r="BW18" s="908">
        <v>82</v>
      </c>
      <c r="BX18" s="899" t="s">
        <v>410</v>
      </c>
      <c r="BY18" s="895">
        <v>44237</v>
      </c>
      <c r="BZ18" s="901" t="s">
        <v>1933</v>
      </c>
      <c r="CA18" s="908">
        <v>9</v>
      </c>
      <c r="CB18" s="899" t="s">
        <v>414</v>
      </c>
      <c r="CC18" s="895">
        <v>44595</v>
      </c>
      <c r="CD18" s="901" t="s">
        <v>1934</v>
      </c>
      <c r="CE18" s="908">
        <v>20</v>
      </c>
      <c r="CF18" s="899" t="s">
        <v>693</v>
      </c>
      <c r="CG18" s="895">
        <v>44977</v>
      </c>
      <c r="CH18" s="901" t="s">
        <v>1935</v>
      </c>
      <c r="CI18" s="908">
        <v>80</v>
      </c>
      <c r="CJ18" s="899" t="s">
        <v>414</v>
      </c>
      <c r="CK18" s="895">
        <v>45332</v>
      </c>
      <c r="CL18" s="901" t="s">
        <v>1936</v>
      </c>
      <c r="CM18" s="908">
        <v>7</v>
      </c>
      <c r="CN18" s="1396" t="s">
        <v>414</v>
      </c>
      <c r="CO18" s="895">
        <v>45696</v>
      </c>
      <c r="CP18" s="901" t="s">
        <v>1839</v>
      </c>
      <c r="CQ18" s="908">
        <v>0</v>
      </c>
      <c r="CR18" s="1396" t="s">
        <v>700</v>
      </c>
    </row>
    <row r="19" spans="1:96">
      <c r="A19" s="329">
        <v>37664</v>
      </c>
      <c r="B19" s="339" t="s">
        <v>1937</v>
      </c>
      <c r="C19" s="337"/>
      <c r="D19" s="332">
        <v>75</v>
      </c>
      <c r="E19" s="329">
        <v>38028</v>
      </c>
      <c r="F19" s="339" t="s">
        <v>1938</v>
      </c>
      <c r="G19" s="337">
        <v>58</v>
      </c>
      <c r="H19" s="332"/>
      <c r="I19" s="329">
        <v>38409</v>
      </c>
      <c r="J19" s="339" t="s">
        <v>1939</v>
      </c>
      <c r="K19" s="337">
        <v>10</v>
      </c>
      <c r="L19" s="332"/>
      <c r="M19" s="329">
        <v>38769</v>
      </c>
      <c r="N19" s="339" t="s">
        <v>772</v>
      </c>
      <c r="O19" s="337">
        <v>70</v>
      </c>
      <c r="P19" s="332"/>
      <c r="Q19" s="329">
        <v>39134</v>
      </c>
      <c r="R19" s="339" t="s">
        <v>767</v>
      </c>
      <c r="S19" s="337">
        <v>28</v>
      </c>
      <c r="T19" s="332"/>
      <c r="U19" s="329">
        <v>39501</v>
      </c>
      <c r="V19" s="339" t="s">
        <v>1940</v>
      </c>
      <c r="W19" s="337">
        <v>287</v>
      </c>
      <c r="X19" s="332"/>
      <c r="Y19" s="329">
        <v>39868</v>
      </c>
      <c r="Z19" s="339" t="s">
        <v>1941</v>
      </c>
      <c r="AA19" s="337">
        <v>1</v>
      </c>
      <c r="AB19" s="332"/>
      <c r="AC19" s="329">
        <v>40224</v>
      </c>
      <c r="AD19" s="339" t="s">
        <v>1942</v>
      </c>
      <c r="AE19" s="337">
        <v>20</v>
      </c>
      <c r="AF19" s="332"/>
      <c r="AG19" s="329">
        <v>40590</v>
      </c>
      <c r="AH19" s="339" t="s">
        <v>1943</v>
      </c>
      <c r="AI19" s="337">
        <v>129</v>
      </c>
      <c r="AJ19" s="332"/>
      <c r="AK19" s="329">
        <v>40951</v>
      </c>
      <c r="AL19" s="339" t="s">
        <v>1944</v>
      </c>
      <c r="AM19" s="337">
        <v>12</v>
      </c>
      <c r="AN19" s="332"/>
      <c r="AO19" s="329">
        <v>41322</v>
      </c>
      <c r="AP19" s="339" t="s">
        <v>1945</v>
      </c>
      <c r="AQ19" s="337">
        <v>16</v>
      </c>
      <c r="AR19" s="332"/>
      <c r="AS19" s="329">
        <v>41689</v>
      </c>
      <c r="AT19" s="339" t="s">
        <v>802</v>
      </c>
      <c r="AU19" s="337">
        <v>50</v>
      </c>
      <c r="AV19" s="332"/>
      <c r="AW19" s="329">
        <v>42055</v>
      </c>
      <c r="AX19" s="339" t="s">
        <v>802</v>
      </c>
      <c r="AY19" s="337">
        <v>33</v>
      </c>
      <c r="AZ19" s="333"/>
      <c r="BA19" s="329">
        <v>42413</v>
      </c>
      <c r="BB19" s="339" t="s">
        <v>1946</v>
      </c>
      <c r="BC19" s="337">
        <v>35</v>
      </c>
      <c r="BD19" s="333"/>
      <c r="BE19" s="329">
        <v>42784</v>
      </c>
      <c r="BF19" s="339" t="s">
        <v>1947</v>
      </c>
      <c r="BG19" s="337">
        <v>27</v>
      </c>
      <c r="BH19" s="332"/>
      <c r="BI19" s="329">
        <v>43139</v>
      </c>
      <c r="BJ19" s="339" t="s">
        <v>1948</v>
      </c>
      <c r="BK19" s="337">
        <v>35</v>
      </c>
      <c r="BL19" s="332"/>
      <c r="BM19" s="329"/>
      <c r="BN19" s="339"/>
      <c r="BO19" s="337"/>
      <c r="BP19" s="332"/>
      <c r="BQ19" s="895">
        <v>43512</v>
      </c>
      <c r="BR19" s="901" t="s">
        <v>823</v>
      </c>
      <c r="BS19" s="902">
        <v>33</v>
      </c>
      <c r="BT19" s="899" t="s">
        <v>414</v>
      </c>
      <c r="BU19" s="895">
        <v>43876</v>
      </c>
      <c r="BV19" s="901" t="s">
        <v>872</v>
      </c>
      <c r="BW19" s="908">
        <v>20</v>
      </c>
      <c r="BX19" s="899" t="s">
        <v>414</v>
      </c>
      <c r="BY19" s="895">
        <v>44237</v>
      </c>
      <c r="BZ19" s="901" t="s">
        <v>1949</v>
      </c>
      <c r="CA19" s="908">
        <v>13</v>
      </c>
      <c r="CB19" s="899" t="s">
        <v>414</v>
      </c>
      <c r="CC19" s="895">
        <v>44595</v>
      </c>
      <c r="CD19" s="901" t="s">
        <v>1950</v>
      </c>
      <c r="CE19" s="908">
        <v>7</v>
      </c>
      <c r="CF19" s="899" t="s">
        <v>693</v>
      </c>
      <c r="CG19" s="895">
        <v>44977</v>
      </c>
      <c r="CH19" s="901" t="s">
        <v>1951</v>
      </c>
      <c r="CI19" s="908">
        <v>15</v>
      </c>
      <c r="CJ19" s="899" t="s">
        <v>414</v>
      </c>
      <c r="CK19" s="895">
        <v>45332</v>
      </c>
      <c r="CL19" s="901" t="s">
        <v>1952</v>
      </c>
      <c r="CM19" s="908">
        <v>82</v>
      </c>
      <c r="CN19" s="899" t="s">
        <v>700</v>
      </c>
      <c r="CO19" s="895">
        <v>45696</v>
      </c>
      <c r="CP19" s="901" t="s">
        <v>845</v>
      </c>
      <c r="CQ19" s="908">
        <v>26</v>
      </c>
      <c r="CR19" s="899" t="s">
        <v>414</v>
      </c>
    </row>
    <row r="20" spans="1:96">
      <c r="A20" s="329">
        <v>37664</v>
      </c>
      <c r="B20" s="339" t="s">
        <v>1953</v>
      </c>
      <c r="C20" s="337"/>
      <c r="D20" s="332">
        <v>77</v>
      </c>
      <c r="E20" s="329">
        <v>38028</v>
      </c>
      <c r="F20" s="339" t="s">
        <v>1954</v>
      </c>
      <c r="G20" s="337">
        <v>17</v>
      </c>
      <c r="H20" s="332"/>
      <c r="I20" s="329">
        <v>38409</v>
      </c>
      <c r="J20" s="339" t="s">
        <v>1955</v>
      </c>
      <c r="K20" s="337">
        <v>17</v>
      </c>
      <c r="L20" s="332"/>
      <c r="M20" s="329">
        <v>38772</v>
      </c>
      <c r="N20" s="339" t="s">
        <v>1956</v>
      </c>
      <c r="O20" s="337">
        <v>20</v>
      </c>
      <c r="P20" s="332"/>
      <c r="Q20" s="329">
        <v>39136</v>
      </c>
      <c r="R20" s="339" t="s">
        <v>797</v>
      </c>
      <c r="S20" s="337">
        <v>37</v>
      </c>
      <c r="T20" s="332"/>
      <c r="U20" s="329">
        <v>39501</v>
      </c>
      <c r="V20" s="339" t="s">
        <v>1957</v>
      </c>
      <c r="W20" s="337">
        <v>10</v>
      </c>
      <c r="X20" s="332"/>
      <c r="Y20" s="329">
        <v>39869</v>
      </c>
      <c r="Z20" s="339" t="s">
        <v>1820</v>
      </c>
      <c r="AA20" s="337">
        <v>2</v>
      </c>
      <c r="AB20" s="332"/>
      <c r="AC20" s="329">
        <v>40226</v>
      </c>
      <c r="AD20" s="339" t="s">
        <v>1958</v>
      </c>
      <c r="AE20" s="337">
        <v>3</v>
      </c>
      <c r="AF20" s="332"/>
      <c r="AG20" s="329">
        <v>40591</v>
      </c>
      <c r="AH20" s="339" t="s">
        <v>802</v>
      </c>
      <c r="AI20" s="337">
        <v>36</v>
      </c>
      <c r="AJ20" s="332"/>
      <c r="AK20" s="329">
        <v>40951</v>
      </c>
      <c r="AL20" s="339" t="s">
        <v>797</v>
      </c>
      <c r="AM20" s="337">
        <v>58</v>
      </c>
      <c r="AN20" s="332"/>
      <c r="AO20" s="329">
        <v>41322</v>
      </c>
      <c r="AP20" s="339" t="s">
        <v>1959</v>
      </c>
      <c r="AQ20" s="337">
        <v>21</v>
      </c>
      <c r="AR20" s="332"/>
      <c r="AS20" s="329">
        <v>41691</v>
      </c>
      <c r="AT20" s="339" t="s">
        <v>1960</v>
      </c>
      <c r="AU20" s="337">
        <v>10</v>
      </c>
      <c r="AV20" s="332"/>
      <c r="AW20" s="329">
        <v>42055</v>
      </c>
      <c r="AX20" s="339" t="s">
        <v>1961</v>
      </c>
      <c r="AY20" s="337">
        <v>6</v>
      </c>
      <c r="AZ20" s="333"/>
      <c r="BA20" s="329">
        <v>42413</v>
      </c>
      <c r="BB20" s="339" t="s">
        <v>797</v>
      </c>
      <c r="BC20" s="337">
        <v>35</v>
      </c>
      <c r="BD20" s="333"/>
      <c r="BE20" s="329">
        <v>42784</v>
      </c>
      <c r="BF20" s="339" t="s">
        <v>1962</v>
      </c>
      <c r="BG20" s="337">
        <v>7</v>
      </c>
      <c r="BH20" s="332"/>
      <c r="BI20" s="329">
        <v>43140</v>
      </c>
      <c r="BJ20" s="339" t="s">
        <v>1963</v>
      </c>
      <c r="BK20" s="337">
        <v>13</v>
      </c>
      <c r="BL20" s="332"/>
      <c r="BM20" s="329"/>
      <c r="BN20" s="339"/>
      <c r="BO20" s="337"/>
      <c r="BP20" s="332"/>
      <c r="BQ20" s="895">
        <v>43512</v>
      </c>
      <c r="BR20" s="901" t="s">
        <v>872</v>
      </c>
      <c r="BS20" s="902">
        <v>3</v>
      </c>
      <c r="BT20" s="899" t="s">
        <v>414</v>
      </c>
      <c r="BU20" s="895">
        <v>43876</v>
      </c>
      <c r="BV20" s="901" t="s">
        <v>823</v>
      </c>
      <c r="BW20" s="908">
        <v>29</v>
      </c>
      <c r="BX20" s="899" t="s">
        <v>414</v>
      </c>
      <c r="BY20" s="895">
        <v>44237</v>
      </c>
      <c r="BZ20" s="901" t="s">
        <v>1964</v>
      </c>
      <c r="CA20" s="908">
        <v>33</v>
      </c>
      <c r="CB20" s="899" t="s">
        <v>414</v>
      </c>
      <c r="CC20" s="895">
        <v>44595</v>
      </c>
      <c r="CD20" s="901" t="s">
        <v>1965</v>
      </c>
      <c r="CE20" s="908">
        <v>12</v>
      </c>
      <c r="CF20" s="899" t="s">
        <v>414</v>
      </c>
      <c r="CG20" s="895">
        <v>44977</v>
      </c>
      <c r="CH20" s="901" t="s">
        <v>1966</v>
      </c>
      <c r="CI20" s="908">
        <v>29</v>
      </c>
      <c r="CJ20" s="899" t="s">
        <v>414</v>
      </c>
      <c r="CK20" s="895">
        <v>45332</v>
      </c>
      <c r="CL20" s="901" t="s">
        <v>845</v>
      </c>
      <c r="CM20" s="908">
        <v>100</v>
      </c>
      <c r="CN20" s="1396" t="s">
        <v>414</v>
      </c>
      <c r="CO20" s="895">
        <v>45696</v>
      </c>
      <c r="CP20" s="901" t="s">
        <v>948</v>
      </c>
      <c r="CQ20" s="908">
        <v>24</v>
      </c>
      <c r="CR20" s="899" t="s">
        <v>414</v>
      </c>
    </row>
    <row r="21" spans="1:96">
      <c r="A21" s="329">
        <v>37664</v>
      </c>
      <c r="B21" s="339" t="s">
        <v>1967</v>
      </c>
      <c r="C21" s="337">
        <v>19</v>
      </c>
      <c r="D21" s="332">
        <v>11</v>
      </c>
      <c r="E21" s="329">
        <v>38029</v>
      </c>
      <c r="F21" s="339" t="s">
        <v>937</v>
      </c>
      <c r="G21" s="337">
        <v>18</v>
      </c>
      <c r="H21" s="332"/>
      <c r="I21" s="329"/>
      <c r="J21" s="339"/>
      <c r="K21" s="337"/>
      <c r="L21" s="332"/>
      <c r="M21" s="329">
        <v>38773</v>
      </c>
      <c r="N21" s="339" t="s">
        <v>1157</v>
      </c>
      <c r="O21" s="337">
        <v>62</v>
      </c>
      <c r="P21" s="332"/>
      <c r="Q21" s="329">
        <v>39137</v>
      </c>
      <c r="R21" s="339" t="s">
        <v>1968</v>
      </c>
      <c r="S21" s="337">
        <v>20</v>
      </c>
      <c r="T21" s="332"/>
      <c r="U21" s="329">
        <v>39502</v>
      </c>
      <c r="V21" s="339" t="s">
        <v>1810</v>
      </c>
      <c r="W21" s="337">
        <v>33</v>
      </c>
      <c r="X21" s="332"/>
      <c r="Y21" s="329">
        <v>39870</v>
      </c>
      <c r="Z21" s="339" t="s">
        <v>1969</v>
      </c>
      <c r="AA21" s="337">
        <v>42</v>
      </c>
      <c r="AB21" s="332"/>
      <c r="AC21" s="329">
        <v>40227</v>
      </c>
      <c r="AD21" s="339" t="s">
        <v>937</v>
      </c>
      <c r="AE21" s="337">
        <v>18</v>
      </c>
      <c r="AF21" s="332"/>
      <c r="AG21" s="329">
        <v>40591</v>
      </c>
      <c r="AH21" s="339" t="s">
        <v>1052</v>
      </c>
      <c r="AI21" s="337">
        <v>20</v>
      </c>
      <c r="AJ21" s="332"/>
      <c r="AK21" s="329">
        <v>40953</v>
      </c>
      <c r="AL21" s="339" t="s">
        <v>1970</v>
      </c>
      <c r="AM21" s="337">
        <v>32</v>
      </c>
      <c r="AN21" s="332"/>
      <c r="AO21" s="329">
        <v>41324</v>
      </c>
      <c r="AP21" s="339" t="s">
        <v>1971</v>
      </c>
      <c r="AQ21" s="337">
        <v>13</v>
      </c>
      <c r="AR21" s="332"/>
      <c r="AS21" s="329">
        <v>41691</v>
      </c>
      <c r="AT21" s="339" t="s">
        <v>1972</v>
      </c>
      <c r="AU21" s="337">
        <v>6</v>
      </c>
      <c r="AV21" s="332"/>
      <c r="AW21" s="329">
        <v>42056</v>
      </c>
      <c r="AX21" s="336" t="s">
        <v>1836</v>
      </c>
      <c r="AY21" s="337">
        <v>300</v>
      </c>
      <c r="AZ21" s="333"/>
      <c r="BA21" s="329"/>
      <c r="BB21" s="363" t="s">
        <v>1973</v>
      </c>
      <c r="BC21" s="364">
        <f>BC62+BD62</f>
        <v>5374</v>
      </c>
      <c r="BD21" s="365"/>
      <c r="BE21" s="329">
        <v>42784</v>
      </c>
      <c r="BF21" s="339" t="s">
        <v>1085</v>
      </c>
      <c r="BG21" s="337">
        <v>7</v>
      </c>
      <c r="BH21" s="332"/>
      <c r="BI21" s="329">
        <v>43140</v>
      </c>
      <c r="BJ21" s="339" t="s">
        <v>1974</v>
      </c>
      <c r="BK21" s="337">
        <v>43</v>
      </c>
      <c r="BL21" s="332"/>
      <c r="BM21" s="329"/>
      <c r="BN21" s="339"/>
      <c r="BO21" s="337"/>
      <c r="BP21" s="332"/>
      <c r="BQ21" s="895">
        <v>43512</v>
      </c>
      <c r="BR21" s="901" t="s">
        <v>772</v>
      </c>
      <c r="BS21" s="902">
        <v>20</v>
      </c>
      <c r="BT21" s="899" t="s">
        <v>414</v>
      </c>
      <c r="BU21" s="895">
        <v>43876</v>
      </c>
      <c r="BV21" s="901" t="s">
        <v>873</v>
      </c>
      <c r="BW21" s="908">
        <v>30</v>
      </c>
      <c r="BX21" s="899" t="s">
        <v>414</v>
      </c>
      <c r="BY21" s="895">
        <v>44237</v>
      </c>
      <c r="BZ21" s="901" t="s">
        <v>1975</v>
      </c>
      <c r="CA21" s="908">
        <v>3</v>
      </c>
      <c r="CB21" s="899" t="s">
        <v>414</v>
      </c>
      <c r="CC21" s="895">
        <v>44595</v>
      </c>
      <c r="CD21" s="901" t="s">
        <v>1976</v>
      </c>
      <c r="CE21" s="908">
        <v>9</v>
      </c>
      <c r="CF21" s="899" t="s">
        <v>414</v>
      </c>
      <c r="CG21" s="895">
        <v>44977</v>
      </c>
      <c r="CH21" s="901" t="s">
        <v>1977</v>
      </c>
      <c r="CI21" s="908">
        <v>20</v>
      </c>
      <c r="CJ21" s="899" t="s">
        <v>414</v>
      </c>
      <c r="CK21" s="895">
        <v>45332</v>
      </c>
      <c r="CL21" s="901" t="s">
        <v>772</v>
      </c>
      <c r="CM21" s="908">
        <v>44</v>
      </c>
      <c r="CN21" s="1396" t="s">
        <v>414</v>
      </c>
      <c r="CO21" s="895">
        <v>45696</v>
      </c>
      <c r="CP21" s="901" t="s">
        <v>1978</v>
      </c>
      <c r="CQ21" s="908">
        <v>12</v>
      </c>
      <c r="CR21" s="1396" t="s">
        <v>280</v>
      </c>
    </row>
    <row r="22" spans="1:96">
      <c r="A22" s="329">
        <v>37664</v>
      </c>
      <c r="B22" s="339" t="s">
        <v>1979</v>
      </c>
      <c r="C22" s="337">
        <v>300</v>
      </c>
      <c r="D22" s="332"/>
      <c r="E22" s="329">
        <v>38029</v>
      </c>
      <c r="F22" s="339" t="s">
        <v>802</v>
      </c>
      <c r="G22" s="337">
        <v>26</v>
      </c>
      <c r="H22" s="332"/>
      <c r="I22" s="329"/>
      <c r="J22" s="339"/>
      <c r="K22" s="337"/>
      <c r="L22" s="332"/>
      <c r="M22" s="329">
        <v>38773</v>
      </c>
      <c r="N22" s="339" t="s">
        <v>937</v>
      </c>
      <c r="O22" s="337">
        <v>5</v>
      </c>
      <c r="P22" s="332"/>
      <c r="Q22" s="329">
        <v>39137</v>
      </c>
      <c r="R22" s="339" t="s">
        <v>1980</v>
      </c>
      <c r="S22" s="337">
        <v>13</v>
      </c>
      <c r="T22" s="332"/>
      <c r="U22" s="329">
        <v>39504</v>
      </c>
      <c r="V22" s="339" t="s">
        <v>1981</v>
      </c>
      <c r="W22" s="337">
        <v>15</v>
      </c>
      <c r="X22" s="332"/>
      <c r="Y22" s="329">
        <v>39871</v>
      </c>
      <c r="Z22" s="339" t="s">
        <v>797</v>
      </c>
      <c r="AA22" s="337">
        <v>15</v>
      </c>
      <c r="AB22" s="332"/>
      <c r="AC22" s="329">
        <v>40227</v>
      </c>
      <c r="AD22" s="339" t="s">
        <v>797</v>
      </c>
      <c r="AE22" s="337">
        <v>37</v>
      </c>
      <c r="AF22" s="332"/>
      <c r="AG22" s="329">
        <v>40592</v>
      </c>
      <c r="AH22" s="339" t="s">
        <v>1982</v>
      </c>
      <c r="AI22" s="337">
        <v>15</v>
      </c>
      <c r="AJ22" s="332"/>
      <c r="AK22" s="329">
        <v>40954</v>
      </c>
      <c r="AL22" s="339" t="s">
        <v>1983</v>
      </c>
      <c r="AM22" s="337">
        <v>60</v>
      </c>
      <c r="AN22" s="332"/>
      <c r="AO22" s="329">
        <v>41327</v>
      </c>
      <c r="AP22" s="339" t="s">
        <v>802</v>
      </c>
      <c r="AQ22" s="337">
        <v>57</v>
      </c>
      <c r="AR22" s="332"/>
      <c r="AS22" s="329">
        <v>41692</v>
      </c>
      <c r="AT22" s="339" t="s">
        <v>1573</v>
      </c>
      <c r="AU22" s="337">
        <v>30</v>
      </c>
      <c r="AV22" s="332"/>
      <c r="AW22" s="329">
        <v>42056</v>
      </c>
      <c r="AX22" s="339" t="s">
        <v>1984</v>
      </c>
      <c r="AY22" s="337">
        <v>15</v>
      </c>
      <c r="AZ22" s="333"/>
      <c r="BA22" s="329">
        <v>42414</v>
      </c>
      <c r="BB22" s="339" t="s">
        <v>1985</v>
      </c>
      <c r="BC22" s="337">
        <f>SUM(BC23:BC24)</f>
        <v>1184</v>
      </c>
      <c r="BD22" s="333"/>
      <c r="BE22" s="329">
        <v>42784</v>
      </c>
      <c r="BF22" s="339" t="s">
        <v>1986</v>
      </c>
      <c r="BG22" s="337">
        <v>3</v>
      </c>
      <c r="BH22" s="332"/>
      <c r="BI22" s="329">
        <v>43140</v>
      </c>
      <c r="BJ22" s="339" t="s">
        <v>823</v>
      </c>
      <c r="BK22" s="337">
        <v>52</v>
      </c>
      <c r="BL22" s="332"/>
      <c r="BM22" s="329"/>
      <c r="BN22" s="339"/>
      <c r="BO22" s="337"/>
      <c r="BP22" s="332"/>
      <c r="BQ22" s="895">
        <v>43512</v>
      </c>
      <c r="BR22" s="901" t="s">
        <v>1987</v>
      </c>
      <c r="BS22" s="902">
        <v>24</v>
      </c>
      <c r="BT22" s="899" t="s">
        <v>700</v>
      </c>
      <c r="BU22" s="895">
        <v>43876</v>
      </c>
      <c r="BV22" s="901" t="s">
        <v>772</v>
      </c>
      <c r="BW22" s="908">
        <v>34</v>
      </c>
      <c r="BX22" s="899" t="s">
        <v>414</v>
      </c>
      <c r="BY22" s="895">
        <v>44237</v>
      </c>
      <c r="BZ22" s="901" t="s">
        <v>1988</v>
      </c>
      <c r="CA22" s="908">
        <v>10</v>
      </c>
      <c r="CB22" s="899" t="s">
        <v>414</v>
      </c>
      <c r="CC22" s="895">
        <v>44595</v>
      </c>
      <c r="CD22" s="901" t="s">
        <v>1989</v>
      </c>
      <c r="CE22" s="908">
        <v>8</v>
      </c>
      <c r="CF22" s="899" t="s">
        <v>414</v>
      </c>
      <c r="CG22" s="895">
        <v>44977</v>
      </c>
      <c r="CH22" s="901" t="s">
        <v>1990</v>
      </c>
      <c r="CI22" s="908">
        <v>15</v>
      </c>
      <c r="CJ22" s="899" t="s">
        <v>414</v>
      </c>
      <c r="CK22" s="895">
        <v>45332</v>
      </c>
      <c r="CL22" s="901" t="s">
        <v>843</v>
      </c>
      <c r="CM22" s="908">
        <v>55</v>
      </c>
      <c r="CN22" s="1396" t="s">
        <v>414</v>
      </c>
      <c r="CO22" s="895">
        <v>45702</v>
      </c>
      <c r="CP22" s="901" t="s">
        <v>1991</v>
      </c>
      <c r="CQ22" s="908">
        <v>77</v>
      </c>
      <c r="CR22" s="1396" t="s">
        <v>280</v>
      </c>
    </row>
    <row r="23" spans="1:96">
      <c r="A23" s="329">
        <v>37664</v>
      </c>
      <c r="B23" s="339" t="s">
        <v>410</v>
      </c>
      <c r="C23" s="337"/>
      <c r="D23" s="332">
        <v>28</v>
      </c>
      <c r="E23" s="329">
        <v>38030</v>
      </c>
      <c r="F23" s="339" t="s">
        <v>1992</v>
      </c>
      <c r="G23" s="337">
        <v>12</v>
      </c>
      <c r="H23" s="332"/>
      <c r="I23" s="329"/>
      <c r="J23" s="339"/>
      <c r="K23" s="337"/>
      <c r="L23" s="332"/>
      <c r="M23" s="329">
        <v>38773</v>
      </c>
      <c r="N23" s="339" t="s">
        <v>1993</v>
      </c>
      <c r="O23" s="337">
        <v>12</v>
      </c>
      <c r="P23" s="332"/>
      <c r="Q23" s="329">
        <v>39137</v>
      </c>
      <c r="R23" s="339" t="s">
        <v>1994</v>
      </c>
      <c r="S23" s="337">
        <v>13</v>
      </c>
      <c r="T23" s="332"/>
      <c r="U23" s="329">
        <v>39505</v>
      </c>
      <c r="V23" s="339" t="s">
        <v>797</v>
      </c>
      <c r="W23" s="337">
        <v>48</v>
      </c>
      <c r="X23" s="332"/>
      <c r="Y23" s="329">
        <v>39872</v>
      </c>
      <c r="Z23" s="339" t="s">
        <v>965</v>
      </c>
      <c r="AA23" s="337">
        <v>3</v>
      </c>
      <c r="AB23" s="332"/>
      <c r="AC23" s="329">
        <v>40228</v>
      </c>
      <c r="AD23" s="339" t="s">
        <v>797</v>
      </c>
      <c r="AE23" s="337">
        <v>39</v>
      </c>
      <c r="AF23" s="332"/>
      <c r="AG23" s="329">
        <v>40593</v>
      </c>
      <c r="AH23" s="339" t="s">
        <v>1584</v>
      </c>
      <c r="AI23" s="337">
        <v>13</v>
      </c>
      <c r="AJ23" s="332"/>
      <c r="AK23" s="329">
        <v>40955</v>
      </c>
      <c r="AL23" s="339" t="s">
        <v>925</v>
      </c>
      <c r="AM23" s="337">
        <v>4</v>
      </c>
      <c r="AN23" s="332"/>
      <c r="AO23" s="329">
        <v>41327</v>
      </c>
      <c r="AP23" s="339" t="s">
        <v>781</v>
      </c>
      <c r="AQ23" s="337">
        <v>37</v>
      </c>
      <c r="AR23" s="332"/>
      <c r="AS23" s="329">
        <v>41692</v>
      </c>
      <c r="AT23" s="339" t="s">
        <v>1995</v>
      </c>
      <c r="AU23" s="337">
        <v>21</v>
      </c>
      <c r="AV23" s="332"/>
      <c r="AW23" s="329">
        <v>42056</v>
      </c>
      <c r="AX23" s="339" t="s">
        <v>1996</v>
      </c>
      <c r="AY23" s="337">
        <v>200</v>
      </c>
      <c r="AZ23" s="333"/>
      <c r="BA23" s="329">
        <v>42414</v>
      </c>
      <c r="BB23" s="339" t="s">
        <v>1997</v>
      </c>
      <c r="BC23" s="337">
        <v>724</v>
      </c>
      <c r="BD23" s="333"/>
      <c r="BE23" s="329">
        <v>42784</v>
      </c>
      <c r="BF23" s="339" t="s">
        <v>1998</v>
      </c>
      <c r="BG23" s="337">
        <v>2</v>
      </c>
      <c r="BH23" s="332"/>
      <c r="BI23" s="329">
        <v>43140</v>
      </c>
      <c r="BJ23" s="339" t="s">
        <v>1770</v>
      </c>
      <c r="BK23" s="337">
        <v>19</v>
      </c>
      <c r="BL23" s="332"/>
      <c r="BM23" s="329"/>
      <c r="BN23" s="339"/>
      <c r="BO23" s="337"/>
      <c r="BP23" s="332"/>
      <c r="BQ23" s="895">
        <v>43512</v>
      </c>
      <c r="BR23" s="901" t="s">
        <v>1856</v>
      </c>
      <c r="BS23" s="902">
        <v>38</v>
      </c>
      <c r="BT23" s="899" t="s">
        <v>414</v>
      </c>
      <c r="BU23" s="895">
        <v>43876</v>
      </c>
      <c r="BV23" s="901" t="s">
        <v>1999</v>
      </c>
      <c r="BW23" s="908">
        <v>0</v>
      </c>
      <c r="BX23" s="899" t="s">
        <v>414</v>
      </c>
      <c r="BY23" s="895">
        <v>44237</v>
      </c>
      <c r="BZ23" s="901" t="s">
        <v>1375</v>
      </c>
      <c r="CA23" s="908">
        <v>16</v>
      </c>
      <c r="CB23" s="899" t="s">
        <v>414</v>
      </c>
      <c r="CC23" s="895">
        <v>44595</v>
      </c>
      <c r="CD23" s="901" t="s">
        <v>2000</v>
      </c>
      <c r="CE23" s="908">
        <v>15</v>
      </c>
      <c r="CF23" s="899" t="s">
        <v>280</v>
      </c>
      <c r="CG23" s="895">
        <v>44977</v>
      </c>
      <c r="CH23" s="901" t="s">
        <v>1033</v>
      </c>
      <c r="CI23" s="908">
        <v>15</v>
      </c>
      <c r="CJ23" s="899" t="s">
        <v>414</v>
      </c>
      <c r="CK23" s="895">
        <v>45332</v>
      </c>
      <c r="CL23" s="901" t="s">
        <v>1750</v>
      </c>
      <c r="CM23" s="908">
        <v>15</v>
      </c>
      <c r="CN23" s="1396" t="s">
        <v>414</v>
      </c>
      <c r="CO23" s="895">
        <v>45702</v>
      </c>
      <c r="CP23" s="901" t="s">
        <v>2001</v>
      </c>
      <c r="CQ23" s="908">
        <v>50</v>
      </c>
      <c r="CR23" s="1396" t="s">
        <v>280</v>
      </c>
    </row>
    <row r="24" spans="1:96">
      <c r="A24" s="329">
        <v>37665</v>
      </c>
      <c r="B24" s="339" t="s">
        <v>2002</v>
      </c>
      <c r="C24" s="337">
        <v>11</v>
      </c>
      <c r="D24" s="332"/>
      <c r="E24" s="329">
        <v>38030</v>
      </c>
      <c r="F24" s="339" t="s">
        <v>2003</v>
      </c>
      <c r="G24" s="337">
        <v>13</v>
      </c>
      <c r="H24" s="332"/>
      <c r="I24" s="329"/>
      <c r="J24" s="339"/>
      <c r="K24" s="337"/>
      <c r="L24" s="332"/>
      <c r="M24" s="329">
        <v>38775</v>
      </c>
      <c r="N24" s="339" t="s">
        <v>2004</v>
      </c>
      <c r="O24" s="337">
        <v>0</v>
      </c>
      <c r="P24" s="332"/>
      <c r="Q24" s="329">
        <v>39140</v>
      </c>
      <c r="R24" s="339" t="s">
        <v>781</v>
      </c>
      <c r="S24" s="337">
        <v>9</v>
      </c>
      <c r="T24" s="332"/>
      <c r="U24" s="329">
        <v>39506</v>
      </c>
      <c r="V24" s="339" t="s">
        <v>802</v>
      </c>
      <c r="W24" s="337">
        <v>18</v>
      </c>
      <c r="X24" s="332"/>
      <c r="Y24" s="329">
        <v>39872</v>
      </c>
      <c r="Z24" s="339" t="s">
        <v>2005</v>
      </c>
      <c r="AA24" s="337">
        <v>13</v>
      </c>
      <c r="AB24" s="332"/>
      <c r="AC24" s="329">
        <v>40228</v>
      </c>
      <c r="AD24" s="339" t="s">
        <v>2006</v>
      </c>
      <c r="AE24" s="337">
        <v>14</v>
      </c>
      <c r="AF24" s="332"/>
      <c r="AG24" s="329">
        <v>40593</v>
      </c>
      <c r="AH24" s="339" t="s">
        <v>748</v>
      </c>
      <c r="AI24" s="337">
        <v>30</v>
      </c>
      <c r="AJ24" s="332"/>
      <c r="AK24" s="329">
        <v>40955</v>
      </c>
      <c r="AL24" s="339" t="s">
        <v>1720</v>
      </c>
      <c r="AM24" s="337">
        <v>25</v>
      </c>
      <c r="AN24" s="332"/>
      <c r="AO24" s="329">
        <v>41327</v>
      </c>
      <c r="AP24" s="339" t="s">
        <v>1308</v>
      </c>
      <c r="AQ24" s="337">
        <v>18</v>
      </c>
      <c r="AR24" s="332"/>
      <c r="AS24" s="329">
        <v>41692</v>
      </c>
      <c r="AT24" s="339" t="s">
        <v>781</v>
      </c>
      <c r="AU24" s="337">
        <v>36</v>
      </c>
      <c r="AV24" s="332"/>
      <c r="AW24" s="329">
        <v>42057</v>
      </c>
      <c r="AX24" s="339" t="s">
        <v>1573</v>
      </c>
      <c r="AY24" s="337">
        <v>19</v>
      </c>
      <c r="AZ24" s="333"/>
      <c r="BA24" s="329">
        <v>42414</v>
      </c>
      <c r="BB24" s="339" t="s">
        <v>2007</v>
      </c>
      <c r="BC24" s="337">
        <v>460</v>
      </c>
      <c r="BD24" s="333"/>
      <c r="BE24" s="329">
        <v>42784</v>
      </c>
      <c r="BF24" s="339" t="s">
        <v>2008</v>
      </c>
      <c r="BG24" s="337">
        <v>29</v>
      </c>
      <c r="BH24" s="332"/>
      <c r="BI24" s="329">
        <v>43140</v>
      </c>
      <c r="BJ24" s="339" t="s">
        <v>1903</v>
      </c>
      <c r="BK24" s="337">
        <v>45</v>
      </c>
      <c r="BL24" s="332"/>
      <c r="BM24" s="329"/>
      <c r="BN24" s="339"/>
      <c r="BO24" s="337"/>
      <c r="BP24" s="332"/>
      <c r="BQ24" s="895">
        <v>43512</v>
      </c>
      <c r="BR24" s="901" t="s">
        <v>2009</v>
      </c>
      <c r="BS24" s="902">
        <v>5</v>
      </c>
      <c r="BT24" s="899" t="s">
        <v>278</v>
      </c>
      <c r="BU24" s="895">
        <v>43876</v>
      </c>
      <c r="BV24" s="901" t="s">
        <v>2010</v>
      </c>
      <c r="BW24" s="908">
        <v>4</v>
      </c>
      <c r="BX24" s="899" t="s">
        <v>414</v>
      </c>
      <c r="BY24" s="895">
        <v>44237</v>
      </c>
      <c r="BZ24" s="901" t="s">
        <v>2011</v>
      </c>
      <c r="CA24" s="908">
        <v>9</v>
      </c>
      <c r="CB24" s="899" t="s">
        <v>414</v>
      </c>
      <c r="CC24" s="895">
        <v>44598</v>
      </c>
      <c r="CD24" s="901" t="s">
        <v>845</v>
      </c>
      <c r="CE24" s="908">
        <v>48</v>
      </c>
      <c r="CF24" s="899" t="s">
        <v>414</v>
      </c>
      <c r="CG24" s="895">
        <v>44977</v>
      </c>
      <c r="CH24" s="901" t="s">
        <v>2012</v>
      </c>
      <c r="CI24" s="908">
        <v>40</v>
      </c>
      <c r="CJ24" s="899" t="s">
        <v>414</v>
      </c>
      <c r="CK24" s="895">
        <v>45332</v>
      </c>
      <c r="CL24" s="901" t="s">
        <v>2013</v>
      </c>
      <c r="CM24" s="908">
        <v>20</v>
      </c>
      <c r="CN24" s="1396" t="s">
        <v>414</v>
      </c>
      <c r="CO24" s="895">
        <v>45700</v>
      </c>
      <c r="CP24" s="901" t="s">
        <v>2014</v>
      </c>
      <c r="CQ24" s="908">
        <v>0</v>
      </c>
      <c r="CR24" s="1396" t="s">
        <v>700</v>
      </c>
    </row>
    <row r="25" spans="1:96">
      <c r="A25" s="329">
        <v>37665</v>
      </c>
      <c r="B25" s="339" t="s">
        <v>2015</v>
      </c>
      <c r="C25" s="337"/>
      <c r="D25" s="332">
        <v>0</v>
      </c>
      <c r="E25" s="329">
        <v>38030</v>
      </c>
      <c r="F25" s="339" t="s">
        <v>2016</v>
      </c>
      <c r="G25" s="337">
        <v>13</v>
      </c>
      <c r="H25" s="332"/>
      <c r="I25" s="329"/>
      <c r="J25" s="339"/>
      <c r="K25" s="337"/>
      <c r="L25" s="332"/>
      <c r="M25" s="329">
        <v>38775</v>
      </c>
      <c r="N25" s="339" t="s">
        <v>802</v>
      </c>
      <c r="O25" s="337">
        <v>30</v>
      </c>
      <c r="P25" s="332"/>
      <c r="Q25" s="329">
        <v>39140</v>
      </c>
      <c r="R25" s="339" t="s">
        <v>2017</v>
      </c>
      <c r="S25" s="337">
        <v>3</v>
      </c>
      <c r="T25" s="332"/>
      <c r="U25" s="329">
        <v>39506</v>
      </c>
      <c r="V25" s="339" t="s">
        <v>2018</v>
      </c>
      <c r="W25" s="337">
        <v>30</v>
      </c>
      <c r="X25" s="332"/>
      <c r="Y25" s="329">
        <v>39872</v>
      </c>
      <c r="Z25" s="339" t="s">
        <v>783</v>
      </c>
      <c r="AA25" s="337">
        <v>18</v>
      </c>
      <c r="AB25" s="332"/>
      <c r="AC25" s="329">
        <v>40228</v>
      </c>
      <c r="AD25" s="339" t="s">
        <v>2019</v>
      </c>
      <c r="AE25" s="337">
        <v>2</v>
      </c>
      <c r="AF25" s="332"/>
      <c r="AG25" s="329">
        <v>40593</v>
      </c>
      <c r="AH25" s="339" t="s">
        <v>1352</v>
      </c>
      <c r="AI25" s="337">
        <v>55</v>
      </c>
      <c r="AJ25" s="332"/>
      <c r="AK25" s="329">
        <v>40956</v>
      </c>
      <c r="AL25" s="339" t="s">
        <v>754</v>
      </c>
      <c r="AM25" s="337">
        <v>62</v>
      </c>
      <c r="AN25" s="332"/>
      <c r="AO25" s="329">
        <v>41328</v>
      </c>
      <c r="AP25" s="339" t="s">
        <v>2020</v>
      </c>
      <c r="AQ25" s="337">
        <v>1880</v>
      </c>
      <c r="AR25" s="332"/>
      <c r="AS25" s="329">
        <v>41692</v>
      </c>
      <c r="AT25" s="339" t="s">
        <v>954</v>
      </c>
      <c r="AU25" s="337">
        <v>52</v>
      </c>
      <c r="AV25" s="332"/>
      <c r="AW25" s="329">
        <v>42057</v>
      </c>
      <c r="AX25" s="339" t="s">
        <v>781</v>
      </c>
      <c r="AY25" s="337">
        <v>55</v>
      </c>
      <c r="AZ25" s="333"/>
      <c r="BA25" s="329">
        <v>42415</v>
      </c>
      <c r="BB25" s="339" t="s">
        <v>2021</v>
      </c>
      <c r="BC25" s="337">
        <v>0</v>
      </c>
      <c r="BD25" s="333"/>
      <c r="BE25" s="329">
        <v>42784</v>
      </c>
      <c r="BF25" s="339" t="s">
        <v>2022</v>
      </c>
      <c r="BG25" s="337">
        <v>48</v>
      </c>
      <c r="BH25" s="332"/>
      <c r="BI25" s="329">
        <v>43141</v>
      </c>
      <c r="BJ25" s="339" t="s">
        <v>890</v>
      </c>
      <c r="BK25" s="337">
        <v>30</v>
      </c>
      <c r="BL25" s="332"/>
      <c r="BM25" s="329"/>
      <c r="BN25" s="339"/>
      <c r="BO25" s="337"/>
      <c r="BP25" s="332"/>
      <c r="BQ25" s="895">
        <v>43513</v>
      </c>
      <c r="BR25" s="901" t="s">
        <v>2023</v>
      </c>
      <c r="BS25" s="902">
        <v>41</v>
      </c>
      <c r="BT25" s="899" t="s">
        <v>381</v>
      </c>
      <c r="BU25" s="895">
        <v>43876</v>
      </c>
      <c r="BV25" s="901" t="s">
        <v>2024</v>
      </c>
      <c r="BW25" s="908">
        <v>15</v>
      </c>
      <c r="BX25" s="899" t="s">
        <v>414</v>
      </c>
      <c r="BY25" s="895">
        <v>44237</v>
      </c>
      <c r="BZ25" s="901" t="s">
        <v>1901</v>
      </c>
      <c r="CA25" s="908">
        <v>0</v>
      </c>
      <c r="CB25" s="899" t="s">
        <v>414</v>
      </c>
      <c r="CC25" s="895">
        <v>44598</v>
      </c>
      <c r="CD25" s="901" t="s">
        <v>843</v>
      </c>
      <c r="CE25" s="908">
        <v>0</v>
      </c>
      <c r="CF25" s="899" t="s">
        <v>414</v>
      </c>
      <c r="CG25" s="895">
        <v>44977</v>
      </c>
      <c r="CH25" s="901" t="s">
        <v>2025</v>
      </c>
      <c r="CI25" s="908">
        <v>12</v>
      </c>
      <c r="CJ25" s="899" t="s">
        <v>414</v>
      </c>
      <c r="CK25" s="895">
        <v>45332</v>
      </c>
      <c r="CL25" s="901" t="s">
        <v>2026</v>
      </c>
      <c r="CM25" s="908">
        <v>15</v>
      </c>
      <c r="CN25" s="1396" t="s">
        <v>414</v>
      </c>
      <c r="CO25" s="895">
        <v>45700</v>
      </c>
      <c r="CP25" s="901" t="s">
        <v>2027</v>
      </c>
      <c r="CQ25" s="908">
        <v>0</v>
      </c>
      <c r="CR25" s="1396" t="s">
        <v>700</v>
      </c>
    </row>
    <row r="26" spans="1:96">
      <c r="A26" s="329">
        <v>37665</v>
      </c>
      <c r="B26" s="339" t="s">
        <v>1189</v>
      </c>
      <c r="C26" s="337">
        <v>20</v>
      </c>
      <c r="D26" s="332"/>
      <c r="E26" s="329">
        <v>38030</v>
      </c>
      <c r="F26" s="339" t="s">
        <v>2028</v>
      </c>
      <c r="G26" s="337">
        <v>13</v>
      </c>
      <c r="H26" s="332"/>
      <c r="I26" s="329"/>
      <c r="J26" s="339"/>
      <c r="K26" s="337"/>
      <c r="L26" s="332"/>
      <c r="M26" s="329">
        <v>38775</v>
      </c>
      <c r="N26" s="339" t="s">
        <v>797</v>
      </c>
      <c r="O26" s="337">
        <v>30</v>
      </c>
      <c r="P26" s="332"/>
      <c r="Q26" s="329">
        <v>39141</v>
      </c>
      <c r="R26" s="339" t="s">
        <v>2029</v>
      </c>
      <c r="S26" s="337">
        <v>0</v>
      </c>
      <c r="T26" s="332"/>
      <c r="U26" s="329">
        <v>39506</v>
      </c>
      <c r="V26" s="339" t="s">
        <v>2030</v>
      </c>
      <c r="W26" s="337">
        <v>32</v>
      </c>
      <c r="X26" s="332"/>
      <c r="Y26" s="329">
        <v>39872</v>
      </c>
      <c r="Z26" s="339" t="s">
        <v>2031</v>
      </c>
      <c r="AA26" s="337">
        <v>2</v>
      </c>
      <c r="AB26" s="332"/>
      <c r="AC26" s="329">
        <v>40230</v>
      </c>
      <c r="AD26" s="339" t="s">
        <v>781</v>
      </c>
      <c r="AE26" s="337">
        <v>42</v>
      </c>
      <c r="AF26" s="332"/>
      <c r="AG26" s="329">
        <v>40593</v>
      </c>
      <c r="AH26" s="339" t="s">
        <v>1237</v>
      </c>
      <c r="AI26" s="337">
        <v>20</v>
      </c>
      <c r="AJ26" s="332"/>
      <c r="AK26" s="329">
        <v>40956</v>
      </c>
      <c r="AL26" s="339" t="s">
        <v>2032</v>
      </c>
      <c r="AM26" s="337">
        <v>4</v>
      </c>
      <c r="AN26" s="332"/>
      <c r="AO26" s="329">
        <v>41328</v>
      </c>
      <c r="AP26" s="339" t="s">
        <v>2033</v>
      </c>
      <c r="AQ26" s="337">
        <v>60</v>
      </c>
      <c r="AR26" s="332"/>
      <c r="AS26" s="329">
        <v>41692</v>
      </c>
      <c r="AT26" s="339" t="s">
        <v>2034</v>
      </c>
      <c r="AU26" s="337">
        <v>10</v>
      </c>
      <c r="AV26" s="332"/>
      <c r="AW26" s="329">
        <v>42057</v>
      </c>
      <c r="AX26" s="339" t="s">
        <v>2035</v>
      </c>
      <c r="AY26" s="337">
        <v>5</v>
      </c>
      <c r="AZ26" s="333"/>
      <c r="BA26" s="329">
        <v>42415</v>
      </c>
      <c r="BB26" s="339" t="s">
        <v>2036</v>
      </c>
      <c r="BC26" s="337">
        <v>2</v>
      </c>
      <c r="BD26" s="333"/>
      <c r="BE26" s="329">
        <v>42785</v>
      </c>
      <c r="BF26" s="339" t="s">
        <v>1871</v>
      </c>
      <c r="BG26" s="337">
        <v>18</v>
      </c>
      <c r="BH26" s="332"/>
      <c r="BI26" s="329">
        <v>43141</v>
      </c>
      <c r="BJ26" s="339" t="s">
        <v>872</v>
      </c>
      <c r="BK26" s="337">
        <v>40</v>
      </c>
      <c r="BL26" s="332"/>
      <c r="BM26" s="329"/>
      <c r="BN26" s="339"/>
      <c r="BO26" s="337"/>
      <c r="BP26" s="332"/>
      <c r="BQ26" s="895">
        <v>43513</v>
      </c>
      <c r="BR26" s="901" t="s">
        <v>890</v>
      </c>
      <c r="BS26" s="902">
        <v>11</v>
      </c>
      <c r="BT26" s="899" t="s">
        <v>414</v>
      </c>
      <c r="BU26" s="895">
        <v>43876</v>
      </c>
      <c r="BV26" s="901" t="s">
        <v>2037</v>
      </c>
      <c r="BW26" s="908">
        <v>19</v>
      </c>
      <c r="BX26" s="899" t="s">
        <v>414</v>
      </c>
      <c r="BY26" s="895">
        <v>44238</v>
      </c>
      <c r="BZ26" s="901" t="s">
        <v>2038</v>
      </c>
      <c r="CA26" s="908">
        <v>45</v>
      </c>
      <c r="CB26" s="899" t="s">
        <v>701</v>
      </c>
      <c r="CC26" s="895">
        <v>44598</v>
      </c>
      <c r="CD26" s="901" t="s">
        <v>872</v>
      </c>
      <c r="CE26" s="908">
        <v>3</v>
      </c>
      <c r="CF26" s="899" t="s">
        <v>414</v>
      </c>
      <c r="CG26" s="895">
        <v>44977</v>
      </c>
      <c r="CH26" s="901" t="s">
        <v>2039</v>
      </c>
      <c r="CI26" s="908">
        <v>30</v>
      </c>
      <c r="CJ26" s="899" t="s">
        <v>414</v>
      </c>
      <c r="CK26" s="895">
        <v>45332</v>
      </c>
      <c r="CL26" s="901" t="s">
        <v>2040</v>
      </c>
      <c r="CM26" s="908">
        <v>25</v>
      </c>
      <c r="CN26" s="1396" t="s">
        <v>414</v>
      </c>
      <c r="CO26" s="895">
        <v>45700</v>
      </c>
      <c r="CP26" s="901" t="s">
        <v>2041</v>
      </c>
      <c r="CQ26" s="908">
        <v>12</v>
      </c>
      <c r="CR26" s="1396" t="s">
        <v>700</v>
      </c>
    </row>
    <row r="27" spans="1:96">
      <c r="A27" s="329">
        <v>37665</v>
      </c>
      <c r="B27" s="339" t="s">
        <v>2042</v>
      </c>
      <c r="C27" s="337">
        <v>42</v>
      </c>
      <c r="D27" s="332"/>
      <c r="E27" s="329">
        <v>38030</v>
      </c>
      <c r="F27" s="339" t="s">
        <v>937</v>
      </c>
      <c r="G27" s="337">
        <v>29</v>
      </c>
      <c r="H27" s="332"/>
      <c r="I27" s="329"/>
      <c r="J27" s="339"/>
      <c r="K27" s="337"/>
      <c r="L27" s="332"/>
      <c r="M27" s="329">
        <v>38775</v>
      </c>
      <c r="N27" s="339" t="s">
        <v>2043</v>
      </c>
      <c r="O27" s="337">
        <v>4</v>
      </c>
      <c r="P27" s="332"/>
      <c r="Q27" s="329"/>
      <c r="R27" s="339"/>
      <c r="S27" s="337"/>
      <c r="T27" s="332"/>
      <c r="U27" s="329"/>
      <c r="V27" s="339"/>
      <c r="W27" s="337"/>
      <c r="X27" s="332"/>
      <c r="Y27" s="329">
        <v>39872</v>
      </c>
      <c r="Z27" s="339" t="s">
        <v>2044</v>
      </c>
      <c r="AA27" s="337">
        <v>10</v>
      </c>
      <c r="AB27" s="332"/>
      <c r="AC27" s="329">
        <v>40232</v>
      </c>
      <c r="AD27" s="339" t="s">
        <v>2045</v>
      </c>
      <c r="AE27" s="337">
        <v>1</v>
      </c>
      <c r="AF27" s="332"/>
      <c r="AG27" s="329">
        <v>40594</v>
      </c>
      <c r="AH27" s="339" t="s">
        <v>781</v>
      </c>
      <c r="AI27" s="337">
        <v>100</v>
      </c>
      <c r="AJ27" s="332"/>
      <c r="AK27" s="329">
        <v>40957</v>
      </c>
      <c r="AL27" s="339" t="s">
        <v>754</v>
      </c>
      <c r="AM27" s="337">
        <v>25</v>
      </c>
      <c r="AN27" s="332"/>
      <c r="AO27" s="329">
        <v>41328</v>
      </c>
      <c r="AP27" s="339" t="s">
        <v>1573</v>
      </c>
      <c r="AQ27" s="337">
        <v>22</v>
      </c>
      <c r="AR27" s="332"/>
      <c r="AS27" s="329">
        <v>41693</v>
      </c>
      <c r="AT27" s="339" t="s">
        <v>2046</v>
      </c>
      <c r="AU27" s="337">
        <v>0</v>
      </c>
      <c r="AV27" s="332"/>
      <c r="AW27" s="329">
        <v>42057</v>
      </c>
      <c r="AX27" s="339" t="s">
        <v>1856</v>
      </c>
      <c r="AY27" s="337">
        <v>40</v>
      </c>
      <c r="AZ27" s="333"/>
      <c r="BA27" s="329">
        <v>42415</v>
      </c>
      <c r="BB27" s="339" t="s">
        <v>2047</v>
      </c>
      <c r="BC27" s="337">
        <v>0</v>
      </c>
      <c r="BD27" s="333"/>
      <c r="BE27" s="329">
        <v>42785</v>
      </c>
      <c r="BF27" s="339" t="s">
        <v>823</v>
      </c>
      <c r="BG27" s="337">
        <v>27</v>
      </c>
      <c r="BH27" s="332"/>
      <c r="BI27" s="329">
        <v>43141</v>
      </c>
      <c r="BJ27" s="339" t="s">
        <v>772</v>
      </c>
      <c r="BK27" s="337">
        <v>74</v>
      </c>
      <c r="BL27" s="332"/>
      <c r="BM27" s="329"/>
      <c r="BN27" s="339"/>
      <c r="BO27" s="337"/>
      <c r="BP27" s="332"/>
      <c r="BQ27" s="895">
        <v>43514</v>
      </c>
      <c r="BR27" s="901" t="s">
        <v>2048</v>
      </c>
      <c r="BS27" s="902">
        <v>75</v>
      </c>
      <c r="BT27" s="899" t="s">
        <v>414</v>
      </c>
      <c r="BU27" s="895">
        <v>43876</v>
      </c>
      <c r="BV27" s="901" t="s">
        <v>2049</v>
      </c>
      <c r="BW27" s="908">
        <v>25</v>
      </c>
      <c r="BX27" s="899" t="s">
        <v>414</v>
      </c>
      <c r="BY27" s="895">
        <v>44240</v>
      </c>
      <c r="BZ27" s="901" t="s">
        <v>2050</v>
      </c>
      <c r="CA27" s="908">
        <v>9</v>
      </c>
      <c r="CB27" s="899" t="s">
        <v>414</v>
      </c>
      <c r="CC27" s="895">
        <v>44598</v>
      </c>
      <c r="CD27" s="901" t="s">
        <v>772</v>
      </c>
      <c r="CE27" s="908">
        <v>6</v>
      </c>
      <c r="CF27" s="899" t="s">
        <v>414</v>
      </c>
      <c r="CG27" s="895">
        <v>44977</v>
      </c>
      <c r="CH27" s="901" t="s">
        <v>2051</v>
      </c>
      <c r="CI27" s="908">
        <v>25</v>
      </c>
      <c r="CJ27" s="899" t="s">
        <v>414</v>
      </c>
      <c r="CK27" s="895">
        <v>45332</v>
      </c>
      <c r="CL27" s="901" t="s">
        <v>1921</v>
      </c>
      <c r="CM27" s="908">
        <v>16</v>
      </c>
      <c r="CN27" s="1396" t="s">
        <v>414</v>
      </c>
      <c r="CO27" s="895">
        <v>45700</v>
      </c>
      <c r="CP27" s="901" t="s">
        <v>1634</v>
      </c>
      <c r="CQ27" s="908">
        <v>7</v>
      </c>
      <c r="CR27" s="1396" t="s">
        <v>414</v>
      </c>
    </row>
    <row r="28" spans="1:96">
      <c r="A28" s="329">
        <v>37666</v>
      </c>
      <c r="B28" s="339" t="s">
        <v>410</v>
      </c>
      <c r="C28" s="337">
        <v>28</v>
      </c>
      <c r="D28" s="332"/>
      <c r="E28" s="329">
        <v>38030</v>
      </c>
      <c r="F28" s="339" t="s">
        <v>2052</v>
      </c>
      <c r="G28" s="337">
        <v>9</v>
      </c>
      <c r="H28" s="332"/>
      <c r="I28" s="329"/>
      <c r="J28" s="339"/>
      <c r="K28" s="337"/>
      <c r="L28" s="332"/>
      <c r="M28" s="329"/>
      <c r="N28" s="339"/>
      <c r="O28" s="337"/>
      <c r="P28" s="332"/>
      <c r="Q28" s="329"/>
      <c r="R28" s="339"/>
      <c r="S28" s="337"/>
      <c r="T28" s="332"/>
      <c r="U28" s="329"/>
      <c r="V28" s="339"/>
      <c r="W28" s="337"/>
      <c r="X28" s="332"/>
      <c r="Y28" s="329">
        <v>39872</v>
      </c>
      <c r="Z28" s="339" t="s">
        <v>2053</v>
      </c>
      <c r="AA28" s="337">
        <v>14</v>
      </c>
      <c r="AB28" s="332"/>
      <c r="AC28" s="329">
        <v>40232</v>
      </c>
      <c r="AD28" s="339" t="s">
        <v>802</v>
      </c>
      <c r="AE28" s="337">
        <v>39</v>
      </c>
      <c r="AF28" s="332"/>
      <c r="AG28" s="329">
        <v>40594</v>
      </c>
      <c r="AH28" s="339" t="s">
        <v>2054</v>
      </c>
      <c r="AI28" s="337">
        <v>20</v>
      </c>
      <c r="AJ28" s="332"/>
      <c r="AK28" s="329">
        <v>40957</v>
      </c>
      <c r="AL28" s="339" t="s">
        <v>772</v>
      </c>
      <c r="AM28" s="337">
        <v>53</v>
      </c>
      <c r="AN28" s="332"/>
      <c r="AO28" s="329">
        <v>41329</v>
      </c>
      <c r="AP28" s="339" t="s">
        <v>772</v>
      </c>
      <c r="AQ28" s="337">
        <v>41</v>
      </c>
      <c r="AR28" s="332"/>
      <c r="AS28" s="329">
        <v>41693</v>
      </c>
      <c r="AT28" s="339" t="s">
        <v>2055</v>
      </c>
      <c r="AU28" s="337">
        <v>20</v>
      </c>
      <c r="AV28" s="332"/>
      <c r="AW28" s="329">
        <v>42058</v>
      </c>
      <c r="AX28" s="339" t="s">
        <v>954</v>
      </c>
      <c r="AY28" s="337">
        <v>38</v>
      </c>
      <c r="AZ28" s="333"/>
      <c r="BA28" s="329">
        <v>42415</v>
      </c>
      <c r="BB28" s="339" t="s">
        <v>2056</v>
      </c>
      <c r="BC28" s="337">
        <v>0</v>
      </c>
      <c r="BD28" s="333"/>
      <c r="BE28" s="329">
        <v>42785</v>
      </c>
      <c r="BF28" s="339" t="s">
        <v>859</v>
      </c>
      <c r="BG28" s="337">
        <v>12</v>
      </c>
      <c r="BH28" s="332"/>
      <c r="BI28" s="329">
        <v>43141</v>
      </c>
      <c r="BJ28" s="339" t="s">
        <v>2057</v>
      </c>
      <c r="BK28" s="337">
        <v>22</v>
      </c>
      <c r="BL28" s="332"/>
      <c r="BM28" s="329"/>
      <c r="BN28" s="339"/>
      <c r="BO28" s="337"/>
      <c r="BP28" s="332"/>
      <c r="BQ28" s="895">
        <v>43518</v>
      </c>
      <c r="BR28" s="901" t="s">
        <v>2058</v>
      </c>
      <c r="BS28" s="902">
        <v>18</v>
      </c>
      <c r="BT28" s="899" t="s">
        <v>458</v>
      </c>
      <c r="BU28" s="895">
        <v>43876</v>
      </c>
      <c r="BV28" s="901" t="s">
        <v>1998</v>
      </c>
      <c r="BW28" s="908">
        <v>5</v>
      </c>
      <c r="BX28" s="899" t="s">
        <v>414</v>
      </c>
      <c r="BY28" s="895">
        <v>44240</v>
      </c>
      <c r="BZ28" s="901" t="s">
        <v>2059</v>
      </c>
      <c r="CA28" s="908">
        <v>42</v>
      </c>
      <c r="CB28" s="899" t="s">
        <v>414</v>
      </c>
      <c r="CC28" s="895">
        <v>44598</v>
      </c>
      <c r="CD28" s="901" t="s">
        <v>2060</v>
      </c>
      <c r="CE28" s="908">
        <v>37</v>
      </c>
      <c r="CF28" s="899" t="s">
        <v>280</v>
      </c>
      <c r="CG28" s="895">
        <v>44977</v>
      </c>
      <c r="CH28" s="901" t="s">
        <v>2061</v>
      </c>
      <c r="CI28" s="908">
        <v>10</v>
      </c>
      <c r="CJ28" s="899" t="s">
        <v>414</v>
      </c>
      <c r="CK28" s="895">
        <v>45332</v>
      </c>
      <c r="CL28" s="901" t="s">
        <v>2062</v>
      </c>
      <c r="CM28" s="908">
        <v>30</v>
      </c>
      <c r="CN28" s="1396" t="s">
        <v>414</v>
      </c>
      <c r="CO28" s="895">
        <v>45700</v>
      </c>
      <c r="CP28" s="901" t="s">
        <v>2063</v>
      </c>
      <c r="CQ28" s="908">
        <v>33</v>
      </c>
      <c r="CR28" s="1396" t="s">
        <v>700</v>
      </c>
    </row>
    <row r="29" spans="1:96">
      <c r="A29" s="329">
        <v>37666</v>
      </c>
      <c r="B29" s="339" t="s">
        <v>2064</v>
      </c>
      <c r="C29" s="337">
        <v>56</v>
      </c>
      <c r="D29" s="332"/>
      <c r="E29" s="329">
        <v>38031</v>
      </c>
      <c r="F29" s="339" t="s">
        <v>2065</v>
      </c>
      <c r="G29" s="337">
        <v>42</v>
      </c>
      <c r="H29" s="332"/>
      <c r="I29" s="329"/>
      <c r="J29" s="339"/>
      <c r="K29" s="337"/>
      <c r="L29" s="332"/>
      <c r="M29" s="329"/>
      <c r="N29" s="339"/>
      <c r="O29" s="337"/>
      <c r="P29" s="332"/>
      <c r="Q29" s="329"/>
      <c r="R29" s="339"/>
      <c r="S29" s="337"/>
      <c r="T29" s="332"/>
      <c r="U29" s="329"/>
      <c r="V29" s="339"/>
      <c r="W29" s="337"/>
      <c r="X29" s="332"/>
      <c r="Y29" s="329"/>
      <c r="Z29" s="339"/>
      <c r="AA29" s="337"/>
      <c r="AB29" s="332"/>
      <c r="AC29" s="329">
        <v>40232</v>
      </c>
      <c r="AD29" s="339" t="s">
        <v>797</v>
      </c>
      <c r="AE29" s="337">
        <v>30</v>
      </c>
      <c r="AF29" s="332"/>
      <c r="AG29" s="329">
        <v>40594</v>
      </c>
      <c r="AH29" s="339" t="s">
        <v>1944</v>
      </c>
      <c r="AI29" s="337">
        <v>30</v>
      </c>
      <c r="AJ29" s="332"/>
      <c r="AK29" s="329">
        <v>40957</v>
      </c>
      <c r="AL29" s="339" t="s">
        <v>781</v>
      </c>
      <c r="AM29" s="337">
        <v>30</v>
      </c>
      <c r="AN29" s="332"/>
      <c r="AO29" s="329">
        <v>41329</v>
      </c>
      <c r="AP29" s="339" t="s">
        <v>754</v>
      </c>
      <c r="AQ29" s="337">
        <v>101</v>
      </c>
      <c r="AR29" s="332"/>
      <c r="AS29" s="329">
        <v>41693</v>
      </c>
      <c r="AT29" s="339" t="s">
        <v>2066</v>
      </c>
      <c r="AU29" s="337">
        <v>3</v>
      </c>
      <c r="AV29" s="332"/>
      <c r="AW29" s="329">
        <v>42058</v>
      </c>
      <c r="AX29" s="339" t="s">
        <v>2067</v>
      </c>
      <c r="AY29" s="337">
        <v>1579</v>
      </c>
      <c r="AZ29" s="333"/>
      <c r="BA29" s="329">
        <v>42415</v>
      </c>
      <c r="BB29" s="339" t="s">
        <v>2068</v>
      </c>
      <c r="BC29" s="337">
        <v>50</v>
      </c>
      <c r="BD29" s="333"/>
      <c r="BE29" s="329">
        <v>42785</v>
      </c>
      <c r="BF29" s="339" t="s">
        <v>873</v>
      </c>
      <c r="BG29" s="337">
        <v>13</v>
      </c>
      <c r="BH29" s="332"/>
      <c r="BI29" s="329">
        <v>43141</v>
      </c>
      <c r="BJ29" s="339" t="s">
        <v>2069</v>
      </c>
      <c r="BK29" s="337">
        <v>100</v>
      </c>
      <c r="BL29" s="332"/>
      <c r="BM29" s="329"/>
      <c r="BN29" s="339"/>
      <c r="BO29" s="337"/>
      <c r="BP29" s="332"/>
      <c r="BQ29" s="895">
        <v>43518</v>
      </c>
      <c r="BR29" s="901" t="s">
        <v>823</v>
      </c>
      <c r="BS29" s="902">
        <v>41</v>
      </c>
      <c r="BT29" s="899" t="s">
        <v>414</v>
      </c>
      <c r="BU29" s="895">
        <v>43876</v>
      </c>
      <c r="BV29" s="901" t="s">
        <v>2070</v>
      </c>
      <c r="BW29" s="908">
        <v>20</v>
      </c>
      <c r="BX29" s="899" t="s">
        <v>414</v>
      </c>
      <c r="BY29" s="895">
        <v>44240</v>
      </c>
      <c r="BZ29" s="901" t="s">
        <v>845</v>
      </c>
      <c r="CA29" s="908">
        <v>43</v>
      </c>
      <c r="CB29" s="899" t="s">
        <v>414</v>
      </c>
      <c r="CC29" s="895">
        <v>44598</v>
      </c>
      <c r="CD29" s="901" t="s">
        <v>2071</v>
      </c>
      <c r="CE29" s="908">
        <v>17</v>
      </c>
      <c r="CF29" s="899" t="s">
        <v>280</v>
      </c>
      <c r="CG29" s="895">
        <v>44977</v>
      </c>
      <c r="CH29" s="901" t="s">
        <v>2072</v>
      </c>
      <c r="CI29" s="908">
        <v>17</v>
      </c>
      <c r="CJ29" s="899" t="s">
        <v>414</v>
      </c>
      <c r="CK29" s="895">
        <v>45332</v>
      </c>
      <c r="CL29" s="901" t="s">
        <v>971</v>
      </c>
      <c r="CM29" s="908">
        <v>55</v>
      </c>
      <c r="CN29" s="899" t="s">
        <v>414</v>
      </c>
      <c r="CO29" s="895">
        <v>45700</v>
      </c>
      <c r="CP29" s="901" t="s">
        <v>2073</v>
      </c>
      <c r="CQ29" s="908">
        <v>16</v>
      </c>
      <c r="CR29" s="1396" t="s">
        <v>280</v>
      </c>
    </row>
    <row r="30" spans="1:96">
      <c r="A30" s="329">
        <v>37666</v>
      </c>
      <c r="B30" s="339" t="s">
        <v>2074</v>
      </c>
      <c r="C30" s="337"/>
      <c r="D30" s="332">
        <v>10</v>
      </c>
      <c r="E30" s="329">
        <v>38031</v>
      </c>
      <c r="F30" s="339" t="s">
        <v>2075</v>
      </c>
      <c r="G30" s="337">
        <v>13</v>
      </c>
      <c r="H30" s="332"/>
      <c r="I30" s="329"/>
      <c r="J30" s="339"/>
      <c r="K30" s="337"/>
      <c r="L30" s="332"/>
      <c r="M30" s="329"/>
      <c r="N30" s="339"/>
      <c r="O30" s="337"/>
      <c r="P30" s="332"/>
      <c r="Q30" s="329"/>
      <c r="R30" s="339"/>
      <c r="S30" s="337"/>
      <c r="T30" s="332"/>
      <c r="U30" s="329"/>
      <c r="V30" s="339"/>
      <c r="W30" s="337"/>
      <c r="X30" s="332"/>
      <c r="Y30" s="329"/>
      <c r="Z30" s="339"/>
      <c r="AA30" s="337"/>
      <c r="AB30" s="332"/>
      <c r="AC30" s="329">
        <v>40234</v>
      </c>
      <c r="AD30" s="339" t="s">
        <v>937</v>
      </c>
      <c r="AE30" s="337">
        <v>38</v>
      </c>
      <c r="AF30" s="332"/>
      <c r="AG30" s="329">
        <v>40594</v>
      </c>
      <c r="AH30" s="339" t="s">
        <v>2076</v>
      </c>
      <c r="AI30" s="337">
        <v>16</v>
      </c>
      <c r="AJ30" s="332"/>
      <c r="AK30" s="329">
        <v>40957</v>
      </c>
      <c r="AL30" s="339" t="s">
        <v>2077</v>
      </c>
      <c r="AM30" s="337">
        <v>35</v>
      </c>
      <c r="AN30" s="332"/>
      <c r="AO30" s="329">
        <v>41329</v>
      </c>
      <c r="AP30" s="339" t="s">
        <v>2078</v>
      </c>
      <c r="AQ30" s="337">
        <v>36</v>
      </c>
      <c r="AR30" s="332"/>
      <c r="AS30" s="329">
        <v>41695</v>
      </c>
      <c r="AT30" s="339" t="s">
        <v>797</v>
      </c>
      <c r="AU30" s="337">
        <v>57</v>
      </c>
      <c r="AV30" s="332"/>
      <c r="AW30" s="329">
        <v>42062</v>
      </c>
      <c r="AX30" s="339" t="s">
        <v>1052</v>
      </c>
      <c r="AY30" s="337">
        <v>19</v>
      </c>
      <c r="AZ30" s="333"/>
      <c r="BA30" s="329">
        <v>42415</v>
      </c>
      <c r="BB30" s="339" t="s">
        <v>2079</v>
      </c>
      <c r="BC30" s="337">
        <v>12</v>
      </c>
      <c r="BD30" s="333"/>
      <c r="BE30" s="329">
        <v>42785</v>
      </c>
      <c r="BF30" s="339" t="s">
        <v>1180</v>
      </c>
      <c r="BG30" s="337">
        <v>49</v>
      </c>
      <c r="BH30" s="332"/>
      <c r="BI30" s="329">
        <v>43141</v>
      </c>
      <c r="BJ30" s="339" t="s">
        <v>2080</v>
      </c>
      <c r="BK30" s="337">
        <v>15</v>
      </c>
      <c r="BL30" s="332"/>
      <c r="BM30" s="329"/>
      <c r="BN30" s="339"/>
      <c r="BO30" s="337"/>
      <c r="BP30" s="332"/>
      <c r="BQ30" s="895">
        <v>43518</v>
      </c>
      <c r="BR30" s="901" t="s">
        <v>2081</v>
      </c>
      <c r="BS30" s="902">
        <v>61</v>
      </c>
      <c r="BT30" s="899" t="s">
        <v>381</v>
      </c>
      <c r="BU30" s="895">
        <v>43876</v>
      </c>
      <c r="BV30" s="901" t="s">
        <v>1183</v>
      </c>
      <c r="BW30" s="908">
        <v>6</v>
      </c>
      <c r="BX30" s="899" t="s">
        <v>414</v>
      </c>
      <c r="BY30" s="895">
        <v>44241</v>
      </c>
      <c r="BZ30" s="901" t="s">
        <v>2082</v>
      </c>
      <c r="CA30" s="908">
        <v>15</v>
      </c>
      <c r="CB30" s="899" t="s">
        <v>414</v>
      </c>
      <c r="CC30" s="895">
        <v>44602</v>
      </c>
      <c r="CD30" s="901" t="s">
        <v>2083</v>
      </c>
      <c r="CE30" s="908">
        <v>27</v>
      </c>
      <c r="CF30" s="899" t="s">
        <v>280</v>
      </c>
      <c r="CG30" s="895">
        <v>44977</v>
      </c>
      <c r="CH30" s="901" t="s">
        <v>1418</v>
      </c>
      <c r="CI30" s="908">
        <v>20</v>
      </c>
      <c r="CJ30" s="899" t="s">
        <v>414</v>
      </c>
      <c r="CK30" s="895">
        <v>45333</v>
      </c>
      <c r="CL30" s="901" t="s">
        <v>797</v>
      </c>
      <c r="CM30" s="908">
        <v>52</v>
      </c>
      <c r="CN30" s="899" t="s">
        <v>410</v>
      </c>
      <c r="CO30" s="895">
        <v>45700</v>
      </c>
      <c r="CP30" s="901" t="s">
        <v>2084</v>
      </c>
      <c r="CQ30" s="908">
        <v>10</v>
      </c>
      <c r="CR30" s="899" t="s">
        <v>414</v>
      </c>
    </row>
    <row r="31" spans="1:96">
      <c r="A31" s="329">
        <v>37668</v>
      </c>
      <c r="B31" s="339" t="s">
        <v>2085</v>
      </c>
      <c r="C31" s="337">
        <v>48</v>
      </c>
      <c r="D31" s="332"/>
      <c r="E31" s="329">
        <v>38031</v>
      </c>
      <c r="F31" s="339" t="s">
        <v>2086</v>
      </c>
      <c r="G31" s="337">
        <v>33</v>
      </c>
      <c r="H31" s="332"/>
      <c r="I31" s="329"/>
      <c r="J31" s="339"/>
      <c r="K31" s="337"/>
      <c r="L31" s="332"/>
      <c r="M31" s="329"/>
      <c r="N31" s="339"/>
      <c r="O31" s="337"/>
      <c r="P31" s="332"/>
      <c r="Q31" s="329"/>
      <c r="R31" s="339"/>
      <c r="S31" s="337"/>
      <c r="T31" s="332"/>
      <c r="U31" s="329"/>
      <c r="V31" s="339"/>
      <c r="W31" s="337"/>
      <c r="X31" s="332"/>
      <c r="Y31" s="329"/>
      <c r="Z31" s="339"/>
      <c r="AA31" s="337"/>
      <c r="AB31" s="332"/>
      <c r="AC31" s="329">
        <v>40234</v>
      </c>
      <c r="AD31" s="339" t="s">
        <v>2087</v>
      </c>
      <c r="AE31" s="337">
        <v>16</v>
      </c>
      <c r="AF31" s="332"/>
      <c r="AG31" s="329">
        <v>40594</v>
      </c>
      <c r="AH31" s="339" t="s">
        <v>2088</v>
      </c>
      <c r="AI31" s="337">
        <v>101</v>
      </c>
      <c r="AJ31" s="332"/>
      <c r="AK31" s="329">
        <v>40958</v>
      </c>
      <c r="AL31" s="339" t="s">
        <v>797</v>
      </c>
      <c r="AM31" s="337">
        <v>55</v>
      </c>
      <c r="AN31" s="332"/>
      <c r="AO31" s="329">
        <v>41330</v>
      </c>
      <c r="AP31" s="339" t="s">
        <v>2089</v>
      </c>
      <c r="AQ31" s="337">
        <v>11</v>
      </c>
      <c r="AR31" s="332"/>
      <c r="AS31" s="329">
        <v>41695</v>
      </c>
      <c r="AT31" s="339" t="s">
        <v>2090</v>
      </c>
      <c r="AU31" s="337">
        <v>40</v>
      </c>
      <c r="AV31" s="332"/>
      <c r="AW31" s="329">
        <v>42063</v>
      </c>
      <c r="AX31" s="339" t="s">
        <v>802</v>
      </c>
      <c r="AY31" s="337">
        <v>35</v>
      </c>
      <c r="AZ31" s="333"/>
      <c r="BA31" s="329">
        <v>42415</v>
      </c>
      <c r="BB31" s="339" t="s">
        <v>2079</v>
      </c>
      <c r="BC31" s="337">
        <v>18</v>
      </c>
      <c r="BD31" s="333"/>
      <c r="BE31" s="329">
        <v>42785</v>
      </c>
      <c r="BF31" s="339" t="s">
        <v>2091</v>
      </c>
      <c r="BG31" s="337">
        <v>29</v>
      </c>
      <c r="BH31" s="332"/>
      <c r="BI31" s="329">
        <v>43142</v>
      </c>
      <c r="BJ31" s="339" t="s">
        <v>873</v>
      </c>
      <c r="BK31" s="337">
        <v>29</v>
      </c>
      <c r="BL31" s="332"/>
      <c r="BM31" s="329"/>
      <c r="BN31" s="339"/>
      <c r="BO31" s="337"/>
      <c r="BP31" s="332"/>
      <c r="BQ31" s="895">
        <v>43519</v>
      </c>
      <c r="BR31" s="901" t="s">
        <v>772</v>
      </c>
      <c r="BS31" s="902">
        <v>7</v>
      </c>
      <c r="BT31" s="899" t="s">
        <v>414</v>
      </c>
      <c r="BU31" s="895">
        <v>43881</v>
      </c>
      <c r="BV31" s="901" t="s">
        <v>2092</v>
      </c>
      <c r="BW31" s="908"/>
      <c r="BX31" s="899" t="s">
        <v>414</v>
      </c>
      <c r="BY31" s="895">
        <v>44241</v>
      </c>
      <c r="BZ31" s="901" t="s">
        <v>2093</v>
      </c>
      <c r="CA31" s="908">
        <v>150</v>
      </c>
      <c r="CB31" s="899" t="s">
        <v>701</v>
      </c>
      <c r="CC31" s="895">
        <v>44604</v>
      </c>
      <c r="CD31" s="901" t="s">
        <v>845</v>
      </c>
      <c r="CE31" s="908">
        <v>30</v>
      </c>
      <c r="CF31" s="899" t="s">
        <v>414</v>
      </c>
      <c r="CG31" s="895">
        <v>44977</v>
      </c>
      <c r="CH31" s="901" t="s">
        <v>2094</v>
      </c>
      <c r="CI31" s="908">
        <v>8</v>
      </c>
      <c r="CJ31" s="899" t="s">
        <v>414</v>
      </c>
      <c r="CK31" s="895">
        <v>45333</v>
      </c>
      <c r="CL31" s="901" t="s">
        <v>2095</v>
      </c>
      <c r="CM31" s="908">
        <v>60</v>
      </c>
      <c r="CN31" s="899" t="s">
        <v>700</v>
      </c>
      <c r="CO31" s="895">
        <v>45700</v>
      </c>
      <c r="CP31" s="901" t="s">
        <v>2096</v>
      </c>
      <c r="CQ31" s="908">
        <v>18</v>
      </c>
      <c r="CR31" s="899" t="s">
        <v>414</v>
      </c>
    </row>
    <row r="32" spans="1:96">
      <c r="A32" s="329">
        <v>37668</v>
      </c>
      <c r="B32" s="339" t="s">
        <v>2097</v>
      </c>
      <c r="C32" s="337">
        <v>17</v>
      </c>
      <c r="D32" s="332"/>
      <c r="E32" s="329">
        <v>38031</v>
      </c>
      <c r="F32" s="339" t="s">
        <v>2098</v>
      </c>
      <c r="G32" s="337">
        <v>16</v>
      </c>
      <c r="H32" s="332"/>
      <c r="I32" s="329"/>
      <c r="J32" s="339"/>
      <c r="K32" s="337"/>
      <c r="L32" s="332"/>
      <c r="M32" s="329"/>
      <c r="N32" s="339"/>
      <c r="O32" s="337"/>
      <c r="P32" s="332"/>
      <c r="Q32" s="329"/>
      <c r="R32" s="339"/>
      <c r="S32" s="337"/>
      <c r="T32" s="332"/>
      <c r="U32" s="329"/>
      <c r="V32" s="339"/>
      <c r="W32" s="337"/>
      <c r="X32" s="332"/>
      <c r="Y32" s="329"/>
      <c r="Z32" s="339"/>
      <c r="AA32" s="337"/>
      <c r="AB32" s="332"/>
      <c r="AC32" s="329">
        <v>40234</v>
      </c>
      <c r="AD32" s="339" t="s">
        <v>2099</v>
      </c>
      <c r="AE32" s="337">
        <v>25</v>
      </c>
      <c r="AF32" s="332"/>
      <c r="AG32" s="329">
        <v>40595</v>
      </c>
      <c r="AH32" s="339" t="s">
        <v>2100</v>
      </c>
      <c r="AI32" s="337">
        <v>5</v>
      </c>
      <c r="AJ32" s="332"/>
      <c r="AK32" s="329">
        <v>40960</v>
      </c>
      <c r="AL32" s="339" t="s">
        <v>1052</v>
      </c>
      <c r="AM32" s="337">
        <v>21</v>
      </c>
      <c r="AN32" s="332"/>
      <c r="AO32" s="329">
        <v>41333</v>
      </c>
      <c r="AP32" s="339" t="s">
        <v>802</v>
      </c>
      <c r="AQ32" s="337">
        <v>58</v>
      </c>
      <c r="AR32" s="332"/>
      <c r="AS32" s="329">
        <v>41697</v>
      </c>
      <c r="AT32" s="339" t="s">
        <v>1401</v>
      </c>
      <c r="AU32" s="337">
        <v>15</v>
      </c>
      <c r="AV32" s="332"/>
      <c r="AW32" s="329">
        <v>42063</v>
      </c>
      <c r="AX32" s="339" t="s">
        <v>754</v>
      </c>
      <c r="AY32" s="337">
        <v>149</v>
      </c>
      <c r="AZ32" s="333"/>
      <c r="BA32" s="329">
        <v>42416</v>
      </c>
      <c r="BB32" s="339" t="s">
        <v>2101</v>
      </c>
      <c r="BC32" s="337">
        <v>36</v>
      </c>
      <c r="BD32" s="333"/>
      <c r="BE32" s="329">
        <v>42785</v>
      </c>
      <c r="BF32" s="339" t="s">
        <v>2102</v>
      </c>
      <c r="BG32" s="337">
        <v>38</v>
      </c>
      <c r="BH32" s="332"/>
      <c r="BI32" s="329">
        <v>43144</v>
      </c>
      <c r="BJ32" s="339" t="s">
        <v>2103</v>
      </c>
      <c r="BK32" s="337">
        <v>0</v>
      </c>
      <c r="BL32" s="332"/>
      <c r="BM32" s="329"/>
      <c r="BN32" s="339"/>
      <c r="BO32" s="337"/>
      <c r="BP32" s="332"/>
      <c r="BQ32" s="895">
        <v>43519</v>
      </c>
      <c r="BR32" s="901" t="s">
        <v>873</v>
      </c>
      <c r="BS32" s="902">
        <v>36</v>
      </c>
      <c r="BT32" s="899" t="s">
        <v>414</v>
      </c>
      <c r="BU32" s="895">
        <v>43882</v>
      </c>
      <c r="BV32" s="901" t="s">
        <v>2104</v>
      </c>
      <c r="BW32" s="908"/>
      <c r="BX32" s="899" t="s">
        <v>414</v>
      </c>
      <c r="BY32" s="895">
        <v>44241</v>
      </c>
      <c r="BZ32" s="901" t="s">
        <v>2105</v>
      </c>
      <c r="CA32" s="908">
        <v>155</v>
      </c>
      <c r="CB32" s="899" t="s">
        <v>701</v>
      </c>
      <c r="CC32" s="895">
        <v>44604</v>
      </c>
      <c r="CD32" s="901" t="s">
        <v>843</v>
      </c>
      <c r="CE32" s="908">
        <v>51</v>
      </c>
      <c r="CF32" s="899" t="s">
        <v>414</v>
      </c>
      <c r="CG32" s="895">
        <v>44977</v>
      </c>
      <c r="CH32" s="901" t="s">
        <v>2106</v>
      </c>
      <c r="CI32" s="908">
        <v>2</v>
      </c>
      <c r="CJ32" s="899" t="s">
        <v>414</v>
      </c>
      <c r="CK32" s="895">
        <v>45333</v>
      </c>
      <c r="CL32" s="901" t="s">
        <v>2107</v>
      </c>
      <c r="CM32" s="908">
        <v>26</v>
      </c>
      <c r="CN32" s="899" t="s">
        <v>700</v>
      </c>
      <c r="CO32" s="895">
        <v>45700</v>
      </c>
      <c r="CP32" s="901" t="s">
        <v>2108</v>
      </c>
      <c r="CQ32" s="908">
        <v>35</v>
      </c>
      <c r="CR32" s="899" t="s">
        <v>414</v>
      </c>
    </row>
    <row r="33" spans="1:96">
      <c r="A33" s="329">
        <v>37672</v>
      </c>
      <c r="B33" s="339" t="s">
        <v>1220</v>
      </c>
      <c r="C33" s="337"/>
      <c r="D33" s="332">
        <v>34</v>
      </c>
      <c r="E33" s="329">
        <v>38031</v>
      </c>
      <c r="F33" s="339" t="s">
        <v>2109</v>
      </c>
      <c r="G33" s="337">
        <v>7</v>
      </c>
      <c r="H33" s="332"/>
      <c r="I33" s="329"/>
      <c r="J33" s="339"/>
      <c r="K33" s="337"/>
      <c r="L33" s="332"/>
      <c r="M33" s="329"/>
      <c r="N33" s="339"/>
      <c r="O33" s="337"/>
      <c r="P33" s="332"/>
      <c r="Q33" s="329"/>
      <c r="R33" s="339"/>
      <c r="S33" s="337"/>
      <c r="T33" s="332"/>
      <c r="U33" s="329"/>
      <c r="V33" s="339"/>
      <c r="W33" s="337"/>
      <c r="X33" s="332"/>
      <c r="Y33" s="329"/>
      <c r="Z33" s="339"/>
      <c r="AA33" s="337"/>
      <c r="AB33" s="332"/>
      <c r="AC33" s="329">
        <v>40236</v>
      </c>
      <c r="AD33" s="339" t="s">
        <v>2110</v>
      </c>
      <c r="AE33" s="337">
        <v>16</v>
      </c>
      <c r="AF33" s="332"/>
      <c r="AG33" s="329">
        <v>40597</v>
      </c>
      <c r="AH33" s="339" t="s">
        <v>2111</v>
      </c>
      <c r="AI33" s="337"/>
      <c r="AJ33" s="332"/>
      <c r="AK33" s="329">
        <v>40962</v>
      </c>
      <c r="AL33" s="339" t="s">
        <v>2112</v>
      </c>
      <c r="AM33" s="337">
        <v>8</v>
      </c>
      <c r="AN33" s="332"/>
      <c r="AO33" s="329">
        <v>41333</v>
      </c>
      <c r="AP33" s="339" t="s">
        <v>2113</v>
      </c>
      <c r="AQ33" s="337">
        <v>85</v>
      </c>
      <c r="AR33" s="332"/>
      <c r="AS33" s="329">
        <v>41697</v>
      </c>
      <c r="AT33" s="339" t="s">
        <v>922</v>
      </c>
      <c r="AU33" s="337">
        <v>28</v>
      </c>
      <c r="AV33" s="332"/>
      <c r="AW33" s="329">
        <v>42063</v>
      </c>
      <c r="AX33" s="339" t="s">
        <v>772</v>
      </c>
      <c r="AY33" s="337">
        <v>67</v>
      </c>
      <c r="AZ33" s="333"/>
      <c r="BA33" s="329">
        <v>42416</v>
      </c>
      <c r="BB33" s="339" t="s">
        <v>2114</v>
      </c>
      <c r="BC33" s="337">
        <v>0</v>
      </c>
      <c r="BD33" s="333"/>
      <c r="BE33" s="329">
        <v>42786</v>
      </c>
      <c r="BF33" s="339" t="s">
        <v>2115</v>
      </c>
      <c r="BG33" s="337">
        <v>7</v>
      </c>
      <c r="BH33" s="332"/>
      <c r="BI33" s="329">
        <v>43144</v>
      </c>
      <c r="BJ33" s="339" t="s">
        <v>1052</v>
      </c>
      <c r="BK33" s="337">
        <v>23</v>
      </c>
      <c r="BL33" s="332"/>
      <c r="BM33" s="329"/>
      <c r="BN33" s="339"/>
      <c r="BO33" s="337"/>
      <c r="BP33" s="332"/>
      <c r="BQ33" s="895">
        <v>43518</v>
      </c>
      <c r="BR33" s="901" t="s">
        <v>2116</v>
      </c>
      <c r="BS33" s="902">
        <v>15</v>
      </c>
      <c r="BT33" s="899" t="s">
        <v>278</v>
      </c>
      <c r="BU33" s="895">
        <v>43883</v>
      </c>
      <c r="BV33" s="901" t="s">
        <v>823</v>
      </c>
      <c r="BW33" s="908">
        <v>21</v>
      </c>
      <c r="BX33" s="899" t="s">
        <v>414</v>
      </c>
      <c r="BY33" s="895">
        <v>44243</v>
      </c>
      <c r="BZ33" s="901" t="s">
        <v>2117</v>
      </c>
      <c r="CA33" s="908">
        <v>49</v>
      </c>
      <c r="CB33" s="899" t="s">
        <v>414</v>
      </c>
      <c r="CC33" s="895">
        <v>44604</v>
      </c>
      <c r="CD33" s="901" t="s">
        <v>872</v>
      </c>
      <c r="CE33" s="908">
        <v>11</v>
      </c>
      <c r="CF33" s="899" t="s">
        <v>414</v>
      </c>
      <c r="CG33" s="895">
        <v>44977</v>
      </c>
      <c r="CH33" s="901" t="s">
        <v>2118</v>
      </c>
      <c r="CI33" s="908">
        <v>100</v>
      </c>
      <c r="CJ33" s="899" t="s">
        <v>692</v>
      </c>
      <c r="CK33" s="895">
        <v>45333</v>
      </c>
      <c r="CL33" s="901" t="s">
        <v>2119</v>
      </c>
      <c r="CM33" s="908">
        <v>16</v>
      </c>
      <c r="CN33" s="899" t="s">
        <v>414</v>
      </c>
      <c r="CO33" s="895">
        <v>45700</v>
      </c>
      <c r="CP33" s="901" t="s">
        <v>2120</v>
      </c>
      <c r="CQ33" s="908">
        <v>12</v>
      </c>
      <c r="CR33" s="899" t="s">
        <v>414</v>
      </c>
    </row>
    <row r="34" spans="1:96">
      <c r="A34" s="329">
        <v>37672</v>
      </c>
      <c r="B34" s="339" t="s">
        <v>915</v>
      </c>
      <c r="C34" s="337"/>
      <c r="D34" s="332">
        <v>32</v>
      </c>
      <c r="E34" s="329">
        <v>38031</v>
      </c>
      <c r="F34" s="339" t="s">
        <v>2121</v>
      </c>
      <c r="G34" s="337">
        <v>115</v>
      </c>
      <c r="H34" s="332"/>
      <c r="I34" s="329"/>
      <c r="J34" s="339"/>
      <c r="K34" s="337"/>
      <c r="L34" s="332"/>
      <c r="M34" s="329"/>
      <c r="N34" s="339"/>
      <c r="O34" s="337"/>
      <c r="P34" s="332"/>
      <c r="Q34" s="329"/>
      <c r="R34" s="339"/>
      <c r="S34" s="337"/>
      <c r="T34" s="332"/>
      <c r="U34" s="329"/>
      <c r="V34" s="339"/>
      <c r="W34" s="337"/>
      <c r="X34" s="332"/>
      <c r="Y34" s="329"/>
      <c r="Z34" s="339"/>
      <c r="AA34" s="337"/>
      <c r="AB34" s="332"/>
      <c r="AC34" s="329">
        <v>40236</v>
      </c>
      <c r="AD34" s="339" t="s">
        <v>772</v>
      </c>
      <c r="AE34" s="337">
        <v>51</v>
      </c>
      <c r="AF34" s="332"/>
      <c r="AG34" s="329">
        <v>40597</v>
      </c>
      <c r="AH34" s="339" t="s">
        <v>2122</v>
      </c>
      <c r="AI34" s="337">
        <v>47</v>
      </c>
      <c r="AJ34" s="332"/>
      <c r="AK34" s="329">
        <v>40963</v>
      </c>
      <c r="AL34" s="339" t="s">
        <v>925</v>
      </c>
      <c r="AM34" s="337">
        <v>3</v>
      </c>
      <c r="AN34" s="332"/>
      <c r="AO34" s="329">
        <v>41333</v>
      </c>
      <c r="AP34" s="366" t="s">
        <v>2123</v>
      </c>
      <c r="AQ34" s="337">
        <v>387</v>
      </c>
      <c r="AR34" s="332"/>
      <c r="AS34" s="329">
        <v>41697</v>
      </c>
      <c r="AT34" s="339" t="s">
        <v>2124</v>
      </c>
      <c r="AU34" s="337">
        <v>26</v>
      </c>
      <c r="AV34" s="332"/>
      <c r="AW34" s="329">
        <v>42063</v>
      </c>
      <c r="AX34" s="339" t="s">
        <v>2125</v>
      </c>
      <c r="AY34" s="337">
        <v>49</v>
      </c>
      <c r="AZ34" s="333"/>
      <c r="BA34" s="329">
        <v>42416</v>
      </c>
      <c r="BB34" s="339" t="s">
        <v>2126</v>
      </c>
      <c r="BC34" s="337">
        <v>0</v>
      </c>
      <c r="BD34" s="333"/>
      <c r="BE34" s="329">
        <v>42788</v>
      </c>
      <c r="BF34" s="339" t="s">
        <v>2127</v>
      </c>
      <c r="BG34" s="337">
        <v>45</v>
      </c>
      <c r="BH34" s="332"/>
      <c r="BI34" s="329">
        <v>43148</v>
      </c>
      <c r="BJ34" s="339" t="s">
        <v>859</v>
      </c>
      <c r="BK34" s="337">
        <v>21</v>
      </c>
      <c r="BL34" s="332"/>
      <c r="BM34" s="329"/>
      <c r="BN34" s="339"/>
      <c r="BO34" s="337"/>
      <c r="BP34" s="332"/>
      <c r="BQ34" s="895">
        <v>43519</v>
      </c>
      <c r="BR34" s="901" t="s">
        <v>1427</v>
      </c>
      <c r="BS34" s="902">
        <v>5</v>
      </c>
      <c r="BT34" s="899" t="s">
        <v>414</v>
      </c>
      <c r="BU34" s="895">
        <v>43883</v>
      </c>
      <c r="BV34" s="901" t="s">
        <v>873</v>
      </c>
      <c r="BW34" s="908">
        <v>20</v>
      </c>
      <c r="BX34" s="899" t="s">
        <v>414</v>
      </c>
      <c r="BY34" s="895">
        <v>44243</v>
      </c>
      <c r="BZ34" s="901" t="s">
        <v>890</v>
      </c>
      <c r="CA34" s="908">
        <v>10</v>
      </c>
      <c r="CB34" s="899" t="s">
        <v>414</v>
      </c>
      <c r="CC34" s="895">
        <v>44604</v>
      </c>
      <c r="CD34" s="901" t="s">
        <v>772</v>
      </c>
      <c r="CE34" s="908">
        <v>25</v>
      </c>
      <c r="CF34" s="899" t="s">
        <v>414</v>
      </c>
      <c r="CG34" s="895">
        <v>44977</v>
      </c>
      <c r="CH34" s="901" t="s">
        <v>2128</v>
      </c>
      <c r="CI34" s="908">
        <v>30</v>
      </c>
      <c r="CJ34" s="899" t="s">
        <v>692</v>
      </c>
      <c r="CK34" s="895">
        <v>45333</v>
      </c>
      <c r="CL34" s="901" t="s">
        <v>2129</v>
      </c>
      <c r="CM34" s="908">
        <v>17</v>
      </c>
      <c r="CN34" s="899" t="s">
        <v>414</v>
      </c>
      <c r="CO34" s="895">
        <v>45700</v>
      </c>
      <c r="CP34" s="901" t="s">
        <v>862</v>
      </c>
      <c r="CQ34" s="908">
        <v>27</v>
      </c>
      <c r="CR34" s="899" t="s">
        <v>414</v>
      </c>
    </row>
    <row r="35" spans="1:96">
      <c r="A35" s="329">
        <v>37673</v>
      </c>
      <c r="B35" s="339" t="s">
        <v>410</v>
      </c>
      <c r="C35" s="337"/>
      <c r="D35" s="332">
        <v>36</v>
      </c>
      <c r="E35" s="329">
        <v>38031</v>
      </c>
      <c r="F35" s="339" t="s">
        <v>2130</v>
      </c>
      <c r="G35" s="337">
        <v>16</v>
      </c>
      <c r="H35" s="332"/>
      <c r="I35" s="329"/>
      <c r="J35" s="339"/>
      <c r="K35" s="337"/>
      <c r="L35" s="332"/>
      <c r="M35" s="329"/>
      <c r="N35" s="339"/>
      <c r="O35" s="337"/>
      <c r="P35" s="332"/>
      <c r="Q35" s="329"/>
      <c r="R35" s="339"/>
      <c r="S35" s="337"/>
      <c r="T35" s="332"/>
      <c r="U35" s="329"/>
      <c r="V35" s="339"/>
      <c r="W35" s="337"/>
      <c r="X35" s="332"/>
      <c r="Y35" s="329"/>
      <c r="Z35" s="339"/>
      <c r="AA35" s="337"/>
      <c r="AB35" s="332"/>
      <c r="AC35" s="329"/>
      <c r="AD35" s="339"/>
      <c r="AE35" s="337"/>
      <c r="AF35" s="332"/>
      <c r="AG35" s="329">
        <v>40598</v>
      </c>
      <c r="AH35" s="339" t="s">
        <v>802</v>
      </c>
      <c r="AI35" s="337">
        <v>36</v>
      </c>
      <c r="AJ35" s="332"/>
      <c r="AK35" s="329">
        <v>40965</v>
      </c>
      <c r="AL35" s="339" t="s">
        <v>2131</v>
      </c>
      <c r="AM35" s="337">
        <v>39</v>
      </c>
      <c r="AN35" s="332"/>
      <c r="AO35" s="329">
        <v>41333</v>
      </c>
      <c r="AP35" s="339" t="s">
        <v>2132</v>
      </c>
      <c r="AQ35" s="337">
        <v>8</v>
      </c>
      <c r="AR35" s="332"/>
      <c r="AS35" s="329">
        <v>41698</v>
      </c>
      <c r="AT35" s="339" t="s">
        <v>954</v>
      </c>
      <c r="AU35" s="337">
        <v>28</v>
      </c>
      <c r="AV35" s="332"/>
      <c r="AW35" s="329">
        <v>42063</v>
      </c>
      <c r="AX35" s="339" t="s">
        <v>2133</v>
      </c>
      <c r="AY35" s="337">
        <v>15</v>
      </c>
      <c r="AZ35" s="333"/>
      <c r="BA35" s="329">
        <v>42416</v>
      </c>
      <c r="BB35" s="339" t="s">
        <v>2134</v>
      </c>
      <c r="BC35" s="337">
        <v>3</v>
      </c>
      <c r="BD35" s="333"/>
      <c r="BE35" s="329">
        <v>42788</v>
      </c>
      <c r="BF35" s="339" t="s">
        <v>2135</v>
      </c>
      <c r="BG35" s="337">
        <v>21</v>
      </c>
      <c r="BH35" s="332"/>
      <c r="BI35" s="329">
        <v>43148</v>
      </c>
      <c r="BJ35" s="339" t="s">
        <v>772</v>
      </c>
      <c r="BK35" s="337">
        <v>21</v>
      </c>
      <c r="BL35" s="332"/>
      <c r="BM35" s="329"/>
      <c r="BN35" s="339"/>
      <c r="BO35" s="337"/>
      <c r="BP35" s="332"/>
      <c r="BQ35" s="895">
        <v>43520</v>
      </c>
      <c r="BR35" s="901" t="s">
        <v>1033</v>
      </c>
      <c r="BS35" s="902">
        <v>15</v>
      </c>
      <c r="BT35" s="899" t="s">
        <v>414</v>
      </c>
      <c r="BU35" s="895">
        <v>43884</v>
      </c>
      <c r="BV35" s="901" t="s">
        <v>2136</v>
      </c>
      <c r="BW35" s="908">
        <v>32</v>
      </c>
      <c r="BX35" s="899" t="s">
        <v>280</v>
      </c>
      <c r="BY35" s="895">
        <v>44243</v>
      </c>
      <c r="BZ35" s="901" t="s">
        <v>2137</v>
      </c>
      <c r="CA35" s="908">
        <v>11</v>
      </c>
      <c r="CB35" s="899" t="s">
        <v>280</v>
      </c>
      <c r="CC35" s="895">
        <v>44604</v>
      </c>
      <c r="CD35" s="901" t="s">
        <v>2138</v>
      </c>
      <c r="CE35" s="908">
        <v>44</v>
      </c>
      <c r="CF35" s="899" t="s">
        <v>701</v>
      </c>
      <c r="CG35" s="895">
        <v>44977</v>
      </c>
      <c r="CH35" s="901" t="s">
        <v>2139</v>
      </c>
      <c r="CI35" s="908">
        <v>112</v>
      </c>
      <c r="CJ35" s="899" t="s">
        <v>701</v>
      </c>
      <c r="CK35" s="895">
        <v>45333</v>
      </c>
      <c r="CL35" s="901" t="s">
        <v>797</v>
      </c>
      <c r="CM35" s="908">
        <v>55</v>
      </c>
      <c r="CN35" s="899" t="s">
        <v>410</v>
      </c>
      <c r="CO35" s="895">
        <v>45700</v>
      </c>
      <c r="CP35" s="901" t="s">
        <v>2140</v>
      </c>
      <c r="CQ35" s="908">
        <v>25</v>
      </c>
      <c r="CR35" s="899" t="s">
        <v>414</v>
      </c>
    </row>
    <row r="36" spans="1:96">
      <c r="A36" s="329">
        <v>37673</v>
      </c>
      <c r="B36" s="339" t="s">
        <v>1189</v>
      </c>
      <c r="C36" s="337">
        <v>29</v>
      </c>
      <c r="D36" s="332"/>
      <c r="E36" s="329">
        <v>38031</v>
      </c>
      <c r="F36" s="339" t="s">
        <v>797</v>
      </c>
      <c r="G36" s="337">
        <v>27</v>
      </c>
      <c r="H36" s="332"/>
      <c r="I36" s="329"/>
      <c r="J36" s="339"/>
      <c r="K36" s="337"/>
      <c r="L36" s="332"/>
      <c r="M36" s="329"/>
      <c r="N36" s="339"/>
      <c r="O36" s="337"/>
      <c r="P36" s="332"/>
      <c r="Q36" s="329"/>
      <c r="R36" s="339"/>
      <c r="S36" s="337"/>
      <c r="T36" s="332"/>
      <c r="U36" s="329"/>
      <c r="V36" s="339"/>
      <c r="W36" s="337"/>
      <c r="X36" s="332"/>
      <c r="Y36" s="329"/>
      <c r="Z36" s="339"/>
      <c r="AA36" s="337"/>
      <c r="AB36" s="332"/>
      <c r="AC36" s="329"/>
      <c r="AD36" s="339"/>
      <c r="AE36" s="337"/>
      <c r="AF36" s="332"/>
      <c r="AG36" s="329">
        <v>40598</v>
      </c>
      <c r="AH36" s="339" t="s">
        <v>797</v>
      </c>
      <c r="AI36" s="337">
        <v>20</v>
      </c>
      <c r="AJ36" s="332"/>
      <c r="AK36" s="329">
        <v>40965</v>
      </c>
      <c r="AL36" s="339" t="s">
        <v>2141</v>
      </c>
      <c r="AM36" s="337"/>
      <c r="AN36" s="332"/>
      <c r="AO36" s="329"/>
      <c r="AP36" s="339"/>
      <c r="AQ36" s="337"/>
      <c r="AR36" s="332"/>
      <c r="AS36" s="329">
        <v>41698</v>
      </c>
      <c r="AT36" s="339" t="s">
        <v>802</v>
      </c>
      <c r="AU36" s="337">
        <v>53</v>
      </c>
      <c r="AV36" s="332"/>
      <c r="AW36" s="329"/>
      <c r="AX36" s="339"/>
      <c r="AY36" s="337"/>
      <c r="AZ36" s="333"/>
      <c r="BA36" s="329">
        <v>42417</v>
      </c>
      <c r="BB36" s="339" t="s">
        <v>2142</v>
      </c>
      <c r="BC36" s="337">
        <v>16</v>
      </c>
      <c r="BD36" s="333"/>
      <c r="BE36" s="329">
        <v>42789</v>
      </c>
      <c r="BF36" s="339" t="s">
        <v>2143</v>
      </c>
      <c r="BG36" s="337">
        <v>65</v>
      </c>
      <c r="BH36" s="332"/>
      <c r="BI36" s="329">
        <v>43148</v>
      </c>
      <c r="BJ36" s="339" t="s">
        <v>872</v>
      </c>
      <c r="BK36" s="337">
        <v>23</v>
      </c>
      <c r="BL36" s="332"/>
      <c r="BM36" s="329"/>
      <c r="BN36" s="339"/>
      <c r="BO36" s="337"/>
      <c r="BP36" s="332"/>
      <c r="BQ36" s="895">
        <v>43520</v>
      </c>
      <c r="BR36" s="901" t="s">
        <v>2144</v>
      </c>
      <c r="BS36" s="902">
        <v>5</v>
      </c>
      <c r="BT36" s="899" t="s">
        <v>414</v>
      </c>
      <c r="BU36" s="895">
        <v>43884</v>
      </c>
      <c r="BV36" s="901" t="s">
        <v>2145</v>
      </c>
      <c r="BW36" s="908">
        <v>12</v>
      </c>
      <c r="BX36" s="899" t="s">
        <v>280</v>
      </c>
      <c r="BY36" s="895">
        <v>44246</v>
      </c>
      <c r="BZ36" s="901" t="s">
        <v>2146</v>
      </c>
      <c r="CA36" s="908">
        <v>75</v>
      </c>
      <c r="CB36" s="899" t="s">
        <v>674</v>
      </c>
      <c r="CC36" s="895">
        <v>44604</v>
      </c>
      <c r="CD36" s="901" t="s">
        <v>2147</v>
      </c>
      <c r="CE36" s="908">
        <v>25</v>
      </c>
      <c r="CF36" s="899" t="s">
        <v>280</v>
      </c>
      <c r="CG36" s="895">
        <v>44977</v>
      </c>
      <c r="CH36" s="901" t="s">
        <v>2139</v>
      </c>
      <c r="CI36" s="908">
        <v>100</v>
      </c>
      <c r="CJ36" s="899" t="s">
        <v>701</v>
      </c>
      <c r="CK36" s="895">
        <v>45333</v>
      </c>
      <c r="CL36" s="901" t="s">
        <v>1180</v>
      </c>
      <c r="CM36" s="908">
        <v>45</v>
      </c>
      <c r="CN36" s="899" t="s">
        <v>410</v>
      </c>
      <c r="CO36" s="895">
        <v>45700</v>
      </c>
      <c r="CP36" s="901" t="s">
        <v>2148</v>
      </c>
      <c r="CQ36" s="908">
        <v>15</v>
      </c>
      <c r="CR36" s="899" t="s">
        <v>414</v>
      </c>
    </row>
    <row r="37" spans="1:96">
      <c r="A37" s="329">
        <v>37673</v>
      </c>
      <c r="B37" s="339" t="s">
        <v>410</v>
      </c>
      <c r="C37" s="337">
        <v>26</v>
      </c>
      <c r="D37" s="332"/>
      <c r="E37" s="329">
        <v>38032</v>
      </c>
      <c r="F37" s="339" t="s">
        <v>2149</v>
      </c>
      <c r="G37" s="337">
        <v>28</v>
      </c>
      <c r="H37" s="332"/>
      <c r="I37" s="329"/>
      <c r="J37" s="339"/>
      <c r="K37" s="337"/>
      <c r="L37" s="332"/>
      <c r="M37" s="329"/>
      <c r="N37" s="339"/>
      <c r="O37" s="337"/>
      <c r="P37" s="332"/>
      <c r="Q37" s="329"/>
      <c r="R37" s="339"/>
      <c r="S37" s="337"/>
      <c r="T37" s="332"/>
      <c r="U37" s="329"/>
      <c r="V37" s="339"/>
      <c r="W37" s="337"/>
      <c r="X37" s="332"/>
      <c r="Y37" s="329"/>
      <c r="Z37" s="339"/>
      <c r="AA37" s="337"/>
      <c r="AB37" s="332"/>
      <c r="AC37" s="329"/>
      <c r="AD37" s="339"/>
      <c r="AE37" s="337"/>
      <c r="AF37" s="332"/>
      <c r="AG37" s="329">
        <v>40598</v>
      </c>
      <c r="AH37" s="339" t="s">
        <v>2150</v>
      </c>
      <c r="AI37" s="337">
        <v>31</v>
      </c>
      <c r="AJ37" s="332"/>
      <c r="AK37" s="329">
        <v>40965</v>
      </c>
      <c r="AL37" s="339" t="s">
        <v>754</v>
      </c>
      <c r="AM37" s="337">
        <v>74</v>
      </c>
      <c r="AN37" s="332"/>
      <c r="AO37" s="329"/>
      <c r="AP37" s="339"/>
      <c r="AQ37" s="337"/>
      <c r="AR37" s="332"/>
      <c r="AS37" s="329"/>
      <c r="AT37" s="339"/>
      <c r="AU37" s="337"/>
      <c r="AV37" s="332"/>
      <c r="AW37" s="329"/>
      <c r="AX37" s="339"/>
      <c r="AY37" s="337"/>
      <c r="AZ37" s="333"/>
      <c r="BA37" s="329">
        <v>42417</v>
      </c>
      <c r="BB37" s="339" t="s">
        <v>2151</v>
      </c>
      <c r="BC37" s="337">
        <v>13</v>
      </c>
      <c r="BD37" s="333"/>
      <c r="BE37" s="329">
        <v>42790</v>
      </c>
      <c r="BF37" s="339" t="s">
        <v>890</v>
      </c>
      <c r="BG37" s="337">
        <v>7</v>
      </c>
      <c r="BH37" s="332"/>
      <c r="BI37" s="329">
        <v>43148</v>
      </c>
      <c r="BJ37" s="339" t="s">
        <v>2152</v>
      </c>
      <c r="BK37" s="337">
        <v>110</v>
      </c>
      <c r="BL37" s="332"/>
      <c r="BM37" s="329"/>
      <c r="BN37" s="339"/>
      <c r="BO37" s="337"/>
      <c r="BP37" s="332"/>
      <c r="BQ37" s="895">
        <v>43520</v>
      </c>
      <c r="BR37" s="901" t="s">
        <v>2153</v>
      </c>
      <c r="BS37" s="902">
        <v>7</v>
      </c>
      <c r="BT37" s="899" t="s">
        <v>414</v>
      </c>
      <c r="BU37" s="895">
        <v>43884</v>
      </c>
      <c r="BV37" s="901" t="s">
        <v>2154</v>
      </c>
      <c r="BW37" s="908">
        <v>15</v>
      </c>
      <c r="BX37" s="899" t="s">
        <v>436</v>
      </c>
      <c r="BY37" s="895">
        <v>44247</v>
      </c>
      <c r="BZ37" s="901" t="s">
        <v>872</v>
      </c>
      <c r="CA37" s="908">
        <v>19</v>
      </c>
      <c r="CB37" s="899" t="s">
        <v>414</v>
      </c>
      <c r="CC37" s="895">
        <v>44605</v>
      </c>
      <c r="CD37" s="901" t="s">
        <v>2155</v>
      </c>
      <c r="CE37" s="908">
        <v>38</v>
      </c>
      <c r="CF37" s="899" t="s">
        <v>284</v>
      </c>
      <c r="CG37" s="895">
        <v>44977</v>
      </c>
      <c r="CH37" s="901" t="s">
        <v>2156</v>
      </c>
      <c r="CI37" s="908">
        <v>7</v>
      </c>
      <c r="CJ37" s="899" t="s">
        <v>278</v>
      </c>
      <c r="CK37" s="895">
        <v>45333</v>
      </c>
      <c r="CL37" s="901" t="s">
        <v>2157</v>
      </c>
      <c r="CM37" s="908">
        <v>16</v>
      </c>
      <c r="CN37" s="899" t="s">
        <v>414</v>
      </c>
      <c r="CO37" s="895">
        <v>45700</v>
      </c>
      <c r="CP37" s="901" t="s">
        <v>2158</v>
      </c>
      <c r="CQ37" s="908">
        <v>9</v>
      </c>
      <c r="CR37" s="899" t="s">
        <v>414</v>
      </c>
    </row>
    <row r="38" spans="1:96">
      <c r="A38" s="329">
        <v>37673</v>
      </c>
      <c r="B38" s="339" t="s">
        <v>2159</v>
      </c>
      <c r="C38" s="337">
        <v>5</v>
      </c>
      <c r="D38" s="332"/>
      <c r="E38" s="329">
        <v>38032</v>
      </c>
      <c r="F38" s="339" t="s">
        <v>1352</v>
      </c>
      <c r="G38" s="337">
        <v>73</v>
      </c>
      <c r="H38" s="332"/>
      <c r="I38" s="329"/>
      <c r="J38" s="339"/>
      <c r="K38" s="337"/>
      <c r="L38" s="332"/>
      <c r="M38" s="329"/>
      <c r="N38" s="339"/>
      <c r="O38" s="337"/>
      <c r="P38" s="332"/>
      <c r="Q38" s="329"/>
      <c r="R38" s="339"/>
      <c r="S38" s="337"/>
      <c r="T38" s="332"/>
      <c r="U38" s="329"/>
      <c r="V38" s="339"/>
      <c r="W38" s="337"/>
      <c r="X38" s="332"/>
      <c r="Y38" s="329"/>
      <c r="Z38" s="339"/>
      <c r="AA38" s="337"/>
      <c r="AB38" s="332"/>
      <c r="AC38" s="329"/>
      <c r="AD38" s="339"/>
      <c r="AE38" s="337"/>
      <c r="AF38" s="332"/>
      <c r="AG38" s="329">
        <v>40600</v>
      </c>
      <c r="AH38" s="339" t="s">
        <v>2160</v>
      </c>
      <c r="AI38" s="337">
        <v>25</v>
      </c>
      <c r="AJ38" s="332"/>
      <c r="AK38" s="329">
        <v>40965</v>
      </c>
      <c r="AL38" s="339" t="s">
        <v>797</v>
      </c>
      <c r="AM38" s="337">
        <v>57</v>
      </c>
      <c r="AN38" s="332"/>
      <c r="AO38" s="329"/>
      <c r="AP38" s="339"/>
      <c r="AQ38" s="337"/>
      <c r="AR38" s="332"/>
      <c r="AS38" s="329"/>
      <c r="AT38" s="339"/>
      <c r="AU38" s="337"/>
      <c r="AV38" s="332"/>
      <c r="AW38" s="329"/>
      <c r="AX38" s="339"/>
      <c r="AY38" s="337"/>
      <c r="AZ38" s="333"/>
      <c r="BA38" s="329">
        <v>42417</v>
      </c>
      <c r="BB38" s="339" t="s">
        <v>2161</v>
      </c>
      <c r="BC38" s="337">
        <v>11</v>
      </c>
      <c r="BD38" s="333"/>
      <c r="BE38" s="329">
        <v>42790</v>
      </c>
      <c r="BF38" s="339" t="s">
        <v>2162</v>
      </c>
      <c r="BG38" s="337">
        <v>5</v>
      </c>
      <c r="BH38" s="332"/>
      <c r="BI38" s="329">
        <v>43148</v>
      </c>
      <c r="BJ38" s="339" t="s">
        <v>2163</v>
      </c>
      <c r="BK38" s="337">
        <v>25</v>
      </c>
      <c r="BL38" s="332"/>
      <c r="BM38" s="329"/>
      <c r="BN38" s="339"/>
      <c r="BO38" s="337"/>
      <c r="BP38" s="332"/>
      <c r="BQ38" s="895">
        <v>43520</v>
      </c>
      <c r="BR38" s="901" t="s">
        <v>2164</v>
      </c>
      <c r="BS38" s="902">
        <v>7</v>
      </c>
      <c r="BT38" s="899" t="s">
        <v>414</v>
      </c>
      <c r="BU38" s="895">
        <v>43884</v>
      </c>
      <c r="BV38" s="901" t="s">
        <v>2165</v>
      </c>
      <c r="BW38" s="908">
        <v>700</v>
      </c>
      <c r="BX38" s="899" t="s">
        <v>436</v>
      </c>
      <c r="BY38" s="895">
        <v>44247</v>
      </c>
      <c r="BZ38" s="901" t="s">
        <v>845</v>
      </c>
      <c r="CA38" s="908">
        <v>31</v>
      </c>
      <c r="CB38" s="899" t="s">
        <v>414</v>
      </c>
      <c r="CC38" s="895">
        <v>44606</v>
      </c>
      <c r="CD38" s="901" t="s">
        <v>2166</v>
      </c>
      <c r="CE38" s="908">
        <v>471</v>
      </c>
      <c r="CF38" s="899" t="s">
        <v>701</v>
      </c>
      <c r="CG38" s="895">
        <v>44977</v>
      </c>
      <c r="CH38" s="901" t="s">
        <v>781</v>
      </c>
      <c r="CI38" s="908">
        <v>44</v>
      </c>
      <c r="CJ38" s="899" t="s">
        <v>410</v>
      </c>
      <c r="CK38" s="895">
        <v>45336</v>
      </c>
      <c r="CL38" s="901" t="s">
        <v>2167</v>
      </c>
      <c r="CM38" s="908">
        <v>21</v>
      </c>
      <c r="CN38" s="899" t="s">
        <v>414</v>
      </c>
      <c r="CO38" s="895">
        <v>45700</v>
      </c>
      <c r="CP38" s="901" t="s">
        <v>2168</v>
      </c>
      <c r="CQ38" s="908">
        <v>26</v>
      </c>
      <c r="CR38" s="899" t="s">
        <v>414</v>
      </c>
    </row>
    <row r="39" spans="1:96">
      <c r="A39" s="329">
        <v>37674</v>
      </c>
      <c r="B39" s="339" t="s">
        <v>2169</v>
      </c>
      <c r="C39" s="337">
        <v>14</v>
      </c>
      <c r="D39" s="332"/>
      <c r="E39" s="329">
        <v>38032</v>
      </c>
      <c r="F39" s="339" t="s">
        <v>2170</v>
      </c>
      <c r="G39" s="337">
        <v>18</v>
      </c>
      <c r="H39" s="332"/>
      <c r="I39" s="329"/>
      <c r="J39" s="339"/>
      <c r="K39" s="337"/>
      <c r="L39" s="332"/>
      <c r="M39" s="329"/>
      <c r="N39" s="339"/>
      <c r="O39" s="337"/>
      <c r="P39" s="332"/>
      <c r="Q39" s="329"/>
      <c r="R39" s="339"/>
      <c r="S39" s="337"/>
      <c r="T39" s="332"/>
      <c r="U39" s="329"/>
      <c r="V39" s="339"/>
      <c r="W39" s="337"/>
      <c r="X39" s="332"/>
      <c r="Y39" s="329"/>
      <c r="Z39" s="339"/>
      <c r="AA39" s="337"/>
      <c r="AB39" s="332"/>
      <c r="AC39" s="329"/>
      <c r="AD39" s="339"/>
      <c r="AE39" s="337"/>
      <c r="AF39" s="332"/>
      <c r="AG39" s="329">
        <v>40600</v>
      </c>
      <c r="AH39" s="339" t="s">
        <v>2171</v>
      </c>
      <c r="AI39" s="337">
        <v>22</v>
      </c>
      <c r="AJ39" s="332"/>
      <c r="AK39" s="329">
        <v>40968</v>
      </c>
      <c r="AL39" s="339" t="s">
        <v>925</v>
      </c>
      <c r="AM39" s="337">
        <v>3</v>
      </c>
      <c r="AN39" s="332"/>
      <c r="AO39" s="329"/>
      <c r="AP39" s="339"/>
      <c r="AQ39" s="337"/>
      <c r="AR39" s="332"/>
      <c r="AS39" s="329"/>
      <c r="AT39" s="339"/>
      <c r="AU39" s="337"/>
      <c r="AV39" s="332"/>
      <c r="AW39" s="329"/>
      <c r="AX39" s="339"/>
      <c r="AY39" s="337"/>
      <c r="AZ39" s="333"/>
      <c r="BA39" s="329">
        <v>42417</v>
      </c>
      <c r="BB39" s="339" t="s">
        <v>2172</v>
      </c>
      <c r="BC39" s="337">
        <v>20</v>
      </c>
      <c r="BD39" s="333"/>
      <c r="BE39" s="329">
        <v>42790</v>
      </c>
      <c r="BF39" s="339" t="s">
        <v>781</v>
      </c>
      <c r="BG39" s="337">
        <v>5</v>
      </c>
      <c r="BH39" s="332"/>
      <c r="BI39" s="329">
        <v>43149</v>
      </c>
      <c r="BJ39" s="339" t="s">
        <v>2173</v>
      </c>
      <c r="BK39" s="337"/>
      <c r="BL39" s="332"/>
      <c r="BM39" s="329"/>
      <c r="BN39" s="339"/>
      <c r="BO39" s="337"/>
      <c r="BP39" s="332"/>
      <c r="BQ39" s="895">
        <v>43520</v>
      </c>
      <c r="BR39" s="901" t="s">
        <v>2174</v>
      </c>
      <c r="BS39" s="902">
        <v>10</v>
      </c>
      <c r="BT39" s="899" t="s">
        <v>414</v>
      </c>
      <c r="BU39" s="895">
        <v>43885</v>
      </c>
      <c r="BV39" s="901" t="s">
        <v>797</v>
      </c>
      <c r="BW39" s="908">
        <v>30</v>
      </c>
      <c r="BX39" s="899" t="s">
        <v>410</v>
      </c>
      <c r="BY39" s="895">
        <v>44247</v>
      </c>
      <c r="BZ39" s="901" t="s">
        <v>2175</v>
      </c>
      <c r="CA39" s="908">
        <v>7</v>
      </c>
      <c r="CB39" s="899" t="s">
        <v>414</v>
      </c>
      <c r="CC39" s="895">
        <v>44608</v>
      </c>
      <c r="CD39" s="901" t="s">
        <v>2176</v>
      </c>
      <c r="CE39" s="908">
        <v>35</v>
      </c>
      <c r="CF39" s="899" t="s">
        <v>414</v>
      </c>
      <c r="CG39" s="895">
        <v>44977</v>
      </c>
      <c r="CH39" s="901" t="s">
        <v>2177</v>
      </c>
      <c r="CI39" s="908">
        <v>102</v>
      </c>
      <c r="CJ39" s="899" t="s">
        <v>700</v>
      </c>
      <c r="CK39" s="895">
        <v>45345</v>
      </c>
      <c r="CL39" s="901" t="s">
        <v>845</v>
      </c>
      <c r="CM39" s="908">
        <v>53</v>
      </c>
      <c r="CN39" s="899" t="s">
        <v>414</v>
      </c>
      <c r="CO39" s="895">
        <v>45700</v>
      </c>
      <c r="CP39" s="901" t="s">
        <v>2178</v>
      </c>
      <c r="CQ39" s="908">
        <v>18</v>
      </c>
      <c r="CR39" s="899" t="s">
        <v>414</v>
      </c>
    </row>
    <row r="40" spans="1:96">
      <c r="A40" s="329">
        <v>37674</v>
      </c>
      <c r="B40" s="339" t="s">
        <v>2179</v>
      </c>
      <c r="C40" s="337">
        <v>30</v>
      </c>
      <c r="D40" s="332"/>
      <c r="E40" s="329">
        <v>38033</v>
      </c>
      <c r="F40" s="339" t="s">
        <v>2180</v>
      </c>
      <c r="G40" s="337">
        <v>16</v>
      </c>
      <c r="H40" s="332"/>
      <c r="I40" s="329"/>
      <c r="J40" s="339"/>
      <c r="K40" s="337"/>
      <c r="L40" s="332"/>
      <c r="M40" s="329"/>
      <c r="N40" s="339"/>
      <c r="O40" s="337"/>
      <c r="P40" s="332"/>
      <c r="Q40" s="329"/>
      <c r="R40" s="339"/>
      <c r="S40" s="337"/>
      <c r="T40" s="332"/>
      <c r="U40" s="329"/>
      <c r="V40" s="339"/>
      <c r="W40" s="337"/>
      <c r="X40" s="332"/>
      <c r="Y40" s="329"/>
      <c r="Z40" s="339"/>
      <c r="AA40" s="337"/>
      <c r="AB40" s="332"/>
      <c r="AC40" s="329"/>
      <c r="AD40" s="339"/>
      <c r="AE40" s="337"/>
      <c r="AF40" s="332"/>
      <c r="AG40" s="329">
        <v>40600</v>
      </c>
      <c r="AH40" s="339" t="s">
        <v>2181</v>
      </c>
      <c r="AI40" s="337">
        <v>6</v>
      </c>
      <c r="AJ40" s="332"/>
      <c r="AK40" s="329"/>
      <c r="AL40" s="339"/>
      <c r="AM40" s="337"/>
      <c r="AN40" s="332"/>
      <c r="AO40" s="329"/>
      <c r="AP40" s="339"/>
      <c r="AQ40" s="337"/>
      <c r="AR40" s="332"/>
      <c r="AS40" s="329"/>
      <c r="AT40" s="366"/>
      <c r="AU40" s="337"/>
      <c r="AV40" s="332"/>
      <c r="AW40" s="329"/>
      <c r="AX40" s="339"/>
      <c r="AY40" s="337"/>
      <c r="AZ40" s="333"/>
      <c r="BA40" s="329">
        <v>42417</v>
      </c>
      <c r="BB40" s="339" t="s">
        <v>2182</v>
      </c>
      <c r="BC40" s="337">
        <v>21</v>
      </c>
      <c r="BD40" s="333"/>
      <c r="BE40" s="329">
        <v>42791</v>
      </c>
      <c r="BF40" s="339" t="s">
        <v>859</v>
      </c>
      <c r="BG40" s="337">
        <v>22</v>
      </c>
      <c r="BH40" s="332"/>
      <c r="BI40" s="329">
        <v>43149</v>
      </c>
      <c r="BJ40" s="339" t="s">
        <v>2183</v>
      </c>
      <c r="BK40" s="337">
        <v>62</v>
      </c>
      <c r="BL40" s="332"/>
      <c r="BM40" s="329"/>
      <c r="BN40" s="339"/>
      <c r="BO40" s="337"/>
      <c r="BP40" s="332"/>
      <c r="BQ40" s="895">
        <v>43520</v>
      </c>
      <c r="BR40" s="901" t="s">
        <v>2184</v>
      </c>
      <c r="BS40" s="902">
        <v>5</v>
      </c>
      <c r="BT40" s="899" t="s">
        <v>700</v>
      </c>
      <c r="BU40" s="895">
        <v>43885</v>
      </c>
      <c r="BV40" s="901" t="s">
        <v>2185</v>
      </c>
      <c r="BW40" s="908">
        <v>2</v>
      </c>
      <c r="BX40" s="899" t="s">
        <v>414</v>
      </c>
      <c r="BY40" s="895">
        <v>44247</v>
      </c>
      <c r="BZ40" s="901" t="s">
        <v>2186</v>
      </c>
      <c r="CA40" s="908">
        <v>9</v>
      </c>
      <c r="CB40" s="899" t="s">
        <v>414</v>
      </c>
      <c r="CC40" s="895">
        <v>44608</v>
      </c>
      <c r="CD40" s="901" t="s">
        <v>2187</v>
      </c>
      <c r="CE40" s="908">
        <v>42</v>
      </c>
      <c r="CF40" s="899" t="s">
        <v>426</v>
      </c>
      <c r="CG40" s="895">
        <v>44977</v>
      </c>
      <c r="CH40" s="901" t="s">
        <v>2188</v>
      </c>
      <c r="CI40" s="908">
        <v>35</v>
      </c>
      <c r="CJ40" s="899" t="s">
        <v>701</v>
      </c>
      <c r="CK40" s="895">
        <v>45345</v>
      </c>
      <c r="CL40" s="901" t="s">
        <v>2189</v>
      </c>
      <c r="CM40" s="908">
        <v>86</v>
      </c>
      <c r="CN40" s="899" t="s">
        <v>414</v>
      </c>
      <c r="CO40" s="895">
        <v>45700</v>
      </c>
      <c r="CP40" s="901" t="s">
        <v>2190</v>
      </c>
      <c r="CQ40" s="908">
        <v>16</v>
      </c>
      <c r="CR40" s="899" t="s">
        <v>414</v>
      </c>
    </row>
    <row r="41" spans="1:96">
      <c r="A41" s="329">
        <v>37674</v>
      </c>
      <c r="B41" s="339" t="s">
        <v>915</v>
      </c>
      <c r="C41" s="337">
        <v>8</v>
      </c>
      <c r="D41" s="332"/>
      <c r="E41" s="329">
        <v>38033</v>
      </c>
      <c r="F41" s="339" t="s">
        <v>849</v>
      </c>
      <c r="G41" s="337">
        <v>10</v>
      </c>
      <c r="H41" s="332"/>
      <c r="I41" s="329"/>
      <c r="J41" s="339"/>
      <c r="K41" s="337"/>
      <c r="L41" s="332"/>
      <c r="M41" s="329"/>
      <c r="N41" s="339"/>
      <c r="O41" s="337"/>
      <c r="P41" s="332"/>
      <c r="Q41" s="329"/>
      <c r="R41" s="339"/>
      <c r="S41" s="337"/>
      <c r="T41" s="332"/>
      <c r="U41" s="329"/>
      <c r="V41" s="339"/>
      <c r="W41" s="337"/>
      <c r="X41" s="332"/>
      <c r="Y41" s="329"/>
      <c r="Z41" s="339"/>
      <c r="AA41" s="337"/>
      <c r="AB41" s="332"/>
      <c r="AC41" s="329"/>
      <c r="AD41" s="339"/>
      <c r="AE41" s="337"/>
      <c r="AF41" s="332"/>
      <c r="AG41" s="329">
        <v>40601</v>
      </c>
      <c r="AH41" s="339" t="s">
        <v>781</v>
      </c>
      <c r="AI41" s="337">
        <v>108</v>
      </c>
      <c r="AJ41" s="332"/>
      <c r="AK41" s="329"/>
      <c r="AL41" s="339"/>
      <c r="AM41" s="337"/>
      <c r="AN41" s="332"/>
      <c r="AO41" s="329"/>
      <c r="AP41" s="339"/>
      <c r="AQ41" s="337"/>
      <c r="AR41" s="332"/>
      <c r="AS41" s="329"/>
      <c r="AT41" s="339"/>
      <c r="AU41" s="337"/>
      <c r="AV41" s="332"/>
      <c r="AW41" s="329"/>
      <c r="AX41" s="339"/>
      <c r="AY41" s="337"/>
      <c r="AZ41" s="333"/>
      <c r="BA41" s="329">
        <v>42417</v>
      </c>
      <c r="BB41" s="339" t="s">
        <v>2191</v>
      </c>
      <c r="BC41" s="337">
        <v>24</v>
      </c>
      <c r="BD41" s="333"/>
      <c r="BE41" s="329">
        <v>42791</v>
      </c>
      <c r="BF41" s="339" t="s">
        <v>823</v>
      </c>
      <c r="BG41" s="337">
        <v>35</v>
      </c>
      <c r="BH41" s="332"/>
      <c r="BI41" s="329">
        <v>43149</v>
      </c>
      <c r="BJ41" s="339" t="s">
        <v>873</v>
      </c>
      <c r="BK41" s="337">
        <v>21</v>
      </c>
      <c r="BL41" s="332"/>
      <c r="BM41" s="329"/>
      <c r="BN41" s="339"/>
      <c r="BO41" s="337"/>
      <c r="BP41" s="332"/>
      <c r="BQ41" s="895">
        <v>43520</v>
      </c>
      <c r="BR41" s="901" t="s">
        <v>2192</v>
      </c>
      <c r="BS41" s="902">
        <v>46</v>
      </c>
      <c r="BT41" s="899" t="s">
        <v>700</v>
      </c>
      <c r="BU41" s="895">
        <v>43885</v>
      </c>
      <c r="BV41" s="901" t="s">
        <v>2193</v>
      </c>
      <c r="BW41" s="908">
        <v>2</v>
      </c>
      <c r="BX41" s="899" t="s">
        <v>414</v>
      </c>
      <c r="BY41" s="895">
        <v>44248</v>
      </c>
      <c r="BZ41" s="901" t="s">
        <v>2194</v>
      </c>
      <c r="CA41" s="908">
        <v>26</v>
      </c>
      <c r="CB41" s="899" t="s">
        <v>280</v>
      </c>
      <c r="CC41" s="895">
        <v>44608</v>
      </c>
      <c r="CD41" s="901" t="s">
        <v>2195</v>
      </c>
      <c r="CE41" s="908">
        <v>28</v>
      </c>
      <c r="CF41" s="899" t="s">
        <v>693</v>
      </c>
      <c r="CG41" s="895">
        <v>44977</v>
      </c>
      <c r="CH41" s="901" t="s">
        <v>2188</v>
      </c>
      <c r="CI41" s="908">
        <v>35</v>
      </c>
      <c r="CJ41" s="899" t="s">
        <v>701</v>
      </c>
      <c r="CK41" s="895">
        <v>45345</v>
      </c>
      <c r="CL41" s="901" t="s">
        <v>2196</v>
      </c>
      <c r="CM41" s="908">
        <v>50</v>
      </c>
      <c r="CN41" s="899" t="s">
        <v>414</v>
      </c>
      <c r="CO41" s="895">
        <v>45700</v>
      </c>
      <c r="CP41" s="901" t="s">
        <v>2197</v>
      </c>
      <c r="CQ41" s="908">
        <v>15</v>
      </c>
      <c r="CR41" s="899" t="s">
        <v>414</v>
      </c>
    </row>
    <row r="42" spans="1:96">
      <c r="A42" s="329">
        <v>37674</v>
      </c>
      <c r="B42" s="339" t="s">
        <v>2198</v>
      </c>
      <c r="C42" s="337">
        <v>15</v>
      </c>
      <c r="D42" s="332"/>
      <c r="E42" s="329">
        <v>38033</v>
      </c>
      <c r="F42" s="339" t="s">
        <v>2199</v>
      </c>
      <c r="G42" s="337">
        <v>210</v>
      </c>
      <c r="H42" s="332"/>
      <c r="I42" s="329"/>
      <c r="J42" s="339"/>
      <c r="K42" s="337"/>
      <c r="L42" s="332"/>
      <c r="M42" s="329"/>
      <c r="N42" s="339"/>
      <c r="O42" s="337"/>
      <c r="P42" s="332"/>
      <c r="Q42" s="329"/>
      <c r="R42" s="339"/>
      <c r="S42" s="337"/>
      <c r="T42" s="332"/>
      <c r="U42" s="329"/>
      <c r="V42" s="339"/>
      <c r="W42" s="337"/>
      <c r="X42" s="332"/>
      <c r="Y42" s="329"/>
      <c r="Z42" s="339"/>
      <c r="AA42" s="337"/>
      <c r="AB42" s="332"/>
      <c r="AC42" s="329"/>
      <c r="AD42" s="339"/>
      <c r="AE42" s="337"/>
      <c r="AF42" s="332"/>
      <c r="AG42" s="329"/>
      <c r="AH42" s="339"/>
      <c r="AI42" s="337"/>
      <c r="AJ42" s="332"/>
      <c r="AK42" s="329"/>
      <c r="AL42" s="339"/>
      <c r="AM42" s="337"/>
      <c r="AN42" s="332"/>
      <c r="AO42" s="329"/>
      <c r="AP42" s="339"/>
      <c r="AQ42" s="337"/>
      <c r="AR42" s="332"/>
      <c r="AS42" s="329"/>
      <c r="AT42" s="339"/>
      <c r="AU42" s="337"/>
      <c r="AV42" s="332"/>
      <c r="AW42" s="329"/>
      <c r="AX42" s="339"/>
      <c r="AY42" s="337"/>
      <c r="AZ42" s="333"/>
      <c r="BA42" s="329">
        <v>42417</v>
      </c>
      <c r="BB42" s="339" t="s">
        <v>2200</v>
      </c>
      <c r="BC42" s="337">
        <v>0</v>
      </c>
      <c r="BD42" s="333"/>
      <c r="BE42" s="329">
        <v>42791</v>
      </c>
      <c r="BF42" s="339" t="s">
        <v>1871</v>
      </c>
      <c r="BG42" s="337">
        <v>17</v>
      </c>
      <c r="BH42" s="332"/>
      <c r="BI42" s="329">
        <v>43149</v>
      </c>
      <c r="BJ42" s="339" t="s">
        <v>1427</v>
      </c>
      <c r="BK42" s="337">
        <v>9</v>
      </c>
      <c r="BL42" s="332"/>
      <c r="BM42" s="329"/>
      <c r="BN42" s="339"/>
      <c r="BO42" s="337"/>
      <c r="BP42" s="332"/>
      <c r="BQ42" s="895">
        <v>43520</v>
      </c>
      <c r="BR42" s="901" t="s">
        <v>2201</v>
      </c>
      <c r="BS42" s="902">
        <v>0</v>
      </c>
      <c r="BT42" s="899" t="s">
        <v>381</v>
      </c>
      <c r="BU42" s="895">
        <v>43885</v>
      </c>
      <c r="BV42" s="901" t="s">
        <v>2202</v>
      </c>
      <c r="BW42" s="908">
        <v>3</v>
      </c>
      <c r="BX42" s="899" t="s">
        <v>414</v>
      </c>
      <c r="BY42" s="895">
        <v>44249</v>
      </c>
      <c r="BZ42" s="901" t="s">
        <v>2203</v>
      </c>
      <c r="CA42" s="908">
        <v>54</v>
      </c>
      <c r="CB42" s="899" t="s">
        <v>414</v>
      </c>
      <c r="CC42" s="895">
        <v>44611</v>
      </c>
      <c r="CD42" s="901" t="s">
        <v>2204</v>
      </c>
      <c r="CE42" s="908">
        <v>267</v>
      </c>
      <c r="CF42" s="899" t="s">
        <v>701</v>
      </c>
      <c r="CG42" s="895">
        <v>44978</v>
      </c>
      <c r="CH42" s="901" t="s">
        <v>1180</v>
      </c>
      <c r="CI42" s="908">
        <v>67</v>
      </c>
      <c r="CJ42" s="899" t="s">
        <v>410</v>
      </c>
      <c r="CK42" s="895">
        <v>45345</v>
      </c>
      <c r="CL42" s="901" t="s">
        <v>2205</v>
      </c>
      <c r="CM42" s="908">
        <v>35</v>
      </c>
      <c r="CN42" s="899" t="s">
        <v>414</v>
      </c>
      <c r="CO42" s="895">
        <v>45700</v>
      </c>
      <c r="CP42" s="901" t="s">
        <v>2206</v>
      </c>
      <c r="CQ42" s="908">
        <v>26</v>
      </c>
      <c r="CR42" s="899" t="s">
        <v>414</v>
      </c>
    </row>
    <row r="43" spans="1:96">
      <c r="A43" s="329">
        <v>37674</v>
      </c>
      <c r="B43" s="339" t="s">
        <v>1189</v>
      </c>
      <c r="C43" s="337">
        <v>50</v>
      </c>
      <c r="D43" s="332"/>
      <c r="E43" s="329">
        <v>38034</v>
      </c>
      <c r="F43" s="339" t="s">
        <v>849</v>
      </c>
      <c r="G43" s="337">
        <v>5</v>
      </c>
      <c r="H43" s="332"/>
      <c r="I43" s="329"/>
      <c r="J43" s="339"/>
      <c r="K43" s="337"/>
      <c r="L43" s="332"/>
      <c r="M43" s="329"/>
      <c r="N43" s="339"/>
      <c r="O43" s="337"/>
      <c r="P43" s="332"/>
      <c r="Q43" s="329"/>
      <c r="R43" s="339"/>
      <c r="S43" s="337"/>
      <c r="T43" s="332"/>
      <c r="U43" s="329"/>
      <c r="V43" s="339"/>
      <c r="W43" s="337"/>
      <c r="X43" s="332"/>
      <c r="Y43" s="329"/>
      <c r="Z43" s="339"/>
      <c r="AA43" s="337"/>
      <c r="AB43" s="332"/>
      <c r="AC43" s="329"/>
      <c r="AD43" s="339"/>
      <c r="AE43" s="337"/>
      <c r="AF43" s="332"/>
      <c r="AG43" s="329"/>
      <c r="AH43" s="339"/>
      <c r="AI43" s="337"/>
      <c r="AJ43" s="332"/>
      <c r="AK43" s="329"/>
      <c r="AL43" s="339"/>
      <c r="AM43" s="337"/>
      <c r="AN43" s="332"/>
      <c r="AO43" s="329"/>
      <c r="AP43" s="339"/>
      <c r="AQ43" s="337"/>
      <c r="AR43" s="332"/>
      <c r="AS43" s="329"/>
      <c r="AT43" s="339"/>
      <c r="AU43" s="337"/>
      <c r="AV43" s="332"/>
      <c r="AW43" s="329"/>
      <c r="AX43" s="366"/>
      <c r="AY43" s="337"/>
      <c r="AZ43" s="333"/>
      <c r="BA43" s="329">
        <v>42417</v>
      </c>
      <c r="BB43" s="339" t="s">
        <v>2207</v>
      </c>
      <c r="BC43" s="337">
        <v>0</v>
      </c>
      <c r="BD43" s="333"/>
      <c r="BE43" s="329">
        <v>42791</v>
      </c>
      <c r="BF43" s="339" t="s">
        <v>2208</v>
      </c>
      <c r="BG43" s="337">
        <v>10</v>
      </c>
      <c r="BH43" s="332"/>
      <c r="BI43" s="329">
        <v>43149</v>
      </c>
      <c r="BJ43" s="339" t="s">
        <v>797</v>
      </c>
      <c r="BK43" s="337">
        <v>37</v>
      </c>
      <c r="BL43" s="332"/>
      <c r="BM43" s="329"/>
      <c r="BN43" s="339"/>
      <c r="BO43" s="337"/>
      <c r="BP43" s="332"/>
      <c r="BQ43" s="895">
        <v>43520</v>
      </c>
      <c r="BR43" s="901" t="s">
        <v>2209</v>
      </c>
      <c r="BS43" s="902">
        <v>1500</v>
      </c>
      <c r="BT43" s="899" t="s">
        <v>381</v>
      </c>
      <c r="BU43" s="895">
        <v>43885</v>
      </c>
      <c r="BV43" s="901" t="s">
        <v>2210</v>
      </c>
      <c r="BW43" s="908">
        <v>3</v>
      </c>
      <c r="BX43" s="899" t="s">
        <v>414</v>
      </c>
      <c r="BY43" s="895">
        <v>44249</v>
      </c>
      <c r="BZ43" s="901" t="s">
        <v>2211</v>
      </c>
      <c r="CA43" s="908">
        <v>33</v>
      </c>
      <c r="CB43" s="899" t="s">
        <v>280</v>
      </c>
      <c r="CC43" s="895">
        <v>44611</v>
      </c>
      <c r="CD43" s="901" t="s">
        <v>2212</v>
      </c>
      <c r="CE43" s="908">
        <v>87</v>
      </c>
      <c r="CF43" s="899" t="s">
        <v>700</v>
      </c>
      <c r="CG43" s="895">
        <v>44980</v>
      </c>
      <c r="CH43" s="901" t="s">
        <v>2213</v>
      </c>
      <c r="CI43" s="908">
        <v>11</v>
      </c>
      <c r="CJ43" s="899" t="s">
        <v>278</v>
      </c>
      <c r="CK43" s="895">
        <v>45345</v>
      </c>
      <c r="CL43" s="901" t="s">
        <v>2214</v>
      </c>
      <c r="CM43" s="908">
        <v>130</v>
      </c>
      <c r="CN43" s="899" t="s">
        <v>700</v>
      </c>
      <c r="CO43" s="895">
        <v>45700</v>
      </c>
      <c r="CP43" s="901" t="s">
        <v>2215</v>
      </c>
      <c r="CQ43" s="908">
        <v>9</v>
      </c>
      <c r="CR43" s="899" t="s">
        <v>414</v>
      </c>
    </row>
    <row r="44" spans="1:96">
      <c r="A44" s="329">
        <v>37674</v>
      </c>
      <c r="B44" s="339" t="s">
        <v>1220</v>
      </c>
      <c r="C44" s="337">
        <v>45</v>
      </c>
      <c r="D44" s="332"/>
      <c r="E44" s="329">
        <v>38037</v>
      </c>
      <c r="F44" s="339" t="s">
        <v>937</v>
      </c>
      <c r="G44" s="337">
        <v>46</v>
      </c>
      <c r="H44" s="332"/>
      <c r="I44" s="329"/>
      <c r="J44" s="339"/>
      <c r="K44" s="337"/>
      <c r="L44" s="332"/>
      <c r="M44" s="329"/>
      <c r="N44" s="339"/>
      <c r="O44" s="337"/>
      <c r="P44" s="332"/>
      <c r="Q44" s="329"/>
      <c r="R44" s="339"/>
      <c r="S44" s="337"/>
      <c r="T44" s="332"/>
      <c r="U44" s="329"/>
      <c r="V44" s="339"/>
      <c r="W44" s="337"/>
      <c r="X44" s="332"/>
      <c r="Y44" s="329"/>
      <c r="Z44" s="339"/>
      <c r="AA44" s="337"/>
      <c r="AB44" s="332"/>
      <c r="AC44" s="329"/>
      <c r="AD44" s="339"/>
      <c r="AE44" s="337"/>
      <c r="AF44" s="332"/>
      <c r="AG44" s="329"/>
      <c r="AH44" s="339"/>
      <c r="AI44" s="337"/>
      <c r="AJ44" s="332"/>
      <c r="AK44" s="329"/>
      <c r="AL44" s="339"/>
      <c r="AM44" s="337"/>
      <c r="AN44" s="332"/>
      <c r="AO44" s="329"/>
      <c r="AP44" s="339"/>
      <c r="AQ44" s="337"/>
      <c r="AR44" s="332"/>
      <c r="AS44" s="329"/>
      <c r="AT44" s="339"/>
      <c r="AU44" s="337"/>
      <c r="AV44" s="332"/>
      <c r="AW44" s="329"/>
      <c r="AX44" s="339"/>
      <c r="AY44" s="337"/>
      <c r="AZ44" s="333"/>
      <c r="BA44" s="329">
        <v>42418</v>
      </c>
      <c r="BB44" s="339" t="s">
        <v>2216</v>
      </c>
      <c r="BC44" s="337">
        <v>6</v>
      </c>
      <c r="BD44" s="333"/>
      <c r="BE44" s="329">
        <v>42793</v>
      </c>
      <c r="BF44" s="339" t="s">
        <v>2217</v>
      </c>
      <c r="BG44" s="337">
        <v>12</v>
      </c>
      <c r="BH44" s="332"/>
      <c r="BI44" s="329">
        <v>43149</v>
      </c>
      <c r="BJ44" s="339" t="s">
        <v>2050</v>
      </c>
      <c r="BK44" s="337">
        <v>12</v>
      </c>
      <c r="BL44" s="332"/>
      <c r="BM44" s="329"/>
      <c r="BN44" s="339"/>
      <c r="BO44" s="337"/>
      <c r="BP44" s="332"/>
      <c r="BQ44" s="895">
        <v>43520</v>
      </c>
      <c r="BR44" s="901" t="s">
        <v>2218</v>
      </c>
      <c r="BS44" s="902">
        <v>200</v>
      </c>
      <c r="BT44" s="899" t="s">
        <v>381</v>
      </c>
      <c r="BU44" s="895">
        <v>43885</v>
      </c>
      <c r="BV44" s="901" t="s">
        <v>2219</v>
      </c>
      <c r="BW44" s="908">
        <v>3</v>
      </c>
      <c r="BX44" s="899" t="s">
        <v>414</v>
      </c>
      <c r="BY44" s="895">
        <v>44249</v>
      </c>
      <c r="BZ44" s="901" t="s">
        <v>2220</v>
      </c>
      <c r="CA44" s="908">
        <v>27</v>
      </c>
      <c r="CB44" s="899" t="s">
        <v>280</v>
      </c>
      <c r="CC44" s="895">
        <v>44611</v>
      </c>
      <c r="CD44" s="901" t="s">
        <v>2212</v>
      </c>
      <c r="CE44" s="908">
        <v>55</v>
      </c>
      <c r="CF44" s="899" t="s">
        <v>700</v>
      </c>
      <c r="CG44" s="895">
        <v>44980</v>
      </c>
      <c r="CH44" s="901" t="s">
        <v>1180</v>
      </c>
      <c r="CI44" s="908">
        <v>52</v>
      </c>
      <c r="CJ44" s="899" t="s">
        <v>410</v>
      </c>
      <c r="CK44" s="895">
        <v>45345</v>
      </c>
      <c r="CL44" s="901" t="s">
        <v>2221</v>
      </c>
      <c r="CM44" s="908">
        <v>25</v>
      </c>
      <c r="CN44" s="899" t="s">
        <v>700</v>
      </c>
      <c r="CO44" s="895">
        <v>45700</v>
      </c>
      <c r="CP44" s="901" t="s">
        <v>2222</v>
      </c>
      <c r="CQ44" s="908">
        <v>39</v>
      </c>
      <c r="CR44" s="899" t="s">
        <v>414</v>
      </c>
    </row>
    <row r="45" spans="1:96">
      <c r="A45" s="329">
        <v>37674</v>
      </c>
      <c r="B45" s="339" t="s">
        <v>2223</v>
      </c>
      <c r="C45" s="337">
        <v>6</v>
      </c>
      <c r="D45" s="337"/>
      <c r="E45" s="329">
        <v>38037</v>
      </c>
      <c r="F45" s="339" t="s">
        <v>797</v>
      </c>
      <c r="G45" s="337">
        <v>35</v>
      </c>
      <c r="H45" s="337"/>
      <c r="I45" s="329"/>
      <c r="J45" s="339"/>
      <c r="K45" s="337"/>
      <c r="L45" s="332"/>
      <c r="M45" s="329"/>
      <c r="N45" s="339"/>
      <c r="O45" s="337"/>
      <c r="P45" s="332"/>
      <c r="Q45" s="329"/>
      <c r="R45" s="339"/>
      <c r="S45" s="337"/>
      <c r="T45" s="332"/>
      <c r="U45" s="329"/>
      <c r="V45" s="339"/>
      <c r="W45" s="337"/>
      <c r="X45" s="332"/>
      <c r="Y45" s="329"/>
      <c r="Z45" s="339"/>
      <c r="AA45" s="337"/>
      <c r="AB45" s="332"/>
      <c r="AC45" s="329"/>
      <c r="AD45" s="339"/>
      <c r="AE45" s="337"/>
      <c r="AF45" s="332"/>
      <c r="AG45" s="329"/>
      <c r="AH45" s="339"/>
      <c r="AI45" s="337"/>
      <c r="AJ45" s="332"/>
      <c r="AK45" s="329"/>
      <c r="AL45" s="339"/>
      <c r="AM45" s="337"/>
      <c r="AN45" s="332"/>
      <c r="AO45" s="329"/>
      <c r="AP45" s="339"/>
      <c r="AQ45" s="337"/>
      <c r="AR45" s="332"/>
      <c r="AS45" s="329"/>
      <c r="AT45" s="339"/>
      <c r="AU45" s="337"/>
      <c r="AV45" s="332"/>
      <c r="AW45" s="329"/>
      <c r="AX45" s="339"/>
      <c r="AY45" s="337"/>
      <c r="AZ45" s="333"/>
      <c r="BA45" s="329">
        <v>42418</v>
      </c>
      <c r="BB45" s="339" t="s">
        <v>2224</v>
      </c>
      <c r="BC45" s="337">
        <v>35</v>
      </c>
      <c r="BD45" s="333"/>
      <c r="BE45" s="329">
        <v>42793</v>
      </c>
      <c r="BF45" s="339" t="s">
        <v>2225</v>
      </c>
      <c r="BG45" s="337">
        <v>58</v>
      </c>
      <c r="BH45" s="332"/>
      <c r="BI45" s="329">
        <v>43150</v>
      </c>
      <c r="BJ45" s="339" t="s">
        <v>2226</v>
      </c>
      <c r="BK45" s="337">
        <v>17</v>
      </c>
      <c r="BL45" s="332"/>
      <c r="BM45" s="329"/>
      <c r="BN45" s="339"/>
      <c r="BO45" s="337"/>
      <c r="BP45" s="332"/>
      <c r="BQ45" s="895">
        <v>43520</v>
      </c>
      <c r="BR45" s="901" t="s">
        <v>2227</v>
      </c>
      <c r="BS45" s="902">
        <v>10</v>
      </c>
      <c r="BT45" s="899" t="s">
        <v>381</v>
      </c>
      <c r="BU45" s="895">
        <v>43889</v>
      </c>
      <c r="BV45" s="901" t="s">
        <v>2155</v>
      </c>
      <c r="BW45" s="908">
        <v>22</v>
      </c>
      <c r="BX45" s="899" t="s">
        <v>284</v>
      </c>
      <c r="BY45" s="895">
        <v>44254</v>
      </c>
      <c r="BZ45" s="901" t="s">
        <v>1873</v>
      </c>
      <c r="CA45" s="908">
        <v>54</v>
      </c>
      <c r="CB45" s="899" t="s">
        <v>414</v>
      </c>
      <c r="CC45" s="895">
        <v>44611</v>
      </c>
      <c r="CD45" s="901" t="s">
        <v>2228</v>
      </c>
      <c r="CE45" s="908">
        <v>15</v>
      </c>
      <c r="CF45" s="899" t="s">
        <v>700</v>
      </c>
      <c r="CG45" s="895">
        <v>44981</v>
      </c>
      <c r="CH45" s="901" t="s">
        <v>1180</v>
      </c>
      <c r="CI45" s="908">
        <v>58</v>
      </c>
      <c r="CJ45" s="899" t="s">
        <v>410</v>
      </c>
      <c r="CK45" s="895">
        <v>45345</v>
      </c>
      <c r="CL45" s="901" t="s">
        <v>845</v>
      </c>
      <c r="CM45" s="908">
        <v>85</v>
      </c>
      <c r="CN45" s="899" t="s">
        <v>414</v>
      </c>
      <c r="CO45" s="895">
        <v>45700</v>
      </c>
      <c r="CP45" s="901" t="s">
        <v>2229</v>
      </c>
      <c r="CQ45" s="908">
        <v>15</v>
      </c>
      <c r="CR45" s="899" t="s">
        <v>414</v>
      </c>
    </row>
    <row r="46" spans="1:96">
      <c r="A46" s="329">
        <v>37674</v>
      </c>
      <c r="B46" s="339" t="s">
        <v>2230</v>
      </c>
      <c r="C46" s="337">
        <v>18</v>
      </c>
      <c r="D46" s="332"/>
      <c r="E46" s="329">
        <v>38037</v>
      </c>
      <c r="F46" s="339" t="s">
        <v>2231</v>
      </c>
      <c r="G46" s="337">
        <v>23</v>
      </c>
      <c r="H46" s="332"/>
      <c r="I46" s="329"/>
      <c r="J46" s="339"/>
      <c r="K46" s="337"/>
      <c r="L46" s="337"/>
      <c r="M46" s="329"/>
      <c r="N46" s="339"/>
      <c r="O46" s="337"/>
      <c r="P46" s="332"/>
      <c r="Q46" s="329"/>
      <c r="R46" s="339"/>
      <c r="S46" s="337"/>
      <c r="T46" s="332"/>
      <c r="U46" s="329"/>
      <c r="V46" s="339"/>
      <c r="W46" s="337"/>
      <c r="X46" s="332"/>
      <c r="Y46" s="329"/>
      <c r="Z46" s="339"/>
      <c r="AA46" s="337"/>
      <c r="AB46" s="332"/>
      <c r="AC46" s="329"/>
      <c r="AD46" s="339"/>
      <c r="AE46" s="337"/>
      <c r="AF46" s="332"/>
      <c r="AG46" s="329"/>
      <c r="AH46" s="339"/>
      <c r="AI46" s="337"/>
      <c r="AJ46" s="332"/>
      <c r="AK46" s="329"/>
      <c r="AL46" s="339"/>
      <c r="AM46" s="337"/>
      <c r="AN46" s="332"/>
      <c r="AO46" s="329"/>
      <c r="AP46" s="339"/>
      <c r="AQ46" s="337"/>
      <c r="AR46" s="332"/>
      <c r="AS46" s="329"/>
      <c r="AT46" s="339"/>
      <c r="AU46" s="337"/>
      <c r="AV46" s="332"/>
      <c r="AW46" s="329"/>
      <c r="AX46" s="339"/>
      <c r="AY46" s="337"/>
      <c r="AZ46" s="333"/>
      <c r="BA46" s="329">
        <v>42418</v>
      </c>
      <c r="BB46" s="339" t="s">
        <v>2151</v>
      </c>
      <c r="BC46" s="337">
        <v>5</v>
      </c>
      <c r="BD46" s="333"/>
      <c r="BE46" s="329">
        <v>42793</v>
      </c>
      <c r="BF46" s="339" t="s">
        <v>2232</v>
      </c>
      <c r="BG46" s="337">
        <v>35</v>
      </c>
      <c r="BH46" s="332"/>
      <c r="BI46" s="329">
        <v>43150</v>
      </c>
      <c r="BJ46" s="339" t="s">
        <v>1573</v>
      </c>
      <c r="BK46" s="337">
        <v>10</v>
      </c>
      <c r="BL46" s="332"/>
      <c r="BM46" s="329"/>
      <c r="BN46" s="339"/>
      <c r="BO46" s="337"/>
      <c r="BP46" s="332"/>
      <c r="BQ46" s="895">
        <v>43520</v>
      </c>
      <c r="BR46" s="901" t="s">
        <v>2233</v>
      </c>
      <c r="BS46" s="902">
        <v>0</v>
      </c>
      <c r="BT46" s="899" t="s">
        <v>381</v>
      </c>
      <c r="BU46" s="895">
        <v>43890</v>
      </c>
      <c r="BV46" s="901" t="s">
        <v>2234</v>
      </c>
      <c r="BW46" s="908">
        <v>13</v>
      </c>
      <c r="BX46" s="899" t="s">
        <v>280</v>
      </c>
      <c r="BY46" s="895">
        <v>44253</v>
      </c>
      <c r="BZ46" s="901" t="s">
        <v>843</v>
      </c>
      <c r="CA46" s="908">
        <v>51</v>
      </c>
      <c r="CB46" s="899" t="s">
        <v>414</v>
      </c>
      <c r="CC46" s="895">
        <v>44611</v>
      </c>
      <c r="CD46" s="901" t="s">
        <v>2235</v>
      </c>
      <c r="CE46" s="908">
        <v>7</v>
      </c>
      <c r="CF46" s="899" t="s">
        <v>700</v>
      </c>
      <c r="CG46" s="895">
        <v>44981</v>
      </c>
      <c r="CH46" s="901" t="s">
        <v>2236</v>
      </c>
      <c r="CI46" s="908">
        <v>21</v>
      </c>
      <c r="CJ46" s="899" t="s">
        <v>278</v>
      </c>
      <c r="CK46" s="895">
        <v>45345</v>
      </c>
      <c r="CL46" s="901" t="s">
        <v>2237</v>
      </c>
      <c r="CM46" s="908">
        <v>30</v>
      </c>
      <c r="CN46" s="899" t="s">
        <v>280</v>
      </c>
      <c r="CO46" s="895">
        <v>45700</v>
      </c>
      <c r="CP46" s="901" t="s">
        <v>2238</v>
      </c>
      <c r="CQ46" s="908">
        <v>25</v>
      </c>
      <c r="CR46" s="899" t="s">
        <v>414</v>
      </c>
    </row>
    <row r="47" spans="1:96">
      <c r="A47" s="329">
        <v>37675</v>
      </c>
      <c r="B47" s="339" t="s">
        <v>2239</v>
      </c>
      <c r="C47" s="337">
        <v>28</v>
      </c>
      <c r="D47" s="332"/>
      <c r="E47" s="329">
        <v>38038</v>
      </c>
      <c r="F47" s="339" t="s">
        <v>2240</v>
      </c>
      <c r="G47" s="337">
        <v>26</v>
      </c>
      <c r="H47" s="332"/>
      <c r="I47" s="329"/>
      <c r="J47" s="339"/>
      <c r="K47" s="337"/>
      <c r="L47" s="332"/>
      <c r="M47" s="329"/>
      <c r="N47" s="339"/>
      <c r="O47" s="337"/>
      <c r="P47" s="337"/>
      <c r="Q47" s="329"/>
      <c r="R47" s="339"/>
      <c r="S47" s="337"/>
      <c r="T47" s="332"/>
      <c r="U47" s="329"/>
      <c r="V47" s="339"/>
      <c r="W47" s="337"/>
      <c r="X47" s="332"/>
      <c r="Y47" s="329"/>
      <c r="Z47" s="339"/>
      <c r="AA47" s="337"/>
      <c r="AB47" s="332"/>
      <c r="AC47" s="329"/>
      <c r="AD47" s="339"/>
      <c r="AE47" s="337"/>
      <c r="AF47" s="332"/>
      <c r="AG47" s="329"/>
      <c r="AH47" s="339"/>
      <c r="AI47" s="337"/>
      <c r="AJ47" s="332"/>
      <c r="AK47" s="329"/>
      <c r="AL47" s="339"/>
      <c r="AM47" s="337"/>
      <c r="AN47" s="332"/>
      <c r="AO47" s="329"/>
      <c r="AP47" s="339"/>
      <c r="AQ47" s="337"/>
      <c r="AR47" s="332"/>
      <c r="AS47" s="329"/>
      <c r="AT47" s="339"/>
      <c r="AU47" s="337"/>
      <c r="AV47" s="332"/>
      <c r="AW47" s="329"/>
      <c r="AX47" s="339"/>
      <c r="AY47" s="337"/>
      <c r="AZ47" s="333"/>
      <c r="BA47" s="329">
        <v>42418</v>
      </c>
      <c r="BB47" s="339" t="s">
        <v>2241</v>
      </c>
      <c r="BC47" s="337">
        <v>20</v>
      </c>
      <c r="BD47" s="333"/>
      <c r="BE47" s="329"/>
      <c r="BF47" s="339"/>
      <c r="BG47" s="337"/>
      <c r="BH47" s="332"/>
      <c r="BI47" s="329">
        <v>43150</v>
      </c>
      <c r="BJ47" s="339" t="s">
        <v>890</v>
      </c>
      <c r="BK47" s="337">
        <v>3</v>
      </c>
      <c r="BL47" s="332"/>
      <c r="BM47" s="329"/>
      <c r="BN47" s="339"/>
      <c r="BO47" s="337"/>
      <c r="BP47" s="332"/>
      <c r="BQ47" s="895">
        <v>43520</v>
      </c>
      <c r="BR47" s="901" t="s">
        <v>2242</v>
      </c>
      <c r="BS47" s="902">
        <v>100</v>
      </c>
      <c r="BT47" s="899" t="s">
        <v>381</v>
      </c>
      <c r="BU47" s="895">
        <v>43890</v>
      </c>
      <c r="BV47" s="901" t="s">
        <v>772</v>
      </c>
      <c r="BW47" s="908">
        <v>9</v>
      </c>
      <c r="BX47" s="899" t="s">
        <v>414</v>
      </c>
      <c r="BY47" s="895">
        <v>44253</v>
      </c>
      <c r="BZ47" s="901" t="s">
        <v>872</v>
      </c>
      <c r="CA47" s="908">
        <v>20</v>
      </c>
      <c r="CB47" s="899" t="s">
        <v>414</v>
      </c>
      <c r="CC47" s="895">
        <v>44611</v>
      </c>
      <c r="CD47" s="901" t="s">
        <v>2243</v>
      </c>
      <c r="CE47" s="908">
        <v>15</v>
      </c>
      <c r="CF47" s="899" t="s">
        <v>693</v>
      </c>
      <c r="CG47" s="895">
        <v>44981</v>
      </c>
      <c r="CH47" s="901" t="s">
        <v>2244</v>
      </c>
      <c r="CI47" s="908">
        <v>30</v>
      </c>
      <c r="CJ47" s="899" t="s">
        <v>381</v>
      </c>
      <c r="CK47" s="895">
        <v>45347</v>
      </c>
      <c r="CL47" s="901" t="s">
        <v>2245</v>
      </c>
      <c r="CM47" s="908">
        <v>13</v>
      </c>
      <c r="CN47" s="899" t="s">
        <v>280</v>
      </c>
      <c r="CO47" s="895">
        <v>45700</v>
      </c>
      <c r="CP47" s="901" t="s">
        <v>2246</v>
      </c>
      <c r="CQ47" s="908">
        <v>25</v>
      </c>
      <c r="CR47" s="899" t="s">
        <v>414</v>
      </c>
    </row>
    <row r="48" spans="1:96">
      <c r="A48" s="329">
        <v>37678</v>
      </c>
      <c r="B48" s="339" t="s">
        <v>915</v>
      </c>
      <c r="C48" s="337">
        <v>33</v>
      </c>
      <c r="D48" s="332"/>
      <c r="E48" s="329">
        <v>38038</v>
      </c>
      <c r="F48" s="339" t="s">
        <v>989</v>
      </c>
      <c r="G48" s="337">
        <v>9</v>
      </c>
      <c r="H48" s="332"/>
      <c r="I48" s="329"/>
      <c r="J48" s="339"/>
      <c r="K48" s="337"/>
      <c r="L48" s="332"/>
      <c r="M48" s="329"/>
      <c r="N48" s="339"/>
      <c r="O48" s="337"/>
      <c r="P48" s="332"/>
      <c r="Q48" s="329"/>
      <c r="R48" s="339"/>
      <c r="S48" s="337"/>
      <c r="T48" s="332"/>
      <c r="U48" s="329"/>
      <c r="V48" s="339"/>
      <c r="W48" s="337"/>
      <c r="X48" s="332"/>
      <c r="Y48" s="329"/>
      <c r="Z48" s="339"/>
      <c r="AA48" s="337"/>
      <c r="AB48" s="332"/>
      <c r="AC48" s="329"/>
      <c r="AD48" s="339"/>
      <c r="AE48" s="337"/>
      <c r="AF48" s="332"/>
      <c r="AG48" s="329"/>
      <c r="AH48" s="339"/>
      <c r="AI48" s="337"/>
      <c r="AJ48" s="332"/>
      <c r="AK48" s="329"/>
      <c r="AL48" s="339"/>
      <c r="AM48" s="337"/>
      <c r="AN48" s="332"/>
      <c r="AO48" s="329"/>
      <c r="AP48" s="339"/>
      <c r="AQ48" s="337"/>
      <c r="AR48" s="332"/>
      <c r="AS48" s="329"/>
      <c r="AT48" s="339"/>
      <c r="AU48" s="337"/>
      <c r="AV48" s="332"/>
      <c r="AW48" s="329"/>
      <c r="AX48" s="339"/>
      <c r="AY48" s="337"/>
      <c r="AZ48" s="333"/>
      <c r="BA48" s="329">
        <v>42418</v>
      </c>
      <c r="BB48" s="339" t="s">
        <v>2247</v>
      </c>
      <c r="BC48" s="337">
        <v>12</v>
      </c>
      <c r="BD48" s="333"/>
      <c r="BE48" s="329"/>
      <c r="BF48" s="339"/>
      <c r="BG48" s="337"/>
      <c r="BH48" s="332"/>
      <c r="BI48" s="329">
        <v>43150</v>
      </c>
      <c r="BJ48" s="339" t="s">
        <v>2248</v>
      </c>
      <c r="BK48" s="337">
        <v>441</v>
      </c>
      <c r="BL48" s="332"/>
      <c r="BM48" s="329"/>
      <c r="BN48" s="339"/>
      <c r="BO48" s="337"/>
      <c r="BP48" s="332"/>
      <c r="BQ48" s="895">
        <v>43520</v>
      </c>
      <c r="BR48" s="901" t="s">
        <v>2249</v>
      </c>
      <c r="BS48" s="902">
        <v>0</v>
      </c>
      <c r="BT48" s="899" t="s">
        <v>381</v>
      </c>
      <c r="BU48" s="895">
        <v>43890</v>
      </c>
      <c r="BV48" s="901" t="s">
        <v>873</v>
      </c>
      <c r="BW48" s="908">
        <v>23</v>
      </c>
      <c r="BX48" s="899" t="s">
        <v>414</v>
      </c>
      <c r="BY48" s="895">
        <v>44253</v>
      </c>
      <c r="BZ48" s="901" t="s">
        <v>845</v>
      </c>
      <c r="CA48" s="908">
        <v>50</v>
      </c>
      <c r="CB48" s="899" t="s">
        <v>414</v>
      </c>
      <c r="CC48" s="895">
        <v>44611</v>
      </c>
      <c r="CD48" s="901" t="s">
        <v>2250</v>
      </c>
      <c r="CE48" s="908">
        <v>31</v>
      </c>
      <c r="CF48" s="899" t="s">
        <v>701</v>
      </c>
      <c r="CG48" s="895">
        <v>44981</v>
      </c>
      <c r="CH48" s="901" t="s">
        <v>2251</v>
      </c>
      <c r="CI48" s="908">
        <v>205</v>
      </c>
      <c r="CJ48" s="899" t="s">
        <v>381</v>
      </c>
      <c r="CK48" s="895">
        <v>45347</v>
      </c>
      <c r="CL48" s="901" t="s">
        <v>2252</v>
      </c>
      <c r="CM48" s="908">
        <v>27</v>
      </c>
      <c r="CN48" s="899" t="s">
        <v>280</v>
      </c>
      <c r="CO48" s="895">
        <v>45700</v>
      </c>
      <c r="CP48" s="901" t="s">
        <v>2253</v>
      </c>
      <c r="CQ48" s="908">
        <v>130</v>
      </c>
      <c r="CR48" s="899" t="s">
        <v>414</v>
      </c>
    </row>
    <row r="49" spans="1:99">
      <c r="A49" s="329">
        <v>37678</v>
      </c>
      <c r="B49" s="339" t="s">
        <v>1220</v>
      </c>
      <c r="C49" s="337">
        <v>33</v>
      </c>
      <c r="D49" s="332"/>
      <c r="E49" s="329">
        <v>38040</v>
      </c>
      <c r="F49" s="339" t="s">
        <v>802</v>
      </c>
      <c r="G49" s="337">
        <v>25</v>
      </c>
      <c r="H49" s="332"/>
      <c r="I49" s="329"/>
      <c r="J49" s="339"/>
      <c r="K49" s="337"/>
      <c r="L49" s="332"/>
      <c r="M49" s="329"/>
      <c r="N49" s="339"/>
      <c r="O49" s="337"/>
      <c r="P49" s="332"/>
      <c r="Q49" s="329"/>
      <c r="R49" s="339"/>
      <c r="S49" s="337"/>
      <c r="T49" s="337"/>
      <c r="U49" s="329"/>
      <c r="V49" s="339"/>
      <c r="W49" s="337"/>
      <c r="X49" s="332"/>
      <c r="Y49" s="329"/>
      <c r="Z49" s="339"/>
      <c r="AA49" s="337"/>
      <c r="AB49" s="332"/>
      <c r="AC49" s="329"/>
      <c r="AD49" s="339"/>
      <c r="AE49" s="337"/>
      <c r="AF49" s="332"/>
      <c r="AG49" s="329"/>
      <c r="AH49" s="339"/>
      <c r="AI49" s="337"/>
      <c r="AJ49" s="332"/>
      <c r="AK49" s="329"/>
      <c r="AL49" s="339"/>
      <c r="AM49" s="337"/>
      <c r="AN49" s="332"/>
      <c r="AO49" s="329"/>
      <c r="AP49" s="339"/>
      <c r="AQ49" s="337"/>
      <c r="AR49" s="332"/>
      <c r="AS49" s="329"/>
      <c r="AT49" s="339"/>
      <c r="AU49" s="337"/>
      <c r="AV49" s="332"/>
      <c r="AW49" s="329"/>
      <c r="AX49" s="339"/>
      <c r="AY49" s="337"/>
      <c r="AZ49" s="333"/>
      <c r="BA49" s="329">
        <v>42419</v>
      </c>
      <c r="BB49" s="339" t="s">
        <v>2254</v>
      </c>
      <c r="BC49" s="337">
        <v>0</v>
      </c>
      <c r="BD49" s="333"/>
      <c r="BE49" s="329"/>
      <c r="BF49" s="339"/>
      <c r="BG49" s="337"/>
      <c r="BH49" s="332"/>
      <c r="BI49" s="329">
        <v>43150</v>
      </c>
      <c r="BJ49" s="339" t="s">
        <v>2255</v>
      </c>
      <c r="BK49" s="337">
        <v>500</v>
      </c>
      <c r="BL49" s="332"/>
      <c r="BM49" s="329"/>
      <c r="BN49" s="339"/>
      <c r="BO49" s="337"/>
      <c r="BP49" s="332"/>
      <c r="BQ49" s="895">
        <v>43520</v>
      </c>
      <c r="BR49" s="901" t="s">
        <v>2256</v>
      </c>
      <c r="BS49" s="902">
        <v>0</v>
      </c>
      <c r="BT49" s="899" t="s">
        <v>381</v>
      </c>
      <c r="BU49" s="895">
        <v>43890</v>
      </c>
      <c r="BV49" s="901" t="s">
        <v>845</v>
      </c>
      <c r="BW49" s="908">
        <v>39</v>
      </c>
      <c r="BX49" s="899" t="s">
        <v>414</v>
      </c>
      <c r="BY49" s="895">
        <v>44253</v>
      </c>
      <c r="BZ49" s="901" t="s">
        <v>772</v>
      </c>
      <c r="CA49" s="908">
        <v>50</v>
      </c>
      <c r="CB49" s="899" t="s">
        <v>414</v>
      </c>
      <c r="CC49" s="895">
        <v>44611</v>
      </c>
      <c r="CD49" s="901" t="s">
        <v>2257</v>
      </c>
      <c r="CE49" s="908">
        <v>15</v>
      </c>
      <c r="CF49" s="899" t="s">
        <v>280</v>
      </c>
      <c r="CG49" s="895">
        <v>44981</v>
      </c>
      <c r="CH49" s="901" t="s">
        <v>2258</v>
      </c>
      <c r="CI49" s="908">
        <v>155</v>
      </c>
      <c r="CJ49" s="899" t="s">
        <v>381</v>
      </c>
      <c r="CK49" s="895">
        <v>45347</v>
      </c>
      <c r="CL49" s="901" t="s">
        <v>2259</v>
      </c>
      <c r="CM49" s="908">
        <v>40</v>
      </c>
      <c r="CN49" s="899" t="s">
        <v>427</v>
      </c>
      <c r="CO49" s="895">
        <v>45700</v>
      </c>
      <c r="CP49" s="901" t="s">
        <v>2260</v>
      </c>
      <c r="CQ49" s="908">
        <v>25</v>
      </c>
      <c r="CR49" s="899" t="s">
        <v>414</v>
      </c>
    </row>
    <row r="50" spans="1:99">
      <c r="A50" s="329">
        <v>37680</v>
      </c>
      <c r="B50" s="339" t="s">
        <v>2261</v>
      </c>
      <c r="C50" s="337"/>
      <c r="D50" s="332">
        <v>7</v>
      </c>
      <c r="E50" s="329">
        <v>38044</v>
      </c>
      <c r="F50" s="339" t="s">
        <v>2262</v>
      </c>
      <c r="G50" s="337">
        <v>40</v>
      </c>
      <c r="H50" s="332"/>
      <c r="I50" s="329"/>
      <c r="J50" s="339"/>
      <c r="K50" s="337"/>
      <c r="L50" s="332"/>
      <c r="M50" s="329"/>
      <c r="N50" s="339"/>
      <c r="O50" s="337"/>
      <c r="P50" s="332"/>
      <c r="Q50" s="329"/>
      <c r="R50" s="339"/>
      <c r="S50" s="337"/>
      <c r="T50" s="332"/>
      <c r="U50" s="329"/>
      <c r="V50" s="339"/>
      <c r="W50" s="337"/>
      <c r="X50" s="337"/>
      <c r="Y50" s="329"/>
      <c r="Z50" s="339"/>
      <c r="AA50" s="337"/>
      <c r="AB50" s="332"/>
      <c r="AC50" s="329"/>
      <c r="AD50" s="339"/>
      <c r="AE50" s="337"/>
      <c r="AF50" s="332"/>
      <c r="AG50" s="329"/>
      <c r="AH50" s="339"/>
      <c r="AI50" s="337"/>
      <c r="AJ50" s="332"/>
      <c r="AK50" s="329"/>
      <c r="AL50" s="339"/>
      <c r="AM50" s="337"/>
      <c r="AN50" s="332"/>
      <c r="AO50" s="329"/>
      <c r="AP50" s="339"/>
      <c r="AQ50" s="337"/>
      <c r="AR50" s="332"/>
      <c r="AS50" s="329"/>
      <c r="AT50" s="339"/>
      <c r="AU50" s="337"/>
      <c r="AV50" s="332"/>
      <c r="AW50" s="329"/>
      <c r="AX50" s="339"/>
      <c r="AY50" s="337"/>
      <c r="AZ50" s="333"/>
      <c r="BA50" s="329">
        <v>42419</v>
      </c>
      <c r="BB50" s="339" t="s">
        <v>2263</v>
      </c>
      <c r="BC50" s="337">
        <v>0</v>
      </c>
      <c r="BD50" s="333"/>
      <c r="BE50" s="329"/>
      <c r="BF50" s="339"/>
      <c r="BG50" s="337"/>
      <c r="BH50" s="332"/>
      <c r="BI50" s="329">
        <v>43154</v>
      </c>
      <c r="BJ50" s="339" t="s">
        <v>872</v>
      </c>
      <c r="BK50" s="337">
        <v>42</v>
      </c>
      <c r="BL50" s="332"/>
      <c r="BM50" s="329"/>
      <c r="BN50" s="339"/>
      <c r="BO50" s="337"/>
      <c r="BP50" s="332"/>
      <c r="BQ50" s="895">
        <v>43524</v>
      </c>
      <c r="BR50" s="903" t="s">
        <v>759</v>
      </c>
      <c r="BS50" s="1243">
        <v>295</v>
      </c>
      <c r="BT50" s="1244" t="s">
        <v>689</v>
      </c>
      <c r="BU50" s="895">
        <v>43890</v>
      </c>
      <c r="BV50" s="901" t="s">
        <v>2264</v>
      </c>
      <c r="BW50" s="908">
        <v>8</v>
      </c>
      <c r="BX50" s="899" t="s">
        <v>414</v>
      </c>
      <c r="BY50" s="895"/>
      <c r="BZ50" s="901"/>
      <c r="CA50" s="908"/>
      <c r="CB50" s="899"/>
      <c r="CC50" s="895">
        <v>44611</v>
      </c>
      <c r="CD50" s="901" t="s">
        <v>2265</v>
      </c>
      <c r="CE50" s="908">
        <v>40</v>
      </c>
      <c r="CF50" s="899" t="s">
        <v>278</v>
      </c>
      <c r="CG50" s="895">
        <v>44980</v>
      </c>
      <c r="CH50" s="901" t="s">
        <v>278</v>
      </c>
      <c r="CI50" s="908">
        <f>CI37+CI46</f>
        <v>28</v>
      </c>
      <c r="CJ50" s="899" t="s">
        <v>278</v>
      </c>
      <c r="CK50" s="895">
        <v>45347</v>
      </c>
      <c r="CL50" s="901" t="s">
        <v>797</v>
      </c>
      <c r="CM50" s="908">
        <v>57</v>
      </c>
      <c r="CN50" s="899" t="s">
        <v>410</v>
      </c>
      <c r="CO50" s="1017">
        <v>45702</v>
      </c>
      <c r="CP50" s="901" t="s">
        <v>2266</v>
      </c>
      <c r="CQ50" s="908">
        <v>600</v>
      </c>
      <c r="CR50" s="899" t="s">
        <v>689</v>
      </c>
    </row>
    <row r="51" spans="1:99">
      <c r="A51" s="329">
        <v>37680</v>
      </c>
      <c r="B51" s="339" t="s">
        <v>2267</v>
      </c>
      <c r="C51" s="337">
        <v>40</v>
      </c>
      <c r="D51" s="332"/>
      <c r="E51" s="329">
        <v>38044</v>
      </c>
      <c r="F51" s="339" t="s">
        <v>2268</v>
      </c>
      <c r="G51" s="337">
        <v>13</v>
      </c>
      <c r="H51" s="332"/>
      <c r="I51" s="329"/>
      <c r="J51" s="339"/>
      <c r="K51" s="337"/>
      <c r="L51" s="332"/>
      <c r="M51" s="329"/>
      <c r="N51" s="339"/>
      <c r="O51" s="337"/>
      <c r="P51" s="332"/>
      <c r="Q51" s="329"/>
      <c r="R51" s="339"/>
      <c r="S51" s="337"/>
      <c r="T51" s="332"/>
      <c r="U51" s="329"/>
      <c r="V51" s="339"/>
      <c r="W51" s="337"/>
      <c r="X51" s="332"/>
      <c r="Y51" s="329"/>
      <c r="Z51" s="339"/>
      <c r="AA51" s="337"/>
      <c r="AB51" s="337"/>
      <c r="AC51" s="329"/>
      <c r="AD51" s="339"/>
      <c r="AE51" s="337"/>
      <c r="AF51" s="332"/>
      <c r="AG51" s="329"/>
      <c r="AH51" s="339"/>
      <c r="AI51" s="337"/>
      <c r="AJ51" s="332"/>
      <c r="AK51" s="329"/>
      <c r="AL51" s="339"/>
      <c r="AM51" s="337"/>
      <c r="AN51" s="332"/>
      <c r="AO51" s="329"/>
      <c r="AP51" s="339"/>
      <c r="AQ51" s="337"/>
      <c r="AR51" s="332"/>
      <c r="AS51" s="329"/>
      <c r="AT51" s="339"/>
      <c r="AU51" s="337"/>
      <c r="AV51" s="332"/>
      <c r="AW51" s="329"/>
      <c r="AX51" s="339"/>
      <c r="AY51" s="337"/>
      <c r="AZ51" s="333"/>
      <c r="BA51" s="329">
        <v>42419</v>
      </c>
      <c r="BB51" s="339" t="s">
        <v>2269</v>
      </c>
      <c r="BC51" s="337"/>
      <c r="BD51" s="333"/>
      <c r="BE51" s="329"/>
      <c r="BF51" s="339"/>
      <c r="BG51" s="337"/>
      <c r="BH51" s="332"/>
      <c r="BI51" s="329">
        <v>43155</v>
      </c>
      <c r="BJ51" s="339" t="s">
        <v>873</v>
      </c>
      <c r="BK51" s="337">
        <v>17</v>
      </c>
      <c r="BL51" s="332"/>
      <c r="BM51" s="329"/>
      <c r="BN51" s="339"/>
      <c r="BO51" s="337"/>
      <c r="BP51" s="332"/>
      <c r="BQ51" s="895"/>
      <c r="BR51" s="901"/>
      <c r="BS51" s="902"/>
      <c r="BT51" s="899" t="s">
        <v>706</v>
      </c>
      <c r="BU51" s="895">
        <v>43890</v>
      </c>
      <c r="BV51" s="901" t="s">
        <v>2270</v>
      </c>
      <c r="BW51" s="908">
        <v>37</v>
      </c>
      <c r="BX51" s="899" t="s">
        <v>414</v>
      </c>
      <c r="BY51" s="895"/>
      <c r="BZ51" s="901"/>
      <c r="CA51" s="908"/>
      <c r="CB51" s="899"/>
      <c r="CC51" s="895">
        <v>44611</v>
      </c>
      <c r="CD51" s="901" t="s">
        <v>1235</v>
      </c>
      <c r="CE51" s="908">
        <v>16</v>
      </c>
      <c r="CF51" s="899" t="s">
        <v>278</v>
      </c>
      <c r="CG51" s="895">
        <v>44980</v>
      </c>
      <c r="CH51" s="901" t="s">
        <v>1180</v>
      </c>
      <c r="CI51" s="908">
        <f>CI42+CI44+CI45</f>
        <v>177</v>
      </c>
      <c r="CJ51" s="899" t="s">
        <v>410</v>
      </c>
      <c r="CK51" s="895">
        <v>45351</v>
      </c>
      <c r="CL51" s="901" t="s">
        <v>2271</v>
      </c>
      <c r="CM51" s="908">
        <v>41</v>
      </c>
      <c r="CN51" s="899" t="s">
        <v>700</v>
      </c>
      <c r="CO51" s="1017">
        <v>45702</v>
      </c>
      <c r="CP51" s="901" t="s">
        <v>2272</v>
      </c>
      <c r="CQ51" s="908">
        <v>105</v>
      </c>
      <c r="CR51" s="899" t="s">
        <v>700</v>
      </c>
    </row>
    <row r="52" spans="1:99">
      <c r="A52" s="329">
        <v>37680</v>
      </c>
      <c r="B52" s="339" t="s">
        <v>410</v>
      </c>
      <c r="C52" s="337">
        <v>26</v>
      </c>
      <c r="D52" s="332"/>
      <c r="E52" s="329">
        <v>38045</v>
      </c>
      <c r="F52" s="339" t="s">
        <v>2273</v>
      </c>
      <c r="G52" s="337">
        <v>20</v>
      </c>
      <c r="H52" s="332"/>
      <c r="I52" s="329"/>
      <c r="J52" s="339"/>
      <c r="K52" s="337"/>
      <c r="L52" s="332"/>
      <c r="M52" s="329"/>
      <c r="N52" s="339"/>
      <c r="O52" s="337"/>
      <c r="P52" s="332"/>
      <c r="Q52" s="329"/>
      <c r="R52" s="339"/>
      <c r="S52" s="337"/>
      <c r="T52" s="332"/>
      <c r="U52" s="329"/>
      <c r="V52" s="339"/>
      <c r="W52" s="337"/>
      <c r="X52" s="332"/>
      <c r="Y52" s="329"/>
      <c r="Z52" s="339"/>
      <c r="AA52" s="337"/>
      <c r="AB52" s="332"/>
      <c r="AC52" s="329"/>
      <c r="AD52" s="339"/>
      <c r="AE52" s="337"/>
      <c r="AF52" s="332"/>
      <c r="AG52" s="329"/>
      <c r="AH52" s="339"/>
      <c r="AI52" s="337"/>
      <c r="AJ52" s="332"/>
      <c r="AK52" s="329"/>
      <c r="AL52" s="339"/>
      <c r="AM52" s="337"/>
      <c r="AN52" s="332"/>
      <c r="AO52" s="329"/>
      <c r="AP52" s="339"/>
      <c r="AQ52" s="337"/>
      <c r="AR52" s="332"/>
      <c r="AS52" s="329"/>
      <c r="AT52" s="339"/>
      <c r="AU52" s="337"/>
      <c r="AV52" s="332"/>
      <c r="AW52" s="329"/>
      <c r="AX52" s="339"/>
      <c r="AY52" s="337"/>
      <c r="AZ52" s="333"/>
      <c r="BA52" s="329">
        <v>42419</v>
      </c>
      <c r="BB52" s="339" t="s">
        <v>2274</v>
      </c>
      <c r="BC52" s="337">
        <v>0</v>
      </c>
      <c r="BD52" s="333"/>
      <c r="BE52" s="329"/>
      <c r="BF52" s="339"/>
      <c r="BG52" s="337"/>
      <c r="BH52" s="332"/>
      <c r="BI52" s="329">
        <v>43155</v>
      </c>
      <c r="BJ52" s="339" t="s">
        <v>890</v>
      </c>
      <c r="BK52" s="337">
        <v>4</v>
      </c>
      <c r="BL52" s="332"/>
      <c r="BM52" s="329"/>
      <c r="BN52" s="339"/>
      <c r="BO52" s="337"/>
      <c r="BP52" s="332"/>
      <c r="BQ52" s="895"/>
      <c r="BR52" s="901"/>
      <c r="BS52" s="902"/>
      <c r="BT52" s="899" t="s">
        <v>706</v>
      </c>
      <c r="BU52" s="895">
        <v>43890</v>
      </c>
      <c r="BV52" s="901" t="s">
        <v>2275</v>
      </c>
      <c r="BW52" s="908">
        <v>15</v>
      </c>
      <c r="BX52" s="899" t="s">
        <v>414</v>
      </c>
      <c r="BY52" s="895"/>
      <c r="BZ52" s="901"/>
      <c r="CA52" s="908"/>
      <c r="CB52" s="899"/>
      <c r="CC52" s="895">
        <v>44611</v>
      </c>
      <c r="CD52" s="901" t="s">
        <v>845</v>
      </c>
      <c r="CE52" s="908">
        <v>46</v>
      </c>
      <c r="CF52" s="899" t="s">
        <v>414</v>
      </c>
      <c r="CG52" s="895">
        <v>44980</v>
      </c>
      <c r="CH52" s="901" t="s">
        <v>2276</v>
      </c>
      <c r="CI52" s="908">
        <v>30</v>
      </c>
      <c r="CJ52" s="899" t="s">
        <v>381</v>
      </c>
      <c r="CK52" s="895">
        <v>45351</v>
      </c>
      <c r="CL52" s="901" t="s">
        <v>2277</v>
      </c>
      <c r="CM52" s="908">
        <v>12</v>
      </c>
      <c r="CN52" s="899" t="s">
        <v>280</v>
      </c>
      <c r="CO52" s="1017">
        <v>45702</v>
      </c>
      <c r="CP52" s="901" t="s">
        <v>772</v>
      </c>
      <c r="CQ52" s="908">
        <v>7</v>
      </c>
      <c r="CR52" s="899" t="s">
        <v>414</v>
      </c>
    </row>
    <row r="53" spans="1:99">
      <c r="A53" s="329">
        <v>37680</v>
      </c>
      <c r="B53" s="339" t="s">
        <v>2278</v>
      </c>
      <c r="C53" s="337">
        <v>10</v>
      </c>
      <c r="D53" s="332"/>
      <c r="E53" s="329">
        <v>38045</v>
      </c>
      <c r="F53" s="339" t="s">
        <v>2279</v>
      </c>
      <c r="G53" s="337">
        <v>12</v>
      </c>
      <c r="H53" s="332"/>
      <c r="I53" s="329"/>
      <c r="J53" s="339"/>
      <c r="K53" s="337"/>
      <c r="L53" s="332"/>
      <c r="M53" s="329"/>
      <c r="N53" s="339"/>
      <c r="O53" s="337"/>
      <c r="P53" s="332"/>
      <c r="Q53" s="329"/>
      <c r="R53" s="339"/>
      <c r="S53" s="337"/>
      <c r="T53" s="332"/>
      <c r="U53" s="329"/>
      <c r="V53" s="339"/>
      <c r="W53" s="337"/>
      <c r="X53" s="332"/>
      <c r="Y53" s="329"/>
      <c r="Z53" s="339"/>
      <c r="AA53" s="337"/>
      <c r="AB53" s="332"/>
      <c r="AC53" s="329"/>
      <c r="AD53" s="339"/>
      <c r="AE53" s="337"/>
      <c r="AF53" s="332"/>
      <c r="AG53" s="329"/>
      <c r="AH53" s="339"/>
      <c r="AI53" s="337"/>
      <c r="AJ53" s="332"/>
      <c r="AK53" s="329"/>
      <c r="AL53" s="339"/>
      <c r="AM53" s="337"/>
      <c r="AN53" s="332"/>
      <c r="AO53" s="329"/>
      <c r="AP53" s="339"/>
      <c r="AQ53" s="337"/>
      <c r="AR53" s="332"/>
      <c r="AS53" s="329"/>
      <c r="AT53" s="339"/>
      <c r="AU53" s="337"/>
      <c r="AV53" s="332"/>
      <c r="AW53" s="329"/>
      <c r="AX53" s="339"/>
      <c r="AY53" s="337"/>
      <c r="AZ53" s="333"/>
      <c r="BA53" s="338"/>
      <c r="BB53" s="334" t="s">
        <v>2280</v>
      </c>
      <c r="BC53" s="331">
        <f>1184 + 396 + 45</f>
        <v>1625</v>
      </c>
      <c r="BD53" s="367">
        <v>1184</v>
      </c>
      <c r="BE53" s="329"/>
      <c r="BF53" s="339"/>
      <c r="BG53" s="337"/>
      <c r="BH53" s="332"/>
      <c r="BI53" s="329">
        <v>43155</v>
      </c>
      <c r="BJ53" s="339" t="s">
        <v>1427</v>
      </c>
      <c r="BK53" s="337">
        <v>7</v>
      </c>
      <c r="BL53" s="332"/>
      <c r="BM53" s="329"/>
      <c r="BN53" s="339"/>
      <c r="BO53" s="337"/>
      <c r="BP53" s="332"/>
      <c r="BQ53" s="895"/>
      <c r="BR53" s="901"/>
      <c r="BS53" s="902"/>
      <c r="BT53" s="899" t="s">
        <v>706</v>
      </c>
      <c r="BU53" s="895">
        <v>43890</v>
      </c>
      <c r="BV53" s="901" t="s">
        <v>1635</v>
      </c>
      <c r="BW53" s="908">
        <v>40</v>
      </c>
      <c r="BX53" s="899" t="s">
        <v>414</v>
      </c>
      <c r="BY53" s="895"/>
      <c r="BZ53" s="901"/>
      <c r="CA53" s="908"/>
      <c r="CB53" s="899"/>
      <c r="CC53" s="895">
        <v>44612</v>
      </c>
      <c r="CD53" s="901" t="s">
        <v>772</v>
      </c>
      <c r="CE53" s="908">
        <v>2</v>
      </c>
      <c r="CF53" s="899" t="s">
        <v>414</v>
      </c>
      <c r="CG53" s="895">
        <v>44983</v>
      </c>
      <c r="CH53" s="901" t="s">
        <v>2281</v>
      </c>
      <c r="CI53" s="908">
        <v>84</v>
      </c>
      <c r="CJ53" s="899" t="s">
        <v>693</v>
      </c>
      <c r="CK53" s="895"/>
      <c r="CL53" s="1738" t="s">
        <v>1689</v>
      </c>
      <c r="CM53" s="1839">
        <v>100</v>
      </c>
      <c r="CN53" s="1787" t="s">
        <v>674</v>
      </c>
      <c r="CO53" s="2060">
        <v>45702</v>
      </c>
      <c r="CP53" s="1158" t="s">
        <v>2282</v>
      </c>
      <c r="CQ53" s="2061">
        <v>130</v>
      </c>
      <c r="CR53" s="2062" t="s">
        <v>700</v>
      </c>
    </row>
    <row r="54" spans="1:99">
      <c r="A54" s="329">
        <v>37680</v>
      </c>
      <c r="B54" s="339" t="s">
        <v>2283</v>
      </c>
      <c r="C54" s="337">
        <v>13</v>
      </c>
      <c r="D54" s="332"/>
      <c r="E54" s="329">
        <v>38046</v>
      </c>
      <c r="F54" s="339" t="s">
        <v>2284</v>
      </c>
      <c r="G54" s="337">
        <v>57</v>
      </c>
      <c r="H54" s="332"/>
      <c r="I54" s="329"/>
      <c r="J54" s="339"/>
      <c r="K54" s="337"/>
      <c r="L54" s="332"/>
      <c r="M54" s="329"/>
      <c r="N54" s="339"/>
      <c r="O54" s="337"/>
      <c r="P54" s="332"/>
      <c r="Q54" s="329"/>
      <c r="R54" s="339"/>
      <c r="S54" s="337"/>
      <c r="T54" s="332"/>
      <c r="U54" s="329"/>
      <c r="V54" s="339"/>
      <c r="W54" s="337"/>
      <c r="X54" s="332"/>
      <c r="Y54" s="329"/>
      <c r="Z54" s="339"/>
      <c r="AA54" s="337"/>
      <c r="AB54" s="332"/>
      <c r="AC54" s="329"/>
      <c r="AD54" s="339"/>
      <c r="AE54" s="337"/>
      <c r="AF54" s="332"/>
      <c r="AG54" s="329"/>
      <c r="AH54" s="339"/>
      <c r="AI54" s="337"/>
      <c r="AJ54" s="332"/>
      <c r="AK54" s="329"/>
      <c r="AL54" s="339"/>
      <c r="AM54" s="337"/>
      <c r="AN54" s="332"/>
      <c r="AO54" s="329"/>
      <c r="AP54" s="339"/>
      <c r="AQ54" s="337"/>
      <c r="AR54" s="332"/>
      <c r="AS54" s="329"/>
      <c r="AT54" s="339"/>
      <c r="AU54" s="337"/>
      <c r="AV54" s="332"/>
      <c r="AW54" s="329"/>
      <c r="AX54" s="339"/>
      <c r="AY54" s="337"/>
      <c r="AZ54" s="333"/>
      <c r="BA54" s="329"/>
      <c r="BB54" s="339" t="s">
        <v>2285</v>
      </c>
      <c r="BC54" s="337">
        <v>45</v>
      </c>
      <c r="BD54" s="346"/>
      <c r="BE54" s="329"/>
      <c r="BF54" s="339"/>
      <c r="BG54" s="337"/>
      <c r="BH54" s="332"/>
      <c r="BI54" s="329"/>
      <c r="BJ54" s="339"/>
      <c r="BK54" s="337"/>
      <c r="BL54" s="332"/>
      <c r="BM54" s="329"/>
      <c r="BN54" s="339"/>
      <c r="BO54" s="337"/>
      <c r="BP54" s="332"/>
      <c r="BQ54" s="895"/>
      <c r="BR54" s="901"/>
      <c r="BS54" s="902"/>
      <c r="BT54" s="899" t="s">
        <v>706</v>
      </c>
      <c r="BU54" s="895">
        <v>43890</v>
      </c>
      <c r="BV54" s="901" t="s">
        <v>2286</v>
      </c>
      <c r="BW54" s="908">
        <v>110</v>
      </c>
      <c r="BX54" s="899" t="s">
        <v>436</v>
      </c>
      <c r="BY54" s="895"/>
      <c r="BZ54" s="901"/>
      <c r="CA54" s="908"/>
      <c r="CB54" s="899"/>
      <c r="CC54" s="895">
        <v>44612</v>
      </c>
      <c r="CD54" s="901" t="s">
        <v>872</v>
      </c>
      <c r="CE54" s="908">
        <v>13</v>
      </c>
      <c r="CF54" s="899" t="s">
        <v>414</v>
      </c>
      <c r="CG54" s="895">
        <v>44983</v>
      </c>
      <c r="CH54" s="901" t="s">
        <v>2287</v>
      </c>
      <c r="CI54" s="908">
        <v>180</v>
      </c>
      <c r="CJ54" s="899" t="s">
        <v>695</v>
      </c>
      <c r="CK54" s="895"/>
      <c r="CL54" s="901"/>
      <c r="CM54" s="908"/>
      <c r="CN54" s="899"/>
      <c r="CO54" s="1017">
        <v>45702</v>
      </c>
      <c r="CP54" s="901" t="s">
        <v>797</v>
      </c>
      <c r="CQ54" s="908">
        <v>58</v>
      </c>
      <c r="CR54" s="899" t="s">
        <v>410</v>
      </c>
    </row>
    <row r="55" spans="1:99">
      <c r="A55" s="329"/>
      <c r="B55" s="339"/>
      <c r="C55" s="337"/>
      <c r="D55" s="332"/>
      <c r="E55" s="329">
        <v>38046</v>
      </c>
      <c r="F55" s="339" t="s">
        <v>802</v>
      </c>
      <c r="G55" s="337">
        <v>23</v>
      </c>
      <c r="H55" s="332"/>
      <c r="I55" s="329"/>
      <c r="J55" s="339"/>
      <c r="K55" s="337"/>
      <c r="L55" s="332"/>
      <c r="M55" s="329"/>
      <c r="N55" s="339"/>
      <c r="O55" s="337"/>
      <c r="P55" s="332"/>
      <c r="Q55" s="329"/>
      <c r="R55" s="339"/>
      <c r="S55" s="337"/>
      <c r="T55" s="332"/>
      <c r="U55" s="329"/>
      <c r="V55" s="339"/>
      <c r="W55" s="337"/>
      <c r="X55" s="332"/>
      <c r="Y55" s="329"/>
      <c r="Z55" s="339"/>
      <c r="AA55" s="337"/>
      <c r="AB55" s="332"/>
      <c r="AC55" s="329"/>
      <c r="AD55" s="339"/>
      <c r="AE55" s="337"/>
      <c r="AF55" s="332"/>
      <c r="AG55" s="329"/>
      <c r="AH55" s="339"/>
      <c r="AI55" s="337"/>
      <c r="AJ55" s="332"/>
      <c r="AK55" s="329"/>
      <c r="AL55" s="339"/>
      <c r="AM55" s="337"/>
      <c r="AN55" s="332"/>
      <c r="AO55" s="329"/>
      <c r="AP55" s="339"/>
      <c r="AQ55" s="337"/>
      <c r="AR55" s="332"/>
      <c r="AS55" s="329"/>
      <c r="AT55" s="339"/>
      <c r="AU55" s="337"/>
      <c r="AV55" s="332"/>
      <c r="AW55" s="329"/>
      <c r="AX55" s="339"/>
      <c r="AY55" s="337"/>
      <c r="AZ55" s="333"/>
      <c r="BA55" s="329"/>
      <c r="BB55" s="339" t="s">
        <v>2288</v>
      </c>
      <c r="BC55" s="337">
        <v>427</v>
      </c>
      <c r="BD55" s="346">
        <v>0</v>
      </c>
      <c r="BE55" s="329"/>
      <c r="BF55" s="339"/>
      <c r="BG55" s="337"/>
      <c r="BH55" s="332"/>
      <c r="BI55" s="329"/>
      <c r="BJ55" s="339"/>
      <c r="BK55" s="337"/>
      <c r="BL55" s="332"/>
      <c r="BM55" s="329"/>
      <c r="BN55" s="339"/>
      <c r="BO55" s="337"/>
      <c r="BP55" s="332"/>
      <c r="BQ55" s="895"/>
      <c r="BR55" s="901"/>
      <c r="BS55" s="902"/>
      <c r="BT55" s="899" t="s">
        <v>706</v>
      </c>
      <c r="BU55" s="895">
        <v>43890</v>
      </c>
      <c r="BV55" s="901" t="s">
        <v>2289</v>
      </c>
      <c r="BW55" s="908">
        <v>16</v>
      </c>
      <c r="BX55" s="899" t="s">
        <v>280</v>
      </c>
      <c r="BY55" s="895"/>
      <c r="BZ55" s="901"/>
      <c r="CA55" s="908"/>
      <c r="CB55" s="899"/>
      <c r="CC55" s="895">
        <v>44612</v>
      </c>
      <c r="CD55" s="901" t="s">
        <v>2290</v>
      </c>
      <c r="CE55" s="908">
        <v>550</v>
      </c>
      <c r="CF55" s="899" t="s">
        <v>426</v>
      </c>
      <c r="CG55" s="895">
        <v>44983</v>
      </c>
      <c r="CH55" s="901" t="s">
        <v>2291</v>
      </c>
      <c r="CI55" s="908">
        <v>20</v>
      </c>
      <c r="CJ55" s="899" t="s">
        <v>280</v>
      </c>
      <c r="CK55" s="895"/>
      <c r="CL55" s="901"/>
      <c r="CM55" s="908"/>
      <c r="CN55" s="899"/>
      <c r="CO55" s="1017">
        <v>45702</v>
      </c>
      <c r="CP55" s="901" t="s">
        <v>2292</v>
      </c>
      <c r="CQ55" s="908">
        <v>21</v>
      </c>
      <c r="CR55" s="899" t="s">
        <v>414</v>
      </c>
    </row>
    <row r="56" spans="1:99">
      <c r="A56" s="329"/>
      <c r="B56" s="339"/>
      <c r="C56" s="337"/>
      <c r="D56" s="332"/>
      <c r="E56" s="329"/>
      <c r="F56" s="339"/>
      <c r="G56" s="337"/>
      <c r="H56" s="332"/>
      <c r="I56" s="329"/>
      <c r="J56" s="339"/>
      <c r="K56" s="337"/>
      <c r="L56" s="332"/>
      <c r="M56" s="329"/>
      <c r="N56" s="339"/>
      <c r="O56" s="337"/>
      <c r="P56" s="332"/>
      <c r="Q56" s="329"/>
      <c r="R56" s="339"/>
      <c r="S56" s="337"/>
      <c r="T56" s="332"/>
      <c r="U56" s="329"/>
      <c r="V56" s="339"/>
      <c r="W56" s="337"/>
      <c r="X56" s="332"/>
      <c r="Y56" s="329"/>
      <c r="Z56" s="339"/>
      <c r="AA56" s="337"/>
      <c r="AB56" s="332"/>
      <c r="AC56" s="329"/>
      <c r="AD56" s="339"/>
      <c r="AE56" s="337"/>
      <c r="AF56" s="337"/>
      <c r="AG56" s="329"/>
      <c r="AH56" s="339"/>
      <c r="AI56" s="337"/>
      <c r="AJ56" s="332"/>
      <c r="AK56" s="329"/>
      <c r="AL56" s="339"/>
      <c r="AM56" s="337"/>
      <c r="AN56" s="332"/>
      <c r="AO56" s="329"/>
      <c r="AP56" s="339"/>
      <c r="AQ56" s="337"/>
      <c r="AR56" s="332"/>
      <c r="AS56" s="329"/>
      <c r="AT56" s="339"/>
      <c r="AU56" s="337"/>
      <c r="AV56" s="332"/>
      <c r="AW56" s="329"/>
      <c r="AX56" s="339"/>
      <c r="AY56" s="337"/>
      <c r="AZ56" s="333"/>
      <c r="BA56" s="329"/>
      <c r="BB56" s="339" t="s">
        <v>2293</v>
      </c>
      <c r="BC56" s="337">
        <v>145</v>
      </c>
      <c r="BD56" s="346">
        <v>0</v>
      </c>
      <c r="BE56" s="329"/>
      <c r="BF56" s="339"/>
      <c r="BG56" s="337"/>
      <c r="BH56" s="332"/>
      <c r="BI56" s="329"/>
      <c r="BJ56" s="339"/>
      <c r="BK56" s="337"/>
      <c r="BL56" s="332"/>
      <c r="BM56" s="329"/>
      <c r="BN56" s="339"/>
      <c r="BO56" s="337"/>
      <c r="BP56" s="332"/>
      <c r="BQ56" s="895"/>
      <c r="BR56" s="901"/>
      <c r="BS56" s="902"/>
      <c r="BT56" s="899" t="s">
        <v>706</v>
      </c>
      <c r="BU56" s="895"/>
      <c r="BV56" s="901"/>
      <c r="BW56" s="908"/>
      <c r="BX56" s="899" t="s">
        <v>706</v>
      </c>
      <c r="BY56" s="895"/>
      <c r="BZ56" s="901"/>
      <c r="CA56" s="908"/>
      <c r="CB56" s="899"/>
      <c r="CC56" s="895">
        <v>44612</v>
      </c>
      <c r="CD56" s="901" t="s">
        <v>2294</v>
      </c>
      <c r="CE56" s="908">
        <v>1700</v>
      </c>
      <c r="CF56" s="899" t="s">
        <v>280</v>
      </c>
      <c r="CG56" s="895">
        <v>44983</v>
      </c>
      <c r="CH56" s="901" t="s">
        <v>2295</v>
      </c>
      <c r="CI56" s="908">
        <v>40</v>
      </c>
      <c r="CJ56" s="899" t="s">
        <v>280</v>
      </c>
      <c r="CK56" s="895"/>
      <c r="CL56" s="901"/>
      <c r="CM56" s="908"/>
      <c r="CN56" s="899"/>
      <c r="CO56" s="1017">
        <v>45702</v>
      </c>
      <c r="CP56" s="901" t="s">
        <v>859</v>
      </c>
      <c r="CQ56" s="908">
        <v>16</v>
      </c>
      <c r="CR56" s="899" t="s">
        <v>414</v>
      </c>
    </row>
    <row r="57" spans="1:99">
      <c r="A57" s="348" t="s">
        <v>477</v>
      </c>
      <c r="B57" s="349"/>
      <c r="C57" s="350">
        <f>SUM(C6:C56)</f>
        <v>3158</v>
      </c>
      <c r="D57" s="350">
        <f>SUM(D6:D56)</f>
        <v>957</v>
      </c>
      <c r="E57" s="348" t="s">
        <v>477</v>
      </c>
      <c r="F57" s="349"/>
      <c r="G57" s="350">
        <f>SUM(G6:G56)</f>
        <v>3312</v>
      </c>
      <c r="H57" s="350">
        <f>SUM(H6:H56)</f>
        <v>1356</v>
      </c>
      <c r="I57" s="348"/>
      <c r="J57" s="349"/>
      <c r="K57" s="350"/>
      <c r="L57" s="350"/>
      <c r="M57" s="348"/>
      <c r="N57" s="349"/>
      <c r="O57" s="350"/>
      <c r="P57" s="350"/>
      <c r="Q57" s="348"/>
      <c r="R57" s="349"/>
      <c r="S57" s="350"/>
      <c r="T57" s="350"/>
      <c r="U57" s="348"/>
      <c r="V57" s="349"/>
      <c r="W57" s="350"/>
      <c r="X57" s="350"/>
      <c r="Y57" s="348"/>
      <c r="Z57" s="349"/>
      <c r="AA57" s="350"/>
      <c r="AB57" s="350"/>
      <c r="AC57" s="348"/>
      <c r="AD57" s="349"/>
      <c r="AE57" s="350"/>
      <c r="AF57" s="350"/>
      <c r="AG57" s="348"/>
      <c r="AH57" s="349"/>
      <c r="AI57" s="350"/>
      <c r="AJ57" s="350"/>
      <c r="AK57" s="348"/>
      <c r="AL57" s="349"/>
      <c r="AM57" s="350"/>
      <c r="AN57" s="350"/>
      <c r="AO57" s="348"/>
      <c r="AP57" s="349"/>
      <c r="AQ57" s="350"/>
      <c r="AR57" s="350"/>
      <c r="AS57" s="348"/>
      <c r="AT57" s="349"/>
      <c r="AU57" s="350"/>
      <c r="AV57" s="350"/>
      <c r="AW57" s="329"/>
      <c r="AX57" s="339"/>
      <c r="AY57" s="337"/>
      <c r="AZ57" s="333"/>
      <c r="BA57" s="329"/>
      <c r="BB57" s="339" t="s">
        <v>2296</v>
      </c>
      <c r="BC57" s="337">
        <v>1176</v>
      </c>
      <c r="BD57" s="346">
        <v>0</v>
      </c>
      <c r="BE57" s="329"/>
      <c r="BF57" s="339"/>
      <c r="BG57" s="337"/>
      <c r="BH57" s="332"/>
      <c r="BI57" s="329"/>
      <c r="BJ57" s="339"/>
      <c r="BK57" s="337"/>
      <c r="BL57" s="332"/>
      <c r="BM57" s="329"/>
      <c r="BN57" s="339"/>
      <c r="BO57" s="337"/>
      <c r="BP57" s="332"/>
      <c r="BQ57" s="895"/>
      <c r="BR57" s="901"/>
      <c r="BS57" s="902"/>
      <c r="BT57" s="899" t="s">
        <v>706</v>
      </c>
      <c r="BU57" s="895"/>
      <c r="BV57" s="901"/>
      <c r="BW57" s="908"/>
      <c r="BX57" s="899" t="s">
        <v>706</v>
      </c>
      <c r="BY57" s="895"/>
      <c r="BZ57" s="901"/>
      <c r="CA57" s="908"/>
      <c r="CB57" s="899"/>
      <c r="CC57" s="895">
        <v>44612</v>
      </c>
      <c r="CD57" s="901" t="s">
        <v>2297</v>
      </c>
      <c r="CE57" s="908">
        <v>200</v>
      </c>
      <c r="CF57" s="899" t="s">
        <v>280</v>
      </c>
      <c r="CG57" s="895">
        <v>44983</v>
      </c>
      <c r="CH57" s="901" t="s">
        <v>2298</v>
      </c>
      <c r="CI57" s="908">
        <v>17</v>
      </c>
      <c r="CJ57" s="899" t="s">
        <v>414</v>
      </c>
      <c r="CK57" s="1017">
        <v>45689</v>
      </c>
      <c r="CL57" s="1019" t="s">
        <v>781</v>
      </c>
      <c r="CM57" s="908"/>
      <c r="CN57" s="899"/>
      <c r="CO57" s="1017">
        <v>45702</v>
      </c>
      <c r="CP57" s="1019" t="s">
        <v>845</v>
      </c>
      <c r="CQ57" s="908">
        <v>15</v>
      </c>
      <c r="CR57" s="899" t="s">
        <v>414</v>
      </c>
    </row>
    <row r="58" spans="1:99">
      <c r="A58" s="352" t="s">
        <v>1672</v>
      </c>
      <c r="B58" s="353"/>
      <c r="C58" s="354"/>
      <c r="D58" s="355"/>
      <c r="E58" s="352" t="s">
        <v>1672</v>
      </c>
      <c r="F58" s="353"/>
      <c r="G58" s="354"/>
      <c r="H58" s="355"/>
      <c r="I58" s="352"/>
      <c r="J58" s="353"/>
      <c r="K58" s="354"/>
      <c r="L58" s="355"/>
      <c r="M58" s="352"/>
      <c r="N58" s="353"/>
      <c r="O58" s="354"/>
      <c r="P58" s="355"/>
      <c r="Q58" s="352"/>
      <c r="R58" s="353"/>
      <c r="S58" s="354"/>
      <c r="T58" s="355"/>
      <c r="U58" s="352"/>
      <c r="V58" s="353"/>
      <c r="W58" s="354"/>
      <c r="X58" s="355"/>
      <c r="Y58" s="352"/>
      <c r="Z58" s="353"/>
      <c r="AA58" s="354"/>
      <c r="AB58" s="355"/>
      <c r="AC58" s="352"/>
      <c r="AD58" s="353"/>
      <c r="AE58" s="354"/>
      <c r="AF58" s="355"/>
      <c r="AG58" s="352"/>
      <c r="AH58" s="353"/>
      <c r="AI58" s="354"/>
      <c r="AJ58" s="355"/>
      <c r="AK58" s="352"/>
      <c r="AL58" s="353"/>
      <c r="AM58" s="354"/>
      <c r="AN58" s="355"/>
      <c r="AO58" s="352"/>
      <c r="AP58" s="353"/>
      <c r="AQ58" s="354"/>
      <c r="AR58" s="355"/>
      <c r="AS58" s="352"/>
      <c r="AT58" s="353"/>
      <c r="AU58" s="354"/>
      <c r="AV58" s="355"/>
      <c r="AW58" s="329"/>
      <c r="AX58" s="339"/>
      <c r="AY58" s="337"/>
      <c r="AZ58" s="333"/>
      <c r="BA58" s="329"/>
      <c r="BB58" s="339" t="s">
        <v>2299</v>
      </c>
      <c r="BC58" s="337">
        <v>38</v>
      </c>
      <c r="BD58" s="346">
        <v>0</v>
      </c>
      <c r="BE58" s="329"/>
      <c r="BF58" s="339"/>
      <c r="BG58" s="337"/>
      <c r="BH58" s="332"/>
      <c r="BI58" s="329"/>
      <c r="BJ58" s="339"/>
      <c r="BK58" s="337"/>
      <c r="BL58" s="332"/>
      <c r="BM58" s="329"/>
      <c r="BN58" s="339"/>
      <c r="BO58" s="337"/>
      <c r="BP58" s="332"/>
      <c r="BQ58" s="895"/>
      <c r="BR58" s="901"/>
      <c r="BS58" s="902"/>
      <c r="BT58" s="899" t="s">
        <v>706</v>
      </c>
      <c r="BU58" s="895"/>
      <c r="BV58" s="901"/>
      <c r="BW58" s="908"/>
      <c r="BX58" s="899" t="s">
        <v>706</v>
      </c>
      <c r="BY58" s="895"/>
      <c r="BZ58" s="901"/>
      <c r="CA58" s="908"/>
      <c r="CB58" s="899"/>
      <c r="CC58" s="895">
        <v>44612</v>
      </c>
      <c r="CD58" s="901" t="s">
        <v>2300</v>
      </c>
      <c r="CE58" s="908">
        <v>27</v>
      </c>
      <c r="CF58" s="899" t="s">
        <v>701</v>
      </c>
      <c r="CG58" s="895">
        <v>44983</v>
      </c>
      <c r="CH58" s="901" t="s">
        <v>2301</v>
      </c>
      <c r="CI58" s="908">
        <v>33</v>
      </c>
      <c r="CJ58" s="899" t="s">
        <v>280</v>
      </c>
      <c r="CK58" s="1017">
        <v>45689</v>
      </c>
      <c r="CL58" s="1019" t="s">
        <v>772</v>
      </c>
      <c r="CM58" s="908"/>
      <c r="CN58" s="899"/>
      <c r="CO58" s="895">
        <v>45708</v>
      </c>
      <c r="CP58" s="1019" t="s">
        <v>2302</v>
      </c>
      <c r="CQ58" s="908">
        <v>1600</v>
      </c>
      <c r="CR58" s="899" t="s">
        <v>707</v>
      </c>
    </row>
    <row r="59" spans="1:99">
      <c r="A59" s="357" t="s">
        <v>138</v>
      </c>
      <c r="B59" s="358"/>
      <c r="C59" s="359">
        <f>SUM(C57,D57)</f>
        <v>4115</v>
      </c>
      <c r="D59" s="360"/>
      <c r="E59" s="357" t="s">
        <v>138</v>
      </c>
      <c r="F59" s="358"/>
      <c r="G59" s="359">
        <f>SUM(G57,H57)</f>
        <v>4668</v>
      </c>
      <c r="H59" s="360"/>
      <c r="I59" s="357"/>
      <c r="J59" s="358"/>
      <c r="K59" s="359"/>
      <c r="L59" s="360"/>
      <c r="AW59" s="348"/>
      <c r="AX59" s="349"/>
      <c r="AY59" s="350"/>
      <c r="AZ59" s="351"/>
      <c r="BA59" s="329"/>
      <c r="BB59" s="339" t="s">
        <v>2303</v>
      </c>
      <c r="BC59" s="337"/>
      <c r="BD59" s="346"/>
      <c r="BE59" s="329"/>
      <c r="BF59" s="339"/>
      <c r="BG59" s="337"/>
      <c r="BH59" s="332"/>
      <c r="BI59" s="329"/>
      <c r="BJ59" s="339"/>
      <c r="BK59" s="337"/>
      <c r="BL59" s="332"/>
      <c r="BM59" s="329"/>
      <c r="BN59" s="339"/>
      <c r="BO59" s="337"/>
      <c r="BP59" s="332"/>
      <c r="BQ59" s="895"/>
      <c r="BR59" s="901"/>
      <c r="BS59" s="902"/>
      <c r="BT59" s="899" t="s">
        <v>706</v>
      </c>
      <c r="BU59" s="895"/>
      <c r="BV59" s="901"/>
      <c r="BW59" s="908"/>
      <c r="BX59" s="899" t="s">
        <v>706</v>
      </c>
      <c r="BY59" s="895"/>
      <c r="BZ59" s="901"/>
      <c r="CA59" s="908"/>
      <c r="CB59" s="899"/>
      <c r="CC59" s="895">
        <v>44613</v>
      </c>
      <c r="CD59" s="901" t="s">
        <v>2304</v>
      </c>
      <c r="CE59" s="908">
        <v>147</v>
      </c>
      <c r="CF59" s="899" t="s">
        <v>701</v>
      </c>
      <c r="CG59" s="895">
        <v>44983</v>
      </c>
      <c r="CH59" s="901" t="s">
        <v>2305</v>
      </c>
      <c r="CI59" s="908">
        <v>12</v>
      </c>
      <c r="CJ59" s="899" t="s">
        <v>693</v>
      </c>
      <c r="CK59" s="1017">
        <v>45689</v>
      </c>
      <c r="CL59" s="1019" t="s">
        <v>948</v>
      </c>
      <c r="CM59" s="908"/>
      <c r="CN59" s="899"/>
      <c r="CO59" s="895">
        <v>45708</v>
      </c>
      <c r="CP59" s="1019" t="s">
        <v>2306</v>
      </c>
      <c r="CQ59" s="908">
        <v>882</v>
      </c>
      <c r="CR59" s="899" t="s">
        <v>381</v>
      </c>
    </row>
    <row r="60" spans="1:99">
      <c r="AW60" s="352"/>
      <c r="AX60" s="353"/>
      <c r="AY60" s="354"/>
      <c r="AZ60" s="356"/>
      <c r="BA60" s="329"/>
      <c r="BB60" s="339" t="s">
        <v>2307</v>
      </c>
      <c r="BC60" s="337">
        <v>21</v>
      </c>
      <c r="BD60" s="346">
        <v>21</v>
      </c>
      <c r="BE60" s="329"/>
      <c r="BF60" s="339"/>
      <c r="BG60" s="337"/>
      <c r="BH60" s="332"/>
      <c r="BI60" s="329"/>
      <c r="BJ60" s="339"/>
      <c r="BK60" s="337"/>
      <c r="BL60" s="332"/>
      <c r="BM60" s="329"/>
      <c r="BN60" s="339"/>
      <c r="BO60" s="337"/>
      <c r="BP60" s="332"/>
      <c r="BQ60" s="895"/>
      <c r="BR60" s="901"/>
      <c r="BS60" s="902"/>
      <c r="BT60" s="899" t="s">
        <v>706</v>
      </c>
      <c r="BU60" s="895"/>
      <c r="BV60" s="901"/>
      <c r="BW60" s="908"/>
      <c r="BX60" s="899" t="s">
        <v>706</v>
      </c>
      <c r="BY60" s="895"/>
      <c r="BZ60" s="901"/>
      <c r="CA60" s="908"/>
      <c r="CB60" s="899"/>
      <c r="CC60" s="895">
        <v>44613</v>
      </c>
      <c r="CD60" s="901" t="s">
        <v>2308</v>
      </c>
      <c r="CE60" s="908">
        <v>145</v>
      </c>
      <c r="CF60" s="899" t="s">
        <v>700</v>
      </c>
      <c r="CG60" s="895">
        <v>44984</v>
      </c>
      <c r="CH60" s="901" t="s">
        <v>797</v>
      </c>
      <c r="CI60" s="908">
        <v>76</v>
      </c>
      <c r="CJ60" s="899" t="s">
        <v>410</v>
      </c>
      <c r="CK60" s="1017">
        <v>45689</v>
      </c>
      <c r="CL60" s="1019" t="s">
        <v>1694</v>
      </c>
      <c r="CM60" s="908"/>
      <c r="CN60" s="899"/>
      <c r="CO60" s="895">
        <v>45708</v>
      </c>
      <c r="CP60" s="1019" t="s">
        <v>2309</v>
      </c>
      <c r="CQ60" s="908">
        <v>225</v>
      </c>
      <c r="CR60" s="899" t="s">
        <v>381</v>
      </c>
    </row>
    <row r="61" spans="1:99">
      <c r="BA61" s="329"/>
      <c r="BB61" s="368" t="s">
        <v>2310</v>
      </c>
      <c r="BC61" s="473">
        <v>346</v>
      </c>
      <c r="BD61" s="369">
        <v>346</v>
      </c>
      <c r="BE61" s="329"/>
      <c r="BF61" s="339"/>
      <c r="BG61" s="337"/>
      <c r="BH61" s="332"/>
      <c r="BI61" s="329"/>
      <c r="BJ61" s="339"/>
      <c r="BK61" s="337"/>
      <c r="BL61" s="332"/>
      <c r="BM61" s="329"/>
      <c r="BN61" s="339"/>
      <c r="BO61" s="337"/>
      <c r="BP61" s="332"/>
      <c r="BQ61" s="895"/>
      <c r="BR61" s="901"/>
      <c r="BS61" s="902"/>
      <c r="BT61" s="899" t="s">
        <v>706</v>
      </c>
      <c r="BU61" s="895"/>
      <c r="BV61" s="901"/>
      <c r="BW61" s="908"/>
      <c r="BX61" s="899" t="s">
        <v>706</v>
      </c>
      <c r="BY61" s="895"/>
      <c r="BZ61" s="901"/>
      <c r="CA61" s="908"/>
      <c r="CB61" s="899"/>
      <c r="CC61" s="895">
        <v>44613</v>
      </c>
      <c r="CD61" s="901" t="s">
        <v>2162</v>
      </c>
      <c r="CE61" s="908">
        <v>6</v>
      </c>
      <c r="CF61" s="899" t="s">
        <v>414</v>
      </c>
      <c r="CG61" s="895">
        <v>44977</v>
      </c>
      <c r="CH61" s="901" t="s">
        <v>2311</v>
      </c>
      <c r="CI61" s="908">
        <v>24</v>
      </c>
      <c r="CJ61" s="899" t="s">
        <v>381</v>
      </c>
      <c r="CK61" s="1017">
        <v>45689</v>
      </c>
      <c r="CL61" s="1019" t="s">
        <v>797</v>
      </c>
      <c r="CM61" s="908"/>
      <c r="CN61" s="899"/>
      <c r="CO61" s="895">
        <v>45708</v>
      </c>
      <c r="CP61" s="1019" t="s">
        <v>2312</v>
      </c>
      <c r="CQ61" s="908">
        <v>10</v>
      </c>
      <c r="CR61" s="899" t="s">
        <v>698</v>
      </c>
    </row>
    <row r="62" spans="1:99">
      <c r="BA62" s="344"/>
      <c r="BB62" s="345" t="s">
        <v>2313</v>
      </c>
      <c r="BC62" s="473">
        <f>SUM(BC53:BC61)</f>
        <v>3823</v>
      </c>
      <c r="BD62" s="369">
        <f>SUM(BD53:BD61)</f>
        <v>1551</v>
      </c>
      <c r="BE62" s="329"/>
      <c r="BF62" s="339"/>
      <c r="BG62" s="337"/>
      <c r="BH62" s="332"/>
      <c r="BI62" s="329"/>
      <c r="BJ62" s="339"/>
      <c r="BK62" s="337"/>
      <c r="BL62" s="332"/>
      <c r="BM62" s="329"/>
      <c r="BN62" s="339"/>
      <c r="BO62" s="337"/>
      <c r="BP62" s="332"/>
      <c r="BQ62" s="895"/>
      <c r="BR62" s="901"/>
      <c r="BS62" s="902"/>
      <c r="BT62" s="899" t="s">
        <v>706</v>
      </c>
      <c r="BU62" s="895"/>
      <c r="BV62" s="901"/>
      <c r="BW62" s="908"/>
      <c r="BX62" s="899" t="s">
        <v>706</v>
      </c>
      <c r="BY62" s="895"/>
      <c r="BZ62" s="901"/>
      <c r="CA62" s="908"/>
      <c r="CB62" s="899"/>
      <c r="CC62" s="895">
        <v>44613</v>
      </c>
      <c r="CD62" s="901" t="s">
        <v>2314</v>
      </c>
      <c r="CE62" s="908">
        <v>32</v>
      </c>
      <c r="CF62" s="899" t="s">
        <v>278</v>
      </c>
      <c r="CG62" s="895"/>
      <c r="CH62" s="901"/>
      <c r="CI62" s="908"/>
      <c r="CJ62" s="899"/>
      <c r="CK62" s="895"/>
      <c r="CL62" s="901"/>
      <c r="CM62" s="908"/>
      <c r="CN62" s="899"/>
      <c r="CO62" s="895">
        <v>45708</v>
      </c>
      <c r="CP62" s="1019" t="s">
        <v>2315</v>
      </c>
      <c r="CQ62" s="908">
        <v>120</v>
      </c>
      <c r="CR62" s="899" t="s">
        <v>278</v>
      </c>
      <c r="CS62" s="1019"/>
      <c r="CT62" s="908"/>
      <c r="CU62" s="899"/>
    </row>
    <row r="63" spans="1:99">
      <c r="BA63" s="329">
        <v>42420</v>
      </c>
      <c r="BB63" s="339" t="s">
        <v>2316</v>
      </c>
      <c r="BC63" s="337">
        <v>36</v>
      </c>
      <c r="BD63" s="333"/>
      <c r="BE63" s="329"/>
      <c r="BF63" s="366"/>
      <c r="BG63" s="337"/>
      <c r="BH63" s="332"/>
      <c r="BI63" s="329"/>
      <c r="BJ63" s="339"/>
      <c r="BK63" s="337"/>
      <c r="BL63" s="332"/>
      <c r="BM63" s="329"/>
      <c r="BN63" s="339"/>
      <c r="BO63" s="337"/>
      <c r="BP63" s="332"/>
      <c r="BQ63" s="895"/>
      <c r="BR63" s="901"/>
      <c r="BS63" s="902"/>
      <c r="BT63" s="899" t="s">
        <v>706</v>
      </c>
      <c r="BU63" s="895"/>
      <c r="BV63" s="901"/>
      <c r="BW63" s="908"/>
      <c r="BX63" s="899" t="s">
        <v>706</v>
      </c>
      <c r="BY63" s="895"/>
      <c r="BZ63" s="1245"/>
      <c r="CA63" s="908"/>
      <c r="CB63" s="899"/>
      <c r="CC63" s="895">
        <v>44613</v>
      </c>
      <c r="CD63" s="1245" t="s">
        <v>2317</v>
      </c>
      <c r="CE63" s="908">
        <v>472</v>
      </c>
      <c r="CF63" s="899" t="s">
        <v>701</v>
      </c>
      <c r="CG63" s="895"/>
      <c r="CH63" s="1245"/>
      <c r="CI63" s="908"/>
      <c r="CJ63" s="899"/>
      <c r="CK63" s="895"/>
      <c r="CL63" s="901"/>
      <c r="CM63" s="908"/>
      <c r="CN63" s="899"/>
      <c r="CO63" s="895">
        <v>45708</v>
      </c>
      <c r="CP63" s="1019" t="s">
        <v>2318</v>
      </c>
      <c r="CQ63" s="908">
        <v>61</v>
      </c>
      <c r="CR63" s="899" t="s">
        <v>414</v>
      </c>
    </row>
    <row r="64" spans="1:99">
      <c r="BA64" s="329">
        <v>42420</v>
      </c>
      <c r="BB64" s="339" t="s">
        <v>2319</v>
      </c>
      <c r="BC64" s="337">
        <v>3</v>
      </c>
      <c r="BD64" s="333"/>
      <c r="BE64" s="329"/>
      <c r="BF64" s="339"/>
      <c r="BG64" s="337"/>
      <c r="BH64" s="332"/>
      <c r="BI64" s="329"/>
      <c r="BJ64" s="366"/>
      <c r="BK64" s="337"/>
      <c r="BL64" s="332"/>
      <c r="BM64" s="329"/>
      <c r="BN64" s="366"/>
      <c r="BO64" s="337"/>
      <c r="BP64" s="332"/>
      <c r="BQ64" s="895"/>
      <c r="BR64" s="1245"/>
      <c r="BS64" s="902"/>
      <c r="BT64" s="899" t="s">
        <v>706</v>
      </c>
      <c r="BU64" s="895"/>
      <c r="BV64" s="1245"/>
      <c r="BW64" s="908"/>
      <c r="BX64" s="899" t="s">
        <v>706</v>
      </c>
      <c r="BY64" s="895"/>
      <c r="BZ64" s="901"/>
      <c r="CA64" s="908"/>
      <c r="CB64" s="899"/>
      <c r="CC64" s="895">
        <v>44614</v>
      </c>
      <c r="CD64" s="901" t="s">
        <v>797</v>
      </c>
      <c r="CE64" s="908">
        <v>82</v>
      </c>
      <c r="CF64" s="899" t="s">
        <v>410</v>
      </c>
      <c r="CG64" s="895"/>
      <c r="CH64" s="901"/>
      <c r="CI64" s="908"/>
      <c r="CJ64" s="899"/>
      <c r="CK64" s="895"/>
      <c r="CL64" s="901"/>
      <c r="CM64" s="908"/>
      <c r="CN64" s="899"/>
      <c r="CO64" s="895">
        <v>45708</v>
      </c>
      <c r="CP64" s="1019" t="s">
        <v>1308</v>
      </c>
      <c r="CQ64" s="908">
        <v>75</v>
      </c>
      <c r="CR64" s="899" t="s">
        <v>410</v>
      </c>
    </row>
    <row r="65" spans="53:96">
      <c r="BA65" s="329"/>
      <c r="BB65" s="339"/>
      <c r="BC65" s="337"/>
      <c r="BD65" s="333"/>
      <c r="BE65" s="329"/>
      <c r="BF65" s="339"/>
      <c r="BG65" s="337"/>
      <c r="BH65" s="332"/>
      <c r="BI65" s="329"/>
      <c r="BJ65" s="366"/>
      <c r="BK65" s="337"/>
      <c r="BL65" s="332"/>
      <c r="BM65" s="329"/>
      <c r="BN65" s="366"/>
      <c r="BO65" s="337"/>
      <c r="BP65" s="332"/>
      <c r="BQ65" s="895"/>
      <c r="BR65" s="1245"/>
      <c r="BS65" s="902"/>
      <c r="BT65" s="899"/>
      <c r="BU65" s="895"/>
      <c r="BV65" s="1245"/>
      <c r="BW65" s="908"/>
      <c r="BX65" s="899"/>
      <c r="BY65" s="895"/>
      <c r="BZ65" s="901"/>
      <c r="CA65" s="908"/>
      <c r="CB65" s="899"/>
      <c r="CC65" s="895"/>
      <c r="CD65" s="901"/>
      <c r="CE65" s="908"/>
      <c r="CF65" s="899"/>
      <c r="CG65" s="895"/>
      <c r="CH65" s="901"/>
      <c r="CI65" s="908"/>
      <c r="CJ65" s="899"/>
      <c r="CK65" s="895"/>
      <c r="CL65" s="901"/>
      <c r="CM65" s="908"/>
      <c r="CN65" s="899"/>
      <c r="CO65" s="895">
        <v>45709</v>
      </c>
      <c r="CP65" s="901" t="s">
        <v>2320</v>
      </c>
      <c r="CQ65" s="908">
        <v>15</v>
      </c>
      <c r="CR65" s="899" t="s">
        <v>278</v>
      </c>
    </row>
    <row r="66" spans="53:96">
      <c r="BA66" s="329">
        <v>42420</v>
      </c>
      <c r="BB66" s="339" t="s">
        <v>954</v>
      </c>
      <c r="BC66" s="337">
        <v>91</v>
      </c>
      <c r="BD66" s="333"/>
      <c r="BE66" s="329"/>
      <c r="BF66" s="339"/>
      <c r="BG66" s="337"/>
      <c r="BH66" s="332"/>
      <c r="BI66" s="329"/>
      <c r="BJ66" s="339"/>
      <c r="BK66" s="337"/>
      <c r="BL66" s="332"/>
      <c r="BM66" s="329"/>
      <c r="BN66" s="339"/>
      <c r="BO66" s="337"/>
      <c r="BP66" s="332"/>
      <c r="BQ66" s="895"/>
      <c r="BR66" s="901"/>
      <c r="BS66" s="902"/>
      <c r="BT66" s="899" t="s">
        <v>706</v>
      </c>
      <c r="BU66" s="895"/>
      <c r="BV66" s="901"/>
      <c r="BW66" s="908"/>
      <c r="BX66" s="899" t="s">
        <v>706</v>
      </c>
      <c r="BY66" s="895"/>
      <c r="BZ66" s="901"/>
      <c r="CA66" s="908"/>
      <c r="CB66" s="899"/>
      <c r="CC66" s="895">
        <v>44614</v>
      </c>
      <c r="CD66" s="901" t="s">
        <v>1180</v>
      </c>
      <c r="CE66" s="908">
        <v>125</v>
      </c>
      <c r="CF66" s="899" t="s">
        <v>410</v>
      </c>
      <c r="CG66" s="895"/>
      <c r="CH66" s="901"/>
      <c r="CI66" s="908"/>
      <c r="CJ66" s="899"/>
      <c r="CK66" s="895"/>
      <c r="CL66" s="1245"/>
      <c r="CM66" s="908"/>
      <c r="CN66" s="899"/>
      <c r="CO66" s="895">
        <v>45709</v>
      </c>
      <c r="CP66" s="901" t="s">
        <v>2321</v>
      </c>
      <c r="CQ66" s="908">
        <v>209</v>
      </c>
      <c r="CR66" s="899" t="s">
        <v>278</v>
      </c>
    </row>
    <row r="67" spans="53:96">
      <c r="BA67" s="329">
        <v>42421</v>
      </c>
      <c r="BB67" s="339" t="s">
        <v>2322</v>
      </c>
      <c r="BC67" s="337">
        <v>5</v>
      </c>
      <c r="BD67" s="333"/>
      <c r="BE67" s="329"/>
      <c r="BF67" s="339"/>
      <c r="BG67" s="337"/>
      <c r="BH67" s="332"/>
      <c r="BI67" s="329"/>
      <c r="BJ67" s="339"/>
      <c r="BK67" s="337"/>
      <c r="BL67" s="332"/>
      <c r="BM67" s="329"/>
      <c r="BN67" s="339"/>
      <c r="BO67" s="337"/>
      <c r="BP67" s="332"/>
      <c r="BQ67" s="895"/>
      <c r="BR67" s="901"/>
      <c r="BS67" s="902"/>
      <c r="BT67" s="899" t="s">
        <v>706</v>
      </c>
      <c r="BU67" s="895"/>
      <c r="BV67" s="901"/>
      <c r="BW67" s="908"/>
      <c r="BX67" s="899" t="s">
        <v>706</v>
      </c>
      <c r="BY67" s="895"/>
      <c r="BZ67" s="901"/>
      <c r="CA67" s="908"/>
      <c r="CB67" s="899"/>
      <c r="CC67" s="895">
        <v>44617</v>
      </c>
      <c r="CD67" s="901" t="s">
        <v>2323</v>
      </c>
      <c r="CE67" s="908">
        <v>0</v>
      </c>
      <c r="CF67" s="899" t="s">
        <v>693</v>
      </c>
      <c r="CG67" s="895"/>
      <c r="CH67" s="901"/>
      <c r="CI67" s="908"/>
      <c r="CJ67" s="899"/>
      <c r="CK67" s="895"/>
      <c r="CL67" s="901"/>
      <c r="CM67" s="908"/>
      <c r="CN67" s="899"/>
      <c r="CO67" s="895">
        <v>45709</v>
      </c>
      <c r="CP67" s="901" t="s">
        <v>2324</v>
      </c>
      <c r="CQ67" s="908">
        <v>200</v>
      </c>
      <c r="CR67" s="899" t="s">
        <v>381</v>
      </c>
    </row>
    <row r="68" spans="53:96">
      <c r="BA68" s="329">
        <v>42421</v>
      </c>
      <c r="BB68" s="339" t="s">
        <v>2325</v>
      </c>
      <c r="BC68" s="337">
        <v>25</v>
      </c>
      <c r="BD68" s="333"/>
      <c r="BE68" s="329"/>
      <c r="BF68" s="339"/>
      <c r="BG68" s="337"/>
      <c r="BH68" s="332"/>
      <c r="BI68" s="329"/>
      <c r="BJ68" s="339"/>
      <c r="BK68" s="337"/>
      <c r="BL68" s="332"/>
      <c r="BM68" s="329"/>
      <c r="BN68" s="339"/>
      <c r="BO68" s="337"/>
      <c r="BP68" s="332"/>
      <c r="BQ68" s="895"/>
      <c r="BR68" s="901"/>
      <c r="BS68" s="902"/>
      <c r="BT68" s="899" t="s">
        <v>706</v>
      </c>
      <c r="BU68" s="895"/>
      <c r="BV68" s="901"/>
      <c r="BW68" s="908"/>
      <c r="BX68" s="899" t="s">
        <v>706</v>
      </c>
      <c r="BY68" s="895"/>
      <c r="BZ68" s="901"/>
      <c r="CA68" s="908"/>
      <c r="CB68" s="899"/>
      <c r="CC68" s="895">
        <v>44617</v>
      </c>
      <c r="CD68" s="901" t="s">
        <v>2326</v>
      </c>
      <c r="CE68" s="908">
        <v>10</v>
      </c>
      <c r="CF68" s="899" t="s">
        <v>280</v>
      </c>
      <c r="CG68" s="895"/>
      <c r="CH68" s="901"/>
      <c r="CI68" s="908"/>
      <c r="CJ68" s="899"/>
      <c r="CK68" s="895"/>
      <c r="CL68" s="901"/>
      <c r="CM68" s="908"/>
      <c r="CN68" s="899"/>
      <c r="CO68" s="895">
        <v>45709</v>
      </c>
      <c r="CP68" s="901" t="s">
        <v>2327</v>
      </c>
      <c r="CQ68" s="908">
        <v>10</v>
      </c>
      <c r="CR68" s="899" t="s">
        <v>381</v>
      </c>
    </row>
    <row r="69" spans="53:96">
      <c r="BA69" s="329">
        <v>42422</v>
      </c>
      <c r="BB69" s="339" t="s">
        <v>802</v>
      </c>
      <c r="BC69" s="337">
        <v>30</v>
      </c>
      <c r="BD69" s="333"/>
      <c r="BE69" s="329"/>
      <c r="BF69" s="339"/>
      <c r="BG69" s="337"/>
      <c r="BH69" s="332"/>
      <c r="BI69" s="329"/>
      <c r="BJ69" s="339"/>
      <c r="BK69" s="337"/>
      <c r="BL69" s="332"/>
      <c r="BM69" s="329"/>
      <c r="BN69" s="339"/>
      <c r="BO69" s="337"/>
      <c r="BP69" s="332"/>
      <c r="BQ69" s="895"/>
      <c r="BR69" s="901"/>
      <c r="BS69" s="902"/>
      <c r="BT69" s="899" t="s">
        <v>706</v>
      </c>
      <c r="BU69" s="895"/>
      <c r="BV69" s="901"/>
      <c r="BW69" s="908"/>
      <c r="BX69" s="899" t="s">
        <v>706</v>
      </c>
      <c r="BY69" s="895"/>
      <c r="BZ69" s="901"/>
      <c r="CA69" s="908"/>
      <c r="CB69" s="899"/>
      <c r="CC69" s="895">
        <v>44617</v>
      </c>
      <c r="CD69" s="901" t="s">
        <v>2328</v>
      </c>
      <c r="CE69" s="908">
        <v>10</v>
      </c>
      <c r="CF69" s="899" t="s">
        <v>280</v>
      </c>
      <c r="CG69" s="895"/>
      <c r="CH69" s="901"/>
      <c r="CI69" s="908"/>
      <c r="CJ69" s="899"/>
      <c r="CK69" s="895"/>
      <c r="CL69" s="901"/>
      <c r="CM69" s="908"/>
      <c r="CN69" s="899"/>
      <c r="CO69" s="895">
        <v>45709</v>
      </c>
      <c r="CP69" s="1245" t="s">
        <v>2329</v>
      </c>
      <c r="CQ69" s="908">
        <v>40</v>
      </c>
      <c r="CR69" s="899" t="s">
        <v>278</v>
      </c>
    </row>
    <row r="70" spans="53:96">
      <c r="BA70" s="329">
        <v>42422</v>
      </c>
      <c r="BB70" s="339" t="s">
        <v>2330</v>
      </c>
      <c r="BC70" s="337">
        <v>60</v>
      </c>
      <c r="BD70" s="333"/>
      <c r="BE70" s="329"/>
      <c r="BF70" s="339"/>
      <c r="BG70" s="337"/>
      <c r="BH70" s="332"/>
      <c r="BI70" s="329"/>
      <c r="BJ70" s="339"/>
      <c r="BK70" s="337"/>
      <c r="BL70" s="332"/>
      <c r="BM70" s="329"/>
      <c r="BN70" s="339"/>
      <c r="BO70" s="337"/>
      <c r="BP70" s="332"/>
      <c r="BQ70" s="895"/>
      <c r="BR70" s="901"/>
      <c r="BS70" s="902"/>
      <c r="BT70" s="899" t="s">
        <v>706</v>
      </c>
      <c r="BU70" s="895"/>
      <c r="BV70" s="901"/>
      <c r="BW70" s="908"/>
      <c r="BX70" s="899" t="s">
        <v>706</v>
      </c>
      <c r="BY70" s="895"/>
      <c r="BZ70" s="901"/>
      <c r="CA70" s="908"/>
      <c r="CB70" s="899"/>
      <c r="CC70" s="895">
        <v>44617</v>
      </c>
      <c r="CD70" s="901" t="s">
        <v>2331</v>
      </c>
      <c r="CE70" s="908">
        <v>20</v>
      </c>
      <c r="CF70" s="899" t="s">
        <v>280</v>
      </c>
      <c r="CG70" s="895"/>
      <c r="CH70" s="901"/>
      <c r="CI70" s="908"/>
      <c r="CJ70" s="899"/>
      <c r="CK70" s="895"/>
      <c r="CL70" s="901"/>
      <c r="CM70" s="908"/>
      <c r="CN70" s="899"/>
      <c r="CO70" s="895">
        <v>45710</v>
      </c>
      <c r="CP70" s="1245" t="s">
        <v>859</v>
      </c>
      <c r="CQ70" s="908">
        <v>43</v>
      </c>
      <c r="CR70" s="899" t="s">
        <v>414</v>
      </c>
    </row>
    <row r="71" spans="53:96">
      <c r="BA71" s="329">
        <v>42422</v>
      </c>
      <c r="BB71" s="339" t="s">
        <v>754</v>
      </c>
      <c r="BC71" s="337">
        <v>50</v>
      </c>
      <c r="BD71" s="333"/>
      <c r="BE71" s="329"/>
      <c r="BF71" s="339"/>
      <c r="BG71" s="337"/>
      <c r="BH71" s="332"/>
      <c r="BI71" s="329"/>
      <c r="BJ71" s="339"/>
      <c r="BK71" s="337"/>
      <c r="BL71" s="332"/>
      <c r="BM71" s="329"/>
      <c r="BN71" s="339"/>
      <c r="BO71" s="337"/>
      <c r="BP71" s="332"/>
      <c r="BQ71" s="895"/>
      <c r="BR71" s="901"/>
      <c r="BS71" s="902"/>
      <c r="BT71" s="899" t="s">
        <v>706</v>
      </c>
      <c r="BU71" s="895"/>
      <c r="BV71" s="901"/>
      <c r="BW71" s="908"/>
      <c r="BX71" s="899" t="s">
        <v>706</v>
      </c>
      <c r="BY71" s="895"/>
      <c r="BZ71" s="901"/>
      <c r="CA71" s="908"/>
      <c r="CB71" s="899"/>
      <c r="CC71" s="895">
        <v>44618</v>
      </c>
      <c r="CD71" s="901" t="s">
        <v>2304</v>
      </c>
      <c r="CE71" s="908">
        <v>52</v>
      </c>
      <c r="CF71" s="899" t="s">
        <v>414</v>
      </c>
      <c r="CG71" s="895"/>
      <c r="CH71" s="901"/>
      <c r="CI71" s="908"/>
      <c r="CJ71" s="899"/>
      <c r="CK71" s="895"/>
      <c r="CL71" s="901"/>
      <c r="CM71" s="908"/>
      <c r="CN71" s="899"/>
      <c r="CO71" s="895">
        <v>45709</v>
      </c>
      <c r="CP71" s="1245" t="s">
        <v>2332</v>
      </c>
      <c r="CQ71" s="908">
        <v>135</v>
      </c>
      <c r="CR71" s="899" t="s">
        <v>278</v>
      </c>
    </row>
    <row r="72" spans="53:96">
      <c r="BA72" s="329">
        <v>42425</v>
      </c>
      <c r="BB72" s="339" t="s">
        <v>853</v>
      </c>
      <c r="BC72" s="337">
        <v>10</v>
      </c>
      <c r="BD72" s="333"/>
      <c r="BE72" s="329"/>
      <c r="BF72" s="339"/>
      <c r="BG72" s="337"/>
      <c r="BH72" s="332"/>
      <c r="BI72" s="329"/>
      <c r="BJ72" s="339"/>
      <c r="BK72" s="337"/>
      <c r="BL72" s="332"/>
      <c r="BM72" s="329"/>
      <c r="BN72" s="339"/>
      <c r="BO72" s="337"/>
      <c r="BP72" s="332"/>
      <c r="BQ72" s="895"/>
      <c r="BR72" s="901"/>
      <c r="BS72" s="902"/>
      <c r="BT72" s="899" t="s">
        <v>706</v>
      </c>
      <c r="BU72" s="895"/>
      <c r="BV72" s="901"/>
      <c r="BW72" s="908"/>
      <c r="BX72" s="899" t="s">
        <v>706</v>
      </c>
      <c r="BY72" s="895"/>
      <c r="BZ72" s="901"/>
      <c r="CA72" s="908"/>
      <c r="CB72" s="899"/>
      <c r="CC72" s="895">
        <v>44618</v>
      </c>
      <c r="CD72" s="901" t="s">
        <v>845</v>
      </c>
      <c r="CE72" s="908">
        <v>33</v>
      </c>
      <c r="CF72" s="899" t="s">
        <v>414</v>
      </c>
      <c r="CG72" s="895"/>
      <c r="CH72" s="901"/>
      <c r="CI72" s="908"/>
      <c r="CJ72" s="899"/>
      <c r="CK72" s="895"/>
      <c r="CL72" s="901"/>
      <c r="CM72" s="908"/>
      <c r="CN72" s="899"/>
      <c r="CO72" s="895">
        <v>45709</v>
      </c>
      <c r="CP72" s="901" t="s">
        <v>2333</v>
      </c>
      <c r="CQ72" s="908">
        <v>25</v>
      </c>
      <c r="CR72" s="899" t="s">
        <v>278</v>
      </c>
    </row>
    <row r="73" spans="53:96">
      <c r="BA73" s="329">
        <v>42425</v>
      </c>
      <c r="BB73" s="339" t="s">
        <v>2334</v>
      </c>
      <c r="BC73" s="337">
        <v>116</v>
      </c>
      <c r="BD73" s="333"/>
      <c r="BE73" s="329"/>
      <c r="BF73" s="339"/>
      <c r="BG73" s="337"/>
      <c r="BH73" s="332"/>
      <c r="BI73" s="329"/>
      <c r="BJ73" s="339"/>
      <c r="BK73" s="337"/>
      <c r="BL73" s="332"/>
      <c r="BM73" s="329"/>
      <c r="BN73" s="339"/>
      <c r="BO73" s="337"/>
      <c r="BP73" s="332"/>
      <c r="BQ73" s="895"/>
      <c r="BR73" s="901"/>
      <c r="BS73" s="902"/>
      <c r="BT73" s="899" t="s">
        <v>706</v>
      </c>
      <c r="BU73" s="895"/>
      <c r="BV73" s="901"/>
      <c r="BW73" s="908"/>
      <c r="BX73" s="899" t="s">
        <v>706</v>
      </c>
      <c r="BY73" s="895"/>
      <c r="BZ73" s="901"/>
      <c r="CA73" s="908"/>
      <c r="CB73" s="899"/>
      <c r="CC73" s="895">
        <v>44618</v>
      </c>
      <c r="CD73" s="901" t="s">
        <v>772</v>
      </c>
      <c r="CE73" s="908">
        <v>18</v>
      </c>
      <c r="CF73" s="899" t="s">
        <v>414</v>
      </c>
      <c r="CG73" s="895"/>
      <c r="CH73" s="901"/>
      <c r="CI73" s="908"/>
      <c r="CJ73" s="899"/>
      <c r="CK73" s="895"/>
      <c r="CL73" s="901"/>
      <c r="CM73" s="908"/>
      <c r="CN73" s="899"/>
      <c r="CO73" s="895">
        <v>45710</v>
      </c>
      <c r="CP73" s="901" t="s">
        <v>948</v>
      </c>
      <c r="CQ73" s="908">
        <v>55</v>
      </c>
      <c r="CR73" s="899" t="s">
        <v>414</v>
      </c>
    </row>
    <row r="74" spans="53:96">
      <c r="BA74" s="329">
        <v>42425</v>
      </c>
      <c r="BB74" s="339" t="s">
        <v>2335</v>
      </c>
      <c r="BC74" s="337">
        <v>20</v>
      </c>
      <c r="BD74" s="333"/>
      <c r="BE74" s="329"/>
      <c r="BF74" s="339"/>
      <c r="BG74" s="337"/>
      <c r="BH74" s="332"/>
      <c r="BI74" s="329"/>
      <c r="BJ74" s="339"/>
      <c r="BK74" s="337"/>
      <c r="BL74" s="332"/>
      <c r="BM74" s="329"/>
      <c r="BN74" s="339"/>
      <c r="BO74" s="337"/>
      <c r="BP74" s="332"/>
      <c r="BQ74" s="895"/>
      <c r="BR74" s="901"/>
      <c r="BS74" s="902"/>
      <c r="BT74" s="899" t="s">
        <v>706</v>
      </c>
      <c r="BU74" s="895"/>
      <c r="BV74" s="901"/>
      <c r="BW74" s="908"/>
      <c r="BX74" s="899" t="s">
        <v>706</v>
      </c>
      <c r="BY74" s="895"/>
      <c r="BZ74" s="901"/>
      <c r="CA74" s="908"/>
      <c r="CB74" s="899"/>
      <c r="CC74" s="895">
        <v>44618</v>
      </c>
      <c r="CD74" s="901" t="s">
        <v>872</v>
      </c>
      <c r="CE74" s="908">
        <v>11</v>
      </c>
      <c r="CF74" s="899" t="s">
        <v>414</v>
      </c>
      <c r="CG74" s="895"/>
      <c r="CH74" s="901"/>
      <c r="CI74" s="908"/>
      <c r="CJ74" s="899"/>
      <c r="CK74" s="895"/>
      <c r="CL74" s="901"/>
      <c r="CM74" s="908"/>
      <c r="CN74" s="899"/>
      <c r="CO74" s="895">
        <v>45710</v>
      </c>
      <c r="CP74" s="901" t="s">
        <v>2292</v>
      </c>
      <c r="CQ74" s="908">
        <v>26</v>
      </c>
      <c r="CR74" s="899" t="s">
        <v>414</v>
      </c>
    </row>
    <row r="75" spans="53:96">
      <c r="BA75" s="329">
        <v>42427</v>
      </c>
      <c r="BB75" s="339" t="s">
        <v>2336</v>
      </c>
      <c r="BC75" s="337">
        <v>105</v>
      </c>
      <c r="BD75" s="333"/>
      <c r="BE75" s="329"/>
      <c r="BF75" s="339"/>
      <c r="BG75" s="337"/>
      <c r="BH75" s="332"/>
      <c r="BI75" s="329"/>
      <c r="BJ75" s="339"/>
      <c r="BK75" s="337"/>
      <c r="BL75" s="332"/>
      <c r="BM75" s="329"/>
      <c r="BN75" s="339"/>
      <c r="BO75" s="337"/>
      <c r="BP75" s="332"/>
      <c r="BQ75" s="895"/>
      <c r="BR75" s="901"/>
      <c r="BS75" s="902"/>
      <c r="BT75" s="899" t="s">
        <v>706</v>
      </c>
      <c r="BU75" s="895"/>
      <c r="BV75" s="901"/>
      <c r="BW75" s="908"/>
      <c r="BX75" s="899" t="s">
        <v>706</v>
      </c>
      <c r="BY75" s="895"/>
      <c r="BZ75" s="901"/>
      <c r="CA75" s="908"/>
      <c r="CB75" s="899"/>
      <c r="CC75" s="895">
        <v>44618</v>
      </c>
      <c r="CD75" s="901" t="s">
        <v>843</v>
      </c>
      <c r="CE75" s="908">
        <v>65</v>
      </c>
      <c r="CF75" s="899" t="s">
        <v>414</v>
      </c>
      <c r="CG75" s="895"/>
      <c r="CH75" s="901"/>
      <c r="CI75" s="908"/>
      <c r="CJ75" s="899"/>
      <c r="CK75" s="895"/>
      <c r="CL75" s="901"/>
      <c r="CM75" s="908"/>
      <c r="CN75" s="899"/>
      <c r="CO75" s="895">
        <v>45710</v>
      </c>
      <c r="CP75" s="901" t="s">
        <v>2337</v>
      </c>
      <c r="CQ75" s="908">
        <v>17</v>
      </c>
      <c r="CR75" s="899" t="s">
        <v>410</v>
      </c>
    </row>
    <row r="76" spans="53:96">
      <c r="BA76" s="329">
        <v>42427</v>
      </c>
      <c r="BB76" s="339" t="s">
        <v>855</v>
      </c>
      <c r="BC76" s="337">
        <v>7</v>
      </c>
      <c r="BD76" s="333"/>
      <c r="BE76" s="329"/>
      <c r="BF76" s="339"/>
      <c r="BG76" s="337"/>
      <c r="BH76" s="332"/>
      <c r="BI76" s="329"/>
      <c r="BJ76" s="339"/>
      <c r="BK76" s="337"/>
      <c r="BL76" s="332"/>
      <c r="BM76" s="329"/>
      <c r="BN76" s="339"/>
      <c r="BO76" s="337"/>
      <c r="BP76" s="332"/>
      <c r="BQ76" s="895"/>
      <c r="BR76" s="901"/>
      <c r="BS76" s="902"/>
      <c r="BT76" s="899" t="s">
        <v>706</v>
      </c>
      <c r="BU76" s="895"/>
      <c r="BV76" s="901"/>
      <c r="BW76" s="908"/>
      <c r="BX76" s="899" t="s">
        <v>706</v>
      </c>
      <c r="BY76" s="895"/>
      <c r="BZ76" s="901"/>
      <c r="CA76" s="908"/>
      <c r="CB76" s="899"/>
      <c r="CC76" s="895">
        <v>44618</v>
      </c>
      <c r="CD76" s="901" t="s">
        <v>2338</v>
      </c>
      <c r="CE76" s="908">
        <v>6</v>
      </c>
      <c r="CF76" s="899" t="s">
        <v>280</v>
      </c>
      <c r="CG76" s="895"/>
      <c r="CH76" s="901"/>
      <c r="CI76" s="908"/>
      <c r="CJ76" s="899"/>
      <c r="CK76" s="895"/>
      <c r="CL76" s="901"/>
      <c r="CM76" s="908"/>
      <c r="CN76" s="899"/>
      <c r="CO76" s="895">
        <v>45710</v>
      </c>
      <c r="CP76" s="901" t="s">
        <v>2339</v>
      </c>
      <c r="CQ76" s="908">
        <v>55</v>
      </c>
      <c r="CR76" s="899" t="s">
        <v>414</v>
      </c>
    </row>
    <row r="77" spans="53:96">
      <c r="BA77" s="329">
        <v>42427</v>
      </c>
      <c r="BB77" s="339" t="s">
        <v>2316</v>
      </c>
      <c r="BC77" s="337">
        <v>34</v>
      </c>
      <c r="BD77" s="333"/>
      <c r="BE77" s="329"/>
      <c r="BF77" s="339"/>
      <c r="BG77" s="337"/>
      <c r="BH77" s="332"/>
      <c r="BI77" s="329"/>
      <c r="BJ77" s="339"/>
      <c r="BK77" s="337"/>
      <c r="BL77" s="332"/>
      <c r="BM77" s="329"/>
      <c r="BN77" s="339"/>
      <c r="BO77" s="337"/>
      <c r="BP77" s="332"/>
      <c r="BQ77" s="895"/>
      <c r="BR77" s="901"/>
      <c r="BS77" s="902"/>
      <c r="BT77" s="899" t="s">
        <v>706</v>
      </c>
      <c r="BU77" s="895"/>
      <c r="BV77" s="901"/>
      <c r="BW77" s="908"/>
      <c r="BX77" s="899" t="s">
        <v>706</v>
      </c>
      <c r="BY77" s="895"/>
      <c r="BZ77" s="901"/>
      <c r="CA77" s="908"/>
      <c r="CB77" s="899"/>
      <c r="CC77" s="895">
        <v>44618</v>
      </c>
      <c r="CD77" s="901" t="s">
        <v>2340</v>
      </c>
      <c r="CE77" s="908">
        <v>571</v>
      </c>
      <c r="CF77" s="899" t="s">
        <v>695</v>
      </c>
      <c r="CG77" s="895"/>
      <c r="CH77" s="901"/>
      <c r="CI77" s="908"/>
      <c r="CJ77" s="899"/>
      <c r="CK77" s="895"/>
      <c r="CL77" s="901"/>
      <c r="CM77" s="908"/>
      <c r="CN77" s="899"/>
      <c r="CO77" s="895">
        <v>45712</v>
      </c>
      <c r="CP77" s="901" t="s">
        <v>2341</v>
      </c>
      <c r="CQ77" s="908">
        <v>165</v>
      </c>
      <c r="CR77" s="899" t="s">
        <v>700</v>
      </c>
    </row>
    <row r="78" spans="53:96">
      <c r="BA78" s="329">
        <v>42428</v>
      </c>
      <c r="BB78" s="339" t="s">
        <v>797</v>
      </c>
      <c r="BC78" s="337">
        <v>38</v>
      </c>
      <c r="BD78" s="333"/>
      <c r="BE78" s="329"/>
      <c r="BF78" s="339"/>
      <c r="BG78" s="337"/>
      <c r="BH78" s="332"/>
      <c r="BI78" s="329"/>
      <c r="BJ78" s="339"/>
      <c r="BK78" s="337"/>
      <c r="BL78" s="332"/>
      <c r="BM78" s="329"/>
      <c r="BN78" s="339"/>
      <c r="BO78" s="337"/>
      <c r="BP78" s="332"/>
      <c r="BQ78" s="895"/>
      <c r="BR78" s="901"/>
      <c r="BS78" s="902"/>
      <c r="BT78" s="899" t="s">
        <v>706</v>
      </c>
      <c r="BU78" s="895"/>
      <c r="BV78" s="901"/>
      <c r="BW78" s="908"/>
      <c r="BX78" s="899" t="s">
        <v>706</v>
      </c>
      <c r="BY78" s="895"/>
      <c r="BZ78" s="901"/>
      <c r="CA78" s="908"/>
      <c r="CB78" s="899"/>
      <c r="CC78" s="895"/>
      <c r="CD78" s="901"/>
      <c r="CE78" s="908"/>
      <c r="CF78" s="899"/>
      <c r="CG78" s="895"/>
      <c r="CH78" s="901"/>
      <c r="CI78" s="908"/>
      <c r="CJ78" s="899"/>
      <c r="CK78" s="895"/>
      <c r="CL78" s="901"/>
      <c r="CM78" s="908"/>
      <c r="CN78" s="899"/>
      <c r="CO78" s="895"/>
      <c r="CP78" s="901"/>
      <c r="CQ78" s="908"/>
      <c r="CR78" s="899"/>
    </row>
    <row r="79" spans="53:96">
      <c r="BA79" s="329">
        <v>42428</v>
      </c>
      <c r="BB79" s="339" t="s">
        <v>754</v>
      </c>
      <c r="BC79" s="337">
        <v>70</v>
      </c>
      <c r="BD79" s="333"/>
      <c r="BE79" s="329"/>
      <c r="BF79" s="339"/>
      <c r="BG79" s="337"/>
      <c r="BH79" s="332"/>
      <c r="BI79" s="329"/>
      <c r="BJ79" s="339"/>
      <c r="BK79" s="337"/>
      <c r="BL79" s="332"/>
      <c r="BM79" s="329"/>
      <c r="BN79" s="339"/>
      <c r="BO79" s="337"/>
      <c r="BP79" s="332"/>
      <c r="BQ79" s="895"/>
      <c r="BR79" s="901"/>
      <c r="BS79" s="902"/>
      <c r="BT79" s="899" t="s">
        <v>706</v>
      </c>
      <c r="BU79" s="895"/>
      <c r="BV79" s="901"/>
      <c r="BW79" s="908"/>
      <c r="BX79" s="899" t="s">
        <v>706</v>
      </c>
      <c r="BY79" s="895"/>
      <c r="BZ79" s="1245"/>
      <c r="CA79" s="908"/>
      <c r="CB79" s="899"/>
      <c r="CC79" s="895"/>
      <c r="CD79" s="1245"/>
      <c r="CE79" s="908"/>
      <c r="CF79" s="899"/>
      <c r="CG79" s="895"/>
      <c r="CH79" s="1245"/>
      <c r="CI79" s="908"/>
      <c r="CJ79" s="899"/>
      <c r="CK79" s="895"/>
      <c r="CL79" s="901"/>
      <c r="CM79" s="908"/>
      <c r="CN79" s="899"/>
      <c r="CO79" s="895"/>
      <c r="CP79" s="901"/>
      <c r="CQ79" s="908"/>
      <c r="CR79" s="899"/>
    </row>
    <row r="80" spans="53:96">
      <c r="BA80" s="329">
        <v>42428</v>
      </c>
      <c r="BB80" s="339" t="s">
        <v>954</v>
      </c>
      <c r="BC80" s="337">
        <v>61</v>
      </c>
      <c r="BD80" s="333"/>
      <c r="BE80" s="329"/>
      <c r="BF80" s="339"/>
      <c r="BG80" s="337"/>
      <c r="BH80" s="332"/>
      <c r="BI80" s="329"/>
      <c r="BJ80" s="339"/>
      <c r="BK80" s="337"/>
      <c r="BL80" s="332"/>
      <c r="BM80" s="329"/>
      <c r="BN80" s="339"/>
      <c r="BO80" s="337"/>
      <c r="BP80" s="332"/>
      <c r="BQ80" s="895"/>
      <c r="BR80" s="901"/>
      <c r="BS80" s="902"/>
      <c r="BT80" s="899" t="s">
        <v>706</v>
      </c>
      <c r="BU80" s="895"/>
      <c r="BV80" s="1245"/>
      <c r="BW80" s="908"/>
      <c r="BX80" s="899" t="s">
        <v>706</v>
      </c>
      <c r="BY80" s="895"/>
      <c r="BZ80" s="901"/>
      <c r="CA80" s="908"/>
      <c r="CB80" s="899"/>
      <c r="CC80" s="895"/>
      <c r="CD80" s="901"/>
      <c r="CE80" s="908"/>
      <c r="CF80" s="899"/>
      <c r="CG80" s="895"/>
      <c r="CH80" s="901"/>
      <c r="CI80" s="908"/>
      <c r="CJ80" s="899"/>
      <c r="CK80" s="895"/>
      <c r="CL80" s="901"/>
      <c r="CM80" s="908"/>
      <c r="CN80" s="899"/>
      <c r="CO80" s="895"/>
      <c r="CP80" s="901"/>
      <c r="CQ80" s="908"/>
      <c r="CR80" s="899"/>
    </row>
    <row r="81" spans="53:96">
      <c r="BA81" s="329">
        <v>42428</v>
      </c>
      <c r="BB81" s="339" t="s">
        <v>772</v>
      </c>
      <c r="BC81" s="337">
        <v>10</v>
      </c>
      <c r="BD81" s="333"/>
      <c r="BE81" s="329"/>
      <c r="BF81" s="339"/>
      <c r="BG81" s="337"/>
      <c r="BH81" s="332"/>
      <c r="BI81" s="329"/>
      <c r="BJ81" s="339"/>
      <c r="BK81" s="337"/>
      <c r="BL81" s="332"/>
      <c r="BM81" s="329"/>
      <c r="BN81" s="339"/>
      <c r="BO81" s="337"/>
      <c r="BP81" s="332"/>
      <c r="BQ81" s="895"/>
      <c r="BR81" s="901"/>
      <c r="BS81" s="902"/>
      <c r="BT81" s="899" t="s">
        <v>706</v>
      </c>
      <c r="BU81" s="895"/>
      <c r="BV81" s="901"/>
      <c r="BW81" s="908"/>
      <c r="BX81" s="899" t="s">
        <v>706</v>
      </c>
      <c r="BY81" s="895"/>
      <c r="BZ81" s="901"/>
      <c r="CA81" s="908"/>
      <c r="CB81" s="899"/>
      <c r="CC81" s="895"/>
      <c r="CD81" s="901"/>
      <c r="CE81" s="908"/>
      <c r="CF81" s="899"/>
      <c r="CG81" s="895"/>
      <c r="CH81" s="901"/>
      <c r="CI81" s="908"/>
      <c r="CJ81" s="899"/>
      <c r="CK81" s="895"/>
      <c r="CL81" s="1245"/>
      <c r="CM81" s="908"/>
      <c r="CN81" s="899"/>
      <c r="CO81" s="895"/>
      <c r="CP81" s="901"/>
      <c r="CQ81" s="908"/>
      <c r="CR81" s="899"/>
    </row>
    <row r="82" spans="53:96">
      <c r="BA82" s="329">
        <v>42429</v>
      </c>
      <c r="BB82" s="339" t="s">
        <v>772</v>
      </c>
      <c r="BC82" s="337">
        <v>6</v>
      </c>
      <c r="BD82" s="333"/>
      <c r="BE82" s="329"/>
      <c r="BF82" s="339"/>
      <c r="BG82" s="337"/>
      <c r="BH82" s="332"/>
      <c r="BI82" s="329"/>
      <c r="BJ82" s="339"/>
      <c r="BK82" s="337"/>
      <c r="BL82" s="332"/>
      <c r="BM82" s="329"/>
      <c r="BN82" s="339"/>
      <c r="BO82" s="337"/>
      <c r="BP82" s="332"/>
      <c r="BQ82" s="895"/>
      <c r="BR82" s="901"/>
      <c r="BS82" s="902"/>
      <c r="BT82" s="899" t="s">
        <v>706</v>
      </c>
      <c r="BU82" s="895"/>
      <c r="BV82" s="901"/>
      <c r="BW82" s="908"/>
      <c r="BX82" s="899" t="s">
        <v>706</v>
      </c>
      <c r="BY82" s="895"/>
      <c r="BZ82" s="901"/>
      <c r="CA82" s="908"/>
      <c r="CB82" s="899"/>
      <c r="CC82" s="895"/>
      <c r="CD82" s="901"/>
      <c r="CE82" s="908"/>
      <c r="CF82" s="899"/>
      <c r="CG82" s="895"/>
      <c r="CH82" s="901"/>
      <c r="CI82" s="908"/>
      <c r="CJ82" s="899"/>
      <c r="CK82" s="895"/>
      <c r="CL82" s="901"/>
      <c r="CM82" s="908"/>
      <c r="CN82" s="899"/>
      <c r="CO82" s="895"/>
      <c r="CP82" s="901"/>
      <c r="CQ82" s="908"/>
      <c r="CR82" s="899"/>
    </row>
    <row r="83" spans="53:96">
      <c r="BA83" s="329">
        <v>42429</v>
      </c>
      <c r="BB83" s="339" t="s">
        <v>802</v>
      </c>
      <c r="BC83" s="337">
        <v>29</v>
      </c>
      <c r="BD83" s="333"/>
      <c r="BE83" s="329"/>
      <c r="BF83" s="339"/>
      <c r="BG83" s="337"/>
      <c r="BH83" s="332"/>
      <c r="BI83" s="329"/>
      <c r="BJ83" s="339"/>
      <c r="BK83" s="337"/>
      <c r="BL83" s="332"/>
      <c r="BM83" s="329"/>
      <c r="BN83" s="339"/>
      <c r="BO83" s="337"/>
      <c r="BP83" s="332"/>
      <c r="BQ83" s="895"/>
      <c r="BR83" s="901"/>
      <c r="BS83" s="902"/>
      <c r="BT83" s="899" t="s">
        <v>706</v>
      </c>
      <c r="BU83" s="895"/>
      <c r="BV83" s="901"/>
      <c r="BW83" s="908"/>
      <c r="BX83" s="899" t="s">
        <v>706</v>
      </c>
      <c r="BY83" s="895"/>
      <c r="BZ83" s="901"/>
      <c r="CA83" s="908"/>
      <c r="CB83" s="899"/>
      <c r="CC83" s="895"/>
      <c r="CD83" s="901"/>
      <c r="CE83" s="908"/>
      <c r="CF83" s="899"/>
      <c r="CG83" s="895"/>
      <c r="CH83" s="901"/>
      <c r="CI83" s="908"/>
      <c r="CJ83" s="899"/>
      <c r="CK83" s="895"/>
      <c r="CL83" s="901"/>
      <c r="CM83" s="908"/>
      <c r="CN83" s="899"/>
      <c r="CO83" s="895"/>
      <c r="CP83" s="901"/>
      <c r="CQ83" s="908"/>
      <c r="CR83" s="899"/>
    </row>
    <row r="84" spans="53:96">
      <c r="BA84" s="329"/>
      <c r="BB84" s="339"/>
      <c r="BC84" s="337"/>
      <c r="BD84" s="333"/>
      <c r="BE84" s="329"/>
      <c r="BF84" s="339"/>
      <c r="BG84" s="337"/>
      <c r="BH84" s="332"/>
      <c r="BI84" s="329"/>
      <c r="BJ84" s="339"/>
      <c r="BK84" s="337"/>
      <c r="BL84" s="332"/>
      <c r="BM84" s="329"/>
      <c r="BN84" s="339"/>
      <c r="BO84" s="337"/>
      <c r="BP84" s="332"/>
      <c r="BQ84" s="895"/>
      <c r="BR84" s="901"/>
      <c r="BS84" s="902"/>
      <c r="BT84" s="899" t="s">
        <v>706</v>
      </c>
      <c r="BU84" s="895"/>
      <c r="BV84" s="901"/>
      <c r="BW84" s="908"/>
      <c r="BX84" s="899" t="s">
        <v>706</v>
      </c>
      <c r="BY84" s="895"/>
      <c r="BZ84" s="901"/>
      <c r="CA84" s="908"/>
      <c r="CB84" s="899"/>
      <c r="CC84" s="895"/>
      <c r="CD84" s="901"/>
      <c r="CE84" s="908"/>
      <c r="CF84" s="899"/>
      <c r="CG84" s="895"/>
      <c r="CH84" s="901"/>
      <c r="CI84" s="908"/>
      <c r="CJ84" s="899"/>
      <c r="CK84" s="895"/>
      <c r="CL84" s="901"/>
      <c r="CM84" s="908"/>
      <c r="CN84" s="899"/>
      <c r="CO84" s="895"/>
      <c r="CP84" s="901"/>
      <c r="CQ84" s="908"/>
      <c r="CR84" s="899"/>
    </row>
    <row r="85" spans="53:96">
      <c r="BA85" s="348"/>
      <c r="BB85" s="349"/>
      <c r="BC85" s="350"/>
      <c r="BD85" s="351"/>
      <c r="BE85" s="1565"/>
      <c r="BF85" s="1566"/>
      <c r="BG85" s="1567"/>
      <c r="BH85" s="1567"/>
      <c r="BI85" s="1568"/>
      <c r="BJ85" s="1566"/>
      <c r="BK85" s="1567"/>
      <c r="BL85" s="1567"/>
      <c r="BM85" s="1568"/>
      <c r="BN85" s="1566"/>
      <c r="BO85" s="1567"/>
      <c r="BP85" s="1567"/>
      <c r="BQ85" s="1569"/>
      <c r="BR85" s="1570"/>
      <c r="BS85" s="1571"/>
      <c r="BT85" s="1572" t="s">
        <v>706</v>
      </c>
      <c r="BU85" s="1569"/>
      <c r="BV85" s="1570"/>
      <c r="BW85" s="1573"/>
      <c r="BX85" s="1572" t="s">
        <v>706</v>
      </c>
      <c r="BY85" s="1569"/>
      <c r="BZ85" s="1570"/>
      <c r="CA85" s="1573"/>
      <c r="CB85" s="1572"/>
      <c r="CC85" s="1569"/>
      <c r="CD85" s="1570"/>
      <c r="CE85" s="1573"/>
      <c r="CF85" s="1572"/>
      <c r="CG85" s="1569"/>
      <c r="CH85" s="1570"/>
      <c r="CI85" s="1573"/>
      <c r="CJ85" s="1572"/>
      <c r="CK85" s="1569"/>
      <c r="CL85" s="1570"/>
      <c r="CM85" s="1573"/>
      <c r="CN85" s="1574"/>
      <c r="CO85" s="1569"/>
      <c r="CP85" s="1570"/>
      <c r="CQ85" s="1573"/>
      <c r="CR85" s="1574"/>
    </row>
    <row r="86" spans="53:96">
      <c r="BA86" s="352"/>
      <c r="BB86" s="353"/>
      <c r="BC86" s="354"/>
      <c r="BD86" s="356"/>
      <c r="BE86" s="377"/>
      <c r="BF86" s="1558"/>
      <c r="BG86" s="1559"/>
      <c r="BH86" s="1560"/>
      <c r="BI86" s="329"/>
      <c r="BJ86" s="339"/>
      <c r="BK86" s="337"/>
      <c r="BL86" s="332"/>
      <c r="BM86" s="329"/>
      <c r="BN86" s="339"/>
      <c r="BO86" s="337"/>
      <c r="BP86" s="332"/>
      <c r="BQ86" s="895"/>
      <c r="BR86" s="901"/>
      <c r="BS86" s="902"/>
      <c r="BT86" s="899" t="s">
        <v>706</v>
      </c>
      <c r="BU86" s="895"/>
      <c r="BV86" s="901"/>
      <c r="BW86" s="908"/>
      <c r="BX86" s="899" t="s">
        <v>706</v>
      </c>
      <c r="BY86" s="1561"/>
      <c r="BZ86" s="1562"/>
      <c r="CA86" s="1563"/>
      <c r="CB86" s="1564"/>
      <c r="CC86" s="1561"/>
      <c r="CD86" s="1562"/>
      <c r="CE86" s="1563"/>
      <c r="CF86" s="1564"/>
      <c r="CG86" s="1561"/>
      <c r="CH86" s="1562"/>
      <c r="CI86" s="1563"/>
      <c r="CJ86" s="1564"/>
      <c r="CK86" s="1561"/>
      <c r="CL86" s="1562"/>
      <c r="CM86" s="1563"/>
      <c r="CN86" s="1564"/>
      <c r="CO86" s="1561"/>
      <c r="CP86" s="1562"/>
      <c r="CQ86" s="1563"/>
      <c r="CR86" s="1564"/>
    </row>
    <row r="1048300" spans="53:81">
      <c r="BA1048300" s="329">
        <v>42418</v>
      </c>
    </row>
    <row r="1048301" spans="53:81">
      <c r="BE1048301" s="329">
        <v>42418</v>
      </c>
      <c r="BY1048301" s="329">
        <v>43139</v>
      </c>
      <c r="CC1048301" s="329">
        <v>43139</v>
      </c>
    </row>
    <row r="1048302" spans="53:81">
      <c r="BI1048302" s="329">
        <v>43139</v>
      </c>
      <c r="BM1048302" s="329">
        <v>43139</v>
      </c>
      <c r="BQ1048302" s="329">
        <v>43139</v>
      </c>
      <c r="BU1048302" s="329">
        <v>43139</v>
      </c>
    </row>
  </sheetData>
  <phoneticPr fontId="4" type="noConversion"/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Monthly!$V$556:$V$584</xm:f>
          </x14:formula1>
          <xm:sqref>CU62 CN7:CN85 BT7:BT86 BX7:BX86 CB7:CB85 CF7:CF85 CJ7:CJ85 CR7:CR85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indexed="24"/>
  </sheetPr>
  <dimension ref="A1:CR112"/>
  <sheetViews>
    <sheetView topLeftCell="CD1" zoomScale="169" zoomScaleNormal="169" workbookViewId="0">
      <selection activeCell="AL33" sqref="AL33"/>
    </sheetView>
  </sheetViews>
  <sheetFormatPr defaultColWidth="8.85546875" defaultRowHeight="15"/>
  <cols>
    <col min="1" max="1" width="12" style="304" customWidth="1"/>
    <col min="2" max="2" width="25.42578125" style="304" customWidth="1"/>
    <col min="3" max="3" width="12.28515625" style="304" customWidth="1"/>
    <col min="4" max="4" width="12.7109375" style="304" customWidth="1"/>
    <col min="5" max="5" width="8.85546875" style="304"/>
    <col min="6" max="6" width="31.42578125" style="304" customWidth="1"/>
    <col min="7" max="7" width="12.28515625" style="304" customWidth="1"/>
    <col min="8" max="8" width="12.7109375" style="304" customWidth="1"/>
    <col min="9" max="9" width="8.85546875" style="304"/>
    <col min="10" max="10" width="26.7109375" style="304" customWidth="1"/>
    <col min="11" max="11" width="13" style="304" customWidth="1"/>
    <col min="12" max="12" width="14" style="304" customWidth="1"/>
    <col min="13" max="13" width="9.7109375" style="304" customWidth="1"/>
    <col min="14" max="14" width="35.140625" style="304" customWidth="1"/>
    <col min="15" max="17" width="8.85546875" style="304"/>
    <col min="18" max="18" width="46.28515625" style="304" customWidth="1"/>
    <col min="19" max="19" width="18.140625" style="304" customWidth="1"/>
    <col min="20" max="21" width="8.85546875" style="304"/>
    <col min="22" max="22" width="35.42578125" style="304" customWidth="1"/>
    <col min="23" max="24" width="12.28515625" style="304" customWidth="1"/>
    <col min="25" max="25" width="8.85546875" style="304"/>
    <col min="26" max="26" width="38" style="304" customWidth="1"/>
    <col min="27" max="27" width="12" style="304" customWidth="1"/>
    <col min="28" max="28" width="8.85546875" style="304"/>
    <col min="29" max="29" width="10.7109375" style="304" customWidth="1"/>
    <col min="30" max="30" width="45.42578125" style="304" customWidth="1"/>
    <col min="31" max="31" width="12" style="304" customWidth="1"/>
    <col min="32" max="32" width="11.7109375" style="304" customWidth="1"/>
    <col min="33" max="33" width="8.85546875" style="304"/>
    <col min="34" max="34" width="33.42578125" style="304" customWidth="1"/>
    <col min="35" max="35" width="12.140625" style="304" customWidth="1"/>
    <col min="36" max="36" width="8.85546875" style="304"/>
    <col min="37" max="37" width="8.85546875" style="304" customWidth="1"/>
    <col min="38" max="38" width="35.42578125" style="304" customWidth="1"/>
    <col min="39" max="41" width="8.85546875" style="304"/>
    <col min="42" max="42" width="42" style="304" customWidth="1"/>
    <col min="43" max="45" width="8.85546875" style="304"/>
    <col min="46" max="46" width="43.42578125" style="304" customWidth="1"/>
    <col min="47" max="47" width="11.140625" style="304" customWidth="1"/>
    <col min="48" max="49" width="8.85546875" style="304"/>
    <col min="50" max="50" width="50.140625" style="304" customWidth="1"/>
    <col min="51" max="51" width="10.140625" style="304" customWidth="1"/>
    <col min="52" max="53" width="8.85546875" style="304"/>
    <col min="54" max="54" width="50.140625" style="304" customWidth="1"/>
    <col min="55" max="55" width="10.140625" style="304" customWidth="1"/>
    <col min="56" max="57" width="8.85546875" style="304"/>
    <col min="58" max="58" width="56" style="304" customWidth="1"/>
    <col min="59" max="59" width="10.140625" style="304" customWidth="1"/>
    <col min="60" max="61" width="8.85546875" style="304"/>
    <col min="62" max="62" width="56" style="304" customWidth="1"/>
    <col min="63" max="63" width="10.140625" style="304" customWidth="1"/>
    <col min="64" max="64" width="8.85546875" style="304"/>
    <col min="65" max="65" width="0" style="304" hidden="1" customWidth="1"/>
    <col min="66" max="66" width="56" style="304" hidden="1" customWidth="1"/>
    <col min="67" max="67" width="10.140625" style="304" hidden="1" customWidth="1"/>
    <col min="68" max="68" width="0" style="304" hidden="1" customWidth="1"/>
    <col min="69" max="69" width="8.85546875" style="304"/>
    <col min="70" max="70" width="62.28515625" style="304" customWidth="1"/>
    <col min="71" max="71" width="10.140625" style="304" customWidth="1"/>
    <col min="72" max="72" width="11.85546875" style="304" customWidth="1"/>
    <col min="73" max="73" width="8.85546875" style="304"/>
    <col min="74" max="74" width="62.28515625" style="304" customWidth="1"/>
    <col min="75" max="75" width="10.140625" style="467" customWidth="1"/>
    <col min="76" max="76" width="11.85546875" style="304" customWidth="1"/>
    <col min="77" max="77" width="8.85546875" style="304"/>
    <col min="78" max="78" width="62.28515625" style="304" customWidth="1"/>
    <col min="79" max="79" width="10.140625" style="467" customWidth="1"/>
    <col min="80" max="80" width="11.85546875" style="304" customWidth="1"/>
    <col min="81" max="81" width="8.85546875" style="304"/>
    <col min="82" max="82" width="62.28515625" style="304" customWidth="1"/>
    <col min="83" max="83" width="10.140625" style="467" customWidth="1"/>
    <col min="84" max="84" width="11.85546875" style="304" customWidth="1"/>
    <col min="85" max="85" width="9.140625" style="304"/>
    <col min="86" max="86" width="62.28515625" style="304" customWidth="1"/>
    <col min="87" max="87" width="16" style="467" customWidth="1"/>
    <col min="88" max="88" width="11.85546875" style="304" customWidth="1"/>
    <col min="89" max="89" width="8.85546875" style="304"/>
    <col min="90" max="90" width="66.140625" style="304" customWidth="1"/>
    <col min="91" max="91" width="10.7109375" style="304" bestFit="1" customWidth="1"/>
    <col min="92" max="92" width="8.85546875" style="304"/>
    <col min="93" max="93" width="9.140625" style="304"/>
    <col min="94" max="94" width="66.140625" style="304" customWidth="1"/>
    <col min="95" max="95" width="15.42578125" style="304" bestFit="1" customWidth="1"/>
    <col min="96" max="16384" width="8.85546875" style="304"/>
  </cols>
  <sheetData>
    <row r="1" spans="1:96">
      <c r="CM1" s="467"/>
      <c r="CQ1" s="467"/>
    </row>
    <row r="2" spans="1:96">
      <c r="A2" s="463"/>
      <c r="B2" s="308" t="s">
        <v>2342</v>
      </c>
      <c r="C2" s="309"/>
      <c r="D2" s="307"/>
      <c r="E2" s="307"/>
      <c r="F2" s="308" t="s">
        <v>2343</v>
      </c>
      <c r="G2" s="309"/>
      <c r="H2" s="307"/>
      <c r="I2" s="307"/>
      <c r="J2" s="308" t="s">
        <v>2344</v>
      </c>
      <c r="K2" s="309"/>
      <c r="L2" s="307"/>
      <c r="M2" s="307"/>
      <c r="N2" s="308" t="s">
        <v>2345</v>
      </c>
      <c r="O2" s="309"/>
      <c r="P2" s="307"/>
      <c r="Q2" s="307"/>
      <c r="R2" s="308" t="s">
        <v>2346</v>
      </c>
      <c r="S2" s="309"/>
      <c r="T2" s="310"/>
      <c r="U2" s="311"/>
      <c r="V2" s="308" t="s">
        <v>2347</v>
      </c>
      <c r="W2" s="309"/>
      <c r="X2" s="307"/>
      <c r="Y2" s="311"/>
      <c r="Z2" s="308" t="s">
        <v>2348</v>
      </c>
      <c r="AA2" s="309"/>
      <c r="AB2" s="307"/>
      <c r="AC2" s="311"/>
      <c r="AD2" s="308" t="s">
        <v>2349</v>
      </c>
      <c r="AE2" s="309"/>
      <c r="AF2" s="307"/>
      <c r="AG2" s="311"/>
      <c r="AH2" s="308" t="s">
        <v>2350</v>
      </c>
      <c r="AI2" s="309"/>
      <c r="AJ2" s="307"/>
      <c r="AK2" s="311"/>
      <c r="AL2" s="308" t="s">
        <v>2351</v>
      </c>
      <c r="AM2" s="309"/>
      <c r="AN2" s="307"/>
      <c r="AO2" s="311"/>
      <c r="AP2" s="308" t="s">
        <v>2352</v>
      </c>
      <c r="AQ2" s="309"/>
      <c r="AR2" s="307"/>
      <c r="AS2" s="311"/>
      <c r="AT2" s="308" t="s">
        <v>2353</v>
      </c>
      <c r="AU2" s="309"/>
      <c r="AV2" s="307"/>
      <c r="AW2" s="311"/>
      <c r="AX2" s="308" t="s">
        <v>2354</v>
      </c>
      <c r="AY2" s="309"/>
      <c r="AZ2" s="307"/>
      <c r="BA2" s="311"/>
      <c r="BB2" s="308" t="s">
        <v>2355</v>
      </c>
      <c r="BC2" s="309"/>
      <c r="BD2" s="307"/>
      <c r="BE2" s="311"/>
      <c r="BF2" s="308" t="s">
        <v>2356</v>
      </c>
      <c r="BG2" s="309"/>
      <c r="BH2" s="307"/>
      <c r="BI2" s="311"/>
      <c r="BJ2" s="308" t="s">
        <v>2357</v>
      </c>
      <c r="BK2" s="309"/>
      <c r="BL2" s="307"/>
      <c r="BM2" s="311"/>
      <c r="BN2" s="308" t="s">
        <v>2358</v>
      </c>
      <c r="BO2" s="309"/>
      <c r="BP2" s="307"/>
      <c r="BQ2" s="311"/>
      <c r="BR2" s="308" t="s">
        <v>2358</v>
      </c>
      <c r="BS2" s="309"/>
      <c r="BT2" s="307"/>
      <c r="BU2" s="461"/>
      <c r="BV2" s="462" t="s">
        <v>2359</v>
      </c>
      <c r="BW2" s="468"/>
      <c r="BX2" s="464"/>
      <c r="BY2" s="461"/>
      <c r="BZ2" s="462" t="s">
        <v>2360</v>
      </c>
      <c r="CA2" s="468"/>
      <c r="CB2" s="464"/>
      <c r="CC2" s="461"/>
      <c r="CD2" s="462" t="s">
        <v>2361</v>
      </c>
      <c r="CE2" s="468"/>
      <c r="CF2" s="464"/>
      <c r="CG2" s="461"/>
      <c r="CH2" s="462" t="s">
        <v>2362</v>
      </c>
      <c r="CI2" s="468"/>
      <c r="CJ2" s="310"/>
      <c r="CK2" s="1575"/>
      <c r="CL2" s="1576" t="s">
        <v>2363</v>
      </c>
      <c r="CM2" s="1577"/>
      <c r="CN2" s="1578"/>
      <c r="CO2" s="1575"/>
      <c r="CP2" s="1576" t="s">
        <v>2363</v>
      </c>
      <c r="CQ2" s="1577"/>
      <c r="CR2" s="1578"/>
    </row>
    <row r="3" spans="1:96">
      <c r="A3" s="314" t="s">
        <v>740</v>
      </c>
      <c r="B3" s="314" t="s">
        <v>138</v>
      </c>
      <c r="C3" s="315" t="s">
        <v>741</v>
      </c>
      <c r="D3" s="316" t="s">
        <v>742</v>
      </c>
      <c r="E3" s="313" t="s">
        <v>740</v>
      </c>
      <c r="F3" s="314" t="s">
        <v>138</v>
      </c>
      <c r="G3" s="315" t="s">
        <v>741</v>
      </c>
      <c r="H3" s="316" t="s">
        <v>742</v>
      </c>
      <c r="I3" s="313" t="s">
        <v>740</v>
      </c>
      <c r="J3" s="314" t="s">
        <v>138</v>
      </c>
      <c r="K3" s="315" t="s">
        <v>741</v>
      </c>
      <c r="L3" s="316" t="s">
        <v>742</v>
      </c>
      <c r="M3" s="313" t="s">
        <v>740</v>
      </c>
      <c r="N3" s="314" t="s">
        <v>138</v>
      </c>
      <c r="O3" s="315" t="s">
        <v>741</v>
      </c>
      <c r="P3" s="316" t="s">
        <v>742</v>
      </c>
      <c r="Q3" s="370" t="s">
        <v>740</v>
      </c>
      <c r="R3" s="314" t="s">
        <v>138</v>
      </c>
      <c r="S3" s="318" t="s">
        <v>741</v>
      </c>
      <c r="T3" s="317" t="s">
        <v>742</v>
      </c>
      <c r="U3" s="313" t="s">
        <v>740</v>
      </c>
      <c r="V3" s="314" t="s">
        <v>138</v>
      </c>
      <c r="W3" s="315" t="s">
        <v>741</v>
      </c>
      <c r="X3" s="316" t="s">
        <v>742</v>
      </c>
      <c r="Y3" s="313" t="s">
        <v>740</v>
      </c>
      <c r="Z3" s="314" t="s">
        <v>138</v>
      </c>
      <c r="AA3" s="315" t="s">
        <v>741</v>
      </c>
      <c r="AB3" s="316" t="s">
        <v>742</v>
      </c>
      <c r="AC3" s="313" t="s">
        <v>740</v>
      </c>
      <c r="AD3" s="314" t="s">
        <v>138</v>
      </c>
      <c r="AE3" s="315" t="s">
        <v>741</v>
      </c>
      <c r="AF3" s="316" t="s">
        <v>742</v>
      </c>
      <c r="AG3" s="313" t="s">
        <v>740</v>
      </c>
      <c r="AH3" s="314" t="s">
        <v>138</v>
      </c>
      <c r="AI3" s="315" t="s">
        <v>741</v>
      </c>
      <c r="AJ3" s="316" t="s">
        <v>742</v>
      </c>
      <c r="AK3" s="313" t="s">
        <v>740</v>
      </c>
      <c r="AL3" s="314" t="s">
        <v>138</v>
      </c>
      <c r="AM3" s="315" t="s">
        <v>741</v>
      </c>
      <c r="AN3" s="316" t="s">
        <v>742</v>
      </c>
      <c r="AO3" s="313" t="s">
        <v>740</v>
      </c>
      <c r="AP3" s="314" t="s">
        <v>138</v>
      </c>
      <c r="AQ3" s="315" t="s">
        <v>741</v>
      </c>
      <c r="AR3" s="316" t="s">
        <v>742</v>
      </c>
      <c r="AS3" s="313" t="s">
        <v>740</v>
      </c>
      <c r="AT3" s="314" t="s">
        <v>138</v>
      </c>
      <c r="AU3" s="315" t="s">
        <v>741</v>
      </c>
      <c r="AV3" s="316" t="s">
        <v>742</v>
      </c>
      <c r="AW3" s="313" t="s">
        <v>740</v>
      </c>
      <c r="AX3" s="314" t="s">
        <v>138</v>
      </c>
      <c r="AY3" s="315" t="s">
        <v>741</v>
      </c>
      <c r="AZ3" s="316" t="s">
        <v>742</v>
      </c>
      <c r="BA3" s="313" t="s">
        <v>740</v>
      </c>
      <c r="BB3" s="314" t="s">
        <v>138</v>
      </c>
      <c r="BC3" s="315" t="s">
        <v>741</v>
      </c>
      <c r="BD3" s="316" t="s">
        <v>742</v>
      </c>
      <c r="BE3" s="313" t="s">
        <v>740</v>
      </c>
      <c r="BF3" s="314" t="s">
        <v>138</v>
      </c>
      <c r="BG3" s="315" t="s">
        <v>741</v>
      </c>
      <c r="BH3" s="316" t="s">
        <v>742</v>
      </c>
      <c r="BI3" s="313" t="s">
        <v>740</v>
      </c>
      <c r="BJ3" s="314" t="s">
        <v>138</v>
      </c>
      <c r="BK3" s="315" t="s">
        <v>741</v>
      </c>
      <c r="BL3" s="316" t="s">
        <v>742</v>
      </c>
      <c r="BM3" s="313" t="s">
        <v>740</v>
      </c>
      <c r="BN3" s="314" t="s">
        <v>138</v>
      </c>
      <c r="BO3" s="315" t="s">
        <v>741</v>
      </c>
      <c r="BP3" s="316" t="s">
        <v>742</v>
      </c>
      <c r="BQ3" s="313" t="s">
        <v>740</v>
      </c>
      <c r="BR3" s="314" t="s">
        <v>138</v>
      </c>
      <c r="BS3" s="315" t="s">
        <v>741</v>
      </c>
      <c r="BT3" s="316" t="s">
        <v>742</v>
      </c>
      <c r="BU3" s="370" t="s">
        <v>740</v>
      </c>
      <c r="BV3" s="314" t="s">
        <v>138</v>
      </c>
      <c r="BW3" s="469" t="s">
        <v>741</v>
      </c>
      <c r="BX3" s="465" t="s">
        <v>742</v>
      </c>
      <c r="BY3" s="370" t="s">
        <v>740</v>
      </c>
      <c r="BZ3" s="314" t="s">
        <v>138</v>
      </c>
      <c r="CA3" s="469" t="s">
        <v>741</v>
      </c>
      <c r="CB3" s="465" t="s">
        <v>742</v>
      </c>
      <c r="CC3" s="370" t="s">
        <v>740</v>
      </c>
      <c r="CD3" s="314" t="s">
        <v>138</v>
      </c>
      <c r="CE3" s="469" t="s">
        <v>741</v>
      </c>
      <c r="CF3" s="465" t="s">
        <v>742</v>
      </c>
      <c r="CG3" s="370" t="s">
        <v>740</v>
      </c>
      <c r="CH3" s="314" t="s">
        <v>138</v>
      </c>
      <c r="CI3" s="469" t="s">
        <v>741</v>
      </c>
      <c r="CJ3" s="317" t="s">
        <v>742</v>
      </c>
      <c r="CK3" s="1579" t="s">
        <v>740</v>
      </c>
      <c r="CL3" s="314" t="s">
        <v>138</v>
      </c>
      <c r="CM3" s="469" t="s">
        <v>741</v>
      </c>
      <c r="CN3" s="1580" t="s">
        <v>742</v>
      </c>
      <c r="CO3" s="1579" t="s">
        <v>740</v>
      </c>
      <c r="CP3" s="314" t="s">
        <v>138</v>
      </c>
      <c r="CQ3" s="469" t="s">
        <v>741</v>
      </c>
      <c r="CR3" s="1580" t="s">
        <v>742</v>
      </c>
    </row>
    <row r="4" spans="1:96">
      <c r="A4" s="326"/>
      <c r="B4" s="321"/>
      <c r="C4" s="320"/>
      <c r="D4" s="322"/>
      <c r="E4" s="320"/>
      <c r="F4" s="321"/>
      <c r="G4" s="320"/>
      <c r="H4" s="322"/>
      <c r="I4" s="320"/>
      <c r="J4" s="321"/>
      <c r="K4" s="320"/>
      <c r="L4" s="322"/>
      <c r="M4" s="320"/>
      <c r="N4" s="321"/>
      <c r="O4" s="320"/>
      <c r="P4" s="322"/>
      <c r="Q4" s="466"/>
      <c r="R4" s="321"/>
      <c r="S4" s="326"/>
      <c r="T4" s="323"/>
      <c r="U4" s="324"/>
      <c r="V4" s="321"/>
      <c r="W4" s="320"/>
      <c r="X4" s="325"/>
      <c r="Y4" s="324"/>
      <c r="Z4" s="321"/>
      <c r="AA4" s="320"/>
      <c r="AB4" s="325"/>
      <c r="AC4" s="324"/>
      <c r="AD4" s="321"/>
      <c r="AE4" s="320"/>
      <c r="AF4" s="325"/>
      <c r="AG4" s="324"/>
      <c r="AH4" s="321"/>
      <c r="AI4" s="320"/>
      <c r="AJ4" s="325"/>
      <c r="AK4" s="324"/>
      <c r="AL4" s="321"/>
      <c r="AM4" s="320"/>
      <c r="AN4" s="325"/>
      <c r="AO4" s="324"/>
      <c r="AP4" s="321"/>
      <c r="AQ4" s="320"/>
      <c r="AR4" s="325"/>
      <c r="AS4" s="324"/>
      <c r="AT4" s="321"/>
      <c r="AU4" s="320"/>
      <c r="AV4" s="325"/>
      <c r="AW4" s="324"/>
      <c r="AX4" s="321"/>
      <c r="AY4" s="320"/>
      <c r="AZ4" s="325"/>
      <c r="BA4" s="324"/>
      <c r="BB4" s="321"/>
      <c r="BC4" s="320"/>
      <c r="BD4" s="325"/>
      <c r="BE4" s="324"/>
      <c r="BF4" s="321"/>
      <c r="BG4" s="320"/>
      <c r="BH4" s="325"/>
      <c r="BI4" s="324"/>
      <c r="BJ4" s="321"/>
      <c r="BK4" s="320"/>
      <c r="BL4" s="325"/>
      <c r="BM4" s="324"/>
      <c r="BN4" s="321"/>
      <c r="BO4" s="320"/>
      <c r="BP4" s="325"/>
      <c r="BQ4" s="324"/>
      <c r="BR4" s="321"/>
      <c r="BS4" s="320"/>
      <c r="BT4" s="325"/>
      <c r="BU4" s="327"/>
      <c r="BV4" s="321"/>
      <c r="BW4" s="470"/>
      <c r="BX4" s="322"/>
      <c r="BY4" s="327"/>
      <c r="BZ4" s="321"/>
      <c r="CA4" s="470"/>
      <c r="CB4" s="322"/>
      <c r="CC4" s="327"/>
      <c r="CD4" s="321"/>
      <c r="CE4" s="470"/>
      <c r="CF4" s="322"/>
      <c r="CG4" s="327"/>
      <c r="CH4" s="321"/>
      <c r="CI4" s="470"/>
      <c r="CJ4" s="323"/>
      <c r="CK4" s="1581"/>
      <c r="CL4" s="1582"/>
      <c r="CM4" s="1583"/>
      <c r="CN4" s="1584"/>
      <c r="CO4" s="1581"/>
      <c r="CP4" s="1582"/>
      <c r="CQ4" s="1583"/>
      <c r="CR4" s="1584"/>
    </row>
    <row r="5" spans="1:96">
      <c r="A5" s="329"/>
      <c r="B5" s="336"/>
      <c r="C5" s="337"/>
      <c r="D5" s="332"/>
      <c r="E5" s="329"/>
      <c r="F5" s="336"/>
      <c r="G5" s="337"/>
      <c r="H5" s="332"/>
      <c r="I5" s="329"/>
      <c r="J5" s="336"/>
      <c r="K5" s="337"/>
      <c r="L5" s="332"/>
      <c r="M5" s="329"/>
      <c r="N5" s="336"/>
      <c r="O5" s="337"/>
      <c r="P5" s="332"/>
      <c r="Q5" s="329"/>
      <c r="R5" s="336"/>
      <c r="S5" s="337"/>
      <c r="T5" s="333"/>
      <c r="U5" s="329"/>
      <c r="V5" s="336"/>
      <c r="W5" s="337"/>
      <c r="X5" s="332"/>
      <c r="Y5" s="329"/>
      <c r="Z5" s="336"/>
      <c r="AA5" s="337"/>
      <c r="AB5" s="332"/>
      <c r="AC5" s="329"/>
      <c r="AD5" s="336"/>
      <c r="AE5" s="337"/>
      <c r="AF5" s="332"/>
      <c r="AG5" s="329"/>
      <c r="AH5" s="336"/>
      <c r="AI5" s="337"/>
      <c r="AJ5" s="332"/>
      <c r="AK5" s="329"/>
      <c r="AL5" s="336"/>
      <c r="AM5" s="337"/>
      <c r="AN5" s="332"/>
      <c r="AO5" s="329"/>
      <c r="AP5" s="336"/>
      <c r="AQ5" s="337"/>
      <c r="AR5" s="332"/>
      <c r="AS5" s="329"/>
      <c r="AT5" s="336"/>
      <c r="AU5" s="337"/>
      <c r="AV5" s="332"/>
      <c r="AW5" s="329"/>
      <c r="AX5" s="336"/>
      <c r="AY5" s="337"/>
      <c r="AZ5" s="332"/>
      <c r="BA5" s="329"/>
      <c r="BB5" s="336"/>
      <c r="BC5" s="337"/>
      <c r="BD5" s="332"/>
      <c r="BE5" s="329"/>
      <c r="BF5" s="336"/>
      <c r="BG5" s="337"/>
      <c r="BH5" s="332"/>
      <c r="BI5" s="329"/>
      <c r="BJ5" s="336"/>
      <c r="BK5" s="337"/>
      <c r="BL5" s="332"/>
      <c r="BM5" s="329"/>
      <c r="BN5" s="336"/>
      <c r="BO5" s="902"/>
      <c r="BP5" s="912"/>
      <c r="BQ5" s="1248">
        <v>43525</v>
      </c>
      <c r="BR5" s="896" t="s">
        <v>759</v>
      </c>
      <c r="BS5" s="897">
        <v>295</v>
      </c>
      <c r="BT5" s="898" t="s">
        <v>689</v>
      </c>
      <c r="BU5" s="895">
        <v>43891</v>
      </c>
      <c r="BV5" s="903" t="s">
        <v>758</v>
      </c>
      <c r="BW5" s="1249">
        <v>1495</v>
      </c>
      <c r="BX5" s="899" t="s">
        <v>706</v>
      </c>
      <c r="BY5" s="895">
        <v>43891</v>
      </c>
      <c r="BZ5" s="896" t="s">
        <v>759</v>
      </c>
      <c r="CA5" s="897">
        <v>0</v>
      </c>
      <c r="CB5" s="899" t="s">
        <v>689</v>
      </c>
      <c r="CC5" s="895">
        <v>44621</v>
      </c>
      <c r="CD5" s="896" t="s">
        <v>1808</v>
      </c>
      <c r="CE5" s="897">
        <v>1399</v>
      </c>
      <c r="CF5" s="899" t="s">
        <v>689</v>
      </c>
      <c r="CG5" s="895">
        <v>44621</v>
      </c>
      <c r="CH5" s="896" t="s">
        <v>1808</v>
      </c>
      <c r="CI5" s="897">
        <v>0</v>
      </c>
      <c r="CJ5" s="899" t="s">
        <v>689</v>
      </c>
      <c r="CK5" s="895">
        <v>44621</v>
      </c>
      <c r="CL5" s="1554" t="s">
        <v>760</v>
      </c>
      <c r="CM5" s="1555">
        <v>30</v>
      </c>
      <c r="CN5" s="1556" t="s">
        <v>689</v>
      </c>
      <c r="CO5" s="895">
        <v>44621</v>
      </c>
      <c r="CP5" s="1554" t="s">
        <v>760</v>
      </c>
      <c r="CQ5" s="1555">
        <v>30</v>
      </c>
      <c r="CR5" s="1556" t="s">
        <v>689</v>
      </c>
    </row>
    <row r="6" spans="1:96">
      <c r="A6" s="895">
        <v>37681</v>
      </c>
      <c r="B6" s="903" t="s">
        <v>556</v>
      </c>
      <c r="C6" s="902">
        <v>1075</v>
      </c>
      <c r="D6" s="912"/>
      <c r="E6" s="895">
        <v>37681</v>
      </c>
      <c r="F6" s="903" t="s">
        <v>556</v>
      </c>
      <c r="G6" s="902">
        <v>1075</v>
      </c>
      <c r="H6" s="912"/>
      <c r="I6" s="895">
        <v>38412</v>
      </c>
      <c r="J6" s="903" t="s">
        <v>2364</v>
      </c>
      <c r="K6" s="902">
        <v>16</v>
      </c>
      <c r="L6" s="912"/>
      <c r="M6" s="895">
        <v>38780</v>
      </c>
      <c r="N6" s="903" t="s">
        <v>786</v>
      </c>
      <c r="O6" s="902">
        <v>24</v>
      </c>
      <c r="P6" s="912"/>
      <c r="Q6" s="895">
        <v>39142</v>
      </c>
      <c r="R6" s="903" t="s">
        <v>2365</v>
      </c>
      <c r="S6" s="902">
        <v>569</v>
      </c>
      <c r="T6" s="333"/>
      <c r="U6" s="329">
        <v>39508</v>
      </c>
      <c r="V6" s="336" t="s">
        <v>2366</v>
      </c>
      <c r="W6" s="337">
        <v>0</v>
      </c>
      <c r="X6" s="332"/>
      <c r="Y6" s="329">
        <v>39508</v>
      </c>
      <c r="Z6" s="336" t="s">
        <v>802</v>
      </c>
      <c r="AA6" s="337">
        <v>25</v>
      </c>
      <c r="AB6" s="332"/>
      <c r="AC6" s="329">
        <v>40241</v>
      </c>
      <c r="AD6" s="336" t="s">
        <v>937</v>
      </c>
      <c r="AE6" s="337">
        <v>21</v>
      </c>
      <c r="AF6" s="332"/>
      <c r="AG6" s="329">
        <v>40606</v>
      </c>
      <c r="AH6" s="336" t="s">
        <v>2367</v>
      </c>
      <c r="AI6" s="337">
        <v>19</v>
      </c>
      <c r="AJ6" s="332"/>
      <c r="AK6" s="329">
        <v>40971</v>
      </c>
      <c r="AL6" s="336" t="s">
        <v>781</v>
      </c>
      <c r="AM6" s="337">
        <v>85</v>
      </c>
      <c r="AN6" s="332"/>
      <c r="AO6" s="329">
        <v>41335</v>
      </c>
      <c r="AP6" s="336" t="s">
        <v>754</v>
      </c>
      <c r="AQ6" s="337">
        <v>78</v>
      </c>
      <c r="AR6" s="332"/>
      <c r="AS6" s="329">
        <v>41699</v>
      </c>
      <c r="AT6" s="336" t="s">
        <v>754</v>
      </c>
      <c r="AU6" s="337">
        <v>83</v>
      </c>
      <c r="AV6" s="332"/>
      <c r="AW6" s="329">
        <v>42064</v>
      </c>
      <c r="AX6" s="336" t="s">
        <v>2368</v>
      </c>
      <c r="AY6" s="337">
        <v>67</v>
      </c>
      <c r="AZ6" s="332"/>
      <c r="BA6" s="329">
        <v>42064</v>
      </c>
      <c r="BB6" s="336" t="s">
        <v>2368</v>
      </c>
      <c r="BC6" s="337">
        <v>67</v>
      </c>
      <c r="BD6" s="332"/>
      <c r="BE6" s="329">
        <v>42796</v>
      </c>
      <c r="BF6" s="336" t="s">
        <v>2369</v>
      </c>
      <c r="BG6" s="337"/>
      <c r="BH6" s="332"/>
      <c r="BI6" s="329">
        <v>43160</v>
      </c>
      <c r="BJ6" s="336" t="s">
        <v>1180</v>
      </c>
      <c r="BK6" s="337">
        <v>22</v>
      </c>
      <c r="BL6" s="332"/>
      <c r="BM6" s="329"/>
      <c r="BN6" s="336"/>
      <c r="BO6" s="902"/>
      <c r="BP6" s="912"/>
      <c r="BQ6" s="1250">
        <v>43525</v>
      </c>
      <c r="BR6" s="916" t="s">
        <v>1807</v>
      </c>
      <c r="BS6" s="902">
        <v>1495</v>
      </c>
      <c r="BT6" s="899" t="s">
        <v>706</v>
      </c>
      <c r="BU6" s="895">
        <v>43891</v>
      </c>
      <c r="BV6" s="903" t="s">
        <v>2370</v>
      </c>
      <c r="BW6" s="1249">
        <v>246</v>
      </c>
      <c r="BX6" s="899" t="s">
        <v>689</v>
      </c>
      <c r="BY6" s="895">
        <v>43891</v>
      </c>
      <c r="BZ6" s="903" t="s">
        <v>2371</v>
      </c>
      <c r="CA6" s="904">
        <v>306</v>
      </c>
      <c r="CB6" s="899" t="s">
        <v>689</v>
      </c>
      <c r="CC6" s="895">
        <v>44621</v>
      </c>
      <c r="CD6" s="903" t="s">
        <v>1850</v>
      </c>
      <c r="CE6" s="908">
        <v>632</v>
      </c>
      <c r="CF6" s="899" t="s">
        <v>689</v>
      </c>
      <c r="CG6" s="895">
        <v>44621</v>
      </c>
      <c r="CH6" s="903" t="s">
        <v>1850</v>
      </c>
      <c r="CI6" s="908">
        <v>0</v>
      </c>
      <c r="CJ6" s="899" t="s">
        <v>689</v>
      </c>
      <c r="CK6" s="895">
        <v>44621</v>
      </c>
      <c r="CL6" s="1554" t="s">
        <v>1817</v>
      </c>
      <c r="CM6" s="1557">
        <v>1900</v>
      </c>
      <c r="CN6" s="1556" t="s">
        <v>689</v>
      </c>
      <c r="CO6" s="895">
        <v>44621</v>
      </c>
      <c r="CP6" s="1554" t="s">
        <v>1817</v>
      </c>
      <c r="CQ6" s="1557">
        <v>1900</v>
      </c>
      <c r="CR6" s="1556" t="s">
        <v>689</v>
      </c>
    </row>
    <row r="7" spans="1:96">
      <c r="A7" s="895">
        <v>37681</v>
      </c>
      <c r="B7" s="903" t="s">
        <v>276</v>
      </c>
      <c r="C7" s="902">
        <v>1022</v>
      </c>
      <c r="D7" s="912">
        <v>386</v>
      </c>
      <c r="E7" s="895">
        <v>37681</v>
      </c>
      <c r="F7" s="903" t="s">
        <v>276</v>
      </c>
      <c r="G7" s="902">
        <v>1022</v>
      </c>
      <c r="H7" s="912">
        <v>386</v>
      </c>
      <c r="I7" s="895">
        <v>38414</v>
      </c>
      <c r="J7" s="903" t="s">
        <v>802</v>
      </c>
      <c r="K7" s="902">
        <v>27</v>
      </c>
      <c r="L7" s="912"/>
      <c r="M7" s="895">
        <v>38780</v>
      </c>
      <c r="N7" s="903" t="s">
        <v>1810</v>
      </c>
      <c r="O7" s="902">
        <v>26</v>
      </c>
      <c r="P7" s="912"/>
      <c r="Q7" s="895">
        <v>39142</v>
      </c>
      <c r="R7" s="903" t="s">
        <v>2372</v>
      </c>
      <c r="S7" s="902">
        <v>93</v>
      </c>
      <c r="T7" s="333"/>
      <c r="U7" s="329">
        <v>39508</v>
      </c>
      <c r="V7" s="336" t="s">
        <v>2373</v>
      </c>
      <c r="W7" s="337">
        <v>0</v>
      </c>
      <c r="X7" s="332"/>
      <c r="Y7" s="329">
        <v>39508</v>
      </c>
      <c r="Z7" s="336" t="s">
        <v>797</v>
      </c>
      <c r="AA7" s="337">
        <v>30</v>
      </c>
      <c r="AB7" s="332"/>
      <c r="AC7" s="329">
        <v>40244</v>
      </c>
      <c r="AD7" s="336" t="s">
        <v>781</v>
      </c>
      <c r="AE7" s="337">
        <v>152</v>
      </c>
      <c r="AF7" s="332"/>
      <c r="AG7" s="329">
        <v>40606</v>
      </c>
      <c r="AH7" s="336" t="s">
        <v>2374</v>
      </c>
      <c r="AI7" s="337">
        <v>30</v>
      </c>
      <c r="AJ7" s="332"/>
      <c r="AK7" s="329">
        <v>40972</v>
      </c>
      <c r="AL7" s="336" t="s">
        <v>772</v>
      </c>
      <c r="AM7" s="337">
        <v>84</v>
      </c>
      <c r="AN7" s="332"/>
      <c r="AO7" s="329">
        <v>41336</v>
      </c>
      <c r="AP7" s="336" t="s">
        <v>1944</v>
      </c>
      <c r="AQ7" s="337">
        <v>15</v>
      </c>
      <c r="AR7" s="332"/>
      <c r="AS7" s="329">
        <v>41699</v>
      </c>
      <c r="AT7" s="336" t="s">
        <v>772</v>
      </c>
      <c r="AU7" s="337">
        <v>30</v>
      </c>
      <c r="AV7" s="332"/>
      <c r="AW7" s="329">
        <v>42064</v>
      </c>
      <c r="AX7" s="336" t="s">
        <v>2375</v>
      </c>
      <c r="AY7" s="337">
        <v>55</v>
      </c>
      <c r="AZ7" s="332"/>
      <c r="BA7" s="329">
        <v>42064</v>
      </c>
      <c r="BB7" s="336" t="s">
        <v>2375</v>
      </c>
      <c r="BC7" s="337">
        <v>55</v>
      </c>
      <c r="BD7" s="332"/>
      <c r="BE7" s="329">
        <v>42798</v>
      </c>
      <c r="BF7" s="336" t="s">
        <v>859</v>
      </c>
      <c r="BG7" s="337">
        <v>12</v>
      </c>
      <c r="BH7" s="332"/>
      <c r="BI7" s="329">
        <v>43161</v>
      </c>
      <c r="BJ7" s="336" t="s">
        <v>2376</v>
      </c>
      <c r="BK7" s="337">
        <v>46</v>
      </c>
      <c r="BL7" s="332"/>
      <c r="BM7" s="329"/>
      <c r="BN7" s="336"/>
      <c r="BO7" s="902"/>
      <c r="BP7" s="912"/>
      <c r="BQ7" s="1250">
        <v>43525</v>
      </c>
      <c r="BR7" s="1251" t="s">
        <v>797</v>
      </c>
      <c r="BS7" s="902">
        <v>51</v>
      </c>
      <c r="BT7" s="899" t="s">
        <v>410</v>
      </c>
      <c r="BU7" s="895">
        <v>43891</v>
      </c>
      <c r="BV7" s="903" t="s">
        <v>791</v>
      </c>
      <c r="BW7" s="1249" t="s">
        <v>37</v>
      </c>
      <c r="BX7" s="899" t="s">
        <v>689</v>
      </c>
      <c r="BY7" s="895">
        <v>43891</v>
      </c>
      <c r="BZ7" s="903" t="s">
        <v>792</v>
      </c>
      <c r="CA7" s="904">
        <v>30</v>
      </c>
      <c r="CB7" s="899" t="s">
        <v>689</v>
      </c>
      <c r="CC7" s="895">
        <v>44621</v>
      </c>
      <c r="CD7" s="903" t="s">
        <v>792</v>
      </c>
      <c r="CE7" s="904">
        <v>0</v>
      </c>
      <c r="CF7" s="899" t="s">
        <v>689</v>
      </c>
      <c r="CG7" s="895">
        <v>44621</v>
      </c>
      <c r="CH7" s="903" t="s">
        <v>792</v>
      </c>
      <c r="CI7" s="904">
        <v>0</v>
      </c>
      <c r="CJ7" s="899" t="s">
        <v>689</v>
      </c>
      <c r="CK7" s="895">
        <v>44621</v>
      </c>
      <c r="CL7" s="1554" t="s">
        <v>794</v>
      </c>
      <c r="CM7" s="1557">
        <v>299</v>
      </c>
      <c r="CN7" s="1556" t="s">
        <v>689</v>
      </c>
      <c r="CO7" s="895">
        <v>44621</v>
      </c>
      <c r="CP7" s="1554" t="s">
        <v>794</v>
      </c>
      <c r="CQ7" s="1557">
        <v>299</v>
      </c>
      <c r="CR7" s="1556" t="s">
        <v>689</v>
      </c>
    </row>
    <row r="8" spans="1:96">
      <c r="A8" s="895">
        <v>37681</v>
      </c>
      <c r="B8" s="903" t="s">
        <v>400</v>
      </c>
      <c r="C8" s="902">
        <v>0</v>
      </c>
      <c r="D8" s="912">
        <v>200</v>
      </c>
      <c r="E8" s="895">
        <v>37681</v>
      </c>
      <c r="F8" s="903" t="s">
        <v>400</v>
      </c>
      <c r="G8" s="902">
        <v>0</v>
      </c>
      <c r="H8" s="912">
        <v>200</v>
      </c>
      <c r="I8" s="895">
        <v>38414</v>
      </c>
      <c r="J8" s="903" t="s">
        <v>797</v>
      </c>
      <c r="K8" s="902">
        <v>33</v>
      </c>
      <c r="L8" s="912"/>
      <c r="M8" s="895">
        <v>38780</v>
      </c>
      <c r="N8" s="903" t="s">
        <v>2377</v>
      </c>
      <c r="O8" s="902">
        <v>4</v>
      </c>
      <c r="P8" s="912"/>
      <c r="Q8" s="895">
        <v>39142</v>
      </c>
      <c r="R8" s="903" t="s">
        <v>2378</v>
      </c>
      <c r="S8" s="902">
        <v>54</v>
      </c>
      <c r="T8" s="333"/>
      <c r="U8" s="329">
        <v>39508</v>
      </c>
      <c r="V8" s="336" t="s">
        <v>937</v>
      </c>
      <c r="W8" s="337">
        <v>28</v>
      </c>
      <c r="X8" s="332"/>
      <c r="Y8" s="329">
        <v>39508</v>
      </c>
      <c r="Z8" s="336" t="s">
        <v>781</v>
      </c>
      <c r="AA8" s="337">
        <v>29</v>
      </c>
      <c r="AB8" s="332"/>
      <c r="AC8" s="329">
        <v>40245</v>
      </c>
      <c r="AD8" s="336" t="s">
        <v>787</v>
      </c>
      <c r="AE8" s="337">
        <v>15</v>
      </c>
      <c r="AF8" s="332"/>
      <c r="AG8" s="329">
        <v>40606</v>
      </c>
      <c r="AH8" s="336" t="s">
        <v>2379</v>
      </c>
      <c r="AI8" s="337">
        <v>40</v>
      </c>
      <c r="AJ8" s="332"/>
      <c r="AK8" s="329">
        <v>40972</v>
      </c>
      <c r="AL8" s="336" t="s">
        <v>754</v>
      </c>
      <c r="AM8" s="337">
        <v>48</v>
      </c>
      <c r="AN8" s="332"/>
      <c r="AO8" s="329">
        <v>41336</v>
      </c>
      <c r="AP8" s="336" t="s">
        <v>2380</v>
      </c>
      <c r="AQ8" s="337">
        <v>7</v>
      </c>
      <c r="AR8" s="332"/>
      <c r="AS8" s="329">
        <v>41699</v>
      </c>
      <c r="AT8" s="336" t="s">
        <v>954</v>
      </c>
      <c r="AU8" s="337">
        <v>17</v>
      </c>
      <c r="AV8" s="332"/>
      <c r="AW8" s="329">
        <v>42064</v>
      </c>
      <c r="AX8" s="336" t="s">
        <v>2381</v>
      </c>
      <c r="AY8" s="337">
        <v>80</v>
      </c>
      <c r="AZ8" s="332"/>
      <c r="BA8" s="329">
        <v>42064</v>
      </c>
      <c r="BB8" s="336" t="s">
        <v>954</v>
      </c>
      <c r="BC8" s="337">
        <v>12</v>
      </c>
      <c r="BD8" s="332"/>
      <c r="BE8" s="329">
        <v>42798</v>
      </c>
      <c r="BF8" s="336" t="s">
        <v>823</v>
      </c>
      <c r="BG8" s="337">
        <v>19</v>
      </c>
      <c r="BH8" s="332"/>
      <c r="BI8" s="329">
        <v>43161</v>
      </c>
      <c r="BJ8" s="336" t="s">
        <v>2382</v>
      </c>
      <c r="BK8" s="337">
        <v>41</v>
      </c>
      <c r="BL8" s="332"/>
      <c r="BM8" s="329"/>
      <c r="BN8" s="336"/>
      <c r="BO8" s="902"/>
      <c r="BP8" s="912"/>
      <c r="BQ8" s="1250">
        <v>43525</v>
      </c>
      <c r="BR8" s="1251" t="s">
        <v>823</v>
      </c>
      <c r="BS8" s="902">
        <v>41</v>
      </c>
      <c r="BT8" s="899" t="s">
        <v>414</v>
      </c>
      <c r="BU8" s="895">
        <v>43891</v>
      </c>
      <c r="BV8" s="896" t="s">
        <v>759</v>
      </c>
      <c r="BW8" s="1249">
        <v>295</v>
      </c>
      <c r="BX8" s="899" t="s">
        <v>689</v>
      </c>
      <c r="BY8" s="895">
        <v>43891</v>
      </c>
      <c r="BZ8" s="903" t="s">
        <v>809</v>
      </c>
      <c r="CA8" s="904">
        <f>219 + 179 + 55</f>
        <v>453</v>
      </c>
      <c r="CB8" s="899" t="s">
        <v>689</v>
      </c>
      <c r="CC8" s="895">
        <v>44621</v>
      </c>
      <c r="CD8" s="903" t="s">
        <v>809</v>
      </c>
      <c r="CE8" s="904">
        <f>219 + 179</f>
        <v>398</v>
      </c>
      <c r="CF8" s="899" t="s">
        <v>689</v>
      </c>
      <c r="CG8" s="895">
        <v>44621</v>
      </c>
      <c r="CH8" s="903" t="s">
        <v>809</v>
      </c>
      <c r="CI8" s="904">
        <v>0</v>
      </c>
      <c r="CJ8" s="899" t="s">
        <v>689</v>
      </c>
      <c r="CK8" s="895">
        <v>44621</v>
      </c>
      <c r="CL8" s="1554" t="s">
        <v>1841</v>
      </c>
      <c r="CM8" s="1557">
        <v>600</v>
      </c>
      <c r="CN8" s="1556" t="s">
        <v>689</v>
      </c>
      <c r="CO8" s="895">
        <v>44621</v>
      </c>
      <c r="CP8" s="1554" t="s">
        <v>1841</v>
      </c>
      <c r="CQ8" s="1557">
        <v>600</v>
      </c>
      <c r="CR8" s="1556" t="s">
        <v>689</v>
      </c>
    </row>
    <row r="9" spans="1:96">
      <c r="A9" s="895">
        <v>37681</v>
      </c>
      <c r="B9" s="903" t="s">
        <v>413</v>
      </c>
      <c r="C9" s="906">
        <v>25</v>
      </c>
      <c r="D9" s="1252">
        <v>25</v>
      </c>
      <c r="E9" s="895">
        <v>37681</v>
      </c>
      <c r="F9" s="903" t="s">
        <v>413</v>
      </c>
      <c r="G9" s="906">
        <v>25</v>
      </c>
      <c r="H9" s="1252">
        <v>25</v>
      </c>
      <c r="I9" s="895">
        <v>38416</v>
      </c>
      <c r="J9" s="903" t="s">
        <v>2383</v>
      </c>
      <c r="K9" s="906">
        <v>14</v>
      </c>
      <c r="L9" s="1252"/>
      <c r="M9" s="895">
        <v>38782</v>
      </c>
      <c r="N9" s="903" t="s">
        <v>797</v>
      </c>
      <c r="O9" s="906">
        <v>34</v>
      </c>
      <c r="P9" s="1252"/>
      <c r="Q9" s="895">
        <v>39142</v>
      </c>
      <c r="R9" s="903" t="s">
        <v>2384</v>
      </c>
      <c r="S9" s="902">
        <v>53</v>
      </c>
      <c r="T9" s="343"/>
      <c r="U9" s="329">
        <v>39508</v>
      </c>
      <c r="V9" s="336" t="s">
        <v>783</v>
      </c>
      <c r="W9" s="341">
        <v>23</v>
      </c>
      <c r="X9" s="342"/>
      <c r="Y9" s="329">
        <v>39508</v>
      </c>
      <c r="Z9" s="336" t="s">
        <v>2385</v>
      </c>
      <c r="AA9" s="341">
        <v>6</v>
      </c>
      <c r="AB9" s="332"/>
      <c r="AC9" s="329">
        <v>40245</v>
      </c>
      <c r="AD9" s="336" t="s">
        <v>2386</v>
      </c>
      <c r="AE9" s="337">
        <v>30</v>
      </c>
      <c r="AF9" s="332"/>
      <c r="AG9" s="329">
        <v>40607</v>
      </c>
      <c r="AH9" s="336" t="s">
        <v>797</v>
      </c>
      <c r="AI9" s="337">
        <v>25</v>
      </c>
      <c r="AJ9" s="332"/>
      <c r="AK9" s="329">
        <v>40972</v>
      </c>
      <c r="AL9" s="336" t="s">
        <v>802</v>
      </c>
      <c r="AM9" s="337">
        <v>25</v>
      </c>
      <c r="AN9" s="332"/>
      <c r="AO9" s="329">
        <v>41336</v>
      </c>
      <c r="AP9" s="336" t="s">
        <v>2387</v>
      </c>
      <c r="AQ9" s="337">
        <v>4</v>
      </c>
      <c r="AR9" s="332"/>
      <c r="AS9" s="329">
        <v>41705</v>
      </c>
      <c r="AT9" s="336" t="s">
        <v>2388</v>
      </c>
      <c r="AU9" s="337">
        <v>28</v>
      </c>
      <c r="AV9" s="332"/>
      <c r="AW9" s="329">
        <v>42064</v>
      </c>
      <c r="AX9" s="336" t="s">
        <v>2005</v>
      </c>
      <c r="AY9" s="337">
        <v>28</v>
      </c>
      <c r="AZ9" s="332"/>
      <c r="BA9" s="329">
        <v>42064</v>
      </c>
      <c r="BB9" s="336" t="s">
        <v>2389</v>
      </c>
      <c r="BC9" s="337">
        <v>67</v>
      </c>
      <c r="BD9" s="332"/>
      <c r="BE9" s="329">
        <v>42798</v>
      </c>
      <c r="BF9" s="336" t="s">
        <v>2390</v>
      </c>
      <c r="BG9" s="337">
        <v>54</v>
      </c>
      <c r="BH9" s="332"/>
      <c r="BI9" s="329">
        <v>43161</v>
      </c>
      <c r="BJ9" s="336" t="s">
        <v>1641</v>
      </c>
      <c r="BK9" s="337">
        <v>84</v>
      </c>
      <c r="BL9" s="332"/>
      <c r="BM9" s="329"/>
      <c r="BN9" s="336"/>
      <c r="BO9" s="902"/>
      <c r="BP9" s="912"/>
      <c r="BQ9" s="1250">
        <v>43525</v>
      </c>
      <c r="BR9" s="1251" t="s">
        <v>2391</v>
      </c>
      <c r="BS9" s="902">
        <v>335</v>
      </c>
      <c r="BT9" s="899" t="s">
        <v>707</v>
      </c>
      <c r="BU9" s="895">
        <v>43891</v>
      </c>
      <c r="BV9" s="896" t="s">
        <v>825</v>
      </c>
      <c r="BW9" s="1249" t="s">
        <v>37</v>
      </c>
      <c r="BX9" s="899" t="s">
        <v>689</v>
      </c>
      <c r="BY9" s="895">
        <v>43891</v>
      </c>
      <c r="BZ9" s="903" t="s">
        <v>826</v>
      </c>
      <c r="CA9" s="908"/>
      <c r="CB9" s="899" t="s">
        <v>689</v>
      </c>
      <c r="CC9" s="895">
        <v>44621</v>
      </c>
      <c r="CD9" s="903" t="s">
        <v>2392</v>
      </c>
      <c r="CE9" s="908">
        <v>481</v>
      </c>
      <c r="CF9" s="899" t="s">
        <v>689</v>
      </c>
      <c r="CG9" s="895">
        <v>44621</v>
      </c>
      <c r="CH9" s="903" t="s">
        <v>2392</v>
      </c>
      <c r="CI9" s="908">
        <v>481</v>
      </c>
      <c r="CJ9" s="899" t="s">
        <v>689</v>
      </c>
      <c r="CK9" s="895">
        <v>44621</v>
      </c>
      <c r="CL9" s="1554" t="s">
        <v>759</v>
      </c>
      <c r="CM9" s="1557">
        <v>500</v>
      </c>
      <c r="CN9" s="1556" t="s">
        <v>689</v>
      </c>
      <c r="CO9" s="895">
        <v>44621</v>
      </c>
      <c r="CP9" s="1554" t="s">
        <v>759</v>
      </c>
      <c r="CQ9" s="1557">
        <v>500</v>
      </c>
      <c r="CR9" s="1556" t="s">
        <v>689</v>
      </c>
    </row>
    <row r="10" spans="1:96">
      <c r="A10" s="895">
        <v>37681</v>
      </c>
      <c r="B10" s="901" t="s">
        <v>811</v>
      </c>
      <c r="C10" s="902"/>
      <c r="D10" s="912">
        <v>400</v>
      </c>
      <c r="E10" s="895">
        <v>37681</v>
      </c>
      <c r="F10" s="901" t="s">
        <v>811</v>
      </c>
      <c r="G10" s="902"/>
      <c r="H10" s="912">
        <v>400</v>
      </c>
      <c r="I10" s="895">
        <v>38416</v>
      </c>
      <c r="J10" s="901" t="s">
        <v>1157</v>
      </c>
      <c r="K10" s="902">
        <v>64</v>
      </c>
      <c r="L10" s="912"/>
      <c r="M10" s="895">
        <v>38782</v>
      </c>
      <c r="N10" s="901" t="s">
        <v>2393</v>
      </c>
      <c r="O10" s="902">
        <v>8</v>
      </c>
      <c r="P10" s="912"/>
      <c r="Q10" s="895">
        <v>39142</v>
      </c>
      <c r="R10" s="903" t="s">
        <v>2394</v>
      </c>
      <c r="S10" s="902">
        <v>106</v>
      </c>
      <c r="T10" s="333"/>
      <c r="U10" s="329">
        <v>39509</v>
      </c>
      <c r="V10" s="339" t="s">
        <v>797</v>
      </c>
      <c r="W10" s="337">
        <v>37</v>
      </c>
      <c r="X10" s="332"/>
      <c r="Y10" s="329">
        <v>39875</v>
      </c>
      <c r="Z10" s="336" t="s">
        <v>2395</v>
      </c>
      <c r="AA10" s="341">
        <v>0</v>
      </c>
      <c r="AB10" s="342"/>
      <c r="AC10" s="329">
        <v>40245</v>
      </c>
      <c r="AD10" s="336" t="s">
        <v>797</v>
      </c>
      <c r="AE10" s="341">
        <v>45</v>
      </c>
      <c r="AF10" s="332"/>
      <c r="AG10" s="329">
        <v>40608</v>
      </c>
      <c r="AH10" s="336" t="s">
        <v>937</v>
      </c>
      <c r="AI10" s="341">
        <v>26</v>
      </c>
      <c r="AJ10" s="332"/>
      <c r="AK10" s="329">
        <v>40972</v>
      </c>
      <c r="AL10" s="336" t="s">
        <v>797</v>
      </c>
      <c r="AM10" s="337">
        <v>57</v>
      </c>
      <c r="AN10" s="332"/>
      <c r="AO10" s="329">
        <v>41336</v>
      </c>
      <c r="AP10" s="336" t="s">
        <v>802</v>
      </c>
      <c r="AQ10" s="337">
        <v>34</v>
      </c>
      <c r="AR10" s="332"/>
      <c r="AS10" s="329">
        <v>41705</v>
      </c>
      <c r="AT10" s="336" t="s">
        <v>2396</v>
      </c>
      <c r="AU10" s="337">
        <v>10</v>
      </c>
      <c r="AV10" s="332"/>
      <c r="AW10" s="329">
        <v>42064</v>
      </c>
      <c r="AX10" s="336" t="s">
        <v>2397</v>
      </c>
      <c r="AY10" s="337">
        <v>28</v>
      </c>
      <c r="AZ10" s="332"/>
      <c r="BA10" s="329">
        <v>42064</v>
      </c>
      <c r="BB10" s="336" t="s">
        <v>2398</v>
      </c>
      <c r="BC10" s="337">
        <v>55</v>
      </c>
      <c r="BD10" s="332"/>
      <c r="BE10" s="329">
        <v>42798</v>
      </c>
      <c r="BF10" s="336" t="s">
        <v>872</v>
      </c>
      <c r="BG10" s="337">
        <v>13</v>
      </c>
      <c r="BH10" s="332"/>
      <c r="BI10" s="329">
        <v>43161</v>
      </c>
      <c r="BJ10" s="336" t="s">
        <v>2399</v>
      </c>
      <c r="BK10" s="337">
        <v>14</v>
      </c>
      <c r="BL10" s="332"/>
      <c r="BM10" s="329"/>
      <c r="BN10" s="336"/>
      <c r="BO10" s="902"/>
      <c r="BP10" s="912"/>
      <c r="BQ10" s="1250">
        <v>43526</v>
      </c>
      <c r="BR10" s="1251" t="s">
        <v>890</v>
      </c>
      <c r="BS10" s="902">
        <v>9</v>
      </c>
      <c r="BT10" s="899" t="s">
        <v>414</v>
      </c>
      <c r="BU10" s="895">
        <v>43891</v>
      </c>
      <c r="BV10" s="903" t="s">
        <v>842</v>
      </c>
      <c r="BW10" s="1253">
        <v>400</v>
      </c>
      <c r="BX10" s="899" t="s">
        <v>689</v>
      </c>
      <c r="BY10" s="895">
        <v>43891</v>
      </c>
      <c r="BZ10" s="903" t="s">
        <v>2400</v>
      </c>
      <c r="CA10" s="1253">
        <v>31</v>
      </c>
      <c r="CB10" s="899" t="s">
        <v>414</v>
      </c>
      <c r="CC10" s="895">
        <v>44621</v>
      </c>
      <c r="CD10" s="903" t="s">
        <v>2401</v>
      </c>
      <c r="CE10" s="1253">
        <v>300</v>
      </c>
      <c r="CF10" s="899" t="s">
        <v>689</v>
      </c>
      <c r="CG10" s="895">
        <v>44621</v>
      </c>
      <c r="CH10" s="903" t="s">
        <v>2401</v>
      </c>
      <c r="CI10" s="1253">
        <v>0</v>
      </c>
      <c r="CJ10" s="899" t="s">
        <v>689</v>
      </c>
      <c r="CK10" s="895">
        <v>44621</v>
      </c>
      <c r="CL10" s="1554" t="s">
        <v>1852</v>
      </c>
      <c r="CM10" s="1557">
        <v>1075</v>
      </c>
      <c r="CN10" s="1556" t="s">
        <v>689</v>
      </c>
      <c r="CO10" s="895">
        <v>44621</v>
      </c>
      <c r="CP10" s="1554" t="s">
        <v>1852</v>
      </c>
      <c r="CQ10" s="1557">
        <v>1075</v>
      </c>
      <c r="CR10" s="1556" t="s">
        <v>689</v>
      </c>
    </row>
    <row r="11" spans="1:96">
      <c r="A11" s="895">
        <v>37681</v>
      </c>
      <c r="B11" s="901" t="s">
        <v>415</v>
      </c>
      <c r="C11" s="902">
        <v>42</v>
      </c>
      <c r="D11" s="912"/>
      <c r="E11" s="895">
        <v>37681</v>
      </c>
      <c r="F11" s="901" t="s">
        <v>415</v>
      </c>
      <c r="G11" s="902">
        <v>42</v>
      </c>
      <c r="H11" s="912"/>
      <c r="I11" s="895">
        <v>38416</v>
      </c>
      <c r="J11" s="901" t="s">
        <v>2402</v>
      </c>
      <c r="K11" s="902">
        <v>20</v>
      </c>
      <c r="L11" s="912"/>
      <c r="M11" s="895">
        <v>38787</v>
      </c>
      <c r="N11" s="901" t="s">
        <v>2403</v>
      </c>
      <c r="O11" s="902">
        <v>25</v>
      </c>
      <c r="P11" s="912"/>
      <c r="Q11" s="895">
        <v>39142</v>
      </c>
      <c r="R11" s="903" t="s">
        <v>2404</v>
      </c>
      <c r="S11" s="902">
        <v>0</v>
      </c>
      <c r="T11" s="333"/>
      <c r="U11" s="329">
        <v>39510</v>
      </c>
      <c r="V11" s="339" t="s">
        <v>802</v>
      </c>
      <c r="W11" s="337">
        <v>25</v>
      </c>
      <c r="X11" s="332"/>
      <c r="Y11" s="329">
        <v>39875</v>
      </c>
      <c r="Z11" s="339" t="s">
        <v>2405</v>
      </c>
      <c r="AA11" s="337">
        <v>15</v>
      </c>
      <c r="AB11" s="332"/>
      <c r="AC11" s="329">
        <v>40247</v>
      </c>
      <c r="AD11" s="336" t="s">
        <v>2406</v>
      </c>
      <c r="AE11" s="341">
        <v>210</v>
      </c>
      <c r="AF11" s="342"/>
      <c r="AG11" s="329">
        <v>40608</v>
      </c>
      <c r="AH11" s="336" t="s">
        <v>797</v>
      </c>
      <c r="AI11" s="341">
        <v>53</v>
      </c>
      <c r="AJ11" s="342"/>
      <c r="AK11" s="329">
        <v>40975</v>
      </c>
      <c r="AL11" s="336" t="s">
        <v>2407</v>
      </c>
      <c r="AM11" s="341">
        <v>20</v>
      </c>
      <c r="AN11" s="332"/>
      <c r="AO11" s="329">
        <v>41336</v>
      </c>
      <c r="AP11" s="336" t="s">
        <v>2408</v>
      </c>
      <c r="AQ11" s="341">
        <v>10</v>
      </c>
      <c r="AR11" s="332"/>
      <c r="AS11" s="329">
        <v>41705</v>
      </c>
      <c r="AT11" s="336" t="s">
        <v>797</v>
      </c>
      <c r="AU11" s="341">
        <v>40</v>
      </c>
      <c r="AV11" s="332"/>
      <c r="AW11" s="329">
        <v>42064</v>
      </c>
      <c r="AX11" s="336" t="s">
        <v>797</v>
      </c>
      <c r="AY11" s="341">
        <v>39</v>
      </c>
      <c r="AZ11" s="332"/>
      <c r="BA11" s="329">
        <v>42431</v>
      </c>
      <c r="BB11" s="336" t="s">
        <v>1770</v>
      </c>
      <c r="BC11" s="341">
        <v>4</v>
      </c>
      <c r="BD11" s="332"/>
      <c r="BE11" s="329">
        <v>42798</v>
      </c>
      <c r="BF11" s="336" t="s">
        <v>2409</v>
      </c>
      <c r="BG11" s="337">
        <v>18</v>
      </c>
      <c r="BH11" s="332"/>
      <c r="BI11" s="329">
        <v>43161</v>
      </c>
      <c r="BJ11" s="336" t="s">
        <v>1152</v>
      </c>
      <c r="BK11" s="337">
        <v>11</v>
      </c>
      <c r="BL11" s="332"/>
      <c r="BM11" s="329"/>
      <c r="BN11" s="336"/>
      <c r="BO11" s="902"/>
      <c r="BP11" s="912"/>
      <c r="BQ11" s="1250">
        <v>43526</v>
      </c>
      <c r="BR11" s="1251" t="s">
        <v>2410</v>
      </c>
      <c r="BS11" s="902">
        <v>20</v>
      </c>
      <c r="BT11" s="899" t="s">
        <v>700</v>
      </c>
      <c r="BU11" s="895">
        <v>43891</v>
      </c>
      <c r="BV11" s="903" t="s">
        <v>826</v>
      </c>
      <c r="BW11" s="1253">
        <v>288</v>
      </c>
      <c r="BX11" s="899" t="s">
        <v>689</v>
      </c>
      <c r="BY11" s="895">
        <v>44261</v>
      </c>
      <c r="BZ11" s="903" t="s">
        <v>2411</v>
      </c>
      <c r="CA11" s="1253">
        <v>6</v>
      </c>
      <c r="CB11" s="899" t="s">
        <v>414</v>
      </c>
      <c r="CC11" s="895">
        <v>44621</v>
      </c>
      <c r="CD11" s="903" t="s">
        <v>1710</v>
      </c>
      <c r="CE11" s="1253">
        <v>26</v>
      </c>
      <c r="CF11" s="899" t="s">
        <v>414</v>
      </c>
      <c r="CG11" s="895">
        <v>44621</v>
      </c>
      <c r="CH11" s="903" t="s">
        <v>1710</v>
      </c>
      <c r="CI11" s="1253">
        <v>26</v>
      </c>
      <c r="CJ11" s="899" t="s">
        <v>414</v>
      </c>
      <c r="CK11" s="895">
        <v>45354</v>
      </c>
      <c r="CL11" s="903" t="s">
        <v>2412</v>
      </c>
      <c r="CM11" s="1253">
        <v>115</v>
      </c>
      <c r="CN11" s="899" t="s">
        <v>414</v>
      </c>
      <c r="CO11" s="895"/>
      <c r="CP11" s="903"/>
      <c r="CQ11" s="1253"/>
      <c r="CR11" s="899"/>
    </row>
    <row r="12" spans="1:96">
      <c r="A12" s="895">
        <v>37681</v>
      </c>
      <c r="B12" s="901" t="s">
        <v>847</v>
      </c>
      <c r="C12" s="902">
        <v>55</v>
      </c>
      <c r="D12" s="912"/>
      <c r="E12" s="895">
        <v>37681</v>
      </c>
      <c r="F12" s="901" t="s">
        <v>847</v>
      </c>
      <c r="G12" s="902">
        <v>55</v>
      </c>
      <c r="H12" s="912"/>
      <c r="I12" s="895">
        <v>38416</v>
      </c>
      <c r="J12" s="901" t="s">
        <v>2413</v>
      </c>
      <c r="K12" s="902">
        <v>12</v>
      </c>
      <c r="L12" s="912"/>
      <c r="M12" s="895">
        <v>38787</v>
      </c>
      <c r="N12" s="901" t="s">
        <v>2414</v>
      </c>
      <c r="O12" s="902">
        <v>25</v>
      </c>
      <c r="P12" s="912"/>
      <c r="Q12" s="895">
        <v>39142</v>
      </c>
      <c r="R12" s="903" t="s">
        <v>2415</v>
      </c>
      <c r="S12" s="902">
        <v>0</v>
      </c>
      <c r="T12" s="333"/>
      <c r="U12" s="329">
        <v>39510</v>
      </c>
      <c r="V12" s="339" t="s">
        <v>2416</v>
      </c>
      <c r="W12" s="337">
        <v>10</v>
      </c>
      <c r="X12" s="332"/>
      <c r="Y12" s="329">
        <v>39876</v>
      </c>
      <c r="Z12" s="339" t="s">
        <v>2417</v>
      </c>
      <c r="AA12" s="337">
        <v>2</v>
      </c>
      <c r="AB12" s="332"/>
      <c r="AC12" s="329">
        <v>40250</v>
      </c>
      <c r="AD12" s="339" t="s">
        <v>1352</v>
      </c>
      <c r="AE12" s="337">
        <v>57</v>
      </c>
      <c r="AF12" s="332"/>
      <c r="AG12" s="329">
        <v>40609</v>
      </c>
      <c r="AH12" s="339" t="s">
        <v>2418</v>
      </c>
      <c r="AI12" s="337">
        <v>30</v>
      </c>
      <c r="AJ12" s="332"/>
      <c r="AK12" s="329">
        <v>40975</v>
      </c>
      <c r="AL12" s="336" t="s">
        <v>802</v>
      </c>
      <c r="AM12" s="341">
        <v>51</v>
      </c>
      <c r="AN12" s="332"/>
      <c r="AO12" s="329">
        <v>41337</v>
      </c>
      <c r="AP12" s="336" t="s">
        <v>2419</v>
      </c>
      <c r="AQ12" s="341">
        <v>8</v>
      </c>
      <c r="AR12" s="332"/>
      <c r="AS12" s="329">
        <v>41705</v>
      </c>
      <c r="AT12" s="336" t="s">
        <v>802</v>
      </c>
      <c r="AU12" s="341">
        <v>50</v>
      </c>
      <c r="AV12" s="332"/>
      <c r="AW12" s="329">
        <v>42068</v>
      </c>
      <c r="AX12" s="336" t="s">
        <v>2420</v>
      </c>
      <c r="AY12" s="341">
        <v>2</v>
      </c>
      <c r="AZ12" s="332"/>
      <c r="BA12" s="329">
        <v>42431</v>
      </c>
      <c r="BB12" s="336" t="s">
        <v>2421</v>
      </c>
      <c r="BC12" s="341">
        <v>50</v>
      </c>
      <c r="BD12" s="332"/>
      <c r="BE12" s="329">
        <v>42798</v>
      </c>
      <c r="BF12" s="336" t="s">
        <v>2422</v>
      </c>
      <c r="BG12" s="341">
        <v>10</v>
      </c>
      <c r="BH12" s="332"/>
      <c r="BI12" s="329">
        <v>43161</v>
      </c>
      <c r="BJ12" s="336" t="s">
        <v>2423</v>
      </c>
      <c r="BK12" s="341">
        <v>6</v>
      </c>
      <c r="BL12" s="332"/>
      <c r="BM12" s="329"/>
      <c r="BN12" s="336"/>
      <c r="BO12" s="906"/>
      <c r="BP12" s="912"/>
      <c r="BQ12" s="1250">
        <v>43526</v>
      </c>
      <c r="BR12" s="1251" t="s">
        <v>873</v>
      </c>
      <c r="BS12" s="906">
        <v>10</v>
      </c>
      <c r="BT12" s="899" t="s">
        <v>414</v>
      </c>
      <c r="BU12" s="895">
        <v>43891</v>
      </c>
      <c r="BV12" s="903" t="s">
        <v>875</v>
      </c>
      <c r="BW12" s="1253">
        <v>30</v>
      </c>
      <c r="BX12" s="899" t="s">
        <v>689</v>
      </c>
      <c r="BY12" s="895">
        <v>44261</v>
      </c>
      <c r="BZ12" s="903" t="s">
        <v>845</v>
      </c>
      <c r="CA12" s="1253">
        <v>29</v>
      </c>
      <c r="CB12" s="899" t="s">
        <v>414</v>
      </c>
      <c r="CC12" s="895">
        <v>44621</v>
      </c>
      <c r="CD12" s="903" t="s">
        <v>2424</v>
      </c>
      <c r="CE12" s="1253">
        <v>18</v>
      </c>
      <c r="CF12" s="899" t="s">
        <v>414</v>
      </c>
      <c r="CG12" s="895">
        <v>44987</v>
      </c>
      <c r="CH12" s="903" t="s">
        <v>2425</v>
      </c>
      <c r="CI12" s="1253">
        <v>36</v>
      </c>
      <c r="CJ12" s="899" t="s">
        <v>426</v>
      </c>
      <c r="CK12" s="895">
        <v>45354</v>
      </c>
      <c r="CL12" s="903" t="s">
        <v>2426</v>
      </c>
      <c r="CM12" s="1253">
        <v>67</v>
      </c>
      <c r="CN12" s="899" t="s">
        <v>414</v>
      </c>
      <c r="CO12" s="895"/>
      <c r="CP12" s="903"/>
      <c r="CQ12" s="1253"/>
      <c r="CR12" s="899"/>
    </row>
    <row r="13" spans="1:96">
      <c r="A13" s="895">
        <v>37681</v>
      </c>
      <c r="B13" s="901" t="s">
        <v>864</v>
      </c>
      <c r="C13" s="902">
        <v>30</v>
      </c>
      <c r="D13" s="912">
        <v>60</v>
      </c>
      <c r="E13" s="895">
        <v>37681</v>
      </c>
      <c r="F13" s="901" t="s">
        <v>864</v>
      </c>
      <c r="G13" s="902">
        <v>30</v>
      </c>
      <c r="H13" s="912">
        <v>60</v>
      </c>
      <c r="I13" s="895">
        <v>38416</v>
      </c>
      <c r="J13" s="901" t="s">
        <v>2427</v>
      </c>
      <c r="K13" s="902">
        <v>13</v>
      </c>
      <c r="L13" s="912"/>
      <c r="M13" s="895">
        <v>38787</v>
      </c>
      <c r="N13" s="901" t="s">
        <v>2428</v>
      </c>
      <c r="O13" s="902">
        <v>5</v>
      </c>
      <c r="P13" s="912"/>
      <c r="Q13" s="895">
        <v>39142</v>
      </c>
      <c r="R13" s="903" t="s">
        <v>2429</v>
      </c>
      <c r="S13" s="902">
        <v>131</v>
      </c>
      <c r="T13" s="333"/>
      <c r="U13" s="329">
        <v>39511</v>
      </c>
      <c r="V13" s="339" t="s">
        <v>802</v>
      </c>
      <c r="W13" s="337">
        <v>37</v>
      </c>
      <c r="X13" s="332"/>
      <c r="Y13" s="329">
        <v>39878</v>
      </c>
      <c r="Z13" s="339" t="s">
        <v>2430</v>
      </c>
      <c r="AA13" s="337">
        <v>30</v>
      </c>
      <c r="AB13" s="332"/>
      <c r="AC13" s="329">
        <v>40250</v>
      </c>
      <c r="AD13" s="339" t="s">
        <v>2431</v>
      </c>
      <c r="AE13" s="337">
        <v>10</v>
      </c>
      <c r="AF13" s="332"/>
      <c r="AG13" s="329">
        <v>40609</v>
      </c>
      <c r="AH13" s="339" t="s">
        <v>937</v>
      </c>
      <c r="AI13" s="337">
        <v>15</v>
      </c>
      <c r="AJ13" s="332"/>
      <c r="AK13" s="329">
        <v>40975</v>
      </c>
      <c r="AL13" s="336" t="s">
        <v>2432</v>
      </c>
      <c r="AM13" s="341">
        <v>14</v>
      </c>
      <c r="AN13" s="332"/>
      <c r="AO13" s="329">
        <v>41337</v>
      </c>
      <c r="AP13" s="336" t="s">
        <v>2433</v>
      </c>
      <c r="AQ13" s="341">
        <v>18</v>
      </c>
      <c r="AR13" s="332"/>
      <c r="AS13" s="329">
        <v>41705</v>
      </c>
      <c r="AT13" s="336" t="s">
        <v>2434</v>
      </c>
      <c r="AU13" s="341">
        <v>6</v>
      </c>
      <c r="AV13" s="332"/>
      <c r="AW13" s="329">
        <v>42068</v>
      </c>
      <c r="AX13" s="336" t="s">
        <v>802</v>
      </c>
      <c r="AY13" s="341">
        <v>30</v>
      </c>
      <c r="AZ13" s="332"/>
      <c r="BA13" s="329">
        <v>42431</v>
      </c>
      <c r="BB13" s="336" t="s">
        <v>2435</v>
      </c>
      <c r="BC13" s="341">
        <v>11</v>
      </c>
      <c r="BD13" s="332"/>
      <c r="BE13" s="329">
        <v>42800</v>
      </c>
      <c r="BF13" s="336" t="s">
        <v>781</v>
      </c>
      <c r="BG13" s="341">
        <v>4</v>
      </c>
      <c r="BH13" s="332"/>
      <c r="BI13" s="329">
        <v>43161</v>
      </c>
      <c r="BJ13" s="336" t="s">
        <v>2436</v>
      </c>
      <c r="BK13" s="341">
        <v>34</v>
      </c>
      <c r="BL13" s="332"/>
      <c r="BM13" s="329"/>
      <c r="BN13" s="336"/>
      <c r="BO13" s="906"/>
      <c r="BP13" s="912"/>
      <c r="BQ13" s="1250">
        <v>43526</v>
      </c>
      <c r="BR13" s="1251" t="s">
        <v>772</v>
      </c>
      <c r="BS13" s="906">
        <v>36</v>
      </c>
      <c r="BT13" s="899" t="s">
        <v>414</v>
      </c>
      <c r="BU13" s="895">
        <v>43891</v>
      </c>
      <c r="BV13" s="903" t="s">
        <v>772</v>
      </c>
      <c r="BW13" s="1253">
        <v>20</v>
      </c>
      <c r="BX13" s="899" t="s">
        <v>414</v>
      </c>
      <c r="BY13" s="895">
        <v>44261</v>
      </c>
      <c r="BZ13" s="903" t="s">
        <v>772</v>
      </c>
      <c r="CA13" s="1253">
        <v>12</v>
      </c>
      <c r="CB13" s="899" t="s">
        <v>414</v>
      </c>
      <c r="CC13" s="895">
        <v>44621</v>
      </c>
      <c r="CD13" s="903" t="s">
        <v>2253</v>
      </c>
      <c r="CE13" s="1253">
        <v>29</v>
      </c>
      <c r="CF13" s="899" t="s">
        <v>414</v>
      </c>
      <c r="CG13" s="895">
        <v>44990</v>
      </c>
      <c r="CH13" s="903" t="s">
        <v>772</v>
      </c>
      <c r="CI13" s="1253">
        <v>29</v>
      </c>
      <c r="CJ13" s="899" t="s">
        <v>414</v>
      </c>
      <c r="CK13" s="895">
        <v>45354</v>
      </c>
      <c r="CL13" s="903" t="s">
        <v>2437</v>
      </c>
      <c r="CM13" s="1253">
        <v>29</v>
      </c>
      <c r="CN13" s="899" t="s">
        <v>414</v>
      </c>
      <c r="CO13" s="895">
        <v>45717</v>
      </c>
      <c r="CP13" s="903" t="s">
        <v>843</v>
      </c>
      <c r="CQ13" s="1253">
        <v>39</v>
      </c>
      <c r="CR13" s="899" t="s">
        <v>414</v>
      </c>
    </row>
    <row r="14" spans="1:96">
      <c r="A14" s="895">
        <v>37681</v>
      </c>
      <c r="B14" s="901" t="s">
        <v>419</v>
      </c>
      <c r="C14" s="902">
        <v>177</v>
      </c>
      <c r="D14" s="912">
        <v>10</v>
      </c>
      <c r="E14" s="895">
        <v>37681</v>
      </c>
      <c r="F14" s="901" t="s">
        <v>419</v>
      </c>
      <c r="G14" s="902">
        <v>177</v>
      </c>
      <c r="H14" s="912">
        <v>10</v>
      </c>
      <c r="I14" s="895">
        <v>38416</v>
      </c>
      <c r="J14" s="901" t="s">
        <v>2438</v>
      </c>
      <c r="K14" s="902">
        <v>10</v>
      </c>
      <c r="L14" s="912"/>
      <c r="M14" s="895">
        <v>38787</v>
      </c>
      <c r="N14" s="901" t="s">
        <v>2439</v>
      </c>
      <c r="O14" s="902">
        <v>16</v>
      </c>
      <c r="P14" s="912"/>
      <c r="Q14" s="1254"/>
      <c r="R14" s="1255"/>
      <c r="S14" s="1256"/>
      <c r="T14" s="372"/>
      <c r="U14" s="329">
        <v>39514</v>
      </c>
      <c r="V14" s="339" t="s">
        <v>2416</v>
      </c>
      <c r="W14" s="337">
        <v>28</v>
      </c>
      <c r="X14" s="332"/>
      <c r="Y14" s="329">
        <v>39878</v>
      </c>
      <c r="Z14" s="339" t="s">
        <v>2440</v>
      </c>
      <c r="AA14" s="337">
        <v>13</v>
      </c>
      <c r="AB14" s="332"/>
      <c r="AC14" s="329">
        <v>40251</v>
      </c>
      <c r="AD14" s="339" t="s">
        <v>781</v>
      </c>
      <c r="AE14" s="337">
        <v>94</v>
      </c>
      <c r="AF14" s="332"/>
      <c r="AG14" s="329">
        <v>40609</v>
      </c>
      <c r="AH14" s="339" t="s">
        <v>2441</v>
      </c>
      <c r="AI14" s="337">
        <v>10</v>
      </c>
      <c r="AJ14" s="332"/>
      <c r="AK14" s="329">
        <v>40978</v>
      </c>
      <c r="AL14" s="336" t="s">
        <v>772</v>
      </c>
      <c r="AM14" s="341">
        <v>85</v>
      </c>
      <c r="AN14" s="342"/>
      <c r="AO14" s="329">
        <v>41341</v>
      </c>
      <c r="AP14" s="336" t="s">
        <v>2386</v>
      </c>
      <c r="AQ14" s="341">
        <v>15</v>
      </c>
      <c r="AR14" s="342"/>
      <c r="AS14" s="329">
        <v>41705</v>
      </c>
      <c r="AT14" s="336" t="s">
        <v>2442</v>
      </c>
      <c r="AU14" s="341">
        <v>29</v>
      </c>
      <c r="AV14" s="342"/>
      <c r="AW14" s="329">
        <v>42068</v>
      </c>
      <c r="AX14" s="336" t="s">
        <v>2443</v>
      </c>
      <c r="AY14" s="341">
        <v>45</v>
      </c>
      <c r="AZ14" s="342"/>
      <c r="BA14" s="329">
        <v>42432</v>
      </c>
      <c r="BB14" s="336" t="s">
        <v>867</v>
      </c>
      <c r="BC14" s="341">
        <v>16</v>
      </c>
      <c r="BD14" s="342"/>
      <c r="BE14" s="329">
        <v>42805</v>
      </c>
      <c r="BF14" s="336" t="s">
        <v>823</v>
      </c>
      <c r="BG14" s="341">
        <v>20</v>
      </c>
      <c r="BH14" s="332"/>
      <c r="BI14" s="329">
        <v>43161</v>
      </c>
      <c r="BJ14" s="336" t="s">
        <v>2444</v>
      </c>
      <c r="BK14" s="341">
        <v>8</v>
      </c>
      <c r="BL14" s="342"/>
      <c r="BM14" s="329"/>
      <c r="BN14" s="336"/>
      <c r="BO14" s="906"/>
      <c r="BP14" s="1252"/>
      <c r="BQ14" s="1250">
        <v>43526</v>
      </c>
      <c r="BR14" s="1251" t="s">
        <v>823</v>
      </c>
      <c r="BS14" s="906">
        <v>28</v>
      </c>
      <c r="BT14" s="899" t="s">
        <v>414</v>
      </c>
      <c r="BU14" s="895">
        <v>43891</v>
      </c>
      <c r="BV14" s="903" t="s">
        <v>873</v>
      </c>
      <c r="BW14" s="1257">
        <v>32</v>
      </c>
      <c r="BX14" s="899" t="s">
        <v>414</v>
      </c>
      <c r="BY14" s="895">
        <v>44261</v>
      </c>
      <c r="BZ14" s="903" t="s">
        <v>872</v>
      </c>
      <c r="CA14" s="1257">
        <v>17</v>
      </c>
      <c r="CB14" s="899" t="s">
        <v>414</v>
      </c>
      <c r="CC14" s="895">
        <v>44621</v>
      </c>
      <c r="CD14" s="903" t="s">
        <v>2445</v>
      </c>
      <c r="CE14" s="1253">
        <v>56</v>
      </c>
      <c r="CF14" s="899" t="s">
        <v>414</v>
      </c>
      <c r="CG14" s="895">
        <v>44990</v>
      </c>
      <c r="CH14" s="903" t="s">
        <v>843</v>
      </c>
      <c r="CI14" s="1253">
        <v>57</v>
      </c>
      <c r="CJ14" s="899" t="s">
        <v>414</v>
      </c>
      <c r="CK14" s="895">
        <v>45354</v>
      </c>
      <c r="CL14" s="903" t="s">
        <v>2446</v>
      </c>
      <c r="CM14" s="1253">
        <v>0</v>
      </c>
      <c r="CN14" s="899" t="s">
        <v>414</v>
      </c>
      <c r="CO14" s="895"/>
      <c r="CP14" s="903" t="s">
        <v>772</v>
      </c>
      <c r="CQ14" s="1253">
        <v>31</v>
      </c>
      <c r="CR14" s="899" t="s">
        <v>414</v>
      </c>
    </row>
    <row r="15" spans="1:96">
      <c r="A15" s="895">
        <v>37681</v>
      </c>
      <c r="B15" s="901" t="s">
        <v>2447</v>
      </c>
      <c r="C15" s="902">
        <v>500</v>
      </c>
      <c r="D15" s="912">
        <v>150</v>
      </c>
      <c r="E15" s="895">
        <v>37681</v>
      </c>
      <c r="F15" s="901" t="s">
        <v>2447</v>
      </c>
      <c r="G15" s="902">
        <v>500</v>
      </c>
      <c r="H15" s="912">
        <v>150</v>
      </c>
      <c r="I15" s="895">
        <v>38416</v>
      </c>
      <c r="J15" s="901" t="s">
        <v>2448</v>
      </c>
      <c r="K15" s="902">
        <v>6</v>
      </c>
      <c r="L15" s="912"/>
      <c r="M15" s="895">
        <v>38787</v>
      </c>
      <c r="N15" s="901" t="s">
        <v>2449</v>
      </c>
      <c r="O15" s="902">
        <v>5</v>
      </c>
      <c r="P15" s="1258"/>
      <c r="Q15" s="1259"/>
      <c r="R15" s="1260" t="s">
        <v>2450</v>
      </c>
      <c r="S15" s="1261">
        <f>SUM(S7:S13)</f>
        <v>437</v>
      </c>
      <c r="T15" s="371"/>
      <c r="U15" s="329">
        <v>39514</v>
      </c>
      <c r="V15" s="339" t="s">
        <v>2451</v>
      </c>
      <c r="W15" s="337">
        <v>697</v>
      </c>
      <c r="X15" s="332"/>
      <c r="Y15" s="329">
        <v>39878</v>
      </c>
      <c r="Z15" s="339" t="s">
        <v>2452</v>
      </c>
      <c r="AA15" s="337">
        <v>3</v>
      </c>
      <c r="AB15" s="332"/>
      <c r="AC15" s="329">
        <v>40251</v>
      </c>
      <c r="AD15" s="339" t="s">
        <v>1573</v>
      </c>
      <c r="AE15" s="337">
        <v>22</v>
      </c>
      <c r="AF15" s="332"/>
      <c r="AG15" s="329">
        <v>40609</v>
      </c>
      <c r="AH15" s="339" t="s">
        <v>2453</v>
      </c>
      <c r="AI15" s="337">
        <v>4</v>
      </c>
      <c r="AJ15" s="332"/>
      <c r="AK15" s="329">
        <v>40978</v>
      </c>
      <c r="AL15" s="339" t="s">
        <v>754</v>
      </c>
      <c r="AM15" s="337">
        <v>75</v>
      </c>
      <c r="AN15" s="332"/>
      <c r="AO15" s="329">
        <v>41342</v>
      </c>
      <c r="AP15" s="339" t="s">
        <v>1245</v>
      </c>
      <c r="AQ15" s="337">
        <v>5</v>
      </c>
      <c r="AR15" s="332"/>
      <c r="AS15" s="329">
        <v>41706</v>
      </c>
      <c r="AT15" s="339" t="s">
        <v>1052</v>
      </c>
      <c r="AU15" s="337">
        <v>19</v>
      </c>
      <c r="AV15" s="332"/>
      <c r="AW15" s="329">
        <v>42068</v>
      </c>
      <c r="AX15" s="339" t="s">
        <v>2454</v>
      </c>
      <c r="AY15" s="337">
        <v>30</v>
      </c>
      <c r="AZ15" s="332"/>
      <c r="BA15" s="329">
        <v>42433</v>
      </c>
      <c r="BB15" s="339" t="s">
        <v>2455</v>
      </c>
      <c r="BC15" s="337">
        <v>52</v>
      </c>
      <c r="BD15" s="332"/>
      <c r="BE15" s="329">
        <v>42805</v>
      </c>
      <c r="BF15" s="336" t="s">
        <v>859</v>
      </c>
      <c r="BG15" s="341">
        <v>25</v>
      </c>
      <c r="BH15" s="342"/>
      <c r="BI15" s="329">
        <v>43161</v>
      </c>
      <c r="BJ15" s="339" t="s">
        <v>2456</v>
      </c>
      <c r="BK15" s="337">
        <v>3</v>
      </c>
      <c r="BL15" s="332"/>
      <c r="BM15" s="329"/>
      <c r="BN15" s="339"/>
      <c r="BO15" s="902"/>
      <c r="BP15" s="912"/>
      <c r="BQ15" s="1250">
        <v>43526</v>
      </c>
      <c r="BR15" s="916" t="s">
        <v>828</v>
      </c>
      <c r="BS15" s="902">
        <v>17</v>
      </c>
      <c r="BT15" s="899" t="s">
        <v>414</v>
      </c>
      <c r="BU15" s="895">
        <v>43891</v>
      </c>
      <c r="BV15" s="903" t="s">
        <v>892</v>
      </c>
      <c r="BW15" s="1257">
        <v>36</v>
      </c>
      <c r="BX15" s="899" t="s">
        <v>280</v>
      </c>
      <c r="BY15" s="895">
        <v>44261</v>
      </c>
      <c r="BZ15" s="903" t="s">
        <v>2457</v>
      </c>
      <c r="CA15" s="1257">
        <v>10</v>
      </c>
      <c r="CB15" s="899" t="s">
        <v>414</v>
      </c>
      <c r="CC15" s="895">
        <v>44621</v>
      </c>
      <c r="CD15" s="903" t="s">
        <v>2458</v>
      </c>
      <c r="CE15" s="1257">
        <v>12</v>
      </c>
      <c r="CF15" s="899" t="s">
        <v>414</v>
      </c>
      <c r="CG15" s="895">
        <v>44990</v>
      </c>
      <c r="CH15" s="903" t="s">
        <v>872</v>
      </c>
      <c r="CI15" s="1257">
        <v>12</v>
      </c>
      <c r="CJ15" s="899" t="s">
        <v>414</v>
      </c>
      <c r="CK15" s="895">
        <v>45354</v>
      </c>
      <c r="CL15" s="903" t="s">
        <v>2459</v>
      </c>
      <c r="CM15" s="1253">
        <v>45</v>
      </c>
      <c r="CN15" s="899" t="s">
        <v>414</v>
      </c>
      <c r="CO15" s="895"/>
      <c r="CP15" s="903" t="s">
        <v>859</v>
      </c>
      <c r="CQ15" s="1253">
        <v>0</v>
      </c>
      <c r="CR15" s="899" t="s">
        <v>414</v>
      </c>
    </row>
    <row r="16" spans="1:96">
      <c r="A16" s="895">
        <v>37681</v>
      </c>
      <c r="B16" s="901" t="s">
        <v>280</v>
      </c>
      <c r="C16" s="902">
        <v>40</v>
      </c>
      <c r="D16" s="912"/>
      <c r="E16" s="895">
        <v>37681</v>
      </c>
      <c r="F16" s="901" t="s">
        <v>280</v>
      </c>
      <c r="G16" s="902">
        <v>40</v>
      </c>
      <c r="H16" s="912"/>
      <c r="I16" s="895">
        <v>38417</v>
      </c>
      <c r="J16" s="901" t="s">
        <v>937</v>
      </c>
      <c r="K16" s="902">
        <v>24</v>
      </c>
      <c r="L16" s="912"/>
      <c r="M16" s="895">
        <v>38787</v>
      </c>
      <c r="N16" s="901" t="s">
        <v>1810</v>
      </c>
      <c r="O16" s="902">
        <v>26</v>
      </c>
      <c r="P16" s="1258"/>
      <c r="Q16" s="895"/>
      <c r="R16" s="903" t="s">
        <v>2460</v>
      </c>
      <c r="S16" s="902">
        <v>569</v>
      </c>
      <c r="T16" s="333"/>
      <c r="U16" s="329">
        <v>39514</v>
      </c>
      <c r="V16" s="339" t="s">
        <v>2461</v>
      </c>
      <c r="W16" s="337">
        <v>40</v>
      </c>
      <c r="X16" s="332"/>
      <c r="Y16" s="329">
        <v>39878</v>
      </c>
      <c r="Z16" s="339" t="s">
        <v>781</v>
      </c>
      <c r="AA16" s="337">
        <v>62</v>
      </c>
      <c r="AB16" s="332"/>
      <c r="AC16" s="329">
        <v>40254</v>
      </c>
      <c r="AD16" s="339" t="s">
        <v>797</v>
      </c>
      <c r="AE16" s="337">
        <v>48</v>
      </c>
      <c r="AF16" s="332"/>
      <c r="AG16" s="329">
        <v>40610</v>
      </c>
      <c r="AH16" s="339" t="s">
        <v>767</v>
      </c>
      <c r="AI16" s="337">
        <v>5</v>
      </c>
      <c r="AJ16" s="332"/>
      <c r="AK16" s="329">
        <v>40978</v>
      </c>
      <c r="AL16" s="339" t="s">
        <v>1903</v>
      </c>
      <c r="AM16" s="337">
        <v>65</v>
      </c>
      <c r="AN16" s="332"/>
      <c r="AO16" s="329">
        <v>41342</v>
      </c>
      <c r="AP16" s="339" t="s">
        <v>2462</v>
      </c>
      <c r="AQ16" s="337">
        <v>21</v>
      </c>
      <c r="AR16" s="332"/>
      <c r="AS16" s="329">
        <v>41706</v>
      </c>
      <c r="AT16" s="339" t="s">
        <v>2463</v>
      </c>
      <c r="AU16" s="337">
        <v>50</v>
      </c>
      <c r="AV16" s="332"/>
      <c r="AW16" s="329">
        <v>42069</v>
      </c>
      <c r="AX16" s="339" t="s">
        <v>2464</v>
      </c>
      <c r="AY16" s="337">
        <v>16</v>
      </c>
      <c r="AZ16" s="332"/>
      <c r="BA16" s="329">
        <v>42433</v>
      </c>
      <c r="BB16" s="339" t="s">
        <v>2465</v>
      </c>
      <c r="BC16" s="337">
        <v>13</v>
      </c>
      <c r="BD16" s="332"/>
      <c r="BE16" s="329">
        <v>42805</v>
      </c>
      <c r="BF16" s="339" t="s">
        <v>872</v>
      </c>
      <c r="BG16" s="337">
        <v>10</v>
      </c>
      <c r="BH16" s="332"/>
      <c r="BI16" s="329">
        <v>43161</v>
      </c>
      <c r="BJ16" s="339" t="s">
        <v>2466</v>
      </c>
      <c r="BK16" s="337">
        <v>18</v>
      </c>
      <c r="BL16" s="332"/>
      <c r="BM16" s="329"/>
      <c r="BN16" s="339"/>
      <c r="BO16" s="902"/>
      <c r="BP16" s="912"/>
      <c r="BQ16" s="1250">
        <v>43527</v>
      </c>
      <c r="BR16" s="916" t="s">
        <v>873</v>
      </c>
      <c r="BS16" s="902">
        <v>11</v>
      </c>
      <c r="BT16" s="899" t="s">
        <v>414</v>
      </c>
      <c r="BU16" s="895">
        <v>43891</v>
      </c>
      <c r="BV16" s="903" t="s">
        <v>2467</v>
      </c>
      <c r="BW16" s="1257">
        <v>15</v>
      </c>
      <c r="BX16" s="899" t="s">
        <v>280</v>
      </c>
      <c r="BY16" s="895">
        <v>44261</v>
      </c>
      <c r="BZ16" s="903" t="s">
        <v>2468</v>
      </c>
      <c r="CA16" s="1257">
        <v>151</v>
      </c>
      <c r="CB16" s="899" t="s">
        <v>701</v>
      </c>
      <c r="CC16" s="895">
        <v>44621</v>
      </c>
      <c r="CD16" s="903" t="s">
        <v>2469</v>
      </c>
      <c r="CE16" s="1257">
        <v>3</v>
      </c>
      <c r="CF16" s="899" t="s">
        <v>414</v>
      </c>
      <c r="CG16" s="895">
        <v>44990</v>
      </c>
      <c r="CH16" s="903" t="s">
        <v>2470</v>
      </c>
      <c r="CI16" s="1257">
        <v>79</v>
      </c>
      <c r="CJ16" s="899" t="s">
        <v>414</v>
      </c>
      <c r="CK16" s="895">
        <v>45354</v>
      </c>
      <c r="CL16" s="903" t="s">
        <v>2471</v>
      </c>
      <c r="CM16" s="1257">
        <v>0</v>
      </c>
      <c r="CN16" s="899" t="s">
        <v>414</v>
      </c>
      <c r="CO16" s="895"/>
      <c r="CP16" s="903" t="s">
        <v>797</v>
      </c>
      <c r="CQ16" s="1257">
        <v>30</v>
      </c>
      <c r="CR16" s="899" t="s">
        <v>410</v>
      </c>
    </row>
    <row r="17" spans="1:96">
      <c r="A17" s="895">
        <v>37681</v>
      </c>
      <c r="B17" s="901" t="s">
        <v>2472</v>
      </c>
      <c r="C17" s="902">
        <v>269</v>
      </c>
      <c r="D17" s="912">
        <v>272</v>
      </c>
      <c r="E17" s="895">
        <v>37681</v>
      </c>
      <c r="F17" s="901" t="s">
        <v>2473</v>
      </c>
      <c r="G17" s="902">
        <v>269</v>
      </c>
      <c r="H17" s="912">
        <v>272</v>
      </c>
      <c r="I17" s="895">
        <v>38417</v>
      </c>
      <c r="J17" s="901" t="s">
        <v>2439</v>
      </c>
      <c r="K17" s="902">
        <v>15</v>
      </c>
      <c r="L17" s="912"/>
      <c r="M17" s="895">
        <v>38787</v>
      </c>
      <c r="N17" s="901" t="s">
        <v>1810</v>
      </c>
      <c r="O17" s="902">
        <v>5</v>
      </c>
      <c r="P17" s="1258"/>
      <c r="Q17" s="895"/>
      <c r="R17" s="903" t="s">
        <v>2474</v>
      </c>
      <c r="S17" s="902">
        <v>207</v>
      </c>
      <c r="T17" s="333"/>
      <c r="U17" s="329">
        <v>39515</v>
      </c>
      <c r="V17" s="339" t="s">
        <v>797</v>
      </c>
      <c r="W17" s="337">
        <v>50</v>
      </c>
      <c r="X17" s="332"/>
      <c r="Y17" s="329">
        <v>39878</v>
      </c>
      <c r="Z17" s="339" t="s">
        <v>802</v>
      </c>
      <c r="AA17" s="337">
        <v>25</v>
      </c>
      <c r="AB17" s="332"/>
      <c r="AC17" s="329">
        <v>40254</v>
      </c>
      <c r="AD17" s="339" t="s">
        <v>960</v>
      </c>
      <c r="AE17" s="337">
        <v>14</v>
      </c>
      <c r="AF17" s="332"/>
      <c r="AG17" s="329">
        <v>40610</v>
      </c>
      <c r="AH17" s="339" t="s">
        <v>2475</v>
      </c>
      <c r="AI17" s="337">
        <v>24</v>
      </c>
      <c r="AJ17" s="332"/>
      <c r="AK17" s="329">
        <v>40984</v>
      </c>
      <c r="AL17" s="339" t="s">
        <v>797</v>
      </c>
      <c r="AM17" s="337">
        <v>67</v>
      </c>
      <c r="AN17" s="332"/>
      <c r="AO17" s="329">
        <v>41342</v>
      </c>
      <c r="AP17" s="339" t="s">
        <v>754</v>
      </c>
      <c r="AQ17" s="337">
        <v>120</v>
      </c>
      <c r="AR17" s="332"/>
      <c r="AS17" s="329">
        <v>41706</v>
      </c>
      <c r="AT17" s="339" t="s">
        <v>2476</v>
      </c>
      <c r="AU17" s="337">
        <v>32</v>
      </c>
      <c r="AV17" s="332"/>
      <c r="AW17" s="329">
        <v>42070</v>
      </c>
      <c r="AX17" s="339" t="s">
        <v>1903</v>
      </c>
      <c r="AY17" s="337">
        <v>16</v>
      </c>
      <c r="AZ17" s="332"/>
      <c r="BA17" s="329">
        <v>42433</v>
      </c>
      <c r="BB17" s="339" t="s">
        <v>2477</v>
      </c>
      <c r="BC17" s="337">
        <v>38</v>
      </c>
      <c r="BD17" s="332"/>
      <c r="BE17" s="329">
        <v>42805</v>
      </c>
      <c r="BF17" s="339" t="s">
        <v>781</v>
      </c>
      <c r="BG17" s="337">
        <v>6</v>
      </c>
      <c r="BH17" s="332"/>
      <c r="BI17" s="329">
        <v>43161</v>
      </c>
      <c r="BJ17" s="339" t="s">
        <v>2478</v>
      </c>
      <c r="BK17" s="337">
        <v>2</v>
      </c>
      <c r="BL17" s="332"/>
      <c r="BM17" s="329"/>
      <c r="BN17" s="339"/>
      <c r="BO17" s="902"/>
      <c r="BP17" s="912"/>
      <c r="BQ17" s="1250">
        <v>43529</v>
      </c>
      <c r="BR17" s="916" t="s">
        <v>2479</v>
      </c>
      <c r="BS17" s="902">
        <v>250</v>
      </c>
      <c r="BT17" s="899" t="s">
        <v>280</v>
      </c>
      <c r="BU17" s="895">
        <v>43896</v>
      </c>
      <c r="BV17" s="903" t="s">
        <v>2480</v>
      </c>
      <c r="BW17" s="1257">
        <v>17</v>
      </c>
      <c r="BX17" s="899" t="s">
        <v>280</v>
      </c>
      <c r="BY17" s="895">
        <v>44261</v>
      </c>
      <c r="BZ17" s="903" t="s">
        <v>1289</v>
      </c>
      <c r="CA17" s="1257">
        <v>10</v>
      </c>
      <c r="CB17" s="899" t="s">
        <v>278</v>
      </c>
      <c r="CC17" s="895">
        <v>44621</v>
      </c>
      <c r="CD17" s="903" t="s">
        <v>2481</v>
      </c>
      <c r="CE17" s="1257">
        <v>39</v>
      </c>
      <c r="CF17" s="899" t="s">
        <v>693</v>
      </c>
      <c r="CG17" s="895">
        <v>44990</v>
      </c>
      <c r="CH17" s="903" t="s">
        <v>859</v>
      </c>
      <c r="CI17" s="1257">
        <v>15</v>
      </c>
      <c r="CJ17" s="899" t="s">
        <v>414</v>
      </c>
      <c r="CK17" s="895">
        <v>45354</v>
      </c>
      <c r="CL17" s="903" t="s">
        <v>2482</v>
      </c>
      <c r="CM17" s="1257">
        <v>40</v>
      </c>
      <c r="CN17" s="899" t="s">
        <v>414</v>
      </c>
      <c r="CO17" s="895"/>
      <c r="CP17" s="903" t="s">
        <v>2483</v>
      </c>
      <c r="CQ17" s="1257" t="s">
        <v>37</v>
      </c>
      <c r="CR17" s="899"/>
    </row>
    <row r="18" spans="1:96">
      <c r="A18" s="895">
        <v>37681</v>
      </c>
      <c r="B18" s="901" t="s">
        <v>900</v>
      </c>
      <c r="C18" s="902">
        <v>3</v>
      </c>
      <c r="D18" s="912"/>
      <c r="E18" s="895">
        <v>37681</v>
      </c>
      <c r="F18" s="901" t="s">
        <v>900</v>
      </c>
      <c r="G18" s="902">
        <v>3</v>
      </c>
      <c r="H18" s="912"/>
      <c r="I18" s="895">
        <v>38418</v>
      </c>
      <c r="J18" s="901" t="s">
        <v>849</v>
      </c>
      <c r="K18" s="902">
        <v>5</v>
      </c>
      <c r="L18" s="912"/>
      <c r="M18" s="895">
        <v>38788</v>
      </c>
      <c r="N18" s="901" t="s">
        <v>1810</v>
      </c>
      <c r="O18" s="902">
        <v>10</v>
      </c>
      <c r="P18" s="1258"/>
      <c r="Q18" s="895"/>
      <c r="R18" s="903" t="s">
        <v>2484</v>
      </c>
      <c r="S18" s="902">
        <v>285</v>
      </c>
      <c r="T18" s="333"/>
      <c r="U18" s="329">
        <v>39515</v>
      </c>
      <c r="V18" s="339" t="s">
        <v>937</v>
      </c>
      <c r="W18" s="337">
        <v>15</v>
      </c>
      <c r="X18" s="332"/>
      <c r="Y18" s="329">
        <v>39878</v>
      </c>
      <c r="Z18" s="339" t="s">
        <v>2485</v>
      </c>
      <c r="AA18" s="337">
        <v>11</v>
      </c>
      <c r="AB18" s="332"/>
      <c r="AC18" s="329">
        <v>40256</v>
      </c>
      <c r="AD18" s="339" t="s">
        <v>1237</v>
      </c>
      <c r="AE18" s="337">
        <v>30</v>
      </c>
      <c r="AF18" s="332"/>
      <c r="AG18" s="329">
        <v>40610</v>
      </c>
      <c r="AH18" s="339" t="s">
        <v>2486</v>
      </c>
      <c r="AI18" s="337">
        <v>0</v>
      </c>
      <c r="AJ18" s="332"/>
      <c r="AK18" s="329">
        <v>40985</v>
      </c>
      <c r="AL18" s="339" t="s">
        <v>2487</v>
      </c>
      <c r="AM18" s="337">
        <v>20</v>
      </c>
      <c r="AN18" s="332"/>
      <c r="AO18" s="329">
        <v>41342</v>
      </c>
      <c r="AP18" s="339" t="s">
        <v>797</v>
      </c>
      <c r="AQ18" s="337">
        <v>65</v>
      </c>
      <c r="AR18" s="332"/>
      <c r="AS18" s="329">
        <v>41706</v>
      </c>
      <c r="AT18" s="339" t="s">
        <v>2488</v>
      </c>
      <c r="AU18" s="337">
        <v>35</v>
      </c>
      <c r="AV18" s="332"/>
      <c r="AW18" s="329">
        <v>42070</v>
      </c>
      <c r="AX18" s="339" t="s">
        <v>781</v>
      </c>
      <c r="AY18" s="337">
        <v>40</v>
      </c>
      <c r="AZ18" s="332"/>
      <c r="BA18" s="329">
        <v>42434</v>
      </c>
      <c r="BB18" s="339" t="s">
        <v>1634</v>
      </c>
      <c r="BC18" s="337">
        <v>120</v>
      </c>
      <c r="BD18" s="332"/>
      <c r="BE18" s="329">
        <v>42806</v>
      </c>
      <c r="BF18" s="339" t="s">
        <v>2489</v>
      </c>
      <c r="BG18" s="337">
        <v>11</v>
      </c>
      <c r="BH18" s="332"/>
      <c r="BI18" s="329">
        <v>43161</v>
      </c>
      <c r="BJ18" s="339" t="s">
        <v>2490</v>
      </c>
      <c r="BK18" s="337">
        <v>5</v>
      </c>
      <c r="BL18" s="332"/>
      <c r="BM18" s="329"/>
      <c r="BN18" s="339"/>
      <c r="BO18" s="902"/>
      <c r="BP18" s="912"/>
      <c r="BQ18" s="1250">
        <v>43533</v>
      </c>
      <c r="BR18" s="916" t="s">
        <v>823</v>
      </c>
      <c r="BS18" s="902">
        <v>50</v>
      </c>
      <c r="BT18" s="899" t="s">
        <v>414</v>
      </c>
      <c r="BU18" s="895">
        <v>43896</v>
      </c>
      <c r="BV18" s="903" t="s">
        <v>873</v>
      </c>
      <c r="BW18" s="1257">
        <v>10</v>
      </c>
      <c r="BX18" s="899" t="s">
        <v>414</v>
      </c>
      <c r="BY18" s="895">
        <v>44263</v>
      </c>
      <c r="BZ18" s="903" t="s">
        <v>2491</v>
      </c>
      <c r="CA18" s="1257">
        <v>40</v>
      </c>
      <c r="CB18" s="899" t="s">
        <v>414</v>
      </c>
      <c r="CC18" s="895">
        <v>44621</v>
      </c>
      <c r="CD18" s="903" t="s">
        <v>2492</v>
      </c>
      <c r="CE18" s="1257">
        <v>12</v>
      </c>
      <c r="CF18" s="899" t="s">
        <v>693</v>
      </c>
      <c r="CG18" s="895">
        <v>44990</v>
      </c>
      <c r="CH18" s="903" t="s">
        <v>2425</v>
      </c>
      <c r="CI18" s="1257">
        <v>26</v>
      </c>
      <c r="CJ18" s="899" t="s">
        <v>426</v>
      </c>
      <c r="CK18" s="895">
        <v>45354</v>
      </c>
      <c r="CL18" s="903" t="s">
        <v>2493</v>
      </c>
      <c r="CM18" s="1257">
        <v>9</v>
      </c>
      <c r="CN18" s="899" t="s">
        <v>414</v>
      </c>
      <c r="CO18" s="895"/>
      <c r="CP18" s="903" t="s">
        <v>2494</v>
      </c>
      <c r="CQ18" s="1257">
        <v>32</v>
      </c>
      <c r="CR18" s="899"/>
    </row>
    <row r="19" spans="1:96">
      <c r="A19" s="895">
        <v>37683</v>
      </c>
      <c r="B19" s="901" t="s">
        <v>1616</v>
      </c>
      <c r="C19" s="902">
        <v>8</v>
      </c>
      <c r="D19" s="912"/>
      <c r="E19" s="895">
        <v>38047</v>
      </c>
      <c r="F19" s="901" t="s">
        <v>2495</v>
      </c>
      <c r="G19" s="902">
        <v>170</v>
      </c>
      <c r="H19" s="912"/>
      <c r="I19" s="895">
        <v>38418</v>
      </c>
      <c r="J19" s="901" t="s">
        <v>2496</v>
      </c>
      <c r="K19" s="902">
        <v>14</v>
      </c>
      <c r="L19" s="912"/>
      <c r="M19" s="895">
        <v>38788</v>
      </c>
      <c r="N19" s="901" t="s">
        <v>797</v>
      </c>
      <c r="O19" s="902">
        <v>24</v>
      </c>
      <c r="P19" s="1258"/>
      <c r="Q19" s="895"/>
      <c r="R19" s="903" t="s">
        <v>2497</v>
      </c>
      <c r="S19" s="902">
        <v>135</v>
      </c>
      <c r="T19" s="333"/>
      <c r="U19" s="329">
        <v>39518</v>
      </c>
      <c r="V19" s="339" t="s">
        <v>2498</v>
      </c>
      <c r="W19" s="337">
        <v>15</v>
      </c>
      <c r="X19" s="332"/>
      <c r="Y19" s="329">
        <v>39879</v>
      </c>
      <c r="Z19" s="339" t="s">
        <v>2499</v>
      </c>
      <c r="AA19" s="337">
        <v>30</v>
      </c>
      <c r="AB19" s="332"/>
      <c r="AC19" s="329">
        <v>40256</v>
      </c>
      <c r="AD19" s="339" t="s">
        <v>772</v>
      </c>
      <c r="AE19" s="337">
        <v>88</v>
      </c>
      <c r="AF19" s="332"/>
      <c r="AG19" s="329">
        <v>40612</v>
      </c>
      <c r="AH19" s="339" t="s">
        <v>2500</v>
      </c>
      <c r="AI19" s="337">
        <v>20</v>
      </c>
      <c r="AJ19" s="332"/>
      <c r="AK19" s="329">
        <v>40985</v>
      </c>
      <c r="AL19" s="339" t="s">
        <v>772</v>
      </c>
      <c r="AM19" s="337">
        <v>40</v>
      </c>
      <c r="AN19" s="332"/>
      <c r="AO19" s="329">
        <v>41343</v>
      </c>
      <c r="AP19" s="339" t="s">
        <v>1289</v>
      </c>
      <c r="AQ19" s="337">
        <v>4</v>
      </c>
      <c r="AR19" s="332"/>
      <c r="AS19" s="329">
        <v>41706</v>
      </c>
      <c r="AT19" s="339" t="s">
        <v>2501</v>
      </c>
      <c r="AU19" s="337">
        <v>57</v>
      </c>
      <c r="AV19" s="332"/>
      <c r="AW19" s="329">
        <v>42070</v>
      </c>
      <c r="AX19" s="339" t="s">
        <v>954</v>
      </c>
      <c r="AY19" s="337">
        <v>70</v>
      </c>
      <c r="AZ19" s="332"/>
      <c r="BA19" s="329">
        <v>42434</v>
      </c>
      <c r="BB19" s="339" t="s">
        <v>954</v>
      </c>
      <c r="BC19" s="337">
        <v>91</v>
      </c>
      <c r="BD19" s="332"/>
      <c r="BE19" s="329">
        <v>42806</v>
      </c>
      <c r="BF19" s="339" t="s">
        <v>2502</v>
      </c>
      <c r="BG19" s="337">
        <v>48</v>
      </c>
      <c r="BH19" s="332"/>
      <c r="BI19" s="329">
        <v>43161</v>
      </c>
      <c r="BJ19" s="339" t="s">
        <v>2503</v>
      </c>
      <c r="BK19" s="337">
        <v>2</v>
      </c>
      <c r="BL19" s="332"/>
      <c r="BM19" s="329"/>
      <c r="BN19" s="339"/>
      <c r="BO19" s="902"/>
      <c r="BP19" s="912"/>
      <c r="BQ19" s="1250">
        <v>43533</v>
      </c>
      <c r="BR19" s="916" t="s">
        <v>1427</v>
      </c>
      <c r="BS19" s="902">
        <v>8</v>
      </c>
      <c r="BT19" s="899" t="s">
        <v>414</v>
      </c>
      <c r="BU19" s="895">
        <v>43896</v>
      </c>
      <c r="BV19" s="903" t="s">
        <v>772</v>
      </c>
      <c r="BW19" s="1257">
        <v>47</v>
      </c>
      <c r="BX19" s="899" t="s">
        <v>414</v>
      </c>
      <c r="BY19" s="895">
        <v>44266</v>
      </c>
      <c r="BZ19" s="903" t="s">
        <v>2504</v>
      </c>
      <c r="CA19" s="1257">
        <v>40</v>
      </c>
      <c r="CB19" s="899" t="s">
        <v>414</v>
      </c>
      <c r="CC19" s="895">
        <v>44621</v>
      </c>
      <c r="CD19" s="903" t="s">
        <v>2505</v>
      </c>
      <c r="CE19" s="1257">
        <v>47</v>
      </c>
      <c r="CF19" s="899" t="s">
        <v>414</v>
      </c>
      <c r="CG19" s="895">
        <v>44995</v>
      </c>
      <c r="CH19" s="903" t="s">
        <v>1180</v>
      </c>
      <c r="CI19" s="1257">
        <v>117</v>
      </c>
      <c r="CJ19" s="899" t="s">
        <v>410</v>
      </c>
      <c r="CK19" s="895">
        <v>45354</v>
      </c>
      <c r="CL19" s="903" t="s">
        <v>2506</v>
      </c>
      <c r="CM19" s="1257">
        <v>15</v>
      </c>
      <c r="CN19" s="899" t="s">
        <v>414</v>
      </c>
      <c r="CO19" s="895"/>
      <c r="CP19" s="903" t="s">
        <v>2507</v>
      </c>
      <c r="CQ19" s="1257">
        <v>50</v>
      </c>
      <c r="CR19" s="899" t="s">
        <v>278</v>
      </c>
    </row>
    <row r="20" spans="1:96">
      <c r="A20" s="895">
        <v>37683</v>
      </c>
      <c r="B20" s="901" t="s">
        <v>410</v>
      </c>
      <c r="C20" s="902"/>
      <c r="D20" s="912">
        <v>36</v>
      </c>
      <c r="E20" s="895">
        <v>38047</v>
      </c>
      <c r="F20" s="901" t="s">
        <v>2508</v>
      </c>
      <c r="G20" s="902">
        <v>180</v>
      </c>
      <c r="H20" s="912"/>
      <c r="I20" s="895">
        <v>38421</v>
      </c>
      <c r="J20" s="901" t="s">
        <v>802</v>
      </c>
      <c r="K20" s="902">
        <v>29</v>
      </c>
      <c r="L20" s="912"/>
      <c r="M20" s="895">
        <v>38788</v>
      </c>
      <c r="N20" s="901" t="s">
        <v>849</v>
      </c>
      <c r="O20" s="902">
        <v>4</v>
      </c>
      <c r="P20" s="1258"/>
      <c r="Q20" s="895"/>
      <c r="R20" s="903" t="s">
        <v>2509</v>
      </c>
      <c r="S20" s="902">
        <v>68</v>
      </c>
      <c r="T20" s="333"/>
      <c r="U20" s="329">
        <v>39518</v>
      </c>
      <c r="V20" s="339" t="s">
        <v>2510</v>
      </c>
      <c r="W20" s="337">
        <v>4</v>
      </c>
      <c r="X20" s="332"/>
      <c r="Y20" s="329">
        <v>39881</v>
      </c>
      <c r="Z20" s="339" t="s">
        <v>2417</v>
      </c>
      <c r="AA20" s="337">
        <v>2</v>
      </c>
      <c r="AB20" s="332"/>
      <c r="AC20" s="329">
        <v>40257</v>
      </c>
      <c r="AD20" s="339" t="s">
        <v>781</v>
      </c>
      <c r="AE20" s="337">
        <v>36</v>
      </c>
      <c r="AF20" s="332"/>
      <c r="AG20" s="329">
        <v>40613</v>
      </c>
      <c r="AH20" s="339" t="s">
        <v>2511</v>
      </c>
      <c r="AI20" s="337">
        <v>6</v>
      </c>
      <c r="AJ20" s="332"/>
      <c r="AK20" s="329">
        <v>40985</v>
      </c>
      <c r="AL20" s="339" t="s">
        <v>754</v>
      </c>
      <c r="AM20" s="337">
        <v>65</v>
      </c>
      <c r="AN20" s="332"/>
      <c r="AO20" s="329">
        <v>41343</v>
      </c>
      <c r="AP20" s="339" t="s">
        <v>867</v>
      </c>
      <c r="AQ20" s="337">
        <v>34</v>
      </c>
      <c r="AR20" s="332"/>
      <c r="AS20" s="329">
        <v>41706</v>
      </c>
      <c r="AT20" s="339" t="s">
        <v>754</v>
      </c>
      <c r="AU20" s="337">
        <v>143</v>
      </c>
      <c r="AV20" s="332"/>
      <c r="AW20" s="329">
        <v>42070</v>
      </c>
      <c r="AX20" s="339" t="s">
        <v>998</v>
      </c>
      <c r="AY20" s="337">
        <v>83</v>
      </c>
      <c r="AZ20" s="332"/>
      <c r="BA20" s="329">
        <v>42435</v>
      </c>
      <c r="BB20" s="339" t="s">
        <v>797</v>
      </c>
      <c r="BC20" s="337">
        <v>22</v>
      </c>
      <c r="BD20" s="332"/>
      <c r="BE20" s="329">
        <v>42807</v>
      </c>
      <c r="BF20" s="339" t="s">
        <v>2512</v>
      </c>
      <c r="BG20" s="337">
        <v>179</v>
      </c>
      <c r="BH20" s="332"/>
      <c r="BI20" s="329">
        <v>43162</v>
      </c>
      <c r="BJ20" s="336" t="s">
        <v>797</v>
      </c>
      <c r="BK20" s="337">
        <v>56</v>
      </c>
      <c r="BL20" s="332"/>
      <c r="BM20" s="329"/>
      <c r="BN20" s="336"/>
      <c r="BO20" s="902"/>
      <c r="BP20" s="912"/>
      <c r="BQ20" s="1250">
        <v>43533</v>
      </c>
      <c r="BR20" s="1251" t="s">
        <v>873</v>
      </c>
      <c r="BS20" s="902">
        <v>28</v>
      </c>
      <c r="BT20" s="899" t="s">
        <v>414</v>
      </c>
      <c r="BU20" s="895">
        <v>43896</v>
      </c>
      <c r="BV20" s="903" t="s">
        <v>872</v>
      </c>
      <c r="BW20" s="1257">
        <v>10</v>
      </c>
      <c r="BX20" s="899" t="s">
        <v>414</v>
      </c>
      <c r="BY20" s="895">
        <v>44266</v>
      </c>
      <c r="BZ20" s="903" t="s">
        <v>2513</v>
      </c>
      <c r="CA20" s="1257">
        <v>110</v>
      </c>
      <c r="CB20" s="899" t="s">
        <v>701</v>
      </c>
      <c r="CC20" s="895">
        <v>44621</v>
      </c>
      <c r="CD20" s="903" t="s">
        <v>2514</v>
      </c>
      <c r="CE20" s="1257">
        <v>0</v>
      </c>
      <c r="CF20" s="899" t="s">
        <v>701</v>
      </c>
      <c r="CG20" s="895">
        <v>44996</v>
      </c>
      <c r="CH20" s="903" t="s">
        <v>772</v>
      </c>
      <c r="CI20" s="1257">
        <v>89</v>
      </c>
      <c r="CJ20" s="899" t="s">
        <v>414</v>
      </c>
      <c r="CK20" s="895">
        <v>45354</v>
      </c>
      <c r="CL20" s="903" t="s">
        <v>2515</v>
      </c>
      <c r="CM20" s="1257">
        <v>15</v>
      </c>
      <c r="CN20" s="899" t="s">
        <v>414</v>
      </c>
      <c r="CO20" s="895"/>
      <c r="CP20" s="903" t="s">
        <v>1634</v>
      </c>
      <c r="CQ20" s="1257"/>
      <c r="CR20" s="899"/>
    </row>
    <row r="21" spans="1:96">
      <c r="A21" s="895">
        <v>37683</v>
      </c>
      <c r="B21" s="901" t="s">
        <v>2516</v>
      </c>
      <c r="C21" s="902"/>
      <c r="D21" s="912">
        <v>168</v>
      </c>
      <c r="E21" s="895">
        <v>38047</v>
      </c>
      <c r="F21" s="901" t="s">
        <v>2517</v>
      </c>
      <c r="G21" s="902">
        <v>110</v>
      </c>
      <c r="H21" s="912"/>
      <c r="I21" s="895">
        <v>38423</v>
      </c>
      <c r="J21" s="901" t="s">
        <v>937</v>
      </c>
      <c r="K21" s="902">
        <v>12</v>
      </c>
      <c r="L21" s="912"/>
      <c r="M21" s="895">
        <v>38791</v>
      </c>
      <c r="N21" s="901" t="s">
        <v>802</v>
      </c>
      <c r="O21" s="902">
        <v>35</v>
      </c>
      <c r="P21" s="1258"/>
      <c r="Q21" s="895"/>
      <c r="R21" s="903" t="s">
        <v>2518</v>
      </c>
      <c r="S21" s="902">
        <v>50</v>
      </c>
      <c r="T21" s="333"/>
      <c r="U21" s="329">
        <v>39519</v>
      </c>
      <c r="V21" s="339" t="s">
        <v>802</v>
      </c>
      <c r="W21" s="337">
        <v>44</v>
      </c>
      <c r="X21" s="332"/>
      <c r="Y21" s="329">
        <v>39881</v>
      </c>
      <c r="Z21" s="339" t="s">
        <v>797</v>
      </c>
      <c r="AA21" s="337">
        <v>36</v>
      </c>
      <c r="AB21" s="332"/>
      <c r="AC21" s="329">
        <v>40258</v>
      </c>
      <c r="AD21" s="339" t="s">
        <v>1237</v>
      </c>
      <c r="AE21" s="337">
        <v>40</v>
      </c>
      <c r="AF21" s="332"/>
      <c r="AG21" s="329">
        <v>40614</v>
      </c>
      <c r="AH21" s="339" t="s">
        <v>1289</v>
      </c>
      <c r="AI21" s="337">
        <v>6</v>
      </c>
      <c r="AJ21" s="332"/>
      <c r="AK21" s="329">
        <v>40986</v>
      </c>
      <c r="AL21" s="339" t="s">
        <v>781</v>
      </c>
      <c r="AM21" s="337">
        <v>45</v>
      </c>
      <c r="AN21" s="332"/>
      <c r="AO21" s="329">
        <v>41344</v>
      </c>
      <c r="AP21" s="339" t="s">
        <v>1770</v>
      </c>
      <c r="AQ21" s="337">
        <v>15</v>
      </c>
      <c r="AR21" s="332"/>
      <c r="AS21" s="329">
        <v>41707</v>
      </c>
      <c r="AT21" s="339" t="s">
        <v>2519</v>
      </c>
      <c r="AU21" s="337">
        <v>290</v>
      </c>
      <c r="AV21" s="332"/>
      <c r="AW21" s="329">
        <v>42071</v>
      </c>
      <c r="AX21" s="339" t="s">
        <v>754</v>
      </c>
      <c r="AY21" s="337">
        <v>54</v>
      </c>
      <c r="AZ21" s="332"/>
      <c r="BA21" s="329">
        <v>42436</v>
      </c>
      <c r="BB21" s="339" t="s">
        <v>802</v>
      </c>
      <c r="BC21" s="337">
        <v>27</v>
      </c>
      <c r="BD21" s="332"/>
      <c r="BE21" s="329">
        <v>42809</v>
      </c>
      <c r="BF21" s="339" t="s">
        <v>2520</v>
      </c>
      <c r="BG21" s="337">
        <v>900</v>
      </c>
      <c r="BH21" s="332"/>
      <c r="BI21" s="329">
        <v>43162</v>
      </c>
      <c r="BJ21" s="336" t="s">
        <v>823</v>
      </c>
      <c r="BK21" s="337">
        <v>65</v>
      </c>
      <c r="BL21" s="332"/>
      <c r="BM21" s="329"/>
      <c r="BN21" s="336"/>
      <c r="BO21" s="902"/>
      <c r="BP21" s="912"/>
      <c r="BQ21" s="1250">
        <v>43534</v>
      </c>
      <c r="BR21" s="1251" t="s">
        <v>2521</v>
      </c>
      <c r="BS21" s="902">
        <v>13</v>
      </c>
      <c r="BT21" s="899" t="s">
        <v>414</v>
      </c>
      <c r="BU21" s="895">
        <v>43897</v>
      </c>
      <c r="BV21" s="903" t="s">
        <v>2522</v>
      </c>
      <c r="BW21" s="1257">
        <v>12</v>
      </c>
      <c r="BX21" s="899" t="s">
        <v>278</v>
      </c>
      <c r="BY21" s="895">
        <v>44266</v>
      </c>
      <c r="BZ21" s="903" t="s">
        <v>2523</v>
      </c>
      <c r="CA21" s="1257">
        <v>6</v>
      </c>
      <c r="CB21" s="899" t="s">
        <v>414</v>
      </c>
      <c r="CC21" s="895">
        <v>44621</v>
      </c>
      <c r="CD21" s="903" t="s">
        <v>2524</v>
      </c>
      <c r="CE21" s="1257">
        <v>17</v>
      </c>
      <c r="CF21" s="899" t="s">
        <v>414</v>
      </c>
      <c r="CG21" s="895">
        <v>44996</v>
      </c>
      <c r="CH21" s="903" t="s">
        <v>843</v>
      </c>
      <c r="CI21" s="1257">
        <v>48</v>
      </c>
      <c r="CJ21" s="899" t="s">
        <v>414</v>
      </c>
      <c r="CK21" s="895">
        <v>45354</v>
      </c>
      <c r="CL21" s="903" t="s">
        <v>2525</v>
      </c>
      <c r="CM21" s="1257">
        <v>12</v>
      </c>
      <c r="CN21" s="899" t="s">
        <v>414</v>
      </c>
      <c r="CO21" s="895"/>
      <c r="CP21" s="903" t="s">
        <v>2526</v>
      </c>
      <c r="CQ21" s="1257">
        <v>50</v>
      </c>
      <c r="CR21" s="899" t="s">
        <v>284</v>
      </c>
    </row>
    <row r="22" spans="1:96">
      <c r="A22" s="895">
        <v>37684</v>
      </c>
      <c r="B22" s="901" t="s">
        <v>1616</v>
      </c>
      <c r="C22" s="902">
        <v>7</v>
      </c>
      <c r="D22" s="912"/>
      <c r="E22" s="895">
        <v>38048</v>
      </c>
      <c r="F22" s="901" t="s">
        <v>797</v>
      </c>
      <c r="G22" s="902">
        <v>32</v>
      </c>
      <c r="H22" s="912"/>
      <c r="I22" s="895">
        <v>38423</v>
      </c>
      <c r="J22" s="901" t="s">
        <v>2527</v>
      </c>
      <c r="K22" s="902">
        <v>18</v>
      </c>
      <c r="L22" s="912"/>
      <c r="M22" s="895">
        <v>38792</v>
      </c>
      <c r="N22" s="901" t="s">
        <v>2528</v>
      </c>
      <c r="O22" s="902">
        <v>3</v>
      </c>
      <c r="P22" s="1258"/>
      <c r="Q22" s="895"/>
      <c r="R22" s="903" t="s">
        <v>2529</v>
      </c>
      <c r="S22" s="902">
        <v>30</v>
      </c>
      <c r="T22" s="333"/>
      <c r="U22" s="329">
        <v>39519</v>
      </c>
      <c r="V22" s="339" t="s">
        <v>937</v>
      </c>
      <c r="W22" s="337">
        <v>10</v>
      </c>
      <c r="X22" s="332"/>
      <c r="Y22" s="329">
        <v>39883</v>
      </c>
      <c r="Z22" s="339" t="s">
        <v>2417</v>
      </c>
      <c r="AA22" s="337">
        <v>5</v>
      </c>
      <c r="AB22" s="332"/>
      <c r="AC22" s="329">
        <v>40258</v>
      </c>
      <c r="AD22" s="339" t="s">
        <v>1146</v>
      </c>
      <c r="AE22" s="337">
        <v>80</v>
      </c>
      <c r="AF22" s="332"/>
      <c r="AG22" s="329">
        <v>40614</v>
      </c>
      <c r="AH22" s="339" t="s">
        <v>767</v>
      </c>
      <c r="AI22" s="337">
        <v>3</v>
      </c>
      <c r="AJ22" s="332"/>
      <c r="AK22" s="329">
        <v>40987</v>
      </c>
      <c r="AL22" s="339" t="s">
        <v>2530</v>
      </c>
      <c r="AM22" s="337">
        <v>75</v>
      </c>
      <c r="AN22" s="332"/>
      <c r="AO22" s="329">
        <v>41345</v>
      </c>
      <c r="AP22" s="339" t="s">
        <v>2531</v>
      </c>
      <c r="AQ22" s="337">
        <v>5</v>
      </c>
      <c r="AR22" s="332"/>
      <c r="AS22" s="329">
        <v>41708</v>
      </c>
      <c r="AT22" s="339" t="s">
        <v>797</v>
      </c>
      <c r="AU22" s="337">
        <v>60</v>
      </c>
      <c r="AV22" s="332"/>
      <c r="AW22" s="329">
        <v>42071</v>
      </c>
      <c r="AX22" s="339" t="s">
        <v>772</v>
      </c>
      <c r="AY22" s="337">
        <v>15</v>
      </c>
      <c r="AZ22" s="332"/>
      <c r="BA22" s="329">
        <v>42438</v>
      </c>
      <c r="BB22" s="339" t="s">
        <v>2532</v>
      </c>
      <c r="BC22" s="337">
        <v>25</v>
      </c>
      <c r="BD22" s="332"/>
      <c r="BE22" s="329">
        <v>42809</v>
      </c>
      <c r="BF22" s="339" t="s">
        <v>797</v>
      </c>
      <c r="BG22" s="337">
        <v>55</v>
      </c>
      <c r="BH22" s="332"/>
      <c r="BI22" s="329">
        <v>43162</v>
      </c>
      <c r="BJ22" s="339" t="s">
        <v>872</v>
      </c>
      <c r="BK22" s="337">
        <v>27</v>
      </c>
      <c r="BL22" s="332"/>
      <c r="BM22" s="329"/>
      <c r="BN22" s="339"/>
      <c r="BO22" s="902"/>
      <c r="BP22" s="912"/>
      <c r="BQ22" s="1250">
        <v>43534</v>
      </c>
      <c r="BR22" s="916" t="s">
        <v>828</v>
      </c>
      <c r="BS22" s="902">
        <v>4</v>
      </c>
      <c r="BT22" s="899" t="s">
        <v>414</v>
      </c>
      <c r="BU22" s="895">
        <v>43897</v>
      </c>
      <c r="BV22" s="903" t="s">
        <v>2533</v>
      </c>
      <c r="BW22" s="1257">
        <v>15</v>
      </c>
      <c r="BX22" s="899" t="s">
        <v>278</v>
      </c>
      <c r="BY22" s="895">
        <v>44266</v>
      </c>
      <c r="BZ22" s="903" t="s">
        <v>2534</v>
      </c>
      <c r="CA22" s="1257">
        <v>0</v>
      </c>
      <c r="CB22" s="899" t="s">
        <v>700</v>
      </c>
      <c r="CC22" s="895">
        <v>44621</v>
      </c>
      <c r="CD22" s="903" t="s">
        <v>2535</v>
      </c>
      <c r="CE22" s="1257">
        <v>13</v>
      </c>
      <c r="CF22" s="899" t="s">
        <v>693</v>
      </c>
      <c r="CG22" s="895">
        <v>44996</v>
      </c>
      <c r="CH22" s="903" t="s">
        <v>845</v>
      </c>
      <c r="CI22" s="1257">
        <v>41</v>
      </c>
      <c r="CJ22" s="899" t="s">
        <v>414</v>
      </c>
      <c r="CK22" s="895">
        <v>45354</v>
      </c>
      <c r="CL22" s="903" t="s">
        <v>2536</v>
      </c>
      <c r="CM22" s="1257">
        <v>18</v>
      </c>
      <c r="CN22" s="899" t="s">
        <v>414</v>
      </c>
      <c r="CO22" s="895"/>
      <c r="CP22" s="903" t="s">
        <v>772</v>
      </c>
      <c r="CQ22" s="1257"/>
      <c r="CR22" s="899"/>
    </row>
    <row r="23" spans="1:96">
      <c r="A23" s="895">
        <v>37684</v>
      </c>
      <c r="B23" s="901" t="s">
        <v>2537</v>
      </c>
      <c r="C23" s="902"/>
      <c r="D23" s="912">
        <v>10</v>
      </c>
      <c r="E23" s="895">
        <v>38049</v>
      </c>
      <c r="F23" s="901" t="s">
        <v>2538</v>
      </c>
      <c r="G23" s="902">
        <v>34</v>
      </c>
      <c r="H23" s="912"/>
      <c r="I23" s="895">
        <v>38427</v>
      </c>
      <c r="J23" s="901" t="s">
        <v>802</v>
      </c>
      <c r="K23" s="902">
        <v>25</v>
      </c>
      <c r="L23" s="912"/>
      <c r="M23" s="895">
        <v>38793</v>
      </c>
      <c r="N23" s="901" t="s">
        <v>2539</v>
      </c>
      <c r="O23" s="902">
        <v>250</v>
      </c>
      <c r="P23" s="1258"/>
      <c r="Q23" s="1262"/>
      <c r="R23" s="1263" t="s">
        <v>2540</v>
      </c>
      <c r="S23" s="1264">
        <f>SUM(S15:S22)</f>
        <v>1781</v>
      </c>
      <c r="T23" s="373"/>
      <c r="U23" s="329">
        <v>39522</v>
      </c>
      <c r="V23" s="339" t="s">
        <v>2226</v>
      </c>
      <c r="W23" s="337">
        <v>35</v>
      </c>
      <c r="X23" s="332"/>
      <c r="Y23" s="329">
        <v>39883</v>
      </c>
      <c r="Z23" s="339" t="s">
        <v>781</v>
      </c>
      <c r="AA23" s="337">
        <v>10</v>
      </c>
      <c r="AB23" s="332"/>
      <c r="AC23" s="329">
        <v>40258</v>
      </c>
      <c r="AD23" s="339" t="s">
        <v>797</v>
      </c>
      <c r="AE23" s="337">
        <v>41</v>
      </c>
      <c r="AF23" s="332"/>
      <c r="AG23" s="329">
        <v>40614</v>
      </c>
      <c r="AH23" s="339" t="s">
        <v>781</v>
      </c>
      <c r="AI23" s="337">
        <v>112</v>
      </c>
      <c r="AJ23" s="332"/>
      <c r="AK23" s="329">
        <v>40992</v>
      </c>
      <c r="AL23" s="339" t="s">
        <v>772</v>
      </c>
      <c r="AM23" s="337">
        <v>40</v>
      </c>
      <c r="AN23" s="332"/>
      <c r="AO23" s="329">
        <v>41345</v>
      </c>
      <c r="AP23" s="339" t="s">
        <v>2541</v>
      </c>
      <c r="AQ23" s="337">
        <v>2</v>
      </c>
      <c r="AR23" s="332"/>
      <c r="AS23" s="329">
        <v>41710</v>
      </c>
      <c r="AT23" s="339" t="s">
        <v>2542</v>
      </c>
      <c r="AU23" s="337">
        <v>4</v>
      </c>
      <c r="AV23" s="332"/>
      <c r="AW23" s="329">
        <v>42071</v>
      </c>
      <c r="AX23" s="339" t="s">
        <v>797</v>
      </c>
      <c r="AY23" s="337">
        <v>42</v>
      </c>
      <c r="AZ23" s="332"/>
      <c r="BA23" s="329">
        <v>42439</v>
      </c>
      <c r="BB23" s="339" t="s">
        <v>2543</v>
      </c>
      <c r="BC23" s="337">
        <v>36</v>
      </c>
      <c r="BD23" s="332"/>
      <c r="BE23" s="329">
        <v>42811</v>
      </c>
      <c r="BF23" s="339" t="s">
        <v>2544</v>
      </c>
      <c r="BG23" s="337">
        <v>19</v>
      </c>
      <c r="BH23" s="332"/>
      <c r="BI23" s="329">
        <v>43162</v>
      </c>
      <c r="BJ23" s="339" t="s">
        <v>873</v>
      </c>
      <c r="BK23" s="337">
        <v>23</v>
      </c>
      <c r="BL23" s="332"/>
      <c r="BM23" s="329"/>
      <c r="BN23" s="339"/>
      <c r="BO23" s="902"/>
      <c r="BP23" s="912"/>
      <c r="BQ23" s="1250">
        <v>43534</v>
      </c>
      <c r="BR23" s="916" t="s">
        <v>2545</v>
      </c>
      <c r="BS23" s="902">
        <v>53</v>
      </c>
      <c r="BT23" s="899" t="s">
        <v>414</v>
      </c>
      <c r="BU23" s="895">
        <v>43897</v>
      </c>
      <c r="BV23" s="903" t="s">
        <v>872</v>
      </c>
      <c r="BW23" s="1257">
        <v>25</v>
      </c>
      <c r="BX23" s="899" t="s">
        <v>414</v>
      </c>
      <c r="BY23" s="895">
        <v>44268</v>
      </c>
      <c r="BZ23" s="903" t="s">
        <v>845</v>
      </c>
      <c r="CA23" s="1257">
        <v>46</v>
      </c>
      <c r="CB23" s="899" t="s">
        <v>414</v>
      </c>
      <c r="CC23" s="895">
        <v>44621</v>
      </c>
      <c r="CD23" s="903" t="s">
        <v>2546</v>
      </c>
      <c r="CE23" s="1257">
        <v>27</v>
      </c>
      <c r="CF23" s="899" t="s">
        <v>693</v>
      </c>
      <c r="CG23" s="895">
        <v>44996</v>
      </c>
      <c r="CH23" s="903" t="s">
        <v>987</v>
      </c>
      <c r="CI23" s="1257">
        <v>15</v>
      </c>
      <c r="CJ23" s="899" t="s">
        <v>414</v>
      </c>
      <c r="CK23" s="895">
        <v>45354</v>
      </c>
      <c r="CL23" s="903" t="s">
        <v>2547</v>
      </c>
      <c r="CM23" s="1257">
        <v>27</v>
      </c>
      <c r="CN23" s="899" t="s">
        <v>280</v>
      </c>
      <c r="CO23" s="895"/>
      <c r="CP23" s="903"/>
      <c r="CQ23" s="1257"/>
      <c r="CR23" s="899"/>
    </row>
    <row r="24" spans="1:96">
      <c r="A24" s="895">
        <v>37684</v>
      </c>
      <c r="B24" s="901" t="s">
        <v>954</v>
      </c>
      <c r="C24" s="902">
        <v>73</v>
      </c>
      <c r="D24" s="912"/>
      <c r="E24" s="895">
        <v>38051</v>
      </c>
      <c r="F24" s="901" t="s">
        <v>2548</v>
      </c>
      <c r="G24" s="902">
        <v>20</v>
      </c>
      <c r="H24" s="912"/>
      <c r="I24" s="895">
        <v>38427</v>
      </c>
      <c r="J24" s="901" t="s">
        <v>797</v>
      </c>
      <c r="K24" s="902">
        <v>20</v>
      </c>
      <c r="L24" s="912"/>
      <c r="M24" s="895">
        <v>38794</v>
      </c>
      <c r="N24" s="901" t="s">
        <v>1157</v>
      </c>
      <c r="O24" s="902">
        <v>154</v>
      </c>
      <c r="P24" s="1258"/>
      <c r="Q24" s="895"/>
      <c r="R24" s="903"/>
      <c r="S24" s="906"/>
      <c r="T24" s="333"/>
      <c r="U24" s="329">
        <v>39522</v>
      </c>
      <c r="V24" s="339" t="s">
        <v>937</v>
      </c>
      <c r="W24" s="337">
        <v>62</v>
      </c>
      <c r="X24" s="332"/>
      <c r="Y24" s="329">
        <v>39883</v>
      </c>
      <c r="Z24" s="339" t="s">
        <v>867</v>
      </c>
      <c r="AA24" s="337">
        <v>22</v>
      </c>
      <c r="AB24" s="332"/>
      <c r="AC24" s="329">
        <v>40258</v>
      </c>
      <c r="AD24" s="339" t="s">
        <v>2549</v>
      </c>
      <c r="AE24" s="337">
        <v>70</v>
      </c>
      <c r="AF24" s="332"/>
      <c r="AG24" s="329">
        <v>40615</v>
      </c>
      <c r="AH24" s="339" t="s">
        <v>1903</v>
      </c>
      <c r="AI24" s="337">
        <v>37</v>
      </c>
      <c r="AJ24" s="332"/>
      <c r="AK24" s="329">
        <v>40992</v>
      </c>
      <c r="AL24" s="339" t="s">
        <v>754</v>
      </c>
      <c r="AM24" s="337">
        <v>64</v>
      </c>
      <c r="AN24" s="332"/>
      <c r="AO24" s="329">
        <v>41346</v>
      </c>
      <c r="AP24" s="339" t="s">
        <v>2550</v>
      </c>
      <c r="AQ24" s="337">
        <v>345</v>
      </c>
      <c r="AR24" s="332"/>
      <c r="AS24" s="329">
        <v>41710</v>
      </c>
      <c r="AT24" s="339" t="s">
        <v>2551</v>
      </c>
      <c r="AU24" s="337">
        <v>290</v>
      </c>
      <c r="AV24" s="332"/>
      <c r="AW24" s="329">
        <v>42071</v>
      </c>
      <c r="AX24" s="339" t="s">
        <v>2552</v>
      </c>
      <c r="AY24" s="337">
        <v>1579</v>
      </c>
      <c r="AZ24" s="332"/>
      <c r="BA24" s="329">
        <v>42440</v>
      </c>
      <c r="BB24" s="339" t="s">
        <v>754</v>
      </c>
      <c r="BC24" s="337">
        <v>24</v>
      </c>
      <c r="BD24" s="332"/>
      <c r="BE24" s="329">
        <v>42811</v>
      </c>
      <c r="BF24" s="339" t="s">
        <v>872</v>
      </c>
      <c r="BG24" s="337">
        <v>26</v>
      </c>
      <c r="BH24" s="332"/>
      <c r="BI24" s="329">
        <v>43162</v>
      </c>
      <c r="BJ24" s="339" t="s">
        <v>1427</v>
      </c>
      <c r="BK24" s="337">
        <v>7</v>
      </c>
      <c r="BL24" s="332"/>
      <c r="BM24" s="329"/>
      <c r="BN24" s="339"/>
      <c r="BO24" s="902"/>
      <c r="BP24" s="912"/>
      <c r="BQ24" s="1250">
        <v>43534</v>
      </c>
      <c r="BR24" s="916" t="s">
        <v>797</v>
      </c>
      <c r="BS24" s="902">
        <v>40</v>
      </c>
      <c r="BT24" s="899" t="s">
        <v>410</v>
      </c>
      <c r="BU24" s="895">
        <v>43897</v>
      </c>
      <c r="BV24" s="903" t="s">
        <v>845</v>
      </c>
      <c r="BW24" s="1257">
        <v>49</v>
      </c>
      <c r="BX24" s="899" t="s">
        <v>414</v>
      </c>
      <c r="BY24" s="895">
        <v>44268</v>
      </c>
      <c r="BZ24" s="903" t="s">
        <v>772</v>
      </c>
      <c r="CA24" s="1257">
        <v>25</v>
      </c>
      <c r="CB24" s="899" t="s">
        <v>414</v>
      </c>
      <c r="CC24" s="895">
        <v>44621</v>
      </c>
      <c r="CD24" s="903" t="s">
        <v>1713</v>
      </c>
      <c r="CE24" s="1257">
        <v>21</v>
      </c>
      <c r="CF24" s="899" t="s">
        <v>414</v>
      </c>
      <c r="CG24" s="895">
        <v>44997</v>
      </c>
      <c r="CH24" s="903" t="s">
        <v>2553</v>
      </c>
      <c r="CI24" s="1257">
        <v>40</v>
      </c>
      <c r="CJ24" s="899" t="s">
        <v>414</v>
      </c>
      <c r="CK24" s="1586">
        <v>45354</v>
      </c>
      <c r="CL24" s="1585" t="s">
        <v>2554</v>
      </c>
      <c r="CM24" s="1585">
        <v>27</v>
      </c>
      <c r="CN24" s="1587" t="s">
        <v>280</v>
      </c>
      <c r="CO24" s="1586"/>
      <c r="CP24" s="1585"/>
      <c r="CQ24" s="1585"/>
      <c r="CR24" s="1587"/>
    </row>
    <row r="25" spans="1:96">
      <c r="A25" s="895">
        <v>37684</v>
      </c>
      <c r="B25" s="901" t="s">
        <v>1616</v>
      </c>
      <c r="C25" s="902"/>
      <c r="D25" s="912">
        <v>4</v>
      </c>
      <c r="E25" s="895">
        <v>38051</v>
      </c>
      <c r="F25" s="901" t="s">
        <v>1157</v>
      </c>
      <c r="G25" s="902">
        <v>20</v>
      </c>
      <c r="H25" s="912"/>
      <c r="I25" s="895">
        <v>38430</v>
      </c>
      <c r="J25" s="901" t="s">
        <v>2555</v>
      </c>
      <c r="K25" s="902">
        <v>20</v>
      </c>
      <c r="L25" s="912"/>
      <c r="M25" s="895">
        <v>38794</v>
      </c>
      <c r="N25" s="901" t="s">
        <v>2556</v>
      </c>
      <c r="O25" s="902">
        <v>20</v>
      </c>
      <c r="P25" s="1258"/>
      <c r="Q25" s="895"/>
      <c r="R25" s="903"/>
      <c r="S25" s="906"/>
      <c r="T25" s="333"/>
      <c r="U25" s="329">
        <v>39523</v>
      </c>
      <c r="V25" s="339" t="s">
        <v>797</v>
      </c>
      <c r="W25" s="337">
        <v>26</v>
      </c>
      <c r="X25" s="332"/>
      <c r="Y25" s="329">
        <v>39886</v>
      </c>
      <c r="Z25" s="339" t="s">
        <v>2557</v>
      </c>
      <c r="AA25" s="337">
        <v>6</v>
      </c>
      <c r="AB25" s="332"/>
      <c r="AC25" s="329">
        <v>40258</v>
      </c>
      <c r="AD25" s="339" t="s">
        <v>2558</v>
      </c>
      <c r="AE25" s="337">
        <v>13</v>
      </c>
      <c r="AF25" s="332"/>
      <c r="AG25" s="329">
        <v>40615</v>
      </c>
      <c r="AH25" s="339" t="s">
        <v>797</v>
      </c>
      <c r="AI25" s="337">
        <v>50</v>
      </c>
      <c r="AJ25" s="332"/>
      <c r="AK25" s="329">
        <v>40992</v>
      </c>
      <c r="AL25" s="339" t="s">
        <v>1903</v>
      </c>
      <c r="AM25" s="337">
        <v>107</v>
      </c>
      <c r="AN25" s="332"/>
      <c r="AO25" s="329">
        <v>41347</v>
      </c>
      <c r="AP25" s="339" t="s">
        <v>754</v>
      </c>
      <c r="AQ25" s="337">
        <v>49</v>
      </c>
      <c r="AR25" s="332"/>
      <c r="AS25" s="329">
        <v>41712</v>
      </c>
      <c r="AT25" s="339" t="s">
        <v>2559</v>
      </c>
      <c r="AU25" s="337">
        <v>37</v>
      </c>
      <c r="AV25" s="332"/>
      <c r="AW25" s="329">
        <v>42072</v>
      </c>
      <c r="AX25" s="339" t="s">
        <v>925</v>
      </c>
      <c r="AY25" s="337">
        <v>10</v>
      </c>
      <c r="AZ25" s="332"/>
      <c r="BA25" s="329">
        <v>42440</v>
      </c>
      <c r="BB25" s="339" t="s">
        <v>772</v>
      </c>
      <c r="BC25" s="337">
        <v>34</v>
      </c>
      <c r="BD25" s="332"/>
      <c r="BE25" s="329">
        <v>42811</v>
      </c>
      <c r="BF25" s="339" t="s">
        <v>1180</v>
      </c>
      <c r="BG25" s="337">
        <v>70</v>
      </c>
      <c r="BH25" s="332"/>
      <c r="BI25" s="329">
        <v>43162</v>
      </c>
      <c r="BJ25" s="339" t="s">
        <v>2560</v>
      </c>
      <c r="BK25" s="337">
        <v>11</v>
      </c>
      <c r="BL25" s="332"/>
      <c r="BM25" s="329"/>
      <c r="BN25" s="339"/>
      <c r="BO25" s="902"/>
      <c r="BP25" s="912"/>
      <c r="BQ25" s="1250">
        <v>43534</v>
      </c>
      <c r="BR25" s="916" t="s">
        <v>2561</v>
      </c>
      <c r="BS25" s="902">
        <v>25</v>
      </c>
      <c r="BT25" s="899" t="s">
        <v>699</v>
      </c>
      <c r="BU25" s="895">
        <v>43897</v>
      </c>
      <c r="BV25" s="903" t="s">
        <v>797</v>
      </c>
      <c r="BW25" s="1257">
        <v>30</v>
      </c>
      <c r="BX25" s="899" t="s">
        <v>410</v>
      </c>
      <c r="BY25" s="895">
        <v>44268</v>
      </c>
      <c r="BZ25" s="903" t="s">
        <v>872</v>
      </c>
      <c r="CA25" s="1257">
        <v>17</v>
      </c>
      <c r="CB25" s="899" t="s">
        <v>414</v>
      </c>
      <c r="CC25" s="895">
        <v>44621</v>
      </c>
      <c r="CD25" s="903" t="s">
        <v>2562</v>
      </c>
      <c r="CE25" s="1257">
        <v>7</v>
      </c>
      <c r="CF25" s="899" t="s">
        <v>414</v>
      </c>
      <c r="CG25" s="895">
        <v>44997</v>
      </c>
      <c r="CH25" s="903" t="s">
        <v>2563</v>
      </c>
      <c r="CI25" s="1257">
        <v>13</v>
      </c>
      <c r="CJ25" s="899" t="s">
        <v>414</v>
      </c>
      <c r="CK25" s="895">
        <v>45354</v>
      </c>
      <c r="CL25" s="903" t="s">
        <v>2564</v>
      </c>
      <c r="CM25" s="1257">
        <v>30</v>
      </c>
      <c r="CN25" s="899" t="s">
        <v>700</v>
      </c>
      <c r="CO25" s="895"/>
      <c r="CP25" s="903"/>
      <c r="CQ25" s="1257"/>
      <c r="CR25" s="899"/>
    </row>
    <row r="26" spans="1:96">
      <c r="A26" s="895">
        <v>37684</v>
      </c>
      <c r="B26" s="901" t="s">
        <v>2565</v>
      </c>
      <c r="C26" s="902"/>
      <c r="D26" s="912">
        <v>9</v>
      </c>
      <c r="E26" s="895">
        <v>38053</v>
      </c>
      <c r="F26" s="901" t="s">
        <v>2566</v>
      </c>
      <c r="G26" s="902">
        <v>5</v>
      </c>
      <c r="H26" s="912"/>
      <c r="I26" s="895">
        <v>38430</v>
      </c>
      <c r="J26" s="901" t="s">
        <v>2567</v>
      </c>
      <c r="K26" s="902">
        <v>57</v>
      </c>
      <c r="L26" s="912"/>
      <c r="M26" s="895">
        <v>38794</v>
      </c>
      <c r="N26" s="901" t="s">
        <v>2568</v>
      </c>
      <c r="O26" s="902">
        <v>24</v>
      </c>
      <c r="P26" s="1258"/>
      <c r="Q26" s="895">
        <v>39143</v>
      </c>
      <c r="R26" s="903" t="s">
        <v>2569</v>
      </c>
      <c r="S26" s="906">
        <v>25</v>
      </c>
      <c r="T26" s="333"/>
      <c r="U26" s="329">
        <v>39523</v>
      </c>
      <c r="V26" s="339" t="s">
        <v>2570</v>
      </c>
      <c r="W26" s="337">
        <v>16</v>
      </c>
      <c r="X26" s="332"/>
      <c r="Y26" s="329">
        <v>39886</v>
      </c>
      <c r="Z26" s="339" t="s">
        <v>783</v>
      </c>
      <c r="AA26" s="337">
        <v>11</v>
      </c>
      <c r="AB26" s="332"/>
      <c r="AC26" s="329">
        <v>40261</v>
      </c>
      <c r="AD26" s="339" t="s">
        <v>802</v>
      </c>
      <c r="AE26" s="337">
        <v>45</v>
      </c>
      <c r="AF26" s="332"/>
      <c r="AG26" s="329">
        <v>40615</v>
      </c>
      <c r="AH26" s="339" t="s">
        <v>772</v>
      </c>
      <c r="AI26" s="337">
        <v>50</v>
      </c>
      <c r="AJ26" s="332"/>
      <c r="AK26" s="329">
        <v>40993</v>
      </c>
      <c r="AL26" s="339" t="s">
        <v>2571</v>
      </c>
      <c r="AM26" s="337">
        <v>40</v>
      </c>
      <c r="AN26" s="332"/>
      <c r="AO26" s="329">
        <v>41348</v>
      </c>
      <c r="AP26" s="339" t="s">
        <v>2572</v>
      </c>
      <c r="AQ26" s="337">
        <v>3</v>
      </c>
      <c r="AR26" s="332"/>
      <c r="AS26" s="329">
        <v>41712</v>
      </c>
      <c r="AT26" s="339" t="s">
        <v>2573</v>
      </c>
      <c r="AU26" s="337">
        <v>167</v>
      </c>
      <c r="AV26" s="332"/>
      <c r="AW26" s="329">
        <v>42074</v>
      </c>
      <c r="AX26" s="339" t="s">
        <v>2574</v>
      </c>
      <c r="AY26" s="337">
        <v>123</v>
      </c>
      <c r="AZ26" s="332"/>
      <c r="BA26" s="329">
        <v>42440</v>
      </c>
      <c r="BB26" s="339" t="s">
        <v>802</v>
      </c>
      <c r="BC26" s="337">
        <v>34</v>
      </c>
      <c r="BD26" s="332"/>
      <c r="BE26" s="329">
        <v>42812</v>
      </c>
      <c r="BF26" s="339" t="s">
        <v>823</v>
      </c>
      <c r="BG26" s="337">
        <v>35</v>
      </c>
      <c r="BH26" s="332"/>
      <c r="BI26" s="329">
        <v>43164</v>
      </c>
      <c r="BJ26" s="339" t="s">
        <v>2575</v>
      </c>
      <c r="BK26" s="337">
        <v>0</v>
      </c>
      <c r="BL26" s="332"/>
      <c r="BM26" s="329"/>
      <c r="BN26" s="339"/>
      <c r="BO26" s="902"/>
      <c r="BP26" s="912"/>
      <c r="BQ26" s="1250">
        <v>43539</v>
      </c>
      <c r="BR26" s="916" t="s">
        <v>2576</v>
      </c>
      <c r="BS26" s="902">
        <v>5</v>
      </c>
      <c r="BT26" s="899" t="s">
        <v>278</v>
      </c>
      <c r="BU26" s="895">
        <v>43898</v>
      </c>
      <c r="BV26" s="903" t="s">
        <v>873</v>
      </c>
      <c r="BW26" s="1257">
        <v>15</v>
      </c>
      <c r="BX26" s="899" t="s">
        <v>414</v>
      </c>
      <c r="BY26" s="1248">
        <v>44268</v>
      </c>
      <c r="BZ26" s="903" t="s">
        <v>1873</v>
      </c>
      <c r="CA26" s="1257">
        <v>37</v>
      </c>
      <c r="CB26" s="899" t="s">
        <v>414</v>
      </c>
      <c r="CC26" s="895">
        <v>44621</v>
      </c>
      <c r="CD26" s="903" t="s">
        <v>2577</v>
      </c>
      <c r="CE26" s="1257">
        <v>7</v>
      </c>
      <c r="CF26" s="899" t="s">
        <v>414</v>
      </c>
      <c r="CG26" s="895">
        <v>44997</v>
      </c>
      <c r="CH26" s="903" t="s">
        <v>2578</v>
      </c>
      <c r="CI26" s="1257">
        <v>0</v>
      </c>
      <c r="CJ26" s="899" t="s">
        <v>414</v>
      </c>
      <c r="CK26" s="895">
        <v>45354</v>
      </c>
      <c r="CL26" s="903" t="s">
        <v>2579</v>
      </c>
      <c r="CM26" s="1257">
        <v>15</v>
      </c>
      <c r="CN26" s="899" t="s">
        <v>280</v>
      </c>
      <c r="CO26" s="895"/>
      <c r="CP26" s="903"/>
      <c r="CQ26" s="1257"/>
      <c r="CR26" s="899"/>
    </row>
    <row r="27" spans="1:96">
      <c r="A27" s="895">
        <v>37687</v>
      </c>
      <c r="B27" s="901" t="s">
        <v>1616</v>
      </c>
      <c r="C27" s="902"/>
      <c r="D27" s="912">
        <v>8</v>
      </c>
      <c r="E27" s="895">
        <v>38053</v>
      </c>
      <c r="F27" s="901" t="s">
        <v>2580</v>
      </c>
      <c r="G27" s="902">
        <v>24</v>
      </c>
      <c r="H27" s="912"/>
      <c r="I27" s="895">
        <v>38430</v>
      </c>
      <c r="J27" s="901" t="s">
        <v>1042</v>
      </c>
      <c r="K27" s="902">
        <v>13</v>
      </c>
      <c r="L27" s="912"/>
      <c r="M27" s="895">
        <v>38794</v>
      </c>
      <c r="N27" s="901" t="s">
        <v>2581</v>
      </c>
      <c r="O27" s="902">
        <v>4</v>
      </c>
      <c r="P27" s="1258"/>
      <c r="Q27" s="895">
        <v>39143</v>
      </c>
      <c r="R27" s="903" t="s">
        <v>2582</v>
      </c>
      <c r="S27" s="906">
        <v>4</v>
      </c>
      <c r="T27" s="333"/>
      <c r="U27" s="329">
        <v>39526</v>
      </c>
      <c r="V27" s="339" t="s">
        <v>783</v>
      </c>
      <c r="W27" s="337">
        <v>25</v>
      </c>
      <c r="X27" s="332"/>
      <c r="Y27" s="329">
        <v>39886</v>
      </c>
      <c r="Z27" s="339" t="s">
        <v>2583</v>
      </c>
      <c r="AA27" s="337">
        <v>19</v>
      </c>
      <c r="AB27" s="332"/>
      <c r="AC27" s="329">
        <v>40263</v>
      </c>
      <c r="AD27" s="339" t="s">
        <v>781</v>
      </c>
      <c r="AE27" s="337">
        <v>75</v>
      </c>
      <c r="AF27" s="332"/>
      <c r="AG27" s="329">
        <v>40615</v>
      </c>
      <c r="AH27" s="339" t="s">
        <v>2584</v>
      </c>
      <c r="AI27" s="337">
        <v>11</v>
      </c>
      <c r="AJ27" s="332"/>
      <c r="AK27" s="329">
        <v>40993</v>
      </c>
      <c r="AL27" s="339" t="s">
        <v>2005</v>
      </c>
      <c r="AM27" s="337">
        <v>20</v>
      </c>
      <c r="AN27" s="332"/>
      <c r="AO27" s="329">
        <v>41348</v>
      </c>
      <c r="AP27" s="339" t="s">
        <v>2585</v>
      </c>
      <c r="AQ27" s="337">
        <v>6</v>
      </c>
      <c r="AR27" s="332"/>
      <c r="AS27" s="329">
        <v>41713</v>
      </c>
      <c r="AT27" s="339" t="s">
        <v>2586</v>
      </c>
      <c r="AU27" s="337">
        <v>210</v>
      </c>
      <c r="AV27" s="332"/>
      <c r="AW27" s="329">
        <v>42074</v>
      </c>
      <c r="AX27" s="339" t="s">
        <v>1303</v>
      </c>
      <c r="AY27" s="337">
        <v>3</v>
      </c>
      <c r="AZ27" s="332"/>
      <c r="BA27" s="329">
        <v>42441</v>
      </c>
      <c r="BB27" s="339" t="s">
        <v>954</v>
      </c>
      <c r="BC27" s="337">
        <v>88</v>
      </c>
      <c r="BD27" s="332"/>
      <c r="BE27" s="329">
        <v>42813</v>
      </c>
      <c r="BF27" s="339" t="s">
        <v>2587</v>
      </c>
      <c r="BG27" s="337"/>
      <c r="BH27" s="332"/>
      <c r="BI27" s="329">
        <v>43164</v>
      </c>
      <c r="BJ27" s="339" t="s">
        <v>1963</v>
      </c>
      <c r="BK27" s="337">
        <v>12</v>
      </c>
      <c r="BL27" s="332"/>
      <c r="BM27" s="329"/>
      <c r="BN27" s="339"/>
      <c r="BO27" s="902"/>
      <c r="BP27" s="912"/>
      <c r="BQ27" s="1250">
        <v>43540</v>
      </c>
      <c r="BR27" s="916" t="s">
        <v>797</v>
      </c>
      <c r="BS27" s="902">
        <v>36</v>
      </c>
      <c r="BT27" s="899" t="s">
        <v>700</v>
      </c>
      <c r="BU27" s="895">
        <v>43898</v>
      </c>
      <c r="BV27" s="903" t="s">
        <v>2588</v>
      </c>
      <c r="BW27" s="1257">
        <v>51</v>
      </c>
      <c r="BX27" s="899" t="s">
        <v>280</v>
      </c>
      <c r="BY27" s="895">
        <v>44271</v>
      </c>
      <c r="BZ27" s="903" t="s">
        <v>2589</v>
      </c>
      <c r="CA27" s="1257">
        <v>25</v>
      </c>
      <c r="CB27" s="899" t="s">
        <v>414</v>
      </c>
      <c r="CC27" s="895">
        <v>44621</v>
      </c>
      <c r="CD27" s="903" t="s">
        <v>2590</v>
      </c>
      <c r="CE27" s="1257">
        <v>3</v>
      </c>
      <c r="CF27" s="899" t="s">
        <v>414</v>
      </c>
      <c r="CG27" s="895">
        <v>44997</v>
      </c>
      <c r="CH27" s="903" t="s">
        <v>1693</v>
      </c>
      <c r="CI27" s="1257">
        <v>45</v>
      </c>
      <c r="CJ27" s="899" t="s">
        <v>414</v>
      </c>
      <c r="CK27" s="895">
        <v>45354</v>
      </c>
      <c r="CL27" s="903" t="s">
        <v>2591</v>
      </c>
      <c r="CM27" s="1257">
        <v>60</v>
      </c>
      <c r="CN27" s="899" t="s">
        <v>700</v>
      </c>
      <c r="CO27" s="895"/>
      <c r="CP27" s="903"/>
      <c r="CQ27" s="1257"/>
      <c r="CR27" s="899"/>
    </row>
    <row r="28" spans="1:96">
      <c r="A28" s="895">
        <v>37688</v>
      </c>
      <c r="B28" s="901" t="s">
        <v>2592</v>
      </c>
      <c r="C28" s="902">
        <v>10</v>
      </c>
      <c r="D28" s="912"/>
      <c r="E28" s="895">
        <v>38053</v>
      </c>
      <c r="F28" s="901" t="s">
        <v>937</v>
      </c>
      <c r="G28" s="902">
        <v>17</v>
      </c>
      <c r="H28" s="912"/>
      <c r="I28" s="895">
        <v>38430</v>
      </c>
      <c r="J28" s="901" t="s">
        <v>797</v>
      </c>
      <c r="K28" s="902">
        <v>32</v>
      </c>
      <c r="L28" s="912"/>
      <c r="M28" s="895">
        <v>38795</v>
      </c>
      <c r="N28" s="901" t="s">
        <v>2593</v>
      </c>
      <c r="O28" s="902">
        <v>5</v>
      </c>
      <c r="P28" s="1258"/>
      <c r="Q28" s="895">
        <v>39143</v>
      </c>
      <c r="R28" s="903" t="s">
        <v>767</v>
      </c>
      <c r="S28" s="906">
        <v>41</v>
      </c>
      <c r="T28" s="333"/>
      <c r="U28" s="329">
        <v>39526</v>
      </c>
      <c r="V28" s="339" t="s">
        <v>937</v>
      </c>
      <c r="W28" s="337">
        <v>62</v>
      </c>
      <c r="X28" s="332"/>
      <c r="Y28" s="329">
        <v>39886</v>
      </c>
      <c r="Z28" s="339" t="s">
        <v>767</v>
      </c>
      <c r="AA28" s="337">
        <v>31</v>
      </c>
      <c r="AB28" s="332"/>
      <c r="AC28" s="329">
        <v>40264</v>
      </c>
      <c r="AD28" s="339" t="s">
        <v>2594</v>
      </c>
      <c r="AE28" s="337">
        <v>90</v>
      </c>
      <c r="AF28" s="332"/>
      <c r="AG28" s="329">
        <v>40615</v>
      </c>
      <c r="AH28" s="339" t="s">
        <v>787</v>
      </c>
      <c r="AI28" s="337">
        <v>11</v>
      </c>
      <c r="AJ28" s="332"/>
      <c r="AK28" s="329">
        <v>40993</v>
      </c>
      <c r="AL28" s="339" t="s">
        <v>2595</v>
      </c>
      <c r="AM28" s="337">
        <v>20</v>
      </c>
      <c r="AN28" s="332"/>
      <c r="AO28" s="329">
        <v>41349</v>
      </c>
      <c r="AP28" s="339" t="s">
        <v>754</v>
      </c>
      <c r="AQ28" s="337">
        <v>80</v>
      </c>
      <c r="AR28" s="332"/>
      <c r="AS28" s="329">
        <v>41713</v>
      </c>
      <c r="AT28" s="339" t="s">
        <v>2596</v>
      </c>
      <c r="AU28" s="337">
        <v>240</v>
      </c>
      <c r="AV28" s="332"/>
      <c r="AW28" s="329">
        <v>42074</v>
      </c>
      <c r="AX28" s="339" t="s">
        <v>2597</v>
      </c>
      <c r="AY28" s="337">
        <v>20</v>
      </c>
      <c r="AZ28" s="332"/>
      <c r="BA28" s="329">
        <v>42441</v>
      </c>
      <c r="BB28" s="339" t="s">
        <v>979</v>
      </c>
      <c r="BC28" s="337">
        <v>30</v>
      </c>
      <c r="BD28" s="332"/>
      <c r="BE28" s="329">
        <v>42813</v>
      </c>
      <c r="BF28" s="339" t="s">
        <v>2598</v>
      </c>
      <c r="BG28" s="337">
        <v>90</v>
      </c>
      <c r="BH28" s="332"/>
      <c r="BI28" s="329">
        <v>43164</v>
      </c>
      <c r="BJ28" s="339" t="s">
        <v>1889</v>
      </c>
      <c r="BK28" s="337">
        <v>15</v>
      </c>
      <c r="BL28" s="332"/>
      <c r="BM28" s="329"/>
      <c r="BN28" s="339"/>
      <c r="BO28" s="902"/>
      <c r="BP28" s="912"/>
      <c r="BQ28" s="1250">
        <v>43540</v>
      </c>
      <c r="BR28" s="916" t="s">
        <v>873</v>
      </c>
      <c r="BS28" s="902">
        <v>4</v>
      </c>
      <c r="BT28" s="899" t="s">
        <v>414</v>
      </c>
      <c r="BU28" s="895">
        <v>43899</v>
      </c>
      <c r="BV28" s="903" t="s">
        <v>2599</v>
      </c>
      <c r="BW28" s="1257">
        <v>10</v>
      </c>
      <c r="BX28" s="899" t="s">
        <v>436</v>
      </c>
      <c r="BY28" s="895">
        <v>44271</v>
      </c>
      <c r="BZ28" s="903" t="s">
        <v>2600</v>
      </c>
      <c r="CA28" s="1257">
        <v>1589</v>
      </c>
      <c r="CB28" s="899" t="s">
        <v>701</v>
      </c>
      <c r="CC28" s="895">
        <v>44625</v>
      </c>
      <c r="CD28" s="903" t="s">
        <v>828</v>
      </c>
      <c r="CE28" s="1257">
        <v>13</v>
      </c>
      <c r="CF28" s="899" t="s">
        <v>414</v>
      </c>
      <c r="CG28" s="895">
        <v>44997</v>
      </c>
      <c r="CH28" s="903" t="s">
        <v>1198</v>
      </c>
      <c r="CI28" s="1257" t="s">
        <v>37</v>
      </c>
      <c r="CJ28" s="899" t="s">
        <v>414</v>
      </c>
      <c r="CK28" s="895">
        <v>45354</v>
      </c>
      <c r="CL28" s="903" t="s">
        <v>2157</v>
      </c>
      <c r="CM28" s="1257">
        <v>20</v>
      </c>
      <c r="CN28" s="899" t="s">
        <v>414</v>
      </c>
      <c r="CO28" s="895"/>
      <c r="CP28" s="903"/>
      <c r="CQ28" s="1257"/>
      <c r="CR28" s="899"/>
    </row>
    <row r="29" spans="1:96">
      <c r="A29" s="895">
        <v>37688</v>
      </c>
      <c r="B29" s="901" t="s">
        <v>2601</v>
      </c>
      <c r="C29" s="902">
        <v>5</v>
      </c>
      <c r="D29" s="912"/>
      <c r="E29" s="895">
        <v>38053</v>
      </c>
      <c r="F29" s="901" t="s">
        <v>797</v>
      </c>
      <c r="G29" s="902">
        <v>30</v>
      </c>
      <c r="H29" s="912"/>
      <c r="I29" s="895">
        <v>38435</v>
      </c>
      <c r="J29" s="901" t="s">
        <v>802</v>
      </c>
      <c r="K29" s="902">
        <v>28</v>
      </c>
      <c r="L29" s="912"/>
      <c r="M29" s="895">
        <v>38795</v>
      </c>
      <c r="N29" s="901" t="s">
        <v>2602</v>
      </c>
      <c r="O29" s="902">
        <v>17</v>
      </c>
      <c r="P29" s="1258"/>
      <c r="Q29" s="895">
        <v>39144</v>
      </c>
      <c r="R29" s="903" t="s">
        <v>797</v>
      </c>
      <c r="S29" s="906">
        <v>40</v>
      </c>
      <c r="T29" s="333"/>
      <c r="U29" s="329">
        <v>39526</v>
      </c>
      <c r="V29" s="339" t="s">
        <v>797</v>
      </c>
      <c r="W29" s="337">
        <v>54</v>
      </c>
      <c r="X29" s="332"/>
      <c r="Y29" s="329">
        <v>39886</v>
      </c>
      <c r="Z29" s="339" t="s">
        <v>1237</v>
      </c>
      <c r="AA29" s="337">
        <v>10</v>
      </c>
      <c r="AB29" s="332"/>
      <c r="AC29" s="329"/>
      <c r="AD29" s="339"/>
      <c r="AE29" s="337"/>
      <c r="AF29" s="332"/>
      <c r="AG29" s="329">
        <v>40621</v>
      </c>
      <c r="AH29" s="339" t="s">
        <v>2603</v>
      </c>
      <c r="AI29" s="337">
        <v>39</v>
      </c>
      <c r="AJ29" s="332"/>
      <c r="AK29" s="329">
        <v>40993</v>
      </c>
      <c r="AL29" s="339" t="s">
        <v>2604</v>
      </c>
      <c r="AM29" s="337">
        <v>5</v>
      </c>
      <c r="AN29" s="332"/>
      <c r="AO29" s="329">
        <v>41349</v>
      </c>
      <c r="AP29" s="339" t="s">
        <v>867</v>
      </c>
      <c r="AQ29" s="337">
        <v>17</v>
      </c>
      <c r="AR29" s="332"/>
      <c r="AS29" s="329">
        <v>41713</v>
      </c>
      <c r="AT29" s="339" t="s">
        <v>1903</v>
      </c>
      <c r="AU29" s="337">
        <v>56</v>
      </c>
      <c r="AV29" s="332"/>
      <c r="AW29" s="329">
        <v>42077</v>
      </c>
      <c r="AX29" s="339" t="s">
        <v>954</v>
      </c>
      <c r="AY29" s="337">
        <v>85</v>
      </c>
      <c r="AZ29" s="332"/>
      <c r="BA29" s="329">
        <v>42441</v>
      </c>
      <c r="BB29" s="339" t="s">
        <v>781</v>
      </c>
      <c r="BC29" s="337">
        <v>23</v>
      </c>
      <c r="BD29" s="332"/>
      <c r="BE29" s="329">
        <v>42813</v>
      </c>
      <c r="BF29" s="339" t="s">
        <v>2409</v>
      </c>
      <c r="BG29" s="337">
        <v>26</v>
      </c>
      <c r="BH29" s="332"/>
      <c r="BI29" s="329">
        <v>43164</v>
      </c>
      <c r="BJ29" s="339" t="s">
        <v>2605</v>
      </c>
      <c r="BK29" s="337">
        <v>7</v>
      </c>
      <c r="BL29" s="332"/>
      <c r="BM29" s="329"/>
      <c r="BN29" s="339"/>
      <c r="BO29" s="902"/>
      <c r="BP29" s="912"/>
      <c r="BQ29" s="1250">
        <v>43540</v>
      </c>
      <c r="BR29" s="916" t="s">
        <v>772</v>
      </c>
      <c r="BS29" s="902">
        <v>20</v>
      </c>
      <c r="BT29" s="899" t="s">
        <v>414</v>
      </c>
      <c r="BU29" s="895">
        <v>43903</v>
      </c>
      <c r="BV29" s="903" t="s">
        <v>845</v>
      </c>
      <c r="BW29" s="1257">
        <v>16</v>
      </c>
      <c r="BX29" s="899" t="s">
        <v>414</v>
      </c>
      <c r="BY29" s="895">
        <v>44271</v>
      </c>
      <c r="BZ29" s="903" t="s">
        <v>2606</v>
      </c>
      <c r="CA29" s="1257">
        <v>28</v>
      </c>
      <c r="CB29" s="899" t="s">
        <v>280</v>
      </c>
      <c r="CC29" s="895">
        <v>44625</v>
      </c>
      <c r="CD29" s="903" t="s">
        <v>843</v>
      </c>
      <c r="CE29" s="1257">
        <v>38</v>
      </c>
      <c r="CF29" s="899" t="s">
        <v>414</v>
      </c>
      <c r="CG29" s="895">
        <v>44997</v>
      </c>
      <c r="CH29" s="903" t="s">
        <v>2607</v>
      </c>
      <c r="CI29" s="1257" t="s">
        <v>37</v>
      </c>
      <c r="CJ29" s="899" t="s">
        <v>414</v>
      </c>
      <c r="CK29" s="895">
        <v>45354</v>
      </c>
      <c r="CL29" s="903" t="s">
        <v>2608</v>
      </c>
      <c r="CM29" s="1257">
        <v>8</v>
      </c>
      <c r="CN29" s="899" t="s">
        <v>414</v>
      </c>
      <c r="CO29" s="895"/>
      <c r="CP29" s="903"/>
      <c r="CQ29" s="1257"/>
      <c r="CR29" s="899"/>
    </row>
    <row r="30" spans="1:96">
      <c r="A30" s="895">
        <v>37688</v>
      </c>
      <c r="B30" s="901" t="s">
        <v>2609</v>
      </c>
      <c r="C30" s="902">
        <v>4</v>
      </c>
      <c r="D30" s="912"/>
      <c r="E30" s="895">
        <v>38058</v>
      </c>
      <c r="F30" s="901" t="s">
        <v>802</v>
      </c>
      <c r="G30" s="902">
        <v>27</v>
      </c>
      <c r="H30" s="912"/>
      <c r="I30" s="895">
        <v>38437</v>
      </c>
      <c r="J30" s="901" t="s">
        <v>2610</v>
      </c>
      <c r="K30" s="902">
        <v>39</v>
      </c>
      <c r="L30" s="912"/>
      <c r="M30" s="895">
        <v>38795</v>
      </c>
      <c r="N30" s="901" t="s">
        <v>2611</v>
      </c>
      <c r="O30" s="902">
        <v>0</v>
      </c>
      <c r="P30" s="1258"/>
      <c r="Q30" s="895">
        <v>39144</v>
      </c>
      <c r="R30" s="903" t="s">
        <v>2612</v>
      </c>
      <c r="S30" s="906">
        <v>29</v>
      </c>
      <c r="T30" s="333"/>
      <c r="U30" s="329">
        <v>39526</v>
      </c>
      <c r="V30" s="339" t="s">
        <v>2613</v>
      </c>
      <c r="W30" s="337">
        <v>7</v>
      </c>
      <c r="X30" s="332"/>
      <c r="Y30" s="329">
        <v>39886</v>
      </c>
      <c r="Z30" s="339" t="s">
        <v>2614</v>
      </c>
      <c r="AA30" s="337">
        <v>6</v>
      </c>
      <c r="AB30" s="332"/>
      <c r="AC30" s="329"/>
      <c r="AD30" s="339"/>
      <c r="AE30" s="337"/>
      <c r="AF30" s="332"/>
      <c r="AG30" s="329">
        <v>40621</v>
      </c>
      <c r="AH30" s="339" t="s">
        <v>2615</v>
      </c>
      <c r="AI30" s="337">
        <v>15</v>
      </c>
      <c r="AJ30" s="332"/>
      <c r="AK30" s="329">
        <v>40996</v>
      </c>
      <c r="AL30" s="339" t="s">
        <v>2616</v>
      </c>
      <c r="AM30" s="337">
        <v>27</v>
      </c>
      <c r="AN30" s="332"/>
      <c r="AO30" s="329">
        <v>41349</v>
      </c>
      <c r="AP30" s="339" t="s">
        <v>772</v>
      </c>
      <c r="AQ30" s="337">
        <v>49</v>
      </c>
      <c r="AR30" s="332"/>
      <c r="AS30" s="329">
        <v>41713</v>
      </c>
      <c r="AT30" s="339" t="s">
        <v>954</v>
      </c>
      <c r="AU30" s="337">
        <v>90</v>
      </c>
      <c r="AV30" s="332"/>
      <c r="AW30" s="329">
        <v>42077</v>
      </c>
      <c r="AX30" s="339" t="s">
        <v>2617</v>
      </c>
      <c r="AY30" s="337">
        <v>92</v>
      </c>
      <c r="AZ30" s="332"/>
      <c r="BA30" s="329">
        <v>42442</v>
      </c>
      <c r="BB30" s="339" t="s">
        <v>797</v>
      </c>
      <c r="BC30" s="337">
        <v>29</v>
      </c>
      <c r="BD30" s="332"/>
      <c r="BE30" s="329">
        <v>42813</v>
      </c>
      <c r="BF30" s="339" t="s">
        <v>2618</v>
      </c>
      <c r="BG30" s="337">
        <v>1</v>
      </c>
      <c r="BH30" s="332"/>
      <c r="BI30" s="329">
        <v>43167</v>
      </c>
      <c r="BJ30" s="339" t="s">
        <v>2619</v>
      </c>
      <c r="BK30" s="337">
        <v>31</v>
      </c>
      <c r="BL30" s="332"/>
      <c r="BM30" s="329"/>
      <c r="BN30" s="339"/>
      <c r="BO30" s="902"/>
      <c r="BP30" s="912"/>
      <c r="BQ30" s="1250">
        <v>43540</v>
      </c>
      <c r="BR30" s="916" t="s">
        <v>859</v>
      </c>
      <c r="BS30" s="902">
        <v>14</v>
      </c>
      <c r="BT30" s="899" t="s">
        <v>414</v>
      </c>
      <c r="BU30" s="895">
        <v>43904</v>
      </c>
      <c r="BV30" s="903" t="s">
        <v>873</v>
      </c>
      <c r="BW30" s="1257">
        <v>25</v>
      </c>
      <c r="BX30" s="899" t="s">
        <v>414</v>
      </c>
      <c r="BY30" s="895">
        <v>44271</v>
      </c>
      <c r="BZ30" s="903" t="s">
        <v>2620</v>
      </c>
      <c r="CA30" s="1257">
        <v>48</v>
      </c>
      <c r="CB30" s="899" t="s">
        <v>701</v>
      </c>
      <c r="CC30" s="895">
        <v>44625</v>
      </c>
      <c r="CD30" s="903" t="s">
        <v>772</v>
      </c>
      <c r="CE30" s="1257">
        <v>37</v>
      </c>
      <c r="CF30" s="899" t="s">
        <v>414</v>
      </c>
      <c r="CG30" s="895">
        <v>44997</v>
      </c>
      <c r="CH30" s="903" t="s">
        <v>2621</v>
      </c>
      <c r="CI30" s="1257">
        <v>38</v>
      </c>
      <c r="CJ30" s="899" t="s">
        <v>414</v>
      </c>
      <c r="CK30" s="895">
        <v>45354</v>
      </c>
      <c r="CL30" s="903" t="s">
        <v>2622</v>
      </c>
      <c r="CM30" s="1257">
        <v>35</v>
      </c>
      <c r="CN30" s="899" t="s">
        <v>700</v>
      </c>
      <c r="CO30" s="895"/>
      <c r="CP30" s="903"/>
      <c r="CQ30" s="1257"/>
      <c r="CR30" s="899"/>
    </row>
    <row r="31" spans="1:96">
      <c r="A31" s="895">
        <v>37688</v>
      </c>
      <c r="B31" s="901" t="s">
        <v>410</v>
      </c>
      <c r="C31" s="902">
        <v>26</v>
      </c>
      <c r="D31" s="912"/>
      <c r="E31" s="895">
        <v>38058</v>
      </c>
      <c r="F31" s="901" t="s">
        <v>797</v>
      </c>
      <c r="G31" s="902">
        <v>32</v>
      </c>
      <c r="H31" s="912"/>
      <c r="I31" s="895">
        <v>38437</v>
      </c>
      <c r="J31" s="901" t="s">
        <v>2623</v>
      </c>
      <c r="K31" s="902">
        <v>7</v>
      </c>
      <c r="L31" s="912"/>
      <c r="M31" s="895">
        <v>38795</v>
      </c>
      <c r="N31" s="901" t="s">
        <v>2624</v>
      </c>
      <c r="O31" s="902">
        <v>4</v>
      </c>
      <c r="P31" s="1258"/>
      <c r="Q31" s="895">
        <v>39144</v>
      </c>
      <c r="R31" s="903" t="s">
        <v>2625</v>
      </c>
      <c r="S31" s="906">
        <v>2</v>
      </c>
      <c r="T31" s="333"/>
      <c r="U31" s="329">
        <v>39527</v>
      </c>
      <c r="V31" s="339" t="s">
        <v>772</v>
      </c>
      <c r="W31" s="337">
        <v>27</v>
      </c>
      <c r="X31" s="332"/>
      <c r="Y31" s="329">
        <v>39887</v>
      </c>
      <c r="Z31" s="339" t="s">
        <v>2626</v>
      </c>
      <c r="AA31" s="337">
        <v>9</v>
      </c>
      <c r="AB31" s="332"/>
      <c r="AC31" s="329"/>
      <c r="AD31" s="339"/>
      <c r="AE31" s="337"/>
      <c r="AF31" s="332"/>
      <c r="AG31" s="329">
        <v>40621</v>
      </c>
      <c r="AH31" s="339" t="s">
        <v>2627</v>
      </c>
      <c r="AI31" s="337">
        <v>7</v>
      </c>
      <c r="AJ31" s="332"/>
      <c r="AK31" s="329">
        <v>40998</v>
      </c>
      <c r="AL31" s="339" t="s">
        <v>2628</v>
      </c>
      <c r="AM31" s="337">
        <v>30</v>
      </c>
      <c r="AN31" s="332"/>
      <c r="AO31" s="329">
        <v>41349</v>
      </c>
      <c r="AP31" s="339" t="s">
        <v>2629</v>
      </c>
      <c r="AQ31" s="337">
        <v>8</v>
      </c>
      <c r="AR31" s="332"/>
      <c r="AS31" s="329">
        <v>41714</v>
      </c>
      <c r="AT31" s="339" t="s">
        <v>2630</v>
      </c>
      <c r="AU31" s="337">
        <v>17</v>
      </c>
      <c r="AV31" s="332"/>
      <c r="AW31" s="329">
        <v>42078</v>
      </c>
      <c r="AX31" s="339" t="s">
        <v>1770</v>
      </c>
      <c r="AY31" s="337">
        <v>6</v>
      </c>
      <c r="AZ31" s="332"/>
      <c r="BA31" s="329">
        <v>42442</v>
      </c>
      <c r="BB31" s="339" t="s">
        <v>2631</v>
      </c>
      <c r="BC31" s="337">
        <v>50</v>
      </c>
      <c r="BD31" s="332"/>
      <c r="BE31" s="329">
        <v>42813</v>
      </c>
      <c r="BF31" s="339" t="s">
        <v>2632</v>
      </c>
      <c r="BG31" s="337">
        <v>3</v>
      </c>
      <c r="BH31" s="332"/>
      <c r="BI31" s="329">
        <v>43168</v>
      </c>
      <c r="BJ31" s="339" t="s">
        <v>2633</v>
      </c>
      <c r="BK31" s="337">
        <v>621</v>
      </c>
      <c r="BL31" s="332"/>
      <c r="BM31" s="329"/>
      <c r="BN31" s="339"/>
      <c r="BO31" s="902"/>
      <c r="BP31" s="912"/>
      <c r="BQ31" s="1250">
        <v>43540</v>
      </c>
      <c r="BR31" s="916" t="s">
        <v>872</v>
      </c>
      <c r="BS31" s="902">
        <v>11</v>
      </c>
      <c r="BT31" s="899" t="s">
        <v>414</v>
      </c>
      <c r="BU31" s="895">
        <v>43904</v>
      </c>
      <c r="BV31" s="903" t="s">
        <v>2634</v>
      </c>
      <c r="BW31" s="1257">
        <v>21</v>
      </c>
      <c r="BX31" s="899" t="s">
        <v>280</v>
      </c>
      <c r="BY31" s="895">
        <v>44273</v>
      </c>
      <c r="BZ31" s="1265" t="s">
        <v>2635</v>
      </c>
      <c r="CA31" s="1257">
        <v>40</v>
      </c>
      <c r="CB31" s="899" t="s">
        <v>414</v>
      </c>
      <c r="CC31" s="895">
        <v>44625</v>
      </c>
      <c r="CD31" s="903" t="s">
        <v>2636</v>
      </c>
      <c r="CE31" s="1257">
        <v>26</v>
      </c>
      <c r="CF31" s="899" t="s">
        <v>693</v>
      </c>
      <c r="CG31" s="895">
        <v>44997</v>
      </c>
      <c r="CH31" s="903" t="s">
        <v>2637</v>
      </c>
      <c r="CI31" s="1257">
        <v>41</v>
      </c>
      <c r="CJ31" s="899" t="s">
        <v>414</v>
      </c>
      <c r="CK31" s="895">
        <v>45354</v>
      </c>
      <c r="CL31" s="903" t="s">
        <v>2638</v>
      </c>
      <c r="CM31" s="1257">
        <v>21</v>
      </c>
      <c r="CN31" s="899" t="s">
        <v>700</v>
      </c>
      <c r="CO31" s="895"/>
      <c r="CP31" s="903"/>
      <c r="CQ31" s="1257"/>
      <c r="CR31" s="899"/>
    </row>
    <row r="32" spans="1:96">
      <c r="A32" s="895">
        <v>37689</v>
      </c>
      <c r="B32" s="901" t="s">
        <v>954</v>
      </c>
      <c r="C32" s="902">
        <v>37</v>
      </c>
      <c r="D32" s="912"/>
      <c r="E32" s="895">
        <v>38059</v>
      </c>
      <c r="F32" s="901" t="s">
        <v>2639</v>
      </c>
      <c r="G32" s="902">
        <v>40</v>
      </c>
      <c r="H32" s="912"/>
      <c r="I32" s="895">
        <v>38441</v>
      </c>
      <c r="J32" s="901" t="s">
        <v>2640</v>
      </c>
      <c r="K32" s="902">
        <v>44</v>
      </c>
      <c r="L32" s="912"/>
      <c r="M32" s="895">
        <v>38795</v>
      </c>
      <c r="N32" s="901" t="s">
        <v>2641</v>
      </c>
      <c r="O32" s="902">
        <v>8</v>
      </c>
      <c r="P32" s="1258"/>
      <c r="Q32" s="895">
        <v>39144</v>
      </c>
      <c r="R32" s="903" t="s">
        <v>2642</v>
      </c>
      <c r="S32" s="906">
        <v>8</v>
      </c>
      <c r="T32" s="333"/>
      <c r="U32" s="329">
        <v>39528</v>
      </c>
      <c r="V32" s="339" t="s">
        <v>2643</v>
      </c>
      <c r="W32" s="337">
        <v>30</v>
      </c>
      <c r="X32" s="332"/>
      <c r="Y32" s="329">
        <v>39887</v>
      </c>
      <c r="Z32" s="339" t="s">
        <v>781</v>
      </c>
      <c r="AA32" s="337">
        <v>8</v>
      </c>
      <c r="AB32" s="332"/>
      <c r="AC32" s="329"/>
      <c r="AD32" s="339"/>
      <c r="AE32" s="337"/>
      <c r="AF32" s="332"/>
      <c r="AG32" s="329">
        <v>40621</v>
      </c>
      <c r="AH32" s="339" t="s">
        <v>2644</v>
      </c>
      <c r="AI32" s="337">
        <v>32</v>
      </c>
      <c r="AJ32" s="332"/>
      <c r="AK32" s="329">
        <v>40998</v>
      </c>
      <c r="AL32" s="339" t="s">
        <v>2645</v>
      </c>
      <c r="AM32" s="337">
        <v>27</v>
      </c>
      <c r="AN32" s="332"/>
      <c r="AO32" s="329">
        <v>41349</v>
      </c>
      <c r="AP32" s="339" t="s">
        <v>797</v>
      </c>
      <c r="AQ32" s="337">
        <v>60</v>
      </c>
      <c r="AR32" s="332"/>
      <c r="AS32" s="329">
        <v>41714</v>
      </c>
      <c r="AT32" s="339" t="s">
        <v>2646</v>
      </c>
      <c r="AU32" s="337">
        <v>16</v>
      </c>
      <c r="AV32" s="332"/>
      <c r="AW32" s="329">
        <v>42078</v>
      </c>
      <c r="AX32" s="339" t="s">
        <v>2647</v>
      </c>
      <c r="AY32" s="337">
        <v>15</v>
      </c>
      <c r="AZ32" s="332"/>
      <c r="BA32" s="329">
        <v>42442</v>
      </c>
      <c r="BB32" s="339" t="s">
        <v>2648</v>
      </c>
      <c r="BC32" s="337">
        <v>82</v>
      </c>
      <c r="BD32" s="332"/>
      <c r="BE32" s="329">
        <v>42813</v>
      </c>
      <c r="BF32" s="304" t="s">
        <v>2649</v>
      </c>
      <c r="BG32" s="337">
        <v>6</v>
      </c>
      <c r="BH32" s="332"/>
      <c r="BI32" s="329">
        <v>43168</v>
      </c>
      <c r="BJ32" s="339" t="s">
        <v>2650</v>
      </c>
      <c r="BK32" s="337">
        <v>13</v>
      </c>
      <c r="BL32" s="332"/>
      <c r="BM32" s="329"/>
      <c r="BN32" s="339"/>
      <c r="BO32" s="902"/>
      <c r="BP32" s="912"/>
      <c r="BQ32" s="1250">
        <v>43540</v>
      </c>
      <c r="BR32" s="916" t="s">
        <v>890</v>
      </c>
      <c r="BS32" s="902">
        <v>10</v>
      </c>
      <c r="BT32" s="899" t="s">
        <v>414</v>
      </c>
      <c r="BU32" s="895">
        <v>43908</v>
      </c>
      <c r="BV32" s="903" t="s">
        <v>1391</v>
      </c>
      <c r="BW32" s="1257">
        <v>10</v>
      </c>
      <c r="BX32" s="899" t="s">
        <v>414</v>
      </c>
      <c r="BY32" s="895">
        <v>44273</v>
      </c>
      <c r="BZ32" s="903" t="s">
        <v>2651</v>
      </c>
      <c r="CA32" s="1257">
        <v>4</v>
      </c>
      <c r="CB32" s="899" t="s">
        <v>414</v>
      </c>
      <c r="CC32" s="895">
        <v>44625</v>
      </c>
      <c r="CD32" s="1265" t="s">
        <v>2652</v>
      </c>
      <c r="CE32" s="1257">
        <v>11</v>
      </c>
      <c r="CF32" s="899" t="s">
        <v>693</v>
      </c>
      <c r="CG32" s="895">
        <v>44997</v>
      </c>
      <c r="CH32" s="1265" t="s">
        <v>2653</v>
      </c>
      <c r="CI32" s="1257">
        <v>22</v>
      </c>
      <c r="CJ32" s="899" t="s">
        <v>414</v>
      </c>
      <c r="CK32" s="895">
        <v>45354</v>
      </c>
      <c r="CL32" s="903" t="s">
        <v>2654</v>
      </c>
      <c r="CM32" s="1257">
        <v>42</v>
      </c>
      <c r="CN32" s="899" t="s">
        <v>280</v>
      </c>
      <c r="CO32" s="895"/>
      <c r="CP32" s="903"/>
      <c r="CQ32" s="1257"/>
      <c r="CR32" s="899"/>
    </row>
    <row r="33" spans="1:96">
      <c r="A33" s="895">
        <v>37689</v>
      </c>
      <c r="B33" s="901" t="s">
        <v>915</v>
      </c>
      <c r="C33" s="902">
        <v>32</v>
      </c>
      <c r="D33" s="912"/>
      <c r="E33" s="895">
        <v>38059</v>
      </c>
      <c r="F33" s="901" t="s">
        <v>772</v>
      </c>
      <c r="G33" s="902">
        <v>23</v>
      </c>
      <c r="H33" s="912"/>
      <c r="I33" s="895">
        <v>38442</v>
      </c>
      <c r="J33" s="901" t="s">
        <v>802</v>
      </c>
      <c r="K33" s="902">
        <v>30</v>
      </c>
      <c r="L33" s="912"/>
      <c r="M33" s="895">
        <v>38795</v>
      </c>
      <c r="N33" s="901" t="s">
        <v>2655</v>
      </c>
      <c r="O33" s="902">
        <v>3</v>
      </c>
      <c r="P33" s="1258"/>
      <c r="Q33" s="895">
        <v>39144</v>
      </c>
      <c r="R33" s="903" t="s">
        <v>2656</v>
      </c>
      <c r="S33" s="906">
        <v>1</v>
      </c>
      <c r="T33" s="333"/>
      <c r="U33" s="329">
        <v>39528</v>
      </c>
      <c r="V33" s="339" t="s">
        <v>2657</v>
      </c>
      <c r="W33" s="337">
        <v>20</v>
      </c>
      <c r="X33" s="332"/>
      <c r="Y33" s="329">
        <v>39887</v>
      </c>
      <c r="Z33" s="339" t="s">
        <v>797</v>
      </c>
      <c r="AA33" s="337">
        <v>28</v>
      </c>
      <c r="AB33" s="332"/>
      <c r="AC33" s="329"/>
      <c r="AD33" s="339"/>
      <c r="AE33" s="337"/>
      <c r="AF33" s="332"/>
      <c r="AG33" s="329">
        <v>40621</v>
      </c>
      <c r="AH33" s="339" t="s">
        <v>772</v>
      </c>
      <c r="AI33" s="337">
        <v>7</v>
      </c>
      <c r="AJ33" s="332"/>
      <c r="AK33" s="329">
        <v>40999</v>
      </c>
      <c r="AL33" s="339" t="s">
        <v>2658</v>
      </c>
      <c r="AM33" s="337">
        <v>40</v>
      </c>
      <c r="AN33" s="332"/>
      <c r="AO33" s="329">
        <v>41351</v>
      </c>
      <c r="AP33" s="339" t="s">
        <v>2659</v>
      </c>
      <c r="AQ33" s="337">
        <v>50</v>
      </c>
      <c r="AR33" s="332"/>
      <c r="AS33" s="329">
        <v>41714</v>
      </c>
      <c r="AT33" s="339" t="s">
        <v>2660</v>
      </c>
      <c r="AU33" s="337">
        <v>24</v>
      </c>
      <c r="AV33" s="332"/>
      <c r="AW33" s="329">
        <v>42079</v>
      </c>
      <c r="AX33" s="339" t="s">
        <v>797</v>
      </c>
      <c r="AY33" s="337">
        <v>39</v>
      </c>
      <c r="AZ33" s="332"/>
      <c r="BA33" s="329">
        <v>42442</v>
      </c>
      <c r="BB33" s="304" t="s">
        <v>797</v>
      </c>
      <c r="BC33" s="337">
        <v>34</v>
      </c>
      <c r="BD33" s="332"/>
      <c r="BE33" s="329">
        <v>42813</v>
      </c>
      <c r="BF33" s="339" t="s">
        <v>2661</v>
      </c>
      <c r="BG33" s="337">
        <v>12</v>
      </c>
      <c r="BH33" s="332"/>
      <c r="BI33" s="329">
        <v>43168</v>
      </c>
      <c r="BJ33" s="336" t="s">
        <v>823</v>
      </c>
      <c r="BK33" s="337">
        <v>36</v>
      </c>
      <c r="BL33" s="332"/>
      <c r="BM33" s="329"/>
      <c r="BN33" s="336"/>
      <c r="BO33" s="902"/>
      <c r="BP33" s="912"/>
      <c r="BQ33" s="1250">
        <v>43541</v>
      </c>
      <c r="BR33" s="916" t="s">
        <v>2096</v>
      </c>
      <c r="BS33" s="902">
        <v>15</v>
      </c>
      <c r="BT33" s="899" t="s">
        <v>414</v>
      </c>
      <c r="BU33" s="895">
        <v>43908</v>
      </c>
      <c r="BV33" s="903" t="s">
        <v>2662</v>
      </c>
      <c r="BW33" s="1257">
        <v>2</v>
      </c>
      <c r="BX33" s="899" t="s">
        <v>280</v>
      </c>
      <c r="BY33" s="895">
        <v>44273</v>
      </c>
      <c r="BZ33" s="903" t="s">
        <v>2663</v>
      </c>
      <c r="CA33" s="1257">
        <v>17</v>
      </c>
      <c r="CB33" s="899" t="s">
        <v>414</v>
      </c>
      <c r="CC33" s="895">
        <v>44625</v>
      </c>
      <c r="CD33" s="903" t="s">
        <v>2664</v>
      </c>
      <c r="CE33" s="1257">
        <v>15</v>
      </c>
      <c r="CF33" s="899" t="s">
        <v>693</v>
      </c>
      <c r="CG33" s="895">
        <v>44997</v>
      </c>
      <c r="CH33" s="903" t="s">
        <v>2253</v>
      </c>
      <c r="CI33" s="1257">
        <v>65</v>
      </c>
      <c r="CJ33" s="899" t="s">
        <v>414</v>
      </c>
      <c r="CK33" s="895">
        <v>45354</v>
      </c>
      <c r="CL33" s="1265" t="s">
        <v>2665</v>
      </c>
      <c r="CM33" s="1257">
        <v>26</v>
      </c>
      <c r="CN33" s="899" t="s">
        <v>414</v>
      </c>
      <c r="CO33" s="895"/>
      <c r="CP33" s="1265"/>
      <c r="CQ33" s="1257"/>
      <c r="CR33" s="899"/>
    </row>
    <row r="34" spans="1:96">
      <c r="A34" s="895">
        <v>37689</v>
      </c>
      <c r="B34" s="901" t="s">
        <v>2666</v>
      </c>
      <c r="C34" s="902">
        <v>16</v>
      </c>
      <c r="D34" s="912"/>
      <c r="E34" s="895">
        <v>38059</v>
      </c>
      <c r="F34" s="901" t="s">
        <v>2284</v>
      </c>
      <c r="G34" s="902">
        <v>37</v>
      </c>
      <c r="H34" s="912"/>
      <c r="I34" s="895"/>
      <c r="J34" s="901"/>
      <c r="K34" s="902"/>
      <c r="L34" s="912"/>
      <c r="M34" s="895">
        <v>38795</v>
      </c>
      <c r="N34" s="901" t="s">
        <v>2667</v>
      </c>
      <c r="O34" s="902">
        <v>3</v>
      </c>
      <c r="P34" s="1258"/>
      <c r="Q34" s="895">
        <v>39144</v>
      </c>
      <c r="R34" s="903" t="s">
        <v>2668</v>
      </c>
      <c r="S34" s="906">
        <v>10</v>
      </c>
      <c r="T34" s="333"/>
      <c r="U34" s="329">
        <v>39532</v>
      </c>
      <c r="V34" s="339" t="s">
        <v>797</v>
      </c>
      <c r="W34" s="337">
        <v>47</v>
      </c>
      <c r="X34" s="332"/>
      <c r="Y34" s="329">
        <v>39888</v>
      </c>
      <c r="Z34" s="339" t="s">
        <v>2417</v>
      </c>
      <c r="AA34" s="337">
        <v>1</v>
      </c>
      <c r="AB34" s="332"/>
      <c r="AC34" s="329"/>
      <c r="AD34" s="339"/>
      <c r="AE34" s="337"/>
      <c r="AF34" s="332"/>
      <c r="AG34" s="329">
        <v>40621</v>
      </c>
      <c r="AH34" s="339" t="s">
        <v>1638</v>
      </c>
      <c r="AI34" s="337">
        <v>15</v>
      </c>
      <c r="AJ34" s="332"/>
      <c r="AK34" s="329">
        <v>40999</v>
      </c>
      <c r="AL34" s="339" t="s">
        <v>1770</v>
      </c>
      <c r="AM34" s="337">
        <v>5</v>
      </c>
      <c r="AN34" s="332"/>
      <c r="AO34" s="329">
        <v>41354</v>
      </c>
      <c r="AP34" s="339" t="s">
        <v>2669</v>
      </c>
      <c r="AQ34" s="337">
        <v>25</v>
      </c>
      <c r="AR34" s="332"/>
      <c r="AS34" s="329">
        <v>41714</v>
      </c>
      <c r="AT34" s="339" t="s">
        <v>772</v>
      </c>
      <c r="AU34" s="337">
        <v>28</v>
      </c>
      <c r="AV34" s="332"/>
      <c r="AW34" s="329">
        <v>42080</v>
      </c>
      <c r="AX34" s="339" t="s">
        <v>925</v>
      </c>
      <c r="AY34" s="337">
        <v>10</v>
      </c>
      <c r="AZ34" s="332"/>
      <c r="BA34" s="329">
        <v>42447</v>
      </c>
      <c r="BB34" s="339" t="s">
        <v>2465</v>
      </c>
      <c r="BC34" s="337">
        <v>24</v>
      </c>
      <c r="BD34" s="332"/>
      <c r="BE34" s="329">
        <v>42813</v>
      </c>
      <c r="BF34" s="339" t="s">
        <v>2670</v>
      </c>
      <c r="BG34" s="337">
        <v>3</v>
      </c>
      <c r="BH34" s="332"/>
      <c r="BI34" s="329">
        <v>43169</v>
      </c>
      <c r="BJ34" s="339" t="s">
        <v>1427</v>
      </c>
      <c r="BK34" s="337">
        <v>9</v>
      </c>
      <c r="BL34" s="332"/>
      <c r="BM34" s="329"/>
      <c r="BN34" s="339"/>
      <c r="BO34" s="902"/>
      <c r="BP34" s="912"/>
      <c r="BQ34" s="1250">
        <v>43541</v>
      </c>
      <c r="BR34" s="1251" t="s">
        <v>1901</v>
      </c>
      <c r="BS34" s="902">
        <v>20</v>
      </c>
      <c r="BT34" s="899" t="s">
        <v>414</v>
      </c>
      <c r="BU34" s="895">
        <v>43908</v>
      </c>
      <c r="BV34" s="903" t="s">
        <v>2671</v>
      </c>
      <c r="BW34" s="1257">
        <v>60</v>
      </c>
      <c r="BX34" s="899" t="s">
        <v>414</v>
      </c>
      <c r="BY34" s="895">
        <v>44273</v>
      </c>
      <c r="BZ34" s="903" t="s">
        <v>2524</v>
      </c>
      <c r="CA34" s="1257">
        <v>5</v>
      </c>
      <c r="CB34" s="899" t="s">
        <v>414</v>
      </c>
      <c r="CC34" s="895">
        <v>44626</v>
      </c>
      <c r="CD34" s="903" t="s">
        <v>845</v>
      </c>
      <c r="CE34" s="1257">
        <v>35</v>
      </c>
      <c r="CF34" s="899" t="s">
        <v>414</v>
      </c>
      <c r="CG34" s="895">
        <v>44997</v>
      </c>
      <c r="CH34" s="903" t="s">
        <v>2672</v>
      </c>
      <c r="CI34" s="1257" t="s">
        <v>37</v>
      </c>
      <c r="CJ34" s="899" t="s">
        <v>414</v>
      </c>
      <c r="CK34" s="895">
        <v>45354</v>
      </c>
      <c r="CL34" s="903" t="s">
        <v>2673</v>
      </c>
      <c r="CM34" s="1257">
        <v>47</v>
      </c>
      <c r="CN34" s="899" t="s">
        <v>414</v>
      </c>
      <c r="CO34" s="895"/>
      <c r="CP34" s="903"/>
      <c r="CQ34" s="1257"/>
      <c r="CR34" s="899"/>
    </row>
    <row r="35" spans="1:96">
      <c r="A35" s="895">
        <v>37689</v>
      </c>
      <c r="B35" s="901" t="s">
        <v>2674</v>
      </c>
      <c r="C35" s="902">
        <v>32</v>
      </c>
      <c r="D35" s="912"/>
      <c r="E35" s="895">
        <v>38060</v>
      </c>
      <c r="F35" s="901" t="s">
        <v>2675</v>
      </c>
      <c r="G35" s="902">
        <v>113</v>
      </c>
      <c r="H35" s="912"/>
      <c r="I35" s="895"/>
      <c r="J35" s="901"/>
      <c r="K35" s="902"/>
      <c r="L35" s="912"/>
      <c r="M35" s="895">
        <v>38801</v>
      </c>
      <c r="N35" s="901" t="s">
        <v>2676</v>
      </c>
      <c r="O35" s="902">
        <v>27</v>
      </c>
      <c r="P35" s="1258"/>
      <c r="Q35" s="895">
        <v>39144</v>
      </c>
      <c r="R35" s="903" t="s">
        <v>2677</v>
      </c>
      <c r="S35" s="906">
        <v>4</v>
      </c>
      <c r="T35" s="333"/>
      <c r="U35" s="329">
        <v>39532</v>
      </c>
      <c r="V35" s="339" t="s">
        <v>802</v>
      </c>
      <c r="W35" s="337">
        <v>48</v>
      </c>
      <c r="X35" s="332"/>
      <c r="Y35" s="329">
        <v>39890</v>
      </c>
      <c r="Z35" s="339" t="s">
        <v>2417</v>
      </c>
      <c r="AA35" s="337">
        <v>2</v>
      </c>
      <c r="AB35" s="332"/>
      <c r="AC35" s="329"/>
      <c r="AD35" s="339"/>
      <c r="AE35" s="337"/>
      <c r="AF35" s="332"/>
      <c r="AG35" s="329">
        <v>40622</v>
      </c>
      <c r="AH35" s="339" t="s">
        <v>937</v>
      </c>
      <c r="AI35" s="337">
        <v>37</v>
      </c>
      <c r="AJ35" s="332"/>
      <c r="AK35" s="329">
        <v>40999</v>
      </c>
      <c r="AL35" s="339" t="s">
        <v>2678</v>
      </c>
      <c r="AM35" s="337">
        <v>13</v>
      </c>
      <c r="AN35" s="332"/>
      <c r="AO35" s="329">
        <v>41354</v>
      </c>
      <c r="AP35" s="339" t="s">
        <v>2679</v>
      </c>
      <c r="AQ35" s="337">
        <v>40</v>
      </c>
      <c r="AR35" s="332"/>
      <c r="AS35" s="329">
        <v>41716</v>
      </c>
      <c r="AT35" s="339" t="s">
        <v>772</v>
      </c>
      <c r="AU35" s="337">
        <v>40</v>
      </c>
      <c r="AV35" s="332"/>
      <c r="AW35" s="329">
        <v>42081</v>
      </c>
      <c r="AX35" s="339" t="s">
        <v>2680</v>
      </c>
      <c r="AY35" s="337">
        <v>75</v>
      </c>
      <c r="AZ35" s="332"/>
      <c r="BA35" s="329">
        <v>42447</v>
      </c>
      <c r="BB35" s="339" t="s">
        <v>802</v>
      </c>
      <c r="BC35" s="337">
        <v>31</v>
      </c>
      <c r="BD35" s="332"/>
      <c r="BE35" s="329">
        <v>42813</v>
      </c>
      <c r="BF35" s="339" t="s">
        <v>2681</v>
      </c>
      <c r="BG35" s="337">
        <v>16</v>
      </c>
      <c r="BH35" s="332"/>
      <c r="BI35" s="329">
        <v>43169</v>
      </c>
      <c r="BJ35" s="339" t="s">
        <v>873</v>
      </c>
      <c r="BK35" s="337">
        <v>37</v>
      </c>
      <c r="BL35" s="332"/>
      <c r="BM35" s="329"/>
      <c r="BN35" s="339"/>
      <c r="BO35" s="902"/>
      <c r="BP35" s="912"/>
      <c r="BQ35" s="1250">
        <v>43541</v>
      </c>
      <c r="BR35" s="916" t="s">
        <v>1706</v>
      </c>
      <c r="BS35" s="902">
        <v>11</v>
      </c>
      <c r="BT35" s="899" t="s">
        <v>414</v>
      </c>
      <c r="BU35" s="895">
        <v>43908</v>
      </c>
      <c r="BV35" s="903" t="s">
        <v>1183</v>
      </c>
      <c r="BW35" s="1257">
        <v>6</v>
      </c>
      <c r="BX35" s="899" t="s">
        <v>414</v>
      </c>
      <c r="BY35" s="895">
        <v>44273</v>
      </c>
      <c r="BZ35" s="903" t="s">
        <v>2682</v>
      </c>
      <c r="CA35" s="1257">
        <v>12</v>
      </c>
      <c r="CB35" s="899" t="s">
        <v>414</v>
      </c>
      <c r="CC35" s="895">
        <v>44626</v>
      </c>
      <c r="CD35" s="903" t="s">
        <v>2683</v>
      </c>
      <c r="CE35" s="1257">
        <v>203</v>
      </c>
      <c r="CF35" s="899" t="s">
        <v>280</v>
      </c>
      <c r="CG35" s="895">
        <v>44997</v>
      </c>
      <c r="CH35" s="903" t="s">
        <v>1702</v>
      </c>
      <c r="CI35" s="1257">
        <v>18</v>
      </c>
      <c r="CJ35" s="899" t="s">
        <v>414</v>
      </c>
      <c r="CK35" s="895">
        <v>45354</v>
      </c>
      <c r="CL35" s="903" t="s">
        <v>2684</v>
      </c>
      <c r="CM35" s="1257">
        <v>36</v>
      </c>
      <c r="CN35" s="899" t="s">
        <v>700</v>
      </c>
      <c r="CO35" s="895"/>
      <c r="CP35" s="903"/>
      <c r="CQ35" s="1257"/>
      <c r="CR35" s="899"/>
    </row>
    <row r="36" spans="1:96">
      <c r="A36" s="895">
        <v>37689</v>
      </c>
      <c r="B36" s="901" t="s">
        <v>2685</v>
      </c>
      <c r="C36" s="902">
        <v>27</v>
      </c>
      <c r="D36" s="912"/>
      <c r="E36" s="895">
        <v>38062</v>
      </c>
      <c r="F36" s="901" t="s">
        <v>2686</v>
      </c>
      <c r="G36" s="902">
        <v>45</v>
      </c>
      <c r="H36" s="912"/>
      <c r="I36" s="895"/>
      <c r="J36" s="901"/>
      <c r="K36" s="902"/>
      <c r="L36" s="912"/>
      <c r="M36" s="895">
        <v>38801</v>
      </c>
      <c r="N36" s="901" t="s">
        <v>2687</v>
      </c>
      <c r="O36" s="902">
        <v>3</v>
      </c>
      <c r="P36" s="1258"/>
      <c r="Q36" s="895">
        <v>39144</v>
      </c>
      <c r="R36" s="903" t="s">
        <v>2688</v>
      </c>
      <c r="S36" s="906">
        <v>6</v>
      </c>
      <c r="T36" s="333"/>
      <c r="U36" s="329">
        <v>39534</v>
      </c>
      <c r="V36" s="339" t="s">
        <v>937</v>
      </c>
      <c r="W36" s="337">
        <v>42</v>
      </c>
      <c r="X36" s="332"/>
      <c r="Y36" s="329">
        <v>39892</v>
      </c>
      <c r="Z36" s="339" t="s">
        <v>797</v>
      </c>
      <c r="AA36" s="337">
        <v>12</v>
      </c>
      <c r="AB36" s="332"/>
      <c r="AC36" s="329"/>
      <c r="AD36" s="339"/>
      <c r="AE36" s="337"/>
      <c r="AF36" s="332"/>
      <c r="AG36" s="329">
        <v>40622</v>
      </c>
      <c r="AH36" s="339" t="s">
        <v>797</v>
      </c>
      <c r="AI36" s="337">
        <v>62</v>
      </c>
      <c r="AJ36" s="332"/>
      <c r="AK36" s="329">
        <v>40999</v>
      </c>
      <c r="AL36" s="339" t="s">
        <v>797</v>
      </c>
      <c r="AM36" s="337">
        <v>66</v>
      </c>
      <c r="AN36" s="332"/>
      <c r="AO36" s="329">
        <v>41355</v>
      </c>
      <c r="AP36" s="339" t="s">
        <v>802</v>
      </c>
      <c r="AQ36" s="337">
        <v>59</v>
      </c>
      <c r="AR36" s="332"/>
      <c r="AS36" s="329">
        <v>41716</v>
      </c>
      <c r="AT36" s="339" t="s">
        <v>886</v>
      </c>
      <c r="AU36" s="337">
        <v>15</v>
      </c>
      <c r="AV36" s="332"/>
      <c r="AW36" s="329">
        <v>42083</v>
      </c>
      <c r="AX36" s="339" t="s">
        <v>1100</v>
      </c>
      <c r="AY36" s="337">
        <v>12</v>
      </c>
      <c r="AZ36" s="332"/>
      <c r="BA36" s="329">
        <v>42447</v>
      </c>
      <c r="BB36" s="339" t="s">
        <v>1052</v>
      </c>
      <c r="BC36" s="337">
        <v>19</v>
      </c>
      <c r="BD36" s="332"/>
      <c r="BE36" s="329">
        <v>42816</v>
      </c>
      <c r="BF36" s="339" t="s">
        <v>1180</v>
      </c>
      <c r="BG36" s="337">
        <v>23</v>
      </c>
      <c r="BH36" s="332"/>
      <c r="BI36" s="329">
        <v>43169</v>
      </c>
      <c r="BJ36" s="339" t="s">
        <v>872</v>
      </c>
      <c r="BK36" s="337">
        <v>51</v>
      </c>
      <c r="BL36" s="332"/>
      <c r="BM36" s="329"/>
      <c r="BN36" s="339"/>
      <c r="BO36" s="902"/>
      <c r="BP36" s="912"/>
      <c r="BQ36" s="1250">
        <v>43541</v>
      </c>
      <c r="BR36" s="916" t="s">
        <v>2689</v>
      </c>
      <c r="BS36" s="902">
        <v>7</v>
      </c>
      <c r="BT36" s="899" t="s">
        <v>414</v>
      </c>
      <c r="BU36" s="895">
        <v>43908</v>
      </c>
      <c r="BV36" s="903" t="s">
        <v>2690</v>
      </c>
      <c r="BW36" s="1257">
        <v>42</v>
      </c>
      <c r="BX36" s="899" t="s">
        <v>414</v>
      </c>
      <c r="BY36" s="895">
        <v>44273</v>
      </c>
      <c r="BZ36" s="903" t="s">
        <v>2691</v>
      </c>
      <c r="CA36" s="1257">
        <v>2</v>
      </c>
      <c r="CB36" s="899" t="s">
        <v>414</v>
      </c>
      <c r="CC36" s="895">
        <v>44626</v>
      </c>
      <c r="CD36" s="903" t="s">
        <v>781</v>
      </c>
      <c r="CE36" s="1257">
        <v>37</v>
      </c>
      <c r="CF36" s="899" t="s">
        <v>414</v>
      </c>
      <c r="CG36" s="895">
        <v>44997</v>
      </c>
      <c r="CH36" s="903" t="s">
        <v>1005</v>
      </c>
      <c r="CI36" s="1257">
        <v>16</v>
      </c>
      <c r="CJ36" s="899" t="s">
        <v>414</v>
      </c>
      <c r="CK36" s="895">
        <v>45354</v>
      </c>
      <c r="CL36" s="903" t="s">
        <v>2692</v>
      </c>
      <c r="CM36" s="1257">
        <v>15</v>
      </c>
      <c r="CN36" s="899" t="s">
        <v>414</v>
      </c>
      <c r="CO36" s="895"/>
      <c r="CP36" s="903"/>
      <c r="CQ36" s="1257"/>
      <c r="CR36" s="899"/>
    </row>
    <row r="37" spans="1:96">
      <c r="A37" s="895">
        <v>37690</v>
      </c>
      <c r="B37" s="901" t="s">
        <v>1616</v>
      </c>
      <c r="C37" s="902">
        <v>10</v>
      </c>
      <c r="D37" s="912"/>
      <c r="E37" s="895">
        <v>38064</v>
      </c>
      <c r="F37" s="901" t="s">
        <v>2693</v>
      </c>
      <c r="G37" s="902">
        <v>50</v>
      </c>
      <c r="H37" s="912"/>
      <c r="I37" s="895"/>
      <c r="J37" s="901"/>
      <c r="K37" s="902"/>
      <c r="L37" s="912"/>
      <c r="M37" s="895">
        <v>38801</v>
      </c>
      <c r="N37" s="901" t="s">
        <v>797</v>
      </c>
      <c r="O37" s="902">
        <v>40</v>
      </c>
      <c r="P37" s="1258"/>
      <c r="Q37" s="895">
        <v>39146</v>
      </c>
      <c r="R37" s="903" t="s">
        <v>2694</v>
      </c>
      <c r="S37" s="906">
        <v>8</v>
      </c>
      <c r="T37" s="333"/>
      <c r="U37" s="329">
        <v>39534</v>
      </c>
      <c r="V37" s="339" t="s">
        <v>783</v>
      </c>
      <c r="W37" s="337">
        <v>13</v>
      </c>
      <c r="X37" s="332"/>
      <c r="Y37" s="329">
        <v>39892</v>
      </c>
      <c r="Z37" s="339" t="s">
        <v>2695</v>
      </c>
      <c r="AA37" s="337">
        <v>10</v>
      </c>
      <c r="AB37" s="332"/>
      <c r="AC37" s="329"/>
      <c r="AD37" s="339"/>
      <c r="AE37" s="337"/>
      <c r="AF37" s="332"/>
      <c r="AG37" s="329">
        <v>40622</v>
      </c>
      <c r="AH37" s="339" t="s">
        <v>2696</v>
      </c>
      <c r="AI37" s="337">
        <v>25</v>
      </c>
      <c r="AJ37" s="332"/>
      <c r="AK37" s="329"/>
      <c r="AL37" s="339"/>
      <c r="AM37" s="337"/>
      <c r="AN37" s="332"/>
      <c r="AO37" s="329">
        <v>41355</v>
      </c>
      <c r="AP37" s="339" t="s">
        <v>2697</v>
      </c>
      <c r="AQ37" s="337">
        <v>15</v>
      </c>
      <c r="AR37" s="332"/>
      <c r="AS37" s="329">
        <v>41716</v>
      </c>
      <c r="AT37" s="339" t="s">
        <v>787</v>
      </c>
      <c r="AU37" s="337">
        <v>105</v>
      </c>
      <c r="AV37" s="332"/>
      <c r="AW37" s="329">
        <v>42084</v>
      </c>
      <c r="AX37" s="339" t="s">
        <v>2698</v>
      </c>
      <c r="AY37" s="337">
        <v>4</v>
      </c>
      <c r="AZ37" s="332"/>
      <c r="BA37" s="329">
        <v>42448</v>
      </c>
      <c r="BB37" s="339" t="s">
        <v>772</v>
      </c>
      <c r="BC37" s="337">
        <v>95</v>
      </c>
      <c r="BD37" s="332"/>
      <c r="BE37" s="329">
        <v>42819</v>
      </c>
      <c r="BF37" s="339" t="s">
        <v>823</v>
      </c>
      <c r="BG37" s="337">
        <v>35</v>
      </c>
      <c r="BH37" s="332"/>
      <c r="BI37" s="329">
        <v>43169</v>
      </c>
      <c r="BJ37" s="339" t="s">
        <v>2699</v>
      </c>
      <c r="BK37" s="337">
        <v>11</v>
      </c>
      <c r="BL37" s="332"/>
      <c r="BM37" s="329"/>
      <c r="BN37" s="339"/>
      <c r="BO37" s="902"/>
      <c r="BP37" s="912"/>
      <c r="BQ37" s="1250">
        <v>43541</v>
      </c>
      <c r="BR37" s="916" t="s">
        <v>1033</v>
      </c>
      <c r="BS37" s="902">
        <v>8</v>
      </c>
      <c r="BT37" s="899" t="s">
        <v>414</v>
      </c>
      <c r="BU37" s="895">
        <v>43908</v>
      </c>
      <c r="BV37" s="903" t="s">
        <v>2700</v>
      </c>
      <c r="BW37" s="1257">
        <v>3</v>
      </c>
      <c r="BX37" s="899" t="s">
        <v>414</v>
      </c>
      <c r="BY37" s="895">
        <v>44273</v>
      </c>
      <c r="BZ37" s="903" t="s">
        <v>1849</v>
      </c>
      <c r="CA37" s="1257">
        <v>8</v>
      </c>
      <c r="CB37" s="899" t="s">
        <v>414</v>
      </c>
      <c r="CC37" s="895">
        <v>44627</v>
      </c>
      <c r="CD37" s="903" t="s">
        <v>2701</v>
      </c>
      <c r="CE37" s="1257">
        <v>5470</v>
      </c>
      <c r="CF37" s="899" t="s">
        <v>674</v>
      </c>
      <c r="CG37" s="895">
        <v>44997</v>
      </c>
      <c r="CH37" s="903" t="s">
        <v>2253</v>
      </c>
      <c r="CI37" s="1257" t="s">
        <v>37</v>
      </c>
      <c r="CJ37" s="899" t="s">
        <v>414</v>
      </c>
      <c r="CK37" s="895">
        <v>45354</v>
      </c>
      <c r="CL37" s="903" t="s">
        <v>2702</v>
      </c>
      <c r="CM37" s="1257">
        <v>7</v>
      </c>
      <c r="CN37" s="899" t="s">
        <v>414</v>
      </c>
      <c r="CO37" s="895"/>
      <c r="CP37" s="903"/>
      <c r="CQ37" s="1257"/>
      <c r="CR37" s="899"/>
    </row>
    <row r="38" spans="1:96">
      <c r="A38" s="895">
        <v>37692</v>
      </c>
      <c r="B38" s="901" t="s">
        <v>2703</v>
      </c>
      <c r="C38" s="902"/>
      <c r="D38" s="912">
        <v>90</v>
      </c>
      <c r="E38" s="895">
        <v>38066</v>
      </c>
      <c r="F38" s="901" t="s">
        <v>867</v>
      </c>
      <c r="G38" s="902">
        <v>5</v>
      </c>
      <c r="H38" s="912"/>
      <c r="I38" s="895"/>
      <c r="J38" s="901"/>
      <c r="K38" s="902"/>
      <c r="L38" s="912"/>
      <c r="M38" s="895">
        <v>38802</v>
      </c>
      <c r="N38" s="901" t="s">
        <v>787</v>
      </c>
      <c r="O38" s="902">
        <v>11</v>
      </c>
      <c r="P38" s="1258"/>
      <c r="Q38" s="895">
        <v>39147</v>
      </c>
      <c r="R38" s="903" t="s">
        <v>2704</v>
      </c>
      <c r="S38" s="906">
        <v>686</v>
      </c>
      <c r="T38" s="333"/>
      <c r="U38" s="329">
        <v>39534</v>
      </c>
      <c r="V38" s="339" t="s">
        <v>767</v>
      </c>
      <c r="W38" s="337">
        <v>12</v>
      </c>
      <c r="X38" s="332"/>
      <c r="Y38" s="329">
        <v>39892</v>
      </c>
      <c r="Z38" s="339" t="s">
        <v>772</v>
      </c>
      <c r="AA38" s="337">
        <v>108</v>
      </c>
      <c r="AB38" s="332"/>
      <c r="AC38" s="329"/>
      <c r="AD38" s="339"/>
      <c r="AE38" s="337"/>
      <c r="AF38" s="332"/>
      <c r="AG38" s="329">
        <v>40622</v>
      </c>
      <c r="AH38" s="339" t="s">
        <v>2705</v>
      </c>
      <c r="AI38" s="337">
        <v>22</v>
      </c>
      <c r="AJ38" s="332"/>
      <c r="AK38" s="329"/>
      <c r="AL38" s="339"/>
      <c r="AM38" s="337"/>
      <c r="AN38" s="332"/>
      <c r="AO38" s="329">
        <v>41355</v>
      </c>
      <c r="AP38" s="339" t="s">
        <v>2706</v>
      </c>
      <c r="AQ38" s="337">
        <v>10</v>
      </c>
      <c r="AR38" s="332"/>
      <c r="AS38" s="329">
        <v>41716</v>
      </c>
      <c r="AT38" s="339" t="s">
        <v>802</v>
      </c>
      <c r="AU38" s="337">
        <v>52</v>
      </c>
      <c r="AV38" s="332"/>
      <c r="AW38" s="329">
        <v>42084</v>
      </c>
      <c r="AX38" s="339" t="s">
        <v>954</v>
      </c>
      <c r="AY38" s="337">
        <v>72</v>
      </c>
      <c r="AZ38" s="332"/>
      <c r="BA38" s="329">
        <v>42448</v>
      </c>
      <c r="BB38" s="339" t="s">
        <v>1573</v>
      </c>
      <c r="BC38" s="337">
        <v>14</v>
      </c>
      <c r="BD38" s="332"/>
      <c r="BE38" s="329">
        <v>42819</v>
      </c>
      <c r="BF38" s="339" t="s">
        <v>2707</v>
      </c>
      <c r="BG38" s="337">
        <v>7</v>
      </c>
      <c r="BH38" s="332"/>
      <c r="BI38" s="329">
        <v>43171</v>
      </c>
      <c r="BJ38" s="339" t="s">
        <v>2708</v>
      </c>
      <c r="BK38" s="337">
        <v>38</v>
      </c>
      <c r="BL38" s="332"/>
      <c r="BM38" s="329"/>
      <c r="BN38" s="339"/>
      <c r="BO38" s="902"/>
      <c r="BP38" s="912"/>
      <c r="BQ38" s="1250">
        <v>43541</v>
      </c>
      <c r="BR38" s="916" t="s">
        <v>2709</v>
      </c>
      <c r="BS38" s="902">
        <v>6</v>
      </c>
      <c r="BT38" s="899" t="s">
        <v>414</v>
      </c>
      <c r="BU38" s="895">
        <v>43908</v>
      </c>
      <c r="BV38" s="903" t="s">
        <v>2710</v>
      </c>
      <c r="BW38" s="1257">
        <v>1</v>
      </c>
      <c r="BX38" s="899" t="s">
        <v>414</v>
      </c>
      <c r="BY38" s="895">
        <v>44273</v>
      </c>
      <c r="BZ38" s="903" t="s">
        <v>987</v>
      </c>
      <c r="CA38" s="1257">
        <v>0</v>
      </c>
      <c r="CB38" s="899" t="s">
        <v>414</v>
      </c>
      <c r="CC38" s="895">
        <v>44627</v>
      </c>
      <c r="CD38" s="903" t="s">
        <v>2711</v>
      </c>
      <c r="CE38" s="1257">
        <v>200</v>
      </c>
      <c r="CF38" s="899" t="s">
        <v>701</v>
      </c>
      <c r="CG38" s="895">
        <v>44997</v>
      </c>
      <c r="CH38" s="903" t="s">
        <v>2178</v>
      </c>
      <c r="CI38" s="1257">
        <v>11</v>
      </c>
      <c r="CJ38" s="899" t="s">
        <v>414</v>
      </c>
      <c r="CK38" s="895">
        <v>45354</v>
      </c>
      <c r="CL38" s="903" t="s">
        <v>2196</v>
      </c>
      <c r="CM38" s="1257">
        <v>21</v>
      </c>
      <c r="CN38" s="899" t="s">
        <v>414</v>
      </c>
      <c r="CO38" s="895"/>
      <c r="CP38" s="903"/>
      <c r="CQ38" s="1257"/>
      <c r="CR38" s="899"/>
    </row>
    <row r="39" spans="1:96">
      <c r="A39" s="895">
        <v>37694</v>
      </c>
      <c r="B39" s="901" t="s">
        <v>410</v>
      </c>
      <c r="C39" s="902"/>
      <c r="D39" s="912">
        <v>31</v>
      </c>
      <c r="E39" s="895">
        <v>38066</v>
      </c>
      <c r="F39" s="901" t="s">
        <v>2712</v>
      </c>
      <c r="G39" s="902">
        <v>10</v>
      </c>
      <c r="H39" s="912"/>
      <c r="I39" s="895"/>
      <c r="J39" s="901"/>
      <c r="K39" s="902"/>
      <c r="L39" s="912"/>
      <c r="M39" s="895">
        <v>38802</v>
      </c>
      <c r="N39" s="901" t="s">
        <v>2713</v>
      </c>
      <c r="O39" s="902">
        <v>19</v>
      </c>
      <c r="P39" s="1258"/>
      <c r="Q39" s="895">
        <v>39147</v>
      </c>
      <c r="R39" s="903" t="s">
        <v>2714</v>
      </c>
      <c r="S39" s="906">
        <v>0</v>
      </c>
      <c r="T39" s="333"/>
      <c r="U39" s="329">
        <v>39534</v>
      </c>
      <c r="V39" s="339" t="s">
        <v>2715</v>
      </c>
      <c r="W39" s="337">
        <v>29</v>
      </c>
      <c r="X39" s="332"/>
      <c r="Y39" s="329">
        <v>39893</v>
      </c>
      <c r="Z39" s="339" t="s">
        <v>2716</v>
      </c>
      <c r="AA39" s="337">
        <v>16</v>
      </c>
      <c r="AB39" s="332"/>
      <c r="AC39" s="329"/>
      <c r="AD39" s="339"/>
      <c r="AE39" s="337"/>
      <c r="AF39" s="332"/>
      <c r="AG39" s="329">
        <v>40624</v>
      </c>
      <c r="AH39" s="339" t="s">
        <v>2717</v>
      </c>
      <c r="AI39" s="337">
        <v>30</v>
      </c>
      <c r="AJ39" s="332"/>
      <c r="AK39" s="329"/>
      <c r="AL39" s="339"/>
      <c r="AM39" s="337"/>
      <c r="AN39" s="332"/>
      <c r="AO39" s="329">
        <v>41356</v>
      </c>
      <c r="AP39" s="339" t="s">
        <v>943</v>
      </c>
      <c r="AQ39" s="337">
        <v>24</v>
      </c>
      <c r="AR39" s="332"/>
      <c r="AS39" s="329">
        <v>41716</v>
      </c>
      <c r="AT39" s="339" t="s">
        <v>2718</v>
      </c>
      <c r="AU39" s="337">
        <v>11</v>
      </c>
      <c r="AV39" s="332"/>
      <c r="AW39" s="329">
        <v>42084</v>
      </c>
      <c r="AX39" s="339" t="s">
        <v>781</v>
      </c>
      <c r="AY39" s="337">
        <v>78</v>
      </c>
      <c r="AZ39" s="332"/>
      <c r="BA39" s="329">
        <v>42448</v>
      </c>
      <c r="BB39" s="339" t="s">
        <v>781</v>
      </c>
      <c r="BC39" s="337">
        <v>55</v>
      </c>
      <c r="BD39" s="332"/>
      <c r="BE39" s="329">
        <v>42819</v>
      </c>
      <c r="BF39" s="339" t="s">
        <v>872</v>
      </c>
      <c r="BG39" s="337">
        <v>16</v>
      </c>
      <c r="BH39" s="332"/>
      <c r="BI39" s="329">
        <v>43175</v>
      </c>
      <c r="BJ39" s="339" t="s">
        <v>2719</v>
      </c>
      <c r="BK39" s="337">
        <v>19</v>
      </c>
      <c r="BL39" s="332"/>
      <c r="BM39" s="329"/>
      <c r="BN39" s="339"/>
      <c r="BO39" s="902"/>
      <c r="BP39" s="912"/>
      <c r="BQ39" s="1250">
        <v>43541</v>
      </c>
      <c r="BR39" s="916" t="s">
        <v>1391</v>
      </c>
      <c r="BS39" s="902">
        <v>5</v>
      </c>
      <c r="BT39" s="899" t="s">
        <v>414</v>
      </c>
      <c r="BU39" s="895">
        <v>43908</v>
      </c>
      <c r="BV39" s="903" t="s">
        <v>2720</v>
      </c>
      <c r="BW39" s="1257">
        <v>6</v>
      </c>
      <c r="BX39" s="899" t="s">
        <v>280</v>
      </c>
      <c r="BY39" s="895">
        <v>44273</v>
      </c>
      <c r="BZ39" s="903" t="s">
        <v>2721</v>
      </c>
      <c r="CA39" s="1257">
        <v>28</v>
      </c>
      <c r="CB39" s="899" t="s">
        <v>414</v>
      </c>
      <c r="CC39" s="895">
        <v>44627</v>
      </c>
      <c r="CD39" s="903" t="s">
        <v>2722</v>
      </c>
      <c r="CE39" s="1257">
        <v>650</v>
      </c>
      <c r="CF39" s="899" t="s">
        <v>674</v>
      </c>
      <c r="CG39" s="895">
        <v>44997</v>
      </c>
      <c r="CH39" s="903" t="s">
        <v>2723</v>
      </c>
      <c r="CI39" s="1257">
        <v>9</v>
      </c>
      <c r="CJ39" s="899" t="s">
        <v>414</v>
      </c>
      <c r="CK39" s="895">
        <v>45354</v>
      </c>
      <c r="CL39" s="1585" t="s">
        <v>2724</v>
      </c>
      <c r="CM39" s="1257">
        <v>8</v>
      </c>
      <c r="CN39" s="899" t="s">
        <v>414</v>
      </c>
      <c r="CO39" s="895"/>
      <c r="CP39" s="1585"/>
      <c r="CQ39" s="1257"/>
      <c r="CR39" s="899"/>
    </row>
    <row r="40" spans="1:96">
      <c r="A40" s="895">
        <v>37695</v>
      </c>
      <c r="B40" s="901" t="s">
        <v>2725</v>
      </c>
      <c r="C40" s="902">
        <v>5</v>
      </c>
      <c r="D40" s="912"/>
      <c r="E40" s="895">
        <v>38066</v>
      </c>
      <c r="F40" s="901" t="s">
        <v>797</v>
      </c>
      <c r="G40" s="902">
        <v>31</v>
      </c>
      <c r="H40" s="912"/>
      <c r="I40" s="895"/>
      <c r="J40" s="901"/>
      <c r="K40" s="902"/>
      <c r="L40" s="912"/>
      <c r="M40" s="895">
        <v>38802</v>
      </c>
      <c r="N40" s="901" t="s">
        <v>802</v>
      </c>
      <c r="O40" s="902">
        <v>30</v>
      </c>
      <c r="P40" s="1258"/>
      <c r="Q40" s="895">
        <v>39147</v>
      </c>
      <c r="R40" s="903" t="s">
        <v>2726</v>
      </c>
      <c r="S40" s="906">
        <v>5</v>
      </c>
      <c r="T40" s="333"/>
      <c r="U40" s="329">
        <v>39535</v>
      </c>
      <c r="V40" s="339" t="s">
        <v>2727</v>
      </c>
      <c r="W40" s="337">
        <v>16</v>
      </c>
      <c r="X40" s="332"/>
      <c r="Y40" s="329">
        <v>39893</v>
      </c>
      <c r="Z40" s="339" t="s">
        <v>2728</v>
      </c>
      <c r="AA40" s="337">
        <v>10</v>
      </c>
      <c r="AB40" s="332"/>
      <c r="AC40" s="329"/>
      <c r="AD40" s="339"/>
      <c r="AE40" s="337"/>
      <c r="AF40" s="332"/>
      <c r="AG40" s="329">
        <v>40625</v>
      </c>
      <c r="AH40" s="339" t="s">
        <v>802</v>
      </c>
      <c r="AI40" s="337">
        <v>48</v>
      </c>
      <c r="AJ40" s="332"/>
      <c r="AK40" s="329"/>
      <c r="AL40" s="339"/>
      <c r="AM40" s="337"/>
      <c r="AN40" s="332"/>
      <c r="AO40" s="329">
        <v>41356</v>
      </c>
      <c r="AP40" s="339" t="s">
        <v>754</v>
      </c>
      <c r="AQ40" s="337">
        <v>117</v>
      </c>
      <c r="AR40" s="332"/>
      <c r="AS40" s="329">
        <v>41718</v>
      </c>
      <c r="AT40" s="339" t="s">
        <v>797</v>
      </c>
      <c r="AU40" s="337">
        <v>61</v>
      </c>
      <c r="AV40" s="332"/>
      <c r="AW40" s="329">
        <v>42085</v>
      </c>
      <c r="AX40" s="339" t="s">
        <v>802</v>
      </c>
      <c r="AY40" s="337">
        <v>26</v>
      </c>
      <c r="AZ40" s="332"/>
      <c r="BA40" s="329">
        <v>42448</v>
      </c>
      <c r="BB40" s="339" t="s">
        <v>954</v>
      </c>
      <c r="BC40" s="337">
        <v>52</v>
      </c>
      <c r="BD40" s="332"/>
      <c r="BE40" s="329">
        <v>42819</v>
      </c>
      <c r="BF40" s="339" t="s">
        <v>859</v>
      </c>
      <c r="BG40" s="337">
        <v>22</v>
      </c>
      <c r="BH40" s="332"/>
      <c r="BI40" s="329">
        <v>43175</v>
      </c>
      <c r="BJ40" s="339" t="s">
        <v>2729</v>
      </c>
      <c r="BK40" s="337">
        <v>15</v>
      </c>
      <c r="BL40" s="332"/>
      <c r="BM40" s="329"/>
      <c r="BN40" s="339"/>
      <c r="BO40" s="902"/>
      <c r="BP40" s="912"/>
      <c r="BQ40" s="1250">
        <v>43541</v>
      </c>
      <c r="BR40" s="916" t="s">
        <v>2730</v>
      </c>
      <c r="BS40" s="902">
        <v>18</v>
      </c>
      <c r="BT40" s="899" t="s">
        <v>280</v>
      </c>
      <c r="BU40" s="895">
        <v>43908</v>
      </c>
      <c r="BV40" s="903" t="s">
        <v>2731</v>
      </c>
      <c r="BW40" s="1257">
        <v>3</v>
      </c>
      <c r="BX40" s="899" t="s">
        <v>280</v>
      </c>
      <c r="BY40" s="895">
        <v>44273</v>
      </c>
      <c r="BZ40" s="903" t="s">
        <v>2732</v>
      </c>
      <c r="CA40" s="1257">
        <v>29</v>
      </c>
      <c r="CB40" s="899" t="s">
        <v>414</v>
      </c>
      <c r="CC40" s="895">
        <v>44630</v>
      </c>
      <c r="CD40" s="903" t="s">
        <v>2733</v>
      </c>
      <c r="CE40" s="1257">
        <v>90</v>
      </c>
      <c r="CF40" s="899" t="s">
        <v>701</v>
      </c>
      <c r="CG40" s="895">
        <v>44997</v>
      </c>
      <c r="CH40" s="903" t="s">
        <v>2734</v>
      </c>
      <c r="CI40" s="1257">
        <v>16</v>
      </c>
      <c r="CJ40" s="899" t="s">
        <v>693</v>
      </c>
      <c r="CK40" s="895">
        <v>45354</v>
      </c>
      <c r="CL40" s="903" t="s">
        <v>2735</v>
      </c>
      <c r="CM40" s="1257">
        <v>30</v>
      </c>
      <c r="CN40" s="899" t="s">
        <v>414</v>
      </c>
      <c r="CO40" s="895"/>
      <c r="CP40" s="903"/>
      <c r="CQ40" s="1257"/>
      <c r="CR40" s="899"/>
    </row>
    <row r="41" spans="1:96">
      <c r="A41" s="895">
        <v>37695</v>
      </c>
      <c r="B41" s="901" t="s">
        <v>410</v>
      </c>
      <c r="C41" s="902">
        <v>24</v>
      </c>
      <c r="D41" s="912"/>
      <c r="E41" s="895">
        <v>38066</v>
      </c>
      <c r="F41" s="901" t="s">
        <v>2736</v>
      </c>
      <c r="G41" s="902">
        <v>5</v>
      </c>
      <c r="H41" s="912"/>
      <c r="I41" s="895"/>
      <c r="J41" s="901"/>
      <c r="K41" s="902"/>
      <c r="L41" s="912"/>
      <c r="M41" s="895">
        <v>38802</v>
      </c>
      <c r="N41" s="901" t="s">
        <v>2737</v>
      </c>
      <c r="O41" s="902">
        <v>17</v>
      </c>
      <c r="P41" s="1258"/>
      <c r="Q41" s="895">
        <v>39148</v>
      </c>
      <c r="R41" s="903" t="s">
        <v>787</v>
      </c>
      <c r="S41" s="906">
        <v>21</v>
      </c>
      <c r="T41" s="333"/>
      <c r="U41" s="329">
        <v>39535</v>
      </c>
      <c r="V41" s="339" t="s">
        <v>2738</v>
      </c>
      <c r="W41" s="337">
        <v>19</v>
      </c>
      <c r="X41" s="332"/>
      <c r="Y41" s="329">
        <v>39893</v>
      </c>
      <c r="Z41" s="339" t="s">
        <v>2739</v>
      </c>
      <c r="AA41" s="337">
        <v>8</v>
      </c>
      <c r="AB41" s="332"/>
      <c r="AC41" s="329"/>
      <c r="AD41" s="339"/>
      <c r="AE41" s="337"/>
      <c r="AF41" s="332"/>
      <c r="AG41" s="329">
        <v>40626</v>
      </c>
      <c r="AH41" s="339" t="s">
        <v>2740</v>
      </c>
      <c r="AI41" s="337"/>
      <c r="AJ41" s="332"/>
      <c r="AK41" s="329"/>
      <c r="AL41" s="339"/>
      <c r="AM41" s="337"/>
      <c r="AN41" s="332"/>
      <c r="AO41" s="329">
        <v>41356</v>
      </c>
      <c r="AP41" s="339" t="s">
        <v>2741</v>
      </c>
      <c r="AQ41" s="337">
        <v>35</v>
      </c>
      <c r="AR41" s="332"/>
      <c r="AS41" s="329">
        <v>41719</v>
      </c>
      <c r="AT41" s="339" t="s">
        <v>886</v>
      </c>
      <c r="AU41" s="337">
        <v>15</v>
      </c>
      <c r="AV41" s="332"/>
      <c r="AW41" s="329">
        <v>42085</v>
      </c>
      <c r="AX41" s="339" t="s">
        <v>754</v>
      </c>
      <c r="AY41" s="337">
        <v>47</v>
      </c>
      <c r="AZ41" s="332"/>
      <c r="BA41" s="329">
        <v>42448</v>
      </c>
      <c r="BB41" s="339" t="s">
        <v>979</v>
      </c>
      <c r="BC41" s="337">
        <v>15</v>
      </c>
      <c r="BD41" s="332"/>
      <c r="BE41" s="329">
        <v>42819</v>
      </c>
      <c r="BF41" s="339" t="s">
        <v>2742</v>
      </c>
      <c r="BG41" s="337">
        <v>12</v>
      </c>
      <c r="BH41" s="332"/>
      <c r="BI41" s="329">
        <v>43176</v>
      </c>
      <c r="BJ41" s="339" t="s">
        <v>872</v>
      </c>
      <c r="BK41" s="337">
        <v>48</v>
      </c>
      <c r="BL41" s="332"/>
      <c r="BM41" s="329"/>
      <c r="BN41" s="339"/>
      <c r="BO41" s="902"/>
      <c r="BP41" s="912"/>
      <c r="BQ41" s="1250">
        <v>43541</v>
      </c>
      <c r="BR41" s="916" t="s">
        <v>873</v>
      </c>
      <c r="BS41" s="902">
        <v>10</v>
      </c>
      <c r="BT41" s="899" t="s">
        <v>414</v>
      </c>
      <c r="BU41" s="895">
        <v>43908</v>
      </c>
      <c r="BV41" s="903" t="s">
        <v>2743</v>
      </c>
      <c r="BW41" s="1257">
        <v>10</v>
      </c>
      <c r="BX41" s="899" t="s">
        <v>280</v>
      </c>
      <c r="BY41" s="895">
        <v>44273</v>
      </c>
      <c r="BZ41" s="903" t="s">
        <v>2744</v>
      </c>
      <c r="CA41" s="1257">
        <v>13</v>
      </c>
      <c r="CB41" s="899" t="s">
        <v>414</v>
      </c>
      <c r="CC41" s="895">
        <v>44630</v>
      </c>
      <c r="CD41" s="903" t="s">
        <v>2745</v>
      </c>
      <c r="CE41" s="1257">
        <v>25</v>
      </c>
      <c r="CF41" s="899" t="s">
        <v>280</v>
      </c>
      <c r="CG41" s="895">
        <v>44997</v>
      </c>
      <c r="CH41" s="903" t="s">
        <v>2746</v>
      </c>
      <c r="CI41" s="1257">
        <v>21</v>
      </c>
      <c r="CJ41" s="899" t="s">
        <v>693</v>
      </c>
      <c r="CK41" s="895">
        <v>45354</v>
      </c>
      <c r="CL41" s="903" t="s">
        <v>2747</v>
      </c>
      <c r="CM41" s="1257">
        <v>28</v>
      </c>
      <c r="CN41" s="899" t="s">
        <v>414</v>
      </c>
      <c r="CO41" s="895"/>
      <c r="CP41" s="903"/>
      <c r="CQ41" s="1257"/>
      <c r="CR41" s="899"/>
    </row>
    <row r="42" spans="1:96">
      <c r="A42" s="895">
        <v>37695</v>
      </c>
      <c r="B42" s="901" t="s">
        <v>2748</v>
      </c>
      <c r="C42" s="902">
        <v>12</v>
      </c>
      <c r="D42" s="912"/>
      <c r="E42" s="895">
        <v>38066</v>
      </c>
      <c r="F42" s="901" t="s">
        <v>2749</v>
      </c>
      <c r="G42" s="902">
        <v>4</v>
      </c>
      <c r="H42" s="912"/>
      <c r="I42" s="895"/>
      <c r="J42" s="901"/>
      <c r="K42" s="902"/>
      <c r="L42" s="912"/>
      <c r="M42" s="895">
        <v>38805</v>
      </c>
      <c r="N42" s="901" t="s">
        <v>1157</v>
      </c>
      <c r="O42" s="902">
        <v>57</v>
      </c>
      <c r="P42" s="1258"/>
      <c r="Q42" s="895">
        <v>39148</v>
      </c>
      <c r="R42" s="903" t="s">
        <v>2750</v>
      </c>
      <c r="S42" s="906">
        <v>40</v>
      </c>
      <c r="T42" s="333"/>
      <c r="U42" s="329">
        <v>39535</v>
      </c>
      <c r="V42" s="339" t="s">
        <v>2751</v>
      </c>
      <c r="W42" s="337">
        <v>1</v>
      </c>
      <c r="X42" s="332"/>
      <c r="Y42" s="329">
        <v>39894</v>
      </c>
      <c r="Z42" s="339" t="s">
        <v>781</v>
      </c>
      <c r="AA42" s="337">
        <v>95</v>
      </c>
      <c r="AB42" s="332"/>
      <c r="AC42" s="329"/>
      <c r="AD42" s="339"/>
      <c r="AE42" s="337"/>
      <c r="AF42" s="332"/>
      <c r="AG42" s="329">
        <v>40626</v>
      </c>
      <c r="AH42" s="339" t="s">
        <v>1052</v>
      </c>
      <c r="AI42" s="337">
        <v>20</v>
      </c>
      <c r="AJ42" s="332"/>
      <c r="AK42" s="329"/>
      <c r="AL42" s="339"/>
      <c r="AM42" s="337"/>
      <c r="AN42" s="332"/>
      <c r="AO42" s="329">
        <v>41356</v>
      </c>
      <c r="AP42" s="339" t="s">
        <v>2752</v>
      </c>
      <c r="AQ42" s="337">
        <v>15</v>
      </c>
      <c r="AR42" s="332"/>
      <c r="AS42" s="329">
        <v>41720</v>
      </c>
      <c r="AT42" s="339" t="s">
        <v>2753</v>
      </c>
      <c r="AU42" s="337">
        <v>96</v>
      </c>
      <c r="AV42" s="332"/>
      <c r="AW42" s="329">
        <v>42085</v>
      </c>
      <c r="AX42" s="339" t="s">
        <v>2754</v>
      </c>
      <c r="AY42" s="337">
        <v>36</v>
      </c>
      <c r="AZ42" s="332"/>
      <c r="BA42" s="329">
        <v>42448</v>
      </c>
      <c r="BB42" s="339" t="s">
        <v>787</v>
      </c>
      <c r="BC42" s="337">
        <v>10</v>
      </c>
      <c r="BD42" s="332"/>
      <c r="BE42" s="329">
        <v>42819</v>
      </c>
      <c r="BF42" s="339" t="s">
        <v>781</v>
      </c>
      <c r="BG42" s="337">
        <v>10</v>
      </c>
      <c r="BH42" s="332"/>
      <c r="BI42" s="329">
        <v>43176</v>
      </c>
      <c r="BJ42" s="339" t="s">
        <v>873</v>
      </c>
      <c r="BK42" s="337">
        <v>21</v>
      </c>
      <c r="BL42" s="332"/>
      <c r="BM42" s="329"/>
      <c r="BN42" s="339"/>
      <c r="BO42" s="902"/>
      <c r="BP42" s="912"/>
      <c r="BQ42" s="1250">
        <v>43541</v>
      </c>
      <c r="BR42" s="916" t="s">
        <v>1166</v>
      </c>
      <c r="BS42" s="902">
        <v>27</v>
      </c>
      <c r="BT42" s="899" t="s">
        <v>414</v>
      </c>
      <c r="BU42" s="895">
        <v>43910</v>
      </c>
      <c r="BV42" s="903" t="s">
        <v>845</v>
      </c>
      <c r="BW42" s="1257">
        <v>27</v>
      </c>
      <c r="BX42" s="899" t="s">
        <v>414</v>
      </c>
      <c r="BY42" s="895">
        <v>44273</v>
      </c>
      <c r="BZ42" s="903" t="s">
        <v>1873</v>
      </c>
      <c r="CA42" s="1257">
        <v>51</v>
      </c>
      <c r="CB42" s="899" t="s">
        <v>414</v>
      </c>
      <c r="CC42" s="895">
        <v>44630</v>
      </c>
      <c r="CD42" s="903" t="s">
        <v>797</v>
      </c>
      <c r="CE42" s="1257">
        <v>92</v>
      </c>
      <c r="CF42" s="899" t="s">
        <v>410</v>
      </c>
      <c r="CG42" s="895">
        <v>44997</v>
      </c>
      <c r="CH42" s="903" t="s">
        <v>2755</v>
      </c>
      <c r="CI42" s="1257">
        <v>0</v>
      </c>
      <c r="CJ42" s="899" t="s">
        <v>700</v>
      </c>
      <c r="CK42" s="895">
        <v>45354</v>
      </c>
      <c r="CL42" s="903" t="s">
        <v>2237</v>
      </c>
      <c r="CM42" s="1257">
        <v>26</v>
      </c>
      <c r="CN42" s="899" t="s">
        <v>280</v>
      </c>
      <c r="CO42" s="895"/>
      <c r="CP42" s="903"/>
      <c r="CQ42" s="1257"/>
      <c r="CR42" s="899"/>
    </row>
    <row r="43" spans="1:96">
      <c r="A43" s="895">
        <v>37695</v>
      </c>
      <c r="B43" s="901" t="s">
        <v>2756</v>
      </c>
      <c r="C43" s="902">
        <v>10</v>
      </c>
      <c r="D43" s="912"/>
      <c r="E43" s="895">
        <v>38067</v>
      </c>
      <c r="F43" s="901" t="s">
        <v>937</v>
      </c>
      <c r="G43" s="902">
        <v>50</v>
      </c>
      <c r="H43" s="912"/>
      <c r="I43" s="895"/>
      <c r="J43" s="901"/>
      <c r="K43" s="902"/>
      <c r="L43" s="912"/>
      <c r="M43" s="895"/>
      <c r="N43" s="901"/>
      <c r="O43" s="902"/>
      <c r="P43" s="1258"/>
      <c r="Q43" s="895">
        <v>39149</v>
      </c>
      <c r="R43" s="903" t="s">
        <v>2757</v>
      </c>
      <c r="S43" s="906">
        <v>10</v>
      </c>
      <c r="T43" s="333"/>
      <c r="U43" s="329">
        <v>39535</v>
      </c>
      <c r="V43" s="339" t="s">
        <v>2758</v>
      </c>
      <c r="W43" s="337">
        <v>0</v>
      </c>
      <c r="X43" s="332"/>
      <c r="Y43" s="329">
        <v>39894</v>
      </c>
      <c r="Z43" s="339" t="s">
        <v>2759</v>
      </c>
      <c r="AA43" s="337">
        <v>13</v>
      </c>
      <c r="AB43" s="332"/>
      <c r="AC43" s="329"/>
      <c r="AD43" s="339"/>
      <c r="AE43" s="337"/>
      <c r="AF43" s="332"/>
      <c r="AG43" s="329">
        <v>40628</v>
      </c>
      <c r="AH43" s="339" t="s">
        <v>781</v>
      </c>
      <c r="AI43" s="337">
        <v>82</v>
      </c>
      <c r="AJ43" s="332"/>
      <c r="AK43" s="329"/>
      <c r="AL43" s="339"/>
      <c r="AM43" s="337"/>
      <c r="AN43" s="332"/>
      <c r="AO43" s="329">
        <v>41356</v>
      </c>
      <c r="AP43" s="339" t="s">
        <v>1573</v>
      </c>
      <c r="AQ43" s="337">
        <v>7</v>
      </c>
      <c r="AR43" s="332"/>
      <c r="AS43" s="329">
        <v>41720</v>
      </c>
      <c r="AT43" s="339" t="s">
        <v>2760</v>
      </c>
      <c r="AU43" s="337">
        <v>28</v>
      </c>
      <c r="AV43" s="332"/>
      <c r="AW43" s="329">
        <v>42085</v>
      </c>
      <c r="AX43" s="339" t="s">
        <v>797</v>
      </c>
      <c r="AY43" s="337">
        <v>40</v>
      </c>
      <c r="AZ43" s="332"/>
      <c r="BA43" s="329">
        <v>42449</v>
      </c>
      <c r="BB43" s="339" t="s">
        <v>2761</v>
      </c>
      <c r="BC43" s="337">
        <v>31</v>
      </c>
      <c r="BD43" s="332"/>
      <c r="BE43" s="329">
        <v>42819</v>
      </c>
      <c r="BF43" s="339" t="s">
        <v>2762</v>
      </c>
      <c r="BG43" s="337">
        <v>18</v>
      </c>
      <c r="BH43" s="332"/>
      <c r="BI43" s="329">
        <v>43177</v>
      </c>
      <c r="BJ43" s="339" t="s">
        <v>2763</v>
      </c>
      <c r="BK43" s="337"/>
      <c r="BL43" s="332"/>
      <c r="BM43" s="329"/>
      <c r="BN43" s="339"/>
      <c r="BO43" s="902"/>
      <c r="BP43" s="912"/>
      <c r="BQ43" s="1250">
        <v>43546</v>
      </c>
      <c r="BR43" s="916" t="s">
        <v>2764</v>
      </c>
      <c r="BS43" s="902">
        <v>20</v>
      </c>
      <c r="BT43" s="899" t="s">
        <v>700</v>
      </c>
      <c r="BU43" s="895">
        <v>43910</v>
      </c>
      <c r="BV43" s="903" t="s">
        <v>872</v>
      </c>
      <c r="BW43" s="1257">
        <v>7</v>
      </c>
      <c r="BX43" s="899" t="s">
        <v>414</v>
      </c>
      <c r="BY43" s="895">
        <v>44273</v>
      </c>
      <c r="BZ43" s="903" t="s">
        <v>2765</v>
      </c>
      <c r="CA43" s="1257">
        <v>14</v>
      </c>
      <c r="CB43" s="899" t="s">
        <v>414</v>
      </c>
      <c r="CC43" s="895">
        <v>44630</v>
      </c>
      <c r="CD43" s="903" t="s">
        <v>2766</v>
      </c>
      <c r="CE43" s="1257">
        <v>93</v>
      </c>
      <c r="CF43" s="899" t="s">
        <v>701</v>
      </c>
      <c r="CG43" s="895">
        <v>44997</v>
      </c>
      <c r="CH43" s="903" t="s">
        <v>843</v>
      </c>
      <c r="CI43" s="1257">
        <v>15</v>
      </c>
      <c r="CJ43" s="899" t="s">
        <v>414</v>
      </c>
      <c r="CK43" s="895">
        <v>45354</v>
      </c>
      <c r="CL43" s="903" t="s">
        <v>2767</v>
      </c>
      <c r="CM43" s="1257">
        <v>15</v>
      </c>
      <c r="CN43" s="899" t="s">
        <v>414</v>
      </c>
      <c r="CO43" s="895"/>
      <c r="CP43" s="903"/>
      <c r="CQ43" s="1257"/>
      <c r="CR43" s="899"/>
    </row>
    <row r="44" spans="1:96">
      <c r="A44" s="895">
        <v>37695</v>
      </c>
      <c r="B44" s="901" t="s">
        <v>2768</v>
      </c>
      <c r="C44" s="902">
        <v>10</v>
      </c>
      <c r="D44" s="912"/>
      <c r="E44" s="895">
        <v>38067</v>
      </c>
      <c r="F44" s="901" t="s">
        <v>2769</v>
      </c>
      <c r="G44" s="902">
        <v>739</v>
      </c>
      <c r="H44" s="912"/>
      <c r="I44" s="895"/>
      <c r="J44" s="901"/>
      <c r="K44" s="902"/>
      <c r="L44" s="912"/>
      <c r="M44" s="895"/>
      <c r="N44" s="901"/>
      <c r="O44" s="902"/>
      <c r="P44" s="1258"/>
      <c r="Q44" s="895">
        <v>39149</v>
      </c>
      <c r="R44" s="903" t="s">
        <v>2770</v>
      </c>
      <c r="S44" s="906">
        <v>8</v>
      </c>
      <c r="T44" s="333"/>
      <c r="U44" s="329">
        <v>39537</v>
      </c>
      <c r="V44" s="339" t="s">
        <v>797</v>
      </c>
      <c r="W44" s="337">
        <v>37</v>
      </c>
      <c r="X44" s="332"/>
      <c r="Y44" s="329">
        <v>39894</v>
      </c>
      <c r="Z44" s="339" t="s">
        <v>797</v>
      </c>
      <c r="AA44" s="337">
        <v>23</v>
      </c>
      <c r="AB44" s="332"/>
      <c r="AC44" s="329"/>
      <c r="AD44" s="339"/>
      <c r="AE44" s="337"/>
      <c r="AF44" s="332"/>
      <c r="AG44" s="329">
        <v>40629</v>
      </c>
      <c r="AH44" s="339" t="s">
        <v>2771</v>
      </c>
      <c r="AI44" s="337">
        <v>12</v>
      </c>
      <c r="AJ44" s="332"/>
      <c r="AK44" s="329"/>
      <c r="AL44" s="339"/>
      <c r="AM44" s="337"/>
      <c r="AN44" s="332"/>
      <c r="AO44" s="329">
        <v>41356</v>
      </c>
      <c r="AP44" s="339" t="s">
        <v>2772</v>
      </c>
      <c r="AQ44" s="337">
        <v>25</v>
      </c>
      <c r="AR44" s="332"/>
      <c r="AS44" s="329">
        <v>41721</v>
      </c>
      <c r="AT44" s="339" t="s">
        <v>2760</v>
      </c>
      <c r="AU44" s="337">
        <v>10</v>
      </c>
      <c r="AV44" s="332"/>
      <c r="AW44" s="329">
        <v>42085</v>
      </c>
      <c r="AX44" s="339" t="s">
        <v>2773</v>
      </c>
      <c r="AY44" s="337">
        <v>4</v>
      </c>
      <c r="AZ44" s="332"/>
      <c r="BA44" s="329">
        <v>42451</v>
      </c>
      <c r="BB44" s="339" t="s">
        <v>2774</v>
      </c>
      <c r="BC44" s="337">
        <v>6</v>
      </c>
      <c r="BD44" s="332"/>
      <c r="BE44" s="329">
        <v>42819</v>
      </c>
      <c r="BF44" s="339" t="s">
        <v>1903</v>
      </c>
      <c r="BG44" s="337">
        <v>99</v>
      </c>
      <c r="BH44" s="332"/>
      <c r="BI44" s="329">
        <v>43177</v>
      </c>
      <c r="BJ44" s="339" t="s">
        <v>797</v>
      </c>
      <c r="BK44" s="337">
        <v>55</v>
      </c>
      <c r="BL44" s="332"/>
      <c r="BM44" s="329"/>
      <c r="BN44" s="339"/>
      <c r="BO44" s="902"/>
      <c r="BP44" s="912"/>
      <c r="BQ44" s="1250">
        <v>43546</v>
      </c>
      <c r="BR44" s="916" t="s">
        <v>1903</v>
      </c>
      <c r="BS44" s="902">
        <v>75</v>
      </c>
      <c r="BT44" s="899" t="s">
        <v>700</v>
      </c>
      <c r="BU44" s="895">
        <v>43910</v>
      </c>
      <c r="BV44" s="903" t="s">
        <v>772</v>
      </c>
      <c r="BW44" s="1257">
        <v>45</v>
      </c>
      <c r="BX44" s="899" t="s">
        <v>414</v>
      </c>
      <c r="BY44" s="895">
        <v>44273</v>
      </c>
      <c r="BZ44" s="903" t="s">
        <v>2775</v>
      </c>
      <c r="CA44" s="1257" t="s">
        <v>37</v>
      </c>
      <c r="CB44" s="899" t="s">
        <v>414</v>
      </c>
      <c r="CC44" s="895">
        <v>44630</v>
      </c>
      <c r="CD44" s="903" t="s">
        <v>2776</v>
      </c>
      <c r="CE44" s="1257">
        <v>30</v>
      </c>
      <c r="CF44" s="899" t="s">
        <v>693</v>
      </c>
      <c r="CG44" s="895">
        <v>44997</v>
      </c>
      <c r="CH44" s="903" t="s">
        <v>859</v>
      </c>
      <c r="CI44" s="1257">
        <v>12</v>
      </c>
      <c r="CJ44" s="899" t="s">
        <v>414</v>
      </c>
      <c r="CK44" s="895">
        <v>45354</v>
      </c>
      <c r="CL44" s="903" t="s">
        <v>2777</v>
      </c>
      <c r="CM44" s="1257">
        <v>29</v>
      </c>
      <c r="CN44" s="899" t="s">
        <v>414</v>
      </c>
      <c r="CO44" s="895"/>
      <c r="CP44" s="903"/>
      <c r="CQ44" s="1257"/>
      <c r="CR44" s="899"/>
    </row>
    <row r="45" spans="1:96">
      <c r="A45" s="895">
        <v>37696</v>
      </c>
      <c r="B45" s="901" t="s">
        <v>915</v>
      </c>
      <c r="C45" s="902">
        <v>25</v>
      </c>
      <c r="D45" s="912"/>
      <c r="E45" s="895">
        <v>38067</v>
      </c>
      <c r="F45" s="901" t="s">
        <v>2778</v>
      </c>
      <c r="G45" s="902">
        <v>30</v>
      </c>
      <c r="H45" s="912"/>
      <c r="I45" s="895"/>
      <c r="J45" s="901"/>
      <c r="K45" s="902"/>
      <c r="L45" s="912"/>
      <c r="M45" s="895"/>
      <c r="N45" s="901"/>
      <c r="O45" s="902"/>
      <c r="P45" s="1258"/>
      <c r="Q45" s="895">
        <v>39150</v>
      </c>
      <c r="R45" s="903" t="s">
        <v>2779</v>
      </c>
      <c r="S45" s="906">
        <v>20</v>
      </c>
      <c r="T45" s="333"/>
      <c r="U45" s="329"/>
      <c r="V45" s="339"/>
      <c r="W45" s="337"/>
      <c r="X45" s="332"/>
      <c r="Y45" s="329">
        <v>39894</v>
      </c>
      <c r="Z45" s="339" t="s">
        <v>2780</v>
      </c>
      <c r="AA45" s="337">
        <v>20</v>
      </c>
      <c r="AB45" s="332"/>
      <c r="AC45" s="329"/>
      <c r="AD45" s="339"/>
      <c r="AE45" s="337"/>
      <c r="AF45" s="332"/>
      <c r="AG45" s="329">
        <v>40630</v>
      </c>
      <c r="AH45" s="339" t="s">
        <v>797</v>
      </c>
      <c r="AI45" s="337">
        <v>41</v>
      </c>
      <c r="AJ45" s="332"/>
      <c r="AK45" s="329"/>
      <c r="AL45" s="339"/>
      <c r="AM45" s="337"/>
      <c r="AN45" s="332"/>
      <c r="AO45" s="329">
        <v>41356</v>
      </c>
      <c r="AP45" s="339" t="s">
        <v>797</v>
      </c>
      <c r="AQ45" s="337">
        <v>65</v>
      </c>
      <c r="AR45" s="332"/>
      <c r="AS45" s="329">
        <v>41721</v>
      </c>
      <c r="AT45" s="339" t="s">
        <v>2226</v>
      </c>
      <c r="AU45" s="337">
        <v>27</v>
      </c>
      <c r="AV45" s="332"/>
      <c r="AW45" s="329">
        <v>42085</v>
      </c>
      <c r="AX45" s="339" t="s">
        <v>1245</v>
      </c>
      <c r="AY45" s="337">
        <v>10</v>
      </c>
      <c r="AZ45" s="332"/>
      <c r="BA45" s="329">
        <v>42453</v>
      </c>
      <c r="BB45" s="339" t="s">
        <v>2781</v>
      </c>
      <c r="BC45" s="337">
        <v>19</v>
      </c>
      <c r="BD45" s="332"/>
      <c r="BE45" s="329">
        <v>42819</v>
      </c>
      <c r="BF45" s="339" t="s">
        <v>2782</v>
      </c>
      <c r="BG45" s="337">
        <v>22</v>
      </c>
      <c r="BH45" s="332"/>
      <c r="BI45" s="329">
        <v>43177</v>
      </c>
      <c r="BJ45" s="339" t="s">
        <v>2783</v>
      </c>
      <c r="BK45" s="337">
        <v>105</v>
      </c>
      <c r="BL45" s="332"/>
      <c r="BM45" s="329"/>
      <c r="BN45" s="339"/>
      <c r="BO45" s="902"/>
      <c r="BP45" s="912"/>
      <c r="BQ45" s="1250">
        <v>43546</v>
      </c>
      <c r="BR45" s="916" t="s">
        <v>2784</v>
      </c>
      <c r="BS45" s="902">
        <v>16</v>
      </c>
      <c r="BT45" s="899" t="s">
        <v>280</v>
      </c>
      <c r="BU45" s="895">
        <v>43910</v>
      </c>
      <c r="BV45" s="903" t="s">
        <v>873</v>
      </c>
      <c r="BW45" s="1257">
        <v>50</v>
      </c>
      <c r="BX45" s="899" t="s">
        <v>414</v>
      </c>
      <c r="BY45" s="895">
        <v>44273</v>
      </c>
      <c r="BZ45" s="903" t="s">
        <v>2785</v>
      </c>
      <c r="CA45" s="1257">
        <v>27</v>
      </c>
      <c r="CB45" s="899" t="s">
        <v>280</v>
      </c>
      <c r="CC45" s="895">
        <v>44630</v>
      </c>
      <c r="CD45" s="903" t="s">
        <v>2786</v>
      </c>
      <c r="CE45" s="1257">
        <v>30</v>
      </c>
      <c r="CF45" s="899" t="s">
        <v>693</v>
      </c>
      <c r="CG45" s="895">
        <v>44997</v>
      </c>
      <c r="CH45" s="903" t="s">
        <v>2292</v>
      </c>
      <c r="CI45" s="1257">
        <v>11</v>
      </c>
      <c r="CJ45" s="899" t="s">
        <v>414</v>
      </c>
      <c r="CK45" s="895">
        <v>45361</v>
      </c>
      <c r="CL45" s="903" t="s">
        <v>845</v>
      </c>
      <c r="CM45" s="1257">
        <v>49</v>
      </c>
      <c r="CN45" s="899" t="s">
        <v>414</v>
      </c>
      <c r="CO45" s="895"/>
      <c r="CP45" s="903"/>
      <c r="CQ45" s="1257"/>
      <c r="CR45" s="899"/>
    </row>
    <row r="46" spans="1:96">
      <c r="A46" s="895">
        <v>37696</v>
      </c>
      <c r="B46" s="901" t="s">
        <v>1810</v>
      </c>
      <c r="C46" s="902">
        <v>29</v>
      </c>
      <c r="D46" s="912"/>
      <c r="E46" s="895">
        <v>38069</v>
      </c>
      <c r="F46" s="901" t="s">
        <v>797</v>
      </c>
      <c r="G46" s="902">
        <v>28</v>
      </c>
      <c r="H46" s="912"/>
      <c r="I46" s="895"/>
      <c r="J46" s="901"/>
      <c r="K46" s="902"/>
      <c r="L46" s="912"/>
      <c r="M46" s="895"/>
      <c r="N46" s="901"/>
      <c r="O46" s="902"/>
      <c r="P46" s="1258"/>
      <c r="Q46" s="895">
        <v>39150</v>
      </c>
      <c r="R46" s="903" t="s">
        <v>2787</v>
      </c>
      <c r="S46" s="906">
        <v>10</v>
      </c>
      <c r="T46" s="333"/>
      <c r="U46" s="329"/>
      <c r="V46" s="339"/>
      <c r="W46" s="337"/>
      <c r="X46" s="332"/>
      <c r="Y46" s="329">
        <v>39896</v>
      </c>
      <c r="Z46" s="339" t="s">
        <v>802</v>
      </c>
      <c r="AA46" s="337">
        <v>19</v>
      </c>
      <c r="AB46" s="332"/>
      <c r="AC46" s="329"/>
      <c r="AD46" s="339"/>
      <c r="AE46" s="337"/>
      <c r="AF46" s="332"/>
      <c r="AG46" s="329">
        <v>40630</v>
      </c>
      <c r="AH46" s="339" t="s">
        <v>2788</v>
      </c>
      <c r="AI46" s="337">
        <v>190</v>
      </c>
      <c r="AJ46" s="332"/>
      <c r="AK46" s="329"/>
      <c r="AL46" s="339"/>
      <c r="AM46" s="337"/>
      <c r="AN46" s="332"/>
      <c r="AO46" s="329">
        <v>41361</v>
      </c>
      <c r="AP46" s="339" t="s">
        <v>2789</v>
      </c>
      <c r="AQ46" s="337">
        <v>32</v>
      </c>
      <c r="AR46" s="332"/>
      <c r="AS46" s="329">
        <v>41722</v>
      </c>
      <c r="AT46" s="339" t="s">
        <v>2790</v>
      </c>
      <c r="AU46" s="337">
        <v>28</v>
      </c>
      <c r="AV46" s="332"/>
      <c r="AW46" s="329">
        <v>42085</v>
      </c>
      <c r="AX46" s="339" t="s">
        <v>2791</v>
      </c>
      <c r="AY46" s="337">
        <v>30</v>
      </c>
      <c r="AZ46" s="332"/>
      <c r="BA46" s="329">
        <v>42454</v>
      </c>
      <c r="BB46" s="339" t="s">
        <v>797</v>
      </c>
      <c r="BC46" s="337">
        <v>35</v>
      </c>
      <c r="BD46" s="332"/>
      <c r="BE46" s="329">
        <v>42820</v>
      </c>
      <c r="BF46" s="339" t="s">
        <v>2792</v>
      </c>
      <c r="BG46" s="337">
        <v>4</v>
      </c>
      <c r="BH46" s="332"/>
      <c r="BI46" s="329">
        <v>43181</v>
      </c>
      <c r="BJ46" s="339" t="s">
        <v>2793</v>
      </c>
      <c r="BK46" s="337">
        <v>48</v>
      </c>
      <c r="BL46" s="332"/>
      <c r="BM46" s="329"/>
      <c r="BN46" s="339"/>
      <c r="BO46" s="902"/>
      <c r="BP46" s="912"/>
      <c r="BQ46" s="1250">
        <v>43547</v>
      </c>
      <c r="BR46" s="916" t="s">
        <v>797</v>
      </c>
      <c r="BS46" s="902">
        <v>36</v>
      </c>
      <c r="BT46" s="899" t="s">
        <v>410</v>
      </c>
      <c r="BU46" s="895">
        <v>43910</v>
      </c>
      <c r="BV46" s="903" t="s">
        <v>2794</v>
      </c>
      <c r="BW46" s="1257">
        <v>18</v>
      </c>
      <c r="BX46" s="899" t="s">
        <v>280</v>
      </c>
      <c r="BY46" s="895">
        <v>44273</v>
      </c>
      <c r="BZ46" s="903" t="s">
        <v>772</v>
      </c>
      <c r="CA46" s="1257">
        <v>31</v>
      </c>
      <c r="CB46" s="899" t="s">
        <v>414</v>
      </c>
      <c r="CC46" s="895">
        <v>44630</v>
      </c>
      <c r="CD46" s="903" t="s">
        <v>2795</v>
      </c>
      <c r="CE46" s="1257">
        <v>66</v>
      </c>
      <c r="CF46" s="899" t="s">
        <v>693</v>
      </c>
      <c r="CG46" s="895">
        <v>45001</v>
      </c>
      <c r="CH46" s="903" t="s">
        <v>1180</v>
      </c>
      <c r="CI46" s="1257">
        <v>100</v>
      </c>
      <c r="CJ46" s="899" t="s">
        <v>410</v>
      </c>
      <c r="CK46" s="895">
        <v>45361</v>
      </c>
      <c r="CL46" s="903" t="s">
        <v>2796</v>
      </c>
      <c r="CM46" s="1257">
        <v>57</v>
      </c>
      <c r="CN46" s="899" t="s">
        <v>414</v>
      </c>
      <c r="CO46" s="895"/>
      <c r="CP46" s="903"/>
      <c r="CQ46" s="1257"/>
      <c r="CR46" s="899"/>
    </row>
    <row r="47" spans="1:96">
      <c r="A47" s="895">
        <v>37696</v>
      </c>
      <c r="B47" s="901" t="s">
        <v>2797</v>
      </c>
      <c r="C47" s="902">
        <v>5</v>
      </c>
      <c r="D47" s="912"/>
      <c r="E47" s="895">
        <v>38069</v>
      </c>
      <c r="F47" s="901" t="s">
        <v>802</v>
      </c>
      <c r="G47" s="902">
        <v>26</v>
      </c>
      <c r="H47" s="912"/>
      <c r="I47" s="895"/>
      <c r="J47" s="901"/>
      <c r="K47" s="902"/>
      <c r="L47" s="912"/>
      <c r="M47" s="895"/>
      <c r="N47" s="901"/>
      <c r="O47" s="902"/>
      <c r="P47" s="1258"/>
      <c r="Q47" s="895">
        <v>39150</v>
      </c>
      <c r="R47" s="903" t="s">
        <v>2798</v>
      </c>
      <c r="S47" s="906">
        <v>14</v>
      </c>
      <c r="T47" s="333"/>
      <c r="U47" s="329"/>
      <c r="V47" s="339"/>
      <c r="W47" s="337"/>
      <c r="X47" s="332"/>
      <c r="Y47" s="329">
        <v>39897</v>
      </c>
      <c r="Z47" s="339" t="s">
        <v>2799</v>
      </c>
      <c r="AA47" s="337">
        <v>16</v>
      </c>
      <c r="AB47" s="332"/>
      <c r="AC47" s="329"/>
      <c r="AD47" s="339"/>
      <c r="AE47" s="337"/>
      <c r="AF47" s="332"/>
      <c r="AG47" s="329">
        <v>40632</v>
      </c>
      <c r="AH47" s="339" t="s">
        <v>2800</v>
      </c>
      <c r="AI47" s="337"/>
      <c r="AJ47" s="332"/>
      <c r="AK47" s="329"/>
      <c r="AL47" s="339"/>
      <c r="AM47" s="337"/>
      <c r="AN47" s="332"/>
      <c r="AO47" s="329">
        <v>41362</v>
      </c>
      <c r="AP47" s="339" t="s">
        <v>855</v>
      </c>
      <c r="AQ47" s="337">
        <v>8</v>
      </c>
      <c r="AR47" s="332"/>
      <c r="AS47" s="329">
        <v>41722</v>
      </c>
      <c r="AT47" s="339" t="s">
        <v>954</v>
      </c>
      <c r="AU47" s="337">
        <v>10</v>
      </c>
      <c r="AV47" s="332"/>
      <c r="AW47" s="329">
        <v>42085</v>
      </c>
      <c r="AX47" s="339" t="s">
        <v>2801</v>
      </c>
      <c r="AY47" s="337">
        <v>10</v>
      </c>
      <c r="AZ47" s="332"/>
      <c r="BA47" s="329">
        <v>42454</v>
      </c>
      <c r="BB47" s="339" t="s">
        <v>2802</v>
      </c>
      <c r="BC47" s="337">
        <v>59</v>
      </c>
      <c r="BD47" s="332"/>
      <c r="BE47" s="329">
        <v>42820</v>
      </c>
      <c r="BF47" s="339" t="s">
        <v>2803</v>
      </c>
      <c r="BG47" s="337">
        <v>24</v>
      </c>
      <c r="BH47" s="332"/>
      <c r="BI47" s="329">
        <v>43183</v>
      </c>
      <c r="BJ47" s="339" t="s">
        <v>823</v>
      </c>
      <c r="BK47" s="337">
        <v>49</v>
      </c>
      <c r="BL47" s="332"/>
      <c r="BM47" s="329"/>
      <c r="BN47" s="339"/>
      <c r="BO47" s="902"/>
      <c r="BP47" s="912"/>
      <c r="BQ47" s="1250">
        <v>43547</v>
      </c>
      <c r="BR47" s="916" t="s">
        <v>873</v>
      </c>
      <c r="BS47" s="902">
        <v>19</v>
      </c>
      <c r="BT47" s="899" t="s">
        <v>414</v>
      </c>
      <c r="BU47" s="895">
        <v>43910</v>
      </c>
      <c r="BV47" s="903" t="s">
        <v>2804</v>
      </c>
      <c r="BW47" s="1257">
        <v>22</v>
      </c>
      <c r="BX47" s="899" t="s">
        <v>280</v>
      </c>
      <c r="BY47" s="895">
        <v>44273</v>
      </c>
      <c r="BZ47" s="903" t="s">
        <v>843</v>
      </c>
      <c r="CA47" s="1257">
        <v>48</v>
      </c>
      <c r="CB47" s="899" t="s">
        <v>414</v>
      </c>
      <c r="CC47" s="895">
        <v>44630</v>
      </c>
      <c r="CD47" s="903" t="s">
        <v>2805</v>
      </c>
      <c r="CE47" s="1257"/>
      <c r="CF47" s="899" t="s">
        <v>693</v>
      </c>
      <c r="CG47" s="895">
        <v>45001</v>
      </c>
      <c r="CH47" s="903" t="s">
        <v>797</v>
      </c>
      <c r="CI47" s="1257">
        <v>78</v>
      </c>
      <c r="CJ47" s="899" t="s">
        <v>410</v>
      </c>
      <c r="CK47" s="895">
        <v>45361</v>
      </c>
      <c r="CL47" s="903" t="s">
        <v>828</v>
      </c>
      <c r="CM47" s="1257">
        <v>29</v>
      </c>
      <c r="CN47" s="899" t="s">
        <v>414</v>
      </c>
      <c r="CO47" s="895"/>
      <c r="CP47" s="903"/>
      <c r="CQ47" s="1257"/>
      <c r="CR47" s="899"/>
    </row>
    <row r="48" spans="1:96">
      <c r="A48" s="895">
        <v>37698</v>
      </c>
      <c r="B48" s="901" t="s">
        <v>2806</v>
      </c>
      <c r="C48" s="902">
        <v>41</v>
      </c>
      <c r="D48" s="912"/>
      <c r="E48" s="895">
        <v>38069</v>
      </c>
      <c r="F48" s="901" t="s">
        <v>2807</v>
      </c>
      <c r="G48" s="902">
        <v>6</v>
      </c>
      <c r="H48" s="912"/>
      <c r="I48" s="895"/>
      <c r="J48" s="901"/>
      <c r="K48" s="902"/>
      <c r="L48" s="912"/>
      <c r="M48" s="895"/>
      <c r="N48" s="901"/>
      <c r="O48" s="902"/>
      <c r="P48" s="1258"/>
      <c r="Q48" s="895">
        <v>39150</v>
      </c>
      <c r="R48" s="903" t="s">
        <v>2808</v>
      </c>
      <c r="S48" s="906">
        <v>45</v>
      </c>
      <c r="T48" s="333"/>
      <c r="U48" s="329"/>
      <c r="V48" s="339"/>
      <c r="W48" s="337"/>
      <c r="X48" s="332"/>
      <c r="Y48" s="329">
        <v>39897</v>
      </c>
      <c r="Z48" s="339" t="s">
        <v>2809</v>
      </c>
      <c r="AA48" s="337">
        <v>460</v>
      </c>
      <c r="AB48" s="332"/>
      <c r="AC48" s="329"/>
      <c r="AD48" s="339"/>
      <c r="AE48" s="337"/>
      <c r="AF48" s="332"/>
      <c r="AG48" s="329"/>
      <c r="AH48" s="339"/>
      <c r="AI48" s="337"/>
      <c r="AJ48" s="332"/>
      <c r="AK48" s="329"/>
      <c r="AL48" s="339"/>
      <c r="AM48" s="337"/>
      <c r="AN48" s="332"/>
      <c r="AO48" s="329">
        <v>41363</v>
      </c>
      <c r="AP48" s="339" t="s">
        <v>2810</v>
      </c>
      <c r="AQ48" s="337">
        <v>2</v>
      </c>
      <c r="AR48" s="332"/>
      <c r="AS48" s="329">
        <v>41722</v>
      </c>
      <c r="AT48" s="339" t="s">
        <v>962</v>
      </c>
      <c r="AU48" s="337">
        <v>13</v>
      </c>
      <c r="AV48" s="332"/>
      <c r="AW48" s="329">
        <v>42085</v>
      </c>
      <c r="AX48" s="339" t="s">
        <v>998</v>
      </c>
      <c r="AY48" s="337">
        <v>3</v>
      </c>
      <c r="AZ48" s="332"/>
      <c r="BA48" s="329">
        <v>42454</v>
      </c>
      <c r="BB48" s="339" t="s">
        <v>2811</v>
      </c>
      <c r="BC48" s="337">
        <v>60</v>
      </c>
      <c r="BD48" s="332"/>
      <c r="BE48" s="329">
        <v>42821</v>
      </c>
      <c r="BF48" s="339" t="s">
        <v>2812</v>
      </c>
      <c r="BG48" s="337">
        <v>29</v>
      </c>
      <c r="BH48" s="332"/>
      <c r="BI48" s="329">
        <v>43183</v>
      </c>
      <c r="BJ48" s="339" t="s">
        <v>872</v>
      </c>
      <c r="BK48" s="337">
        <v>27</v>
      </c>
      <c r="BL48" s="332"/>
      <c r="BM48" s="329"/>
      <c r="BN48" s="339"/>
      <c r="BO48" s="902"/>
      <c r="BP48" s="912"/>
      <c r="BQ48" s="1250">
        <v>43547</v>
      </c>
      <c r="BR48" s="916" t="s">
        <v>823</v>
      </c>
      <c r="BS48" s="902">
        <v>48</v>
      </c>
      <c r="BT48" s="899" t="s">
        <v>414</v>
      </c>
      <c r="BU48" s="895">
        <v>43913</v>
      </c>
      <c r="BV48" s="903" t="s">
        <v>2813</v>
      </c>
      <c r="BW48" s="1257"/>
      <c r="BX48" s="899" t="s">
        <v>280</v>
      </c>
      <c r="BY48" s="895">
        <v>44273</v>
      </c>
      <c r="BZ48" s="903" t="s">
        <v>872</v>
      </c>
      <c r="CA48" s="1257">
        <v>25</v>
      </c>
      <c r="CB48" s="899" t="s">
        <v>414</v>
      </c>
      <c r="CC48" s="895">
        <v>44632</v>
      </c>
      <c r="CD48" s="903" t="s">
        <v>772</v>
      </c>
      <c r="CE48" s="1257">
        <v>60</v>
      </c>
      <c r="CF48" s="899" t="s">
        <v>414</v>
      </c>
      <c r="CG48" s="895">
        <v>45001</v>
      </c>
      <c r="CH48" s="903" t="s">
        <v>2814</v>
      </c>
      <c r="CI48" s="1257">
        <v>16</v>
      </c>
      <c r="CJ48" s="899" t="s">
        <v>278</v>
      </c>
      <c r="CK48" s="895">
        <v>45361</v>
      </c>
      <c r="CL48" s="903" t="s">
        <v>772</v>
      </c>
      <c r="CM48" s="1257">
        <v>27</v>
      </c>
      <c r="CN48" s="899" t="s">
        <v>414</v>
      </c>
      <c r="CO48" s="895"/>
      <c r="CP48" s="903"/>
      <c r="CQ48" s="1257"/>
      <c r="CR48" s="899"/>
    </row>
    <row r="49" spans="1:96">
      <c r="A49" s="895">
        <v>37698</v>
      </c>
      <c r="B49" s="901" t="s">
        <v>2815</v>
      </c>
      <c r="C49" s="902">
        <v>40</v>
      </c>
      <c r="D49" s="912"/>
      <c r="E49" s="895">
        <v>38071</v>
      </c>
      <c r="F49" s="901" t="s">
        <v>2527</v>
      </c>
      <c r="G49" s="902">
        <v>20</v>
      </c>
      <c r="H49" s="912"/>
      <c r="I49" s="895"/>
      <c r="J49" s="901"/>
      <c r="K49" s="902"/>
      <c r="L49" s="912"/>
      <c r="M49" s="895"/>
      <c r="N49" s="901"/>
      <c r="O49" s="902"/>
      <c r="P49" s="1258"/>
      <c r="Q49" s="895">
        <v>39150</v>
      </c>
      <c r="R49" s="903" t="s">
        <v>2816</v>
      </c>
      <c r="S49" s="906">
        <v>15</v>
      </c>
      <c r="T49" s="333"/>
      <c r="U49" s="329"/>
      <c r="V49" s="339"/>
      <c r="W49" s="337"/>
      <c r="X49" s="332"/>
      <c r="Y49" s="329">
        <v>39898</v>
      </c>
      <c r="Z49" s="339" t="s">
        <v>2817</v>
      </c>
      <c r="AA49" s="337">
        <v>35</v>
      </c>
      <c r="AB49" s="332"/>
      <c r="AC49" s="329"/>
      <c r="AD49" s="339"/>
      <c r="AE49" s="337"/>
      <c r="AF49" s="332"/>
      <c r="AG49" s="329"/>
      <c r="AH49" s="339"/>
      <c r="AI49" s="337"/>
      <c r="AJ49" s="332"/>
      <c r="AK49" s="329"/>
      <c r="AL49" s="339"/>
      <c r="AM49" s="337"/>
      <c r="AN49" s="332"/>
      <c r="AO49" s="329">
        <v>41363</v>
      </c>
      <c r="AP49" s="339" t="s">
        <v>2818</v>
      </c>
      <c r="AQ49" s="337">
        <v>2</v>
      </c>
      <c r="AR49" s="332"/>
      <c r="AS49" s="329">
        <v>41722</v>
      </c>
      <c r="AT49" s="339" t="s">
        <v>2819</v>
      </c>
      <c r="AU49" s="337">
        <v>14</v>
      </c>
      <c r="AV49" s="332"/>
      <c r="AW49" s="329">
        <v>42089</v>
      </c>
      <c r="AX49" s="339" t="s">
        <v>2820</v>
      </c>
      <c r="AY49" s="337">
        <v>20</v>
      </c>
      <c r="AZ49" s="332"/>
      <c r="BA49" s="329">
        <v>42454</v>
      </c>
      <c r="BB49" s="339" t="s">
        <v>2821</v>
      </c>
      <c r="BC49" s="337">
        <v>6</v>
      </c>
      <c r="BD49" s="332"/>
      <c r="BE49" s="329"/>
      <c r="BF49" s="339"/>
      <c r="BG49" s="337"/>
      <c r="BH49" s="332"/>
      <c r="BI49" s="329">
        <v>43183</v>
      </c>
      <c r="BJ49" s="339" t="s">
        <v>2822</v>
      </c>
      <c r="BK49" s="337">
        <v>33</v>
      </c>
      <c r="BL49" s="332"/>
      <c r="BM49" s="329"/>
      <c r="BN49" s="339"/>
      <c r="BO49" s="902"/>
      <c r="BP49" s="912"/>
      <c r="BQ49" s="1250">
        <v>43548</v>
      </c>
      <c r="BR49" s="916" t="s">
        <v>2823</v>
      </c>
      <c r="BS49" s="902">
        <v>85</v>
      </c>
      <c r="BT49" s="899" t="s">
        <v>436</v>
      </c>
      <c r="BU49" s="895">
        <v>43913</v>
      </c>
      <c r="BV49" s="903" t="s">
        <v>2599</v>
      </c>
      <c r="BW49" s="1257">
        <v>45</v>
      </c>
      <c r="BX49" s="899" t="s">
        <v>436</v>
      </c>
      <c r="BY49" s="895">
        <v>44273</v>
      </c>
      <c r="BZ49" s="903" t="s">
        <v>845</v>
      </c>
      <c r="CA49" s="1257">
        <v>38</v>
      </c>
      <c r="CB49" s="899" t="s">
        <v>414</v>
      </c>
      <c r="CC49" s="895">
        <v>44632</v>
      </c>
      <c r="CD49" s="903" t="s">
        <v>843</v>
      </c>
      <c r="CE49" s="1257">
        <v>24</v>
      </c>
      <c r="CF49" s="899" t="s">
        <v>414</v>
      </c>
      <c r="CG49" s="895">
        <v>45003</v>
      </c>
      <c r="CH49" s="903" t="s">
        <v>2079</v>
      </c>
      <c r="CI49" s="1257">
        <v>13</v>
      </c>
      <c r="CJ49" s="899" t="s">
        <v>414</v>
      </c>
      <c r="CK49" s="895">
        <v>45361</v>
      </c>
      <c r="CL49" s="903" t="s">
        <v>797</v>
      </c>
      <c r="CM49" s="1257">
        <v>66</v>
      </c>
      <c r="CN49" s="899" t="s">
        <v>410</v>
      </c>
      <c r="CO49" s="895"/>
      <c r="CP49" s="903" t="s">
        <v>2824</v>
      </c>
      <c r="CQ49" s="1257">
        <v>18</v>
      </c>
      <c r="CR49" s="899"/>
    </row>
    <row r="50" spans="1:96">
      <c r="A50" s="895">
        <v>37701</v>
      </c>
      <c r="B50" s="901" t="s">
        <v>410</v>
      </c>
      <c r="C50" s="902">
        <v>32</v>
      </c>
      <c r="D50" s="912"/>
      <c r="E50" s="895">
        <v>38073</v>
      </c>
      <c r="F50" s="901" t="s">
        <v>2825</v>
      </c>
      <c r="G50" s="902">
        <v>8</v>
      </c>
      <c r="H50" s="912"/>
      <c r="I50" s="895"/>
      <c r="J50" s="901"/>
      <c r="K50" s="902"/>
      <c r="L50" s="912"/>
      <c r="M50" s="895"/>
      <c r="N50" s="901"/>
      <c r="O50" s="902"/>
      <c r="P50" s="1258"/>
      <c r="Q50" s="895">
        <v>39150</v>
      </c>
      <c r="R50" s="903" t="s">
        <v>2826</v>
      </c>
      <c r="S50" s="906">
        <v>13</v>
      </c>
      <c r="T50" s="333"/>
      <c r="U50" s="329"/>
      <c r="V50" s="339"/>
      <c r="W50" s="337"/>
      <c r="X50" s="332"/>
      <c r="Y50" s="329">
        <v>39898</v>
      </c>
      <c r="Z50" s="339" t="s">
        <v>802</v>
      </c>
      <c r="AA50" s="337">
        <v>35</v>
      </c>
      <c r="AB50" s="332"/>
      <c r="AC50" s="329"/>
      <c r="AD50" s="339"/>
      <c r="AE50" s="337"/>
      <c r="AF50" s="332"/>
      <c r="AG50" s="329"/>
      <c r="AH50" s="339"/>
      <c r="AI50" s="337"/>
      <c r="AJ50" s="332"/>
      <c r="AK50" s="329"/>
      <c r="AL50" s="339"/>
      <c r="AM50" s="337"/>
      <c r="AN50" s="332"/>
      <c r="AO50" s="329">
        <v>41363</v>
      </c>
      <c r="AP50" s="339" t="s">
        <v>2827</v>
      </c>
      <c r="AQ50" s="337">
        <v>11</v>
      </c>
      <c r="AR50" s="332"/>
      <c r="AS50" s="329">
        <v>41722</v>
      </c>
      <c r="AT50" s="339" t="s">
        <v>2396</v>
      </c>
      <c r="AU50" s="337">
        <v>10</v>
      </c>
      <c r="AV50" s="332"/>
      <c r="AW50" s="329">
        <v>42089</v>
      </c>
      <c r="AX50" s="339" t="s">
        <v>754</v>
      </c>
      <c r="AY50" s="337">
        <v>18</v>
      </c>
      <c r="AZ50" s="332"/>
      <c r="BA50" s="329">
        <v>42455</v>
      </c>
      <c r="BB50" s="339" t="s">
        <v>754</v>
      </c>
      <c r="BC50" s="337">
        <v>107</v>
      </c>
      <c r="BD50" s="332"/>
      <c r="BE50" s="329"/>
      <c r="BF50" s="339"/>
      <c r="BG50" s="337"/>
      <c r="BH50" s="332"/>
      <c r="BI50" s="329">
        <v>43184</v>
      </c>
      <c r="BJ50" s="339" t="s">
        <v>1427</v>
      </c>
      <c r="BK50" s="337">
        <v>6</v>
      </c>
      <c r="BL50" s="332"/>
      <c r="BM50" s="329"/>
      <c r="BN50" s="339"/>
      <c r="BO50" s="902"/>
      <c r="BP50" s="912"/>
      <c r="BQ50" s="1250">
        <v>43548</v>
      </c>
      <c r="BR50" s="916" t="s">
        <v>873</v>
      </c>
      <c r="BS50" s="902">
        <v>9</v>
      </c>
      <c r="BT50" s="899" t="s">
        <v>414</v>
      </c>
      <c r="BU50" s="895">
        <v>43914</v>
      </c>
      <c r="BV50" s="903" t="s">
        <v>2828</v>
      </c>
      <c r="BW50" s="1257">
        <v>0</v>
      </c>
      <c r="BX50" s="899" t="s">
        <v>280</v>
      </c>
      <c r="BY50" s="895">
        <v>44273</v>
      </c>
      <c r="BZ50" s="903" t="s">
        <v>797</v>
      </c>
      <c r="CA50" s="1257">
        <v>61</v>
      </c>
      <c r="CB50" s="899" t="s">
        <v>410</v>
      </c>
      <c r="CC50" s="895">
        <v>44632</v>
      </c>
      <c r="CD50" s="903" t="s">
        <v>845</v>
      </c>
      <c r="CE50" s="1257">
        <v>30</v>
      </c>
      <c r="CF50" s="899" t="s">
        <v>414</v>
      </c>
      <c r="CG50" s="895">
        <v>45003</v>
      </c>
      <c r="CH50" s="903" t="s">
        <v>845</v>
      </c>
      <c r="CI50" s="1257">
        <v>30</v>
      </c>
      <c r="CJ50" s="899" t="s">
        <v>414</v>
      </c>
      <c r="CK50" s="895">
        <v>45361</v>
      </c>
      <c r="CL50" s="903" t="s">
        <v>1006</v>
      </c>
      <c r="CM50" s="1257">
        <v>60</v>
      </c>
      <c r="CN50" s="899" t="s">
        <v>700</v>
      </c>
      <c r="CO50" s="895"/>
      <c r="CP50" s="1257" t="s">
        <v>859</v>
      </c>
      <c r="CQ50" s="1257"/>
      <c r="CR50" s="899"/>
    </row>
    <row r="51" spans="1:96">
      <c r="A51" s="895">
        <v>37701</v>
      </c>
      <c r="B51" s="901" t="s">
        <v>2829</v>
      </c>
      <c r="C51" s="902"/>
      <c r="D51" s="912">
        <v>50</v>
      </c>
      <c r="E51" s="895">
        <v>38073</v>
      </c>
      <c r="F51" s="901" t="s">
        <v>2830</v>
      </c>
      <c r="G51" s="902">
        <v>14</v>
      </c>
      <c r="H51" s="912"/>
      <c r="I51" s="895"/>
      <c r="J51" s="901"/>
      <c r="K51" s="902"/>
      <c r="L51" s="912"/>
      <c r="M51" s="895"/>
      <c r="N51" s="901"/>
      <c r="O51" s="902"/>
      <c r="P51" s="1258"/>
      <c r="Q51" s="895">
        <v>39150</v>
      </c>
      <c r="R51" s="903" t="s">
        <v>2831</v>
      </c>
      <c r="S51" s="906">
        <v>25</v>
      </c>
      <c r="T51" s="333"/>
      <c r="U51" s="329"/>
      <c r="V51" s="339"/>
      <c r="W51" s="337"/>
      <c r="X51" s="332"/>
      <c r="Y51" s="329">
        <v>39900</v>
      </c>
      <c r="Z51" s="339" t="s">
        <v>2832</v>
      </c>
      <c r="AA51" s="337">
        <v>55</v>
      </c>
      <c r="AB51" s="332"/>
      <c r="AC51" s="329"/>
      <c r="AD51" s="339"/>
      <c r="AE51" s="337"/>
      <c r="AF51" s="332"/>
      <c r="AG51" s="329"/>
      <c r="AH51" s="339"/>
      <c r="AI51" s="337"/>
      <c r="AJ51" s="332"/>
      <c r="AK51" s="329"/>
      <c r="AL51" s="339"/>
      <c r="AM51" s="337"/>
      <c r="AN51" s="332"/>
      <c r="AO51" s="329">
        <v>41363</v>
      </c>
      <c r="AP51" s="339" t="s">
        <v>2833</v>
      </c>
      <c r="AQ51" s="337">
        <v>95</v>
      </c>
      <c r="AR51" s="332"/>
      <c r="AS51" s="329">
        <v>41723</v>
      </c>
      <c r="AT51" s="339" t="s">
        <v>2834</v>
      </c>
      <c r="AU51" s="337">
        <v>2</v>
      </c>
      <c r="AV51" s="332"/>
      <c r="AW51" s="329">
        <v>42089</v>
      </c>
      <c r="AX51" s="339" t="s">
        <v>772</v>
      </c>
      <c r="AY51" s="337">
        <v>11</v>
      </c>
      <c r="AZ51" s="332"/>
      <c r="BA51" s="329">
        <v>42455</v>
      </c>
      <c r="BB51" s="339" t="s">
        <v>2835</v>
      </c>
      <c r="BC51" s="337">
        <v>29</v>
      </c>
      <c r="BD51" s="332"/>
      <c r="BE51" s="329"/>
      <c r="BF51" s="339"/>
      <c r="BG51" s="337"/>
      <c r="BH51" s="332"/>
      <c r="BI51" s="329">
        <v>43189</v>
      </c>
      <c r="BJ51" s="339" t="s">
        <v>823</v>
      </c>
      <c r="BK51" s="337">
        <v>29</v>
      </c>
      <c r="BL51" s="332"/>
      <c r="BM51" s="329"/>
      <c r="BN51" s="339"/>
      <c r="BO51" s="902"/>
      <c r="BP51" s="912"/>
      <c r="BQ51" s="1250">
        <v>43548</v>
      </c>
      <c r="BR51" s="916" t="s">
        <v>828</v>
      </c>
      <c r="BS51" s="902">
        <v>22</v>
      </c>
      <c r="BT51" s="899" t="s">
        <v>414</v>
      </c>
      <c r="BU51" s="895">
        <v>43914</v>
      </c>
      <c r="BV51" s="903" t="s">
        <v>2836</v>
      </c>
      <c r="BW51" s="1257">
        <v>36</v>
      </c>
      <c r="BX51" s="899" t="s">
        <v>414</v>
      </c>
      <c r="BY51" s="895">
        <v>44276</v>
      </c>
      <c r="BZ51" s="903" t="s">
        <v>2837</v>
      </c>
      <c r="CA51" s="1257">
        <v>192</v>
      </c>
      <c r="CB51" s="899" t="s">
        <v>701</v>
      </c>
      <c r="CC51" s="895">
        <v>44632</v>
      </c>
      <c r="CD51" s="903" t="s">
        <v>828</v>
      </c>
      <c r="CE51" s="1257">
        <v>12</v>
      </c>
      <c r="CF51" s="899" t="s">
        <v>414</v>
      </c>
      <c r="CG51" s="895">
        <v>45003</v>
      </c>
      <c r="CH51" s="903" t="s">
        <v>843</v>
      </c>
      <c r="CI51" s="1257">
        <v>40</v>
      </c>
      <c r="CJ51" s="899" t="s">
        <v>414</v>
      </c>
      <c r="CK51" s="895">
        <v>45361</v>
      </c>
      <c r="CL51" s="903" t="s">
        <v>2838</v>
      </c>
      <c r="CM51" s="1257">
        <v>100</v>
      </c>
      <c r="CN51" s="899" t="s">
        <v>414</v>
      </c>
      <c r="CO51" s="895"/>
      <c r="CP51" s="1257" t="s">
        <v>2839</v>
      </c>
      <c r="CQ51" s="1257"/>
      <c r="CR51" s="899"/>
    </row>
    <row r="52" spans="1:96">
      <c r="A52" s="895">
        <v>37702</v>
      </c>
      <c r="B52" s="901" t="s">
        <v>2840</v>
      </c>
      <c r="C52" s="902">
        <v>8</v>
      </c>
      <c r="D52" s="912"/>
      <c r="E52" s="895">
        <v>38073</v>
      </c>
      <c r="F52" s="901" t="s">
        <v>1042</v>
      </c>
      <c r="G52" s="902">
        <v>10</v>
      </c>
      <c r="H52" s="912"/>
      <c r="I52" s="895"/>
      <c r="J52" s="901"/>
      <c r="K52" s="902"/>
      <c r="L52" s="912"/>
      <c r="M52" s="895"/>
      <c r="N52" s="901"/>
      <c r="O52" s="902"/>
      <c r="P52" s="1258"/>
      <c r="Q52" s="895">
        <v>39151</v>
      </c>
      <c r="R52" s="903" t="s">
        <v>2841</v>
      </c>
      <c r="S52" s="906">
        <v>30</v>
      </c>
      <c r="T52" s="333"/>
      <c r="U52" s="329"/>
      <c r="V52" s="339"/>
      <c r="W52" s="337"/>
      <c r="X52" s="332"/>
      <c r="Y52" s="329">
        <v>39901</v>
      </c>
      <c r="Z52" s="339" t="s">
        <v>2842</v>
      </c>
      <c r="AA52" s="337">
        <v>8</v>
      </c>
      <c r="AB52" s="332"/>
      <c r="AC52" s="329"/>
      <c r="AD52" s="339"/>
      <c r="AE52" s="337"/>
      <c r="AF52" s="332"/>
      <c r="AG52" s="329"/>
      <c r="AH52" s="339"/>
      <c r="AI52" s="337"/>
      <c r="AJ52" s="332"/>
      <c r="AK52" s="329"/>
      <c r="AL52" s="339"/>
      <c r="AM52" s="337"/>
      <c r="AN52" s="332"/>
      <c r="AO52" s="329">
        <v>41363</v>
      </c>
      <c r="AP52" s="339" t="s">
        <v>802</v>
      </c>
      <c r="AQ52" s="337">
        <v>46</v>
      </c>
      <c r="AR52" s="332"/>
      <c r="AS52" s="329">
        <v>41724</v>
      </c>
      <c r="AT52" s="339" t="s">
        <v>2760</v>
      </c>
      <c r="AU52" s="337">
        <v>10</v>
      </c>
      <c r="AV52" s="332"/>
      <c r="AW52" s="329">
        <v>42089</v>
      </c>
      <c r="AX52" s="339" t="s">
        <v>2843</v>
      </c>
      <c r="AY52" s="337">
        <v>75</v>
      </c>
      <c r="AZ52" s="332"/>
      <c r="BA52" s="329">
        <v>42455</v>
      </c>
      <c r="BB52" s="339" t="s">
        <v>954</v>
      </c>
      <c r="BC52" s="337">
        <v>81</v>
      </c>
      <c r="BD52" s="332"/>
      <c r="BE52" s="329"/>
      <c r="BF52" s="339"/>
      <c r="BG52" s="337"/>
      <c r="BH52" s="332"/>
      <c r="BI52" s="329">
        <v>43189</v>
      </c>
      <c r="BJ52" s="339" t="s">
        <v>2844</v>
      </c>
      <c r="BK52" s="337">
        <v>5</v>
      </c>
      <c r="BL52" s="332"/>
      <c r="BM52" s="329"/>
      <c r="BN52" s="339"/>
      <c r="BO52" s="902"/>
      <c r="BP52" s="912"/>
      <c r="BQ52" s="1250">
        <v>43548</v>
      </c>
      <c r="BR52" s="916" t="s">
        <v>2845</v>
      </c>
      <c r="BS52" s="902">
        <v>80</v>
      </c>
      <c r="BT52" s="899" t="s">
        <v>280</v>
      </c>
      <c r="BU52" s="895">
        <v>43918</v>
      </c>
      <c r="BV52" s="903" t="s">
        <v>2846</v>
      </c>
      <c r="BW52" s="1257">
        <v>60</v>
      </c>
      <c r="BX52" s="899" t="s">
        <v>689</v>
      </c>
      <c r="BY52" s="895">
        <v>44277</v>
      </c>
      <c r="BZ52" s="903" t="s">
        <v>2847</v>
      </c>
      <c r="CA52" s="1257">
        <v>88</v>
      </c>
      <c r="CB52" s="899" t="s">
        <v>701</v>
      </c>
      <c r="CC52" s="895">
        <v>44633</v>
      </c>
      <c r="CD52" s="903" t="s">
        <v>1052</v>
      </c>
      <c r="CE52" s="1257">
        <v>31</v>
      </c>
      <c r="CF52" s="899" t="s">
        <v>280</v>
      </c>
      <c r="CG52" s="895">
        <v>45003</v>
      </c>
      <c r="CH52" s="903" t="s">
        <v>2848</v>
      </c>
      <c r="CI52" s="1257">
        <v>21</v>
      </c>
      <c r="CJ52" s="899" t="s">
        <v>280</v>
      </c>
      <c r="CK52" s="895">
        <v>45361</v>
      </c>
      <c r="CL52" s="903" t="s">
        <v>2849</v>
      </c>
      <c r="CM52" s="1257">
        <v>115</v>
      </c>
      <c r="CN52" s="899" t="s">
        <v>414</v>
      </c>
      <c r="CO52" s="895"/>
      <c r="CP52" s="1257" t="s">
        <v>772</v>
      </c>
      <c r="CQ52" s="1257"/>
      <c r="CR52" s="899"/>
    </row>
    <row r="53" spans="1:96">
      <c r="A53" s="895">
        <v>37702</v>
      </c>
      <c r="B53" s="901" t="s">
        <v>2850</v>
      </c>
      <c r="C53" s="902">
        <v>5</v>
      </c>
      <c r="D53" s="912"/>
      <c r="E53" s="895">
        <v>38073</v>
      </c>
      <c r="F53" s="901" t="s">
        <v>2851</v>
      </c>
      <c r="G53" s="902">
        <v>16</v>
      </c>
      <c r="H53" s="912"/>
      <c r="I53" s="895"/>
      <c r="J53" s="901"/>
      <c r="K53" s="902"/>
      <c r="L53" s="912"/>
      <c r="M53" s="895"/>
      <c r="N53" s="901"/>
      <c r="O53" s="902"/>
      <c r="P53" s="1258"/>
      <c r="Q53" s="895">
        <v>39151</v>
      </c>
      <c r="R53" s="903" t="s">
        <v>2852</v>
      </c>
      <c r="S53" s="906">
        <v>32</v>
      </c>
      <c r="T53" s="333"/>
      <c r="U53" s="329"/>
      <c r="V53" s="339"/>
      <c r="W53" s="337"/>
      <c r="X53" s="332"/>
      <c r="Y53" s="329">
        <v>39901</v>
      </c>
      <c r="Z53" s="339" t="s">
        <v>797</v>
      </c>
      <c r="AA53" s="337">
        <v>34</v>
      </c>
      <c r="AB53" s="332"/>
      <c r="AC53" s="329"/>
      <c r="AD53" s="339"/>
      <c r="AE53" s="337"/>
      <c r="AF53" s="332"/>
      <c r="AG53" s="329"/>
      <c r="AH53" s="339"/>
      <c r="AI53" s="337"/>
      <c r="AJ53" s="332"/>
      <c r="AK53" s="329"/>
      <c r="AL53" s="339"/>
      <c r="AM53" s="337"/>
      <c r="AN53" s="332"/>
      <c r="AO53" s="329">
        <v>41363</v>
      </c>
      <c r="AP53" s="339" t="s">
        <v>2853</v>
      </c>
      <c r="AQ53" s="337">
        <v>16</v>
      </c>
      <c r="AR53" s="332"/>
      <c r="AS53" s="329">
        <v>41726</v>
      </c>
      <c r="AT53" s="339" t="s">
        <v>2854</v>
      </c>
      <c r="AU53" s="337">
        <v>2</v>
      </c>
      <c r="AV53" s="332"/>
      <c r="AW53" s="329">
        <v>42090</v>
      </c>
      <c r="AX53" s="339" t="s">
        <v>2855</v>
      </c>
      <c r="AY53" s="340" t="s">
        <v>37</v>
      </c>
      <c r="AZ53" s="332"/>
      <c r="BA53" s="329">
        <v>42455</v>
      </c>
      <c r="BB53" s="339" t="s">
        <v>802</v>
      </c>
      <c r="BC53" s="337">
        <v>27</v>
      </c>
      <c r="BD53" s="332"/>
      <c r="BE53" s="329"/>
      <c r="BF53" s="339"/>
      <c r="BG53" s="337"/>
      <c r="BH53" s="332"/>
      <c r="BI53" s="329">
        <v>43190</v>
      </c>
      <c r="BJ53" s="339" t="s">
        <v>872</v>
      </c>
      <c r="BK53" s="337">
        <v>20</v>
      </c>
      <c r="BL53" s="332"/>
      <c r="BM53" s="329"/>
      <c r="BN53" s="339"/>
      <c r="BO53" s="902"/>
      <c r="BP53" s="912"/>
      <c r="BQ53" s="1250">
        <v>43548</v>
      </c>
      <c r="BR53" s="916" t="s">
        <v>2856</v>
      </c>
      <c r="BS53" s="902">
        <v>24</v>
      </c>
      <c r="BT53" s="899" t="s">
        <v>280</v>
      </c>
      <c r="BU53" s="895">
        <v>43918</v>
      </c>
      <c r="BV53" s="903" t="s">
        <v>873</v>
      </c>
      <c r="BW53" s="1257">
        <v>66</v>
      </c>
      <c r="BX53" s="899" t="s">
        <v>414</v>
      </c>
      <c r="BY53" s="895">
        <v>44282</v>
      </c>
      <c r="BZ53" s="903" t="s">
        <v>845</v>
      </c>
      <c r="CA53" s="1257">
        <v>55</v>
      </c>
      <c r="CB53" s="899" t="s">
        <v>414</v>
      </c>
      <c r="CC53" s="895">
        <v>44634</v>
      </c>
      <c r="CD53" s="903" t="s">
        <v>2857</v>
      </c>
      <c r="CE53" s="1257">
        <v>120</v>
      </c>
      <c r="CF53" s="899" t="s">
        <v>280</v>
      </c>
      <c r="CG53" s="895">
        <v>45003</v>
      </c>
      <c r="CH53" s="903" t="s">
        <v>781</v>
      </c>
      <c r="CI53" s="1257">
        <v>30</v>
      </c>
      <c r="CJ53" s="899" t="s">
        <v>414</v>
      </c>
      <c r="CK53" s="895">
        <v>45361</v>
      </c>
      <c r="CL53" s="903" t="s">
        <v>2858</v>
      </c>
      <c r="CM53" s="1257">
        <v>35</v>
      </c>
      <c r="CN53" s="899" t="s">
        <v>701</v>
      </c>
      <c r="CO53" s="895"/>
      <c r="CP53" s="903"/>
      <c r="CQ53" s="1257"/>
      <c r="CR53" s="899"/>
    </row>
    <row r="54" spans="1:96">
      <c r="A54" s="895">
        <v>37703</v>
      </c>
      <c r="B54" s="901" t="s">
        <v>410</v>
      </c>
      <c r="C54" s="902">
        <v>26</v>
      </c>
      <c r="D54" s="912"/>
      <c r="E54" s="895">
        <v>38074</v>
      </c>
      <c r="F54" s="901" t="s">
        <v>2859</v>
      </c>
      <c r="G54" s="902">
        <v>28</v>
      </c>
      <c r="H54" s="912"/>
      <c r="I54" s="895"/>
      <c r="J54" s="901"/>
      <c r="K54" s="902"/>
      <c r="L54" s="912"/>
      <c r="M54" s="895"/>
      <c r="N54" s="901"/>
      <c r="O54" s="902"/>
      <c r="P54" s="1258"/>
      <c r="Q54" s="895">
        <v>39151</v>
      </c>
      <c r="R54" s="903" t="s">
        <v>2860</v>
      </c>
      <c r="S54" s="906">
        <v>5</v>
      </c>
      <c r="T54" s="333"/>
      <c r="U54" s="329"/>
      <c r="V54" s="339"/>
      <c r="W54" s="337"/>
      <c r="X54" s="332"/>
      <c r="Y54" s="329">
        <v>39903</v>
      </c>
      <c r="Z54" s="339" t="s">
        <v>2417</v>
      </c>
      <c r="AA54" s="337">
        <v>2</v>
      </c>
      <c r="AB54" s="332"/>
      <c r="AC54" s="329"/>
      <c r="AD54" s="339"/>
      <c r="AE54" s="337"/>
      <c r="AF54" s="332"/>
      <c r="AG54" s="329"/>
      <c r="AH54" s="339"/>
      <c r="AI54" s="337"/>
      <c r="AJ54" s="332"/>
      <c r="AK54" s="329"/>
      <c r="AL54" s="339"/>
      <c r="AM54" s="337"/>
      <c r="AN54" s="332"/>
      <c r="AO54" s="329">
        <v>41363</v>
      </c>
      <c r="AP54" s="339" t="s">
        <v>772</v>
      </c>
      <c r="AQ54" s="337">
        <v>42</v>
      </c>
      <c r="AR54" s="332"/>
      <c r="AS54" s="329">
        <v>41726</v>
      </c>
      <c r="AT54" s="339" t="s">
        <v>2861</v>
      </c>
      <c r="AU54" s="337">
        <v>6</v>
      </c>
      <c r="AV54" s="332"/>
      <c r="AW54" s="329">
        <v>42090</v>
      </c>
      <c r="AX54" s="339" t="s">
        <v>2862</v>
      </c>
      <c r="AY54" s="337">
        <v>14</v>
      </c>
      <c r="AZ54" s="332"/>
      <c r="BA54" s="329">
        <v>42456</v>
      </c>
      <c r="BB54" s="339" t="s">
        <v>867</v>
      </c>
      <c r="BC54" s="337">
        <v>28</v>
      </c>
      <c r="BD54" s="332"/>
      <c r="BE54" s="329"/>
      <c r="BF54" s="339"/>
      <c r="BG54" s="337"/>
      <c r="BH54" s="332"/>
      <c r="BI54" s="329">
        <v>43190</v>
      </c>
      <c r="BJ54" s="339" t="s">
        <v>797</v>
      </c>
      <c r="BK54" s="337">
        <v>66</v>
      </c>
      <c r="BL54" s="332"/>
      <c r="BM54" s="329"/>
      <c r="BN54" s="339"/>
      <c r="BO54" s="902"/>
      <c r="BP54" s="912"/>
      <c r="BQ54" s="1250">
        <v>43550</v>
      </c>
      <c r="BR54" s="916" t="s">
        <v>2863</v>
      </c>
      <c r="BS54" s="902">
        <v>0</v>
      </c>
      <c r="BT54" s="899" t="s">
        <v>700</v>
      </c>
      <c r="BU54" s="895">
        <v>43918</v>
      </c>
      <c r="BV54" s="903" t="s">
        <v>890</v>
      </c>
      <c r="BW54" s="1257">
        <v>47</v>
      </c>
      <c r="BX54" s="899" t="s">
        <v>414</v>
      </c>
      <c r="BY54" s="895">
        <v>44282</v>
      </c>
      <c r="BZ54" s="903" t="s">
        <v>872</v>
      </c>
      <c r="CA54" s="1257">
        <v>22</v>
      </c>
      <c r="CB54" s="899" t="s">
        <v>414</v>
      </c>
      <c r="CC54" s="895">
        <v>44634</v>
      </c>
      <c r="CD54" s="903" t="s">
        <v>2864</v>
      </c>
      <c r="CE54" s="1257">
        <v>28</v>
      </c>
      <c r="CF54" s="899" t="s">
        <v>280</v>
      </c>
      <c r="CG54" s="895">
        <v>45003</v>
      </c>
      <c r="CH54" s="903" t="s">
        <v>772</v>
      </c>
      <c r="CI54" s="1257">
        <v>45</v>
      </c>
      <c r="CJ54" s="899" t="s">
        <v>414</v>
      </c>
      <c r="CK54" s="895">
        <v>45361</v>
      </c>
      <c r="CL54" s="903" t="s">
        <v>2865</v>
      </c>
      <c r="CM54" s="1257">
        <v>1000</v>
      </c>
      <c r="CN54" s="899" t="s">
        <v>284</v>
      </c>
      <c r="CO54" s="895"/>
      <c r="CP54" s="903"/>
      <c r="CQ54" s="1257"/>
      <c r="CR54" s="899"/>
    </row>
    <row r="55" spans="1:96">
      <c r="A55" s="895">
        <v>37703</v>
      </c>
      <c r="B55" s="901" t="s">
        <v>2866</v>
      </c>
      <c r="C55" s="902">
        <v>15</v>
      </c>
      <c r="D55" s="912"/>
      <c r="E55" s="895">
        <v>38076</v>
      </c>
      <c r="F55" s="901" t="s">
        <v>1887</v>
      </c>
      <c r="G55" s="902">
        <v>4</v>
      </c>
      <c r="H55" s="912"/>
      <c r="I55" s="895"/>
      <c r="J55" s="901"/>
      <c r="K55" s="902"/>
      <c r="L55" s="912"/>
      <c r="M55" s="895"/>
      <c r="N55" s="901"/>
      <c r="O55" s="902"/>
      <c r="P55" s="1258"/>
      <c r="Q55" s="895">
        <v>39151</v>
      </c>
      <c r="R55" s="903" t="s">
        <v>2816</v>
      </c>
      <c r="S55" s="906">
        <v>20</v>
      </c>
      <c r="T55" s="333"/>
      <c r="U55" s="329"/>
      <c r="V55" s="339"/>
      <c r="W55" s="337"/>
      <c r="X55" s="332"/>
      <c r="Y55" s="329"/>
      <c r="Z55" s="339"/>
      <c r="AA55" s="337"/>
      <c r="AB55" s="332"/>
      <c r="AC55" s="329"/>
      <c r="AD55" s="339"/>
      <c r="AE55" s="337"/>
      <c r="AF55" s="332"/>
      <c r="AG55" s="329"/>
      <c r="AH55" s="339"/>
      <c r="AI55" s="337"/>
      <c r="AJ55" s="332"/>
      <c r="AK55" s="329"/>
      <c r="AL55" s="339"/>
      <c r="AM55" s="337"/>
      <c r="AN55" s="332"/>
      <c r="AO55" s="329">
        <v>41363</v>
      </c>
      <c r="AP55" s="339" t="s">
        <v>754</v>
      </c>
      <c r="AQ55" s="337">
        <v>105</v>
      </c>
      <c r="AR55" s="332"/>
      <c r="AS55" s="329">
        <v>41726</v>
      </c>
      <c r="AT55" s="339" t="s">
        <v>802</v>
      </c>
      <c r="AU55" s="337">
        <v>53</v>
      </c>
      <c r="AV55" s="332"/>
      <c r="AW55" s="329">
        <v>42090</v>
      </c>
      <c r="AX55" s="339" t="s">
        <v>2867</v>
      </c>
      <c r="AY55" s="337">
        <v>9</v>
      </c>
      <c r="AZ55" s="332"/>
      <c r="BA55" s="329">
        <v>42458</v>
      </c>
      <c r="BB55" s="339" t="s">
        <v>797</v>
      </c>
      <c r="BC55" s="337">
        <v>35</v>
      </c>
      <c r="BD55" s="332"/>
      <c r="BE55" s="329"/>
      <c r="BF55" s="339"/>
      <c r="BG55" s="337"/>
      <c r="BH55" s="332"/>
      <c r="BI55" s="329">
        <v>43190</v>
      </c>
      <c r="BJ55" s="339" t="s">
        <v>1180</v>
      </c>
      <c r="BK55" s="337">
        <v>37</v>
      </c>
      <c r="BL55" s="332"/>
      <c r="BM55" s="329"/>
      <c r="BN55" s="339"/>
      <c r="BO55" s="902"/>
      <c r="BP55" s="912"/>
      <c r="BQ55" s="1250">
        <v>43551</v>
      </c>
      <c r="BR55" s="916" t="s">
        <v>2868</v>
      </c>
      <c r="BS55" s="902">
        <v>55</v>
      </c>
      <c r="BT55" s="899" t="s">
        <v>700</v>
      </c>
      <c r="BU55" s="895"/>
      <c r="BV55" s="903"/>
      <c r="BW55" s="1257"/>
      <c r="BX55" s="899"/>
      <c r="BY55" s="895">
        <v>44283</v>
      </c>
      <c r="BZ55" s="903" t="s">
        <v>772</v>
      </c>
      <c r="CA55" s="1257">
        <v>10</v>
      </c>
      <c r="CB55" s="899" t="s">
        <v>414</v>
      </c>
      <c r="CC55" s="895">
        <v>44634</v>
      </c>
      <c r="CD55" s="903" t="s">
        <v>2869</v>
      </c>
      <c r="CE55" s="1257">
        <v>33</v>
      </c>
      <c r="CF55" s="899" t="s">
        <v>414</v>
      </c>
      <c r="CG55" s="895">
        <v>45003</v>
      </c>
      <c r="CH55" s="903" t="s">
        <v>1180</v>
      </c>
      <c r="CI55" s="1257">
        <v>50</v>
      </c>
      <c r="CJ55" s="899" t="s">
        <v>410</v>
      </c>
      <c r="CK55" s="895">
        <v>45361</v>
      </c>
      <c r="CL55" s="903" t="s">
        <v>2870</v>
      </c>
      <c r="CM55" s="1257">
        <v>50</v>
      </c>
      <c r="CN55" s="899" t="s">
        <v>278</v>
      </c>
      <c r="CO55" s="895"/>
      <c r="CP55" s="903"/>
      <c r="CQ55" s="1257"/>
      <c r="CR55" s="899"/>
    </row>
    <row r="56" spans="1:96">
      <c r="A56" s="895">
        <v>37704</v>
      </c>
      <c r="B56" s="901" t="s">
        <v>1616</v>
      </c>
      <c r="C56" s="902"/>
      <c r="D56" s="912">
        <v>4</v>
      </c>
      <c r="E56" s="895">
        <v>38076</v>
      </c>
      <c r="F56" s="901" t="s">
        <v>797</v>
      </c>
      <c r="G56" s="902">
        <v>21</v>
      </c>
      <c r="H56" s="912"/>
      <c r="I56" s="895"/>
      <c r="J56" s="901"/>
      <c r="K56" s="902"/>
      <c r="L56" s="912"/>
      <c r="M56" s="895"/>
      <c r="N56" s="901"/>
      <c r="O56" s="902"/>
      <c r="P56" s="1258"/>
      <c r="Q56" s="895">
        <v>39151</v>
      </c>
      <c r="R56" s="903" t="s">
        <v>2871</v>
      </c>
      <c r="S56" s="906">
        <v>25</v>
      </c>
      <c r="T56" s="333"/>
      <c r="U56" s="348" t="s">
        <v>477</v>
      </c>
      <c r="V56" s="349"/>
      <c r="W56" s="350">
        <f>SUM(W5:W55)</f>
        <v>1691</v>
      </c>
      <c r="X56" s="350">
        <f>SUM(X5:X55)</f>
        <v>0</v>
      </c>
      <c r="Y56" s="348" t="s">
        <v>477</v>
      </c>
      <c r="Z56" s="349"/>
      <c r="AA56" s="350">
        <f>SUM(AA5:AA55)</f>
        <v>1466</v>
      </c>
      <c r="AB56" s="350">
        <f>SUM(AB5:AB55)</f>
        <v>0</v>
      </c>
      <c r="AC56" s="348" t="s">
        <v>477</v>
      </c>
      <c r="AD56" s="349"/>
      <c r="AE56" s="350">
        <f>SUM(AE5:AE55)</f>
        <v>1326</v>
      </c>
      <c r="AF56" s="350">
        <f>SUM(AF5:AF55)</f>
        <v>0</v>
      </c>
      <c r="AG56" s="348" t="s">
        <v>477</v>
      </c>
      <c r="AH56" s="349"/>
      <c r="AI56" s="350">
        <f>SUM(AI5:AI55)</f>
        <v>1271</v>
      </c>
      <c r="AJ56" s="350">
        <f>SUM(AJ5:AJ55)</f>
        <v>0</v>
      </c>
      <c r="AK56" s="329"/>
      <c r="AL56" s="339"/>
      <c r="AM56" s="337"/>
      <c r="AN56" s="332"/>
      <c r="AO56" s="329">
        <v>41363</v>
      </c>
      <c r="AP56" s="339" t="s">
        <v>2872</v>
      </c>
      <c r="AQ56" s="337">
        <v>0</v>
      </c>
      <c r="AR56" s="332"/>
      <c r="AS56" s="329">
        <v>41727</v>
      </c>
      <c r="AT56" s="339" t="s">
        <v>2873</v>
      </c>
      <c r="AU56" s="337">
        <v>3</v>
      </c>
      <c r="AV56" s="332"/>
      <c r="AW56" s="329">
        <v>42090</v>
      </c>
      <c r="AX56" s="339" t="s">
        <v>2874</v>
      </c>
      <c r="AY56" s="337">
        <v>26</v>
      </c>
      <c r="AZ56" s="332"/>
      <c r="BA56" s="329">
        <v>42459</v>
      </c>
      <c r="BB56" s="339" t="s">
        <v>2875</v>
      </c>
      <c r="BC56" s="337">
        <v>518</v>
      </c>
      <c r="BD56" s="332"/>
      <c r="BE56" s="329"/>
      <c r="BF56" s="339"/>
      <c r="BG56" s="337"/>
      <c r="BH56" s="332"/>
      <c r="BI56" s="329">
        <v>43190</v>
      </c>
      <c r="BJ56" s="374" t="s">
        <v>2876</v>
      </c>
      <c r="BK56" s="337">
        <v>1000</v>
      </c>
      <c r="BL56" s="332"/>
      <c r="BM56" s="329"/>
      <c r="BN56" s="374"/>
      <c r="BO56" s="902"/>
      <c r="BP56" s="912"/>
      <c r="BQ56" s="1250">
        <v>43554</v>
      </c>
      <c r="BR56" s="916" t="s">
        <v>1427</v>
      </c>
      <c r="BS56" s="902">
        <v>9</v>
      </c>
      <c r="BT56" s="899" t="s">
        <v>414</v>
      </c>
      <c r="BU56" s="895"/>
      <c r="BV56" s="903"/>
      <c r="BW56" s="1257"/>
      <c r="BX56" s="899"/>
      <c r="BY56" s="895">
        <v>44285</v>
      </c>
      <c r="BZ56" s="903" t="s">
        <v>1873</v>
      </c>
      <c r="CA56" s="1257">
        <v>59</v>
      </c>
      <c r="CB56" s="899" t="s">
        <v>414</v>
      </c>
      <c r="CC56" s="895">
        <v>44636</v>
      </c>
      <c r="CD56" s="903" t="s">
        <v>2877</v>
      </c>
      <c r="CE56" s="1257"/>
      <c r="CF56" s="899" t="s">
        <v>414</v>
      </c>
      <c r="CG56" s="895">
        <v>45003</v>
      </c>
      <c r="CH56" s="903" t="s">
        <v>2878</v>
      </c>
      <c r="CI56" s="1257">
        <v>9</v>
      </c>
      <c r="CJ56" s="899" t="s">
        <v>278</v>
      </c>
      <c r="CK56" s="895">
        <v>45361</v>
      </c>
      <c r="CL56" s="903" t="s">
        <v>2879</v>
      </c>
      <c r="CM56" s="1257">
        <v>65</v>
      </c>
      <c r="CN56" s="899" t="s">
        <v>414</v>
      </c>
      <c r="CO56" s="895"/>
      <c r="CP56" s="903"/>
      <c r="CQ56" s="1257"/>
      <c r="CR56" s="899"/>
    </row>
    <row r="57" spans="1:96">
      <c r="A57" s="895">
        <v>37704</v>
      </c>
      <c r="B57" s="901" t="s">
        <v>1189</v>
      </c>
      <c r="C57" s="902">
        <v>13</v>
      </c>
      <c r="D57" s="912"/>
      <c r="E57" s="895">
        <v>38077</v>
      </c>
      <c r="F57" s="901" t="s">
        <v>2439</v>
      </c>
      <c r="G57" s="902">
        <v>32</v>
      </c>
      <c r="H57" s="912"/>
      <c r="I57" s="895"/>
      <c r="J57" s="901"/>
      <c r="K57" s="902"/>
      <c r="L57" s="912"/>
      <c r="M57" s="895"/>
      <c r="N57" s="901"/>
      <c r="O57" s="902"/>
      <c r="P57" s="1258"/>
      <c r="Q57" s="895">
        <v>39152</v>
      </c>
      <c r="R57" s="903" t="s">
        <v>2880</v>
      </c>
      <c r="S57" s="906">
        <v>22</v>
      </c>
      <c r="T57" s="333"/>
      <c r="U57" s="352" t="s">
        <v>1672</v>
      </c>
      <c r="V57" s="353"/>
      <c r="W57" s="354"/>
      <c r="X57" s="355"/>
      <c r="Y57" s="352" t="s">
        <v>1672</v>
      </c>
      <c r="Z57" s="353"/>
      <c r="AA57" s="354"/>
      <c r="AB57" s="355"/>
      <c r="AC57" s="352" t="s">
        <v>1672</v>
      </c>
      <c r="AD57" s="353"/>
      <c r="AE57" s="354"/>
      <c r="AF57" s="355"/>
      <c r="AG57" s="352" t="s">
        <v>1672</v>
      </c>
      <c r="AH57" s="353"/>
      <c r="AI57" s="354"/>
      <c r="AJ57" s="355"/>
      <c r="AK57" s="329"/>
      <c r="AL57" s="339"/>
      <c r="AM57" s="337"/>
      <c r="AN57" s="332"/>
      <c r="AO57" s="329">
        <v>41363</v>
      </c>
      <c r="AP57" s="339" t="s">
        <v>2881</v>
      </c>
      <c r="AQ57" s="337">
        <v>8</v>
      </c>
      <c r="AR57" s="332"/>
      <c r="AS57" s="329">
        <v>41727</v>
      </c>
      <c r="AT57" s="339" t="s">
        <v>979</v>
      </c>
      <c r="AU57" s="337">
        <v>30</v>
      </c>
      <c r="AV57" s="332"/>
      <c r="AW57" s="329">
        <v>42090</v>
      </c>
      <c r="AX57" s="339" t="s">
        <v>1151</v>
      </c>
      <c r="AY57" s="337">
        <v>7</v>
      </c>
      <c r="AZ57" s="332"/>
      <c r="BA57" s="329"/>
      <c r="BB57" s="339"/>
      <c r="BC57" s="337"/>
      <c r="BD57" s="332"/>
      <c r="BE57" s="329"/>
      <c r="BF57" s="339"/>
      <c r="BG57" s="337"/>
      <c r="BH57" s="332"/>
      <c r="BI57" s="329"/>
      <c r="BJ57" s="339"/>
      <c r="BK57" s="337"/>
      <c r="BL57" s="332"/>
      <c r="BM57" s="329"/>
      <c r="BN57" s="339"/>
      <c r="BO57" s="902"/>
      <c r="BP57" s="912"/>
      <c r="BQ57" s="1250">
        <v>43554</v>
      </c>
      <c r="BR57" s="916" t="s">
        <v>828</v>
      </c>
      <c r="BS57" s="902">
        <v>14</v>
      </c>
      <c r="BT57" s="899" t="s">
        <v>414</v>
      </c>
      <c r="BU57" s="895"/>
      <c r="BV57" s="903"/>
      <c r="BW57" s="1257"/>
      <c r="BX57" s="899"/>
      <c r="BY57" s="895">
        <v>44285</v>
      </c>
      <c r="BZ57" s="903" t="s">
        <v>2882</v>
      </c>
      <c r="CA57" s="1257">
        <v>22</v>
      </c>
      <c r="CB57" s="899" t="s">
        <v>701</v>
      </c>
      <c r="CC57" s="895">
        <v>44638</v>
      </c>
      <c r="CD57" s="903" t="s">
        <v>2883</v>
      </c>
      <c r="CE57" s="1257">
        <v>21</v>
      </c>
      <c r="CF57" s="899" t="s">
        <v>280</v>
      </c>
      <c r="CG57" s="895">
        <v>45009</v>
      </c>
      <c r="CH57" s="903" t="s">
        <v>1005</v>
      </c>
      <c r="CI57" s="1257">
        <v>20</v>
      </c>
      <c r="CJ57" s="899" t="s">
        <v>414</v>
      </c>
      <c r="CK57" s="895">
        <v>45366</v>
      </c>
      <c r="CL57" s="903" t="s">
        <v>845</v>
      </c>
      <c r="CM57" s="1257">
        <v>45</v>
      </c>
      <c r="CN57" s="899" t="s">
        <v>414</v>
      </c>
      <c r="CO57" s="895"/>
      <c r="CP57" s="903"/>
      <c r="CQ57" s="1257"/>
      <c r="CR57" s="899"/>
    </row>
    <row r="58" spans="1:96">
      <c r="A58" s="895">
        <v>37706</v>
      </c>
      <c r="B58" s="901" t="s">
        <v>2884</v>
      </c>
      <c r="C58" s="902">
        <v>30</v>
      </c>
      <c r="D58" s="912"/>
      <c r="E58" s="895"/>
      <c r="F58" s="901"/>
      <c r="G58" s="902"/>
      <c r="H58" s="912"/>
      <c r="I58" s="895"/>
      <c r="J58" s="901"/>
      <c r="K58" s="902"/>
      <c r="L58" s="912"/>
      <c r="M58" s="895"/>
      <c r="N58" s="901"/>
      <c r="O58" s="902"/>
      <c r="P58" s="1258"/>
      <c r="Q58" s="895">
        <v>39152</v>
      </c>
      <c r="R58" s="903" t="s">
        <v>2816</v>
      </c>
      <c r="S58" s="906">
        <v>27</v>
      </c>
      <c r="T58" s="333"/>
      <c r="U58" s="357" t="s">
        <v>138</v>
      </c>
      <c r="V58" s="358"/>
      <c r="W58" s="359">
        <f>SUM(W56,X56)</f>
        <v>1691</v>
      </c>
      <c r="X58" s="360"/>
      <c r="Y58" s="357" t="s">
        <v>138</v>
      </c>
      <c r="Z58" s="358"/>
      <c r="AA58" s="359">
        <f>SUM(AA56,AB56)</f>
        <v>1466</v>
      </c>
      <c r="AB58" s="360"/>
      <c r="AC58" s="357" t="s">
        <v>138</v>
      </c>
      <c r="AD58" s="358"/>
      <c r="AE58" s="359">
        <f>SUM(AE56,AF56)</f>
        <v>1326</v>
      </c>
      <c r="AF58" s="360"/>
      <c r="AG58" s="357" t="s">
        <v>138</v>
      </c>
      <c r="AH58" s="358"/>
      <c r="AI58" s="359">
        <f>SUM(AI56,AJ56)</f>
        <v>1271</v>
      </c>
      <c r="AJ58" s="360"/>
      <c r="AK58" s="329"/>
      <c r="AL58" s="339"/>
      <c r="AM58" s="337"/>
      <c r="AN58" s="332"/>
      <c r="AO58" s="329">
        <v>41364</v>
      </c>
      <c r="AP58" s="339" t="s">
        <v>2885</v>
      </c>
      <c r="AQ58" s="337">
        <v>225</v>
      </c>
      <c r="AR58" s="332"/>
      <c r="AS58" s="329">
        <v>41727</v>
      </c>
      <c r="AT58" s="339" t="s">
        <v>1244</v>
      </c>
      <c r="AU58" s="337">
        <v>15</v>
      </c>
      <c r="AV58" s="332"/>
      <c r="AW58" s="329">
        <v>42090</v>
      </c>
      <c r="AX58" s="339" t="s">
        <v>2886</v>
      </c>
      <c r="AY58" s="337">
        <v>150</v>
      </c>
      <c r="AZ58" s="332"/>
      <c r="BA58" s="329"/>
      <c r="BB58" s="339"/>
      <c r="BC58" s="337"/>
      <c r="BD58" s="332"/>
      <c r="BE58" s="329"/>
      <c r="BF58" s="374"/>
      <c r="BG58" s="337"/>
      <c r="BH58" s="332"/>
      <c r="BI58" s="329"/>
      <c r="BJ58" s="339"/>
      <c r="BK58" s="337"/>
      <c r="BL58" s="332"/>
      <c r="BM58" s="329"/>
      <c r="BN58" s="339"/>
      <c r="BO58" s="902"/>
      <c r="BP58" s="912"/>
      <c r="BQ58" s="1250">
        <v>43554</v>
      </c>
      <c r="BR58" s="916" t="s">
        <v>772</v>
      </c>
      <c r="BS58" s="902">
        <v>35</v>
      </c>
      <c r="BT58" s="899" t="s">
        <v>414</v>
      </c>
      <c r="BU58" s="895"/>
      <c r="BV58" s="903"/>
      <c r="BW58" s="1257"/>
      <c r="BX58" s="899"/>
      <c r="BY58" s="895">
        <v>44286</v>
      </c>
      <c r="BZ58" s="903" t="s">
        <v>2887</v>
      </c>
      <c r="CA58" s="1257">
        <v>52</v>
      </c>
      <c r="CB58" s="899" t="s">
        <v>414</v>
      </c>
      <c r="CC58" s="895">
        <v>44638</v>
      </c>
      <c r="CD58" s="903" t="s">
        <v>2888</v>
      </c>
      <c r="CE58" s="1257">
        <v>52</v>
      </c>
      <c r="CF58" s="899" t="s">
        <v>414</v>
      </c>
      <c r="CG58" s="895">
        <v>45011</v>
      </c>
      <c r="CH58" s="903" t="s">
        <v>845</v>
      </c>
      <c r="CI58" s="1257">
        <v>22</v>
      </c>
      <c r="CJ58" s="899" t="s">
        <v>414</v>
      </c>
      <c r="CK58" s="895">
        <v>45366</v>
      </c>
      <c r="CL58" s="903" t="s">
        <v>971</v>
      </c>
      <c r="CM58" s="1257">
        <v>65</v>
      </c>
      <c r="CN58" s="899" t="s">
        <v>414</v>
      </c>
      <c r="CO58" s="895"/>
      <c r="CP58" s="903"/>
      <c r="CQ58" s="1257"/>
      <c r="CR58" s="899"/>
    </row>
    <row r="59" spans="1:96">
      <c r="A59" s="895">
        <v>37708</v>
      </c>
      <c r="B59" s="901" t="s">
        <v>410</v>
      </c>
      <c r="C59" s="902"/>
      <c r="D59" s="912">
        <v>36</v>
      </c>
      <c r="E59" s="895"/>
      <c r="F59" s="901"/>
      <c r="G59" s="902"/>
      <c r="H59" s="912"/>
      <c r="I59" s="895"/>
      <c r="J59" s="901"/>
      <c r="K59" s="902"/>
      <c r="L59" s="912"/>
      <c r="M59" s="895"/>
      <c r="N59" s="901"/>
      <c r="O59" s="902"/>
      <c r="P59" s="1258"/>
      <c r="Q59" s="895">
        <v>39152</v>
      </c>
      <c r="R59" s="903" t="s">
        <v>2889</v>
      </c>
      <c r="S59" s="906">
        <v>25</v>
      </c>
      <c r="T59" s="333"/>
      <c r="AK59" s="329"/>
      <c r="AL59" s="339"/>
      <c r="AM59" s="337"/>
      <c r="AN59" s="332"/>
      <c r="AO59" s="329"/>
      <c r="AP59" s="339"/>
      <c r="AQ59" s="337"/>
      <c r="AR59" s="332"/>
      <c r="AS59" s="329">
        <v>41727</v>
      </c>
      <c r="AT59" s="339" t="s">
        <v>1903</v>
      </c>
      <c r="AU59" s="337">
        <v>30</v>
      </c>
      <c r="AV59" s="332"/>
      <c r="AW59" s="329">
        <v>42091</v>
      </c>
      <c r="AX59" s="339" t="s">
        <v>2874</v>
      </c>
      <c r="AY59" s="337">
        <v>29</v>
      </c>
      <c r="AZ59" s="332"/>
      <c r="BA59" s="329"/>
      <c r="BB59" s="374"/>
      <c r="BC59" s="337"/>
      <c r="BD59" s="332"/>
      <c r="BE59" s="329"/>
      <c r="BF59" s="339"/>
      <c r="BG59" s="337"/>
      <c r="BH59" s="332"/>
      <c r="BI59" s="329"/>
      <c r="BJ59" s="339"/>
      <c r="BK59" s="337"/>
      <c r="BL59" s="332"/>
      <c r="BM59" s="329"/>
      <c r="BN59" s="339"/>
      <c r="BO59" s="902"/>
      <c r="BP59" s="912"/>
      <c r="BQ59" s="1250">
        <v>43554</v>
      </c>
      <c r="BR59" s="916" t="s">
        <v>823</v>
      </c>
      <c r="BS59" s="902">
        <v>35</v>
      </c>
      <c r="BT59" s="899" t="s">
        <v>414</v>
      </c>
      <c r="BU59" s="895"/>
      <c r="BV59" s="903"/>
      <c r="BW59" s="1257"/>
      <c r="BX59" s="899"/>
      <c r="BY59" s="895">
        <v>44286</v>
      </c>
      <c r="BZ59" s="903" t="s">
        <v>2890</v>
      </c>
      <c r="CA59" s="1257">
        <v>27</v>
      </c>
      <c r="CB59" s="899" t="s">
        <v>414</v>
      </c>
      <c r="CC59" s="895">
        <v>44638</v>
      </c>
      <c r="CD59" s="903" t="s">
        <v>2891</v>
      </c>
      <c r="CE59" s="1257">
        <v>66</v>
      </c>
      <c r="CF59" s="899" t="s">
        <v>702</v>
      </c>
      <c r="CG59" s="895">
        <v>45011</v>
      </c>
      <c r="CH59" s="903" t="s">
        <v>843</v>
      </c>
      <c r="CI59" s="1257">
        <v>31</v>
      </c>
      <c r="CJ59" s="899" t="s">
        <v>414</v>
      </c>
      <c r="CK59" s="895">
        <v>45366</v>
      </c>
      <c r="CL59" s="903" t="s">
        <v>2892</v>
      </c>
      <c r="CM59" s="1257">
        <v>35</v>
      </c>
      <c r="CN59" s="899" t="s">
        <v>426</v>
      </c>
      <c r="CO59" s="895"/>
      <c r="CP59" s="903"/>
      <c r="CQ59" s="1257"/>
      <c r="CR59" s="899"/>
    </row>
    <row r="60" spans="1:96">
      <c r="A60" s="895">
        <v>37708</v>
      </c>
      <c r="B60" s="901" t="s">
        <v>989</v>
      </c>
      <c r="C60" s="902">
        <v>5</v>
      </c>
      <c r="D60" s="912"/>
      <c r="E60" s="895"/>
      <c r="F60" s="901"/>
      <c r="G60" s="902"/>
      <c r="H60" s="912"/>
      <c r="I60" s="895"/>
      <c r="J60" s="901"/>
      <c r="K60" s="902"/>
      <c r="L60" s="912"/>
      <c r="M60" s="895"/>
      <c r="N60" s="901"/>
      <c r="O60" s="902"/>
      <c r="P60" s="1258"/>
      <c r="Q60" s="895">
        <v>39152</v>
      </c>
      <c r="R60" s="903" t="s">
        <v>2816</v>
      </c>
      <c r="S60" s="906">
        <v>25</v>
      </c>
      <c r="T60" s="333"/>
      <c r="AK60" s="329"/>
      <c r="AL60" s="339"/>
      <c r="AM60" s="337"/>
      <c r="AN60" s="332"/>
      <c r="AO60" s="329"/>
      <c r="AP60" s="339"/>
      <c r="AQ60" s="337"/>
      <c r="AR60" s="332"/>
      <c r="AS60" s="329">
        <v>41727</v>
      </c>
      <c r="AT60" s="339" t="s">
        <v>1052</v>
      </c>
      <c r="AU60" s="337">
        <v>34</v>
      </c>
      <c r="AV60" s="332"/>
      <c r="AW60" s="329">
        <v>42091</v>
      </c>
      <c r="AX60" s="374" t="s">
        <v>2893</v>
      </c>
      <c r="AY60" s="337">
        <v>25</v>
      </c>
      <c r="AZ60" s="332"/>
      <c r="BA60" s="329"/>
      <c r="BB60" s="339"/>
      <c r="BC60" s="337"/>
      <c r="BD60" s="332"/>
      <c r="BE60" s="329"/>
      <c r="BF60" s="339"/>
      <c r="BG60" s="337"/>
      <c r="BH60" s="332"/>
      <c r="BI60" s="329"/>
      <c r="BJ60" s="339"/>
      <c r="BK60" s="337"/>
      <c r="BL60" s="332"/>
      <c r="BM60" s="329"/>
      <c r="BN60" s="339"/>
      <c r="BO60" s="902"/>
      <c r="BP60" s="912"/>
      <c r="BQ60" s="1250">
        <v>43555</v>
      </c>
      <c r="BR60" s="916" t="s">
        <v>1901</v>
      </c>
      <c r="BS60" s="902">
        <v>19</v>
      </c>
      <c r="BT60" s="899" t="s">
        <v>414</v>
      </c>
      <c r="BU60" s="895"/>
      <c r="BV60" s="903"/>
      <c r="BW60" s="1257"/>
      <c r="BX60" s="899"/>
      <c r="BY60" s="895">
        <v>44286</v>
      </c>
      <c r="BZ60" s="903" t="s">
        <v>2894</v>
      </c>
      <c r="CA60" s="1257">
        <v>10</v>
      </c>
      <c r="CB60" s="899" t="s">
        <v>414</v>
      </c>
      <c r="CC60" s="895">
        <v>44638</v>
      </c>
      <c r="CD60" s="903" t="s">
        <v>2895</v>
      </c>
      <c r="CE60" s="1257">
        <v>16</v>
      </c>
      <c r="CF60" s="899" t="s">
        <v>414</v>
      </c>
      <c r="CG60" s="895">
        <v>45011</v>
      </c>
      <c r="CH60" s="903" t="s">
        <v>2896</v>
      </c>
      <c r="CI60" s="1257">
        <v>35</v>
      </c>
      <c r="CJ60" s="899" t="s">
        <v>280</v>
      </c>
      <c r="CK60" s="895">
        <v>45366</v>
      </c>
      <c r="CL60" s="903" t="s">
        <v>772</v>
      </c>
      <c r="CM60" s="1257">
        <v>36</v>
      </c>
      <c r="CN60" s="899" t="s">
        <v>414</v>
      </c>
      <c r="CO60" s="895"/>
      <c r="CP60" s="903"/>
      <c r="CQ60" s="1257"/>
      <c r="CR60" s="899"/>
    </row>
    <row r="61" spans="1:96">
      <c r="A61" s="895">
        <v>37709</v>
      </c>
      <c r="B61" s="901" t="s">
        <v>2897</v>
      </c>
      <c r="C61" s="902"/>
      <c r="D61" s="912">
        <v>12</v>
      </c>
      <c r="E61" s="895"/>
      <c r="F61" s="901"/>
      <c r="G61" s="902"/>
      <c r="H61" s="912"/>
      <c r="I61" s="895"/>
      <c r="J61" s="901"/>
      <c r="K61" s="902"/>
      <c r="L61" s="912"/>
      <c r="M61" s="895"/>
      <c r="N61" s="901"/>
      <c r="O61" s="902"/>
      <c r="P61" s="1258"/>
      <c r="Q61" s="895">
        <v>39152</v>
      </c>
      <c r="R61" s="903" t="s">
        <v>2898</v>
      </c>
      <c r="S61" s="906">
        <v>10</v>
      </c>
      <c r="T61" s="333"/>
      <c r="AK61" s="348" t="s">
        <v>477</v>
      </c>
      <c r="AL61" s="349"/>
      <c r="AM61" s="350">
        <f>SUM(AM5:AM60)</f>
        <v>1425</v>
      </c>
      <c r="AN61" s="350">
        <f>SUM(AN5:AN60)</f>
        <v>0</v>
      </c>
      <c r="AO61" s="329"/>
      <c r="AP61" s="339"/>
      <c r="AQ61" s="337"/>
      <c r="AR61" s="332"/>
      <c r="AS61" s="329">
        <v>41727</v>
      </c>
      <c r="AT61" s="339" t="s">
        <v>954</v>
      </c>
      <c r="AU61" s="337">
        <v>38</v>
      </c>
      <c r="AV61" s="332"/>
      <c r="AW61" s="329">
        <v>42091</v>
      </c>
      <c r="AX61" s="339" t="s">
        <v>2899</v>
      </c>
      <c r="AY61" s="337">
        <v>6</v>
      </c>
      <c r="AZ61" s="332"/>
      <c r="BA61" s="329"/>
      <c r="BB61" s="339"/>
      <c r="BC61" s="337"/>
      <c r="BD61" s="332"/>
      <c r="BE61" s="329"/>
      <c r="BF61" s="339"/>
      <c r="BG61" s="337"/>
      <c r="BH61" s="332"/>
      <c r="BI61" s="329"/>
      <c r="BJ61" s="339"/>
      <c r="BK61" s="337"/>
      <c r="BL61" s="332"/>
      <c r="BM61" s="329"/>
      <c r="BN61" s="339"/>
      <c r="BO61" s="902"/>
      <c r="BP61" s="912"/>
      <c r="BQ61" s="1250">
        <v>43555</v>
      </c>
      <c r="BR61" s="916" t="s">
        <v>873</v>
      </c>
      <c r="BS61" s="902">
        <v>6</v>
      </c>
      <c r="BT61" s="899" t="s">
        <v>414</v>
      </c>
      <c r="BU61" s="895"/>
      <c r="BV61" s="903"/>
      <c r="BW61" s="1257"/>
      <c r="BX61" s="899"/>
      <c r="BY61" s="895">
        <v>44286</v>
      </c>
      <c r="BZ61" s="903" t="s">
        <v>2900</v>
      </c>
      <c r="CA61" s="1257">
        <v>15</v>
      </c>
      <c r="CB61" s="899" t="s">
        <v>701</v>
      </c>
      <c r="CC61" s="895">
        <v>44638</v>
      </c>
      <c r="CD61" s="903" t="s">
        <v>1180</v>
      </c>
      <c r="CE61" s="1257">
        <v>100</v>
      </c>
      <c r="CF61" s="899" t="s">
        <v>410</v>
      </c>
      <c r="CG61" s="895">
        <v>45011</v>
      </c>
      <c r="CH61" s="903" t="s">
        <v>772</v>
      </c>
      <c r="CI61" s="1257">
        <v>80</v>
      </c>
      <c r="CJ61" s="899" t="s">
        <v>414</v>
      </c>
      <c r="CK61" s="895">
        <v>45366</v>
      </c>
      <c r="CL61" s="903" t="s">
        <v>843</v>
      </c>
      <c r="CM61" s="1257">
        <v>55</v>
      </c>
      <c r="CN61" s="899" t="s">
        <v>414</v>
      </c>
      <c r="CO61" s="895"/>
      <c r="CP61" s="903"/>
      <c r="CQ61" s="1257"/>
      <c r="CR61" s="899"/>
    </row>
    <row r="62" spans="1:96">
      <c r="A62" s="895">
        <v>37709</v>
      </c>
      <c r="B62" s="901" t="s">
        <v>1042</v>
      </c>
      <c r="C62" s="902"/>
      <c r="D62" s="902">
        <v>4</v>
      </c>
      <c r="E62" s="895"/>
      <c r="F62" s="901"/>
      <c r="G62" s="902"/>
      <c r="H62" s="902"/>
      <c r="I62" s="895"/>
      <c r="J62" s="901"/>
      <c r="K62" s="902"/>
      <c r="L62" s="902"/>
      <c r="M62" s="895"/>
      <c r="N62" s="901"/>
      <c r="O62" s="902"/>
      <c r="P62" s="1266"/>
      <c r="Q62" s="895">
        <v>39153</v>
      </c>
      <c r="R62" s="903" t="s">
        <v>2901</v>
      </c>
      <c r="S62" s="906">
        <v>5</v>
      </c>
      <c r="T62" s="333"/>
      <c r="AK62" s="352" t="s">
        <v>1672</v>
      </c>
      <c r="AL62" s="353"/>
      <c r="AM62" s="354"/>
      <c r="AN62" s="355"/>
      <c r="AO62" s="348" t="s">
        <v>477</v>
      </c>
      <c r="AP62" s="349"/>
      <c r="AQ62" s="350">
        <f>SUM(AQ5:AQ61)</f>
        <v>2156</v>
      </c>
      <c r="AR62" s="350">
        <f>SUM(AR5:AR61)</f>
        <v>0</v>
      </c>
      <c r="AS62" s="329">
        <v>41727</v>
      </c>
      <c r="AT62" s="339" t="s">
        <v>2823</v>
      </c>
      <c r="AU62" s="337">
        <v>110</v>
      </c>
      <c r="AV62" s="332"/>
      <c r="AW62" s="329">
        <v>42091</v>
      </c>
      <c r="AX62" s="339" t="s">
        <v>2902</v>
      </c>
      <c r="AY62" s="337">
        <v>0</v>
      </c>
      <c r="AZ62" s="332"/>
      <c r="BA62" s="329"/>
      <c r="BB62" s="339"/>
      <c r="BC62" s="337"/>
      <c r="BD62" s="332"/>
      <c r="BE62" s="329"/>
      <c r="BF62" s="339"/>
      <c r="BG62" s="337"/>
      <c r="BH62" s="332"/>
      <c r="BI62" s="329"/>
      <c r="BJ62" s="339"/>
      <c r="BK62" s="337"/>
      <c r="BL62" s="332"/>
      <c r="BM62" s="329"/>
      <c r="BN62" s="339"/>
      <c r="BO62" s="902"/>
      <c r="BP62" s="912"/>
      <c r="BQ62" s="1250">
        <v>43555</v>
      </c>
      <c r="BR62" s="916" t="s">
        <v>2903</v>
      </c>
      <c r="BS62" s="902">
        <v>30</v>
      </c>
      <c r="BT62" s="899" t="s">
        <v>700</v>
      </c>
      <c r="BU62" s="895"/>
      <c r="BV62" s="1267"/>
      <c r="BW62" s="1257"/>
      <c r="BX62" s="899"/>
      <c r="BY62" s="895">
        <v>44286</v>
      </c>
      <c r="BZ62" s="903" t="s">
        <v>2904</v>
      </c>
      <c r="CA62" s="1257">
        <v>7</v>
      </c>
      <c r="CB62" s="899" t="s">
        <v>414</v>
      </c>
      <c r="CC62" s="895">
        <v>44639</v>
      </c>
      <c r="CD62" s="903" t="s">
        <v>2905</v>
      </c>
      <c r="CE62" s="1257">
        <v>33</v>
      </c>
      <c r="CF62" s="899" t="s">
        <v>414</v>
      </c>
      <c r="CG62" s="895">
        <v>45011</v>
      </c>
      <c r="CH62" s="903" t="s">
        <v>2906</v>
      </c>
      <c r="CI62" s="1257">
        <v>430</v>
      </c>
      <c r="CJ62" s="899" t="s">
        <v>284</v>
      </c>
      <c r="CK62" s="895">
        <v>45366</v>
      </c>
      <c r="CL62" s="903" t="s">
        <v>2907</v>
      </c>
      <c r="CM62" s="1257">
        <v>35</v>
      </c>
      <c r="CN62" s="899" t="s">
        <v>284</v>
      </c>
      <c r="CO62" s="895"/>
      <c r="CP62" s="903"/>
      <c r="CQ62" s="1257"/>
      <c r="CR62" s="899"/>
    </row>
    <row r="63" spans="1:96">
      <c r="A63" s="895">
        <v>37709</v>
      </c>
      <c r="B63" s="901" t="s">
        <v>2908</v>
      </c>
      <c r="C63" s="902">
        <v>32</v>
      </c>
      <c r="D63" s="912"/>
      <c r="E63" s="895"/>
      <c r="F63" s="901"/>
      <c r="G63" s="902"/>
      <c r="H63" s="912"/>
      <c r="I63" s="895"/>
      <c r="J63" s="901"/>
      <c r="K63" s="902"/>
      <c r="L63" s="912"/>
      <c r="M63" s="895"/>
      <c r="N63" s="901"/>
      <c r="O63" s="902"/>
      <c r="P63" s="1258"/>
      <c r="Q63" s="895">
        <v>39153</v>
      </c>
      <c r="R63" s="903" t="s">
        <v>2909</v>
      </c>
      <c r="S63" s="906">
        <v>12</v>
      </c>
      <c r="T63" s="333"/>
      <c r="AK63" s="357" t="s">
        <v>138</v>
      </c>
      <c r="AL63" s="358"/>
      <c r="AM63" s="359">
        <f>SUM(AM61,AN61)</f>
        <v>1425</v>
      </c>
      <c r="AN63" s="360"/>
      <c r="AO63" s="352" t="s">
        <v>1672</v>
      </c>
      <c r="AP63" s="353"/>
      <c r="AQ63" s="354"/>
      <c r="AR63" s="355"/>
      <c r="AS63" s="329">
        <v>41727</v>
      </c>
      <c r="AT63" s="339" t="s">
        <v>2910</v>
      </c>
      <c r="AU63" s="337">
        <v>20</v>
      </c>
      <c r="AV63" s="332"/>
      <c r="AW63" s="329">
        <v>42092</v>
      </c>
      <c r="AX63" s="339" t="s">
        <v>2911</v>
      </c>
      <c r="AY63" s="337">
        <v>95</v>
      </c>
      <c r="AZ63" s="332"/>
      <c r="BA63" s="348" t="s">
        <v>477</v>
      </c>
      <c r="BB63" s="349"/>
      <c r="BC63" s="350">
        <f>SUM(BC5:BC62)</f>
        <v>2545</v>
      </c>
      <c r="BD63" s="350">
        <f>SUM(BD5:BD62)</f>
        <v>0</v>
      </c>
      <c r="BE63" s="348" t="s">
        <v>477</v>
      </c>
      <c r="BF63" s="349"/>
      <c r="BG63" s="350">
        <f>SUM(BG5:BG62)</f>
        <v>2012</v>
      </c>
      <c r="BH63" s="350">
        <f>SUM(BH5:BH62)</f>
        <v>0</v>
      </c>
      <c r="BI63" s="348" t="s">
        <v>477</v>
      </c>
      <c r="BJ63" s="349"/>
      <c r="BK63" s="350">
        <f>SUM(BK5:BK62)</f>
        <v>2949</v>
      </c>
      <c r="BL63" s="350">
        <f>SUM(BL5:BL62)</f>
        <v>0</v>
      </c>
      <c r="BM63" s="348" t="s">
        <v>477</v>
      </c>
      <c r="BN63" s="349"/>
      <c r="BO63" s="1268">
        <f>SUM(BO5:BO62)</f>
        <v>0</v>
      </c>
      <c r="BP63" s="1268">
        <f>SUM(BP5:BP62)</f>
        <v>0</v>
      </c>
      <c r="BQ63" s="1246" t="s">
        <v>477</v>
      </c>
      <c r="BR63" s="1247"/>
      <c r="BS63" s="1268">
        <f>SUM(BS5:BS62)</f>
        <v>3683</v>
      </c>
      <c r="BT63" s="1268">
        <f>SUM(BT5:BT62)</f>
        <v>0</v>
      </c>
      <c r="BU63" s="1247" t="s">
        <v>477</v>
      </c>
      <c r="BV63" s="1269"/>
      <c r="BW63" s="1270">
        <f>SUM(BW5:BW62)</f>
        <v>3776</v>
      </c>
      <c r="BX63" s="1268">
        <f>SUM(BX5:BX62)</f>
        <v>0</v>
      </c>
      <c r="BY63" s="895">
        <v>44286</v>
      </c>
      <c r="BZ63" s="903" t="s">
        <v>2912</v>
      </c>
      <c r="CA63" s="1257">
        <v>12</v>
      </c>
      <c r="CB63" s="899" t="s">
        <v>700</v>
      </c>
      <c r="CC63" s="895">
        <v>44639</v>
      </c>
      <c r="CD63" s="903" t="s">
        <v>772</v>
      </c>
      <c r="CE63" s="1257">
        <v>60</v>
      </c>
      <c r="CF63" s="899" t="s">
        <v>414</v>
      </c>
      <c r="CG63" s="895">
        <v>45011</v>
      </c>
      <c r="CH63" s="903" t="s">
        <v>2913</v>
      </c>
      <c r="CI63" s="1257">
        <v>40</v>
      </c>
      <c r="CJ63" s="899" t="s">
        <v>426</v>
      </c>
      <c r="CK63" s="895">
        <v>45366</v>
      </c>
      <c r="CL63" s="903" t="s">
        <v>2914</v>
      </c>
      <c r="CM63" s="1257">
        <v>50</v>
      </c>
      <c r="CN63" s="899" t="s">
        <v>284</v>
      </c>
      <c r="CO63" s="895"/>
      <c r="CP63" s="903"/>
      <c r="CQ63" s="1257"/>
      <c r="CR63" s="899"/>
    </row>
    <row r="64" spans="1:96">
      <c r="A64" s="895">
        <v>37709</v>
      </c>
      <c r="B64" s="901" t="s">
        <v>2915</v>
      </c>
      <c r="C64" s="902">
        <v>10</v>
      </c>
      <c r="D64" s="912"/>
      <c r="E64" s="895"/>
      <c r="F64" s="901"/>
      <c r="G64" s="902"/>
      <c r="H64" s="912"/>
      <c r="I64" s="895"/>
      <c r="J64" s="901"/>
      <c r="K64" s="902"/>
      <c r="L64" s="912"/>
      <c r="M64" s="895"/>
      <c r="N64" s="901"/>
      <c r="O64" s="902"/>
      <c r="P64" s="1258"/>
      <c r="Q64" s="895">
        <v>39153</v>
      </c>
      <c r="R64" s="903" t="s">
        <v>2916</v>
      </c>
      <c r="S64" s="906">
        <v>10</v>
      </c>
      <c r="T64" s="333"/>
      <c r="AO64" s="357" t="s">
        <v>138</v>
      </c>
      <c r="AP64" s="358"/>
      <c r="AQ64" s="359">
        <f>SUM(AQ62,AR62)</f>
        <v>2156</v>
      </c>
      <c r="AR64" s="360"/>
      <c r="AS64" s="348" t="s">
        <v>477</v>
      </c>
      <c r="AT64" s="349"/>
      <c r="AU64" s="350">
        <f>SUM(AU5:AU63)</f>
        <v>3046</v>
      </c>
      <c r="AV64" s="350">
        <f>SUM(AV5:AV63)</f>
        <v>0</v>
      </c>
      <c r="AW64" s="329">
        <v>42092</v>
      </c>
      <c r="AX64" s="339" t="s">
        <v>2917</v>
      </c>
      <c r="AY64" s="337">
        <v>20</v>
      </c>
      <c r="AZ64" s="332"/>
      <c r="BA64" s="352" t="s">
        <v>1672</v>
      </c>
      <c r="BB64" s="353"/>
      <c r="BC64" s="354"/>
      <c r="BD64" s="355"/>
      <c r="BE64" s="352" t="s">
        <v>1672</v>
      </c>
      <c r="BF64" s="353"/>
      <c r="BG64" s="354"/>
      <c r="BH64" s="355"/>
      <c r="BI64" s="352" t="s">
        <v>1672</v>
      </c>
      <c r="BJ64" s="353"/>
      <c r="BK64" s="354"/>
      <c r="BL64" s="355"/>
      <c r="BM64" s="352" t="s">
        <v>1672</v>
      </c>
      <c r="BN64" s="353"/>
      <c r="BO64" s="1159"/>
      <c r="BP64" s="1160"/>
      <c r="BQ64" s="1161" t="s">
        <v>1672</v>
      </c>
      <c r="BR64" s="1162"/>
      <c r="BS64" s="1159"/>
      <c r="BT64" s="1160"/>
      <c r="BU64" s="1162" t="s">
        <v>1672</v>
      </c>
      <c r="BV64" s="1160"/>
      <c r="BW64" s="1163"/>
      <c r="BX64" s="1160"/>
      <c r="BY64" s="895">
        <v>44286</v>
      </c>
      <c r="BZ64" s="903" t="s">
        <v>2918</v>
      </c>
      <c r="CA64" s="1257">
        <v>9</v>
      </c>
      <c r="CB64" s="899" t="s">
        <v>280</v>
      </c>
      <c r="CC64" s="895">
        <v>44639</v>
      </c>
      <c r="CD64" s="903" t="s">
        <v>843</v>
      </c>
      <c r="CE64" s="1257">
        <v>24</v>
      </c>
      <c r="CF64" s="899" t="s">
        <v>414</v>
      </c>
      <c r="CG64" s="895">
        <v>45044</v>
      </c>
      <c r="CH64" s="903" t="s">
        <v>2919</v>
      </c>
      <c r="CI64" s="1257">
        <v>40</v>
      </c>
      <c r="CJ64" s="899" t="s">
        <v>414</v>
      </c>
      <c r="CK64" s="895">
        <v>45366</v>
      </c>
      <c r="CL64" s="903" t="s">
        <v>2920</v>
      </c>
      <c r="CM64" s="1257">
        <v>29</v>
      </c>
      <c r="CN64" s="899" t="s">
        <v>414</v>
      </c>
      <c r="CO64" s="895"/>
      <c r="CP64" s="903"/>
      <c r="CQ64" s="1257"/>
      <c r="CR64" s="899"/>
    </row>
    <row r="65" spans="1:96">
      <c r="A65" s="895">
        <v>37710</v>
      </c>
      <c r="B65" s="901" t="s">
        <v>410</v>
      </c>
      <c r="C65" s="902">
        <v>24</v>
      </c>
      <c r="D65" s="912"/>
      <c r="E65" s="895"/>
      <c r="F65" s="901"/>
      <c r="G65" s="902"/>
      <c r="H65" s="912"/>
      <c r="I65" s="895"/>
      <c r="J65" s="901"/>
      <c r="K65" s="902"/>
      <c r="L65" s="912"/>
      <c r="M65" s="895"/>
      <c r="N65" s="901"/>
      <c r="O65" s="902"/>
      <c r="P65" s="1258"/>
      <c r="Q65" s="895">
        <v>39153</v>
      </c>
      <c r="R65" s="903" t="s">
        <v>2921</v>
      </c>
      <c r="S65" s="906">
        <v>10</v>
      </c>
      <c r="T65" s="333"/>
      <c r="AS65" s="352" t="s">
        <v>1672</v>
      </c>
      <c r="AT65" s="353"/>
      <c r="AU65" s="354"/>
      <c r="AV65" s="355"/>
      <c r="AW65" s="329">
        <v>42092</v>
      </c>
      <c r="AX65" s="339" t="s">
        <v>2922</v>
      </c>
      <c r="AY65" s="337">
        <v>21</v>
      </c>
      <c r="AZ65" s="332"/>
      <c r="BA65" s="357" t="s">
        <v>138</v>
      </c>
      <c r="BB65" s="358"/>
      <c r="BC65" s="359">
        <f>SUM(BC63,BD63)</f>
        <v>2545</v>
      </c>
      <c r="BD65" s="360"/>
      <c r="BE65" s="357" t="s">
        <v>138</v>
      </c>
      <c r="BF65" s="358"/>
      <c r="BG65" s="359">
        <f>SUM(BG63,BH63)</f>
        <v>2012</v>
      </c>
      <c r="BH65" s="360"/>
      <c r="BI65" s="357" t="s">
        <v>138</v>
      </c>
      <c r="BJ65" s="358"/>
      <c r="BK65" s="359">
        <f>SUM(BK63,BL63)</f>
        <v>2949</v>
      </c>
      <c r="BL65" s="360"/>
      <c r="BM65" s="357" t="s">
        <v>138</v>
      </c>
      <c r="BN65" s="358"/>
      <c r="BO65" s="1271">
        <f>SUM(BO63,BP63)</f>
        <v>0</v>
      </c>
      <c r="BP65" s="1272"/>
      <c r="BQ65" s="1273" t="s">
        <v>138</v>
      </c>
      <c r="BR65" s="1274"/>
      <c r="BS65" s="1271">
        <f>SUM(BS63,BT64)</f>
        <v>3683</v>
      </c>
      <c r="BT65" s="1272"/>
      <c r="BU65" s="1273" t="s">
        <v>138</v>
      </c>
      <c r="BV65" s="1274"/>
      <c r="BW65" s="1275">
        <f>SUM(BW63,BX64)</f>
        <v>3776</v>
      </c>
      <c r="BX65" s="1272"/>
      <c r="BY65" s="895">
        <v>44286</v>
      </c>
      <c r="BZ65" s="1267" t="s">
        <v>2923</v>
      </c>
      <c r="CA65" s="1257">
        <v>537</v>
      </c>
      <c r="CB65" s="899"/>
      <c r="CC65" s="895">
        <v>44639</v>
      </c>
      <c r="CD65" s="903" t="s">
        <v>845</v>
      </c>
      <c r="CE65" s="1257">
        <v>48</v>
      </c>
      <c r="CF65" s="899" t="s">
        <v>414</v>
      </c>
      <c r="CG65" s="895">
        <v>45044</v>
      </c>
      <c r="CH65" s="903" t="s">
        <v>843</v>
      </c>
      <c r="CI65" s="1257">
        <v>35</v>
      </c>
      <c r="CJ65" s="899" t="s">
        <v>414</v>
      </c>
      <c r="CK65" s="895">
        <v>45366</v>
      </c>
      <c r="CL65" s="903" t="s">
        <v>2924</v>
      </c>
      <c r="CM65" s="1257">
        <v>136</v>
      </c>
      <c r="CN65" s="899" t="s">
        <v>414</v>
      </c>
      <c r="CO65" s="895"/>
      <c r="CP65" s="903"/>
      <c r="CQ65" s="1257"/>
      <c r="CR65" s="899"/>
    </row>
    <row r="66" spans="1:96">
      <c r="A66" s="895">
        <v>37710</v>
      </c>
      <c r="B66" s="901" t="s">
        <v>954</v>
      </c>
      <c r="C66" s="902"/>
      <c r="D66" s="912">
        <v>48</v>
      </c>
      <c r="E66" s="895"/>
      <c r="F66" s="901"/>
      <c r="G66" s="902"/>
      <c r="H66" s="912"/>
      <c r="I66" s="895"/>
      <c r="J66" s="901"/>
      <c r="K66" s="902"/>
      <c r="L66" s="912"/>
      <c r="M66" s="895"/>
      <c r="N66" s="901"/>
      <c r="O66" s="902"/>
      <c r="P66" s="1258"/>
      <c r="Q66" s="895">
        <v>39153</v>
      </c>
      <c r="R66" s="903" t="s">
        <v>2925</v>
      </c>
      <c r="S66" s="906">
        <v>22</v>
      </c>
      <c r="T66" s="333"/>
      <c r="AS66" s="357" t="s">
        <v>138</v>
      </c>
      <c r="AT66" s="358"/>
      <c r="AU66" s="359">
        <f>SUM(AU64,AV64)</f>
        <v>3046</v>
      </c>
      <c r="AV66" s="360"/>
      <c r="AW66" s="329">
        <v>42092</v>
      </c>
      <c r="AX66" s="339" t="s">
        <v>2874</v>
      </c>
      <c r="AY66" s="337">
        <v>36</v>
      </c>
      <c r="AZ66" s="332"/>
      <c r="BO66" s="916"/>
      <c r="BP66" s="916"/>
      <c r="BQ66" s="916"/>
      <c r="BR66" s="916"/>
      <c r="BS66" s="916"/>
      <c r="BT66" s="916"/>
      <c r="BU66" s="916"/>
      <c r="BV66" s="916"/>
      <c r="BW66" s="1276"/>
      <c r="BX66" s="916"/>
      <c r="BY66" s="1247" t="s">
        <v>477</v>
      </c>
      <c r="BZ66" s="1269"/>
      <c r="CA66" s="1270">
        <f>SUM(CA5:CA65)</f>
        <v>4636</v>
      </c>
      <c r="CB66" s="1268">
        <f>SUM(CB5:CB65)</f>
        <v>0</v>
      </c>
      <c r="CC66" s="895">
        <v>44639</v>
      </c>
      <c r="CD66" s="903" t="s">
        <v>828</v>
      </c>
      <c r="CE66" s="1257">
        <v>16</v>
      </c>
      <c r="CF66" s="899" t="s">
        <v>414</v>
      </c>
      <c r="CG66" s="895">
        <v>45016</v>
      </c>
      <c r="CH66" s="903" t="s">
        <v>845</v>
      </c>
      <c r="CI66" s="1257">
        <v>30</v>
      </c>
      <c r="CJ66" s="899" t="s">
        <v>414</v>
      </c>
      <c r="CK66" s="895">
        <v>45366</v>
      </c>
      <c r="CL66" s="903" t="s">
        <v>2926</v>
      </c>
      <c r="CM66" s="1257">
        <v>30</v>
      </c>
      <c r="CN66" s="899" t="s">
        <v>702</v>
      </c>
      <c r="CO66" s="895"/>
      <c r="CP66" s="903"/>
      <c r="CQ66" s="1257"/>
      <c r="CR66" s="899"/>
    </row>
    <row r="67" spans="1:96">
      <c r="A67" s="895">
        <v>37710</v>
      </c>
      <c r="B67" s="901" t="s">
        <v>772</v>
      </c>
      <c r="C67" s="902">
        <v>28</v>
      </c>
      <c r="D67" s="912"/>
      <c r="E67" s="895"/>
      <c r="F67" s="901"/>
      <c r="G67" s="902"/>
      <c r="H67" s="912"/>
      <c r="I67" s="895"/>
      <c r="J67" s="901"/>
      <c r="K67" s="902"/>
      <c r="L67" s="912"/>
      <c r="M67" s="895"/>
      <c r="N67" s="901"/>
      <c r="O67" s="902"/>
      <c r="P67" s="1258"/>
      <c r="Q67" s="895">
        <v>39154</v>
      </c>
      <c r="R67" s="903" t="s">
        <v>2927</v>
      </c>
      <c r="S67" s="906">
        <v>2</v>
      </c>
      <c r="T67" s="333"/>
      <c r="AW67" s="329">
        <v>42093</v>
      </c>
      <c r="AX67" s="339" t="s">
        <v>781</v>
      </c>
      <c r="AY67" s="337">
        <v>33</v>
      </c>
      <c r="AZ67" s="332"/>
      <c r="BO67" s="916"/>
      <c r="BP67" s="916"/>
      <c r="BQ67" s="916"/>
      <c r="BR67" s="916"/>
      <c r="BS67" s="916"/>
      <c r="BT67" s="916"/>
      <c r="BU67" s="916"/>
      <c r="BV67" s="916"/>
      <c r="BW67" s="1276"/>
      <c r="BX67" s="916"/>
      <c r="BY67" s="1162" t="s">
        <v>1672</v>
      </c>
      <c r="BZ67" s="1160"/>
      <c r="CA67" s="1163"/>
      <c r="CB67" s="1160"/>
      <c r="CC67" s="895">
        <v>44639</v>
      </c>
      <c r="CD67" s="903" t="s">
        <v>1762</v>
      </c>
      <c r="CE67" s="1257">
        <v>56</v>
      </c>
      <c r="CF67" s="899" t="s">
        <v>701</v>
      </c>
      <c r="CG67" s="895">
        <v>45016</v>
      </c>
      <c r="CH67" s="903" t="s">
        <v>2928</v>
      </c>
      <c r="CI67" s="1257">
        <v>20</v>
      </c>
      <c r="CJ67" s="899" t="s">
        <v>280</v>
      </c>
      <c r="CK67" s="895">
        <v>45366</v>
      </c>
      <c r="CL67" s="903" t="s">
        <v>797</v>
      </c>
      <c r="CM67" s="1257">
        <v>75</v>
      </c>
      <c r="CN67" s="899" t="s">
        <v>410</v>
      </c>
      <c r="CO67" s="895"/>
      <c r="CP67" s="903"/>
      <c r="CQ67" s="1257"/>
      <c r="CR67" s="899"/>
    </row>
    <row r="68" spans="1:96">
      <c r="A68" s="895">
        <v>37710</v>
      </c>
      <c r="B68" s="901" t="s">
        <v>2929</v>
      </c>
      <c r="C68" s="902"/>
      <c r="D68" s="912">
        <v>5</v>
      </c>
      <c r="E68" s="895"/>
      <c r="F68" s="901"/>
      <c r="G68" s="902"/>
      <c r="H68" s="912"/>
      <c r="I68" s="895"/>
      <c r="J68" s="901"/>
      <c r="K68" s="902"/>
      <c r="L68" s="912"/>
      <c r="M68" s="895"/>
      <c r="N68" s="901"/>
      <c r="O68" s="902"/>
      <c r="P68" s="1258"/>
      <c r="Q68" s="895">
        <v>39154</v>
      </c>
      <c r="R68" s="903" t="s">
        <v>2930</v>
      </c>
      <c r="S68" s="906">
        <v>4</v>
      </c>
      <c r="T68" s="333"/>
      <c r="AW68" s="329">
        <v>42093</v>
      </c>
      <c r="AX68" s="339" t="s">
        <v>1573</v>
      </c>
      <c r="AY68" s="337">
        <v>47</v>
      </c>
      <c r="AZ68" s="332"/>
      <c r="BO68" s="916"/>
      <c r="BP68" s="916"/>
      <c r="BQ68" s="916"/>
      <c r="BR68" s="916"/>
      <c r="BS68" s="916"/>
      <c r="BT68" s="916"/>
      <c r="BU68" s="916"/>
      <c r="BV68" s="916"/>
      <c r="BW68" s="1276"/>
      <c r="BX68" s="916"/>
      <c r="BY68" s="1273" t="s">
        <v>138</v>
      </c>
      <c r="BZ68" s="1274"/>
      <c r="CA68" s="1275">
        <f>SUM(CA66,CB67)</f>
        <v>4636</v>
      </c>
      <c r="CB68" s="1272"/>
      <c r="CC68" s="895">
        <v>44639</v>
      </c>
      <c r="CD68" s="903" t="s">
        <v>2931</v>
      </c>
      <c r="CE68" s="1257">
        <v>21</v>
      </c>
      <c r="CF68" s="899" t="s">
        <v>280</v>
      </c>
      <c r="CG68" s="895">
        <v>45016</v>
      </c>
      <c r="CH68" s="903" t="s">
        <v>2932</v>
      </c>
      <c r="CI68" s="1257">
        <v>48</v>
      </c>
      <c r="CJ68" s="899" t="s">
        <v>426</v>
      </c>
      <c r="CK68" s="895">
        <v>45368</v>
      </c>
      <c r="CL68" s="903" t="s">
        <v>2272</v>
      </c>
      <c r="CM68" s="1257">
        <v>55</v>
      </c>
      <c r="CN68" s="899" t="s">
        <v>700</v>
      </c>
      <c r="CO68" s="895"/>
      <c r="CP68" s="903"/>
      <c r="CQ68" s="1257"/>
      <c r="CR68" s="899"/>
    </row>
    <row r="69" spans="1:96">
      <c r="A69" s="895">
        <v>37710</v>
      </c>
      <c r="B69" s="901" t="s">
        <v>2933</v>
      </c>
      <c r="C69" s="902">
        <v>50</v>
      </c>
      <c r="D69" s="912"/>
      <c r="E69" s="895"/>
      <c r="F69" s="901"/>
      <c r="G69" s="902"/>
      <c r="H69" s="912"/>
      <c r="I69" s="895"/>
      <c r="J69" s="901"/>
      <c r="K69" s="902"/>
      <c r="L69" s="912"/>
      <c r="M69" s="895"/>
      <c r="N69" s="901"/>
      <c r="O69" s="902"/>
      <c r="P69" s="1258"/>
      <c r="Q69" s="895">
        <v>39154</v>
      </c>
      <c r="R69" s="903" t="s">
        <v>2934</v>
      </c>
      <c r="S69" s="906">
        <v>8</v>
      </c>
      <c r="T69" s="333"/>
      <c r="AW69" s="329">
        <v>42093</v>
      </c>
      <c r="AX69" s="339" t="s">
        <v>2935</v>
      </c>
      <c r="AY69" s="337">
        <v>7</v>
      </c>
      <c r="AZ69" s="332"/>
      <c r="BO69" s="916"/>
      <c r="BP69" s="916"/>
      <c r="BQ69" s="916"/>
      <c r="BR69" s="916"/>
      <c r="BS69" s="916"/>
      <c r="BT69" s="916"/>
      <c r="BU69" s="916"/>
      <c r="BV69" s="916"/>
      <c r="BW69" s="1276"/>
      <c r="BX69" s="916"/>
      <c r="BY69" s="916"/>
      <c r="BZ69" s="916"/>
      <c r="CA69" s="1276"/>
      <c r="CB69" s="916"/>
      <c r="CC69" s="895">
        <v>44639</v>
      </c>
      <c r="CD69" s="903" t="s">
        <v>2936</v>
      </c>
      <c r="CE69" s="1257">
        <v>72</v>
      </c>
      <c r="CF69" s="899" t="s">
        <v>280</v>
      </c>
      <c r="CG69" s="895">
        <v>45016</v>
      </c>
      <c r="CH69" s="903" t="s">
        <v>2937</v>
      </c>
      <c r="CI69" s="1257">
        <v>328</v>
      </c>
      <c r="CJ69" s="899" t="s">
        <v>284</v>
      </c>
      <c r="CK69" s="895">
        <v>45368</v>
      </c>
      <c r="CL69" s="903" t="s">
        <v>845</v>
      </c>
      <c r="CM69" s="1257">
        <v>49</v>
      </c>
      <c r="CN69" s="899" t="s">
        <v>414</v>
      </c>
      <c r="CO69" s="895"/>
      <c r="CP69" s="903"/>
      <c r="CQ69" s="1257"/>
      <c r="CR69" s="899"/>
    </row>
    <row r="70" spans="1:96">
      <c r="A70" s="895"/>
      <c r="B70" s="901"/>
      <c r="C70" s="902"/>
      <c r="D70" s="912"/>
      <c r="E70" s="895"/>
      <c r="F70" s="901"/>
      <c r="G70" s="902"/>
      <c r="H70" s="912"/>
      <c r="I70" s="895"/>
      <c r="J70" s="901"/>
      <c r="K70" s="902"/>
      <c r="L70" s="912"/>
      <c r="M70" s="895"/>
      <c r="N70" s="901"/>
      <c r="O70" s="902"/>
      <c r="P70" s="1258"/>
      <c r="Q70" s="895">
        <v>39154</v>
      </c>
      <c r="R70" s="903" t="s">
        <v>2938</v>
      </c>
      <c r="S70" s="906">
        <v>20</v>
      </c>
      <c r="T70" s="333"/>
      <c r="AW70" s="329">
        <v>42093</v>
      </c>
      <c r="AX70" s="339" t="s">
        <v>772</v>
      </c>
      <c r="AY70" s="337">
        <v>35</v>
      </c>
      <c r="AZ70" s="332"/>
      <c r="BO70" s="916"/>
      <c r="BP70" s="916"/>
      <c r="BQ70" s="916"/>
      <c r="BR70" s="916"/>
      <c r="BS70" s="916"/>
      <c r="BT70" s="916"/>
      <c r="BU70" s="916"/>
      <c r="BV70" s="916"/>
      <c r="BW70" s="1276"/>
      <c r="BX70" s="916"/>
      <c r="BY70" s="916"/>
      <c r="BZ70" s="916"/>
      <c r="CA70" s="1276"/>
      <c r="CB70" s="916"/>
      <c r="CC70" s="895">
        <v>44639</v>
      </c>
      <c r="CD70" s="903" t="s">
        <v>2939</v>
      </c>
      <c r="CE70" s="1257">
        <v>30</v>
      </c>
      <c r="CF70" s="899" t="s">
        <v>414</v>
      </c>
      <c r="CG70" s="895">
        <v>45016</v>
      </c>
      <c r="CH70" s="903" t="s">
        <v>2940</v>
      </c>
      <c r="CI70" s="1257">
        <v>30</v>
      </c>
      <c r="CJ70" s="899" t="s">
        <v>700</v>
      </c>
      <c r="CK70" s="895">
        <v>45368</v>
      </c>
      <c r="CL70" s="903" t="s">
        <v>843</v>
      </c>
      <c r="CM70" s="1257">
        <v>44</v>
      </c>
      <c r="CN70" s="899" t="s">
        <v>414</v>
      </c>
      <c r="CO70" s="895"/>
      <c r="CP70" s="903"/>
      <c r="CQ70" s="1257"/>
      <c r="CR70" s="899"/>
    </row>
    <row r="71" spans="1:96">
      <c r="A71" s="1246" t="s">
        <v>477</v>
      </c>
      <c r="B71" s="1247"/>
      <c r="C71" s="1268">
        <f>SUM(C5:C70)</f>
        <v>4004</v>
      </c>
      <c r="D71" s="1268">
        <f>SUM(D5:D70)</f>
        <v>2018</v>
      </c>
      <c r="E71" s="1246" t="s">
        <v>477</v>
      </c>
      <c r="F71" s="1247"/>
      <c r="G71" s="1268">
        <f>SUM(G5:G70)</f>
        <v>5334</v>
      </c>
      <c r="H71" s="1268">
        <f>SUM(H5:H70)</f>
        <v>1503</v>
      </c>
      <c r="I71" s="1246" t="s">
        <v>477</v>
      </c>
      <c r="J71" s="1247"/>
      <c r="K71" s="1268">
        <f>SUM(K5:K70)</f>
        <v>647</v>
      </c>
      <c r="L71" s="1268">
        <f>SUM(L5:L70)</f>
        <v>0</v>
      </c>
      <c r="M71" s="1246" t="s">
        <v>477</v>
      </c>
      <c r="N71" s="1247"/>
      <c r="O71" s="1268">
        <f>SUM(O5:O70)</f>
        <v>975</v>
      </c>
      <c r="P71" s="1277">
        <f>SUM(P5:P70)</f>
        <v>0</v>
      </c>
      <c r="Q71" s="895">
        <v>39154</v>
      </c>
      <c r="R71" s="903" t="s">
        <v>2941</v>
      </c>
      <c r="S71" s="906">
        <v>0</v>
      </c>
      <c r="T71" s="333"/>
      <c r="AW71" s="329">
        <v>42093</v>
      </c>
      <c r="AX71" s="339" t="s">
        <v>954</v>
      </c>
      <c r="AY71" s="337">
        <v>58</v>
      </c>
      <c r="AZ71" s="332"/>
      <c r="BO71" s="916"/>
      <c r="BP71" s="916"/>
      <c r="BQ71" s="916"/>
      <c r="BR71" s="916"/>
      <c r="BS71" s="916"/>
      <c r="BT71" s="916"/>
      <c r="BU71" s="916"/>
      <c r="BV71" s="916"/>
      <c r="BW71" s="1276"/>
      <c r="BX71" s="916"/>
      <c r="BY71" s="916"/>
      <c r="BZ71" s="916"/>
      <c r="CA71" s="1276"/>
      <c r="CB71" s="916"/>
      <c r="CC71" s="895">
        <v>44646</v>
      </c>
      <c r="CD71" s="903" t="s">
        <v>2942</v>
      </c>
      <c r="CE71" s="1257">
        <v>75</v>
      </c>
      <c r="CF71" s="899" t="s">
        <v>426</v>
      </c>
      <c r="CG71" s="895">
        <v>45016</v>
      </c>
      <c r="CH71" s="903" t="s">
        <v>2943</v>
      </c>
      <c r="CI71" s="1257">
        <v>53</v>
      </c>
      <c r="CJ71" s="899" t="s">
        <v>700</v>
      </c>
      <c r="CK71" s="895">
        <v>45368</v>
      </c>
      <c r="CL71" s="903" t="s">
        <v>2944</v>
      </c>
      <c r="CM71" s="1257">
        <v>10000</v>
      </c>
      <c r="CN71" s="899" t="s">
        <v>689</v>
      </c>
      <c r="CO71" s="895"/>
      <c r="CP71" s="903"/>
      <c r="CQ71" s="1257"/>
      <c r="CR71" s="899"/>
    </row>
    <row r="72" spans="1:96">
      <c r="A72" s="1161" t="s">
        <v>1672</v>
      </c>
      <c r="B72" s="1162"/>
      <c r="C72" s="1159"/>
      <c r="D72" s="1160"/>
      <c r="E72" s="1161" t="s">
        <v>1672</v>
      </c>
      <c r="F72" s="1162"/>
      <c r="G72" s="1159"/>
      <c r="H72" s="1160"/>
      <c r="I72" s="1161" t="s">
        <v>1672</v>
      </c>
      <c r="J72" s="1162"/>
      <c r="K72" s="1159"/>
      <c r="L72" s="1160"/>
      <c r="M72" s="1161" t="s">
        <v>1672</v>
      </c>
      <c r="N72" s="1162"/>
      <c r="O72" s="1159"/>
      <c r="P72" s="1164"/>
      <c r="Q72" s="895">
        <v>39154</v>
      </c>
      <c r="R72" s="903" t="s">
        <v>2945</v>
      </c>
      <c r="S72" s="906">
        <v>10</v>
      </c>
      <c r="T72" s="333"/>
      <c r="AW72" s="329">
        <v>42093</v>
      </c>
      <c r="AX72" s="339" t="s">
        <v>2946</v>
      </c>
      <c r="AY72" s="337">
        <v>31</v>
      </c>
      <c r="AZ72" s="332"/>
      <c r="BO72" s="916"/>
      <c r="BP72" s="916"/>
      <c r="BQ72" s="916"/>
      <c r="BR72" s="916"/>
      <c r="BS72" s="916"/>
      <c r="BT72" s="916"/>
      <c r="BU72" s="916"/>
      <c r="BV72" s="916"/>
      <c r="BW72" s="1276"/>
      <c r="BX72" s="916"/>
      <c r="BY72" s="916"/>
      <c r="BZ72" s="916"/>
      <c r="CA72" s="1276"/>
      <c r="CB72" s="916"/>
      <c r="CC72" s="895">
        <v>44646</v>
      </c>
      <c r="CD72" s="903" t="s">
        <v>772</v>
      </c>
      <c r="CE72" s="1257">
        <v>47</v>
      </c>
      <c r="CF72" s="899" t="s">
        <v>414</v>
      </c>
      <c r="CG72" s="895">
        <v>45016</v>
      </c>
      <c r="CH72" s="903" t="s">
        <v>2947</v>
      </c>
      <c r="CI72" s="1257">
        <v>20</v>
      </c>
      <c r="CJ72" s="899" t="s">
        <v>280</v>
      </c>
      <c r="CK72" s="895">
        <v>45368</v>
      </c>
      <c r="CL72" s="903" t="s">
        <v>2948</v>
      </c>
      <c r="CM72" s="1257">
        <v>34</v>
      </c>
      <c r="CN72" s="899" t="s">
        <v>280</v>
      </c>
      <c r="CO72" s="895"/>
      <c r="CP72" s="903"/>
      <c r="CQ72" s="1257"/>
      <c r="CR72" s="899"/>
    </row>
    <row r="73" spans="1:96">
      <c r="A73" s="1273" t="s">
        <v>138</v>
      </c>
      <c r="B73" s="1274"/>
      <c r="C73" s="1271">
        <f>SUM(C71,D71)</f>
        <v>6022</v>
      </c>
      <c r="D73" s="1272"/>
      <c r="E73" s="1273" t="s">
        <v>138</v>
      </c>
      <c r="F73" s="1274"/>
      <c r="G73" s="1271">
        <f>SUM(G71,H71)</f>
        <v>6837</v>
      </c>
      <c r="H73" s="1272"/>
      <c r="I73" s="1273" t="s">
        <v>138</v>
      </c>
      <c r="J73" s="1274"/>
      <c r="K73" s="1271">
        <f>SUM(K71,L71)</f>
        <v>647</v>
      </c>
      <c r="L73" s="1272"/>
      <c r="M73" s="1273" t="s">
        <v>138</v>
      </c>
      <c r="N73" s="1274"/>
      <c r="O73" s="1271">
        <f>SUM(O71,P71)</f>
        <v>975</v>
      </c>
      <c r="P73" s="1278"/>
      <c r="Q73" s="895">
        <v>39155</v>
      </c>
      <c r="R73" s="903" t="s">
        <v>2949</v>
      </c>
      <c r="S73" s="906">
        <v>7</v>
      </c>
      <c r="T73" s="333"/>
      <c r="AW73" s="329">
        <v>42093</v>
      </c>
      <c r="AX73" s="339" t="s">
        <v>2950</v>
      </c>
      <c r="AY73" s="337">
        <v>7</v>
      </c>
      <c r="AZ73" s="332"/>
      <c r="BO73" s="916"/>
      <c r="BP73" s="916"/>
      <c r="BQ73" s="916"/>
      <c r="BR73" s="916"/>
      <c r="BS73" s="916"/>
      <c r="BT73" s="916"/>
      <c r="BU73" s="916"/>
      <c r="BV73" s="916"/>
      <c r="BW73" s="1276"/>
      <c r="BX73" s="916"/>
      <c r="BY73" s="916"/>
      <c r="BZ73" s="916"/>
      <c r="CA73" s="1276"/>
      <c r="CB73" s="916"/>
      <c r="CC73" s="895">
        <v>44646</v>
      </c>
      <c r="CD73" s="903" t="s">
        <v>843</v>
      </c>
      <c r="CE73" s="1257">
        <v>31</v>
      </c>
      <c r="CF73" s="899" t="s">
        <v>414</v>
      </c>
      <c r="CG73" s="895">
        <v>45016</v>
      </c>
      <c r="CH73" s="903" t="s">
        <v>2951</v>
      </c>
      <c r="CI73" s="1257">
        <v>36</v>
      </c>
      <c r="CJ73" s="899" t="s">
        <v>280</v>
      </c>
      <c r="CK73" s="895">
        <v>45368</v>
      </c>
      <c r="CL73" s="903" t="s">
        <v>2952</v>
      </c>
      <c r="CM73" s="1257">
        <v>145</v>
      </c>
      <c r="CN73" s="899" t="s">
        <v>700</v>
      </c>
      <c r="CO73" s="895"/>
      <c r="CP73" s="903"/>
      <c r="CQ73" s="1257"/>
      <c r="CR73" s="899"/>
    </row>
    <row r="74" spans="1:96">
      <c r="A74" s="1158"/>
      <c r="B74" s="1158"/>
      <c r="C74" s="1158"/>
      <c r="D74" s="1158"/>
      <c r="E74" s="1158"/>
      <c r="F74" s="1158"/>
      <c r="G74" s="1158"/>
      <c r="H74" s="1158"/>
      <c r="I74" s="1158"/>
      <c r="J74" s="1158"/>
      <c r="K74" s="1158"/>
      <c r="L74" s="1158"/>
      <c r="M74" s="1158"/>
      <c r="N74" s="1158"/>
      <c r="O74" s="1158"/>
      <c r="P74" s="1158"/>
      <c r="Q74" s="895">
        <v>39155</v>
      </c>
      <c r="R74" s="903" t="s">
        <v>2953</v>
      </c>
      <c r="S74" s="906">
        <v>10</v>
      </c>
      <c r="T74" s="332"/>
      <c r="AW74" s="329">
        <v>42093</v>
      </c>
      <c r="AX74" s="339" t="s">
        <v>802</v>
      </c>
      <c r="AY74" s="337">
        <v>35</v>
      </c>
      <c r="AZ74" s="332"/>
      <c r="BO74" s="916"/>
      <c r="BP74" s="916"/>
      <c r="BQ74" s="916"/>
      <c r="BR74" s="916"/>
      <c r="BS74" s="916"/>
      <c r="BT74" s="916"/>
      <c r="BU74" s="916"/>
      <c r="BV74" s="916"/>
      <c r="BW74" s="1276"/>
      <c r="BX74" s="916"/>
      <c r="BY74" s="916"/>
      <c r="BZ74" s="916"/>
      <c r="CA74" s="1276"/>
      <c r="CB74" s="916"/>
      <c r="CC74" s="895">
        <v>44646</v>
      </c>
      <c r="CD74" s="903" t="s">
        <v>845</v>
      </c>
      <c r="CE74" s="1257">
        <v>12</v>
      </c>
      <c r="CF74" s="899" t="s">
        <v>414</v>
      </c>
      <c r="CG74" s="895"/>
      <c r="CH74" s="903"/>
      <c r="CI74" s="1257"/>
      <c r="CJ74" s="899"/>
      <c r="CK74" s="895">
        <v>45368</v>
      </c>
      <c r="CL74" s="903" t="s">
        <v>1839</v>
      </c>
      <c r="CM74" s="1257">
        <v>75</v>
      </c>
      <c r="CN74" s="899" t="s">
        <v>700</v>
      </c>
      <c r="CO74" s="895"/>
      <c r="CP74" s="903"/>
      <c r="CQ74" s="1257"/>
      <c r="CR74" s="899"/>
    </row>
    <row r="75" spans="1:96">
      <c r="A75" s="1158"/>
      <c r="B75" s="1158"/>
      <c r="C75" s="1158"/>
      <c r="D75" s="1158"/>
      <c r="E75" s="1158"/>
      <c r="F75" s="1158"/>
      <c r="G75" s="1158"/>
      <c r="H75" s="1158"/>
      <c r="I75" s="1158"/>
      <c r="J75" s="1158"/>
      <c r="K75" s="1158"/>
      <c r="L75" s="1158"/>
      <c r="M75" s="1158"/>
      <c r="N75" s="1158"/>
      <c r="O75" s="1158"/>
      <c r="P75" s="1158"/>
      <c r="Q75" s="895">
        <v>39155</v>
      </c>
      <c r="R75" s="903" t="s">
        <v>2954</v>
      </c>
      <c r="S75" s="906">
        <v>8</v>
      </c>
      <c r="T75" s="332"/>
      <c r="AW75" s="329">
        <v>42093</v>
      </c>
      <c r="AX75" s="339" t="s">
        <v>979</v>
      </c>
      <c r="AY75" s="337">
        <v>127</v>
      </c>
      <c r="AZ75" s="332"/>
      <c r="BO75" s="916"/>
      <c r="BP75" s="916"/>
      <c r="BQ75" s="916"/>
      <c r="BR75" s="916"/>
      <c r="BS75" s="916"/>
      <c r="BT75" s="916"/>
      <c r="BU75" s="916"/>
      <c r="BV75" s="916"/>
      <c r="BW75" s="1276"/>
      <c r="BX75" s="916"/>
      <c r="BY75" s="916"/>
      <c r="BZ75" s="916"/>
      <c r="CA75" s="1276"/>
      <c r="CB75" s="916"/>
      <c r="CC75" s="895">
        <v>44646</v>
      </c>
      <c r="CD75" s="903" t="s">
        <v>828</v>
      </c>
      <c r="CE75" s="1257">
        <v>37</v>
      </c>
      <c r="CF75" s="899" t="s">
        <v>414</v>
      </c>
      <c r="CG75" s="895"/>
      <c r="CH75" s="903"/>
      <c r="CI75" s="1257"/>
      <c r="CJ75" s="899"/>
      <c r="CK75" s="895">
        <v>45374</v>
      </c>
      <c r="CL75" s="903" t="s">
        <v>2955</v>
      </c>
      <c r="CM75" s="1257">
        <v>100</v>
      </c>
      <c r="CN75" s="899" t="s">
        <v>700</v>
      </c>
      <c r="CO75" s="895"/>
      <c r="CP75" s="903"/>
      <c r="CQ75" s="1257"/>
      <c r="CR75" s="899"/>
    </row>
    <row r="76" spans="1:96">
      <c r="A76" s="1158"/>
      <c r="B76" s="1158"/>
      <c r="C76" s="1158"/>
      <c r="D76" s="1158"/>
      <c r="E76" s="1158"/>
      <c r="F76" s="1158"/>
      <c r="G76" s="1158"/>
      <c r="H76" s="1158"/>
      <c r="I76" s="1158"/>
      <c r="J76" s="1158"/>
      <c r="K76" s="1158"/>
      <c r="L76" s="1158"/>
      <c r="M76" s="1158"/>
      <c r="N76" s="1158"/>
      <c r="O76" s="1158"/>
      <c r="P76" s="1158"/>
      <c r="Q76" s="895">
        <v>39155</v>
      </c>
      <c r="R76" s="903" t="s">
        <v>2956</v>
      </c>
      <c r="S76" s="906">
        <v>8</v>
      </c>
      <c r="T76" s="332"/>
      <c r="AW76" s="329"/>
      <c r="AX76" s="339"/>
      <c r="AY76" s="337"/>
      <c r="AZ76" s="332"/>
      <c r="BO76" s="916"/>
      <c r="BP76" s="916"/>
      <c r="BQ76" s="916"/>
      <c r="BR76" s="916"/>
      <c r="BS76" s="916"/>
      <c r="BT76" s="916"/>
      <c r="BU76" s="916"/>
      <c r="BV76" s="916"/>
      <c r="BW76" s="1276"/>
      <c r="BX76" s="916"/>
      <c r="BY76" s="916"/>
      <c r="BZ76" s="916"/>
      <c r="CA76" s="1276"/>
      <c r="CB76" s="916"/>
      <c r="CC76" s="895">
        <v>44646</v>
      </c>
      <c r="CD76" s="903" t="s">
        <v>1762</v>
      </c>
      <c r="CE76" s="1257">
        <v>39</v>
      </c>
      <c r="CF76" s="899" t="s">
        <v>701</v>
      </c>
      <c r="CG76" s="895"/>
      <c r="CH76" s="903"/>
      <c r="CI76" s="1257"/>
      <c r="CJ76" s="899"/>
      <c r="CK76" s="895">
        <v>45374</v>
      </c>
      <c r="CL76" s="903" t="s">
        <v>845</v>
      </c>
      <c r="CM76" s="1257">
        <v>25</v>
      </c>
      <c r="CN76" s="899" t="s">
        <v>414</v>
      </c>
      <c r="CO76" s="895"/>
      <c r="CP76" s="903"/>
      <c r="CQ76" s="1257"/>
      <c r="CR76" s="899"/>
    </row>
    <row r="77" spans="1:96">
      <c r="A77" s="1158"/>
      <c r="B77" s="1158"/>
      <c r="C77" s="1158"/>
      <c r="D77" s="1158"/>
      <c r="E77" s="1158"/>
      <c r="F77" s="1158"/>
      <c r="G77" s="1158"/>
      <c r="H77" s="1158"/>
      <c r="I77" s="1158"/>
      <c r="J77" s="1158"/>
      <c r="K77" s="1158"/>
      <c r="L77" s="1158"/>
      <c r="M77" s="1158"/>
      <c r="N77" s="1158"/>
      <c r="O77" s="1158"/>
      <c r="P77" s="1158"/>
      <c r="Q77" s="895">
        <v>39156</v>
      </c>
      <c r="R77" s="903" t="s">
        <v>2957</v>
      </c>
      <c r="S77" s="906">
        <v>41</v>
      </c>
      <c r="T77" s="332"/>
      <c r="AW77" s="348" t="s">
        <v>477</v>
      </c>
      <c r="AX77" s="349"/>
      <c r="AY77" s="350">
        <f>SUM(AY5:AY76)</f>
        <v>4111</v>
      </c>
      <c r="AZ77" s="350">
        <f>SUM(AZ5:AZ76)</f>
        <v>0</v>
      </c>
      <c r="BO77" s="916"/>
      <c r="BP77" s="916"/>
      <c r="BQ77" s="916"/>
      <c r="BR77" s="916"/>
      <c r="BS77" s="916"/>
      <c r="BT77" s="916"/>
      <c r="BU77" s="916"/>
      <c r="BV77" s="916"/>
      <c r="BW77" s="1276"/>
      <c r="BX77" s="916"/>
      <c r="BY77" s="916"/>
      <c r="BZ77" s="916"/>
      <c r="CA77" s="1276"/>
      <c r="CB77" s="916"/>
      <c r="CC77" s="895">
        <v>44646</v>
      </c>
      <c r="CD77" s="903" t="s">
        <v>2958</v>
      </c>
      <c r="CE77" s="1257">
        <v>47</v>
      </c>
      <c r="CF77" s="899" t="s">
        <v>701</v>
      </c>
      <c r="CG77" s="895"/>
      <c r="CH77" s="903"/>
      <c r="CI77" s="1257"/>
      <c r="CJ77" s="899"/>
      <c r="CK77" s="895">
        <v>45374</v>
      </c>
      <c r="CL77" s="903" t="s">
        <v>772</v>
      </c>
      <c r="CM77" s="1257">
        <v>60</v>
      </c>
      <c r="CN77" s="899" t="s">
        <v>414</v>
      </c>
      <c r="CO77" s="895"/>
      <c r="CP77" s="903"/>
      <c r="CQ77" s="1257"/>
      <c r="CR77" s="899"/>
    </row>
    <row r="78" spans="1:96">
      <c r="A78" s="1158"/>
      <c r="B78" s="1158"/>
      <c r="C78" s="1158"/>
      <c r="D78" s="1158"/>
      <c r="E78" s="1158"/>
      <c r="F78" s="1158"/>
      <c r="G78" s="1158"/>
      <c r="H78" s="1158"/>
      <c r="I78" s="1158"/>
      <c r="J78" s="1158"/>
      <c r="K78" s="1158"/>
      <c r="L78" s="1158"/>
      <c r="M78" s="1158"/>
      <c r="N78" s="1158"/>
      <c r="O78" s="1158"/>
      <c r="P78" s="1158"/>
      <c r="Q78" s="895">
        <v>39158</v>
      </c>
      <c r="R78" s="903" t="s">
        <v>2959</v>
      </c>
      <c r="S78" s="906">
        <v>100</v>
      </c>
      <c r="T78" s="332"/>
      <c r="AW78" s="352" t="s">
        <v>1672</v>
      </c>
      <c r="AX78" s="353"/>
      <c r="AY78" s="354"/>
      <c r="AZ78" s="355"/>
      <c r="BO78" s="916"/>
      <c r="BP78" s="916"/>
      <c r="BQ78" s="916"/>
      <c r="BR78" s="916"/>
      <c r="BS78" s="916"/>
      <c r="BT78" s="916"/>
      <c r="BU78" s="916"/>
      <c r="BV78" s="916"/>
      <c r="BW78" s="1276"/>
      <c r="BX78" s="916"/>
      <c r="BY78" s="916"/>
      <c r="BZ78" s="916"/>
      <c r="CA78" s="1276"/>
      <c r="CB78" s="916"/>
      <c r="CC78" s="895">
        <v>44646</v>
      </c>
      <c r="CD78" s="903" t="s">
        <v>2960</v>
      </c>
      <c r="CE78" s="1257">
        <v>56</v>
      </c>
      <c r="CF78" s="899" t="s">
        <v>692</v>
      </c>
      <c r="CG78" s="895"/>
      <c r="CH78" s="903"/>
      <c r="CI78" s="1257"/>
      <c r="CJ78" s="899"/>
      <c r="CK78" s="895">
        <v>45374</v>
      </c>
      <c r="CL78" s="903" t="s">
        <v>2961</v>
      </c>
      <c r="CM78" s="1257">
        <v>27</v>
      </c>
      <c r="CN78" s="899" t="s">
        <v>278</v>
      </c>
      <c r="CO78" s="895"/>
      <c r="CP78" s="903"/>
      <c r="CQ78" s="1257"/>
      <c r="CR78" s="899"/>
    </row>
    <row r="79" spans="1:96">
      <c r="A79" s="1158"/>
      <c r="B79" s="1158"/>
      <c r="C79" s="1158"/>
      <c r="D79" s="1158"/>
      <c r="E79" s="1158"/>
      <c r="F79" s="1158"/>
      <c r="G79" s="1158"/>
      <c r="H79" s="1158"/>
      <c r="I79" s="1158"/>
      <c r="J79" s="1158"/>
      <c r="K79" s="1158"/>
      <c r="L79" s="1158"/>
      <c r="M79" s="1158"/>
      <c r="N79" s="1158"/>
      <c r="O79" s="1158"/>
      <c r="P79" s="1158"/>
      <c r="Q79" s="895">
        <v>39158</v>
      </c>
      <c r="R79" s="903" t="s">
        <v>2962</v>
      </c>
      <c r="S79" s="906">
        <v>17</v>
      </c>
      <c r="T79" s="332"/>
      <c r="AW79" s="357" t="s">
        <v>138</v>
      </c>
      <c r="AX79" s="358"/>
      <c r="AY79" s="359">
        <f>SUM(AY77,AZ77)</f>
        <v>4111</v>
      </c>
      <c r="AZ79" s="360"/>
      <c r="BO79" s="916"/>
      <c r="BP79" s="916"/>
      <c r="BQ79" s="916"/>
      <c r="BR79" s="916"/>
      <c r="BS79" s="916"/>
      <c r="BT79" s="916"/>
      <c r="BU79" s="916"/>
      <c r="BV79" s="916"/>
      <c r="BW79" s="1276"/>
      <c r="BX79" s="916"/>
      <c r="BY79" s="916"/>
      <c r="BZ79" s="916"/>
      <c r="CA79" s="1276"/>
      <c r="CB79" s="916"/>
      <c r="CC79" s="895">
        <v>44649</v>
      </c>
      <c r="CD79" s="903" t="s">
        <v>2963</v>
      </c>
      <c r="CE79" s="1257">
        <v>120</v>
      </c>
      <c r="CF79" s="899" t="s">
        <v>693</v>
      </c>
      <c r="CG79" s="895"/>
      <c r="CH79" s="903"/>
      <c r="CI79" s="1257"/>
      <c r="CJ79" s="899"/>
      <c r="CK79" s="895">
        <v>45374</v>
      </c>
      <c r="CL79" s="903" t="s">
        <v>1577</v>
      </c>
      <c r="CM79" s="1257">
        <v>12</v>
      </c>
      <c r="CN79" s="899" t="s">
        <v>414</v>
      </c>
      <c r="CO79" s="895"/>
      <c r="CP79" s="903"/>
      <c r="CQ79" s="1257"/>
      <c r="CR79" s="899"/>
    </row>
    <row r="80" spans="1:96">
      <c r="A80" s="1158"/>
      <c r="B80" s="1158"/>
      <c r="C80" s="1158"/>
      <c r="D80" s="1158"/>
      <c r="E80" s="1158"/>
      <c r="F80" s="1158"/>
      <c r="G80" s="1158"/>
      <c r="H80" s="1158"/>
      <c r="I80" s="1158"/>
      <c r="J80" s="1158"/>
      <c r="K80" s="1158"/>
      <c r="L80" s="1158"/>
      <c r="M80" s="1158"/>
      <c r="N80" s="1158"/>
      <c r="O80" s="1158"/>
      <c r="P80" s="1158"/>
      <c r="Q80" s="895">
        <v>39158</v>
      </c>
      <c r="R80" s="903" t="s">
        <v>797</v>
      </c>
      <c r="S80" s="906">
        <v>39</v>
      </c>
      <c r="T80" s="332"/>
      <c r="BO80" s="916"/>
      <c r="BP80" s="916"/>
      <c r="BQ80" s="916"/>
      <c r="BR80" s="916"/>
      <c r="BS80" s="916"/>
      <c r="BT80" s="916"/>
      <c r="BU80" s="916"/>
      <c r="BV80" s="916"/>
      <c r="BW80" s="1276"/>
      <c r="BX80" s="916"/>
      <c r="BY80" s="916"/>
      <c r="BZ80" s="916"/>
      <c r="CA80" s="1276"/>
      <c r="CB80" s="916"/>
      <c r="CC80" s="895">
        <v>44650</v>
      </c>
      <c r="CD80" s="903" t="s">
        <v>2964</v>
      </c>
      <c r="CE80" s="1257">
        <v>30</v>
      </c>
      <c r="CF80" s="899" t="s">
        <v>414</v>
      </c>
      <c r="CG80" s="895"/>
      <c r="CH80" s="903"/>
      <c r="CI80" s="1257"/>
      <c r="CJ80" s="899"/>
      <c r="CK80" s="895">
        <v>45374</v>
      </c>
      <c r="CL80" s="903" t="s">
        <v>2965</v>
      </c>
      <c r="CM80" s="1257"/>
      <c r="CN80" s="899" t="s">
        <v>414</v>
      </c>
      <c r="CO80" s="895"/>
      <c r="CP80" s="903"/>
      <c r="CQ80" s="1257"/>
      <c r="CR80" s="899"/>
    </row>
    <row r="81" spans="1:96">
      <c r="A81" s="1158"/>
      <c r="B81" s="1158"/>
      <c r="C81" s="1158"/>
      <c r="D81" s="1158"/>
      <c r="E81" s="1158"/>
      <c r="F81" s="1158"/>
      <c r="G81" s="1158"/>
      <c r="H81" s="1158"/>
      <c r="I81" s="1158"/>
      <c r="J81" s="1158"/>
      <c r="K81" s="1158"/>
      <c r="L81" s="1158"/>
      <c r="M81" s="1158"/>
      <c r="N81" s="1158"/>
      <c r="O81" s="1158"/>
      <c r="P81" s="1158"/>
      <c r="Q81" s="895">
        <v>39160</v>
      </c>
      <c r="R81" s="903" t="s">
        <v>2966</v>
      </c>
      <c r="S81" s="906">
        <v>0</v>
      </c>
      <c r="T81" s="332"/>
      <c r="BO81" s="916"/>
      <c r="BP81" s="916"/>
      <c r="BQ81" s="916"/>
      <c r="BR81" s="916"/>
      <c r="BS81" s="916"/>
      <c r="BT81" s="916"/>
      <c r="BU81" s="916"/>
      <c r="BV81" s="916"/>
      <c r="BW81" s="1276"/>
      <c r="BX81" s="916"/>
      <c r="BY81" s="916"/>
      <c r="BZ81" s="916"/>
      <c r="CA81" s="1276"/>
      <c r="CB81" s="916"/>
      <c r="CC81" s="895">
        <v>44650</v>
      </c>
      <c r="CD81" s="903" t="s">
        <v>1710</v>
      </c>
      <c r="CE81" s="1257">
        <v>27</v>
      </c>
      <c r="CF81" s="899" t="s">
        <v>414</v>
      </c>
      <c r="CG81" s="895"/>
      <c r="CH81" s="903"/>
      <c r="CI81" s="1257"/>
      <c r="CJ81" s="899"/>
      <c r="CK81" s="895">
        <v>45374</v>
      </c>
      <c r="CL81" s="903" t="s">
        <v>2967</v>
      </c>
      <c r="CM81" s="1257">
        <v>24</v>
      </c>
      <c r="CN81" s="899" t="s">
        <v>278</v>
      </c>
      <c r="CO81" s="895"/>
      <c r="CP81" s="903"/>
      <c r="CQ81" s="1257"/>
      <c r="CR81" s="899"/>
    </row>
    <row r="82" spans="1:96">
      <c r="A82" s="1158"/>
      <c r="B82" s="1158"/>
      <c r="C82" s="1158"/>
      <c r="D82" s="1158"/>
      <c r="E82" s="1158"/>
      <c r="F82" s="1158"/>
      <c r="G82" s="1158"/>
      <c r="H82" s="1158"/>
      <c r="I82" s="1158"/>
      <c r="J82" s="1158"/>
      <c r="K82" s="1158"/>
      <c r="L82" s="1158"/>
      <c r="M82" s="1158"/>
      <c r="N82" s="1158"/>
      <c r="O82" s="1158"/>
      <c r="P82" s="1158"/>
      <c r="Q82" s="895">
        <v>39160</v>
      </c>
      <c r="R82" s="903" t="s">
        <v>802</v>
      </c>
      <c r="S82" s="906">
        <v>40</v>
      </c>
      <c r="T82" s="347"/>
      <c r="BO82" s="916"/>
      <c r="BP82" s="916"/>
      <c r="BQ82" s="916"/>
      <c r="BR82" s="916"/>
      <c r="BS82" s="916"/>
      <c r="BT82" s="916"/>
      <c r="BU82" s="916"/>
      <c r="BV82" s="916"/>
      <c r="BW82" s="1276"/>
      <c r="BX82" s="916"/>
      <c r="BY82" s="916"/>
      <c r="BZ82" s="916"/>
      <c r="CA82" s="1276"/>
      <c r="CB82" s="916"/>
      <c r="CC82" s="895">
        <v>44650</v>
      </c>
      <c r="CD82" s="903" t="s">
        <v>2968</v>
      </c>
      <c r="CE82" s="1257">
        <v>23</v>
      </c>
      <c r="CF82" s="899" t="s">
        <v>414</v>
      </c>
      <c r="CG82" s="895"/>
      <c r="CH82" s="903"/>
      <c r="CI82" s="1257"/>
      <c r="CJ82" s="899"/>
      <c r="CK82" s="895">
        <v>45374</v>
      </c>
      <c r="CL82" s="903" t="s">
        <v>759</v>
      </c>
      <c r="CM82" s="1257">
        <v>500</v>
      </c>
      <c r="CN82" s="899" t="s">
        <v>689</v>
      </c>
      <c r="CO82" s="895"/>
      <c r="CP82" s="903"/>
      <c r="CQ82" s="1257"/>
      <c r="CR82" s="899"/>
    </row>
    <row r="83" spans="1:96">
      <c r="A83" s="1158"/>
      <c r="B83" s="1158"/>
      <c r="C83" s="1158"/>
      <c r="D83" s="1158"/>
      <c r="E83" s="1158"/>
      <c r="F83" s="1158"/>
      <c r="G83" s="1158"/>
      <c r="H83" s="1158"/>
      <c r="I83" s="1158"/>
      <c r="J83" s="1158"/>
      <c r="K83" s="1158"/>
      <c r="L83" s="1158"/>
      <c r="M83" s="1158"/>
      <c r="N83" s="1158"/>
      <c r="O83" s="1158"/>
      <c r="P83" s="1158"/>
      <c r="Q83" s="895">
        <v>39161</v>
      </c>
      <c r="R83" s="903" t="s">
        <v>1052</v>
      </c>
      <c r="S83" s="906">
        <v>16</v>
      </c>
      <c r="T83" s="332"/>
      <c r="BO83" s="916"/>
      <c r="BP83" s="916"/>
      <c r="BQ83" s="916"/>
      <c r="BR83" s="916"/>
      <c r="BS83" s="916"/>
      <c r="BT83" s="916"/>
      <c r="BU83" s="916"/>
      <c r="BV83" s="916"/>
      <c r="BW83" s="1276"/>
      <c r="BX83" s="916"/>
      <c r="BY83" s="916"/>
      <c r="BZ83" s="916"/>
      <c r="CA83" s="1276"/>
      <c r="CB83" s="916"/>
      <c r="CC83" s="895">
        <v>44650</v>
      </c>
      <c r="CD83" s="903" t="s">
        <v>2012</v>
      </c>
      <c r="CE83" s="1257">
        <v>24</v>
      </c>
      <c r="CF83" s="899" t="s">
        <v>414</v>
      </c>
      <c r="CG83" s="895"/>
      <c r="CH83" s="903"/>
      <c r="CI83" s="1257"/>
      <c r="CJ83" s="899"/>
      <c r="CK83" s="895">
        <v>45374</v>
      </c>
      <c r="CL83" s="903" t="s">
        <v>2969</v>
      </c>
      <c r="CM83" s="1257">
        <v>1500</v>
      </c>
      <c r="CN83" s="899" t="s">
        <v>689</v>
      </c>
      <c r="CO83" s="895"/>
      <c r="CP83" s="903"/>
      <c r="CQ83" s="1257"/>
      <c r="CR83" s="899"/>
    </row>
    <row r="84" spans="1:96">
      <c r="A84" s="1158"/>
      <c r="B84" s="1158"/>
      <c r="C84" s="1158"/>
      <c r="D84" s="1158"/>
      <c r="E84" s="1158"/>
      <c r="F84" s="1158"/>
      <c r="G84" s="1158"/>
      <c r="H84" s="1158"/>
      <c r="I84" s="1158"/>
      <c r="J84" s="1158"/>
      <c r="K84" s="1158"/>
      <c r="L84" s="1158"/>
      <c r="M84" s="1158"/>
      <c r="N84" s="1158"/>
      <c r="O84" s="1158"/>
      <c r="P84" s="1158"/>
      <c r="Q84" s="895">
        <v>39163</v>
      </c>
      <c r="R84" s="903" t="s">
        <v>2970</v>
      </c>
      <c r="S84" s="906">
        <v>145</v>
      </c>
      <c r="T84" s="332"/>
      <c r="BO84" s="916"/>
      <c r="BP84" s="916"/>
      <c r="BQ84" s="916"/>
      <c r="BR84" s="916"/>
      <c r="BS84" s="916"/>
      <c r="BT84" s="916"/>
      <c r="BU84" s="916"/>
      <c r="BV84" s="916"/>
      <c r="BW84" s="1276"/>
      <c r="BX84" s="916"/>
      <c r="BY84" s="916"/>
      <c r="BZ84" s="916"/>
      <c r="CA84" s="1276"/>
      <c r="CB84" s="916"/>
      <c r="CC84" s="895">
        <v>44650</v>
      </c>
      <c r="CD84" s="903" t="s">
        <v>797</v>
      </c>
      <c r="CE84" s="1257">
        <v>91</v>
      </c>
      <c r="CF84" s="899" t="s">
        <v>410</v>
      </c>
      <c r="CG84" s="895"/>
      <c r="CH84" s="903"/>
      <c r="CI84" s="1257"/>
      <c r="CJ84" s="899"/>
      <c r="CK84" s="895">
        <v>45374</v>
      </c>
      <c r="CL84" s="903" t="s">
        <v>2971</v>
      </c>
      <c r="CM84" s="1257">
        <v>12</v>
      </c>
      <c r="CN84" s="899" t="s">
        <v>280</v>
      </c>
      <c r="CO84" s="895"/>
      <c r="CP84" s="903"/>
      <c r="CQ84" s="1257"/>
      <c r="CR84" s="899"/>
    </row>
    <row r="85" spans="1:96">
      <c r="A85" s="1158"/>
      <c r="B85" s="1158"/>
      <c r="C85" s="1158"/>
      <c r="D85" s="1158"/>
      <c r="E85" s="1158"/>
      <c r="F85" s="1158"/>
      <c r="G85" s="1158"/>
      <c r="H85" s="1158"/>
      <c r="I85" s="1158"/>
      <c r="J85" s="1158"/>
      <c r="K85" s="1158"/>
      <c r="L85" s="1158"/>
      <c r="M85" s="1158"/>
      <c r="N85" s="1158"/>
      <c r="O85" s="1158"/>
      <c r="P85" s="1158"/>
      <c r="Q85" s="895">
        <v>39166</v>
      </c>
      <c r="R85" s="903" t="s">
        <v>2972</v>
      </c>
      <c r="S85" s="906">
        <v>3</v>
      </c>
      <c r="T85" s="332"/>
      <c r="BO85" s="916"/>
      <c r="BP85" s="916"/>
      <c r="BQ85" s="916"/>
      <c r="BR85" s="916"/>
      <c r="BS85" s="916"/>
      <c r="BT85" s="916"/>
      <c r="BU85" s="916"/>
      <c r="BV85" s="916"/>
      <c r="BW85" s="1276"/>
      <c r="BX85" s="916"/>
      <c r="BY85" s="916"/>
      <c r="BZ85" s="916"/>
      <c r="CA85" s="1276"/>
      <c r="CB85" s="916"/>
      <c r="CC85" s="895">
        <v>44650</v>
      </c>
      <c r="CD85" s="903" t="s">
        <v>2973</v>
      </c>
      <c r="CE85" s="1257">
        <v>60</v>
      </c>
      <c r="CF85" s="899"/>
      <c r="CG85" s="895"/>
      <c r="CH85" s="903"/>
      <c r="CI85" s="1257"/>
      <c r="CJ85" s="899"/>
      <c r="CK85" s="895">
        <v>45374</v>
      </c>
      <c r="CL85" s="903" t="s">
        <v>843</v>
      </c>
      <c r="CM85" s="1257">
        <v>37</v>
      </c>
      <c r="CN85" s="899" t="s">
        <v>414</v>
      </c>
      <c r="CO85" s="895"/>
      <c r="CP85" s="903"/>
      <c r="CQ85" s="1257"/>
      <c r="CR85" s="899"/>
    </row>
    <row r="86" spans="1:96">
      <c r="A86" s="1158"/>
      <c r="B86" s="1158"/>
      <c r="C86" s="1158"/>
      <c r="D86" s="1158"/>
      <c r="E86" s="1158"/>
      <c r="F86" s="1158"/>
      <c r="G86" s="1158"/>
      <c r="H86" s="1158"/>
      <c r="I86" s="1158"/>
      <c r="J86" s="1158"/>
      <c r="K86" s="1158"/>
      <c r="L86" s="1158"/>
      <c r="M86" s="1158"/>
      <c r="N86" s="1158"/>
      <c r="O86" s="1158"/>
      <c r="P86" s="1158"/>
      <c r="Q86" s="895">
        <v>39166</v>
      </c>
      <c r="R86" s="903" t="s">
        <v>2974</v>
      </c>
      <c r="S86" s="906">
        <v>40</v>
      </c>
      <c r="T86" s="332"/>
      <c r="CC86" s="870"/>
      <c r="CD86" s="871"/>
      <c r="CE86" s="873"/>
      <c r="CF86" s="872"/>
      <c r="CG86" s="870"/>
      <c r="CH86" s="871"/>
      <c r="CI86" s="873"/>
      <c r="CJ86" s="872"/>
      <c r="CK86" s="895">
        <v>45374</v>
      </c>
      <c r="CL86" s="903" t="s">
        <v>2975</v>
      </c>
      <c r="CM86" s="1257">
        <v>85</v>
      </c>
      <c r="CN86" s="899" t="s">
        <v>689</v>
      </c>
      <c r="CO86" s="895"/>
      <c r="CP86" s="903"/>
      <c r="CQ86" s="1257"/>
      <c r="CR86" s="899"/>
    </row>
    <row r="87" spans="1:96">
      <c r="A87" s="1158"/>
      <c r="B87" s="1158"/>
      <c r="C87" s="1158"/>
      <c r="D87" s="1158"/>
      <c r="E87" s="1158"/>
      <c r="F87" s="1158"/>
      <c r="G87" s="1158"/>
      <c r="H87" s="1158"/>
      <c r="I87" s="1158"/>
      <c r="J87" s="1158"/>
      <c r="K87" s="1158"/>
      <c r="L87" s="1158"/>
      <c r="M87" s="1158"/>
      <c r="N87" s="1158"/>
      <c r="O87" s="1158"/>
      <c r="P87" s="1158"/>
      <c r="Q87" s="895">
        <v>39166</v>
      </c>
      <c r="R87" s="903" t="s">
        <v>767</v>
      </c>
      <c r="S87" s="906">
        <v>42</v>
      </c>
      <c r="T87" s="332"/>
      <c r="CC87" s="870"/>
      <c r="CD87" s="871"/>
      <c r="CE87" s="873"/>
      <c r="CF87" s="872"/>
      <c r="CG87" s="870"/>
      <c r="CH87" s="871"/>
      <c r="CI87" s="873"/>
      <c r="CJ87" s="872"/>
      <c r="CK87" s="895">
        <v>45374</v>
      </c>
      <c r="CL87" s="903" t="s">
        <v>1841</v>
      </c>
      <c r="CM87" s="1257">
        <v>200</v>
      </c>
      <c r="CN87" s="899" t="s">
        <v>689</v>
      </c>
      <c r="CO87" s="895"/>
      <c r="CP87" s="903"/>
      <c r="CQ87" s="1257"/>
      <c r="CR87" s="899"/>
    </row>
    <row r="88" spans="1:96">
      <c r="A88" s="1158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58"/>
      <c r="O88" s="1158"/>
      <c r="P88" s="1158"/>
      <c r="Q88" s="895">
        <v>39166</v>
      </c>
      <c r="R88" s="903" t="s">
        <v>797</v>
      </c>
      <c r="S88" s="906">
        <v>40</v>
      </c>
      <c r="T88" s="332"/>
      <c r="CC88" s="870"/>
      <c r="CD88" s="871"/>
      <c r="CE88" s="873"/>
      <c r="CF88" s="872"/>
      <c r="CG88" s="870"/>
      <c r="CH88" s="871"/>
      <c r="CI88" s="873"/>
      <c r="CJ88" s="872"/>
      <c r="CK88" s="895">
        <v>45374</v>
      </c>
      <c r="CL88" s="903" t="s">
        <v>1180</v>
      </c>
      <c r="CM88" s="1257">
        <v>110</v>
      </c>
      <c r="CN88" s="899" t="s">
        <v>410</v>
      </c>
      <c r="CO88" s="895"/>
      <c r="CP88" s="903"/>
      <c r="CQ88" s="1257"/>
      <c r="CR88" s="899"/>
    </row>
    <row r="89" spans="1:96">
      <c r="A89" s="1158"/>
      <c r="B89" s="1158"/>
      <c r="C89" s="1158"/>
      <c r="D89" s="1158"/>
      <c r="E89" s="1158"/>
      <c r="F89" s="1158"/>
      <c r="G89" s="1158"/>
      <c r="H89" s="1158"/>
      <c r="I89" s="1158"/>
      <c r="J89" s="1158"/>
      <c r="K89" s="1158"/>
      <c r="L89" s="1158"/>
      <c r="M89" s="1158"/>
      <c r="N89" s="1158"/>
      <c r="O89" s="1158"/>
      <c r="P89" s="1158"/>
      <c r="Q89" s="895">
        <v>39168</v>
      </c>
      <c r="R89" s="903" t="s">
        <v>802</v>
      </c>
      <c r="S89" s="906">
        <v>34</v>
      </c>
      <c r="T89" s="332"/>
      <c r="CC89" s="870"/>
      <c r="CD89" s="871"/>
      <c r="CE89" s="873"/>
      <c r="CF89" s="872"/>
      <c r="CG89" s="870"/>
      <c r="CH89" s="871"/>
      <c r="CI89" s="873"/>
      <c r="CJ89" s="872"/>
      <c r="CK89" s="895">
        <v>45374</v>
      </c>
      <c r="CL89" s="903" t="s">
        <v>797</v>
      </c>
      <c r="CM89" s="1257">
        <v>57</v>
      </c>
      <c r="CN89" s="899" t="s">
        <v>410</v>
      </c>
      <c r="CO89" s="895"/>
      <c r="CP89" s="903"/>
      <c r="CQ89" s="1257"/>
      <c r="CR89" s="899"/>
    </row>
    <row r="90" spans="1:96">
      <c r="A90" s="1158"/>
      <c r="B90" s="1158"/>
      <c r="C90" s="1158"/>
      <c r="D90" s="1158"/>
      <c r="E90" s="1158"/>
      <c r="F90" s="1158"/>
      <c r="G90" s="1158"/>
      <c r="H90" s="1158"/>
      <c r="I90" s="1158"/>
      <c r="J90" s="1158"/>
      <c r="K90" s="1158"/>
      <c r="L90" s="1158"/>
      <c r="M90" s="1158"/>
      <c r="N90" s="1158"/>
      <c r="O90" s="1158"/>
      <c r="P90" s="1158"/>
      <c r="Q90" s="895">
        <v>39172</v>
      </c>
      <c r="R90" s="903" t="s">
        <v>767</v>
      </c>
      <c r="S90" s="906">
        <v>45</v>
      </c>
      <c r="T90" s="332"/>
      <c r="CC90" s="870"/>
      <c r="CD90" s="874"/>
      <c r="CE90" s="873"/>
      <c r="CF90" s="872"/>
      <c r="CG90" s="870"/>
      <c r="CH90" s="874"/>
      <c r="CI90" s="873"/>
      <c r="CJ90" s="872"/>
      <c r="CK90" s="895">
        <v>45374</v>
      </c>
      <c r="CL90" s="903" t="s">
        <v>2976</v>
      </c>
      <c r="CM90" s="1257">
        <v>19</v>
      </c>
      <c r="CN90" s="899" t="s">
        <v>414</v>
      </c>
      <c r="CO90" s="895"/>
      <c r="CP90" s="903"/>
      <c r="CQ90" s="1257"/>
      <c r="CR90" s="899"/>
    </row>
    <row r="91" spans="1:96">
      <c r="A91" s="1158"/>
      <c r="B91" s="1158"/>
      <c r="C91" s="1158"/>
      <c r="D91" s="1158"/>
      <c r="E91" s="1158"/>
      <c r="F91" s="1158"/>
      <c r="G91" s="1158"/>
      <c r="H91" s="1158"/>
      <c r="I91" s="1158"/>
      <c r="J91" s="1158"/>
      <c r="K91" s="1158"/>
      <c r="L91" s="1158"/>
      <c r="M91" s="1158"/>
      <c r="N91" s="1158"/>
      <c r="O91" s="1158"/>
      <c r="P91" s="1158"/>
      <c r="Q91" s="895">
        <v>39172</v>
      </c>
      <c r="R91" s="903" t="s">
        <v>797</v>
      </c>
      <c r="S91" s="906">
        <v>36</v>
      </c>
      <c r="T91" s="332"/>
      <c r="CC91" s="876" t="s">
        <v>477</v>
      </c>
      <c r="CD91" s="877"/>
      <c r="CE91" s="878">
        <f>SUM(CE5:CE90)</f>
        <v>12380</v>
      </c>
      <c r="CF91" s="875">
        <f>SUM(CF5:CF90)</f>
        <v>0</v>
      </c>
      <c r="CG91" s="876" t="s">
        <v>477</v>
      </c>
      <c r="CH91" s="877"/>
      <c r="CI91" s="878">
        <f>SUM(CI5:CI90)</f>
        <v>3194</v>
      </c>
      <c r="CJ91" s="875">
        <f>SUM(CJ5:CJ90)</f>
        <v>0</v>
      </c>
      <c r="CK91" s="895">
        <v>45375</v>
      </c>
      <c r="CL91" s="903" t="s">
        <v>2977</v>
      </c>
      <c r="CM91" s="1257">
        <v>12</v>
      </c>
      <c r="CN91" s="899" t="s">
        <v>414</v>
      </c>
      <c r="CO91" s="895"/>
      <c r="CP91" s="903"/>
      <c r="CQ91" s="1257"/>
      <c r="CR91" s="899"/>
    </row>
    <row r="92" spans="1:96">
      <c r="Q92" s="329"/>
      <c r="R92" s="336"/>
      <c r="S92" s="341"/>
      <c r="T92" s="332"/>
      <c r="CC92" s="880" t="s">
        <v>1672</v>
      </c>
      <c r="CD92" s="879"/>
      <c r="CE92" s="881"/>
      <c r="CF92" s="879"/>
      <c r="CG92" s="880" t="s">
        <v>1672</v>
      </c>
      <c r="CH92" s="879"/>
      <c r="CI92" s="881"/>
      <c r="CJ92" s="879"/>
      <c r="CK92" s="895">
        <v>45375</v>
      </c>
      <c r="CL92" s="903" t="s">
        <v>2978</v>
      </c>
      <c r="CM92" s="1257">
        <v>10</v>
      </c>
      <c r="CN92" s="899" t="s">
        <v>414</v>
      </c>
      <c r="CO92" s="895"/>
      <c r="CP92" s="903"/>
      <c r="CQ92" s="1257"/>
      <c r="CR92" s="899"/>
    </row>
    <row r="93" spans="1:96">
      <c r="Q93" s="329"/>
      <c r="R93" s="336"/>
      <c r="S93" s="341"/>
      <c r="T93" s="332"/>
      <c r="CC93" s="883" t="s">
        <v>138</v>
      </c>
      <c r="CD93" s="884"/>
      <c r="CE93" s="885">
        <f>SUM(CE91,CF92)</f>
        <v>12380</v>
      </c>
      <c r="CF93" s="882"/>
      <c r="CG93" s="883" t="s">
        <v>138</v>
      </c>
      <c r="CH93" s="884"/>
      <c r="CI93" s="885">
        <f>SUM(CI91,CJ92)</f>
        <v>3194</v>
      </c>
      <c r="CJ93" s="882"/>
      <c r="CK93" s="895">
        <v>45380</v>
      </c>
      <c r="CL93" s="903" t="s">
        <v>845</v>
      </c>
      <c r="CM93" s="1257">
        <v>27</v>
      </c>
      <c r="CN93" s="899" t="s">
        <v>414</v>
      </c>
      <c r="CO93" s="895"/>
      <c r="CP93" s="903"/>
      <c r="CQ93" s="1257"/>
      <c r="CR93" s="899"/>
    </row>
    <row r="94" spans="1:96">
      <c r="Q94" s="329"/>
      <c r="R94" s="336"/>
      <c r="S94" s="341"/>
      <c r="T94" s="332"/>
      <c r="CK94" s="895">
        <v>45380</v>
      </c>
      <c r="CL94" s="903" t="s">
        <v>2979</v>
      </c>
      <c r="CM94" s="1257">
        <v>133</v>
      </c>
      <c r="CN94" s="899" t="s">
        <v>712</v>
      </c>
      <c r="CO94" s="895"/>
      <c r="CP94" s="903"/>
      <c r="CQ94" s="1257"/>
      <c r="CR94" s="899"/>
    </row>
    <row r="95" spans="1:96">
      <c r="Q95" s="329"/>
      <c r="R95" s="336"/>
      <c r="S95" s="341"/>
      <c r="T95" s="332"/>
      <c r="CK95" s="895">
        <v>45381</v>
      </c>
      <c r="CL95" s="903" t="s">
        <v>2980</v>
      </c>
      <c r="CM95" s="1257">
        <v>155</v>
      </c>
      <c r="CN95" s="899" t="s">
        <v>280</v>
      </c>
      <c r="CO95" s="895"/>
      <c r="CP95" s="903"/>
      <c r="CQ95" s="1257"/>
      <c r="CR95" s="899"/>
    </row>
    <row r="96" spans="1:96">
      <c r="Q96" s="361"/>
      <c r="R96" s="362"/>
      <c r="S96" s="375"/>
      <c r="T96" s="376"/>
      <c r="CK96" s="895">
        <v>45381</v>
      </c>
      <c r="CL96" s="903" t="s">
        <v>2981</v>
      </c>
      <c r="CM96" s="1257">
        <v>29</v>
      </c>
      <c r="CN96" s="899" t="s">
        <v>700</v>
      </c>
      <c r="CO96" s="895"/>
      <c r="CP96" s="903"/>
      <c r="CQ96" s="1257"/>
      <c r="CR96" s="899"/>
    </row>
    <row r="97" spans="17:96">
      <c r="Q97" s="377" t="s">
        <v>477</v>
      </c>
      <c r="R97" s="378"/>
      <c r="S97" s="350">
        <f>SUM(S5:S96)</f>
        <v>6653</v>
      </c>
      <c r="T97" s="350">
        <f>SUM(T5:T96)</f>
        <v>0</v>
      </c>
      <c r="CK97" s="895">
        <v>45381</v>
      </c>
      <c r="CL97" s="903" t="s">
        <v>2982</v>
      </c>
      <c r="CM97" s="1257">
        <v>12</v>
      </c>
      <c r="CN97" s="899" t="s">
        <v>414</v>
      </c>
      <c r="CO97" s="895"/>
      <c r="CP97" s="903"/>
      <c r="CQ97" s="1257"/>
      <c r="CR97" s="899"/>
    </row>
    <row r="98" spans="17:96">
      <c r="Q98" s="352" t="s">
        <v>1672</v>
      </c>
      <c r="R98" s="353"/>
      <c r="S98" s="354"/>
      <c r="T98" s="355"/>
      <c r="CK98" s="895">
        <v>45381</v>
      </c>
      <c r="CL98" s="903" t="s">
        <v>2983</v>
      </c>
      <c r="CM98" s="1257">
        <v>100</v>
      </c>
      <c r="CN98" s="899" t="s">
        <v>426</v>
      </c>
      <c r="CO98" s="895"/>
      <c r="CP98" s="903"/>
      <c r="CQ98" s="1257"/>
      <c r="CR98" s="899"/>
    </row>
    <row r="99" spans="17:96">
      <c r="Q99" s="357" t="s">
        <v>138</v>
      </c>
      <c r="R99" s="358"/>
      <c r="S99" s="359">
        <f>SUM(S97,T97)</f>
        <v>6653</v>
      </c>
      <c r="T99" s="360"/>
      <c r="CK99" s="895">
        <v>45381</v>
      </c>
      <c r="CL99" s="903" t="s">
        <v>2984</v>
      </c>
      <c r="CM99" s="1257">
        <v>250</v>
      </c>
      <c r="CN99" s="899" t="s">
        <v>689</v>
      </c>
      <c r="CO99" s="895"/>
      <c r="CP99" s="903"/>
      <c r="CQ99" s="1257"/>
      <c r="CR99" s="899"/>
    </row>
    <row r="100" spans="17:96">
      <c r="CK100" s="895">
        <v>45381</v>
      </c>
      <c r="CL100" s="903" t="s">
        <v>2985</v>
      </c>
      <c r="CM100" s="1257">
        <v>11</v>
      </c>
      <c r="CN100" s="899" t="s">
        <v>278</v>
      </c>
      <c r="CO100" s="895"/>
      <c r="CP100" s="903"/>
      <c r="CQ100" s="1257"/>
      <c r="CR100" s="899"/>
    </row>
    <row r="101" spans="17:96">
      <c r="CK101" s="895">
        <v>45381</v>
      </c>
      <c r="CL101" s="903" t="s">
        <v>797</v>
      </c>
      <c r="CM101" s="1257">
        <v>100</v>
      </c>
      <c r="CN101" s="899" t="s">
        <v>410</v>
      </c>
      <c r="CO101" s="895"/>
      <c r="CP101" s="903"/>
      <c r="CQ101" s="1257"/>
      <c r="CR101" s="899"/>
    </row>
    <row r="102" spans="17:96">
      <c r="CK102" s="895">
        <v>45381</v>
      </c>
      <c r="CL102" s="903" t="s">
        <v>948</v>
      </c>
      <c r="CM102" s="1257">
        <v>20</v>
      </c>
      <c r="CN102" s="899" t="s">
        <v>414</v>
      </c>
      <c r="CO102" s="895"/>
      <c r="CP102" s="903"/>
      <c r="CQ102" s="1257"/>
      <c r="CR102" s="899"/>
    </row>
    <row r="103" spans="17:96">
      <c r="CK103" s="895">
        <v>45381</v>
      </c>
      <c r="CL103" s="903" t="s">
        <v>772</v>
      </c>
      <c r="CM103" s="1257">
        <v>35</v>
      </c>
      <c r="CN103" s="899" t="s">
        <v>414</v>
      </c>
      <c r="CO103" s="895"/>
      <c r="CP103" s="903"/>
      <c r="CQ103" s="1257"/>
      <c r="CR103" s="899"/>
    </row>
    <row r="104" spans="17:96">
      <c r="CK104" s="895">
        <v>45382</v>
      </c>
      <c r="CL104" s="903" t="s">
        <v>2965</v>
      </c>
      <c r="CM104" s="1257">
        <v>57</v>
      </c>
      <c r="CN104" s="899" t="s">
        <v>414</v>
      </c>
      <c r="CO104" s="895"/>
      <c r="CP104" s="903"/>
      <c r="CQ104" s="1257"/>
      <c r="CR104" s="899"/>
    </row>
    <row r="105" spans="17:96">
      <c r="CK105" s="895"/>
      <c r="CL105" s="1738" t="s">
        <v>1689</v>
      </c>
      <c r="CM105" s="1839">
        <v>100</v>
      </c>
      <c r="CN105" s="1787" t="s">
        <v>674</v>
      </c>
      <c r="CO105" s="895"/>
      <c r="CP105" s="1738"/>
      <c r="CQ105" s="1839"/>
      <c r="CR105" s="1787"/>
    </row>
    <row r="106" spans="17:96">
      <c r="CK106" s="870"/>
      <c r="CL106" s="874"/>
      <c r="CM106" s="873"/>
      <c r="CN106" s="872"/>
      <c r="CO106" s="870"/>
      <c r="CP106" s="874"/>
      <c r="CQ106" s="873"/>
      <c r="CR106" s="872"/>
    </row>
    <row r="107" spans="17:96">
      <c r="CK107" s="876" t="s">
        <v>477</v>
      </c>
      <c r="CL107" s="877"/>
      <c r="CM107" s="878">
        <f>SUM(CM5:CM106)</f>
        <v>21807</v>
      </c>
      <c r="CN107" s="875">
        <f>SUM(CN5:CN106)</f>
        <v>0</v>
      </c>
      <c r="CO107" s="876" t="s">
        <v>477</v>
      </c>
      <c r="CP107" s="877"/>
      <c r="CQ107" s="878">
        <f>SUM(CQ5:CQ106)</f>
        <v>4654</v>
      </c>
      <c r="CR107" s="875">
        <f>SUM(CR5:CR106)</f>
        <v>0</v>
      </c>
    </row>
    <row r="108" spans="17:96">
      <c r="CK108" s="880" t="s">
        <v>1672</v>
      </c>
      <c r="CL108" s="879"/>
      <c r="CM108" s="881"/>
      <c r="CN108" s="879"/>
      <c r="CO108" s="880" t="s">
        <v>1672</v>
      </c>
      <c r="CP108" s="879"/>
      <c r="CQ108" s="881"/>
      <c r="CR108" s="879"/>
    </row>
    <row r="109" spans="17:96">
      <c r="CK109" s="883" t="s">
        <v>138</v>
      </c>
      <c r="CL109" s="884"/>
      <c r="CM109" s="885">
        <f>SUM(CM107,CN108)</f>
        <v>21807</v>
      </c>
      <c r="CN109" s="882"/>
      <c r="CO109" s="883" t="s">
        <v>138</v>
      </c>
      <c r="CP109" s="884"/>
      <c r="CQ109" s="885">
        <f>SUM(CQ107,CR108)</f>
        <v>4654</v>
      </c>
      <c r="CR109" s="882"/>
    </row>
    <row r="110" spans="17:96">
      <c r="CM110" s="467"/>
      <c r="CQ110" s="467"/>
    </row>
    <row r="111" spans="17:96">
      <c r="CM111" s="467"/>
      <c r="CQ111" s="467"/>
    </row>
    <row r="112" spans="17:96">
      <c r="CM112" s="467"/>
      <c r="CQ112" s="467"/>
    </row>
  </sheetData>
  <phoneticPr fontId="4" type="noConversion"/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Monthly!$V$556:$V$584</xm:f>
          </x14:formula1>
          <xm:sqref>BT6:BT62 BX5:BX62 CB5:CB65 CF5:CF90 CJ5:CJ90 CN5:CN106 CR5:CR106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tabColor indexed="61"/>
  </sheetPr>
  <dimension ref="A1:CS1048576"/>
  <sheetViews>
    <sheetView topLeftCell="CJ164" zoomScale="208" zoomScaleNormal="208" zoomScalePageLayoutView="90" workbookViewId="0">
      <selection activeCell="CR214" sqref="CR214"/>
    </sheetView>
  </sheetViews>
  <sheetFormatPr defaultColWidth="8.85546875" defaultRowHeight="13.5" customHeight="1"/>
  <cols>
    <col min="1" max="1" width="8.85546875" style="374"/>
    <col min="2" max="2" width="32.5703125" style="374" customWidth="1"/>
    <col min="3" max="4" width="12.140625" style="374" customWidth="1"/>
    <col min="5" max="5" width="12" style="374" customWidth="1"/>
    <col min="6" max="6" width="35.140625" style="374" customWidth="1"/>
    <col min="7" max="7" width="14.42578125" style="374" customWidth="1"/>
    <col min="8" max="9" width="8.85546875" style="374"/>
    <col min="10" max="10" width="27.85546875" style="374" customWidth="1"/>
    <col min="11" max="11" width="11.7109375" style="374" customWidth="1"/>
    <col min="12" max="13" width="8.85546875" style="374"/>
    <col min="14" max="14" width="39" style="374" customWidth="1"/>
    <col min="15" max="15" width="11.85546875" style="374" customWidth="1"/>
    <col min="16" max="16" width="13.42578125" style="374" customWidth="1"/>
    <col min="17" max="17" width="8.85546875" style="374"/>
    <col min="18" max="18" width="45.140625" style="374" customWidth="1"/>
    <col min="19" max="21" width="8.85546875" style="374"/>
    <col min="22" max="22" width="40.42578125" style="374" customWidth="1"/>
    <col min="23" max="23" width="11.140625" style="374" customWidth="1"/>
    <col min="24" max="24" width="12.28515625" style="374" customWidth="1"/>
    <col min="25" max="25" width="8.85546875" style="374"/>
    <col min="26" max="26" width="49.42578125" style="374" customWidth="1"/>
    <col min="27" max="27" width="12" style="374" customWidth="1"/>
    <col min="28" max="28" width="8.85546875" style="374"/>
    <col min="29" max="29" width="9.7109375" style="374" customWidth="1"/>
    <col min="30" max="30" width="41.7109375" style="374" customWidth="1"/>
    <col min="31" max="31" width="12.28515625" style="374" customWidth="1"/>
    <col min="32" max="32" width="12.85546875" style="374" customWidth="1"/>
    <col min="33" max="33" width="8.85546875" style="374"/>
    <col min="34" max="34" width="36.85546875" style="374" customWidth="1"/>
    <col min="35" max="35" width="11.140625" style="374" customWidth="1"/>
    <col min="36" max="37" width="8.85546875" style="374"/>
    <col min="38" max="38" width="53.85546875" style="374" customWidth="1"/>
    <col min="39" max="39" width="11.28515625" style="374" customWidth="1"/>
    <col min="40" max="41" width="8.85546875" style="374"/>
    <col min="42" max="42" width="46.85546875" style="374" customWidth="1"/>
    <col min="43" max="43" width="10.7109375" style="374" customWidth="1"/>
    <col min="44" max="45" width="8.85546875" style="374"/>
    <col min="46" max="46" width="65.28515625" style="374" customWidth="1"/>
    <col min="47" max="47" width="10.28515625" style="374" bestFit="1" customWidth="1"/>
    <col min="48" max="48" width="9.28515625" style="374" bestFit="1" customWidth="1"/>
    <col min="49" max="49" width="8.85546875" style="374"/>
    <col min="50" max="50" width="66" style="374" customWidth="1"/>
    <col min="51" max="51" width="9.7109375" style="374" bestFit="1" customWidth="1"/>
    <col min="52" max="53" width="8.85546875" style="374"/>
    <col min="54" max="54" width="66" style="374" customWidth="1"/>
    <col min="55" max="55" width="9.7109375" style="374" bestFit="1" customWidth="1"/>
    <col min="56" max="57" width="8.85546875" style="374"/>
    <col min="58" max="58" width="66" style="374" customWidth="1"/>
    <col min="59" max="59" width="9.7109375" style="374" bestFit="1" customWidth="1"/>
    <col min="60" max="61" width="8.85546875" style="374"/>
    <col min="62" max="62" width="66" style="374" customWidth="1"/>
    <col min="63" max="63" width="9.7109375" style="374" bestFit="1" customWidth="1"/>
    <col min="64" max="64" width="8.85546875" style="374"/>
    <col min="65" max="65" width="0" style="374" hidden="1" customWidth="1"/>
    <col min="66" max="66" width="66" style="374" hidden="1" customWidth="1"/>
    <col min="67" max="67" width="9.7109375" style="374" hidden="1" customWidth="1"/>
    <col min="68" max="68" width="0" style="374" hidden="1" customWidth="1"/>
    <col min="69" max="69" width="9" style="374" bestFit="1" customWidth="1"/>
    <col min="70" max="70" width="66" style="374" customWidth="1"/>
    <col min="71" max="71" width="10.28515625" style="374" bestFit="1" customWidth="1"/>
    <col min="72" max="72" width="13.85546875" style="374" customWidth="1"/>
    <col min="73" max="73" width="9" style="374" bestFit="1" customWidth="1"/>
    <col min="74" max="74" width="66" style="374" customWidth="1"/>
    <col min="75" max="75" width="9.85546875" style="374" bestFit="1" customWidth="1"/>
    <col min="76" max="76" width="13.85546875" style="374" customWidth="1"/>
    <col min="77" max="77" width="9" style="374" bestFit="1" customWidth="1"/>
    <col min="78" max="78" width="66" style="374" customWidth="1"/>
    <col min="79" max="79" width="9.85546875" style="374" bestFit="1" customWidth="1"/>
    <col min="80" max="80" width="13.85546875" style="374" customWidth="1"/>
    <col min="81" max="81" width="9" style="374" bestFit="1" customWidth="1"/>
    <col min="82" max="82" width="66" style="374" customWidth="1"/>
    <col min="83" max="83" width="12.7109375" style="374" customWidth="1"/>
    <col min="84" max="84" width="13.85546875" style="374" customWidth="1"/>
    <col min="85" max="85" width="9" style="374" bestFit="1" customWidth="1"/>
    <col min="86" max="86" width="66" style="374" customWidth="1"/>
    <col min="87" max="87" width="12.7109375" style="374" customWidth="1"/>
    <col min="88" max="88" width="13.85546875" style="374" customWidth="1"/>
    <col min="89" max="89" width="8.85546875" style="374"/>
    <col min="90" max="90" width="60.5703125" style="374" customWidth="1"/>
    <col min="91" max="91" width="13" style="374" customWidth="1"/>
    <col min="92" max="92" width="12.85546875" style="374" customWidth="1"/>
    <col min="93" max="93" width="9.140625" style="374" bestFit="1" customWidth="1"/>
    <col min="94" max="94" width="56.28515625" style="374" customWidth="1"/>
    <col min="95" max="95" width="15.7109375" style="374" customWidth="1"/>
    <col min="96" max="96" width="10.140625" style="374" customWidth="1"/>
    <col min="97" max="97" width="9.140625" style="374" bestFit="1" customWidth="1"/>
    <col min="98" max="16384" width="8.85546875" style="374"/>
  </cols>
  <sheetData>
    <row r="1" spans="1:97">
      <c r="A1" s="380"/>
      <c r="B1" s="381" t="s">
        <v>2986</v>
      </c>
      <c r="C1" s="382"/>
      <c r="D1" s="383"/>
      <c r="E1" s="380"/>
      <c r="F1" s="381" t="s">
        <v>2987</v>
      </c>
      <c r="G1" s="382"/>
      <c r="H1" s="383"/>
      <c r="I1" s="380"/>
      <c r="J1" s="381" t="s">
        <v>2988</v>
      </c>
      <c r="K1" s="382"/>
      <c r="L1" s="383"/>
      <c r="M1" s="380"/>
      <c r="N1" s="381" t="s">
        <v>2989</v>
      </c>
      <c r="O1" s="382"/>
      <c r="P1" s="383"/>
      <c r="Q1" s="380"/>
      <c r="R1" s="381" t="s">
        <v>2990</v>
      </c>
      <c r="S1" s="382"/>
      <c r="T1" s="383"/>
      <c r="U1" s="380"/>
      <c r="V1" s="381" t="s">
        <v>2991</v>
      </c>
      <c r="W1" s="382"/>
      <c r="X1" s="383"/>
      <c r="Y1" s="380"/>
      <c r="Z1" s="381" t="s">
        <v>2992</v>
      </c>
      <c r="AA1" s="382"/>
      <c r="AB1" s="383"/>
      <c r="AC1" s="380"/>
      <c r="AD1" s="381" t="s">
        <v>2993</v>
      </c>
      <c r="AE1" s="382"/>
      <c r="AF1" s="383"/>
      <c r="AG1" s="380"/>
      <c r="AH1" s="381" t="s">
        <v>2994</v>
      </c>
      <c r="AI1" s="382"/>
      <c r="AJ1" s="383"/>
      <c r="AK1" s="380"/>
      <c r="AL1" s="381" t="s">
        <v>2995</v>
      </c>
      <c r="AM1" s="382"/>
      <c r="AN1" s="383"/>
      <c r="AO1" s="380"/>
      <c r="AP1" s="381" t="s">
        <v>2996</v>
      </c>
      <c r="AQ1" s="382"/>
      <c r="AR1" s="383"/>
      <c r="AS1" s="380"/>
      <c r="AT1" s="381" t="s">
        <v>2997</v>
      </c>
      <c r="AU1" s="382"/>
      <c r="AV1" s="383"/>
      <c r="AW1" s="380"/>
      <c r="AX1" s="381" t="s">
        <v>2998</v>
      </c>
      <c r="AY1" s="382"/>
      <c r="AZ1" s="383"/>
      <c r="BA1" s="380"/>
      <c r="BB1" s="381" t="s">
        <v>2999</v>
      </c>
      <c r="BC1" s="382"/>
      <c r="BD1" s="383"/>
      <c r="BE1" s="380"/>
      <c r="BF1" s="381" t="s">
        <v>3000</v>
      </c>
      <c r="BG1" s="382"/>
      <c r="BH1" s="383"/>
      <c r="BI1" s="380"/>
      <c r="BJ1" s="384" t="s">
        <v>3001</v>
      </c>
      <c r="BK1" s="382"/>
      <c r="BL1" s="383"/>
      <c r="BM1" s="380"/>
      <c r="BN1" s="384"/>
      <c r="BO1" s="382"/>
      <c r="BP1" s="383"/>
      <c r="BQ1" s="380"/>
      <c r="BR1" s="384" t="s">
        <v>3002</v>
      </c>
      <c r="BS1" s="382"/>
      <c r="BT1" s="383"/>
      <c r="BU1" s="380"/>
      <c r="BV1" s="384" t="s">
        <v>3003</v>
      </c>
      <c r="BW1" s="382"/>
      <c r="BX1" s="383"/>
      <c r="BY1" s="380"/>
      <c r="BZ1" s="384" t="s">
        <v>3004</v>
      </c>
      <c r="CA1" s="382"/>
      <c r="CB1" s="383"/>
      <c r="CC1" s="380"/>
      <c r="CD1" s="384" t="s">
        <v>3005</v>
      </c>
      <c r="CE1" s="382"/>
      <c r="CF1" s="383"/>
      <c r="CG1" s="380"/>
      <c r="CH1" s="384" t="s">
        <v>3006</v>
      </c>
      <c r="CI1" s="382"/>
      <c r="CJ1" s="383"/>
      <c r="CK1" s="380"/>
      <c r="CL1" s="384" t="s">
        <v>3007</v>
      </c>
      <c r="CM1" s="382"/>
      <c r="CN1" s="2078"/>
      <c r="CO1" s="2071"/>
      <c r="CP1" s="2072" t="s">
        <v>3007</v>
      </c>
      <c r="CQ1" s="2073"/>
      <c r="CR1" s="2074"/>
    </row>
    <row r="2" spans="1:97">
      <c r="A2" s="313" t="s">
        <v>1796</v>
      </c>
      <c r="B2" s="314" t="s">
        <v>138</v>
      </c>
      <c r="C2" s="315" t="s">
        <v>3008</v>
      </c>
      <c r="D2" s="316" t="s">
        <v>3009</v>
      </c>
      <c r="E2" s="313" t="s">
        <v>1796</v>
      </c>
      <c r="F2" s="314" t="s">
        <v>138</v>
      </c>
      <c r="G2" s="315" t="s">
        <v>3008</v>
      </c>
      <c r="H2" s="316" t="s">
        <v>3009</v>
      </c>
      <c r="I2" s="313" t="s">
        <v>1796</v>
      </c>
      <c r="J2" s="314" t="s">
        <v>138</v>
      </c>
      <c r="K2" s="315" t="s">
        <v>3008</v>
      </c>
      <c r="L2" s="316" t="s">
        <v>3009</v>
      </c>
      <c r="M2" s="313" t="s">
        <v>1796</v>
      </c>
      <c r="N2" s="314" t="s">
        <v>138</v>
      </c>
      <c r="O2" s="315" t="s">
        <v>3008</v>
      </c>
      <c r="P2" s="316" t="s">
        <v>3009</v>
      </c>
      <c r="Q2" s="313" t="s">
        <v>1796</v>
      </c>
      <c r="R2" s="314" t="s">
        <v>138</v>
      </c>
      <c r="S2" s="315" t="s">
        <v>3008</v>
      </c>
      <c r="T2" s="316" t="s">
        <v>3009</v>
      </c>
      <c r="U2" s="313" t="s">
        <v>1796</v>
      </c>
      <c r="V2" s="314" t="s">
        <v>138</v>
      </c>
      <c r="W2" s="315" t="s">
        <v>3008</v>
      </c>
      <c r="X2" s="316" t="s">
        <v>3009</v>
      </c>
      <c r="Y2" s="313" t="s">
        <v>1796</v>
      </c>
      <c r="Z2" s="314" t="s">
        <v>138</v>
      </c>
      <c r="AA2" s="315" t="s">
        <v>3008</v>
      </c>
      <c r="AB2" s="316" t="s">
        <v>3009</v>
      </c>
      <c r="AC2" s="313" t="s">
        <v>1796</v>
      </c>
      <c r="AD2" s="314" t="s">
        <v>138</v>
      </c>
      <c r="AE2" s="315" t="s">
        <v>3008</v>
      </c>
      <c r="AF2" s="316" t="s">
        <v>3009</v>
      </c>
      <c r="AG2" s="313" t="s">
        <v>1796</v>
      </c>
      <c r="AH2" s="314" t="s">
        <v>138</v>
      </c>
      <c r="AI2" s="315" t="s">
        <v>3008</v>
      </c>
      <c r="AJ2" s="316" t="s">
        <v>3009</v>
      </c>
      <c r="AK2" s="313" t="s">
        <v>1796</v>
      </c>
      <c r="AL2" s="314" t="s">
        <v>138</v>
      </c>
      <c r="AM2" s="315" t="s">
        <v>3008</v>
      </c>
      <c r="AN2" s="316" t="s">
        <v>3009</v>
      </c>
      <c r="AO2" s="313" t="s">
        <v>1796</v>
      </c>
      <c r="AP2" s="314" t="s">
        <v>138</v>
      </c>
      <c r="AQ2" s="315" t="s">
        <v>3008</v>
      </c>
      <c r="AR2" s="316" t="s">
        <v>3009</v>
      </c>
      <c r="AS2" s="313" t="s">
        <v>1796</v>
      </c>
      <c r="AT2" s="314" t="s">
        <v>138</v>
      </c>
      <c r="AU2" s="315" t="s">
        <v>3008</v>
      </c>
      <c r="AV2" s="316" t="s">
        <v>3009</v>
      </c>
      <c r="AW2" s="313" t="s">
        <v>1796</v>
      </c>
      <c r="AX2" s="314" t="s">
        <v>138</v>
      </c>
      <c r="AY2" s="315" t="s">
        <v>3008</v>
      </c>
      <c r="AZ2" s="316" t="s">
        <v>3009</v>
      </c>
      <c r="BA2" s="313" t="s">
        <v>1796</v>
      </c>
      <c r="BB2" s="314" t="s">
        <v>138</v>
      </c>
      <c r="BC2" s="315" t="s">
        <v>3008</v>
      </c>
      <c r="BD2" s="316" t="s">
        <v>3009</v>
      </c>
      <c r="BE2" s="313" t="s">
        <v>1796</v>
      </c>
      <c r="BF2" s="314" t="s">
        <v>138</v>
      </c>
      <c r="BG2" s="315" t="s">
        <v>3008</v>
      </c>
      <c r="BH2" s="316" t="s">
        <v>3009</v>
      </c>
      <c r="BI2" s="370" t="s">
        <v>1796</v>
      </c>
      <c r="BJ2" s="314" t="s">
        <v>138</v>
      </c>
      <c r="BK2" s="315" t="s">
        <v>3008</v>
      </c>
      <c r="BL2" s="316" t="s">
        <v>742</v>
      </c>
      <c r="BM2" s="370"/>
      <c r="BN2" s="314"/>
      <c r="BO2" s="315"/>
      <c r="BP2" s="316"/>
      <c r="BQ2" s="370" t="s">
        <v>1796</v>
      </c>
      <c r="BR2" s="314" t="s">
        <v>138</v>
      </c>
      <c r="BS2" s="315" t="s">
        <v>3008</v>
      </c>
      <c r="BT2" s="316" t="s">
        <v>3009</v>
      </c>
      <c r="BU2" s="370" t="s">
        <v>1796</v>
      </c>
      <c r="BV2" s="314" t="s">
        <v>138</v>
      </c>
      <c r="BW2" s="315" t="s">
        <v>3008</v>
      </c>
      <c r="BX2" s="316" t="s">
        <v>3009</v>
      </c>
      <c r="BY2" s="370" t="s">
        <v>1796</v>
      </c>
      <c r="BZ2" s="314" t="s">
        <v>138</v>
      </c>
      <c r="CA2" s="315" t="s">
        <v>3008</v>
      </c>
      <c r="CB2" s="316" t="s">
        <v>3009</v>
      </c>
      <c r="CC2" s="370" t="s">
        <v>1796</v>
      </c>
      <c r="CD2" s="314" t="s">
        <v>138</v>
      </c>
      <c r="CE2" s="315" t="s">
        <v>3008</v>
      </c>
      <c r="CF2" s="316" t="s">
        <v>3009</v>
      </c>
      <c r="CG2" s="370" t="s">
        <v>1796</v>
      </c>
      <c r="CH2" s="314" t="s">
        <v>138</v>
      </c>
      <c r="CI2" s="315" t="s">
        <v>3008</v>
      </c>
      <c r="CJ2" s="316" t="s">
        <v>3009</v>
      </c>
      <c r="CK2" s="370" t="s">
        <v>1796</v>
      </c>
      <c r="CL2" s="314" t="s">
        <v>138</v>
      </c>
      <c r="CM2" s="315" t="s">
        <v>3008</v>
      </c>
      <c r="CN2" s="317" t="s">
        <v>3009</v>
      </c>
      <c r="CO2" s="1579" t="s">
        <v>1796</v>
      </c>
      <c r="CP2" s="314" t="s">
        <v>138</v>
      </c>
      <c r="CQ2" s="315" t="s">
        <v>3008</v>
      </c>
      <c r="CR2" s="1580" t="s">
        <v>3009</v>
      </c>
    </row>
    <row r="3" spans="1:97">
      <c r="A3" s="385"/>
      <c r="B3" s="386"/>
      <c r="C3" s="387"/>
      <c r="D3" s="388"/>
      <c r="E3" s="385"/>
      <c r="F3" s="386"/>
      <c r="G3" s="387"/>
      <c r="H3" s="388"/>
      <c r="I3" s="385"/>
      <c r="J3" s="386"/>
      <c r="K3" s="387"/>
      <c r="L3" s="388"/>
      <c r="M3" s="385"/>
      <c r="N3" s="386"/>
      <c r="O3" s="387"/>
      <c r="P3" s="388"/>
      <c r="Q3" s="385"/>
      <c r="R3" s="386"/>
      <c r="S3" s="387"/>
      <c r="T3" s="388"/>
      <c r="U3" s="385"/>
      <c r="V3" s="386"/>
      <c r="W3" s="387"/>
      <c r="X3" s="388"/>
      <c r="Y3" s="385"/>
      <c r="Z3" s="386"/>
      <c r="AA3" s="387"/>
      <c r="AB3" s="388"/>
      <c r="AC3" s="385"/>
      <c r="AD3" s="386"/>
      <c r="AE3" s="387"/>
      <c r="AF3" s="388"/>
      <c r="AG3" s="385"/>
      <c r="AH3" s="386"/>
      <c r="AI3" s="387"/>
      <c r="AJ3" s="388"/>
      <c r="AK3" s="385"/>
      <c r="AL3" s="386"/>
      <c r="AM3" s="387"/>
      <c r="AN3" s="388"/>
      <c r="AO3" s="385"/>
      <c r="AP3" s="386"/>
      <c r="AQ3" s="387"/>
      <c r="AR3" s="388"/>
      <c r="AS3" s="385"/>
      <c r="AT3" s="386"/>
      <c r="AU3" s="387"/>
      <c r="AV3" s="388"/>
      <c r="AW3" s="385"/>
      <c r="AX3" s="386"/>
      <c r="AY3" s="387"/>
      <c r="AZ3" s="389"/>
      <c r="BA3" s="385"/>
      <c r="BB3" s="386"/>
      <c r="BC3" s="387"/>
      <c r="BD3" s="389"/>
      <c r="BE3" s="385"/>
      <c r="BF3" s="386"/>
      <c r="BG3" s="387"/>
      <c r="BH3" s="389"/>
      <c r="BI3" s="390"/>
      <c r="BJ3" s="386"/>
      <c r="BK3" s="387"/>
      <c r="BL3" s="389"/>
      <c r="BM3" s="390"/>
      <c r="BN3" s="386"/>
      <c r="BO3" s="387"/>
      <c r="BP3" s="389"/>
      <c r="BQ3" s="390"/>
      <c r="BR3" s="386"/>
      <c r="BS3" s="387"/>
      <c r="BT3" s="389"/>
      <c r="BU3" s="390"/>
      <c r="BV3" s="386"/>
      <c r="BW3" s="387"/>
      <c r="BX3" s="389"/>
      <c r="BY3" s="390"/>
      <c r="BZ3" s="386"/>
      <c r="CA3" s="387"/>
      <c r="CB3" s="389"/>
      <c r="CC3" s="390"/>
      <c r="CD3" s="386"/>
      <c r="CE3" s="387"/>
      <c r="CF3" s="389"/>
      <c r="CG3" s="390"/>
      <c r="CH3" s="386"/>
      <c r="CI3" s="387"/>
      <c r="CJ3" s="389"/>
      <c r="CK3" s="390"/>
      <c r="CL3" s="386"/>
      <c r="CM3" s="387"/>
      <c r="CN3" s="2079"/>
      <c r="CO3" s="2075"/>
      <c r="CP3" s="386"/>
      <c r="CQ3" s="315"/>
      <c r="CR3" s="2076"/>
    </row>
    <row r="4" spans="1:97">
      <c r="A4" s="329"/>
      <c r="B4" s="391"/>
      <c r="C4" s="337"/>
      <c r="D4" s="332"/>
      <c r="E4" s="329"/>
      <c r="F4" s="391"/>
      <c r="G4" s="337"/>
      <c r="H4" s="332"/>
      <c r="I4" s="329"/>
      <c r="J4" s="391"/>
      <c r="K4" s="337"/>
      <c r="L4" s="332"/>
      <c r="M4" s="329"/>
      <c r="N4" s="391"/>
      <c r="O4" s="337"/>
      <c r="P4" s="332"/>
      <c r="Q4" s="329"/>
      <c r="R4" s="391"/>
      <c r="S4" s="337"/>
      <c r="T4" s="332"/>
      <c r="U4" s="329"/>
      <c r="V4" s="391"/>
      <c r="W4" s="337"/>
      <c r="X4" s="332"/>
      <c r="Y4" s="329"/>
      <c r="Z4" s="391"/>
      <c r="AA4" s="337"/>
      <c r="AB4" s="332"/>
      <c r="AC4" s="329"/>
      <c r="AD4" s="391"/>
      <c r="AE4" s="337"/>
      <c r="AF4" s="332"/>
      <c r="AG4" s="329"/>
      <c r="AH4" s="391"/>
      <c r="AI4" s="337"/>
      <c r="AJ4" s="332"/>
      <c r="AK4" s="329"/>
      <c r="AL4" s="391"/>
      <c r="AM4" s="337"/>
      <c r="AN4" s="332"/>
      <c r="AO4" s="329"/>
      <c r="AP4" s="391"/>
      <c r="AQ4" s="337"/>
      <c r="AR4" s="332"/>
      <c r="AS4" s="329"/>
      <c r="AT4" s="391"/>
      <c r="AU4" s="337"/>
      <c r="AV4" s="332"/>
      <c r="AW4" s="329"/>
      <c r="AX4" s="391"/>
      <c r="AY4" s="337"/>
      <c r="AZ4" s="332"/>
      <c r="BA4" s="329"/>
      <c r="BB4" s="391"/>
      <c r="BC4" s="337"/>
      <c r="BD4" s="332"/>
      <c r="BE4" s="329"/>
      <c r="BF4" s="391"/>
      <c r="BG4" s="337"/>
      <c r="BH4" s="332"/>
      <c r="BI4" s="329"/>
      <c r="BJ4" s="391"/>
      <c r="BK4" s="341"/>
      <c r="BL4" s="332"/>
      <c r="BM4" s="329"/>
      <c r="BN4" s="391"/>
      <c r="BO4" s="341"/>
      <c r="BP4" s="332"/>
      <c r="BQ4" s="895">
        <v>43556</v>
      </c>
      <c r="BR4" s="896" t="s">
        <v>759</v>
      </c>
      <c r="BS4" s="897">
        <v>295</v>
      </c>
      <c r="BT4" s="898" t="s">
        <v>689</v>
      </c>
      <c r="BU4" s="895">
        <v>43556</v>
      </c>
      <c r="BV4" s="896" t="s">
        <v>759</v>
      </c>
      <c r="BW4" s="897">
        <v>295</v>
      </c>
      <c r="BX4" s="898" t="s">
        <v>689</v>
      </c>
      <c r="BY4" s="895">
        <v>43556</v>
      </c>
      <c r="BZ4" s="896" t="s">
        <v>759</v>
      </c>
      <c r="CA4" s="897">
        <v>0</v>
      </c>
      <c r="CB4" s="899" t="s">
        <v>689</v>
      </c>
      <c r="CC4" s="895">
        <v>44652</v>
      </c>
      <c r="CD4" s="896" t="s">
        <v>1808</v>
      </c>
      <c r="CE4" s="900">
        <v>0</v>
      </c>
      <c r="CF4" s="899" t="s">
        <v>689</v>
      </c>
      <c r="CG4" s="895">
        <v>44652</v>
      </c>
      <c r="CH4" s="896" t="s">
        <v>1808</v>
      </c>
      <c r="CI4" s="900">
        <v>0</v>
      </c>
      <c r="CJ4" s="899" t="s">
        <v>689</v>
      </c>
      <c r="CK4" s="895">
        <v>44652</v>
      </c>
      <c r="CL4" s="1554" t="s">
        <v>760</v>
      </c>
      <c r="CM4" s="1555">
        <v>30</v>
      </c>
      <c r="CN4" s="2080" t="s">
        <v>689</v>
      </c>
      <c r="CO4" s="2077">
        <v>44652</v>
      </c>
      <c r="CP4" s="2085" t="s">
        <v>760</v>
      </c>
      <c r="CQ4" s="2082">
        <v>30</v>
      </c>
      <c r="CR4" s="2066" t="s">
        <v>689</v>
      </c>
      <c r="CS4" s="2068"/>
    </row>
    <row r="5" spans="1:97">
      <c r="A5" s="329">
        <v>37712</v>
      </c>
      <c r="B5" s="336" t="s">
        <v>556</v>
      </c>
      <c r="C5" s="337">
        <v>1075</v>
      </c>
      <c r="D5" s="332"/>
      <c r="E5" s="329">
        <v>37712</v>
      </c>
      <c r="F5" s="336" t="s">
        <v>556</v>
      </c>
      <c r="G5" s="337">
        <v>1075</v>
      </c>
      <c r="H5" s="332"/>
      <c r="I5" s="329">
        <v>37712</v>
      </c>
      <c r="J5" s="336" t="s">
        <v>3010</v>
      </c>
      <c r="K5" s="337">
        <v>20</v>
      </c>
      <c r="L5" s="332"/>
      <c r="M5" s="329">
        <v>38808</v>
      </c>
      <c r="N5" s="336" t="s">
        <v>3011</v>
      </c>
      <c r="O5" s="337">
        <v>11</v>
      </c>
      <c r="P5" s="332"/>
      <c r="Q5" s="329">
        <v>39173</v>
      </c>
      <c r="R5" s="336" t="s">
        <v>3012</v>
      </c>
      <c r="S5" s="337">
        <v>41</v>
      </c>
      <c r="T5" s="332"/>
      <c r="U5" s="329">
        <v>39542</v>
      </c>
      <c r="V5" s="336" t="s">
        <v>3013</v>
      </c>
      <c r="W5" s="337">
        <v>10</v>
      </c>
      <c r="X5" s="332"/>
      <c r="Y5" s="329">
        <v>39906</v>
      </c>
      <c r="Z5" s="336" t="s">
        <v>3014</v>
      </c>
      <c r="AA5" s="337">
        <v>24</v>
      </c>
      <c r="AB5" s="332"/>
      <c r="AC5" s="329">
        <v>40269</v>
      </c>
      <c r="AD5" s="336" t="s">
        <v>3015</v>
      </c>
      <c r="AE5" s="337">
        <v>540</v>
      </c>
      <c r="AF5" s="332"/>
      <c r="AG5" s="329">
        <v>40635</v>
      </c>
      <c r="AH5" s="336" t="s">
        <v>3016</v>
      </c>
      <c r="AI5" s="337"/>
      <c r="AJ5" s="332"/>
      <c r="AK5" s="329">
        <v>41000</v>
      </c>
      <c r="AL5" s="336" t="s">
        <v>754</v>
      </c>
      <c r="AM5" s="337">
        <v>126</v>
      </c>
      <c r="AN5" s="332"/>
      <c r="AO5" s="329">
        <v>41366</v>
      </c>
      <c r="AP5" s="336" t="s">
        <v>797</v>
      </c>
      <c r="AQ5" s="337">
        <v>63</v>
      </c>
      <c r="AR5" s="332"/>
      <c r="AS5" s="329">
        <v>41730</v>
      </c>
      <c r="AT5" s="336" t="s">
        <v>3017</v>
      </c>
      <c r="AU5" s="337">
        <v>130</v>
      </c>
      <c r="AV5" s="332"/>
      <c r="AW5" s="329">
        <v>42095</v>
      </c>
      <c r="AX5" s="336" t="s">
        <v>3018</v>
      </c>
      <c r="AY5" s="337">
        <v>50</v>
      </c>
      <c r="AZ5" s="332"/>
      <c r="BA5" s="329">
        <v>42461</v>
      </c>
      <c r="BB5" s="339" t="s">
        <v>3019</v>
      </c>
      <c r="BC5" s="337">
        <v>104</v>
      </c>
      <c r="BD5" s="332"/>
      <c r="BE5" s="329">
        <v>42826</v>
      </c>
      <c r="BF5" s="339" t="s">
        <v>872</v>
      </c>
      <c r="BG5" s="337">
        <v>30</v>
      </c>
      <c r="BH5" s="332"/>
      <c r="BI5" s="329">
        <v>43191</v>
      </c>
      <c r="BJ5" s="336" t="s">
        <v>3020</v>
      </c>
      <c r="BK5" s="341">
        <v>475</v>
      </c>
      <c r="BL5" s="332"/>
      <c r="BM5" s="329"/>
      <c r="BN5" s="336"/>
      <c r="BO5" s="341"/>
      <c r="BP5" s="332"/>
      <c r="BQ5" s="895">
        <v>43556</v>
      </c>
      <c r="BR5" s="901" t="s">
        <v>1807</v>
      </c>
      <c r="BS5" s="902">
        <v>1495</v>
      </c>
      <c r="BT5" s="899" t="s">
        <v>706</v>
      </c>
      <c r="BU5" s="895">
        <v>43556</v>
      </c>
      <c r="BV5" s="901" t="s">
        <v>1807</v>
      </c>
      <c r="BW5" s="902">
        <v>0</v>
      </c>
      <c r="BX5" s="899" t="s">
        <v>706</v>
      </c>
      <c r="BY5" s="895">
        <v>43556</v>
      </c>
      <c r="BZ5" s="903" t="s">
        <v>777</v>
      </c>
      <c r="CA5" s="904">
        <v>306</v>
      </c>
      <c r="CB5" s="899" t="s">
        <v>689</v>
      </c>
      <c r="CC5" s="895">
        <v>44652</v>
      </c>
      <c r="CD5" s="903" t="s">
        <v>3021</v>
      </c>
      <c r="CE5" s="905">
        <v>632</v>
      </c>
      <c r="CF5" s="899" t="s">
        <v>689</v>
      </c>
      <c r="CG5" s="895">
        <v>44652</v>
      </c>
      <c r="CH5" s="903" t="s">
        <v>3021</v>
      </c>
      <c r="CI5" s="905">
        <v>0</v>
      </c>
      <c r="CJ5" s="899" t="s">
        <v>689</v>
      </c>
      <c r="CK5" s="895">
        <v>44652</v>
      </c>
      <c r="CL5" s="1554" t="s">
        <v>1817</v>
      </c>
      <c r="CM5" s="1557">
        <v>0</v>
      </c>
      <c r="CN5" s="2080" t="s">
        <v>689</v>
      </c>
      <c r="CO5" s="2077">
        <v>44652</v>
      </c>
      <c r="CP5" s="2085" t="s">
        <v>3022</v>
      </c>
      <c r="CQ5" s="2083">
        <v>1100</v>
      </c>
      <c r="CR5" s="2066" t="s">
        <v>689</v>
      </c>
      <c r="CS5" s="2068"/>
    </row>
    <row r="6" spans="1:97">
      <c r="A6" s="329">
        <v>37712</v>
      </c>
      <c r="B6" s="336" t="s">
        <v>276</v>
      </c>
      <c r="C6" s="337">
        <v>521</v>
      </c>
      <c r="D6" s="332">
        <v>486</v>
      </c>
      <c r="E6" s="329">
        <v>37712</v>
      </c>
      <c r="F6" s="336" t="s">
        <v>276</v>
      </c>
      <c r="G6" s="337">
        <v>0</v>
      </c>
      <c r="H6" s="332">
        <v>0</v>
      </c>
      <c r="I6" s="329">
        <v>38444</v>
      </c>
      <c r="J6" s="336" t="s">
        <v>3023</v>
      </c>
      <c r="K6" s="337">
        <v>15</v>
      </c>
      <c r="L6" s="332"/>
      <c r="M6" s="329">
        <v>38809</v>
      </c>
      <c r="N6" s="336" t="s">
        <v>3024</v>
      </c>
      <c r="O6" s="337">
        <v>3</v>
      </c>
      <c r="P6" s="332"/>
      <c r="Q6" s="329">
        <v>39177</v>
      </c>
      <c r="R6" s="336" t="s">
        <v>3025</v>
      </c>
      <c r="S6" s="337">
        <v>248</v>
      </c>
      <c r="T6" s="332"/>
      <c r="U6" s="329">
        <v>39542</v>
      </c>
      <c r="V6" s="336" t="s">
        <v>3026</v>
      </c>
      <c r="W6" s="337">
        <v>20</v>
      </c>
      <c r="X6" s="332"/>
      <c r="Y6" s="329">
        <v>39906</v>
      </c>
      <c r="Z6" s="336" t="s">
        <v>3027</v>
      </c>
      <c r="AA6" s="337">
        <v>24</v>
      </c>
      <c r="AB6" s="332"/>
      <c r="AC6" s="329">
        <v>40269</v>
      </c>
      <c r="AD6" s="336" t="s">
        <v>3028</v>
      </c>
      <c r="AE6" s="337">
        <v>400</v>
      </c>
      <c r="AF6" s="332"/>
      <c r="AG6" s="329">
        <v>40635</v>
      </c>
      <c r="AH6" s="336" t="s">
        <v>3029</v>
      </c>
      <c r="AI6" s="337">
        <v>9</v>
      </c>
      <c r="AJ6" s="332"/>
      <c r="AK6" s="329">
        <v>41000</v>
      </c>
      <c r="AL6" s="336" t="s">
        <v>772</v>
      </c>
      <c r="AM6" s="337">
        <v>54</v>
      </c>
      <c r="AN6" s="332"/>
      <c r="AO6" s="329">
        <v>41367</v>
      </c>
      <c r="AP6" s="336" t="s">
        <v>2386</v>
      </c>
      <c r="AQ6" s="337">
        <v>15</v>
      </c>
      <c r="AR6" s="332"/>
      <c r="AS6" s="329">
        <v>41730</v>
      </c>
      <c r="AT6" s="336" t="s">
        <v>3030</v>
      </c>
      <c r="AU6" s="337">
        <v>0</v>
      </c>
      <c r="AV6" s="332"/>
      <c r="AW6" s="329">
        <v>42096</v>
      </c>
      <c r="AX6" s="336" t="s">
        <v>855</v>
      </c>
      <c r="AY6" s="337">
        <v>7</v>
      </c>
      <c r="AZ6" s="332"/>
      <c r="BA6" s="329">
        <v>42461</v>
      </c>
      <c r="BB6" s="339" t="s">
        <v>925</v>
      </c>
      <c r="BC6" s="337">
        <v>4</v>
      </c>
      <c r="BD6" s="332"/>
      <c r="BE6" s="329">
        <v>42826</v>
      </c>
      <c r="BF6" s="336" t="s">
        <v>823</v>
      </c>
      <c r="BG6" s="337">
        <v>15</v>
      </c>
      <c r="BH6" s="332"/>
      <c r="BI6" s="329">
        <v>43191</v>
      </c>
      <c r="BJ6" s="336" t="s">
        <v>3031</v>
      </c>
      <c r="BK6" s="341">
        <v>25</v>
      </c>
      <c r="BL6" s="332"/>
      <c r="BM6" s="329"/>
      <c r="BN6" s="336"/>
      <c r="BO6" s="341"/>
      <c r="BP6" s="332"/>
      <c r="BQ6" s="895">
        <v>43556</v>
      </c>
      <c r="BR6" s="903" t="s">
        <v>3032</v>
      </c>
      <c r="BS6" s="906">
        <f>SUM(BS46:BS62)</f>
        <v>496</v>
      </c>
      <c r="BT6" s="899" t="s">
        <v>244</v>
      </c>
      <c r="BU6" s="895">
        <v>43922</v>
      </c>
      <c r="BV6" s="903" t="s">
        <v>777</v>
      </c>
      <c r="BW6" s="906">
        <v>288</v>
      </c>
      <c r="BX6" s="899" t="s">
        <v>689</v>
      </c>
      <c r="BY6" s="895">
        <v>43556</v>
      </c>
      <c r="BZ6" s="903" t="s">
        <v>792</v>
      </c>
      <c r="CA6" s="904">
        <v>30</v>
      </c>
      <c r="CB6" s="899" t="s">
        <v>689</v>
      </c>
      <c r="CC6" s="895">
        <v>44652</v>
      </c>
      <c r="CD6" s="903" t="s">
        <v>792</v>
      </c>
      <c r="CE6" s="907">
        <v>0</v>
      </c>
      <c r="CF6" s="899" t="s">
        <v>689</v>
      </c>
      <c r="CG6" s="895">
        <v>44652</v>
      </c>
      <c r="CH6" s="903" t="s">
        <v>792</v>
      </c>
      <c r="CI6" s="907">
        <v>0</v>
      </c>
      <c r="CJ6" s="899" t="s">
        <v>689</v>
      </c>
      <c r="CK6" s="895">
        <v>44652</v>
      </c>
      <c r="CL6" s="1554" t="s">
        <v>794</v>
      </c>
      <c r="CM6" s="1557">
        <v>299</v>
      </c>
      <c r="CN6" s="2080" t="s">
        <v>689</v>
      </c>
      <c r="CO6" s="2077">
        <v>44652</v>
      </c>
      <c r="CP6" s="2085" t="s">
        <v>794</v>
      </c>
      <c r="CQ6" s="2083">
        <v>299</v>
      </c>
      <c r="CR6" s="2066" t="s">
        <v>689</v>
      </c>
      <c r="CS6" s="2068"/>
    </row>
    <row r="7" spans="1:97">
      <c r="A7" s="329">
        <v>37712</v>
      </c>
      <c r="B7" s="336" t="s">
        <v>400</v>
      </c>
      <c r="C7" s="337">
        <v>0</v>
      </c>
      <c r="D7" s="332">
        <v>200</v>
      </c>
      <c r="E7" s="329">
        <v>37712</v>
      </c>
      <c r="F7" s="336" t="s">
        <v>400</v>
      </c>
      <c r="G7" s="337">
        <v>0</v>
      </c>
      <c r="H7" s="332">
        <v>200</v>
      </c>
      <c r="I7" s="329">
        <v>38444</v>
      </c>
      <c r="J7" s="336" t="s">
        <v>867</v>
      </c>
      <c r="K7" s="337">
        <v>11</v>
      </c>
      <c r="L7" s="332"/>
      <c r="M7" s="329">
        <v>38810</v>
      </c>
      <c r="N7" s="336" t="s">
        <v>797</v>
      </c>
      <c r="O7" s="337">
        <v>43</v>
      </c>
      <c r="P7" s="332"/>
      <c r="Q7" s="329">
        <v>39177</v>
      </c>
      <c r="R7" s="336" t="s">
        <v>3033</v>
      </c>
      <c r="S7" s="337">
        <v>16</v>
      </c>
      <c r="T7" s="332"/>
      <c r="U7" s="329">
        <v>39542</v>
      </c>
      <c r="V7" s="336" t="s">
        <v>802</v>
      </c>
      <c r="W7" s="337">
        <v>12</v>
      </c>
      <c r="X7" s="332"/>
      <c r="Y7" s="329">
        <v>39906</v>
      </c>
      <c r="Z7" s="336" t="s">
        <v>797</v>
      </c>
      <c r="AA7" s="337">
        <v>35</v>
      </c>
      <c r="AB7" s="332"/>
      <c r="AC7" s="329">
        <v>40269</v>
      </c>
      <c r="AD7" s="336" t="s">
        <v>3034</v>
      </c>
      <c r="AE7" s="337">
        <v>219</v>
      </c>
      <c r="AF7" s="332"/>
      <c r="AG7" s="329">
        <v>40635</v>
      </c>
      <c r="AH7" s="336" t="s">
        <v>937</v>
      </c>
      <c r="AI7" s="337">
        <v>65</v>
      </c>
      <c r="AJ7" s="332"/>
      <c r="AK7" s="329">
        <v>41000</v>
      </c>
      <c r="AL7" s="336" t="s">
        <v>797</v>
      </c>
      <c r="AM7" s="337">
        <v>75</v>
      </c>
      <c r="AN7" s="332"/>
      <c r="AO7" s="329">
        <v>41367</v>
      </c>
      <c r="AP7" s="336" t="s">
        <v>787</v>
      </c>
      <c r="AQ7" s="337">
        <v>26</v>
      </c>
      <c r="AR7" s="332"/>
      <c r="AS7" s="329">
        <v>41730</v>
      </c>
      <c r="AT7" s="336" t="s">
        <v>3035</v>
      </c>
      <c r="AU7" s="337">
        <v>310</v>
      </c>
      <c r="AV7" s="332"/>
      <c r="AW7" s="329">
        <v>42096</v>
      </c>
      <c r="AX7" s="336" t="s">
        <v>3036</v>
      </c>
      <c r="AY7" s="337">
        <v>60</v>
      </c>
      <c r="AZ7" s="332"/>
      <c r="BA7" s="329">
        <v>42462</v>
      </c>
      <c r="BB7" s="336" t="s">
        <v>754</v>
      </c>
      <c r="BC7" s="337">
        <v>78</v>
      </c>
      <c r="BD7" s="332"/>
      <c r="BE7" s="329">
        <v>42826</v>
      </c>
      <c r="BF7" s="336" t="s">
        <v>772</v>
      </c>
      <c r="BG7" s="337">
        <v>70</v>
      </c>
      <c r="BH7" s="332"/>
      <c r="BI7" s="329">
        <v>43191</v>
      </c>
      <c r="BJ7" s="336" t="s">
        <v>3037</v>
      </c>
      <c r="BK7" s="341">
        <v>125</v>
      </c>
      <c r="BL7" s="332"/>
      <c r="BM7" s="329"/>
      <c r="BN7" s="336"/>
      <c r="BO7" s="341"/>
      <c r="BP7" s="332"/>
      <c r="BQ7" s="895">
        <v>43556</v>
      </c>
      <c r="BR7" s="903" t="s">
        <v>3038</v>
      </c>
      <c r="BS7" s="906">
        <v>2652</v>
      </c>
      <c r="BT7" s="899" t="s">
        <v>381</v>
      </c>
      <c r="BU7" s="895">
        <v>43924</v>
      </c>
      <c r="BV7" s="903" t="s">
        <v>873</v>
      </c>
      <c r="BW7" s="906">
        <v>114</v>
      </c>
      <c r="BX7" s="899" t="s">
        <v>414</v>
      </c>
      <c r="BY7" s="895">
        <v>43556</v>
      </c>
      <c r="BZ7" s="903" t="s">
        <v>3039</v>
      </c>
      <c r="CA7" s="904">
        <f>219 + 179 + 55</f>
        <v>453</v>
      </c>
      <c r="CB7" s="899" t="s">
        <v>689</v>
      </c>
      <c r="CC7" s="895">
        <v>44652</v>
      </c>
      <c r="CD7" s="903" t="s">
        <v>3039</v>
      </c>
      <c r="CE7" s="907">
        <f>219 + 179</f>
        <v>398</v>
      </c>
      <c r="CF7" s="899" t="s">
        <v>689</v>
      </c>
      <c r="CG7" s="895">
        <v>44652</v>
      </c>
      <c r="CH7" s="903" t="s">
        <v>3039</v>
      </c>
      <c r="CI7" s="907">
        <v>0</v>
      </c>
      <c r="CJ7" s="899" t="s">
        <v>689</v>
      </c>
      <c r="CK7" s="895">
        <v>44652</v>
      </c>
      <c r="CL7" s="1554" t="s">
        <v>3040</v>
      </c>
      <c r="CM7" s="1557">
        <v>600</v>
      </c>
      <c r="CN7" s="2080" t="s">
        <v>689</v>
      </c>
      <c r="CO7" s="2077">
        <v>44652</v>
      </c>
      <c r="CP7" s="2085" t="s">
        <v>3040</v>
      </c>
      <c r="CQ7" s="2083">
        <v>600</v>
      </c>
      <c r="CR7" s="2066" t="s">
        <v>689</v>
      </c>
      <c r="CS7" s="2068"/>
    </row>
    <row r="8" spans="1:97">
      <c r="A8" s="329">
        <v>37712</v>
      </c>
      <c r="B8" s="336" t="s">
        <v>413</v>
      </c>
      <c r="C8" s="341">
        <v>25</v>
      </c>
      <c r="D8" s="342">
        <v>25</v>
      </c>
      <c r="E8" s="329">
        <v>37712</v>
      </c>
      <c r="F8" s="336" t="s">
        <v>413</v>
      </c>
      <c r="G8" s="341">
        <v>25</v>
      </c>
      <c r="H8" s="342">
        <v>25</v>
      </c>
      <c r="I8" s="329">
        <v>38444</v>
      </c>
      <c r="J8" s="336" t="s">
        <v>797</v>
      </c>
      <c r="K8" s="341">
        <v>33</v>
      </c>
      <c r="L8" s="342"/>
      <c r="M8" s="329">
        <v>38811</v>
      </c>
      <c r="N8" s="336" t="s">
        <v>3041</v>
      </c>
      <c r="O8" s="341">
        <v>3</v>
      </c>
      <c r="P8" s="342"/>
      <c r="Q8" s="329">
        <v>39178</v>
      </c>
      <c r="R8" s="336" t="s">
        <v>1810</v>
      </c>
      <c r="S8" s="341">
        <v>20</v>
      </c>
      <c r="T8" s="342"/>
      <c r="U8" s="329">
        <v>39543</v>
      </c>
      <c r="V8" s="336" t="s">
        <v>3042</v>
      </c>
      <c r="W8" s="341">
        <v>7</v>
      </c>
      <c r="X8" s="342"/>
      <c r="Y8" s="329">
        <v>39907</v>
      </c>
      <c r="Z8" s="336" t="s">
        <v>746</v>
      </c>
      <c r="AA8" s="337">
        <v>3</v>
      </c>
      <c r="AB8" s="332"/>
      <c r="AC8" s="329">
        <v>40270</v>
      </c>
      <c r="AD8" s="336" t="s">
        <v>797</v>
      </c>
      <c r="AE8" s="337">
        <v>47</v>
      </c>
      <c r="AF8" s="332"/>
      <c r="AG8" s="329">
        <v>40636</v>
      </c>
      <c r="AH8" s="336" t="s">
        <v>772</v>
      </c>
      <c r="AI8" s="337">
        <v>21</v>
      </c>
      <c r="AJ8" s="332"/>
      <c r="AK8" s="329">
        <v>41005</v>
      </c>
      <c r="AL8" s="336" t="s">
        <v>802</v>
      </c>
      <c r="AM8" s="337">
        <v>50</v>
      </c>
      <c r="AN8" s="332"/>
      <c r="AO8" s="329">
        <v>41368</v>
      </c>
      <c r="AP8" s="336" t="s">
        <v>3043</v>
      </c>
      <c r="AQ8" s="337">
        <v>14</v>
      </c>
      <c r="AR8" s="332"/>
      <c r="AS8" s="329">
        <v>41730</v>
      </c>
      <c r="AT8" s="336" t="s">
        <v>3044</v>
      </c>
      <c r="AU8" s="337">
        <v>3500</v>
      </c>
      <c r="AV8" s="332"/>
      <c r="AW8" s="329">
        <v>42096</v>
      </c>
      <c r="AX8" s="336" t="s">
        <v>797</v>
      </c>
      <c r="AY8" s="337">
        <v>36</v>
      </c>
      <c r="AZ8" s="332"/>
      <c r="BA8" s="329">
        <v>42462</v>
      </c>
      <c r="BB8" s="336" t="s">
        <v>954</v>
      </c>
      <c r="BC8" s="337">
        <v>22</v>
      </c>
      <c r="BD8" s="332"/>
      <c r="BE8" s="329">
        <v>42827</v>
      </c>
      <c r="BF8" s="336" t="s">
        <v>859</v>
      </c>
      <c r="BG8" s="337">
        <v>8</v>
      </c>
      <c r="BH8" s="332"/>
      <c r="BI8" s="329">
        <v>43191</v>
      </c>
      <c r="BJ8" s="336" t="s">
        <v>873</v>
      </c>
      <c r="BK8" s="341">
        <v>47</v>
      </c>
      <c r="BL8" s="332"/>
      <c r="BM8" s="329"/>
      <c r="BN8" s="336"/>
      <c r="BO8" s="341"/>
      <c r="BP8" s="332"/>
      <c r="BQ8" s="895">
        <v>43556</v>
      </c>
      <c r="BR8" s="903" t="s">
        <v>3045</v>
      </c>
      <c r="BS8" s="906"/>
      <c r="BT8" s="899" t="s">
        <v>381</v>
      </c>
      <c r="BU8" s="895">
        <v>43924</v>
      </c>
      <c r="BV8" s="903" t="s">
        <v>3046</v>
      </c>
      <c r="BW8" s="906">
        <v>80</v>
      </c>
      <c r="BX8" s="899" t="s">
        <v>414</v>
      </c>
      <c r="BY8" s="895">
        <v>44289</v>
      </c>
      <c r="BZ8" s="903" t="s">
        <v>845</v>
      </c>
      <c r="CA8" s="908">
        <v>65</v>
      </c>
      <c r="CB8" s="899" t="s">
        <v>414</v>
      </c>
      <c r="CC8" s="895">
        <v>44652</v>
      </c>
      <c r="CD8" s="903" t="s">
        <v>2392</v>
      </c>
      <c r="CE8" s="905">
        <v>300</v>
      </c>
      <c r="CF8" s="899" t="s">
        <v>689</v>
      </c>
      <c r="CG8" s="895">
        <v>44652</v>
      </c>
      <c r="CH8" s="903" t="s">
        <v>2392</v>
      </c>
      <c r="CI8" s="905">
        <v>300</v>
      </c>
      <c r="CJ8" s="899" t="s">
        <v>689</v>
      </c>
      <c r="CK8" s="895">
        <v>44652</v>
      </c>
      <c r="CL8" s="1554" t="s">
        <v>759</v>
      </c>
      <c r="CM8" s="1557">
        <v>800</v>
      </c>
      <c r="CN8" s="2080" t="s">
        <v>689</v>
      </c>
      <c r="CO8" s="2077">
        <v>44652</v>
      </c>
      <c r="CP8" s="2085" t="s">
        <v>759</v>
      </c>
      <c r="CQ8" s="2083">
        <v>800</v>
      </c>
      <c r="CR8" s="2066" t="s">
        <v>689</v>
      </c>
      <c r="CS8" s="2068"/>
    </row>
    <row r="9" spans="1:97">
      <c r="A9" s="329">
        <v>37712</v>
      </c>
      <c r="B9" s="339" t="s">
        <v>811</v>
      </c>
      <c r="C9" s="337"/>
      <c r="D9" s="332">
        <v>100</v>
      </c>
      <c r="E9" s="329">
        <v>37712</v>
      </c>
      <c r="F9" s="339" t="s">
        <v>811</v>
      </c>
      <c r="G9" s="337"/>
      <c r="H9" s="332">
        <v>0</v>
      </c>
      <c r="I9" s="329">
        <v>38444</v>
      </c>
      <c r="J9" s="339" t="s">
        <v>772</v>
      </c>
      <c r="K9" s="337">
        <v>75</v>
      </c>
      <c r="L9" s="332"/>
      <c r="M9" s="329">
        <v>38811</v>
      </c>
      <c r="N9" s="339" t="s">
        <v>3047</v>
      </c>
      <c r="O9" s="337">
        <v>2</v>
      </c>
      <c r="P9" s="332"/>
      <c r="Q9" s="329">
        <v>39178</v>
      </c>
      <c r="R9" s="339" t="s">
        <v>3048</v>
      </c>
      <c r="S9" s="337">
        <v>22</v>
      </c>
      <c r="T9" s="332"/>
      <c r="U9" s="329">
        <v>39544</v>
      </c>
      <c r="V9" s="339" t="s">
        <v>797</v>
      </c>
      <c r="W9" s="337">
        <v>45</v>
      </c>
      <c r="X9" s="332"/>
      <c r="Y9" s="329">
        <v>39907</v>
      </c>
      <c r="Z9" s="336" t="s">
        <v>772</v>
      </c>
      <c r="AA9" s="341">
        <v>60</v>
      </c>
      <c r="AB9" s="332"/>
      <c r="AC9" s="329">
        <v>40271</v>
      </c>
      <c r="AD9" s="336" t="s">
        <v>3049</v>
      </c>
      <c r="AE9" s="341">
        <v>19</v>
      </c>
      <c r="AF9" s="332"/>
      <c r="AG9" s="329">
        <v>40636</v>
      </c>
      <c r="AH9" s="336" t="s">
        <v>797</v>
      </c>
      <c r="AI9" s="341">
        <v>54</v>
      </c>
      <c r="AJ9" s="332"/>
      <c r="AK9" s="329">
        <v>41006</v>
      </c>
      <c r="AL9" s="336" t="s">
        <v>3050</v>
      </c>
      <c r="AM9" s="341">
        <v>24</v>
      </c>
      <c r="AN9" s="332"/>
      <c r="AO9" s="329">
        <v>41370</v>
      </c>
      <c r="AP9" s="336" t="s">
        <v>1903</v>
      </c>
      <c r="AQ9" s="341">
        <v>67</v>
      </c>
      <c r="AR9" s="332"/>
      <c r="AS9" s="329">
        <v>41730</v>
      </c>
      <c r="AT9" s="336" t="s">
        <v>3051</v>
      </c>
      <c r="AU9" s="341">
        <v>0</v>
      </c>
      <c r="AV9" s="332"/>
      <c r="AW9" s="329">
        <v>42096</v>
      </c>
      <c r="AX9" s="336" t="s">
        <v>3052</v>
      </c>
      <c r="AY9" s="337">
        <v>35</v>
      </c>
      <c r="AZ9" s="332"/>
      <c r="BA9" s="329">
        <v>42462</v>
      </c>
      <c r="BB9" s="336" t="s">
        <v>3053</v>
      </c>
      <c r="BC9" s="337">
        <v>20</v>
      </c>
      <c r="BD9" s="332"/>
      <c r="BE9" s="329">
        <v>42827</v>
      </c>
      <c r="BF9" s="336" t="s">
        <v>823</v>
      </c>
      <c r="BG9" s="337">
        <v>19</v>
      </c>
      <c r="BH9" s="332"/>
      <c r="BI9" s="329">
        <v>43191</v>
      </c>
      <c r="BJ9" s="336" t="s">
        <v>890</v>
      </c>
      <c r="BK9" s="341">
        <v>30</v>
      </c>
      <c r="BL9" s="332"/>
      <c r="BM9" s="329"/>
      <c r="BN9" s="336"/>
      <c r="BO9" s="341"/>
      <c r="BP9" s="332"/>
      <c r="BQ9" s="895">
        <v>43556</v>
      </c>
      <c r="BR9" s="903" t="s">
        <v>3054</v>
      </c>
      <c r="BS9" s="906">
        <f>SUM(BS6:BS8)</f>
        <v>3148</v>
      </c>
      <c r="BT9" s="899" t="s">
        <v>244</v>
      </c>
      <c r="BU9" s="895">
        <v>43924</v>
      </c>
      <c r="BV9" s="903" t="s">
        <v>792</v>
      </c>
      <c r="BW9" s="906">
        <v>30</v>
      </c>
      <c r="BX9" s="899" t="s">
        <v>689</v>
      </c>
      <c r="BY9" s="895">
        <v>44289</v>
      </c>
      <c r="BZ9" s="903" t="s">
        <v>772</v>
      </c>
      <c r="CA9" s="906">
        <v>44</v>
      </c>
      <c r="CB9" s="899" t="s">
        <v>414</v>
      </c>
      <c r="CC9" s="895">
        <v>44652</v>
      </c>
      <c r="CD9" s="903" t="s">
        <v>3055</v>
      </c>
      <c r="CE9" s="909">
        <v>300</v>
      </c>
      <c r="CF9" s="899" t="s">
        <v>689</v>
      </c>
      <c r="CG9" s="895">
        <v>44652</v>
      </c>
      <c r="CH9" s="903" t="s">
        <v>3055</v>
      </c>
      <c r="CI9" s="909">
        <v>0</v>
      </c>
      <c r="CJ9" s="899" t="s">
        <v>689</v>
      </c>
      <c r="CK9" s="895">
        <v>44652</v>
      </c>
      <c r="CL9" s="1554" t="s">
        <v>3056</v>
      </c>
      <c r="CM9" s="1557">
        <v>3600</v>
      </c>
      <c r="CN9" s="2080" t="s">
        <v>689</v>
      </c>
      <c r="CO9" s="2077">
        <v>44652</v>
      </c>
      <c r="CP9" s="2085" t="s">
        <v>3056</v>
      </c>
      <c r="CQ9" s="2083">
        <v>3600</v>
      </c>
      <c r="CR9" s="2066" t="s">
        <v>689</v>
      </c>
      <c r="CS9" s="2068"/>
    </row>
    <row r="10" spans="1:97">
      <c r="A10" s="329">
        <v>37712</v>
      </c>
      <c r="B10" s="339" t="s">
        <v>415</v>
      </c>
      <c r="C10" s="337">
        <v>40</v>
      </c>
      <c r="D10" s="332"/>
      <c r="E10" s="329">
        <v>37712</v>
      </c>
      <c r="F10" s="339" t="s">
        <v>415</v>
      </c>
      <c r="G10" s="337">
        <v>40</v>
      </c>
      <c r="H10" s="332"/>
      <c r="I10" s="329">
        <v>38445</v>
      </c>
      <c r="J10" s="339" t="s">
        <v>3057</v>
      </c>
      <c r="K10" s="337">
        <v>21</v>
      </c>
      <c r="L10" s="332"/>
      <c r="M10" s="329">
        <v>38814</v>
      </c>
      <c r="N10" s="339" t="s">
        <v>3058</v>
      </c>
      <c r="O10" s="337">
        <v>3</v>
      </c>
      <c r="P10" s="332"/>
      <c r="Q10" s="329">
        <v>39179</v>
      </c>
      <c r="R10" s="339" t="s">
        <v>1903</v>
      </c>
      <c r="S10" s="337">
        <v>20</v>
      </c>
      <c r="T10" s="332"/>
      <c r="U10" s="329">
        <v>39544</v>
      </c>
      <c r="V10" s="339" t="s">
        <v>767</v>
      </c>
      <c r="W10" s="337">
        <v>54</v>
      </c>
      <c r="X10" s="332"/>
      <c r="Y10" s="329">
        <v>39907</v>
      </c>
      <c r="Z10" s="336" t="s">
        <v>3059</v>
      </c>
      <c r="AA10" s="341">
        <v>10</v>
      </c>
      <c r="AB10" s="332"/>
      <c r="AC10" s="329">
        <v>40271</v>
      </c>
      <c r="AD10" s="336" t="s">
        <v>3060</v>
      </c>
      <c r="AE10" s="341">
        <v>17</v>
      </c>
      <c r="AF10" s="332"/>
      <c r="AG10" s="329">
        <v>40636</v>
      </c>
      <c r="AH10" s="336" t="s">
        <v>3061</v>
      </c>
      <c r="AI10" s="341">
        <v>26</v>
      </c>
      <c r="AJ10" s="332"/>
      <c r="AK10" s="329">
        <v>41006</v>
      </c>
      <c r="AL10" s="336" t="s">
        <v>3062</v>
      </c>
      <c r="AM10" s="341">
        <v>30</v>
      </c>
      <c r="AN10" s="332"/>
      <c r="AO10" s="329">
        <v>41370</v>
      </c>
      <c r="AP10" s="336" t="s">
        <v>1903</v>
      </c>
      <c r="AQ10" s="341">
        <v>30</v>
      </c>
      <c r="AR10" s="332"/>
      <c r="AS10" s="329">
        <v>41730</v>
      </c>
      <c r="AT10" s="336" t="s">
        <v>3063</v>
      </c>
      <c r="AU10" s="341">
        <v>395</v>
      </c>
      <c r="AV10" s="332"/>
      <c r="AW10" s="329">
        <v>42097</v>
      </c>
      <c r="AX10" s="336" t="s">
        <v>3064</v>
      </c>
      <c r="AY10" s="341">
        <v>360</v>
      </c>
      <c r="AZ10" s="332"/>
      <c r="BA10" s="329">
        <v>42462</v>
      </c>
      <c r="BB10" s="336" t="s">
        <v>1244</v>
      </c>
      <c r="BC10" s="337">
        <v>120</v>
      </c>
      <c r="BD10" s="332"/>
      <c r="BE10" s="329">
        <v>42828</v>
      </c>
      <c r="BF10" s="336" t="s">
        <v>823</v>
      </c>
      <c r="BG10" s="337">
        <v>3</v>
      </c>
      <c r="BH10" s="332"/>
      <c r="BI10" s="329">
        <v>43191</v>
      </c>
      <c r="BJ10" s="336" t="s">
        <v>3065</v>
      </c>
      <c r="BK10" s="341">
        <v>363</v>
      </c>
      <c r="BL10" s="332"/>
      <c r="BM10" s="329"/>
      <c r="BN10" s="336"/>
      <c r="BO10" s="341"/>
      <c r="BP10" s="332"/>
      <c r="BQ10" s="895">
        <v>43556</v>
      </c>
      <c r="BR10" s="903" t="s">
        <v>3066</v>
      </c>
      <c r="BS10" s="906">
        <v>398</v>
      </c>
      <c r="BT10" s="899" t="s">
        <v>689</v>
      </c>
      <c r="BU10" s="895">
        <v>43924</v>
      </c>
      <c r="BV10" s="903" t="s">
        <v>3067</v>
      </c>
      <c r="BW10" s="906">
        <v>7</v>
      </c>
      <c r="BX10" s="899" t="s">
        <v>689</v>
      </c>
      <c r="BY10" s="895">
        <v>44289</v>
      </c>
      <c r="BZ10" s="903" t="s">
        <v>828</v>
      </c>
      <c r="CA10" s="906">
        <v>13</v>
      </c>
      <c r="CB10" s="899" t="s">
        <v>414</v>
      </c>
      <c r="CC10" s="895">
        <v>44652</v>
      </c>
      <c r="CD10" s="903" t="s">
        <v>3068</v>
      </c>
      <c r="CE10" s="910">
        <v>39</v>
      </c>
      <c r="CF10" s="899" t="s">
        <v>414</v>
      </c>
      <c r="CG10" s="895">
        <v>44652</v>
      </c>
      <c r="CH10" s="903" t="s">
        <v>772</v>
      </c>
      <c r="CI10" s="910">
        <v>99</v>
      </c>
      <c r="CJ10" s="899" t="s">
        <v>414</v>
      </c>
      <c r="CK10" s="895">
        <v>45386</v>
      </c>
      <c r="CL10" s="903" t="s">
        <v>3069</v>
      </c>
      <c r="CM10" s="910">
        <v>55</v>
      </c>
      <c r="CN10" s="2081"/>
      <c r="CO10" s="2077">
        <v>45386</v>
      </c>
      <c r="CP10" s="2085" t="s">
        <v>3069</v>
      </c>
      <c r="CQ10" s="2084">
        <v>55</v>
      </c>
      <c r="CR10" s="2066"/>
      <c r="CS10" s="2068"/>
    </row>
    <row r="11" spans="1:97">
      <c r="A11" s="329">
        <v>37712</v>
      </c>
      <c r="B11" s="339" t="s">
        <v>847</v>
      </c>
      <c r="C11" s="337">
        <v>70</v>
      </c>
      <c r="D11" s="332"/>
      <c r="E11" s="329">
        <v>37712</v>
      </c>
      <c r="F11" s="339" t="s">
        <v>847</v>
      </c>
      <c r="G11" s="337">
        <v>70</v>
      </c>
      <c r="H11" s="332"/>
      <c r="I11" s="329">
        <v>38445</v>
      </c>
      <c r="J11" s="339" t="s">
        <v>3070</v>
      </c>
      <c r="K11" s="337">
        <v>10</v>
      </c>
      <c r="L11" s="332"/>
      <c r="M11" s="329">
        <v>38814</v>
      </c>
      <c r="N11" s="339" t="s">
        <v>3071</v>
      </c>
      <c r="O11" s="337">
        <v>20</v>
      </c>
      <c r="P11" s="332"/>
      <c r="Q11" s="329">
        <v>39179</v>
      </c>
      <c r="R11" s="339" t="s">
        <v>3072</v>
      </c>
      <c r="S11" s="337">
        <v>4</v>
      </c>
      <c r="T11" s="332"/>
      <c r="U11" s="329">
        <v>39544</v>
      </c>
      <c r="V11" s="339" t="s">
        <v>1810</v>
      </c>
      <c r="W11" s="337">
        <v>27</v>
      </c>
      <c r="X11" s="332"/>
      <c r="Y11" s="329">
        <v>39907</v>
      </c>
      <c r="Z11" s="336" t="s">
        <v>1146</v>
      </c>
      <c r="AA11" s="341">
        <v>58</v>
      </c>
      <c r="AB11" s="342"/>
      <c r="AC11" s="329">
        <v>40272</v>
      </c>
      <c r="AD11" s="336" t="s">
        <v>3073</v>
      </c>
      <c r="AE11" s="341">
        <v>11</v>
      </c>
      <c r="AF11" s="332"/>
      <c r="AG11" s="329">
        <v>40637</v>
      </c>
      <c r="AH11" s="336" t="s">
        <v>802</v>
      </c>
      <c r="AI11" s="341">
        <v>50</v>
      </c>
      <c r="AJ11" s="332"/>
      <c r="AK11" s="329">
        <v>41006</v>
      </c>
      <c r="AL11" s="336" t="s">
        <v>890</v>
      </c>
      <c r="AM11" s="341">
        <v>120</v>
      </c>
      <c r="AN11" s="332"/>
      <c r="AO11" s="329">
        <v>41370</v>
      </c>
      <c r="AP11" s="336" t="s">
        <v>772</v>
      </c>
      <c r="AQ11" s="341">
        <v>22</v>
      </c>
      <c r="AR11" s="332"/>
      <c r="AS11" s="329">
        <v>41730</v>
      </c>
      <c r="AT11" s="336" t="s">
        <v>3074</v>
      </c>
      <c r="AU11" s="341">
        <f>3500*4/58</f>
        <v>241.37931034482759</v>
      </c>
      <c r="AV11" s="332"/>
      <c r="AW11" s="329">
        <v>42098</v>
      </c>
      <c r="AX11" s="336" t="s">
        <v>772</v>
      </c>
      <c r="AY11" s="341">
        <v>79</v>
      </c>
      <c r="AZ11" s="332"/>
      <c r="BA11" s="329">
        <v>42462</v>
      </c>
      <c r="BB11" s="336" t="s">
        <v>3075</v>
      </c>
      <c r="BC11" s="341">
        <v>85</v>
      </c>
      <c r="BD11" s="332"/>
      <c r="BE11" s="329">
        <v>42829</v>
      </c>
      <c r="BF11" s="336" t="s">
        <v>1052</v>
      </c>
      <c r="BG11" s="341">
        <v>21</v>
      </c>
      <c r="BH11" s="332"/>
      <c r="BI11" s="329">
        <v>43191</v>
      </c>
      <c r="BJ11" s="336" t="s">
        <v>3076</v>
      </c>
      <c r="BK11" s="341">
        <v>296</v>
      </c>
      <c r="BL11" s="332"/>
      <c r="BM11" s="329"/>
      <c r="BN11" s="336"/>
      <c r="BO11" s="341"/>
      <c r="BP11" s="332"/>
      <c r="BQ11" s="895">
        <v>43556</v>
      </c>
      <c r="BR11" s="903" t="s">
        <v>3077</v>
      </c>
      <c r="BS11" s="906">
        <v>400</v>
      </c>
      <c r="BT11" s="899" t="s">
        <v>689</v>
      </c>
      <c r="BU11" s="895">
        <v>43926</v>
      </c>
      <c r="BV11" s="903" t="s">
        <v>3078</v>
      </c>
      <c r="BW11" s="906">
        <v>5</v>
      </c>
      <c r="BX11" s="899" t="s">
        <v>414</v>
      </c>
      <c r="BY11" s="895">
        <v>44290</v>
      </c>
      <c r="BZ11" s="903" t="s">
        <v>1762</v>
      </c>
      <c r="CA11" s="906">
        <v>45</v>
      </c>
      <c r="CB11" s="899" t="s">
        <v>701</v>
      </c>
      <c r="CC11" s="895">
        <v>44652</v>
      </c>
      <c r="CD11" s="903" t="s">
        <v>3079</v>
      </c>
      <c r="CE11" s="910">
        <v>13</v>
      </c>
      <c r="CF11" s="899" t="s">
        <v>414</v>
      </c>
      <c r="CG11" s="895">
        <v>44652</v>
      </c>
      <c r="CH11" s="903" t="s">
        <v>845</v>
      </c>
      <c r="CI11" s="910">
        <v>35</v>
      </c>
      <c r="CJ11" s="899" t="s">
        <v>414</v>
      </c>
      <c r="CK11" s="895">
        <v>45386</v>
      </c>
      <c r="CL11" s="903" t="s">
        <v>3080</v>
      </c>
      <c r="CM11" s="910">
        <v>66</v>
      </c>
      <c r="CN11" s="2081" t="s">
        <v>667</v>
      </c>
      <c r="CO11" s="2077">
        <v>45386</v>
      </c>
      <c r="CP11" s="2085" t="s">
        <v>966</v>
      </c>
      <c r="CQ11" s="2084"/>
      <c r="CR11" s="2066"/>
      <c r="CS11" s="2068"/>
    </row>
    <row r="12" spans="1:97">
      <c r="A12" s="329">
        <v>37712</v>
      </c>
      <c r="B12" s="339" t="s">
        <v>864</v>
      </c>
      <c r="C12" s="337">
        <v>30</v>
      </c>
      <c r="D12" s="332">
        <v>20</v>
      </c>
      <c r="E12" s="329">
        <v>37712</v>
      </c>
      <c r="F12" s="339" t="s">
        <v>864</v>
      </c>
      <c r="G12" s="337">
        <v>30</v>
      </c>
      <c r="H12" s="332">
        <v>20</v>
      </c>
      <c r="I12" s="329">
        <v>38445</v>
      </c>
      <c r="J12" s="339" t="s">
        <v>867</v>
      </c>
      <c r="K12" s="337">
        <v>22</v>
      </c>
      <c r="L12" s="332"/>
      <c r="M12" s="329">
        <v>38815</v>
      </c>
      <c r="N12" s="339" t="s">
        <v>3081</v>
      </c>
      <c r="O12" s="337">
        <v>15</v>
      </c>
      <c r="P12" s="332"/>
      <c r="Q12" s="329">
        <v>39179</v>
      </c>
      <c r="R12" s="339" t="s">
        <v>3082</v>
      </c>
      <c r="S12" s="337">
        <v>6</v>
      </c>
      <c r="T12" s="332"/>
      <c r="U12" s="329">
        <v>39544</v>
      </c>
      <c r="V12" s="339" t="s">
        <v>965</v>
      </c>
      <c r="W12" s="337">
        <v>7</v>
      </c>
      <c r="X12" s="332"/>
      <c r="Y12" s="329">
        <v>39907</v>
      </c>
      <c r="Z12" s="339" t="s">
        <v>1130</v>
      </c>
      <c r="AA12" s="337">
        <v>14</v>
      </c>
      <c r="AB12" s="332"/>
      <c r="AC12" s="329">
        <v>40273</v>
      </c>
      <c r="AD12" s="336" t="s">
        <v>937</v>
      </c>
      <c r="AE12" s="341">
        <v>25</v>
      </c>
      <c r="AF12" s="332"/>
      <c r="AG12" s="329">
        <v>40637</v>
      </c>
      <c r="AH12" s="336" t="s">
        <v>3083</v>
      </c>
      <c r="AI12" s="341">
        <v>13</v>
      </c>
      <c r="AJ12" s="332"/>
      <c r="AK12" s="329">
        <v>41006</v>
      </c>
      <c r="AL12" s="336" t="s">
        <v>2698</v>
      </c>
      <c r="AM12" s="341">
        <v>3</v>
      </c>
      <c r="AN12" s="332"/>
      <c r="AO12" s="329">
        <v>41370</v>
      </c>
      <c r="AP12" s="336" t="s">
        <v>754</v>
      </c>
      <c r="AQ12" s="341">
        <v>108</v>
      </c>
      <c r="AR12" s="332"/>
      <c r="AS12" s="329"/>
      <c r="AT12" s="339" t="s">
        <v>3084</v>
      </c>
      <c r="AU12" s="392">
        <v>59</v>
      </c>
      <c r="AW12" s="329">
        <v>42098</v>
      </c>
      <c r="AX12" s="336" t="s">
        <v>754</v>
      </c>
      <c r="AY12" s="341">
        <v>90</v>
      </c>
      <c r="AZ12" s="332"/>
      <c r="BA12" s="329">
        <v>42463</v>
      </c>
      <c r="BB12" s="336" t="s">
        <v>3085</v>
      </c>
      <c r="BC12" s="341">
        <v>569</v>
      </c>
      <c r="BD12" s="332"/>
      <c r="BE12" s="329">
        <v>42830</v>
      </c>
      <c r="BF12" s="336" t="s">
        <v>3086</v>
      </c>
      <c r="BG12" s="341">
        <v>35</v>
      </c>
      <c r="BH12" s="332"/>
      <c r="BI12" s="329">
        <v>43192</v>
      </c>
      <c r="BJ12" s="336" t="s">
        <v>1688</v>
      </c>
      <c r="BK12" s="341">
        <v>8</v>
      </c>
      <c r="BL12" s="332"/>
      <c r="BM12" s="329"/>
      <c r="BN12" s="336"/>
      <c r="BO12" s="341"/>
      <c r="BP12" s="332"/>
      <c r="BQ12" s="895">
        <v>43556</v>
      </c>
      <c r="BR12" s="903" t="s">
        <v>3087</v>
      </c>
      <c r="BS12" s="906">
        <v>65</v>
      </c>
      <c r="BT12" s="899" t="s">
        <v>700</v>
      </c>
      <c r="BU12" s="895">
        <v>43926</v>
      </c>
      <c r="BV12" s="903" t="s">
        <v>3088</v>
      </c>
      <c r="BW12" s="906">
        <v>7</v>
      </c>
      <c r="BX12" s="899" t="s">
        <v>414</v>
      </c>
      <c r="BY12" s="895">
        <v>44297</v>
      </c>
      <c r="BZ12" s="903" t="s">
        <v>843</v>
      </c>
      <c r="CA12" s="911">
        <v>18</v>
      </c>
      <c r="CB12" s="899" t="s">
        <v>414</v>
      </c>
      <c r="CC12" s="895">
        <v>44652</v>
      </c>
      <c r="CD12" s="903" t="s">
        <v>3089</v>
      </c>
      <c r="CE12" s="910">
        <v>20</v>
      </c>
      <c r="CF12" s="899" t="s">
        <v>414</v>
      </c>
      <c r="CG12" s="895">
        <v>45018</v>
      </c>
      <c r="CH12" s="903" t="s">
        <v>843</v>
      </c>
      <c r="CI12" s="910">
        <v>17</v>
      </c>
      <c r="CJ12" s="899" t="s">
        <v>414</v>
      </c>
      <c r="CK12" s="895">
        <v>45389</v>
      </c>
      <c r="CL12" s="903" t="s">
        <v>3090</v>
      </c>
      <c r="CM12" s="910">
        <v>100</v>
      </c>
      <c r="CN12" s="2081" t="s">
        <v>280</v>
      </c>
      <c r="CO12" s="2077">
        <v>45753</v>
      </c>
      <c r="CP12" s="2085" t="s">
        <v>772</v>
      </c>
      <c r="CQ12" s="2084"/>
      <c r="CR12" s="2066"/>
      <c r="CS12" s="2068"/>
    </row>
    <row r="13" spans="1:97">
      <c r="A13" s="329">
        <v>37712</v>
      </c>
      <c r="B13" s="339" t="s">
        <v>419</v>
      </c>
      <c r="C13" s="337">
        <v>207</v>
      </c>
      <c r="D13" s="332">
        <v>0</v>
      </c>
      <c r="E13" s="329">
        <v>37712</v>
      </c>
      <c r="F13" s="339" t="s">
        <v>419</v>
      </c>
      <c r="G13" s="337">
        <v>207</v>
      </c>
      <c r="H13" s="332">
        <v>0</v>
      </c>
      <c r="I13" s="329">
        <v>38445</v>
      </c>
      <c r="J13" s="339" t="s">
        <v>3091</v>
      </c>
      <c r="K13" s="337">
        <v>20</v>
      </c>
      <c r="L13" s="332"/>
      <c r="M13" s="329">
        <v>38815</v>
      </c>
      <c r="N13" s="339" t="s">
        <v>3092</v>
      </c>
      <c r="O13" s="337">
        <v>3</v>
      </c>
      <c r="P13" s="332"/>
      <c r="Q13" s="329">
        <v>39179</v>
      </c>
      <c r="R13" s="339" t="s">
        <v>797</v>
      </c>
      <c r="S13" s="337">
        <v>42</v>
      </c>
      <c r="T13" s="332"/>
      <c r="U13" s="329">
        <v>39544</v>
      </c>
      <c r="V13" s="339" t="s">
        <v>3093</v>
      </c>
      <c r="W13" s="337">
        <v>42</v>
      </c>
      <c r="X13" s="332"/>
      <c r="Y13" s="329">
        <v>39908</v>
      </c>
      <c r="Z13" s="339" t="s">
        <v>781</v>
      </c>
      <c r="AA13" s="337">
        <v>84</v>
      </c>
      <c r="AB13" s="332"/>
      <c r="AC13" s="329">
        <v>40273</v>
      </c>
      <c r="AD13" s="336" t="s">
        <v>1237</v>
      </c>
      <c r="AE13" s="341">
        <v>32</v>
      </c>
      <c r="AF13" s="342"/>
      <c r="AG13" s="329">
        <v>40638</v>
      </c>
      <c r="AH13" s="336" t="s">
        <v>3094</v>
      </c>
      <c r="AI13" s="341">
        <v>158</v>
      </c>
      <c r="AJ13" s="332"/>
      <c r="AK13" s="329">
        <v>41006</v>
      </c>
      <c r="AL13" s="336" t="s">
        <v>3095</v>
      </c>
      <c r="AM13" s="341">
        <v>5</v>
      </c>
      <c r="AN13" s="332"/>
      <c r="AO13" s="329">
        <v>41370</v>
      </c>
      <c r="AP13" s="336" t="s">
        <v>3096</v>
      </c>
      <c r="AQ13" s="341">
        <v>21</v>
      </c>
      <c r="AR13" s="332"/>
      <c r="AS13" s="329">
        <v>41732</v>
      </c>
      <c r="AT13" s="336" t="s">
        <v>3097</v>
      </c>
      <c r="AU13" s="393">
        <v>28</v>
      </c>
      <c r="AV13" s="332">
        <v>8</v>
      </c>
      <c r="AW13" s="329">
        <v>42098</v>
      </c>
      <c r="AX13" s="339" t="s">
        <v>3098</v>
      </c>
      <c r="AY13" s="342">
        <v>21</v>
      </c>
      <c r="AZ13" s="915"/>
      <c r="BA13" s="329">
        <v>42463</v>
      </c>
      <c r="BB13" s="336" t="s">
        <v>3099</v>
      </c>
      <c r="BC13" s="341">
        <v>122</v>
      </c>
      <c r="BD13" s="332"/>
      <c r="BE13" s="329">
        <v>42830</v>
      </c>
      <c r="BF13" s="336" t="s">
        <v>1151</v>
      </c>
      <c r="BG13" s="341">
        <v>2</v>
      </c>
      <c r="BH13" s="332"/>
      <c r="BI13" s="329">
        <v>43192</v>
      </c>
      <c r="BJ13" s="336" t="s">
        <v>3100</v>
      </c>
      <c r="BK13" s="341">
        <v>11</v>
      </c>
      <c r="BL13" s="332"/>
      <c r="BM13" s="329"/>
      <c r="BN13" s="336"/>
      <c r="BO13" s="341"/>
      <c r="BP13" s="332"/>
      <c r="BQ13" s="895">
        <v>43559</v>
      </c>
      <c r="BR13" s="903" t="s">
        <v>3101</v>
      </c>
      <c r="BS13" s="911">
        <v>191</v>
      </c>
      <c r="BT13" s="899" t="s">
        <v>280</v>
      </c>
      <c r="BU13" s="895">
        <v>43926</v>
      </c>
      <c r="BV13" s="903" t="s">
        <v>3102</v>
      </c>
      <c r="BW13" s="911">
        <v>100</v>
      </c>
      <c r="BX13" s="899" t="s">
        <v>414</v>
      </c>
      <c r="BY13" s="895">
        <v>44297</v>
      </c>
      <c r="BZ13" s="903" t="s">
        <v>3103</v>
      </c>
      <c r="CA13" s="911">
        <v>58</v>
      </c>
      <c r="CB13" s="899" t="s">
        <v>701</v>
      </c>
      <c r="CC13" s="895">
        <v>44652</v>
      </c>
      <c r="CD13" s="903" t="s">
        <v>3104</v>
      </c>
      <c r="CE13" s="910">
        <v>3</v>
      </c>
      <c r="CF13" s="899" t="s">
        <v>414</v>
      </c>
      <c r="CG13" s="895">
        <v>45018</v>
      </c>
      <c r="CH13" s="903" t="s">
        <v>998</v>
      </c>
      <c r="CI13" s="910">
        <v>23</v>
      </c>
      <c r="CJ13" s="899" t="s">
        <v>414</v>
      </c>
      <c r="CK13" s="895">
        <v>45389</v>
      </c>
      <c r="CL13" s="903" t="s">
        <v>3105</v>
      </c>
      <c r="CM13" s="910">
        <v>97</v>
      </c>
      <c r="CN13" s="2081" t="s">
        <v>280</v>
      </c>
      <c r="CO13" s="2077">
        <v>45753</v>
      </c>
      <c r="CP13" s="2085" t="s">
        <v>843</v>
      </c>
      <c r="CQ13" s="2084"/>
      <c r="CR13" s="2066"/>
      <c r="CS13" s="2068"/>
    </row>
    <row r="14" spans="1:97">
      <c r="A14" s="329">
        <v>37712</v>
      </c>
      <c r="B14" s="339" t="s">
        <v>286</v>
      </c>
      <c r="C14" s="337">
        <v>500</v>
      </c>
      <c r="D14" s="332">
        <v>150</v>
      </c>
      <c r="E14" s="329">
        <v>37712</v>
      </c>
      <c r="F14" s="339" t="s">
        <v>286</v>
      </c>
      <c r="G14" s="337">
        <v>0</v>
      </c>
      <c r="H14" s="332">
        <v>0</v>
      </c>
      <c r="I14" s="329">
        <v>38447</v>
      </c>
      <c r="J14" s="339" t="s">
        <v>3106</v>
      </c>
      <c r="K14" s="337">
        <v>6</v>
      </c>
      <c r="L14" s="332"/>
      <c r="M14" s="329">
        <v>38815</v>
      </c>
      <c r="N14" s="339" t="s">
        <v>3107</v>
      </c>
      <c r="O14" s="337">
        <v>5</v>
      </c>
      <c r="P14" s="332"/>
      <c r="Q14" s="329">
        <v>39184</v>
      </c>
      <c r="R14" s="339" t="s">
        <v>802</v>
      </c>
      <c r="S14" s="337">
        <v>40</v>
      </c>
      <c r="T14" s="332"/>
      <c r="U14" s="329">
        <v>39544</v>
      </c>
      <c r="V14" s="339" t="s">
        <v>802</v>
      </c>
      <c r="W14" s="337">
        <v>35</v>
      </c>
      <c r="X14" s="332"/>
      <c r="Y14" s="329">
        <v>39908</v>
      </c>
      <c r="Z14" s="339" t="s">
        <v>3108</v>
      </c>
      <c r="AA14" s="337">
        <v>10</v>
      </c>
      <c r="AB14" s="332"/>
      <c r="AC14" s="329">
        <v>40273</v>
      </c>
      <c r="AD14" s="339" t="s">
        <v>1146</v>
      </c>
      <c r="AE14" s="337">
        <v>10</v>
      </c>
      <c r="AF14" s="332"/>
      <c r="AG14" s="329">
        <v>40638</v>
      </c>
      <c r="AH14" s="336" t="s">
        <v>787</v>
      </c>
      <c r="AI14" s="341">
        <v>56</v>
      </c>
      <c r="AJ14" s="342"/>
      <c r="AK14" s="329">
        <v>41006</v>
      </c>
      <c r="AL14" s="336" t="s">
        <v>772</v>
      </c>
      <c r="AM14" s="341">
        <v>36</v>
      </c>
      <c r="AN14" s="342"/>
      <c r="AO14" s="329">
        <v>41370</v>
      </c>
      <c r="AP14" s="336" t="s">
        <v>3109</v>
      </c>
      <c r="AQ14" s="341">
        <v>185</v>
      </c>
      <c r="AR14" s="342"/>
      <c r="AS14" s="329">
        <v>41732</v>
      </c>
      <c r="AT14" s="336" t="s">
        <v>3110</v>
      </c>
      <c r="AU14" s="393">
        <v>19</v>
      </c>
      <c r="AV14" s="342">
        <v>6</v>
      </c>
      <c r="AW14" s="329">
        <v>42098</v>
      </c>
      <c r="AX14" s="336" t="s">
        <v>3111</v>
      </c>
      <c r="AY14" s="394">
        <v>112</v>
      </c>
      <c r="AZ14" s="332"/>
      <c r="BA14" s="329">
        <v>42463</v>
      </c>
      <c r="BB14" s="339" t="s">
        <v>3112</v>
      </c>
      <c r="BC14" s="342">
        <v>3</v>
      </c>
      <c r="BD14" s="915"/>
      <c r="BE14" s="329">
        <v>42830</v>
      </c>
      <c r="BF14" s="339" t="s">
        <v>1180</v>
      </c>
      <c r="BG14" s="342">
        <v>72</v>
      </c>
      <c r="BH14" s="915"/>
      <c r="BI14" s="329">
        <v>43196</v>
      </c>
      <c r="BJ14" s="336" t="s">
        <v>823</v>
      </c>
      <c r="BK14" s="342">
        <v>53</v>
      </c>
      <c r="BL14" s="915"/>
      <c r="BM14" s="329"/>
      <c r="BN14" s="336"/>
      <c r="BO14" s="342"/>
      <c r="BP14" s="915"/>
      <c r="BQ14" s="895">
        <v>43559</v>
      </c>
      <c r="BR14" s="903" t="s">
        <v>3113</v>
      </c>
      <c r="BS14" s="911">
        <v>17</v>
      </c>
      <c r="BT14" s="899" t="s">
        <v>280</v>
      </c>
      <c r="BU14" s="895">
        <v>43926</v>
      </c>
      <c r="BV14" s="903" t="s">
        <v>1200</v>
      </c>
      <c r="BW14" s="911">
        <v>10</v>
      </c>
      <c r="BX14" s="899" t="s">
        <v>414</v>
      </c>
      <c r="BY14" s="895">
        <v>44297</v>
      </c>
      <c r="BZ14" s="903" t="s">
        <v>3114</v>
      </c>
      <c r="CA14" s="911">
        <v>28</v>
      </c>
      <c r="CB14" s="899" t="s">
        <v>701</v>
      </c>
      <c r="CC14" s="895">
        <v>44652</v>
      </c>
      <c r="CD14" s="903" t="s">
        <v>3115</v>
      </c>
      <c r="CE14" s="910">
        <v>48</v>
      </c>
      <c r="CF14" s="899" t="s">
        <v>414</v>
      </c>
      <c r="CG14" s="895">
        <v>45018</v>
      </c>
      <c r="CH14" s="903" t="s">
        <v>797</v>
      </c>
      <c r="CI14" s="910">
        <v>77</v>
      </c>
      <c r="CJ14" s="899" t="s">
        <v>410</v>
      </c>
      <c r="CK14" s="895">
        <v>45389</v>
      </c>
      <c r="CL14" s="903" t="s">
        <v>3116</v>
      </c>
      <c r="CM14" s="910">
        <v>50</v>
      </c>
      <c r="CN14" s="2081" t="s">
        <v>280</v>
      </c>
      <c r="CO14" s="2077">
        <v>45753</v>
      </c>
      <c r="CP14" s="2085" t="s">
        <v>2839</v>
      </c>
      <c r="CQ14" s="2084"/>
      <c r="CR14" s="2066"/>
      <c r="CS14" s="2068"/>
    </row>
    <row r="15" spans="1:97">
      <c r="A15" s="329">
        <v>37713</v>
      </c>
      <c r="B15" s="339" t="s">
        <v>3117</v>
      </c>
      <c r="C15" s="337">
        <v>47</v>
      </c>
      <c r="D15" s="332"/>
      <c r="E15" s="329">
        <v>38078</v>
      </c>
      <c r="F15" s="339" t="s">
        <v>3118</v>
      </c>
      <c r="G15" s="337">
        <v>10</v>
      </c>
      <c r="H15" s="332"/>
      <c r="I15" s="329">
        <v>38450</v>
      </c>
      <c r="J15" s="339" t="s">
        <v>802</v>
      </c>
      <c r="K15" s="337">
        <v>30</v>
      </c>
      <c r="L15" s="332"/>
      <c r="M15" s="329">
        <v>38816</v>
      </c>
      <c r="N15" s="339" t="s">
        <v>1052</v>
      </c>
      <c r="O15" s="337">
        <v>17</v>
      </c>
      <c r="P15" s="332"/>
      <c r="Q15" s="329">
        <v>39184</v>
      </c>
      <c r="R15" s="339" t="s">
        <v>3119</v>
      </c>
      <c r="S15" s="337">
        <v>20</v>
      </c>
      <c r="T15" s="332"/>
      <c r="U15" s="329">
        <v>39548</v>
      </c>
      <c r="V15" s="339" t="s">
        <v>797</v>
      </c>
      <c r="W15" s="337">
        <v>52</v>
      </c>
      <c r="X15" s="332"/>
      <c r="Y15" s="329">
        <v>39908</v>
      </c>
      <c r="Z15" s="339" t="s">
        <v>3120</v>
      </c>
      <c r="AA15" s="337">
        <v>35</v>
      </c>
      <c r="AB15" s="332"/>
      <c r="AC15" s="329">
        <v>40273</v>
      </c>
      <c r="AD15" s="339" t="s">
        <v>937</v>
      </c>
      <c r="AE15" s="337">
        <v>15</v>
      </c>
      <c r="AF15" s="332"/>
      <c r="AG15" s="329">
        <v>40638</v>
      </c>
      <c r="AH15" s="339" t="s">
        <v>3121</v>
      </c>
      <c r="AI15" s="337">
        <v>7</v>
      </c>
      <c r="AJ15" s="332"/>
      <c r="AK15" s="329">
        <v>41006</v>
      </c>
      <c r="AL15" s="339" t="s">
        <v>754</v>
      </c>
      <c r="AM15" s="337">
        <v>45</v>
      </c>
      <c r="AN15" s="332"/>
      <c r="AO15" s="329">
        <v>41370</v>
      </c>
      <c r="AP15" s="339" t="s">
        <v>3122</v>
      </c>
      <c r="AQ15" s="337">
        <v>25</v>
      </c>
      <c r="AR15" s="332"/>
      <c r="AS15" s="329">
        <v>41733</v>
      </c>
      <c r="AT15" s="339" t="s">
        <v>3123</v>
      </c>
      <c r="AU15" s="395">
        <v>1700</v>
      </c>
      <c r="AV15" s="332">
        <f t="shared" ref="AV15:AV27" si="0">AU15/$AU$12</f>
        <v>28.8135593220339</v>
      </c>
      <c r="AW15" s="329">
        <v>42098</v>
      </c>
      <c r="AX15" s="336" t="s">
        <v>3124</v>
      </c>
      <c r="AY15" s="394">
        <v>401</v>
      </c>
      <c r="AZ15" s="342"/>
      <c r="BA15" s="329">
        <v>42464</v>
      </c>
      <c r="BB15" s="336" t="s">
        <v>998</v>
      </c>
      <c r="BC15" s="394">
        <v>72</v>
      </c>
      <c r="BD15" s="332"/>
      <c r="BE15" s="329">
        <v>42830</v>
      </c>
      <c r="BF15" s="336" t="s">
        <v>3125</v>
      </c>
      <c r="BG15" s="394">
        <v>29</v>
      </c>
      <c r="BH15" s="332"/>
      <c r="BI15" s="329">
        <v>43197</v>
      </c>
      <c r="BJ15" s="336" t="s">
        <v>872</v>
      </c>
      <c r="BK15" s="394">
        <v>34</v>
      </c>
      <c r="BL15" s="332"/>
      <c r="BM15" s="329"/>
      <c r="BN15" s="336"/>
      <c r="BO15" s="394"/>
      <c r="BP15" s="332"/>
      <c r="BQ15" s="895">
        <v>43560</v>
      </c>
      <c r="BR15" s="903" t="s">
        <v>3126</v>
      </c>
      <c r="BS15" s="911">
        <v>300</v>
      </c>
      <c r="BT15" s="899" t="s">
        <v>689</v>
      </c>
      <c r="BU15" s="895">
        <v>43926</v>
      </c>
      <c r="BV15" s="903" t="s">
        <v>3127</v>
      </c>
      <c r="BW15" s="911">
        <v>7</v>
      </c>
      <c r="BX15" s="899" t="s">
        <v>414</v>
      </c>
      <c r="BY15" s="895">
        <v>44297</v>
      </c>
      <c r="BZ15" s="903" t="s">
        <v>1180</v>
      </c>
      <c r="CA15" s="911">
        <v>90</v>
      </c>
      <c r="CB15" s="899" t="s">
        <v>410</v>
      </c>
      <c r="CC15" s="895">
        <v>44652</v>
      </c>
      <c r="CD15" s="903" t="s">
        <v>3128</v>
      </c>
      <c r="CE15" s="910">
        <v>34</v>
      </c>
      <c r="CF15" s="899" t="s">
        <v>414</v>
      </c>
      <c r="CG15" s="895">
        <v>45024</v>
      </c>
      <c r="CH15" s="903" t="s">
        <v>1052</v>
      </c>
      <c r="CI15" s="910">
        <v>35</v>
      </c>
      <c r="CJ15" s="899" t="s">
        <v>280</v>
      </c>
      <c r="CK15" s="895">
        <v>45389</v>
      </c>
      <c r="CL15" s="903" t="s">
        <v>3129</v>
      </c>
      <c r="CM15" s="910">
        <v>17</v>
      </c>
      <c r="CN15" s="2081" t="s">
        <v>667</v>
      </c>
      <c r="CO15" s="2077">
        <v>45753</v>
      </c>
      <c r="CP15" s="2085" t="s">
        <v>3105</v>
      </c>
      <c r="CQ15" s="2084"/>
      <c r="CR15" s="2066"/>
      <c r="CS15" s="2068"/>
    </row>
    <row r="16" spans="1:97">
      <c r="A16" s="329">
        <v>37713</v>
      </c>
      <c r="B16" s="339" t="s">
        <v>3130</v>
      </c>
      <c r="C16" s="337">
        <v>30</v>
      </c>
      <c r="D16" s="332"/>
      <c r="E16" s="329">
        <v>38078</v>
      </c>
      <c r="F16" s="339" t="s">
        <v>3131</v>
      </c>
      <c r="G16" s="337">
        <v>10</v>
      </c>
      <c r="H16" s="332"/>
      <c r="I16" s="329">
        <v>38451</v>
      </c>
      <c r="J16" s="339" t="s">
        <v>3132</v>
      </c>
      <c r="K16" s="337">
        <v>10</v>
      </c>
      <c r="L16" s="332"/>
      <c r="M16" s="329">
        <v>38816</v>
      </c>
      <c r="N16" s="339" t="s">
        <v>1810</v>
      </c>
      <c r="O16" s="337">
        <v>40</v>
      </c>
      <c r="P16" s="332"/>
      <c r="Q16" s="329">
        <v>39186</v>
      </c>
      <c r="R16" s="339" t="s">
        <v>797</v>
      </c>
      <c r="S16" s="337">
        <v>15</v>
      </c>
      <c r="T16" s="332"/>
      <c r="U16" s="329">
        <v>39548</v>
      </c>
      <c r="V16" s="339" t="s">
        <v>772</v>
      </c>
      <c r="W16" s="337">
        <v>25</v>
      </c>
      <c r="X16" s="332"/>
      <c r="Y16" s="329">
        <v>39908</v>
      </c>
      <c r="Z16" s="339" t="s">
        <v>797</v>
      </c>
      <c r="AA16" s="337">
        <v>15</v>
      </c>
      <c r="AB16" s="332"/>
      <c r="AC16" s="329">
        <v>40273</v>
      </c>
      <c r="AD16" s="339" t="s">
        <v>3133</v>
      </c>
      <c r="AE16" s="337">
        <v>75</v>
      </c>
      <c r="AF16" s="332"/>
      <c r="AG16" s="329">
        <v>40641</v>
      </c>
      <c r="AH16" s="339" t="s">
        <v>3134</v>
      </c>
      <c r="AI16" s="337">
        <v>220</v>
      </c>
      <c r="AJ16" s="332"/>
      <c r="AK16" s="329">
        <v>41009</v>
      </c>
      <c r="AL16" s="339" t="s">
        <v>1052</v>
      </c>
      <c r="AM16" s="337">
        <v>20</v>
      </c>
      <c r="AN16" s="332"/>
      <c r="AO16" s="329">
        <v>41370</v>
      </c>
      <c r="AP16" s="339" t="s">
        <v>979</v>
      </c>
      <c r="AQ16" s="337">
        <v>7</v>
      </c>
      <c r="AR16" s="332"/>
      <c r="AS16" s="329">
        <v>41733</v>
      </c>
      <c r="AT16" s="339" t="s">
        <v>3135</v>
      </c>
      <c r="AU16" s="395">
        <v>120</v>
      </c>
      <c r="AV16" s="332">
        <f t="shared" si="0"/>
        <v>2.0338983050847457</v>
      </c>
      <c r="AW16" s="329">
        <v>42098</v>
      </c>
      <c r="AX16" s="339" t="s">
        <v>2691</v>
      </c>
      <c r="AY16" s="396">
        <v>26</v>
      </c>
      <c r="AZ16" s="332"/>
      <c r="BA16" s="329">
        <v>42464</v>
      </c>
      <c r="BB16" s="336" t="s">
        <v>754</v>
      </c>
      <c r="BC16" s="394">
        <v>3</v>
      </c>
      <c r="BD16" s="342"/>
      <c r="BE16" s="329">
        <v>42832</v>
      </c>
      <c r="BF16" s="336" t="s">
        <v>3136</v>
      </c>
      <c r="BG16" s="394">
        <v>16</v>
      </c>
      <c r="BH16" s="342"/>
      <c r="BI16" s="329">
        <v>43197</v>
      </c>
      <c r="BJ16" s="336" t="s">
        <v>3137</v>
      </c>
      <c r="BK16" s="394">
        <v>30</v>
      </c>
      <c r="BL16" s="342"/>
      <c r="BM16" s="329"/>
      <c r="BN16" s="336"/>
      <c r="BO16" s="394"/>
      <c r="BP16" s="342"/>
      <c r="BQ16" s="895">
        <v>43560</v>
      </c>
      <c r="BR16" s="903" t="s">
        <v>3138</v>
      </c>
      <c r="BS16" s="911">
        <v>8</v>
      </c>
      <c r="BT16" s="899" t="s">
        <v>414</v>
      </c>
      <c r="BU16" s="895">
        <v>43926</v>
      </c>
      <c r="BV16" s="903" t="s">
        <v>3139</v>
      </c>
      <c r="BW16" s="911">
        <v>10</v>
      </c>
      <c r="BX16" s="899" t="s">
        <v>414</v>
      </c>
      <c r="BY16" s="895">
        <v>44297</v>
      </c>
      <c r="BZ16" s="903" t="s">
        <v>3140</v>
      </c>
      <c r="CA16" s="911">
        <v>35</v>
      </c>
      <c r="CB16" s="899" t="s">
        <v>701</v>
      </c>
      <c r="CC16" s="895">
        <v>44652</v>
      </c>
      <c r="CD16" s="903" t="s">
        <v>3141</v>
      </c>
      <c r="CE16" s="910">
        <v>27</v>
      </c>
      <c r="CF16" s="899" t="s">
        <v>414</v>
      </c>
      <c r="CG16" s="895">
        <v>45024</v>
      </c>
      <c r="CH16" s="903" t="s">
        <v>2096</v>
      </c>
      <c r="CI16" s="910">
        <v>15</v>
      </c>
      <c r="CJ16" s="899" t="s">
        <v>414</v>
      </c>
      <c r="CK16" s="895">
        <v>45389</v>
      </c>
      <c r="CL16" s="903" t="s">
        <v>3142</v>
      </c>
      <c r="CM16" s="910">
        <v>15</v>
      </c>
      <c r="CN16" s="2081" t="s">
        <v>280</v>
      </c>
      <c r="CO16" s="2077">
        <v>45753</v>
      </c>
      <c r="CP16" s="2085" t="s">
        <v>3143</v>
      </c>
      <c r="CQ16" s="2084"/>
      <c r="CR16" s="2066"/>
      <c r="CS16" s="2068"/>
    </row>
    <row r="17" spans="1:97">
      <c r="A17" s="329">
        <v>37714</v>
      </c>
      <c r="B17" s="339" t="s">
        <v>3144</v>
      </c>
      <c r="C17" s="337"/>
      <c r="D17" s="332">
        <v>11</v>
      </c>
      <c r="E17" s="329">
        <v>38079</v>
      </c>
      <c r="F17" s="339" t="s">
        <v>3145</v>
      </c>
      <c r="G17" s="337">
        <v>20</v>
      </c>
      <c r="H17" s="332"/>
      <c r="I17" s="329">
        <v>38451</v>
      </c>
      <c r="J17" s="339" t="s">
        <v>3146</v>
      </c>
      <c r="K17" s="337">
        <v>40</v>
      </c>
      <c r="L17" s="332"/>
      <c r="M17" s="329">
        <v>38816</v>
      </c>
      <c r="N17" s="339" t="s">
        <v>797</v>
      </c>
      <c r="O17" s="337">
        <v>35</v>
      </c>
      <c r="P17" s="332"/>
      <c r="Q17" s="329">
        <v>39186</v>
      </c>
      <c r="R17" s="339" t="s">
        <v>3147</v>
      </c>
      <c r="S17" s="337">
        <v>10</v>
      </c>
      <c r="T17" s="332"/>
      <c r="U17" s="329">
        <v>39550</v>
      </c>
      <c r="V17" s="339" t="s">
        <v>3148</v>
      </c>
      <c r="W17" s="337">
        <v>941</v>
      </c>
      <c r="X17" s="332"/>
      <c r="Y17" s="329">
        <v>39909</v>
      </c>
      <c r="Z17" s="339" t="s">
        <v>3149</v>
      </c>
      <c r="AA17" s="337">
        <v>14</v>
      </c>
      <c r="AB17" s="332"/>
      <c r="AC17" s="329">
        <v>40273</v>
      </c>
      <c r="AD17" s="339" t="s">
        <v>3150</v>
      </c>
      <c r="AE17" s="337">
        <v>85</v>
      </c>
      <c r="AF17" s="332"/>
      <c r="AG17" s="329">
        <v>40641</v>
      </c>
      <c r="AH17" s="339" t="s">
        <v>772</v>
      </c>
      <c r="AI17" s="337">
        <v>21</v>
      </c>
      <c r="AJ17" s="332"/>
      <c r="AK17" s="329">
        <v>41010</v>
      </c>
      <c r="AL17" s="339" t="s">
        <v>3151</v>
      </c>
      <c r="AM17" s="337">
        <v>6</v>
      </c>
      <c r="AN17" s="332"/>
      <c r="AO17" s="329">
        <v>41371</v>
      </c>
      <c r="AP17" s="339" t="s">
        <v>781</v>
      </c>
      <c r="AQ17" s="337">
        <v>10</v>
      </c>
      <c r="AR17" s="332"/>
      <c r="AS17" s="329">
        <v>41734</v>
      </c>
      <c r="AT17" s="339" t="s">
        <v>3152</v>
      </c>
      <c r="AU17" s="395">
        <v>500</v>
      </c>
      <c r="AV17" s="332">
        <f t="shared" si="0"/>
        <v>8.4745762711864412</v>
      </c>
      <c r="AW17" s="329">
        <v>42098</v>
      </c>
      <c r="AX17" s="339" t="s">
        <v>802</v>
      </c>
      <c r="AY17" s="396">
        <v>40</v>
      </c>
      <c r="AZ17" s="332"/>
      <c r="BA17" s="329">
        <v>42465</v>
      </c>
      <c r="BB17" s="339" t="s">
        <v>802</v>
      </c>
      <c r="BC17" s="396">
        <v>35</v>
      </c>
      <c r="BD17" s="332"/>
      <c r="BE17" s="329">
        <v>42832</v>
      </c>
      <c r="BF17" s="339" t="s">
        <v>872</v>
      </c>
      <c r="BG17" s="396">
        <v>22</v>
      </c>
      <c r="BH17" s="332"/>
      <c r="BI17" s="329">
        <v>43197</v>
      </c>
      <c r="BJ17" s="336" t="s">
        <v>3153</v>
      </c>
      <c r="BK17" s="394">
        <v>10</v>
      </c>
      <c r="BL17" s="332"/>
      <c r="BM17" s="329"/>
      <c r="BN17" s="336"/>
      <c r="BO17" s="394"/>
      <c r="BP17" s="332"/>
      <c r="BQ17" s="895">
        <v>43560</v>
      </c>
      <c r="BR17" s="903" t="s">
        <v>3154</v>
      </c>
      <c r="BS17" s="911">
        <v>0</v>
      </c>
      <c r="BT17" s="899" t="s">
        <v>700</v>
      </c>
      <c r="BU17" s="895">
        <v>43926</v>
      </c>
      <c r="BV17" s="903" t="s">
        <v>3155</v>
      </c>
      <c r="BW17" s="911">
        <v>7</v>
      </c>
      <c r="BX17" s="899" t="s">
        <v>414</v>
      </c>
      <c r="BY17" s="895">
        <v>44297</v>
      </c>
      <c r="BZ17" s="903" t="s">
        <v>3156</v>
      </c>
      <c r="CA17" s="911">
        <v>28</v>
      </c>
      <c r="CB17" s="899" t="s">
        <v>701</v>
      </c>
      <c r="CC17" s="895">
        <v>44652</v>
      </c>
      <c r="CD17" s="903" t="s">
        <v>3157</v>
      </c>
      <c r="CE17" s="910">
        <v>60</v>
      </c>
      <c r="CF17" s="899" t="s">
        <v>692</v>
      </c>
      <c r="CG17" s="895">
        <v>45024</v>
      </c>
      <c r="CH17" s="903" t="s">
        <v>3158</v>
      </c>
      <c r="CI17" s="910">
        <v>3900</v>
      </c>
      <c r="CJ17" s="899"/>
      <c r="CK17" s="895">
        <v>45390</v>
      </c>
      <c r="CL17" s="903" t="s">
        <v>805</v>
      </c>
      <c r="CM17" s="910">
        <v>40</v>
      </c>
      <c r="CN17" s="2081" t="s">
        <v>280</v>
      </c>
      <c r="CO17" s="2077">
        <v>45753</v>
      </c>
      <c r="CP17" s="2085" t="s">
        <v>3159</v>
      </c>
      <c r="CQ17" s="2084"/>
      <c r="CR17" s="2066"/>
      <c r="CS17" s="2068"/>
    </row>
    <row r="18" spans="1:97">
      <c r="A18" s="329">
        <v>37715</v>
      </c>
      <c r="B18" s="339" t="s">
        <v>3160</v>
      </c>
      <c r="C18" s="337">
        <v>8</v>
      </c>
      <c r="D18" s="332"/>
      <c r="E18" s="329">
        <v>38079</v>
      </c>
      <c r="F18" s="339" t="s">
        <v>3161</v>
      </c>
      <c r="G18" s="337">
        <v>22</v>
      </c>
      <c r="H18" s="332"/>
      <c r="I18" s="329">
        <v>38451</v>
      </c>
      <c r="J18" s="339" t="s">
        <v>3162</v>
      </c>
      <c r="K18" s="337">
        <v>14</v>
      </c>
      <c r="L18" s="332"/>
      <c r="M18" s="329">
        <v>38816</v>
      </c>
      <c r="N18" s="339" t="s">
        <v>802</v>
      </c>
      <c r="O18" s="337">
        <v>35</v>
      </c>
      <c r="P18" s="332"/>
      <c r="Q18" s="329">
        <v>39187</v>
      </c>
      <c r="R18" s="339" t="s">
        <v>1810</v>
      </c>
      <c r="S18" s="337">
        <v>62</v>
      </c>
      <c r="T18" s="332"/>
      <c r="U18" s="329">
        <v>39550</v>
      </c>
      <c r="V18" s="339" t="s">
        <v>3163</v>
      </c>
      <c r="W18" s="337">
        <v>688</v>
      </c>
      <c r="X18" s="332"/>
      <c r="Y18" s="329">
        <v>39909</v>
      </c>
      <c r="Z18" s="339" t="s">
        <v>2417</v>
      </c>
      <c r="AA18" s="337">
        <v>2</v>
      </c>
      <c r="AB18" s="332"/>
      <c r="AC18" s="329">
        <v>40274</v>
      </c>
      <c r="AD18" s="339" t="s">
        <v>2715</v>
      </c>
      <c r="AE18" s="337">
        <v>29</v>
      </c>
      <c r="AF18" s="332"/>
      <c r="AG18" s="329">
        <v>40642</v>
      </c>
      <c r="AH18" s="339" t="s">
        <v>3164</v>
      </c>
      <c r="AI18" s="337">
        <v>52</v>
      </c>
      <c r="AJ18" s="332"/>
      <c r="AK18" s="329">
        <v>41011</v>
      </c>
      <c r="AL18" s="339" t="s">
        <v>797</v>
      </c>
      <c r="AM18" s="337">
        <v>70</v>
      </c>
      <c r="AN18" s="332"/>
      <c r="AO18" s="329">
        <v>41371</v>
      </c>
      <c r="AP18" s="339" t="s">
        <v>867</v>
      </c>
      <c r="AQ18" s="337">
        <v>12</v>
      </c>
      <c r="AR18" s="332"/>
      <c r="AS18" s="329">
        <v>41735</v>
      </c>
      <c r="AT18" s="339" t="s">
        <v>3165</v>
      </c>
      <c r="AU18" s="395">
        <f>2100+2076</f>
        <v>4176</v>
      </c>
      <c r="AV18" s="332">
        <f t="shared" si="0"/>
        <v>70.779661016949149</v>
      </c>
      <c r="AW18" s="329">
        <v>42099</v>
      </c>
      <c r="AX18" s="339" t="s">
        <v>1288</v>
      </c>
      <c r="AY18" s="396">
        <v>26</v>
      </c>
      <c r="AZ18" s="332"/>
      <c r="BA18" s="329">
        <v>42465</v>
      </c>
      <c r="BB18" s="339" t="s">
        <v>797</v>
      </c>
      <c r="BC18" s="396">
        <v>31</v>
      </c>
      <c r="BD18" s="332"/>
      <c r="BE18" s="329">
        <v>42832</v>
      </c>
      <c r="BF18" s="339" t="s">
        <v>1237</v>
      </c>
      <c r="BG18" s="396">
        <v>33</v>
      </c>
      <c r="BH18" s="332"/>
      <c r="BI18" s="329">
        <v>43197</v>
      </c>
      <c r="BJ18" s="336" t="s">
        <v>1237</v>
      </c>
      <c r="BK18" s="394">
        <v>50</v>
      </c>
      <c r="BL18" s="332"/>
      <c r="BM18" s="329"/>
      <c r="BN18" s="336"/>
      <c r="BO18" s="394"/>
      <c r="BP18" s="332"/>
      <c r="BQ18" s="895">
        <v>43560</v>
      </c>
      <c r="BR18" s="903" t="s">
        <v>823</v>
      </c>
      <c r="BS18" s="911">
        <v>43</v>
      </c>
      <c r="BT18" s="899" t="s">
        <v>414</v>
      </c>
      <c r="BU18" s="895">
        <v>43926</v>
      </c>
      <c r="BV18" s="903" t="s">
        <v>3166</v>
      </c>
      <c r="BW18" s="911">
        <v>15</v>
      </c>
      <c r="BX18" s="899" t="s">
        <v>414</v>
      </c>
      <c r="BY18" s="895">
        <v>44297</v>
      </c>
      <c r="BZ18" s="903" t="s">
        <v>3167</v>
      </c>
      <c r="CA18" s="911">
        <v>12</v>
      </c>
      <c r="CB18" s="899" t="s">
        <v>414</v>
      </c>
      <c r="CC18" s="895">
        <v>44652</v>
      </c>
      <c r="CD18" s="903" t="s">
        <v>3168</v>
      </c>
      <c r="CE18" s="910">
        <v>70</v>
      </c>
      <c r="CF18" s="899" t="s">
        <v>280</v>
      </c>
      <c r="CG18" s="895">
        <v>45024</v>
      </c>
      <c r="CH18" s="903" t="s">
        <v>2981</v>
      </c>
      <c r="CI18" s="910">
        <v>30</v>
      </c>
      <c r="CJ18" s="899" t="s">
        <v>700</v>
      </c>
      <c r="CK18" s="895">
        <v>45391</v>
      </c>
      <c r="CL18" s="903" t="s">
        <v>3169</v>
      </c>
      <c r="CM18" s="910">
        <v>22</v>
      </c>
      <c r="CN18" s="2081" t="s">
        <v>278</v>
      </c>
      <c r="CO18" s="2077">
        <v>45753</v>
      </c>
      <c r="CP18" s="2085" t="s">
        <v>3170</v>
      </c>
      <c r="CQ18" s="2084"/>
      <c r="CR18" s="2066"/>
      <c r="CS18" s="2068"/>
    </row>
    <row r="19" spans="1:97">
      <c r="A19" s="329">
        <v>37715</v>
      </c>
      <c r="B19" s="339" t="s">
        <v>772</v>
      </c>
      <c r="C19" s="337">
        <v>6</v>
      </c>
      <c r="D19" s="332"/>
      <c r="E19" s="329">
        <v>38079</v>
      </c>
      <c r="F19" s="339" t="s">
        <v>3171</v>
      </c>
      <c r="G19" s="337">
        <v>10</v>
      </c>
      <c r="H19" s="332"/>
      <c r="I19" s="329">
        <v>38451</v>
      </c>
      <c r="J19" s="339" t="s">
        <v>3172</v>
      </c>
      <c r="K19" s="337">
        <v>2</v>
      </c>
      <c r="L19" s="332"/>
      <c r="M19" s="329">
        <v>38817</v>
      </c>
      <c r="N19" s="339" t="s">
        <v>3173</v>
      </c>
      <c r="O19" s="337">
        <v>16</v>
      </c>
      <c r="P19" s="332"/>
      <c r="Q19" s="329">
        <v>39187</v>
      </c>
      <c r="R19" s="339" t="s">
        <v>797</v>
      </c>
      <c r="S19" s="337">
        <v>42</v>
      </c>
      <c r="T19" s="332"/>
      <c r="U19" s="329">
        <v>39550</v>
      </c>
      <c r="V19" s="339" t="s">
        <v>3174</v>
      </c>
      <c r="W19" s="337">
        <v>180</v>
      </c>
      <c r="X19" s="332"/>
      <c r="Y19" s="329">
        <v>39913</v>
      </c>
      <c r="Z19" s="339" t="s">
        <v>797</v>
      </c>
      <c r="AA19" s="337">
        <v>25</v>
      </c>
      <c r="AB19" s="332"/>
      <c r="AC19" s="329">
        <v>40274</v>
      </c>
      <c r="AD19" s="339" t="s">
        <v>3175</v>
      </c>
      <c r="AE19" s="337">
        <v>25</v>
      </c>
      <c r="AF19" s="332"/>
      <c r="AG19" s="329">
        <v>40642</v>
      </c>
      <c r="AH19" s="339" t="s">
        <v>3176</v>
      </c>
      <c r="AI19" s="337">
        <v>19</v>
      </c>
      <c r="AJ19" s="332"/>
      <c r="AK19" s="329">
        <v>41011</v>
      </c>
      <c r="AL19" s="339" t="s">
        <v>925</v>
      </c>
      <c r="AM19" s="337">
        <v>20</v>
      </c>
      <c r="AN19" s="332"/>
      <c r="AO19" s="329">
        <v>41371</v>
      </c>
      <c r="AP19" s="339" t="s">
        <v>797</v>
      </c>
      <c r="AQ19" s="337">
        <v>35</v>
      </c>
      <c r="AR19" s="332"/>
      <c r="AS19" s="329">
        <v>41735</v>
      </c>
      <c r="AT19" s="339" t="s">
        <v>3177</v>
      </c>
      <c r="AU19" s="395">
        <v>500</v>
      </c>
      <c r="AV19" s="332">
        <f t="shared" si="0"/>
        <v>8.4745762711864412</v>
      </c>
      <c r="AW19" s="329">
        <v>42099</v>
      </c>
      <c r="AX19" s="339" t="s">
        <v>781</v>
      </c>
      <c r="AY19" s="396">
        <v>43</v>
      </c>
      <c r="AZ19" s="332"/>
      <c r="BA19" s="329">
        <v>42465</v>
      </c>
      <c r="BB19" s="339" t="s">
        <v>3178</v>
      </c>
      <c r="BC19" s="396">
        <v>3</v>
      </c>
      <c r="BD19" s="332"/>
      <c r="BE19" s="329">
        <v>42832</v>
      </c>
      <c r="BF19" s="339" t="s">
        <v>3179</v>
      </c>
      <c r="BG19" s="396">
        <v>20</v>
      </c>
      <c r="BH19" s="332"/>
      <c r="BI19" s="329">
        <v>43197</v>
      </c>
      <c r="BJ19" s="336" t="s">
        <v>3180</v>
      </c>
      <c r="BK19" s="394">
        <v>10</v>
      </c>
      <c r="BL19" s="332"/>
      <c r="BM19" s="329"/>
      <c r="BN19" s="336"/>
      <c r="BO19" s="394"/>
      <c r="BP19" s="332"/>
      <c r="BQ19" s="895">
        <v>43561</v>
      </c>
      <c r="BR19" s="903" t="s">
        <v>873</v>
      </c>
      <c r="BS19" s="911">
        <v>21</v>
      </c>
      <c r="BT19" s="899" t="s">
        <v>414</v>
      </c>
      <c r="BU19" s="895">
        <v>43926</v>
      </c>
      <c r="BV19" s="903" t="s">
        <v>1693</v>
      </c>
      <c r="BW19" s="911">
        <v>35</v>
      </c>
      <c r="BX19" s="899" t="s">
        <v>414</v>
      </c>
      <c r="BY19" s="895">
        <v>44297</v>
      </c>
      <c r="BZ19" s="903" t="s">
        <v>845</v>
      </c>
      <c r="CA19" s="911">
        <v>47</v>
      </c>
      <c r="CB19" s="899" t="s">
        <v>414</v>
      </c>
      <c r="CC19" s="895">
        <v>44652</v>
      </c>
      <c r="CD19" s="903" t="s">
        <v>843</v>
      </c>
      <c r="CE19" s="910">
        <v>27</v>
      </c>
      <c r="CF19" s="899" t="s">
        <v>414</v>
      </c>
      <c r="CG19" s="895">
        <v>45024</v>
      </c>
      <c r="CH19" s="903" t="s">
        <v>3181</v>
      </c>
      <c r="CI19" s="910">
        <v>20</v>
      </c>
      <c r="CJ19" s="899" t="s">
        <v>414</v>
      </c>
      <c r="CK19" s="895">
        <v>45392</v>
      </c>
      <c r="CL19" s="903" t="s">
        <v>3182</v>
      </c>
      <c r="CM19" s="910">
        <v>7</v>
      </c>
      <c r="CN19" s="2081" t="s">
        <v>278</v>
      </c>
      <c r="CO19" s="2077">
        <v>45753</v>
      </c>
      <c r="CP19" s="2085" t="s">
        <v>3183</v>
      </c>
      <c r="CQ19" s="2084"/>
      <c r="CR19" s="2066"/>
      <c r="CS19" s="2068"/>
    </row>
    <row r="20" spans="1:97">
      <c r="A20" s="329">
        <v>37715</v>
      </c>
      <c r="B20" s="339" t="s">
        <v>3184</v>
      </c>
      <c r="C20" s="337">
        <v>54</v>
      </c>
      <c r="D20" s="332"/>
      <c r="E20" s="329">
        <v>38079</v>
      </c>
      <c r="F20" s="339" t="s">
        <v>1440</v>
      </c>
      <c r="G20" s="337">
        <v>10</v>
      </c>
      <c r="H20" s="332"/>
      <c r="I20" s="329">
        <v>38452</v>
      </c>
      <c r="J20" s="339" t="s">
        <v>1810</v>
      </c>
      <c r="K20" s="337">
        <v>35</v>
      </c>
      <c r="L20" s="332"/>
      <c r="M20" s="329">
        <v>38817</v>
      </c>
      <c r="N20" s="339" t="s">
        <v>3185</v>
      </c>
      <c r="O20" s="337">
        <v>19</v>
      </c>
      <c r="P20" s="332"/>
      <c r="Q20" s="329">
        <v>39188</v>
      </c>
      <c r="R20" s="339" t="s">
        <v>3186</v>
      </c>
      <c r="S20" s="337">
        <v>33</v>
      </c>
      <c r="T20" s="332"/>
      <c r="U20" s="329">
        <v>39550</v>
      </c>
      <c r="V20" s="339" t="s">
        <v>3187</v>
      </c>
      <c r="W20" s="337">
        <v>14</v>
      </c>
      <c r="X20" s="332"/>
      <c r="Y20" s="329">
        <v>39913</v>
      </c>
      <c r="Z20" s="339" t="s">
        <v>3188</v>
      </c>
      <c r="AA20" s="337">
        <v>8</v>
      </c>
      <c r="AB20" s="332"/>
      <c r="AC20" s="329">
        <v>40274</v>
      </c>
      <c r="AD20" s="339" t="s">
        <v>937</v>
      </c>
      <c r="AE20" s="337">
        <v>5</v>
      </c>
      <c r="AF20" s="332"/>
      <c r="AG20" s="329">
        <v>40643</v>
      </c>
      <c r="AH20" s="339" t="s">
        <v>3164</v>
      </c>
      <c r="AI20" s="337">
        <v>34</v>
      </c>
      <c r="AJ20" s="332"/>
      <c r="AK20" s="329">
        <v>41011</v>
      </c>
      <c r="AL20" s="339" t="s">
        <v>3189</v>
      </c>
      <c r="AM20" s="337">
        <v>23</v>
      </c>
      <c r="AN20" s="332"/>
      <c r="AO20" s="329">
        <v>41372</v>
      </c>
      <c r="AP20" s="339" t="s">
        <v>3190</v>
      </c>
      <c r="AQ20" s="337">
        <v>8</v>
      </c>
      <c r="AR20" s="332"/>
      <c r="AS20" s="329">
        <v>41736</v>
      </c>
      <c r="AT20" s="339" t="s">
        <v>3191</v>
      </c>
      <c r="AU20" s="395">
        <v>0</v>
      </c>
      <c r="AV20" s="332">
        <f t="shared" si="0"/>
        <v>0</v>
      </c>
      <c r="AW20" s="329">
        <v>42104</v>
      </c>
      <c r="AX20" s="339" t="s">
        <v>925</v>
      </c>
      <c r="AY20" s="396">
        <v>10</v>
      </c>
      <c r="AZ20" s="332"/>
      <c r="BA20" s="329">
        <v>42466</v>
      </c>
      <c r="BB20" s="339" t="s">
        <v>3192</v>
      </c>
      <c r="BC20" s="396">
        <v>17</v>
      </c>
      <c r="BD20" s="332"/>
      <c r="BE20" s="329">
        <v>42833</v>
      </c>
      <c r="BF20" s="339" t="s">
        <v>823</v>
      </c>
      <c r="BG20" s="396">
        <v>32</v>
      </c>
      <c r="BH20" s="332"/>
      <c r="BI20" s="329">
        <v>43198</v>
      </c>
      <c r="BJ20" s="336" t="s">
        <v>1427</v>
      </c>
      <c r="BK20" s="394">
        <v>12</v>
      </c>
      <c r="BL20" s="332"/>
      <c r="BM20" s="329"/>
      <c r="BN20" s="336"/>
      <c r="BO20" s="394"/>
      <c r="BP20" s="332"/>
      <c r="BQ20" s="895">
        <v>43561</v>
      </c>
      <c r="BR20" s="903" t="s">
        <v>1901</v>
      </c>
      <c r="BS20" s="911">
        <v>19</v>
      </c>
      <c r="BT20" s="899" t="s">
        <v>414</v>
      </c>
      <c r="BU20" s="895">
        <v>43926</v>
      </c>
      <c r="BV20" s="903" t="s">
        <v>3193</v>
      </c>
      <c r="BW20" s="911">
        <v>0</v>
      </c>
      <c r="BX20" s="899" t="s">
        <v>414</v>
      </c>
      <c r="BY20" s="895">
        <v>44297</v>
      </c>
      <c r="BZ20" s="896" t="s">
        <v>772</v>
      </c>
      <c r="CA20" s="911">
        <v>12</v>
      </c>
      <c r="CB20" s="899" t="s">
        <v>414</v>
      </c>
      <c r="CC20" s="895">
        <v>44652</v>
      </c>
      <c r="CD20" s="896" t="s">
        <v>872</v>
      </c>
      <c r="CE20" s="910">
        <v>9</v>
      </c>
      <c r="CF20" s="899" t="s">
        <v>414</v>
      </c>
      <c r="CG20" s="895">
        <v>45024</v>
      </c>
      <c r="CH20" s="903" t="s">
        <v>3194</v>
      </c>
      <c r="CI20" s="910">
        <v>10</v>
      </c>
      <c r="CJ20" s="899" t="s">
        <v>698</v>
      </c>
      <c r="CK20" s="895">
        <v>45392</v>
      </c>
      <c r="CL20" s="903" t="s">
        <v>3195</v>
      </c>
      <c r="CM20" s="910">
        <v>5</v>
      </c>
      <c r="CN20" s="2081" t="s">
        <v>278</v>
      </c>
      <c r="CO20" s="2077">
        <v>45753</v>
      </c>
      <c r="CP20" s="2086" t="s">
        <v>3196</v>
      </c>
      <c r="CQ20" s="2084"/>
      <c r="CR20" s="2066"/>
      <c r="CS20" s="2068"/>
    </row>
    <row r="21" spans="1:97">
      <c r="A21" s="329">
        <v>37715</v>
      </c>
      <c r="B21" s="339" t="s">
        <v>3197</v>
      </c>
      <c r="C21" s="337">
        <v>30</v>
      </c>
      <c r="D21" s="332"/>
      <c r="E21" s="329">
        <v>38093</v>
      </c>
      <c r="F21" s="339" t="s">
        <v>3198</v>
      </c>
      <c r="G21" s="337">
        <v>50</v>
      </c>
      <c r="H21" s="332"/>
      <c r="I21" s="329">
        <v>38452</v>
      </c>
      <c r="J21" s="339" t="s">
        <v>3199</v>
      </c>
      <c r="K21" s="337">
        <v>50</v>
      </c>
      <c r="L21" s="332"/>
      <c r="M21" s="329">
        <v>38820</v>
      </c>
      <c r="N21" s="339" t="s">
        <v>3200</v>
      </c>
      <c r="O21" s="337">
        <v>30</v>
      </c>
      <c r="P21" s="332"/>
      <c r="Q21" s="329">
        <v>39192</v>
      </c>
      <c r="R21" s="339" t="s">
        <v>1810</v>
      </c>
      <c r="S21" s="337">
        <v>45</v>
      </c>
      <c r="T21" s="332"/>
      <c r="U21" s="329">
        <v>39551</v>
      </c>
      <c r="V21" s="339" t="s">
        <v>3201</v>
      </c>
      <c r="W21" s="337">
        <v>30</v>
      </c>
      <c r="X21" s="332"/>
      <c r="Y21" s="329">
        <v>39914</v>
      </c>
      <c r="Z21" s="339" t="s">
        <v>767</v>
      </c>
      <c r="AA21" s="337">
        <v>23</v>
      </c>
      <c r="AB21" s="332"/>
      <c r="AC21" s="329">
        <v>40275</v>
      </c>
      <c r="AD21" s="339" t="s">
        <v>3202</v>
      </c>
      <c r="AE21" s="337">
        <v>101</v>
      </c>
      <c r="AF21" s="332"/>
      <c r="AG21" s="329">
        <v>40643</v>
      </c>
      <c r="AH21" s="339" t="s">
        <v>3203</v>
      </c>
      <c r="AI21" s="337">
        <v>17</v>
      </c>
      <c r="AJ21" s="332"/>
      <c r="AK21" s="329">
        <v>41011</v>
      </c>
      <c r="AL21" s="339" t="s">
        <v>1983</v>
      </c>
      <c r="AM21" s="337">
        <v>95</v>
      </c>
      <c r="AN21" s="332"/>
      <c r="AO21" s="329">
        <v>41372</v>
      </c>
      <c r="AP21" s="339" t="s">
        <v>867</v>
      </c>
      <c r="AQ21" s="337">
        <v>12</v>
      </c>
      <c r="AR21" s="332"/>
      <c r="AS21" s="329">
        <v>41736</v>
      </c>
      <c r="AT21" s="339" t="s">
        <v>3204</v>
      </c>
      <c r="AU21" s="395">
        <v>356</v>
      </c>
      <c r="AV21" s="332">
        <f t="shared" si="0"/>
        <v>6.0338983050847457</v>
      </c>
      <c r="AW21" s="329">
        <v>42105</v>
      </c>
      <c r="AX21" s="339" t="s">
        <v>954</v>
      </c>
      <c r="AY21" s="396">
        <v>41</v>
      </c>
      <c r="AZ21" s="332"/>
      <c r="BA21" s="329">
        <v>42467</v>
      </c>
      <c r="BB21" s="339" t="s">
        <v>1459</v>
      </c>
      <c r="BC21" s="396">
        <v>20</v>
      </c>
      <c r="BD21" s="332"/>
      <c r="BE21" s="329">
        <v>42833</v>
      </c>
      <c r="BF21" s="339" t="s">
        <v>3205</v>
      </c>
      <c r="BG21" s="396">
        <v>18</v>
      </c>
      <c r="BH21" s="332"/>
      <c r="BI21" s="329">
        <v>43198</v>
      </c>
      <c r="BJ21" s="336" t="s">
        <v>1429</v>
      </c>
      <c r="BK21" s="394">
        <v>4</v>
      </c>
      <c r="BL21" s="332"/>
      <c r="BM21" s="329"/>
      <c r="BN21" s="336"/>
      <c r="BO21" s="394"/>
      <c r="BP21" s="332"/>
      <c r="BQ21" s="895">
        <v>43561</v>
      </c>
      <c r="BR21" s="903" t="s">
        <v>772</v>
      </c>
      <c r="BS21" s="911">
        <v>61</v>
      </c>
      <c r="BT21" s="899" t="s">
        <v>414</v>
      </c>
      <c r="BU21" s="895">
        <v>43926</v>
      </c>
      <c r="BV21" s="903" t="s">
        <v>3206</v>
      </c>
      <c r="BW21" s="911">
        <v>27</v>
      </c>
      <c r="BX21" s="899" t="s">
        <v>414</v>
      </c>
      <c r="BY21" s="895">
        <v>44297</v>
      </c>
      <c r="BZ21" s="903" t="s">
        <v>828</v>
      </c>
      <c r="CA21" s="911">
        <v>23</v>
      </c>
      <c r="CB21" s="899" t="s">
        <v>414</v>
      </c>
      <c r="CC21" s="895">
        <v>44652</v>
      </c>
      <c r="CD21" s="903" t="s">
        <v>772</v>
      </c>
      <c r="CE21" s="910">
        <v>41</v>
      </c>
      <c r="CF21" s="899" t="s">
        <v>414</v>
      </c>
      <c r="CG21" s="895">
        <v>45024</v>
      </c>
      <c r="CH21" s="903" t="s">
        <v>1180</v>
      </c>
      <c r="CI21" s="910">
        <v>110</v>
      </c>
      <c r="CJ21" s="899" t="s">
        <v>410</v>
      </c>
      <c r="CK21" s="895">
        <v>45392</v>
      </c>
      <c r="CL21" s="903" t="s">
        <v>3207</v>
      </c>
      <c r="CM21" s="910">
        <v>13</v>
      </c>
      <c r="CN21" s="2081" t="s">
        <v>278</v>
      </c>
      <c r="CO21" s="2077">
        <v>45753</v>
      </c>
      <c r="CP21" s="2085" t="s">
        <v>3208</v>
      </c>
      <c r="CQ21" s="2084"/>
      <c r="CR21" s="2066"/>
      <c r="CS21" s="2068"/>
    </row>
    <row r="22" spans="1:97">
      <c r="A22" s="329">
        <v>37715</v>
      </c>
      <c r="B22" s="339" t="s">
        <v>3209</v>
      </c>
      <c r="C22" s="337"/>
      <c r="D22" s="332">
        <v>33</v>
      </c>
      <c r="E22" s="329">
        <v>38093</v>
      </c>
      <c r="F22" s="339" t="s">
        <v>3210</v>
      </c>
      <c r="G22" s="337">
        <v>25</v>
      </c>
      <c r="H22" s="332"/>
      <c r="I22" s="329">
        <v>38452</v>
      </c>
      <c r="J22" s="339" t="s">
        <v>3211</v>
      </c>
      <c r="K22" s="337">
        <v>15</v>
      </c>
      <c r="L22" s="332"/>
      <c r="M22" s="329">
        <v>38821</v>
      </c>
      <c r="N22" s="339" t="s">
        <v>3212</v>
      </c>
      <c r="O22" s="337">
        <v>10</v>
      </c>
      <c r="P22" s="332"/>
      <c r="Q22" s="329">
        <v>39192</v>
      </c>
      <c r="R22" s="339" t="s">
        <v>797</v>
      </c>
      <c r="S22" s="337">
        <v>48</v>
      </c>
      <c r="T22" s="332"/>
      <c r="U22" s="329">
        <v>39551</v>
      </c>
      <c r="V22" s="339" t="s">
        <v>3213</v>
      </c>
      <c r="W22" s="337">
        <v>75</v>
      </c>
      <c r="X22" s="332"/>
      <c r="Y22" s="329">
        <v>39914</v>
      </c>
      <c r="Z22" s="339" t="s">
        <v>3214</v>
      </c>
      <c r="AA22" s="337">
        <v>20</v>
      </c>
      <c r="AB22" s="332"/>
      <c r="AC22" s="329">
        <v>40277</v>
      </c>
      <c r="AD22" s="339" t="s">
        <v>797</v>
      </c>
      <c r="AE22" s="337">
        <v>43</v>
      </c>
      <c r="AF22" s="332"/>
      <c r="AG22" s="329">
        <v>40643</v>
      </c>
      <c r="AH22" s="339" t="s">
        <v>3215</v>
      </c>
      <c r="AI22" s="337">
        <v>8</v>
      </c>
      <c r="AJ22" s="332"/>
      <c r="AK22" s="329">
        <v>41011</v>
      </c>
      <c r="AL22" s="339" t="s">
        <v>3216</v>
      </c>
      <c r="AM22" s="337">
        <v>13</v>
      </c>
      <c r="AN22" s="332"/>
      <c r="AO22" s="329">
        <v>41373</v>
      </c>
      <c r="AP22" s="339" t="s">
        <v>1289</v>
      </c>
      <c r="AQ22" s="337">
        <v>8</v>
      </c>
      <c r="AR22" s="332"/>
      <c r="AS22" s="329">
        <v>41736</v>
      </c>
      <c r="AT22" s="339" t="s">
        <v>3217</v>
      </c>
      <c r="AU22" s="395">
        <v>2900</v>
      </c>
      <c r="AV22" s="332">
        <f t="shared" si="0"/>
        <v>49.152542372881356</v>
      </c>
      <c r="AW22" s="329">
        <v>42105</v>
      </c>
      <c r="AX22" s="339" t="s">
        <v>3218</v>
      </c>
      <c r="AY22" s="396">
        <v>6</v>
      </c>
      <c r="AZ22" s="332"/>
      <c r="BA22" s="329">
        <v>42468</v>
      </c>
      <c r="BB22" s="339" t="s">
        <v>3219</v>
      </c>
      <c r="BC22" s="396">
        <v>20</v>
      </c>
      <c r="BD22" s="332"/>
      <c r="BE22" s="329">
        <v>42833</v>
      </c>
      <c r="BF22" s="339" t="s">
        <v>781</v>
      </c>
      <c r="BG22" s="396">
        <v>3</v>
      </c>
      <c r="BH22" s="332"/>
      <c r="BI22" s="329">
        <v>43198</v>
      </c>
      <c r="BJ22" s="336" t="s">
        <v>823</v>
      </c>
      <c r="BK22" s="394">
        <v>24</v>
      </c>
      <c r="BL22" s="332"/>
      <c r="BM22" s="329"/>
      <c r="BN22" s="336"/>
      <c r="BO22" s="394"/>
      <c r="BP22" s="332"/>
      <c r="BQ22" s="895">
        <v>43561</v>
      </c>
      <c r="BR22" s="903" t="s">
        <v>872</v>
      </c>
      <c r="BS22" s="911">
        <v>12</v>
      </c>
      <c r="BT22" s="899" t="s">
        <v>414</v>
      </c>
      <c r="BU22" s="895">
        <v>43926</v>
      </c>
      <c r="BV22" s="903" t="s">
        <v>3220</v>
      </c>
      <c r="BW22" s="911">
        <v>49</v>
      </c>
      <c r="BX22" s="899" t="s">
        <v>700</v>
      </c>
      <c r="BY22" s="895">
        <v>44298</v>
      </c>
      <c r="BZ22" s="903" t="s">
        <v>3221</v>
      </c>
      <c r="CA22" s="911">
        <v>17</v>
      </c>
      <c r="CB22" s="899" t="s">
        <v>414</v>
      </c>
      <c r="CC22" s="895">
        <v>44652</v>
      </c>
      <c r="CD22" s="903" t="s">
        <v>845</v>
      </c>
      <c r="CE22" s="910">
        <v>66</v>
      </c>
      <c r="CF22" s="899" t="s">
        <v>414</v>
      </c>
      <c r="CG22" s="895">
        <v>45025</v>
      </c>
      <c r="CH22" s="903" t="s">
        <v>772</v>
      </c>
      <c r="CI22" s="910">
        <v>99</v>
      </c>
      <c r="CJ22" s="899" t="s">
        <v>414</v>
      </c>
      <c r="CK22" s="895">
        <v>45392</v>
      </c>
      <c r="CL22" s="903" t="s">
        <v>3222</v>
      </c>
      <c r="CM22" s="910">
        <v>3</v>
      </c>
      <c r="CN22" s="2081" t="s">
        <v>278</v>
      </c>
      <c r="CO22" s="2077">
        <v>45753</v>
      </c>
      <c r="CP22" s="2085" t="s">
        <v>3223</v>
      </c>
      <c r="CQ22" s="2084"/>
      <c r="CR22" s="2066"/>
      <c r="CS22" s="2068"/>
    </row>
    <row r="23" spans="1:97">
      <c r="A23" s="329">
        <v>37716</v>
      </c>
      <c r="B23" s="339" t="s">
        <v>3224</v>
      </c>
      <c r="C23" s="337">
        <v>15</v>
      </c>
      <c r="D23" s="332"/>
      <c r="E23" s="329">
        <v>38104</v>
      </c>
      <c r="F23" s="339" t="s">
        <v>3225</v>
      </c>
      <c r="G23" s="337">
        <v>20</v>
      </c>
      <c r="H23" s="332"/>
      <c r="I23" s="329">
        <v>38452</v>
      </c>
      <c r="J23" s="339" t="s">
        <v>2439</v>
      </c>
      <c r="K23" s="337">
        <v>16</v>
      </c>
      <c r="L23" s="332"/>
      <c r="M23" s="329">
        <v>38823</v>
      </c>
      <c r="N23" s="339" t="s">
        <v>3226</v>
      </c>
      <c r="O23" s="337">
        <v>3</v>
      </c>
      <c r="P23" s="332"/>
      <c r="Q23" s="329">
        <v>39193</v>
      </c>
      <c r="R23" s="339" t="s">
        <v>783</v>
      </c>
      <c r="S23" s="337">
        <v>25</v>
      </c>
      <c r="T23" s="332"/>
      <c r="U23" s="329">
        <v>39551</v>
      </c>
      <c r="V23" s="339" t="s">
        <v>3227</v>
      </c>
      <c r="W23" s="337">
        <v>25</v>
      </c>
      <c r="X23" s="332"/>
      <c r="Y23" s="329">
        <v>39914</v>
      </c>
      <c r="Z23" s="339" t="s">
        <v>784</v>
      </c>
      <c r="AA23" s="337">
        <v>10</v>
      </c>
      <c r="AB23" s="332"/>
      <c r="AC23" s="329">
        <v>40277</v>
      </c>
      <c r="AD23" s="339" t="s">
        <v>3228</v>
      </c>
      <c r="AE23" s="337">
        <v>16</v>
      </c>
      <c r="AF23" s="332"/>
      <c r="AG23" s="329">
        <v>40643</v>
      </c>
      <c r="AH23" s="339" t="s">
        <v>3229</v>
      </c>
      <c r="AI23" s="337">
        <v>15</v>
      </c>
      <c r="AJ23" s="332"/>
      <c r="AK23" s="329">
        <v>41012</v>
      </c>
      <c r="AL23" s="339" t="s">
        <v>754</v>
      </c>
      <c r="AM23" s="337">
        <v>76</v>
      </c>
      <c r="AN23" s="332"/>
      <c r="AO23" s="329">
        <v>41373</v>
      </c>
      <c r="AP23" s="339" t="s">
        <v>925</v>
      </c>
      <c r="AQ23" s="337">
        <v>10</v>
      </c>
      <c r="AR23" s="332"/>
      <c r="AS23" s="329">
        <v>41738</v>
      </c>
      <c r="AT23" s="339" t="s">
        <v>3230</v>
      </c>
      <c r="AU23" s="395">
        <v>3069</v>
      </c>
      <c r="AV23" s="332">
        <f t="shared" si="0"/>
        <v>52.016949152542374</v>
      </c>
      <c r="AW23" s="329">
        <v>42105</v>
      </c>
      <c r="AX23" s="339" t="s">
        <v>772</v>
      </c>
      <c r="AY23" s="396">
        <v>25</v>
      </c>
      <c r="AZ23" s="332"/>
      <c r="BA23" s="329">
        <v>42468</v>
      </c>
      <c r="BB23" s="339" t="s">
        <v>3231</v>
      </c>
      <c r="BC23" s="396">
        <v>2</v>
      </c>
      <c r="BD23" s="332"/>
      <c r="BE23" s="329">
        <v>42833</v>
      </c>
      <c r="BF23" s="339" t="s">
        <v>3232</v>
      </c>
      <c r="BG23" s="396">
        <v>15</v>
      </c>
      <c r="BH23" s="332"/>
      <c r="BI23" s="329">
        <v>43198</v>
      </c>
      <c r="BJ23" s="336" t="s">
        <v>3233</v>
      </c>
      <c r="BK23" s="394">
        <v>27</v>
      </c>
      <c r="BL23" s="332"/>
      <c r="BM23" s="329"/>
      <c r="BN23" s="336"/>
      <c r="BO23" s="394"/>
      <c r="BP23" s="332"/>
      <c r="BQ23" s="895">
        <v>43561</v>
      </c>
      <c r="BR23" s="903" t="s">
        <v>797</v>
      </c>
      <c r="BS23" s="911">
        <v>39</v>
      </c>
      <c r="BT23" s="899" t="s">
        <v>410</v>
      </c>
      <c r="BU23" s="895">
        <v>43926</v>
      </c>
      <c r="BV23" s="903" t="s">
        <v>2397</v>
      </c>
      <c r="BW23" s="911">
        <v>58</v>
      </c>
      <c r="BX23" s="899" t="s">
        <v>700</v>
      </c>
      <c r="BY23" s="895">
        <v>44298</v>
      </c>
      <c r="BZ23" s="903" t="s">
        <v>3234</v>
      </c>
      <c r="CA23" s="911">
        <v>75</v>
      </c>
      <c r="CB23" s="899" t="s">
        <v>414</v>
      </c>
      <c r="CC23" s="895">
        <v>44652</v>
      </c>
      <c r="CD23" s="903" t="s">
        <v>859</v>
      </c>
      <c r="CE23" s="910">
        <v>30</v>
      </c>
      <c r="CF23" s="899" t="s">
        <v>414</v>
      </c>
      <c r="CG23" s="895">
        <v>45025</v>
      </c>
      <c r="CH23" s="903" t="s">
        <v>845</v>
      </c>
      <c r="CI23" s="910">
        <v>35</v>
      </c>
      <c r="CJ23" s="899" t="s">
        <v>414</v>
      </c>
      <c r="CK23" s="895">
        <v>45392</v>
      </c>
      <c r="CL23" s="903" t="s">
        <v>797</v>
      </c>
      <c r="CM23" s="910">
        <v>90</v>
      </c>
      <c r="CN23" s="2081" t="s">
        <v>410</v>
      </c>
      <c r="CO23" s="2106">
        <v>45748</v>
      </c>
      <c r="CP23" s="896" t="s">
        <v>3235</v>
      </c>
      <c r="CQ23" s="2088">
        <v>38.39</v>
      </c>
      <c r="CR23" s="2066"/>
      <c r="CS23" s="2068"/>
    </row>
    <row r="24" spans="1:97">
      <c r="A24" s="329">
        <v>37716</v>
      </c>
      <c r="B24" s="339" t="s">
        <v>3236</v>
      </c>
      <c r="C24" s="337">
        <v>12</v>
      </c>
      <c r="D24" s="332"/>
      <c r="E24" s="329">
        <v>38104</v>
      </c>
      <c r="F24" s="339" t="s">
        <v>3237</v>
      </c>
      <c r="G24" s="337">
        <v>5</v>
      </c>
      <c r="H24" s="332"/>
      <c r="I24" s="329">
        <v>38452</v>
      </c>
      <c r="J24" s="339" t="s">
        <v>3238</v>
      </c>
      <c r="K24" s="337">
        <v>10</v>
      </c>
      <c r="L24" s="332"/>
      <c r="M24" s="329">
        <v>38823</v>
      </c>
      <c r="N24" s="339" t="s">
        <v>797</v>
      </c>
      <c r="O24" s="337">
        <v>40</v>
      </c>
      <c r="P24" s="332"/>
      <c r="Q24" s="329">
        <v>39193</v>
      </c>
      <c r="R24" s="339" t="s">
        <v>3239</v>
      </c>
      <c r="S24" s="337">
        <v>8</v>
      </c>
      <c r="T24" s="332"/>
      <c r="U24" s="329">
        <v>39551</v>
      </c>
      <c r="V24" s="339" t="s">
        <v>890</v>
      </c>
      <c r="W24" s="337">
        <v>9</v>
      </c>
      <c r="X24" s="332"/>
      <c r="Y24" s="329">
        <v>39915</v>
      </c>
      <c r="Z24" s="339" t="s">
        <v>3240</v>
      </c>
      <c r="AA24" s="337">
        <v>105</v>
      </c>
      <c r="AB24" s="332"/>
      <c r="AC24" s="329">
        <v>40277</v>
      </c>
      <c r="AD24" s="339" t="s">
        <v>797</v>
      </c>
      <c r="AE24" s="337">
        <v>51</v>
      </c>
      <c r="AF24" s="332"/>
      <c r="AG24" s="329">
        <v>40644</v>
      </c>
      <c r="AH24" s="339" t="s">
        <v>937</v>
      </c>
      <c r="AI24" s="337">
        <v>31</v>
      </c>
      <c r="AJ24" s="332"/>
      <c r="AK24" s="329">
        <v>41013</v>
      </c>
      <c r="AL24" s="339" t="s">
        <v>797</v>
      </c>
      <c r="AM24" s="337">
        <v>69</v>
      </c>
      <c r="AN24" s="332"/>
      <c r="AO24" s="329">
        <v>41373</v>
      </c>
      <c r="AP24" s="339" t="s">
        <v>1052</v>
      </c>
      <c r="AQ24" s="337">
        <v>21</v>
      </c>
      <c r="AR24" s="332"/>
      <c r="AS24" s="329">
        <v>41740</v>
      </c>
      <c r="AT24" s="339" t="s">
        <v>3241</v>
      </c>
      <c r="AU24" s="395">
        <v>161</v>
      </c>
      <c r="AV24" s="332">
        <f t="shared" si="0"/>
        <v>2.7288135593220337</v>
      </c>
      <c r="AW24" s="329">
        <v>42105</v>
      </c>
      <c r="AX24" s="339" t="s">
        <v>2691</v>
      </c>
      <c r="AY24" s="396">
        <v>25</v>
      </c>
      <c r="AZ24" s="332"/>
      <c r="BA24" s="329">
        <v>42469</v>
      </c>
      <c r="BB24" s="339" t="s">
        <v>3242</v>
      </c>
      <c r="BC24" s="396">
        <v>110</v>
      </c>
      <c r="BD24" s="332"/>
      <c r="BE24" s="329">
        <v>42833</v>
      </c>
      <c r="BF24" s="339" t="s">
        <v>873</v>
      </c>
      <c r="BG24" s="396">
        <v>4</v>
      </c>
      <c r="BH24" s="332"/>
      <c r="BI24" s="329">
        <v>43199</v>
      </c>
      <c r="BJ24" s="336" t="s">
        <v>3243</v>
      </c>
      <c r="BK24" s="394">
        <v>9</v>
      </c>
      <c r="BL24" s="332"/>
      <c r="BM24" s="329"/>
      <c r="BN24" s="336"/>
      <c r="BO24" s="394"/>
      <c r="BP24" s="332"/>
      <c r="BQ24" s="895">
        <v>43566</v>
      </c>
      <c r="BR24" s="903" t="s">
        <v>1633</v>
      </c>
      <c r="BS24" s="911">
        <v>24</v>
      </c>
      <c r="BT24" s="899" t="s">
        <v>414</v>
      </c>
      <c r="BU24" s="895">
        <v>43927</v>
      </c>
      <c r="BV24" s="903" t="s">
        <v>3244</v>
      </c>
      <c r="BW24" s="911">
        <v>7</v>
      </c>
      <c r="BX24" s="899" t="s">
        <v>280</v>
      </c>
      <c r="BY24" s="895">
        <v>44299</v>
      </c>
      <c r="BZ24" s="903" t="s">
        <v>3245</v>
      </c>
      <c r="CA24" s="911">
        <v>120</v>
      </c>
      <c r="CB24" s="899" t="s">
        <v>436</v>
      </c>
      <c r="CC24" s="895">
        <v>44652</v>
      </c>
      <c r="CD24" s="903" t="s">
        <v>3246</v>
      </c>
      <c r="CE24" s="910">
        <v>10</v>
      </c>
      <c r="CF24" s="899" t="s">
        <v>700</v>
      </c>
      <c r="CG24" s="895">
        <v>45025</v>
      </c>
      <c r="CH24" s="903" t="s">
        <v>2079</v>
      </c>
      <c r="CI24" s="910">
        <v>13</v>
      </c>
      <c r="CJ24" s="899" t="s">
        <v>414</v>
      </c>
      <c r="CK24" s="895">
        <v>45392</v>
      </c>
      <c r="CL24" s="903" t="s">
        <v>3247</v>
      </c>
      <c r="CM24" s="910">
        <v>40</v>
      </c>
      <c r="CN24" s="2081" t="s">
        <v>667</v>
      </c>
      <c r="CO24" s="2106">
        <v>45748</v>
      </c>
      <c r="CP24" s="896" t="s">
        <v>3248</v>
      </c>
      <c r="CQ24" s="2088">
        <v>18.350000000000001</v>
      </c>
      <c r="CR24" s="2066"/>
      <c r="CS24" s="2068"/>
    </row>
    <row r="25" spans="1:97">
      <c r="A25" s="329">
        <v>37716</v>
      </c>
      <c r="B25" s="339" t="s">
        <v>3249</v>
      </c>
      <c r="C25" s="337">
        <v>6</v>
      </c>
      <c r="D25" s="332"/>
      <c r="E25" s="329">
        <v>38104</v>
      </c>
      <c r="F25" s="339" t="s">
        <v>2116</v>
      </c>
      <c r="G25" s="337">
        <v>10</v>
      </c>
      <c r="H25" s="332"/>
      <c r="I25" s="329">
        <v>38452</v>
      </c>
      <c r="J25" s="336" t="s">
        <v>797</v>
      </c>
      <c r="K25" s="337">
        <v>36</v>
      </c>
      <c r="L25" s="332"/>
      <c r="M25" s="329">
        <v>38825</v>
      </c>
      <c r="N25" s="339" t="s">
        <v>3250</v>
      </c>
      <c r="O25" s="337">
        <v>24</v>
      </c>
      <c r="P25" s="332"/>
      <c r="Q25" s="329">
        <v>39196</v>
      </c>
      <c r="R25" s="339" t="s">
        <v>787</v>
      </c>
      <c r="S25" s="337">
        <v>20</v>
      </c>
      <c r="T25" s="332"/>
      <c r="U25" s="329">
        <v>39551</v>
      </c>
      <c r="V25" s="339" t="s">
        <v>3251</v>
      </c>
      <c r="W25" s="337">
        <v>25</v>
      </c>
      <c r="X25" s="332"/>
      <c r="Y25" s="329">
        <v>39916</v>
      </c>
      <c r="Z25" s="339" t="s">
        <v>3252</v>
      </c>
      <c r="AA25" s="337">
        <v>17</v>
      </c>
      <c r="AB25" s="332"/>
      <c r="AC25" s="329">
        <v>40278</v>
      </c>
      <c r="AD25" s="339" t="s">
        <v>960</v>
      </c>
      <c r="AE25" s="337">
        <v>6</v>
      </c>
      <c r="AF25" s="332"/>
      <c r="AG25" s="329">
        <v>40645</v>
      </c>
      <c r="AH25" s="339" t="s">
        <v>802</v>
      </c>
      <c r="AI25" s="337">
        <v>54</v>
      </c>
      <c r="AJ25" s="332"/>
      <c r="AK25" s="329">
        <v>41013</v>
      </c>
      <c r="AL25" s="339" t="s">
        <v>3253</v>
      </c>
      <c r="AM25" s="337">
        <v>46</v>
      </c>
      <c r="AN25" s="332"/>
      <c r="AO25" s="329">
        <v>41374</v>
      </c>
      <c r="AP25" s="339" t="s">
        <v>802</v>
      </c>
      <c r="AQ25" s="337">
        <v>57</v>
      </c>
      <c r="AR25" s="332"/>
      <c r="AS25" s="329">
        <v>41741</v>
      </c>
      <c r="AT25" s="339" t="s">
        <v>3254</v>
      </c>
      <c r="AU25" s="395">
        <v>1550</v>
      </c>
      <c r="AV25" s="332">
        <f t="shared" si="0"/>
        <v>26.271186440677965</v>
      </c>
      <c r="AW25" s="329">
        <v>42105</v>
      </c>
      <c r="AX25" s="339" t="s">
        <v>3255</v>
      </c>
      <c r="AY25" s="396">
        <v>45</v>
      </c>
      <c r="AZ25" s="332"/>
      <c r="BA25" s="329">
        <v>42469</v>
      </c>
      <c r="BB25" s="339" t="s">
        <v>954</v>
      </c>
      <c r="BC25" s="396">
        <v>62</v>
      </c>
      <c r="BD25" s="332"/>
      <c r="BE25" s="329">
        <v>42834</v>
      </c>
      <c r="BF25" s="339" t="s">
        <v>3256</v>
      </c>
      <c r="BG25" s="396"/>
      <c r="BH25" s="332"/>
      <c r="BI25" s="329">
        <v>43199</v>
      </c>
      <c r="BJ25" s="336" t="s">
        <v>3257</v>
      </c>
      <c r="BK25" s="394">
        <v>26</v>
      </c>
      <c r="BL25" s="332"/>
      <c r="BM25" s="329"/>
      <c r="BN25" s="336"/>
      <c r="BO25" s="394"/>
      <c r="BP25" s="332"/>
      <c r="BQ25" s="895">
        <v>43566</v>
      </c>
      <c r="BR25" s="903" t="s">
        <v>3258</v>
      </c>
      <c r="BS25" s="911">
        <v>56</v>
      </c>
      <c r="BT25" s="899" t="s">
        <v>414</v>
      </c>
      <c r="BU25" s="895">
        <v>43927</v>
      </c>
      <c r="BV25" s="903" t="s">
        <v>3259</v>
      </c>
      <c r="BW25" s="911">
        <v>7</v>
      </c>
      <c r="BX25" s="899" t="s">
        <v>414</v>
      </c>
      <c r="BY25" s="895">
        <v>44300</v>
      </c>
      <c r="BZ25" s="903" t="s">
        <v>3260</v>
      </c>
      <c r="CA25" s="911">
        <v>85</v>
      </c>
      <c r="CB25" s="899" t="s">
        <v>414</v>
      </c>
      <c r="CC25" s="895">
        <v>44652</v>
      </c>
      <c r="CD25" s="903" t="s">
        <v>2139</v>
      </c>
      <c r="CE25" s="910">
        <v>22</v>
      </c>
      <c r="CF25" s="899" t="s">
        <v>701</v>
      </c>
      <c r="CG25" s="895">
        <v>45025</v>
      </c>
      <c r="CH25" s="903" t="s">
        <v>843</v>
      </c>
      <c r="CI25" s="910">
        <v>66</v>
      </c>
      <c r="CJ25" s="899" t="s">
        <v>414</v>
      </c>
      <c r="CK25" s="895">
        <v>45392</v>
      </c>
      <c r="CL25" s="903" t="s">
        <v>3261</v>
      </c>
      <c r="CM25" s="910">
        <v>150</v>
      </c>
      <c r="CN25" s="2081" t="s">
        <v>700</v>
      </c>
      <c r="CO25" s="2106">
        <v>45748</v>
      </c>
      <c r="CP25" s="896" t="s">
        <v>3262</v>
      </c>
      <c r="CQ25" s="2088">
        <v>67.45</v>
      </c>
      <c r="CR25" s="2066"/>
      <c r="CS25" s="2068"/>
    </row>
    <row r="26" spans="1:97">
      <c r="A26" s="329">
        <v>37717</v>
      </c>
      <c r="B26" s="339" t="s">
        <v>3263</v>
      </c>
      <c r="C26" s="337">
        <v>65</v>
      </c>
      <c r="D26" s="332"/>
      <c r="E26" s="329">
        <v>38104</v>
      </c>
      <c r="F26" s="339" t="s">
        <v>3264</v>
      </c>
      <c r="G26" s="337">
        <v>60</v>
      </c>
      <c r="H26" s="332"/>
      <c r="I26" s="329">
        <v>38453</v>
      </c>
      <c r="J26" s="339" t="s">
        <v>3265</v>
      </c>
      <c r="K26" s="337">
        <v>6</v>
      </c>
      <c r="L26" s="332"/>
      <c r="M26" s="329">
        <v>38825</v>
      </c>
      <c r="N26" s="336" t="s">
        <v>3266</v>
      </c>
      <c r="O26" s="337">
        <v>84</v>
      </c>
      <c r="P26" s="332"/>
      <c r="Q26" s="329">
        <v>39200</v>
      </c>
      <c r="R26" s="336" t="s">
        <v>3267</v>
      </c>
      <c r="S26" s="337">
        <v>25</v>
      </c>
      <c r="T26" s="332"/>
      <c r="U26" s="329">
        <v>39551</v>
      </c>
      <c r="V26" s="339" t="s">
        <v>3268</v>
      </c>
      <c r="W26" s="337">
        <v>35</v>
      </c>
      <c r="X26" s="332"/>
      <c r="Y26" s="329">
        <v>39916</v>
      </c>
      <c r="Z26" s="339" t="s">
        <v>3269</v>
      </c>
      <c r="AA26" s="337">
        <v>180</v>
      </c>
      <c r="AB26" s="332"/>
      <c r="AC26" s="329">
        <v>40278</v>
      </c>
      <c r="AD26" s="339" t="s">
        <v>781</v>
      </c>
      <c r="AE26" s="337">
        <v>143</v>
      </c>
      <c r="AF26" s="332"/>
      <c r="AG26" s="329">
        <v>40645</v>
      </c>
      <c r="AH26" s="339" t="s">
        <v>797</v>
      </c>
      <c r="AI26" s="337">
        <v>50</v>
      </c>
      <c r="AJ26" s="332"/>
      <c r="AK26" s="329">
        <v>41013</v>
      </c>
      <c r="AL26" s="339" t="s">
        <v>1584</v>
      </c>
      <c r="AM26" s="337">
        <v>8</v>
      </c>
      <c r="AN26" s="332"/>
      <c r="AO26" s="329">
        <v>41374</v>
      </c>
      <c r="AP26" s="339" t="s">
        <v>3270</v>
      </c>
      <c r="AQ26" s="337">
        <v>107</v>
      </c>
      <c r="AR26" s="332"/>
      <c r="AS26" s="329">
        <v>41741</v>
      </c>
      <c r="AT26" s="339" t="s">
        <v>3271</v>
      </c>
      <c r="AU26" s="395">
        <v>2680</v>
      </c>
      <c r="AV26" s="332">
        <f t="shared" si="0"/>
        <v>45.423728813559322</v>
      </c>
      <c r="AW26" s="329">
        <v>42105</v>
      </c>
      <c r="AX26" s="339" t="s">
        <v>797</v>
      </c>
      <c r="AY26" s="396">
        <v>40</v>
      </c>
      <c r="AZ26" s="332"/>
      <c r="BA26" s="329">
        <v>42469</v>
      </c>
      <c r="BB26" s="339" t="s">
        <v>781</v>
      </c>
      <c r="BC26" s="396">
        <v>5</v>
      </c>
      <c r="BD26" s="332"/>
      <c r="BE26" s="329">
        <v>42834</v>
      </c>
      <c r="BF26" s="339" t="s">
        <v>3272</v>
      </c>
      <c r="BG26" s="396">
        <v>8</v>
      </c>
      <c r="BH26" s="332"/>
      <c r="BI26" s="329">
        <v>43200</v>
      </c>
      <c r="BJ26" s="336" t="s">
        <v>3273</v>
      </c>
      <c r="BK26" s="394">
        <v>130</v>
      </c>
      <c r="BL26" s="332"/>
      <c r="BM26" s="329"/>
      <c r="BN26" s="336"/>
      <c r="BO26" s="394"/>
      <c r="BP26" s="332"/>
      <c r="BQ26" s="895">
        <v>43566</v>
      </c>
      <c r="BR26" s="903" t="s">
        <v>3274</v>
      </c>
      <c r="BS26" s="911">
        <v>0</v>
      </c>
      <c r="BT26" s="899" t="s">
        <v>414</v>
      </c>
      <c r="BU26" s="895">
        <v>43934</v>
      </c>
      <c r="BV26" s="903" t="s">
        <v>3275</v>
      </c>
      <c r="BW26" s="911">
        <v>28</v>
      </c>
      <c r="BX26" s="899" t="s">
        <v>414</v>
      </c>
      <c r="BY26" s="895">
        <v>44300</v>
      </c>
      <c r="BZ26" s="903" t="s">
        <v>3276</v>
      </c>
      <c r="CA26" s="911">
        <v>9</v>
      </c>
      <c r="CB26" s="899" t="s">
        <v>414</v>
      </c>
      <c r="CC26" s="895">
        <v>44657</v>
      </c>
      <c r="CD26" s="903" t="s">
        <v>845</v>
      </c>
      <c r="CE26" s="910">
        <v>22</v>
      </c>
      <c r="CF26" s="899" t="s">
        <v>414</v>
      </c>
      <c r="CG26" s="895">
        <v>45025</v>
      </c>
      <c r="CH26" s="903" t="s">
        <v>1871</v>
      </c>
      <c r="CI26" s="910">
        <v>15</v>
      </c>
      <c r="CJ26" s="899" t="s">
        <v>414</v>
      </c>
      <c r="CK26" s="895">
        <v>45392</v>
      </c>
      <c r="CL26" s="903" t="s">
        <v>3277</v>
      </c>
      <c r="CM26" s="910">
        <v>1800</v>
      </c>
      <c r="CN26" s="2081" t="s">
        <v>381</v>
      </c>
      <c r="CO26" s="2106">
        <v>45750</v>
      </c>
      <c r="CP26" s="896" t="s">
        <v>3278</v>
      </c>
      <c r="CQ26" s="2088">
        <v>29.59</v>
      </c>
      <c r="CR26" s="2066"/>
      <c r="CS26" s="2068"/>
    </row>
    <row r="27" spans="1:97">
      <c r="A27" s="329">
        <v>37717</v>
      </c>
      <c r="B27" s="339" t="s">
        <v>3279</v>
      </c>
      <c r="C27" s="337">
        <v>50</v>
      </c>
      <c r="D27" s="332"/>
      <c r="E27" s="329">
        <v>38104</v>
      </c>
      <c r="F27" s="339" t="s">
        <v>3280</v>
      </c>
      <c r="G27" s="337">
        <v>8</v>
      </c>
      <c r="H27" s="332"/>
      <c r="I27" s="329">
        <v>38458</v>
      </c>
      <c r="J27" s="339" t="s">
        <v>2284</v>
      </c>
      <c r="K27" s="337">
        <v>27</v>
      </c>
      <c r="L27" s="332"/>
      <c r="M27" s="329">
        <v>38825</v>
      </c>
      <c r="N27" s="339" t="s">
        <v>3281</v>
      </c>
      <c r="O27" s="337">
        <v>86</v>
      </c>
      <c r="P27" s="332"/>
      <c r="Q27" s="329">
        <v>39201</v>
      </c>
      <c r="R27" s="339" t="s">
        <v>797</v>
      </c>
      <c r="S27" s="337">
        <v>46</v>
      </c>
      <c r="T27" s="332"/>
      <c r="U27" s="329">
        <v>39551</v>
      </c>
      <c r="V27" s="336" t="s">
        <v>3282</v>
      </c>
      <c r="W27" s="337">
        <v>0</v>
      </c>
      <c r="X27" s="332"/>
      <c r="Y27" s="329">
        <v>39916</v>
      </c>
      <c r="Z27" s="339" t="s">
        <v>2417</v>
      </c>
      <c r="AA27" s="337">
        <v>2</v>
      </c>
      <c r="AB27" s="332"/>
      <c r="AC27" s="329">
        <v>40284</v>
      </c>
      <c r="AD27" s="339" t="s">
        <v>772</v>
      </c>
      <c r="AE27" s="337">
        <v>42</v>
      </c>
      <c r="AF27" s="332"/>
      <c r="AG27" s="329">
        <v>40645</v>
      </c>
      <c r="AH27" s="339" t="s">
        <v>960</v>
      </c>
      <c r="AI27" s="337">
        <v>1</v>
      </c>
      <c r="AJ27" s="332"/>
      <c r="AK27" s="329">
        <v>41013</v>
      </c>
      <c r="AL27" s="339" t="s">
        <v>979</v>
      </c>
      <c r="AM27" s="337">
        <v>48</v>
      </c>
      <c r="AN27" s="332"/>
      <c r="AO27" s="329">
        <v>41378</v>
      </c>
      <c r="AP27" s="339" t="s">
        <v>2085</v>
      </c>
      <c r="AQ27" s="337">
        <v>15</v>
      </c>
      <c r="AR27" s="332"/>
      <c r="AS27" s="329">
        <v>41742</v>
      </c>
      <c r="AT27" s="339" t="s">
        <v>3283</v>
      </c>
      <c r="AU27" s="395">
        <f xml:space="preserve"> 600 * 4 + 400 * 4</f>
        <v>4000</v>
      </c>
      <c r="AV27" s="332">
        <f t="shared" si="0"/>
        <v>67.79661016949153</v>
      </c>
      <c r="AW27" s="329">
        <v>42106</v>
      </c>
      <c r="AX27" s="339" t="s">
        <v>781</v>
      </c>
      <c r="AY27" s="396">
        <v>57</v>
      </c>
      <c r="AZ27" s="332"/>
      <c r="BA27" s="329">
        <v>42469</v>
      </c>
      <c r="BB27" s="339" t="s">
        <v>867</v>
      </c>
      <c r="BC27" s="396">
        <v>21</v>
      </c>
      <c r="BD27" s="332"/>
      <c r="BE27" s="329">
        <v>42834</v>
      </c>
      <c r="BF27" s="339" t="s">
        <v>3284</v>
      </c>
      <c r="BG27" s="396">
        <v>15</v>
      </c>
      <c r="BH27" s="332"/>
      <c r="BI27" s="329">
        <v>43202</v>
      </c>
      <c r="BJ27" s="336" t="s">
        <v>1052</v>
      </c>
      <c r="BK27" s="394">
        <v>21</v>
      </c>
      <c r="BL27" s="332"/>
      <c r="BM27" s="329"/>
      <c r="BN27" s="336"/>
      <c r="BO27" s="394"/>
      <c r="BP27" s="332"/>
      <c r="BQ27" s="895">
        <v>43566</v>
      </c>
      <c r="BR27" s="903" t="s">
        <v>3285</v>
      </c>
      <c r="BS27" s="911">
        <v>9</v>
      </c>
      <c r="BT27" s="899" t="s">
        <v>414</v>
      </c>
      <c r="BU27" s="895">
        <v>43934</v>
      </c>
      <c r="BV27" s="903" t="s">
        <v>3286</v>
      </c>
      <c r="BW27" s="911">
        <v>25</v>
      </c>
      <c r="BX27" s="899" t="s">
        <v>280</v>
      </c>
      <c r="BY27" s="895">
        <v>44300</v>
      </c>
      <c r="BZ27" s="903" t="s">
        <v>2691</v>
      </c>
      <c r="CA27" s="911">
        <v>2</v>
      </c>
      <c r="CB27" s="899" t="s">
        <v>414</v>
      </c>
      <c r="CC27" s="895">
        <v>44657</v>
      </c>
      <c r="CD27" s="903" t="s">
        <v>772</v>
      </c>
      <c r="CE27" s="910">
        <v>16</v>
      </c>
      <c r="CF27" s="899" t="s">
        <v>414</v>
      </c>
      <c r="CG27" s="895">
        <v>45025</v>
      </c>
      <c r="CH27" s="903" t="s">
        <v>1710</v>
      </c>
      <c r="CI27" s="910">
        <v>25</v>
      </c>
      <c r="CJ27" s="899" t="s">
        <v>414</v>
      </c>
      <c r="CK27" s="895">
        <v>45392</v>
      </c>
      <c r="CL27" s="903" t="s">
        <v>3287</v>
      </c>
      <c r="CM27" s="910">
        <v>80</v>
      </c>
      <c r="CN27" s="2081" t="s">
        <v>414</v>
      </c>
      <c r="CO27" s="2106">
        <v>45751</v>
      </c>
      <c r="CP27" s="896" t="s">
        <v>3288</v>
      </c>
      <c r="CQ27" s="2088">
        <v>47.48</v>
      </c>
      <c r="CR27" s="2066"/>
      <c r="CS27" s="2068"/>
    </row>
    <row r="28" spans="1:97">
      <c r="A28" s="329">
        <v>37717</v>
      </c>
      <c r="B28" s="339" t="s">
        <v>3289</v>
      </c>
      <c r="C28" s="337">
        <v>22</v>
      </c>
      <c r="D28" s="332"/>
      <c r="E28" s="329">
        <v>38105</v>
      </c>
      <c r="F28" s="339" t="s">
        <v>937</v>
      </c>
      <c r="G28" s="337">
        <v>32</v>
      </c>
      <c r="H28" s="332"/>
      <c r="I28" s="329">
        <v>38458</v>
      </c>
      <c r="J28" s="339" t="s">
        <v>3290</v>
      </c>
      <c r="K28" s="337">
        <v>15</v>
      </c>
      <c r="L28" s="332"/>
      <c r="M28" s="329">
        <v>38825</v>
      </c>
      <c r="N28" s="339" t="s">
        <v>3291</v>
      </c>
      <c r="O28" s="337">
        <v>12</v>
      </c>
      <c r="P28" s="332"/>
      <c r="Q28" s="329">
        <v>39201</v>
      </c>
      <c r="R28" s="339" t="s">
        <v>3292</v>
      </c>
      <c r="S28" s="337">
        <v>45</v>
      </c>
      <c r="T28" s="332"/>
      <c r="U28" s="329">
        <v>39551</v>
      </c>
      <c r="V28" s="339" t="s">
        <v>3293</v>
      </c>
      <c r="W28" s="337">
        <v>70</v>
      </c>
      <c r="X28" s="332"/>
      <c r="Y28" s="329">
        <v>39916</v>
      </c>
      <c r="Z28" s="339" t="s">
        <v>3294</v>
      </c>
      <c r="AA28" s="337">
        <v>8</v>
      </c>
      <c r="AB28" s="332"/>
      <c r="AC28" s="329">
        <v>40284</v>
      </c>
      <c r="AD28" s="339" t="s">
        <v>3295</v>
      </c>
      <c r="AE28" s="337">
        <v>28</v>
      </c>
      <c r="AF28" s="332"/>
      <c r="AG28" s="329">
        <v>40648</v>
      </c>
      <c r="AH28" s="339" t="s">
        <v>3296</v>
      </c>
      <c r="AI28" s="337">
        <v>50</v>
      </c>
      <c r="AJ28" s="332"/>
      <c r="AK28" s="329">
        <v>41014</v>
      </c>
      <c r="AL28" s="339" t="s">
        <v>3297</v>
      </c>
      <c r="AM28" s="337">
        <v>20</v>
      </c>
      <c r="AN28" s="332"/>
      <c r="AO28" s="329">
        <v>41378</v>
      </c>
      <c r="AP28" s="339" t="s">
        <v>772</v>
      </c>
      <c r="AQ28" s="337">
        <v>28</v>
      </c>
      <c r="AR28" s="332"/>
      <c r="AS28" s="329">
        <v>41743</v>
      </c>
      <c r="AT28" s="339" t="s">
        <v>3298</v>
      </c>
      <c r="AU28" s="395">
        <v>3500</v>
      </c>
      <c r="AV28" s="332">
        <f t="shared" ref="AV28:AV43" si="1">AU28/$AU$12</f>
        <v>59.322033898305087</v>
      </c>
      <c r="AW28" s="329">
        <v>42106</v>
      </c>
      <c r="AX28" s="339" t="s">
        <v>1573</v>
      </c>
      <c r="AY28" s="396">
        <v>31</v>
      </c>
      <c r="AZ28" s="332"/>
      <c r="BA28" s="329">
        <v>42469</v>
      </c>
      <c r="BB28" s="339" t="s">
        <v>3299</v>
      </c>
      <c r="BC28" s="396">
        <v>2</v>
      </c>
      <c r="BD28" s="332"/>
      <c r="BE28" s="329">
        <v>42835</v>
      </c>
      <c r="BF28" s="339" t="s">
        <v>3300</v>
      </c>
      <c r="BG28" s="396">
        <v>10</v>
      </c>
      <c r="BH28" s="332"/>
      <c r="BI28" s="329">
        <v>43203</v>
      </c>
      <c r="BJ28" s="336" t="s">
        <v>3301</v>
      </c>
      <c r="BK28" s="394">
        <v>17</v>
      </c>
      <c r="BL28" s="332"/>
      <c r="BM28" s="329"/>
      <c r="BN28" s="336"/>
      <c r="BO28" s="394"/>
      <c r="BP28" s="332"/>
      <c r="BQ28" s="895">
        <v>43566</v>
      </c>
      <c r="BR28" s="903" t="s">
        <v>1357</v>
      </c>
      <c r="BS28" s="911">
        <v>0</v>
      </c>
      <c r="BT28" s="899" t="s">
        <v>414</v>
      </c>
      <c r="BU28" s="895">
        <v>43937</v>
      </c>
      <c r="BV28" s="903" t="s">
        <v>2162</v>
      </c>
      <c r="BW28" s="911">
        <v>85</v>
      </c>
      <c r="BX28" s="899" t="s">
        <v>414</v>
      </c>
      <c r="BY28" s="895">
        <v>44300</v>
      </c>
      <c r="BZ28" s="903" t="s">
        <v>1124</v>
      </c>
      <c r="CA28" s="911">
        <v>70</v>
      </c>
      <c r="CB28" s="899" t="s">
        <v>414</v>
      </c>
      <c r="CC28" s="895">
        <v>44659</v>
      </c>
      <c r="CD28" s="903" t="s">
        <v>2162</v>
      </c>
      <c r="CE28" s="910">
        <v>8</v>
      </c>
      <c r="CF28" s="899" t="s">
        <v>414</v>
      </c>
      <c r="CG28" s="895">
        <v>45026</v>
      </c>
      <c r="CH28" s="903" t="s">
        <v>3302</v>
      </c>
      <c r="CI28" s="910">
        <v>21</v>
      </c>
      <c r="CJ28" s="899" t="s">
        <v>278</v>
      </c>
      <c r="CK28" s="895">
        <v>45392</v>
      </c>
      <c r="CL28" s="903" t="s">
        <v>3303</v>
      </c>
      <c r="CM28" s="910">
        <v>5</v>
      </c>
      <c r="CN28" s="2081" t="s">
        <v>414</v>
      </c>
      <c r="CO28" s="2106">
        <v>45751</v>
      </c>
      <c r="CP28" s="896" t="s">
        <v>3304</v>
      </c>
      <c r="CQ28" s="2088">
        <v>27.03</v>
      </c>
      <c r="CR28" s="2066"/>
      <c r="CS28" s="2068"/>
    </row>
    <row r="29" spans="1:97">
      <c r="A29" s="329">
        <v>37717</v>
      </c>
      <c r="B29" s="339" t="s">
        <v>3305</v>
      </c>
      <c r="C29" s="337">
        <v>4</v>
      </c>
      <c r="D29" s="332"/>
      <c r="E29" s="329">
        <v>38105</v>
      </c>
      <c r="F29" s="339" t="s">
        <v>937</v>
      </c>
      <c r="G29" s="337">
        <v>26</v>
      </c>
      <c r="H29" s="332"/>
      <c r="I29" s="329">
        <v>38459</v>
      </c>
      <c r="J29" s="339" t="s">
        <v>2527</v>
      </c>
      <c r="K29" s="337">
        <v>17</v>
      </c>
      <c r="L29" s="332"/>
      <c r="M29" s="329">
        <v>38825</v>
      </c>
      <c r="N29" s="339" t="s">
        <v>3306</v>
      </c>
      <c r="O29" s="337">
        <v>25</v>
      </c>
      <c r="P29" s="332"/>
      <c r="Q29" s="329">
        <v>39201</v>
      </c>
      <c r="R29" s="339" t="s">
        <v>783</v>
      </c>
      <c r="S29" s="337">
        <v>29</v>
      </c>
      <c r="T29" s="332"/>
      <c r="U29" s="329">
        <v>39552</v>
      </c>
      <c r="V29" s="339" t="s">
        <v>1810</v>
      </c>
      <c r="W29" s="337">
        <v>11</v>
      </c>
      <c r="X29" s="332"/>
      <c r="Y29" s="329">
        <v>39918</v>
      </c>
      <c r="Z29" s="339" t="s">
        <v>2417</v>
      </c>
      <c r="AA29" s="337">
        <v>2</v>
      </c>
      <c r="AB29" s="332"/>
      <c r="AC29" s="329">
        <v>40285</v>
      </c>
      <c r="AD29" s="339" t="s">
        <v>1903</v>
      </c>
      <c r="AE29" s="337">
        <v>15</v>
      </c>
      <c r="AF29" s="332"/>
      <c r="AG29" s="329">
        <v>40649</v>
      </c>
      <c r="AH29" s="339" t="s">
        <v>2367</v>
      </c>
      <c r="AI29" s="337">
        <v>61</v>
      </c>
      <c r="AJ29" s="332"/>
      <c r="AK29" s="329">
        <v>41015</v>
      </c>
      <c r="AL29" s="339" t="s">
        <v>3307</v>
      </c>
      <c r="AM29" s="337">
        <v>92</v>
      </c>
      <c r="AN29" s="332"/>
      <c r="AO29" s="329">
        <v>41379</v>
      </c>
      <c r="AP29" s="339" t="s">
        <v>754</v>
      </c>
      <c r="AQ29" s="337">
        <v>102</v>
      </c>
      <c r="AR29" s="332"/>
      <c r="AS29" s="329">
        <v>41744</v>
      </c>
      <c r="AT29" s="339" t="s">
        <v>3308</v>
      </c>
      <c r="AU29" s="395">
        <v>300</v>
      </c>
      <c r="AV29" s="332">
        <f t="shared" si="1"/>
        <v>5.0847457627118642</v>
      </c>
      <c r="AW29" s="329">
        <v>42106</v>
      </c>
      <c r="AX29" s="339" t="s">
        <v>3309</v>
      </c>
      <c r="AY29" s="396">
        <v>14</v>
      </c>
      <c r="AZ29" s="332"/>
      <c r="BA29" s="329">
        <v>42470</v>
      </c>
      <c r="BB29" s="339" t="s">
        <v>3310</v>
      </c>
      <c r="BC29" s="396">
        <v>92</v>
      </c>
      <c r="BD29" s="332"/>
      <c r="BE29" s="329">
        <v>42836</v>
      </c>
      <c r="BF29" s="339" t="s">
        <v>3311</v>
      </c>
      <c r="BG29" s="396">
        <v>110</v>
      </c>
      <c r="BH29" s="332"/>
      <c r="BI29" s="329">
        <v>43203</v>
      </c>
      <c r="BJ29" s="336" t="s">
        <v>3312</v>
      </c>
      <c r="BK29" s="394">
        <v>15</v>
      </c>
      <c r="BL29" s="332"/>
      <c r="BM29" s="329"/>
      <c r="BN29" s="336"/>
      <c r="BO29" s="394"/>
      <c r="BP29" s="332"/>
      <c r="BQ29" s="895">
        <v>43566</v>
      </c>
      <c r="BR29" s="903" t="s">
        <v>3313</v>
      </c>
      <c r="BS29" s="911">
        <v>25</v>
      </c>
      <c r="BT29" s="899" t="s">
        <v>414</v>
      </c>
      <c r="BU29" s="895">
        <v>43938</v>
      </c>
      <c r="BV29" s="903" t="s">
        <v>872</v>
      </c>
      <c r="BW29" s="911">
        <v>45</v>
      </c>
      <c r="BX29" s="899" t="s">
        <v>414</v>
      </c>
      <c r="BY29" s="895">
        <v>44300</v>
      </c>
      <c r="BZ29" s="903" t="s">
        <v>2663</v>
      </c>
      <c r="CA29" s="911">
        <v>13</v>
      </c>
      <c r="CB29" s="899" t="s">
        <v>414</v>
      </c>
      <c r="CC29" s="895">
        <v>44659</v>
      </c>
      <c r="CD29" s="903" t="s">
        <v>3314</v>
      </c>
      <c r="CE29" s="910">
        <v>236</v>
      </c>
      <c r="CF29" s="899" t="s">
        <v>701</v>
      </c>
      <c r="CG29" s="895">
        <v>45027</v>
      </c>
      <c r="CH29" s="903" t="s">
        <v>3315</v>
      </c>
      <c r="CI29" s="910">
        <v>14</v>
      </c>
      <c r="CJ29" s="899" t="s">
        <v>414</v>
      </c>
      <c r="CK29" s="895">
        <v>45392</v>
      </c>
      <c r="CL29" s="903" t="s">
        <v>862</v>
      </c>
      <c r="CM29" s="910">
        <v>20</v>
      </c>
      <c r="CN29" s="2081" t="s">
        <v>414</v>
      </c>
      <c r="CO29" s="2106">
        <v>45753</v>
      </c>
      <c r="CP29" s="896" t="s">
        <v>3316</v>
      </c>
      <c r="CQ29" s="2088">
        <v>17.45</v>
      </c>
      <c r="CR29" s="2066"/>
      <c r="CS29" s="2068"/>
    </row>
    <row r="30" spans="1:97">
      <c r="A30" s="329">
        <v>37717</v>
      </c>
      <c r="B30" s="339" t="s">
        <v>1189</v>
      </c>
      <c r="C30" s="337">
        <v>55</v>
      </c>
      <c r="D30" s="332"/>
      <c r="E30" s="329">
        <v>38105</v>
      </c>
      <c r="F30" s="339" t="s">
        <v>3317</v>
      </c>
      <c r="G30" s="337">
        <v>28</v>
      </c>
      <c r="H30" s="332"/>
      <c r="I30" s="329">
        <v>38459</v>
      </c>
      <c r="J30" s="339" t="s">
        <v>3318</v>
      </c>
      <c r="K30" s="337">
        <v>6</v>
      </c>
      <c r="L30" s="332"/>
      <c r="M30" s="329">
        <v>38827</v>
      </c>
      <c r="N30" s="339" t="s">
        <v>3281</v>
      </c>
      <c r="O30" s="337">
        <v>86</v>
      </c>
      <c r="P30" s="332"/>
      <c r="Q30" s="329"/>
      <c r="R30" s="339"/>
      <c r="S30" s="337"/>
      <c r="T30" s="332"/>
      <c r="U30" s="329">
        <v>39554</v>
      </c>
      <c r="V30" s="339" t="s">
        <v>797</v>
      </c>
      <c r="W30" s="337">
        <v>47</v>
      </c>
      <c r="X30" s="332"/>
      <c r="Y30" s="329">
        <v>39919</v>
      </c>
      <c r="Z30" s="339" t="s">
        <v>797</v>
      </c>
      <c r="AA30" s="337">
        <v>17</v>
      </c>
      <c r="AB30" s="332"/>
      <c r="AC30" s="329">
        <v>40285</v>
      </c>
      <c r="AD30" s="339" t="s">
        <v>937</v>
      </c>
      <c r="AE30" s="337">
        <v>35</v>
      </c>
      <c r="AF30" s="332"/>
      <c r="AG30" s="329">
        <v>40649</v>
      </c>
      <c r="AH30" s="339" t="s">
        <v>3319</v>
      </c>
      <c r="AI30" s="337">
        <v>16</v>
      </c>
      <c r="AJ30" s="332"/>
      <c r="AK30" s="329">
        <v>41017</v>
      </c>
      <c r="AL30" s="339" t="s">
        <v>3320</v>
      </c>
      <c r="AM30" s="337">
        <v>80</v>
      </c>
      <c r="AN30" s="332"/>
      <c r="AO30" s="329">
        <v>41379</v>
      </c>
      <c r="AP30" s="339" t="s">
        <v>797</v>
      </c>
      <c r="AQ30" s="337">
        <v>54</v>
      </c>
      <c r="AR30" s="332"/>
      <c r="AS30" s="329">
        <v>41745</v>
      </c>
      <c r="AT30" s="339" t="s">
        <v>3321</v>
      </c>
      <c r="AU30" s="395">
        <v>501</v>
      </c>
      <c r="AV30" s="332">
        <f t="shared" si="1"/>
        <v>8.4915254237288131</v>
      </c>
      <c r="AW30" s="329">
        <v>42110</v>
      </c>
      <c r="AX30" s="339" t="s">
        <v>3322</v>
      </c>
      <c r="AY30" s="396"/>
      <c r="AZ30" s="332"/>
      <c r="BA30" s="329">
        <v>42470</v>
      </c>
      <c r="BB30" s="339" t="s">
        <v>886</v>
      </c>
      <c r="BC30" s="396">
        <v>20</v>
      </c>
      <c r="BD30" s="332"/>
      <c r="BE30" s="329">
        <v>42837</v>
      </c>
      <c r="BF30" s="339" t="s">
        <v>859</v>
      </c>
      <c r="BG30" s="396">
        <v>50</v>
      </c>
      <c r="BH30" s="332"/>
      <c r="BI30" s="329">
        <v>43203</v>
      </c>
      <c r="BJ30" s="336" t="s">
        <v>797</v>
      </c>
      <c r="BK30" s="394">
        <v>43</v>
      </c>
      <c r="BL30" s="332"/>
      <c r="BM30" s="329"/>
      <c r="BN30" s="336"/>
      <c r="BO30" s="394"/>
      <c r="BP30" s="332"/>
      <c r="BQ30" s="895">
        <v>43566</v>
      </c>
      <c r="BR30" s="903" t="s">
        <v>3323</v>
      </c>
      <c r="BS30" s="911">
        <v>18</v>
      </c>
      <c r="BT30" s="899" t="s">
        <v>414</v>
      </c>
      <c r="BU30" s="895">
        <v>43938</v>
      </c>
      <c r="BV30" s="903" t="s">
        <v>772</v>
      </c>
      <c r="BW30" s="911">
        <v>72</v>
      </c>
      <c r="BX30" s="899" t="s">
        <v>414</v>
      </c>
      <c r="BY30" s="895">
        <v>44300</v>
      </c>
      <c r="BZ30" s="903" t="s">
        <v>3324</v>
      </c>
      <c r="CA30" s="911">
        <v>40</v>
      </c>
      <c r="CB30" s="899" t="s">
        <v>280</v>
      </c>
      <c r="CC30" s="895">
        <v>44659</v>
      </c>
      <c r="CD30" s="916" t="s">
        <v>3325</v>
      </c>
      <c r="CE30" s="910">
        <v>29</v>
      </c>
      <c r="CF30" s="899" t="s">
        <v>280</v>
      </c>
      <c r="CG30" s="895">
        <v>45027</v>
      </c>
      <c r="CH30" s="903" t="s">
        <v>3326</v>
      </c>
      <c r="CI30" s="910">
        <v>15</v>
      </c>
      <c r="CJ30" s="899" t="s">
        <v>414</v>
      </c>
      <c r="CK30" s="895">
        <v>45392</v>
      </c>
      <c r="CL30" s="903" t="s">
        <v>3327</v>
      </c>
      <c r="CM30" s="910">
        <v>11</v>
      </c>
      <c r="CN30" s="2081" t="s">
        <v>414</v>
      </c>
      <c r="CO30" s="2106">
        <v>45753</v>
      </c>
      <c r="CP30" s="896" t="s">
        <v>3328</v>
      </c>
      <c r="CQ30" s="2088">
        <v>13.08</v>
      </c>
      <c r="CR30" s="2066"/>
      <c r="CS30" s="2068"/>
    </row>
    <row r="31" spans="1:97">
      <c r="A31" s="329">
        <v>37718</v>
      </c>
      <c r="B31" s="339" t="s">
        <v>772</v>
      </c>
      <c r="C31" s="337">
        <v>25</v>
      </c>
      <c r="D31" s="332"/>
      <c r="E31" s="329">
        <v>38105</v>
      </c>
      <c r="F31" s="339" t="s">
        <v>797</v>
      </c>
      <c r="G31" s="337">
        <v>30</v>
      </c>
      <c r="H31" s="332"/>
      <c r="I31" s="329">
        <v>38459</v>
      </c>
      <c r="J31" s="339" t="s">
        <v>867</v>
      </c>
      <c r="K31" s="337">
        <v>1</v>
      </c>
      <c r="L31" s="332"/>
      <c r="M31" s="329">
        <v>38827</v>
      </c>
      <c r="N31" s="339" t="s">
        <v>3329</v>
      </c>
      <c r="O31" s="337">
        <v>30</v>
      </c>
      <c r="P31" s="332"/>
      <c r="Q31" s="329"/>
      <c r="R31" s="339"/>
      <c r="S31" s="337"/>
      <c r="T31" s="332"/>
      <c r="U31" s="329">
        <v>39554</v>
      </c>
      <c r="V31" s="339" t="s">
        <v>3330</v>
      </c>
      <c r="W31" s="337">
        <v>30</v>
      </c>
      <c r="X31" s="332"/>
      <c r="Y31" s="329">
        <v>39919</v>
      </c>
      <c r="Z31" s="339" t="s">
        <v>802</v>
      </c>
      <c r="AA31" s="337">
        <v>13</v>
      </c>
      <c r="AB31" s="332"/>
      <c r="AC31" s="329">
        <v>40286</v>
      </c>
      <c r="AD31" s="339" t="s">
        <v>3331</v>
      </c>
      <c r="AE31" s="337">
        <v>26</v>
      </c>
      <c r="AF31" s="332"/>
      <c r="AG31" s="329">
        <v>40650</v>
      </c>
      <c r="AH31" s="339" t="s">
        <v>781</v>
      </c>
      <c r="AI31" s="337">
        <v>126</v>
      </c>
      <c r="AJ31" s="332"/>
      <c r="AK31" s="329">
        <v>41019</v>
      </c>
      <c r="AL31" s="339" t="s">
        <v>3332</v>
      </c>
      <c r="AM31" s="337">
        <v>117</v>
      </c>
      <c r="AN31" s="332"/>
      <c r="AO31" s="329">
        <v>41379</v>
      </c>
      <c r="AP31" s="339" t="s">
        <v>3333</v>
      </c>
      <c r="AQ31" s="337">
        <v>22</v>
      </c>
      <c r="AR31" s="332"/>
      <c r="AS31" s="329">
        <v>41745</v>
      </c>
      <c r="AT31" s="339" t="s">
        <v>3334</v>
      </c>
      <c r="AU31" s="395">
        <v>4002</v>
      </c>
      <c r="AV31" s="332">
        <f t="shared" si="1"/>
        <v>67.830508474576277</v>
      </c>
      <c r="AW31" s="329">
        <v>42110</v>
      </c>
      <c r="AX31" s="339" t="s">
        <v>925</v>
      </c>
      <c r="AY31" s="396">
        <v>10</v>
      </c>
      <c r="AZ31" s="332"/>
      <c r="BA31" s="329">
        <v>42470</v>
      </c>
      <c r="BB31" s="339" t="s">
        <v>3335</v>
      </c>
      <c r="BC31" s="396">
        <v>4</v>
      </c>
      <c r="BD31" s="332"/>
      <c r="BE31" s="329">
        <v>42837</v>
      </c>
      <c r="BF31" s="339" t="s">
        <v>797</v>
      </c>
      <c r="BG31" s="396">
        <v>7</v>
      </c>
      <c r="BH31" s="332"/>
      <c r="BI31" s="329">
        <v>43203</v>
      </c>
      <c r="BJ31" s="336" t="s">
        <v>3336</v>
      </c>
      <c r="BK31" s="394">
        <v>8</v>
      </c>
      <c r="BL31" s="332"/>
      <c r="BM31" s="329"/>
      <c r="BN31" s="336"/>
      <c r="BO31" s="394"/>
      <c r="BP31" s="332"/>
      <c r="BQ31" s="895">
        <v>43566</v>
      </c>
      <c r="BR31" s="903" t="s">
        <v>3337</v>
      </c>
      <c r="BS31" s="911">
        <v>18</v>
      </c>
      <c r="BT31" s="899" t="s">
        <v>284</v>
      </c>
      <c r="BU31" s="895">
        <v>43939</v>
      </c>
      <c r="BV31" s="903" t="s">
        <v>3338</v>
      </c>
      <c r="BW31" s="911">
        <v>390</v>
      </c>
      <c r="BX31" s="899" t="s">
        <v>280</v>
      </c>
      <c r="BY31" s="895">
        <v>44300</v>
      </c>
      <c r="BZ31" s="903" t="s">
        <v>2651</v>
      </c>
      <c r="CA31" s="911">
        <v>4</v>
      </c>
      <c r="CB31" s="899" t="s">
        <v>414</v>
      </c>
      <c r="CC31" s="895">
        <v>44659</v>
      </c>
      <c r="CD31" s="903" t="s">
        <v>3339</v>
      </c>
      <c r="CE31" s="910">
        <v>76</v>
      </c>
      <c r="CF31" s="899" t="s">
        <v>280</v>
      </c>
      <c r="CG31" s="895">
        <v>45027</v>
      </c>
      <c r="CH31" s="903" t="s">
        <v>1693</v>
      </c>
      <c r="CI31" s="910">
        <v>31</v>
      </c>
      <c r="CJ31" s="899" t="s">
        <v>414</v>
      </c>
      <c r="CK31" s="895">
        <v>45392</v>
      </c>
      <c r="CL31" s="903" t="s">
        <v>3340</v>
      </c>
      <c r="CM31" s="910">
        <v>12</v>
      </c>
      <c r="CN31" s="2081" t="s">
        <v>414</v>
      </c>
      <c r="CO31" s="2106">
        <v>45753</v>
      </c>
      <c r="CP31" s="896" t="s">
        <v>3341</v>
      </c>
      <c r="CQ31" s="2088">
        <v>21.81</v>
      </c>
      <c r="CR31" s="2066"/>
      <c r="CS31" s="2068"/>
    </row>
    <row r="32" spans="1:97">
      <c r="A32" s="329">
        <v>37720</v>
      </c>
      <c r="B32" s="339" t="s">
        <v>3342</v>
      </c>
      <c r="C32" s="337"/>
      <c r="D32" s="332">
        <v>20</v>
      </c>
      <c r="E32" s="329">
        <v>38105</v>
      </c>
      <c r="F32" s="339" t="s">
        <v>3343</v>
      </c>
      <c r="G32" s="337">
        <v>15</v>
      </c>
      <c r="H32" s="332"/>
      <c r="I32" s="329">
        <v>38461</v>
      </c>
      <c r="J32" s="339" t="s">
        <v>3344</v>
      </c>
      <c r="K32" s="337">
        <v>30</v>
      </c>
      <c r="L32" s="332"/>
      <c r="M32" s="329">
        <v>38827</v>
      </c>
      <c r="N32" s="339" t="s">
        <v>3345</v>
      </c>
      <c r="O32" s="337">
        <v>2</v>
      </c>
      <c r="P32" s="332"/>
      <c r="Q32" s="329"/>
      <c r="R32" s="339"/>
      <c r="S32" s="337"/>
      <c r="T32" s="332"/>
      <c r="U32" s="329">
        <v>39556</v>
      </c>
      <c r="V32" s="339" t="s">
        <v>890</v>
      </c>
      <c r="W32" s="337">
        <v>31</v>
      </c>
      <c r="X32" s="332"/>
      <c r="Y32" s="329">
        <v>39920</v>
      </c>
      <c r="Z32" s="339" t="s">
        <v>3346</v>
      </c>
      <c r="AA32" s="337">
        <v>25</v>
      </c>
      <c r="AB32" s="332"/>
      <c r="AC32" s="329">
        <v>40286</v>
      </c>
      <c r="AD32" s="339" t="s">
        <v>781</v>
      </c>
      <c r="AE32" s="337">
        <v>60</v>
      </c>
      <c r="AF32" s="332"/>
      <c r="AG32" s="329">
        <v>40650</v>
      </c>
      <c r="AH32" s="339" t="s">
        <v>797</v>
      </c>
      <c r="AI32" s="337">
        <v>65</v>
      </c>
      <c r="AJ32" s="332"/>
      <c r="AK32" s="329">
        <v>41020</v>
      </c>
      <c r="AL32" s="339" t="s">
        <v>3347</v>
      </c>
      <c r="AM32" s="337">
        <v>65</v>
      </c>
      <c r="AN32" s="332"/>
      <c r="AO32" s="329">
        <v>41380</v>
      </c>
      <c r="AP32" s="339" t="s">
        <v>787</v>
      </c>
      <c r="AQ32" s="337">
        <v>10</v>
      </c>
      <c r="AR32" s="332"/>
      <c r="AS32" s="329">
        <v>41745</v>
      </c>
      <c r="AT32" s="339" t="s">
        <v>3348</v>
      </c>
      <c r="AU32" s="395">
        <v>0</v>
      </c>
      <c r="AV32" s="332">
        <f t="shared" si="1"/>
        <v>0</v>
      </c>
      <c r="AW32" s="329">
        <v>42110</v>
      </c>
      <c r="AX32" s="339" t="s">
        <v>802</v>
      </c>
      <c r="AY32" s="396">
        <v>31</v>
      </c>
      <c r="AZ32" s="332"/>
      <c r="BA32" s="329">
        <v>42471</v>
      </c>
      <c r="BB32" s="339" t="s">
        <v>754</v>
      </c>
      <c r="BC32" s="396">
        <v>27</v>
      </c>
      <c r="BD32" s="332"/>
      <c r="BE32" s="329">
        <v>42838</v>
      </c>
      <c r="BF32" s="339" t="s">
        <v>1693</v>
      </c>
      <c r="BG32" s="396">
        <v>23</v>
      </c>
      <c r="BH32" s="332"/>
      <c r="BI32" s="329">
        <v>43203</v>
      </c>
      <c r="BJ32" s="336" t="s">
        <v>3349</v>
      </c>
      <c r="BK32" s="394">
        <v>5</v>
      </c>
      <c r="BL32" s="332"/>
      <c r="BM32" s="329"/>
      <c r="BN32" s="336"/>
      <c r="BO32" s="394"/>
      <c r="BP32" s="332"/>
      <c r="BQ32" s="895">
        <v>43566</v>
      </c>
      <c r="BR32" s="903" t="s">
        <v>3350</v>
      </c>
      <c r="BS32" s="911">
        <v>0</v>
      </c>
      <c r="BT32" s="899"/>
      <c r="BU32" s="895">
        <v>43939</v>
      </c>
      <c r="BV32" s="903" t="s">
        <v>3351</v>
      </c>
      <c r="BW32" s="911">
        <v>22</v>
      </c>
      <c r="BX32" s="899" t="s">
        <v>700</v>
      </c>
      <c r="BY32" s="895">
        <v>44300</v>
      </c>
      <c r="BZ32" s="903" t="s">
        <v>3352</v>
      </c>
      <c r="CA32" s="911">
        <v>21</v>
      </c>
      <c r="CB32" s="899" t="s">
        <v>414</v>
      </c>
      <c r="CC32" s="895">
        <v>44660</v>
      </c>
      <c r="CD32" s="903" t="s">
        <v>797</v>
      </c>
      <c r="CE32" s="910">
        <v>77</v>
      </c>
      <c r="CF32" s="899" t="s">
        <v>410</v>
      </c>
      <c r="CG32" s="895">
        <v>45027</v>
      </c>
      <c r="CH32" s="903" t="s">
        <v>1166</v>
      </c>
      <c r="CI32" s="910">
        <v>42</v>
      </c>
      <c r="CJ32" s="899" t="s">
        <v>414</v>
      </c>
      <c r="CK32" s="895">
        <v>45392</v>
      </c>
      <c r="CL32" s="903" t="s">
        <v>3353</v>
      </c>
      <c r="CM32" s="910">
        <v>15</v>
      </c>
      <c r="CN32" s="2081" t="s">
        <v>414</v>
      </c>
      <c r="CO32" s="2106">
        <v>45753</v>
      </c>
      <c r="CP32" s="896" t="s">
        <v>3354</v>
      </c>
      <c r="CQ32" s="2088">
        <v>76.150000000000006</v>
      </c>
      <c r="CR32" s="2066"/>
      <c r="CS32" s="2068"/>
    </row>
    <row r="33" spans="1:97">
      <c r="A33" s="329">
        <v>37721</v>
      </c>
      <c r="B33" s="339" t="s">
        <v>3355</v>
      </c>
      <c r="C33" s="337">
        <v>14</v>
      </c>
      <c r="D33" s="332"/>
      <c r="E33" s="329">
        <v>38105</v>
      </c>
      <c r="F33" s="339" t="s">
        <v>802</v>
      </c>
      <c r="G33" s="337">
        <v>26</v>
      </c>
      <c r="H33" s="332"/>
      <c r="I33" s="329">
        <v>38461</v>
      </c>
      <c r="J33" s="339" t="s">
        <v>3356</v>
      </c>
      <c r="K33" s="337">
        <v>29</v>
      </c>
      <c r="L33" s="332"/>
      <c r="M33" s="329">
        <v>38827</v>
      </c>
      <c r="N33" s="339" t="s">
        <v>3357</v>
      </c>
      <c r="O33" s="337">
        <v>10</v>
      </c>
      <c r="P33" s="332"/>
      <c r="Q33" s="329"/>
      <c r="R33" s="339"/>
      <c r="S33" s="337"/>
      <c r="T33" s="332"/>
      <c r="U33" s="329">
        <v>39556</v>
      </c>
      <c r="V33" s="339" t="s">
        <v>1459</v>
      </c>
      <c r="W33" s="337">
        <v>13</v>
      </c>
      <c r="X33" s="332"/>
      <c r="Y33" s="329">
        <v>39920</v>
      </c>
      <c r="Z33" s="339" t="s">
        <v>3059</v>
      </c>
      <c r="AA33" s="337">
        <v>25</v>
      </c>
      <c r="AB33" s="332"/>
      <c r="AC33" s="329">
        <v>40286</v>
      </c>
      <c r="AD33" s="339" t="s">
        <v>3358</v>
      </c>
      <c r="AE33" s="337">
        <v>42</v>
      </c>
      <c r="AF33" s="332"/>
      <c r="AG33" s="329">
        <v>40650</v>
      </c>
      <c r="AH33" s="339" t="s">
        <v>3359</v>
      </c>
      <c r="AI33" s="337">
        <v>54</v>
      </c>
      <c r="AJ33" s="332"/>
      <c r="AK33" s="329">
        <v>41020</v>
      </c>
      <c r="AL33" s="339" t="s">
        <v>3360</v>
      </c>
      <c r="AM33" s="337">
        <v>20</v>
      </c>
      <c r="AN33" s="332"/>
      <c r="AO33" s="329">
        <v>41380</v>
      </c>
      <c r="AP33" s="339" t="s">
        <v>3361</v>
      </c>
      <c r="AQ33" s="337">
        <v>2</v>
      </c>
      <c r="AR33" s="332"/>
      <c r="AS33" s="329">
        <v>41745</v>
      </c>
      <c r="AT33" s="339" t="s">
        <v>3362</v>
      </c>
      <c r="AU33" s="395">
        <v>0</v>
      </c>
      <c r="AV33" s="332">
        <f t="shared" si="1"/>
        <v>0</v>
      </c>
      <c r="AW33" s="329">
        <v>42111</v>
      </c>
      <c r="AX33" s="339" t="s">
        <v>3363</v>
      </c>
      <c r="AY33" s="396">
        <v>36</v>
      </c>
      <c r="AZ33" s="332"/>
      <c r="BA33" s="329">
        <v>42471</v>
      </c>
      <c r="BB33" s="339" t="s">
        <v>802</v>
      </c>
      <c r="BC33" s="396">
        <v>33</v>
      </c>
      <c r="BD33" s="332"/>
      <c r="BE33" s="329">
        <v>42838</v>
      </c>
      <c r="BF33" s="339" t="s">
        <v>3364</v>
      </c>
      <c r="BG33" s="396">
        <v>10</v>
      </c>
      <c r="BH33" s="332"/>
      <c r="BI33" s="329">
        <v>43203</v>
      </c>
      <c r="BJ33" s="336" t="s">
        <v>3365</v>
      </c>
      <c r="BK33" s="394">
        <v>20</v>
      </c>
      <c r="BL33" s="332"/>
      <c r="BM33" s="329"/>
      <c r="BN33" s="336"/>
      <c r="BO33" s="394"/>
      <c r="BP33" s="332"/>
      <c r="BQ33" s="895">
        <v>43569</v>
      </c>
      <c r="BR33" s="903" t="s">
        <v>3366</v>
      </c>
      <c r="BS33" s="911">
        <v>82</v>
      </c>
      <c r="BT33" s="899" t="s">
        <v>280</v>
      </c>
      <c r="BU33" s="895">
        <v>43939</v>
      </c>
      <c r="BV33" s="903" t="s">
        <v>3367</v>
      </c>
      <c r="BW33" s="911">
        <v>16</v>
      </c>
      <c r="BX33" s="899" t="s">
        <v>280</v>
      </c>
      <c r="BY33" s="895">
        <v>44300</v>
      </c>
      <c r="BZ33" s="903" t="s">
        <v>1003</v>
      </c>
      <c r="CA33" s="911">
        <v>13</v>
      </c>
      <c r="CB33" s="899" t="s">
        <v>414</v>
      </c>
      <c r="CC33" s="895">
        <v>44660</v>
      </c>
      <c r="CD33" s="903" t="s">
        <v>1180</v>
      </c>
      <c r="CE33" s="910">
        <v>102</v>
      </c>
      <c r="CF33" s="899" t="s">
        <v>410</v>
      </c>
      <c r="CG33" s="895">
        <v>45027</v>
      </c>
      <c r="CH33" s="903" t="s">
        <v>3368</v>
      </c>
      <c r="CI33" s="910">
        <v>39</v>
      </c>
      <c r="CJ33" s="899" t="s">
        <v>414</v>
      </c>
      <c r="CK33" s="895">
        <v>45392</v>
      </c>
      <c r="CL33" s="903" t="s">
        <v>3369</v>
      </c>
      <c r="CM33" s="910">
        <v>27</v>
      </c>
      <c r="CN33" s="2081" t="s">
        <v>414</v>
      </c>
      <c r="CO33" s="2106">
        <v>45704</v>
      </c>
      <c r="CP33" s="896" t="s">
        <v>3370</v>
      </c>
      <c r="CQ33" s="2088">
        <v>6.65</v>
      </c>
      <c r="CR33" s="2066"/>
      <c r="CS33" s="2068"/>
    </row>
    <row r="34" spans="1:97">
      <c r="A34" s="329">
        <v>37721</v>
      </c>
      <c r="B34" s="339" t="s">
        <v>3371</v>
      </c>
      <c r="C34" s="337">
        <v>52</v>
      </c>
      <c r="D34" s="332"/>
      <c r="E34" s="329"/>
      <c r="F34" s="339"/>
      <c r="G34" s="337"/>
      <c r="H34" s="332"/>
      <c r="I34" s="329">
        <v>38461</v>
      </c>
      <c r="J34" s="339" t="s">
        <v>802</v>
      </c>
      <c r="K34" s="337">
        <v>30</v>
      </c>
      <c r="L34" s="332"/>
      <c r="M34" s="329">
        <v>38828</v>
      </c>
      <c r="N34" s="339" t="s">
        <v>3372</v>
      </c>
      <c r="O34" s="337">
        <v>20</v>
      </c>
      <c r="P34" s="332"/>
      <c r="Q34" s="329"/>
      <c r="R34" s="339"/>
      <c r="S34" s="337"/>
      <c r="T34" s="332"/>
      <c r="U34" s="329">
        <v>39556</v>
      </c>
      <c r="V34" s="339" t="s">
        <v>767</v>
      </c>
      <c r="W34" s="337">
        <v>50</v>
      </c>
      <c r="X34" s="332"/>
      <c r="Y34" s="329">
        <v>39921</v>
      </c>
      <c r="Z34" s="336" t="s">
        <v>3120</v>
      </c>
      <c r="AA34" s="337">
        <v>34</v>
      </c>
      <c r="AB34" s="332"/>
      <c r="AC34" s="329">
        <v>40286</v>
      </c>
      <c r="AD34" s="339" t="s">
        <v>3373</v>
      </c>
      <c r="AE34" s="337">
        <v>22</v>
      </c>
      <c r="AF34" s="332"/>
      <c r="AG34" s="329">
        <v>40651</v>
      </c>
      <c r="AH34" s="339" t="s">
        <v>2683</v>
      </c>
      <c r="AI34" s="337">
        <v>95</v>
      </c>
      <c r="AJ34" s="332"/>
      <c r="AK34" s="329">
        <v>41020</v>
      </c>
      <c r="AL34" s="339" t="s">
        <v>3374</v>
      </c>
      <c r="AM34" s="337">
        <v>15</v>
      </c>
      <c r="AN34" s="332"/>
      <c r="AO34" s="329">
        <v>41380</v>
      </c>
      <c r="AP34" s="339" t="s">
        <v>3375</v>
      </c>
      <c r="AQ34" s="337">
        <v>25</v>
      </c>
      <c r="AR34" s="332"/>
      <c r="AS34" s="329">
        <v>41745</v>
      </c>
      <c r="AT34" s="339" t="s">
        <v>3376</v>
      </c>
      <c r="AU34" s="395">
        <v>25</v>
      </c>
      <c r="AV34" s="332">
        <f t="shared" si="1"/>
        <v>0.42372881355932202</v>
      </c>
      <c r="AW34" s="329">
        <v>42111</v>
      </c>
      <c r="AX34" s="339" t="s">
        <v>797</v>
      </c>
      <c r="AY34" s="396">
        <v>40</v>
      </c>
      <c r="AZ34" s="332"/>
      <c r="BA34" s="329">
        <v>42472</v>
      </c>
      <c r="BB34" s="339" t="s">
        <v>797</v>
      </c>
      <c r="BC34" s="396">
        <v>32</v>
      </c>
      <c r="BD34" s="332"/>
      <c r="BE34" s="329">
        <v>42838</v>
      </c>
      <c r="BF34" s="339" t="s">
        <v>2409</v>
      </c>
      <c r="BG34" s="396">
        <v>27</v>
      </c>
      <c r="BH34" s="332"/>
      <c r="BI34" s="329">
        <v>43203</v>
      </c>
      <c r="BJ34" s="336" t="s">
        <v>3377</v>
      </c>
      <c r="BK34" s="394">
        <v>7</v>
      </c>
      <c r="BL34" s="332"/>
      <c r="BM34" s="329"/>
      <c r="BN34" s="336"/>
      <c r="BO34" s="394"/>
      <c r="BP34" s="332"/>
      <c r="BQ34" s="895">
        <v>43569</v>
      </c>
      <c r="BR34" s="903" t="s">
        <v>3378</v>
      </c>
      <c r="BS34" s="911">
        <v>20</v>
      </c>
      <c r="BT34" s="899" t="s">
        <v>700</v>
      </c>
      <c r="BU34" s="895">
        <v>43940</v>
      </c>
      <c r="BV34" s="903" t="s">
        <v>823</v>
      </c>
      <c r="BW34" s="911">
        <v>85</v>
      </c>
      <c r="BX34" s="899" t="s">
        <v>414</v>
      </c>
      <c r="BY34" s="895">
        <v>44300</v>
      </c>
      <c r="BZ34" s="903" t="s">
        <v>1693</v>
      </c>
      <c r="CA34" s="911">
        <v>33</v>
      </c>
      <c r="CB34" s="899" t="s">
        <v>414</v>
      </c>
      <c r="CC34" s="895">
        <v>44661</v>
      </c>
      <c r="CD34" s="903" t="s">
        <v>3379</v>
      </c>
      <c r="CE34" s="910">
        <v>20</v>
      </c>
      <c r="CF34" s="899" t="s">
        <v>698</v>
      </c>
      <c r="CG34" s="895">
        <v>45027</v>
      </c>
      <c r="CH34" s="896" t="s">
        <v>3380</v>
      </c>
      <c r="CI34" s="910">
        <v>51</v>
      </c>
      <c r="CJ34" s="899" t="s">
        <v>414</v>
      </c>
      <c r="CK34" s="895">
        <v>45392</v>
      </c>
      <c r="CL34" s="896" t="s">
        <v>3381</v>
      </c>
      <c r="CM34" s="910">
        <v>16</v>
      </c>
      <c r="CN34" s="2081" t="s">
        <v>414</v>
      </c>
      <c r="CO34" s="2106">
        <v>45717</v>
      </c>
      <c r="CP34" s="896" t="s">
        <v>3382</v>
      </c>
      <c r="CQ34" s="2088">
        <v>5.78</v>
      </c>
      <c r="CR34" s="2066"/>
      <c r="CS34" s="2068"/>
    </row>
    <row r="35" spans="1:97">
      <c r="A35" s="329">
        <v>37722</v>
      </c>
      <c r="B35" s="339" t="s">
        <v>410</v>
      </c>
      <c r="C35" s="337">
        <v>25</v>
      </c>
      <c r="D35" s="332"/>
      <c r="E35" s="329"/>
      <c r="F35" s="339"/>
      <c r="G35" s="337"/>
      <c r="H35" s="332"/>
      <c r="I35" s="329">
        <v>38461</v>
      </c>
      <c r="J35" s="339" t="s">
        <v>3383</v>
      </c>
      <c r="K35" s="337">
        <v>10</v>
      </c>
      <c r="L35" s="332"/>
      <c r="M35" s="329">
        <v>38829</v>
      </c>
      <c r="N35" s="339" t="s">
        <v>1810</v>
      </c>
      <c r="O35" s="337">
        <v>20</v>
      </c>
      <c r="P35" s="332"/>
      <c r="Q35" s="329"/>
      <c r="R35" s="339"/>
      <c r="S35" s="337"/>
      <c r="T35" s="332"/>
      <c r="U35" s="329">
        <v>39556</v>
      </c>
      <c r="V35" s="339" t="s">
        <v>1052</v>
      </c>
      <c r="W35" s="337">
        <v>16</v>
      </c>
      <c r="X35" s="332"/>
      <c r="Y35" s="329">
        <v>39921</v>
      </c>
      <c r="Z35" s="339" t="s">
        <v>781</v>
      </c>
      <c r="AA35" s="337">
        <v>80</v>
      </c>
      <c r="AB35" s="332"/>
      <c r="AC35" s="329">
        <v>40286</v>
      </c>
      <c r="AD35" s="339" t="s">
        <v>3384</v>
      </c>
      <c r="AE35" s="337">
        <v>37</v>
      </c>
      <c r="AF35" s="332"/>
      <c r="AG35" s="329">
        <v>40651</v>
      </c>
      <c r="AH35" s="339" t="s">
        <v>3269</v>
      </c>
      <c r="AI35" s="337">
        <v>154</v>
      </c>
      <c r="AJ35" s="332"/>
      <c r="AK35" s="329">
        <v>41020</v>
      </c>
      <c r="AL35" s="339" t="s">
        <v>3385</v>
      </c>
      <c r="AM35" s="337">
        <v>16</v>
      </c>
      <c r="AN35" s="332"/>
      <c r="AO35" s="329">
        <v>41383</v>
      </c>
      <c r="AP35" s="339" t="s">
        <v>3386</v>
      </c>
      <c r="AQ35" s="337">
        <v>2</v>
      </c>
      <c r="AR35" s="332"/>
      <c r="AS35" s="329">
        <v>41745</v>
      </c>
      <c r="AT35" s="339" t="s">
        <v>3387</v>
      </c>
      <c r="AU35" s="395">
        <v>25</v>
      </c>
      <c r="AV35" s="332">
        <f t="shared" si="1"/>
        <v>0.42372881355932202</v>
      </c>
      <c r="AW35" s="329">
        <v>42111</v>
      </c>
      <c r="AX35" s="339" t="s">
        <v>3388</v>
      </c>
      <c r="AY35" s="396">
        <v>25</v>
      </c>
      <c r="AZ35" s="332"/>
      <c r="BA35" s="329">
        <v>42474</v>
      </c>
      <c r="BB35" s="339" t="s">
        <v>754</v>
      </c>
      <c r="BC35" s="396">
        <v>29</v>
      </c>
      <c r="BD35" s="332"/>
      <c r="BE35" s="329">
        <v>42838</v>
      </c>
      <c r="BF35" s="339" t="s">
        <v>1138</v>
      </c>
      <c r="BG35" s="396">
        <v>8</v>
      </c>
      <c r="BH35" s="332"/>
      <c r="BI35" s="329">
        <v>43203</v>
      </c>
      <c r="BJ35" s="336" t="s">
        <v>3389</v>
      </c>
      <c r="BK35" s="394">
        <v>10</v>
      </c>
      <c r="BL35" s="332"/>
      <c r="BM35" s="329"/>
      <c r="BN35" s="336"/>
      <c r="BO35" s="394"/>
      <c r="BP35" s="332"/>
      <c r="BQ35" s="895">
        <v>43566</v>
      </c>
      <c r="BR35" s="903" t="s">
        <v>3390</v>
      </c>
      <c r="BS35" s="911">
        <v>28</v>
      </c>
      <c r="BT35" s="899" t="s">
        <v>278</v>
      </c>
      <c r="BU35" s="895">
        <v>43943</v>
      </c>
      <c r="BV35" s="903" t="s">
        <v>3046</v>
      </c>
      <c r="BW35" s="911">
        <v>47</v>
      </c>
      <c r="BX35" s="899" t="s">
        <v>414</v>
      </c>
      <c r="BY35" s="895">
        <v>44300</v>
      </c>
      <c r="BZ35" s="903" t="s">
        <v>1166</v>
      </c>
      <c r="CA35" s="911">
        <v>27</v>
      </c>
      <c r="CB35" s="899" t="s">
        <v>414</v>
      </c>
      <c r="CC35" s="895">
        <v>44661</v>
      </c>
      <c r="CD35" s="903" t="s">
        <v>2665</v>
      </c>
      <c r="CE35" s="910">
        <v>33</v>
      </c>
      <c r="CF35" s="899" t="s">
        <v>414</v>
      </c>
      <c r="CG35" s="895">
        <v>45027</v>
      </c>
      <c r="CH35" s="903" t="s">
        <v>3391</v>
      </c>
      <c r="CI35" s="910">
        <v>49</v>
      </c>
      <c r="CJ35" s="899" t="s">
        <v>700</v>
      </c>
      <c r="CK35" s="895">
        <v>45392</v>
      </c>
      <c r="CL35" s="903" t="s">
        <v>3392</v>
      </c>
      <c r="CM35" s="910">
        <v>10</v>
      </c>
      <c r="CN35" s="2081" t="s">
        <v>414</v>
      </c>
      <c r="CO35" s="2106">
        <v>45717</v>
      </c>
      <c r="CP35" s="896" t="s">
        <v>3393</v>
      </c>
      <c r="CQ35" s="2088">
        <v>21.97</v>
      </c>
      <c r="CR35" s="2066"/>
      <c r="CS35" s="2068"/>
    </row>
    <row r="36" spans="1:97">
      <c r="A36" s="329">
        <v>37723</v>
      </c>
      <c r="B36" s="339" t="s">
        <v>3394</v>
      </c>
      <c r="C36" s="337">
        <v>9</v>
      </c>
      <c r="D36" s="332"/>
      <c r="E36" s="329"/>
      <c r="F36" s="339"/>
      <c r="G36" s="337"/>
      <c r="H36" s="332"/>
      <c r="I36" s="329">
        <v>38463</v>
      </c>
      <c r="J36" s="339" t="s">
        <v>3383</v>
      </c>
      <c r="K36" s="337">
        <v>18</v>
      </c>
      <c r="L36" s="332"/>
      <c r="M36" s="329">
        <v>38829</v>
      </c>
      <c r="N36" s="339" t="s">
        <v>1853</v>
      </c>
      <c r="O36" s="337">
        <v>12</v>
      </c>
      <c r="P36" s="332"/>
      <c r="Q36" s="329"/>
      <c r="R36" s="339"/>
      <c r="S36" s="337"/>
      <c r="T36" s="332"/>
      <c r="U36" s="329">
        <v>39559</v>
      </c>
      <c r="V36" s="339" t="s">
        <v>802</v>
      </c>
      <c r="W36" s="337">
        <v>51</v>
      </c>
      <c r="X36" s="332"/>
      <c r="Y36" s="329">
        <v>39921</v>
      </c>
      <c r="Z36" s="339" t="s">
        <v>3395</v>
      </c>
      <c r="AA36" s="337">
        <v>16</v>
      </c>
      <c r="AB36" s="332"/>
      <c r="AC36" s="329">
        <v>40288</v>
      </c>
      <c r="AD36" s="336" t="s">
        <v>2462</v>
      </c>
      <c r="AE36" s="337">
        <v>19</v>
      </c>
      <c r="AF36" s="332"/>
      <c r="AG36" s="329">
        <v>40651</v>
      </c>
      <c r="AH36" s="339" t="s">
        <v>772</v>
      </c>
      <c r="AI36" s="337">
        <v>75</v>
      </c>
      <c r="AJ36" s="332"/>
      <c r="AK36" s="329">
        <v>41021</v>
      </c>
      <c r="AL36" s="339" t="s">
        <v>772</v>
      </c>
      <c r="AM36" s="337">
        <v>71</v>
      </c>
      <c r="AN36" s="332"/>
      <c r="AO36" s="329">
        <v>41383</v>
      </c>
      <c r="AP36" s="339" t="s">
        <v>867</v>
      </c>
      <c r="AQ36" s="337">
        <v>17</v>
      </c>
      <c r="AR36" s="332"/>
      <c r="AS36" s="329">
        <v>41746</v>
      </c>
      <c r="AT36" s="339" t="s">
        <v>3396</v>
      </c>
      <c r="AU36" s="395">
        <v>15</v>
      </c>
      <c r="AV36" s="332">
        <f t="shared" si="1"/>
        <v>0.25423728813559321</v>
      </c>
      <c r="AW36" s="329">
        <v>42111</v>
      </c>
      <c r="AX36" s="339" t="s">
        <v>3397</v>
      </c>
      <c r="AY36" s="396">
        <v>95</v>
      </c>
      <c r="AZ36" s="332"/>
      <c r="BA36" s="329">
        <v>42474</v>
      </c>
      <c r="BB36" s="339" t="s">
        <v>772</v>
      </c>
      <c r="BC36" s="396">
        <v>24</v>
      </c>
      <c r="BD36" s="332"/>
      <c r="BE36" s="329">
        <v>42838</v>
      </c>
      <c r="BF36" s="339" t="s">
        <v>1901</v>
      </c>
      <c r="BG36" s="396">
        <v>26</v>
      </c>
      <c r="BH36" s="332"/>
      <c r="BI36" s="329">
        <v>43203</v>
      </c>
      <c r="BJ36" s="336" t="s">
        <v>3398</v>
      </c>
      <c r="BK36" s="394">
        <v>6</v>
      </c>
      <c r="BL36" s="332"/>
      <c r="BM36" s="329"/>
      <c r="BN36" s="336"/>
      <c r="BO36" s="394"/>
      <c r="BP36" s="332"/>
      <c r="BQ36" s="895">
        <v>43566</v>
      </c>
      <c r="BR36" s="903" t="s">
        <v>3399</v>
      </c>
      <c r="BS36" s="911">
        <v>68</v>
      </c>
      <c r="BT36" s="899" t="s">
        <v>667</v>
      </c>
      <c r="BU36" s="895">
        <v>43945</v>
      </c>
      <c r="BV36" s="903" t="s">
        <v>3400</v>
      </c>
      <c r="BW36" s="911">
        <v>57</v>
      </c>
      <c r="BX36" s="899" t="s">
        <v>280</v>
      </c>
      <c r="BY36" s="895">
        <v>44300</v>
      </c>
      <c r="BZ36" s="903" t="s">
        <v>3401</v>
      </c>
      <c r="CA36" s="911">
        <v>50</v>
      </c>
      <c r="CB36" s="899" t="s">
        <v>700</v>
      </c>
      <c r="CC36" s="895">
        <v>44662</v>
      </c>
      <c r="CD36" s="903" t="s">
        <v>845</v>
      </c>
      <c r="CE36" s="910">
        <v>35</v>
      </c>
      <c r="CF36" s="899" t="s">
        <v>414</v>
      </c>
      <c r="CG36" s="895">
        <v>45027</v>
      </c>
      <c r="CH36" s="903" t="s">
        <v>3402</v>
      </c>
      <c r="CI36" s="910">
        <v>18</v>
      </c>
      <c r="CJ36" s="899" t="s">
        <v>278</v>
      </c>
      <c r="CK36" s="895">
        <v>45392</v>
      </c>
      <c r="CL36" s="903" t="s">
        <v>3403</v>
      </c>
      <c r="CM36" s="910">
        <v>37</v>
      </c>
      <c r="CN36" s="2081" t="s">
        <v>414</v>
      </c>
      <c r="CO36" s="2106">
        <v>45718</v>
      </c>
      <c r="CP36" s="896" t="s">
        <v>3404</v>
      </c>
      <c r="CQ36" s="2088">
        <v>24.71</v>
      </c>
      <c r="CR36" s="2066"/>
      <c r="CS36" s="2068"/>
    </row>
    <row r="37" spans="1:97">
      <c r="A37" s="329">
        <v>37723</v>
      </c>
      <c r="B37" s="339" t="s">
        <v>3405</v>
      </c>
      <c r="C37" s="337">
        <v>10</v>
      </c>
      <c r="D37" s="332"/>
      <c r="E37" s="329"/>
      <c r="F37" s="339"/>
      <c r="G37" s="337"/>
      <c r="H37" s="332"/>
      <c r="I37" s="329">
        <v>38464</v>
      </c>
      <c r="J37" s="339" t="s">
        <v>1810</v>
      </c>
      <c r="K37" s="337">
        <v>25</v>
      </c>
      <c r="L37" s="332"/>
      <c r="M37" s="329">
        <v>38829</v>
      </c>
      <c r="N37" s="339" t="s">
        <v>3406</v>
      </c>
      <c r="O37" s="337">
        <v>12</v>
      </c>
      <c r="P37" s="332"/>
      <c r="Q37" s="329"/>
      <c r="R37" s="339"/>
      <c r="S37" s="337"/>
      <c r="T37" s="332"/>
      <c r="U37" s="329">
        <v>39559</v>
      </c>
      <c r="V37" s="339" t="s">
        <v>3407</v>
      </c>
      <c r="W37" s="337">
        <v>8</v>
      </c>
      <c r="X37" s="332"/>
      <c r="Y37" s="329">
        <v>39921</v>
      </c>
      <c r="Z37" s="339" t="s">
        <v>3408</v>
      </c>
      <c r="AA37" s="337">
        <v>18</v>
      </c>
      <c r="AB37" s="332"/>
      <c r="AC37" s="329">
        <v>40288</v>
      </c>
      <c r="AD37" s="339" t="s">
        <v>797</v>
      </c>
      <c r="AE37" s="337">
        <v>42</v>
      </c>
      <c r="AF37" s="332"/>
      <c r="AG37" s="329">
        <v>40656</v>
      </c>
      <c r="AH37" s="339" t="s">
        <v>3409</v>
      </c>
      <c r="AI37" s="337">
        <v>26</v>
      </c>
      <c r="AJ37" s="332"/>
      <c r="AK37" s="329">
        <v>41021</v>
      </c>
      <c r="AL37" s="339" t="s">
        <v>754</v>
      </c>
      <c r="AM37" s="337">
        <v>93</v>
      </c>
      <c r="AN37" s="332"/>
      <c r="AO37" s="329">
        <v>41384</v>
      </c>
      <c r="AP37" s="339" t="s">
        <v>3410</v>
      </c>
      <c r="AQ37" s="337">
        <v>30</v>
      </c>
      <c r="AR37" s="332"/>
      <c r="AS37" s="329">
        <v>41746</v>
      </c>
      <c r="AT37" s="339" t="s">
        <v>3411</v>
      </c>
      <c r="AU37" s="395">
        <v>15</v>
      </c>
      <c r="AV37" s="332">
        <f t="shared" si="1"/>
        <v>0.25423728813559321</v>
      </c>
      <c r="AW37" s="329">
        <v>42111</v>
      </c>
      <c r="AX37" s="339" t="s">
        <v>3412</v>
      </c>
      <c r="AY37" s="396">
        <v>280</v>
      </c>
      <c r="AZ37" s="332"/>
      <c r="BA37" s="329">
        <v>42475</v>
      </c>
      <c r="BB37" s="339" t="s">
        <v>3413</v>
      </c>
      <c r="BC37" s="396">
        <v>3</v>
      </c>
      <c r="BD37" s="332"/>
      <c r="BE37" s="329">
        <v>42838</v>
      </c>
      <c r="BF37" s="339" t="s">
        <v>1849</v>
      </c>
      <c r="BG37" s="396">
        <v>11</v>
      </c>
      <c r="BH37" s="332"/>
      <c r="BI37" s="329">
        <v>43203</v>
      </c>
      <c r="BJ37" s="336" t="s">
        <v>3414</v>
      </c>
      <c r="BK37" s="394">
        <v>10</v>
      </c>
      <c r="BL37" s="332"/>
      <c r="BM37" s="329"/>
      <c r="BN37" s="336"/>
      <c r="BO37" s="394"/>
      <c r="BP37" s="332"/>
      <c r="BQ37" s="895">
        <v>43569</v>
      </c>
      <c r="BR37" s="903" t="s">
        <v>3415</v>
      </c>
      <c r="BS37" s="911">
        <v>206</v>
      </c>
      <c r="BT37" s="899"/>
      <c r="BU37" s="895">
        <v>43946</v>
      </c>
      <c r="BV37" s="903" t="s">
        <v>873</v>
      </c>
      <c r="BW37" s="911">
        <v>160</v>
      </c>
      <c r="BX37" s="899" t="s">
        <v>414</v>
      </c>
      <c r="BY37" s="895">
        <v>44300</v>
      </c>
      <c r="BZ37" s="903" t="s">
        <v>3416</v>
      </c>
      <c r="CA37" s="911">
        <v>13</v>
      </c>
      <c r="CB37" s="899" t="s">
        <v>414</v>
      </c>
      <c r="CC37" s="895">
        <v>44664</v>
      </c>
      <c r="CD37" s="903" t="s">
        <v>1180</v>
      </c>
      <c r="CE37" s="910">
        <v>62</v>
      </c>
      <c r="CF37" s="899" t="s">
        <v>410</v>
      </c>
      <c r="CG37" s="895">
        <v>45027</v>
      </c>
      <c r="CH37" s="903" t="s">
        <v>3417</v>
      </c>
      <c r="CI37" s="910">
        <v>66</v>
      </c>
      <c r="CJ37" s="899" t="s">
        <v>414</v>
      </c>
      <c r="CK37" s="895">
        <v>45392</v>
      </c>
      <c r="CL37" s="903" t="s">
        <v>3418</v>
      </c>
      <c r="CM37" s="910">
        <v>81</v>
      </c>
      <c r="CN37" s="2081" t="s">
        <v>414</v>
      </c>
      <c r="CO37" s="2106">
        <v>45718</v>
      </c>
      <c r="CP37" s="896" t="s">
        <v>3419</v>
      </c>
      <c r="CQ37" s="2088">
        <v>25.49</v>
      </c>
      <c r="CR37" s="2066"/>
      <c r="CS37" s="2068"/>
    </row>
    <row r="38" spans="1:97">
      <c r="A38" s="329">
        <v>37723</v>
      </c>
      <c r="B38" s="339" t="s">
        <v>3420</v>
      </c>
      <c r="C38" s="337">
        <v>115</v>
      </c>
      <c r="D38" s="332"/>
      <c r="E38" s="329"/>
      <c r="F38" s="339"/>
      <c r="G38" s="337"/>
      <c r="H38" s="332"/>
      <c r="I38" s="329">
        <v>38465</v>
      </c>
      <c r="J38" s="339" t="s">
        <v>3057</v>
      </c>
      <c r="K38" s="337">
        <v>38</v>
      </c>
      <c r="L38" s="332"/>
      <c r="M38" s="329">
        <v>38829</v>
      </c>
      <c r="N38" s="339" t="s">
        <v>3421</v>
      </c>
      <c r="O38" s="337">
        <v>4</v>
      </c>
      <c r="P38" s="332"/>
      <c r="Q38" s="329"/>
      <c r="R38" s="339"/>
      <c r="S38" s="337"/>
      <c r="T38" s="332"/>
      <c r="U38" s="329">
        <v>39561</v>
      </c>
      <c r="V38" s="339" t="s">
        <v>797</v>
      </c>
      <c r="W38" s="337">
        <v>54</v>
      </c>
      <c r="X38" s="332"/>
      <c r="Y38" s="329">
        <v>39921</v>
      </c>
      <c r="Z38" s="339" t="s">
        <v>3422</v>
      </c>
      <c r="AA38" s="337">
        <v>26</v>
      </c>
      <c r="AB38" s="332"/>
      <c r="AC38" s="329">
        <v>40288</v>
      </c>
      <c r="AD38" s="339" t="s">
        <v>797</v>
      </c>
      <c r="AE38" s="337">
        <v>50</v>
      </c>
      <c r="AF38" s="332"/>
      <c r="AG38" s="329">
        <v>40656</v>
      </c>
      <c r="AH38" s="339" t="s">
        <v>2367</v>
      </c>
      <c r="AI38" s="337">
        <v>45</v>
      </c>
      <c r="AJ38" s="332"/>
      <c r="AK38" s="329">
        <v>41021</v>
      </c>
      <c r="AL38" s="339" t="s">
        <v>797</v>
      </c>
      <c r="AM38" s="337">
        <v>70</v>
      </c>
      <c r="AN38" s="332"/>
      <c r="AO38" s="329">
        <v>41384</v>
      </c>
      <c r="AP38" s="339" t="s">
        <v>3423</v>
      </c>
      <c r="AQ38" s="337">
        <v>5</v>
      </c>
      <c r="AR38" s="332"/>
      <c r="AS38" s="329">
        <v>41746</v>
      </c>
      <c r="AT38" s="339" t="s">
        <v>3424</v>
      </c>
      <c r="AU38" s="395">
        <v>2800</v>
      </c>
      <c r="AV38" s="332">
        <f t="shared" si="1"/>
        <v>47.457627118644069</v>
      </c>
      <c r="AW38" s="329">
        <v>42111</v>
      </c>
      <c r="AX38" s="339" t="s">
        <v>3425</v>
      </c>
      <c r="AY38" s="396">
        <v>230</v>
      </c>
      <c r="AZ38" s="332"/>
      <c r="BA38" s="329">
        <v>42475</v>
      </c>
      <c r="BB38" s="339" t="s">
        <v>3426</v>
      </c>
      <c r="BC38" s="396">
        <v>20</v>
      </c>
      <c r="BD38" s="332"/>
      <c r="BE38" s="329">
        <v>42839</v>
      </c>
      <c r="BF38" s="339" t="s">
        <v>3427</v>
      </c>
      <c r="BG38" s="396">
        <v>38</v>
      </c>
      <c r="BH38" s="332"/>
      <c r="BI38" s="329">
        <v>43203</v>
      </c>
      <c r="BJ38" s="336" t="s">
        <v>3428</v>
      </c>
      <c r="BK38" s="394">
        <v>21</v>
      </c>
      <c r="BL38" s="332"/>
      <c r="BM38" s="329"/>
      <c r="BN38" s="336"/>
      <c r="BO38" s="394"/>
      <c r="BP38" s="332"/>
      <c r="BQ38" s="895">
        <v>43569</v>
      </c>
      <c r="BR38" s="903" t="s">
        <v>3429</v>
      </c>
      <c r="BS38" s="911">
        <v>9</v>
      </c>
      <c r="BT38" s="899" t="s">
        <v>284</v>
      </c>
      <c r="BU38" s="895">
        <v>43946</v>
      </c>
      <c r="BV38" s="903" t="s">
        <v>872</v>
      </c>
      <c r="BW38" s="911">
        <v>49</v>
      </c>
      <c r="BX38" s="899" t="s">
        <v>414</v>
      </c>
      <c r="BY38" s="895">
        <v>44300</v>
      </c>
      <c r="BZ38" s="903" t="s">
        <v>3430</v>
      </c>
      <c r="CA38" s="911">
        <v>35</v>
      </c>
      <c r="CB38" s="899" t="s">
        <v>701</v>
      </c>
      <c r="CC38" s="895">
        <v>44664</v>
      </c>
      <c r="CD38" s="903" t="s">
        <v>3431</v>
      </c>
      <c r="CE38" s="910">
        <v>1000</v>
      </c>
      <c r="CF38" s="899" t="s">
        <v>381</v>
      </c>
      <c r="CG38" s="895">
        <v>45027</v>
      </c>
      <c r="CH38" s="903" t="s">
        <v>3432</v>
      </c>
      <c r="CI38" s="910">
        <v>32</v>
      </c>
      <c r="CJ38" s="899" t="s">
        <v>700</v>
      </c>
      <c r="CK38" s="895">
        <v>45392</v>
      </c>
      <c r="CL38" s="903" t="s">
        <v>2070</v>
      </c>
      <c r="CM38" s="910">
        <v>26</v>
      </c>
      <c r="CN38" s="2081" t="s">
        <v>414</v>
      </c>
      <c r="CO38" s="2106">
        <v>45718</v>
      </c>
      <c r="CP38" s="896" t="s">
        <v>3433</v>
      </c>
      <c r="CQ38" s="2088">
        <v>26.89</v>
      </c>
      <c r="CR38" s="2066"/>
      <c r="CS38" s="2068"/>
    </row>
    <row r="39" spans="1:97">
      <c r="A39" s="329">
        <v>37723</v>
      </c>
      <c r="B39" s="339" t="s">
        <v>3434</v>
      </c>
      <c r="C39" s="337">
        <v>26</v>
      </c>
      <c r="D39" s="332"/>
      <c r="E39" s="329"/>
      <c r="F39" s="339"/>
      <c r="G39" s="337"/>
      <c r="H39" s="332"/>
      <c r="I39" s="329">
        <v>38465</v>
      </c>
      <c r="J39" s="339" t="s">
        <v>3435</v>
      </c>
      <c r="K39" s="337">
        <v>10</v>
      </c>
      <c r="L39" s="332"/>
      <c r="M39" s="329">
        <v>38829</v>
      </c>
      <c r="N39" s="339" t="s">
        <v>3436</v>
      </c>
      <c r="O39" s="337">
        <v>4</v>
      </c>
      <c r="P39" s="332"/>
      <c r="Q39" s="329"/>
      <c r="R39" s="339"/>
      <c r="S39" s="337"/>
      <c r="T39" s="332"/>
      <c r="U39" s="329">
        <v>39564</v>
      </c>
      <c r="V39" s="339" t="s">
        <v>3437</v>
      </c>
      <c r="W39" s="337">
        <v>4</v>
      </c>
      <c r="X39" s="332"/>
      <c r="Y39" s="329">
        <v>39922</v>
      </c>
      <c r="Z39" s="339" t="s">
        <v>3438</v>
      </c>
      <c r="AA39" s="337">
        <v>92</v>
      </c>
      <c r="AB39" s="332"/>
      <c r="AC39" s="329">
        <v>40292</v>
      </c>
      <c r="AD39" s="339" t="s">
        <v>3295</v>
      </c>
      <c r="AE39" s="337">
        <v>42</v>
      </c>
      <c r="AF39" s="332"/>
      <c r="AG39" s="329">
        <v>40656</v>
      </c>
      <c r="AH39" s="339" t="s">
        <v>3439</v>
      </c>
      <c r="AI39" s="337">
        <v>37</v>
      </c>
      <c r="AJ39" s="332"/>
      <c r="AK39" s="329">
        <v>41023</v>
      </c>
      <c r="AL39" s="339" t="s">
        <v>3440</v>
      </c>
      <c r="AM39" s="337"/>
      <c r="AN39" s="332"/>
      <c r="AO39" s="329">
        <v>41384</v>
      </c>
      <c r="AP39" s="339" t="s">
        <v>754</v>
      </c>
      <c r="AQ39" s="337">
        <v>138</v>
      </c>
      <c r="AR39" s="332"/>
      <c r="AS39" s="329">
        <v>41747</v>
      </c>
      <c r="AT39" s="339" t="s">
        <v>3441</v>
      </c>
      <c r="AU39" s="395">
        <v>865</v>
      </c>
      <c r="AV39" s="332">
        <f t="shared" si="1"/>
        <v>14.661016949152541</v>
      </c>
      <c r="AW39" s="329">
        <v>42112</v>
      </c>
      <c r="AX39" s="339" t="s">
        <v>954</v>
      </c>
      <c r="AY39" s="396">
        <v>98</v>
      </c>
      <c r="AZ39" s="332"/>
      <c r="BA39" s="329">
        <v>42475</v>
      </c>
      <c r="BB39" s="339" t="s">
        <v>3442</v>
      </c>
      <c r="BC39" s="396">
        <v>3</v>
      </c>
      <c r="BD39" s="332"/>
      <c r="BE39" s="329">
        <v>42839</v>
      </c>
      <c r="BF39" s="339" t="s">
        <v>3443</v>
      </c>
      <c r="BG39" s="396">
        <v>38</v>
      </c>
      <c r="BH39" s="332"/>
      <c r="BI39" s="329">
        <v>43203</v>
      </c>
      <c r="BJ39" s="336" t="s">
        <v>3444</v>
      </c>
      <c r="BK39" s="394">
        <v>3</v>
      </c>
      <c r="BL39" s="332"/>
      <c r="BM39" s="329"/>
      <c r="BN39" s="336"/>
      <c r="BO39" s="394"/>
      <c r="BP39" s="332"/>
      <c r="BQ39" s="895">
        <v>43569</v>
      </c>
      <c r="BR39" s="903" t="s">
        <v>3445</v>
      </c>
      <c r="BS39" s="911">
        <v>22</v>
      </c>
      <c r="BT39" s="899" t="s">
        <v>667</v>
      </c>
      <c r="BU39" s="895">
        <v>43947</v>
      </c>
      <c r="BV39" s="903" t="s">
        <v>3446</v>
      </c>
      <c r="BW39" s="911">
        <v>60</v>
      </c>
      <c r="BX39" s="899" t="s">
        <v>280</v>
      </c>
      <c r="BY39" s="895">
        <v>44300</v>
      </c>
      <c r="BZ39" s="903" t="s">
        <v>3447</v>
      </c>
      <c r="CA39" s="911">
        <v>21</v>
      </c>
      <c r="CB39" s="899" t="s">
        <v>701</v>
      </c>
      <c r="CC39" s="895">
        <v>44664</v>
      </c>
      <c r="CD39" s="903" t="s">
        <v>781</v>
      </c>
      <c r="CE39" s="910">
        <v>40</v>
      </c>
      <c r="CF39" s="899" t="s">
        <v>280</v>
      </c>
      <c r="CG39" s="895">
        <v>45027</v>
      </c>
      <c r="CH39" s="903" t="s">
        <v>3448</v>
      </c>
      <c r="CI39" s="910">
        <v>17</v>
      </c>
      <c r="CJ39" s="899" t="s">
        <v>414</v>
      </c>
      <c r="CK39" s="895">
        <v>45392</v>
      </c>
      <c r="CL39" s="903" t="s">
        <v>3449</v>
      </c>
      <c r="CM39" s="910">
        <v>16</v>
      </c>
      <c r="CN39" s="2081" t="s">
        <v>414</v>
      </c>
      <c r="CO39" s="2106">
        <v>45721</v>
      </c>
      <c r="CP39" s="896" t="s">
        <v>3370</v>
      </c>
      <c r="CQ39" s="2088">
        <v>17.989999999999998</v>
      </c>
      <c r="CR39" s="2066"/>
      <c r="CS39" s="2068"/>
    </row>
    <row r="40" spans="1:97">
      <c r="A40" s="329">
        <v>37724</v>
      </c>
      <c r="B40" s="339" t="s">
        <v>1189</v>
      </c>
      <c r="C40" s="337">
        <v>53</v>
      </c>
      <c r="D40" s="332"/>
      <c r="E40" s="329"/>
      <c r="F40" s="339"/>
      <c r="G40" s="337"/>
      <c r="H40" s="332"/>
      <c r="I40" s="329">
        <v>38465</v>
      </c>
      <c r="J40" s="339" t="s">
        <v>3450</v>
      </c>
      <c r="K40" s="337">
        <v>33</v>
      </c>
      <c r="L40" s="332"/>
      <c r="M40" s="329">
        <v>38829</v>
      </c>
      <c r="N40" s="339" t="s">
        <v>3451</v>
      </c>
      <c r="O40" s="337">
        <v>10</v>
      </c>
      <c r="P40" s="332"/>
      <c r="Q40" s="329"/>
      <c r="R40" s="339"/>
      <c r="S40" s="337"/>
      <c r="T40" s="332"/>
      <c r="U40" s="329">
        <v>39564</v>
      </c>
      <c r="V40" s="339" t="s">
        <v>3452</v>
      </c>
      <c r="W40" s="337">
        <v>60</v>
      </c>
      <c r="X40" s="332"/>
      <c r="Y40" s="329">
        <v>39924</v>
      </c>
      <c r="Z40" s="339" t="s">
        <v>797</v>
      </c>
      <c r="AA40" s="337">
        <v>12</v>
      </c>
      <c r="AB40" s="332"/>
      <c r="AC40" s="329">
        <v>40292</v>
      </c>
      <c r="AD40" s="339" t="s">
        <v>3453</v>
      </c>
      <c r="AE40" s="337">
        <v>16</v>
      </c>
      <c r="AF40" s="332"/>
      <c r="AG40" s="329">
        <v>40656</v>
      </c>
      <c r="AH40" s="336" t="s">
        <v>3359</v>
      </c>
      <c r="AI40" s="337">
        <v>29</v>
      </c>
      <c r="AJ40" s="332"/>
      <c r="AK40" s="329">
        <v>41023</v>
      </c>
      <c r="AL40" s="339" t="s">
        <v>3454</v>
      </c>
      <c r="AM40" s="337">
        <v>20</v>
      </c>
      <c r="AN40" s="332"/>
      <c r="AO40" s="329">
        <v>41384</v>
      </c>
      <c r="AP40" s="339" t="s">
        <v>3455</v>
      </c>
      <c r="AQ40" s="337">
        <v>50</v>
      </c>
      <c r="AR40" s="332"/>
      <c r="AS40" s="329">
        <v>41747</v>
      </c>
      <c r="AT40" s="339" t="s">
        <v>3456</v>
      </c>
      <c r="AU40" s="395">
        <v>15</v>
      </c>
      <c r="AV40" s="332">
        <f t="shared" si="1"/>
        <v>0.25423728813559321</v>
      </c>
      <c r="AW40" s="329">
        <v>42112</v>
      </c>
      <c r="AX40" s="339" t="s">
        <v>772</v>
      </c>
      <c r="AY40" s="396">
        <v>35</v>
      </c>
      <c r="AZ40" s="332"/>
      <c r="BA40" s="329">
        <v>42476</v>
      </c>
      <c r="BB40" s="339" t="s">
        <v>3457</v>
      </c>
      <c r="BC40" s="396">
        <v>20</v>
      </c>
      <c r="BD40" s="332"/>
      <c r="BE40" s="329">
        <v>42839</v>
      </c>
      <c r="BF40" s="339" t="s">
        <v>3458</v>
      </c>
      <c r="BG40" s="396">
        <v>4</v>
      </c>
      <c r="BH40" s="332"/>
      <c r="BI40" s="329">
        <v>43203</v>
      </c>
      <c r="BJ40" s="336" t="s">
        <v>3459</v>
      </c>
      <c r="BK40" s="394">
        <v>13</v>
      </c>
      <c r="BL40" s="332"/>
      <c r="BM40" s="329"/>
      <c r="BN40" s="336"/>
      <c r="BO40" s="394"/>
      <c r="BP40" s="332"/>
      <c r="BQ40" s="895">
        <v>43569</v>
      </c>
      <c r="BR40" s="903" t="s">
        <v>3460</v>
      </c>
      <c r="BS40" s="911">
        <v>14</v>
      </c>
      <c r="BT40" s="899" t="s">
        <v>284</v>
      </c>
      <c r="BU40" s="895">
        <v>43947</v>
      </c>
      <c r="BV40" s="903" t="s">
        <v>3461</v>
      </c>
      <c r="BW40" s="911">
        <v>40</v>
      </c>
      <c r="BX40" s="899" t="s">
        <v>280</v>
      </c>
      <c r="BY40" s="895">
        <v>44300</v>
      </c>
      <c r="BZ40" s="903" t="s">
        <v>3462</v>
      </c>
      <c r="CA40" s="911">
        <v>7</v>
      </c>
      <c r="CB40" s="899" t="s">
        <v>280</v>
      </c>
      <c r="CC40" s="895">
        <v>44664</v>
      </c>
      <c r="CD40" s="903" t="s">
        <v>867</v>
      </c>
      <c r="CE40" s="910">
        <v>40</v>
      </c>
      <c r="CF40" s="899" t="s">
        <v>280</v>
      </c>
      <c r="CG40" s="895">
        <v>45027</v>
      </c>
      <c r="CH40" s="903" t="s">
        <v>987</v>
      </c>
      <c r="CI40" s="910">
        <v>15</v>
      </c>
      <c r="CJ40" s="899" t="s">
        <v>414</v>
      </c>
      <c r="CK40" s="895">
        <v>45392</v>
      </c>
      <c r="CL40" s="903" t="s">
        <v>3463</v>
      </c>
      <c r="CM40" s="910">
        <v>30</v>
      </c>
      <c r="CN40" s="2081" t="s">
        <v>414</v>
      </c>
      <c r="CO40" s="2106">
        <v>45722</v>
      </c>
      <c r="CP40" s="896" t="s">
        <v>3464</v>
      </c>
      <c r="CQ40" s="2088">
        <v>14.24</v>
      </c>
      <c r="CR40" s="2066"/>
      <c r="CS40" s="2068"/>
    </row>
    <row r="41" spans="1:97">
      <c r="A41" s="329">
        <v>37724</v>
      </c>
      <c r="B41" s="339" t="s">
        <v>772</v>
      </c>
      <c r="C41" s="337">
        <v>26</v>
      </c>
      <c r="D41" s="332"/>
      <c r="E41" s="329"/>
      <c r="F41" s="339"/>
      <c r="G41" s="337"/>
      <c r="H41" s="332"/>
      <c r="I41" s="329">
        <v>38465</v>
      </c>
      <c r="J41" s="339" t="s">
        <v>3465</v>
      </c>
      <c r="K41" s="337">
        <v>48</v>
      </c>
      <c r="L41" s="332"/>
      <c r="M41" s="329">
        <v>38830</v>
      </c>
      <c r="N41" s="339" t="s">
        <v>797</v>
      </c>
      <c r="O41" s="337">
        <v>41</v>
      </c>
      <c r="P41" s="332"/>
      <c r="Q41" s="329"/>
      <c r="R41" s="339"/>
      <c r="S41" s="337"/>
      <c r="T41" s="332"/>
      <c r="U41" s="329">
        <v>39565</v>
      </c>
      <c r="V41" s="339" t="s">
        <v>797</v>
      </c>
      <c r="W41" s="337">
        <v>54</v>
      </c>
      <c r="X41" s="332"/>
      <c r="Y41" s="329">
        <v>39924</v>
      </c>
      <c r="Z41" s="339" t="s">
        <v>2417</v>
      </c>
      <c r="AA41" s="337">
        <v>4</v>
      </c>
      <c r="AB41" s="332"/>
      <c r="AC41" s="329">
        <v>40293</v>
      </c>
      <c r="AD41" s="339" t="s">
        <v>3466</v>
      </c>
      <c r="AE41" s="337">
        <v>32</v>
      </c>
      <c r="AF41" s="332"/>
      <c r="AG41" s="329">
        <v>40657</v>
      </c>
      <c r="AH41" s="339" t="s">
        <v>3467</v>
      </c>
      <c r="AI41" s="337">
        <v>68</v>
      </c>
      <c r="AJ41" s="332"/>
      <c r="AK41" s="329">
        <v>41023</v>
      </c>
      <c r="AL41" s="339" t="s">
        <v>890</v>
      </c>
      <c r="AM41" s="337">
        <v>15</v>
      </c>
      <c r="AN41" s="332"/>
      <c r="AO41" s="329">
        <v>41386</v>
      </c>
      <c r="AP41" s="339" t="s">
        <v>3468</v>
      </c>
      <c r="AQ41" s="337">
        <v>32</v>
      </c>
      <c r="AR41" s="332"/>
      <c r="AS41" s="329">
        <v>41747</v>
      </c>
      <c r="AT41" s="339" t="s">
        <v>3469</v>
      </c>
      <c r="AU41" s="395">
        <v>45</v>
      </c>
      <c r="AV41" s="332">
        <f t="shared" si="1"/>
        <v>0.76271186440677963</v>
      </c>
      <c r="AW41" s="329">
        <v>42112</v>
      </c>
      <c r="AX41" s="339" t="s">
        <v>3470</v>
      </c>
      <c r="AY41" s="396">
        <v>20</v>
      </c>
      <c r="AZ41" s="332"/>
      <c r="BA41" s="329">
        <v>42476</v>
      </c>
      <c r="BB41" s="339" t="s">
        <v>3471</v>
      </c>
      <c r="BC41" s="396">
        <v>2</v>
      </c>
      <c r="BD41" s="332"/>
      <c r="BE41" s="329">
        <v>42839</v>
      </c>
      <c r="BF41" s="339" t="s">
        <v>3472</v>
      </c>
      <c r="BG41" s="396">
        <v>3</v>
      </c>
      <c r="BH41" s="332"/>
      <c r="BI41" s="329">
        <v>43203</v>
      </c>
      <c r="BJ41" s="336" t="s">
        <v>1087</v>
      </c>
      <c r="BK41" s="394">
        <v>100</v>
      </c>
      <c r="BL41" s="332"/>
      <c r="BM41" s="329"/>
      <c r="BN41" s="336"/>
      <c r="BO41" s="394"/>
      <c r="BP41" s="332"/>
      <c r="BQ41" s="895">
        <v>43569</v>
      </c>
      <c r="BR41" s="903" t="s">
        <v>3473</v>
      </c>
      <c r="BS41" s="911">
        <v>100</v>
      </c>
      <c r="BT41" s="899" t="s">
        <v>280</v>
      </c>
      <c r="BU41" s="895">
        <v>43951</v>
      </c>
      <c r="BV41" s="903" t="s">
        <v>3474</v>
      </c>
      <c r="BW41" s="911">
        <v>0</v>
      </c>
      <c r="BX41" s="899"/>
      <c r="BY41" s="895">
        <v>44300</v>
      </c>
      <c r="BZ41" s="903" t="s">
        <v>3475</v>
      </c>
      <c r="CA41" s="911">
        <v>28</v>
      </c>
      <c r="CB41" s="899" t="s">
        <v>280</v>
      </c>
      <c r="CC41" s="895">
        <v>44664</v>
      </c>
      <c r="CD41" s="903" t="s">
        <v>3476</v>
      </c>
      <c r="CE41" s="910">
        <v>144</v>
      </c>
      <c r="CF41" s="899" t="s">
        <v>280</v>
      </c>
      <c r="CG41" s="895">
        <v>45027</v>
      </c>
      <c r="CH41" s="903" t="s">
        <v>3477</v>
      </c>
      <c r="CI41" s="910">
        <v>30</v>
      </c>
      <c r="CJ41" s="899" t="s">
        <v>414</v>
      </c>
      <c r="CK41" s="895">
        <v>45392</v>
      </c>
      <c r="CL41" s="903" t="s">
        <v>3478</v>
      </c>
      <c r="CM41" s="910">
        <v>5</v>
      </c>
      <c r="CN41" s="2081" t="s">
        <v>414</v>
      </c>
      <c r="CO41" s="2106">
        <v>45724</v>
      </c>
      <c r="CP41" s="896" t="s">
        <v>3479</v>
      </c>
      <c r="CQ41" s="2087" t="s">
        <v>3480</v>
      </c>
      <c r="CR41" s="2066"/>
      <c r="CS41" s="2068"/>
    </row>
    <row r="42" spans="1:97">
      <c r="A42" s="329">
        <v>37724</v>
      </c>
      <c r="B42" s="339" t="s">
        <v>3481</v>
      </c>
      <c r="C42" s="337">
        <v>43</v>
      </c>
      <c r="D42" s="332"/>
      <c r="E42" s="329"/>
      <c r="F42" s="339"/>
      <c r="G42" s="337"/>
      <c r="H42" s="332"/>
      <c r="I42" s="329">
        <v>38465</v>
      </c>
      <c r="J42" s="339" t="s">
        <v>3482</v>
      </c>
      <c r="K42" s="337">
        <v>8</v>
      </c>
      <c r="L42" s="332"/>
      <c r="M42" s="329">
        <v>38831</v>
      </c>
      <c r="N42" s="339" t="s">
        <v>3483</v>
      </c>
      <c r="O42" s="337">
        <v>0</v>
      </c>
      <c r="P42" s="332"/>
      <c r="Q42" s="329"/>
      <c r="R42" s="339"/>
      <c r="S42" s="337"/>
      <c r="T42" s="332"/>
      <c r="U42" s="329">
        <v>39565</v>
      </c>
      <c r="V42" s="339" t="s">
        <v>1810</v>
      </c>
      <c r="W42" s="337">
        <v>50</v>
      </c>
      <c r="X42" s="332"/>
      <c r="Y42" s="329">
        <v>39927</v>
      </c>
      <c r="Z42" s="339" t="s">
        <v>2417</v>
      </c>
      <c r="AA42" s="337">
        <v>2</v>
      </c>
      <c r="AB42" s="332"/>
      <c r="AC42" s="329">
        <v>40293</v>
      </c>
      <c r="AD42" s="339" t="s">
        <v>781</v>
      </c>
      <c r="AE42" s="337">
        <v>103</v>
      </c>
      <c r="AF42" s="332"/>
      <c r="AG42" s="329">
        <v>40657</v>
      </c>
      <c r="AH42" s="339" t="s">
        <v>867</v>
      </c>
      <c r="AI42" s="337">
        <v>15</v>
      </c>
      <c r="AJ42" s="332"/>
      <c r="AK42" s="329">
        <v>41027</v>
      </c>
      <c r="AL42" s="336" t="s">
        <v>772</v>
      </c>
      <c r="AM42" s="337">
        <v>60</v>
      </c>
      <c r="AN42" s="332"/>
      <c r="AO42" s="329">
        <v>41386</v>
      </c>
      <c r="AP42" s="339" t="s">
        <v>3484</v>
      </c>
      <c r="AQ42" s="337"/>
      <c r="AR42" s="332"/>
      <c r="AS42" s="329">
        <v>41747</v>
      </c>
      <c r="AT42" s="339" t="s">
        <v>3485</v>
      </c>
      <c r="AU42" s="395">
        <v>1600</v>
      </c>
      <c r="AV42" s="332">
        <f t="shared" si="1"/>
        <v>27.118644067796609</v>
      </c>
      <c r="AW42" s="329">
        <v>42112</v>
      </c>
      <c r="AX42" s="339" t="s">
        <v>3486</v>
      </c>
      <c r="AY42" s="396">
        <v>35</v>
      </c>
      <c r="AZ42" s="332"/>
      <c r="BA42" s="329">
        <v>42476</v>
      </c>
      <c r="BB42" s="339" t="s">
        <v>3487</v>
      </c>
      <c r="BC42" s="396">
        <v>11</v>
      </c>
      <c r="BD42" s="332"/>
      <c r="BE42" s="329">
        <v>42840</v>
      </c>
      <c r="BF42" s="339" t="s">
        <v>823</v>
      </c>
      <c r="BG42" s="396">
        <v>53</v>
      </c>
      <c r="BH42" s="332"/>
      <c r="BI42" s="329">
        <v>43203</v>
      </c>
      <c r="BJ42" s="336" t="s">
        <v>3488</v>
      </c>
      <c r="BK42" s="394">
        <v>8</v>
      </c>
      <c r="BL42" s="332"/>
      <c r="BM42" s="329"/>
      <c r="BN42" s="336"/>
      <c r="BO42" s="394"/>
      <c r="BP42" s="332"/>
      <c r="BQ42" s="895">
        <v>43570</v>
      </c>
      <c r="BR42" s="903" t="s">
        <v>797</v>
      </c>
      <c r="BS42" s="911">
        <v>60</v>
      </c>
      <c r="BT42" s="899" t="s">
        <v>410</v>
      </c>
      <c r="BU42" s="895">
        <v>43951</v>
      </c>
      <c r="BV42" s="896" t="s">
        <v>890</v>
      </c>
      <c r="BW42" s="911">
        <v>27</v>
      </c>
      <c r="BX42" s="899" t="s">
        <v>414</v>
      </c>
      <c r="BY42" s="895">
        <v>44300</v>
      </c>
      <c r="BZ42" s="903" t="s">
        <v>3489</v>
      </c>
      <c r="CA42" s="911">
        <v>30</v>
      </c>
      <c r="CB42" s="899" t="s">
        <v>700</v>
      </c>
      <c r="CC42" s="895">
        <v>44665</v>
      </c>
      <c r="CD42" s="903" t="s">
        <v>3490</v>
      </c>
      <c r="CE42" s="910">
        <v>35</v>
      </c>
      <c r="CF42" s="899" t="s">
        <v>381</v>
      </c>
      <c r="CG42" s="895">
        <v>45027</v>
      </c>
      <c r="CH42" s="903" t="s">
        <v>1750</v>
      </c>
      <c r="CI42" s="910">
        <v>0</v>
      </c>
      <c r="CJ42" s="899" t="s">
        <v>414</v>
      </c>
      <c r="CK42" s="895">
        <v>45392</v>
      </c>
      <c r="CL42" s="903" t="s">
        <v>3491</v>
      </c>
      <c r="CM42" s="910">
        <v>20</v>
      </c>
      <c r="CN42" s="2081" t="s">
        <v>414</v>
      </c>
      <c r="CO42" s="2106">
        <v>45729</v>
      </c>
      <c r="CP42" s="896" t="s">
        <v>3492</v>
      </c>
      <c r="CQ42" s="2088">
        <v>11.14</v>
      </c>
      <c r="CR42" s="2066"/>
      <c r="CS42" s="2068"/>
    </row>
    <row r="43" spans="1:97">
      <c r="A43" s="329">
        <v>37724</v>
      </c>
      <c r="B43" s="339" t="s">
        <v>797</v>
      </c>
      <c r="C43" s="337">
        <v>30</v>
      </c>
      <c r="D43" s="332"/>
      <c r="E43" s="329"/>
      <c r="F43" s="339"/>
      <c r="G43" s="337"/>
      <c r="H43" s="332"/>
      <c r="I43" s="329">
        <v>38465</v>
      </c>
      <c r="J43" s="339" t="s">
        <v>3493</v>
      </c>
      <c r="K43" s="337">
        <v>10</v>
      </c>
      <c r="L43" s="332"/>
      <c r="M43" s="329">
        <v>38831</v>
      </c>
      <c r="N43" s="339" t="s">
        <v>3494</v>
      </c>
      <c r="O43" s="337">
        <v>16</v>
      </c>
      <c r="P43" s="332"/>
      <c r="Q43" s="329"/>
      <c r="R43" s="339"/>
      <c r="S43" s="337"/>
      <c r="T43" s="332"/>
      <c r="U43" s="329">
        <v>39566</v>
      </c>
      <c r="V43" s="339" t="s">
        <v>3495</v>
      </c>
      <c r="W43" s="337">
        <v>170</v>
      </c>
      <c r="X43" s="332"/>
      <c r="Y43" s="329">
        <v>39927</v>
      </c>
      <c r="Z43" s="339" t="s">
        <v>3496</v>
      </c>
      <c r="AA43" s="337">
        <v>23</v>
      </c>
      <c r="AB43" s="332"/>
      <c r="AC43" s="329">
        <v>40293</v>
      </c>
      <c r="AD43" s="339" t="s">
        <v>3497</v>
      </c>
      <c r="AE43" s="337">
        <v>15</v>
      </c>
      <c r="AF43" s="332"/>
      <c r="AG43" s="329">
        <v>40657</v>
      </c>
      <c r="AH43" s="339" t="s">
        <v>772</v>
      </c>
      <c r="AI43" s="337">
        <v>40</v>
      </c>
      <c r="AJ43" s="332"/>
      <c r="AK43" s="329">
        <v>41027</v>
      </c>
      <c r="AL43" s="339" t="s">
        <v>754</v>
      </c>
      <c r="AM43" s="337">
        <v>64</v>
      </c>
      <c r="AN43" s="332"/>
      <c r="AO43" s="329">
        <v>41386</v>
      </c>
      <c r="AP43" s="336" t="s">
        <v>1289</v>
      </c>
      <c r="AQ43" s="337">
        <v>2</v>
      </c>
      <c r="AR43" s="332"/>
      <c r="AS43" s="329">
        <v>41747</v>
      </c>
      <c r="AT43" s="336" t="s">
        <v>3498</v>
      </c>
      <c r="AU43" s="395">
        <v>0</v>
      </c>
      <c r="AV43" s="332">
        <f t="shared" si="1"/>
        <v>0</v>
      </c>
      <c r="AW43" s="329">
        <v>42112</v>
      </c>
      <c r="AX43" s="339" t="s">
        <v>3499</v>
      </c>
      <c r="AY43" s="396">
        <v>207</v>
      </c>
      <c r="AZ43" s="332"/>
      <c r="BA43" s="329">
        <v>42476</v>
      </c>
      <c r="BB43" s="339" t="s">
        <v>3500</v>
      </c>
      <c r="BC43" s="396">
        <v>20</v>
      </c>
      <c r="BD43" s="332"/>
      <c r="BE43" s="329">
        <v>42840</v>
      </c>
      <c r="BF43" s="339" t="s">
        <v>872</v>
      </c>
      <c r="BG43" s="396">
        <v>15</v>
      </c>
      <c r="BH43" s="332"/>
      <c r="BI43" s="329">
        <v>43203</v>
      </c>
      <c r="BJ43" s="336" t="s">
        <v>1889</v>
      </c>
      <c r="BK43" s="394">
        <v>11</v>
      </c>
      <c r="BL43" s="332"/>
      <c r="BM43" s="329"/>
      <c r="BN43" s="336"/>
      <c r="BO43" s="394"/>
      <c r="BP43" s="332"/>
      <c r="BQ43" s="895">
        <v>43570</v>
      </c>
      <c r="BR43" s="903" t="s">
        <v>1427</v>
      </c>
      <c r="BS43" s="911">
        <v>3</v>
      </c>
      <c r="BT43" s="899" t="s">
        <v>414</v>
      </c>
      <c r="BU43" s="895">
        <v>43951</v>
      </c>
      <c r="BV43" s="903" t="s">
        <v>3501</v>
      </c>
      <c r="BW43" s="911">
        <v>32</v>
      </c>
      <c r="BX43" s="899" t="s">
        <v>280</v>
      </c>
      <c r="BY43" s="895">
        <v>44301</v>
      </c>
      <c r="BZ43" s="903" t="s">
        <v>3502</v>
      </c>
      <c r="CA43" s="911">
        <v>24</v>
      </c>
      <c r="CB43" s="899" t="s">
        <v>414</v>
      </c>
      <c r="CC43" s="895">
        <v>44665</v>
      </c>
      <c r="CD43" s="903" t="s">
        <v>1180</v>
      </c>
      <c r="CE43" s="910">
        <v>66</v>
      </c>
      <c r="CF43" s="899" t="s">
        <v>410</v>
      </c>
      <c r="CG43" s="895">
        <v>45027</v>
      </c>
      <c r="CH43" s="903" t="s">
        <v>1702</v>
      </c>
      <c r="CI43" s="910">
        <v>0</v>
      </c>
      <c r="CJ43" s="899" t="s">
        <v>414</v>
      </c>
      <c r="CK43" s="895">
        <v>45392</v>
      </c>
      <c r="CL43" s="903" t="s">
        <v>3503</v>
      </c>
      <c r="CM43" s="910">
        <v>7</v>
      </c>
      <c r="CN43" s="2081" t="s">
        <v>414</v>
      </c>
      <c r="CO43" s="2106">
        <v>45729</v>
      </c>
      <c r="CP43" s="896" t="s">
        <v>3504</v>
      </c>
      <c r="CQ43" s="2087" t="s">
        <v>3480</v>
      </c>
      <c r="CR43" s="2066"/>
      <c r="CS43" s="2068"/>
    </row>
    <row r="44" spans="1:97">
      <c r="A44" s="329">
        <v>37725</v>
      </c>
      <c r="B44" s="339" t="s">
        <v>3505</v>
      </c>
      <c r="C44" s="337">
        <v>10</v>
      </c>
      <c r="D44" s="332"/>
      <c r="E44" s="329"/>
      <c r="F44" s="339"/>
      <c r="G44" s="337"/>
      <c r="H44" s="332"/>
      <c r="I44" s="329">
        <v>38465</v>
      </c>
      <c r="J44" s="339" t="s">
        <v>3506</v>
      </c>
      <c r="K44" s="337">
        <v>7</v>
      </c>
      <c r="L44" s="332"/>
      <c r="M44" s="329">
        <v>38832</v>
      </c>
      <c r="N44" s="339" t="s">
        <v>3507</v>
      </c>
      <c r="O44" s="337">
        <v>0</v>
      </c>
      <c r="P44" s="332"/>
      <c r="Q44" s="329"/>
      <c r="R44" s="339"/>
      <c r="S44" s="337"/>
      <c r="T44" s="332"/>
      <c r="U44" s="329">
        <v>39567</v>
      </c>
      <c r="V44" s="339" t="s">
        <v>802</v>
      </c>
      <c r="W44" s="337">
        <v>25</v>
      </c>
      <c r="X44" s="332"/>
      <c r="Y44" s="329">
        <v>39927</v>
      </c>
      <c r="Z44" s="339" t="s">
        <v>797</v>
      </c>
      <c r="AA44" s="337">
        <v>35</v>
      </c>
      <c r="AB44" s="332"/>
      <c r="AC44" s="329">
        <v>40295</v>
      </c>
      <c r="AD44" s="339" t="s">
        <v>3508</v>
      </c>
      <c r="AE44" s="337">
        <v>40</v>
      </c>
      <c r="AF44" s="332"/>
      <c r="AG44" s="329">
        <v>40657</v>
      </c>
      <c r="AH44" s="339" t="s">
        <v>3509</v>
      </c>
      <c r="AI44" s="337">
        <v>20</v>
      </c>
      <c r="AJ44" s="332"/>
      <c r="AK44" s="329">
        <v>41027</v>
      </c>
      <c r="AL44" s="339" t="s">
        <v>802</v>
      </c>
      <c r="AM44" s="337">
        <v>60</v>
      </c>
      <c r="AN44" s="332"/>
      <c r="AO44" s="329">
        <v>41386</v>
      </c>
      <c r="AP44" s="339" t="s">
        <v>797</v>
      </c>
      <c r="AQ44" s="337">
        <v>51</v>
      </c>
      <c r="AR44" s="332"/>
      <c r="AS44" s="329">
        <v>41748</v>
      </c>
      <c r="AT44" s="339" t="s">
        <v>3123</v>
      </c>
      <c r="AU44" s="395">
        <v>1400</v>
      </c>
      <c r="AV44" s="332">
        <f t="shared" ref="AV44:AV54" si="2">AU44/$AU$12</f>
        <v>23.728813559322035</v>
      </c>
      <c r="AW44" s="329">
        <v>42118</v>
      </c>
      <c r="AX44" s="339" t="s">
        <v>925</v>
      </c>
      <c r="AY44" s="396">
        <v>5</v>
      </c>
      <c r="AZ44" s="332"/>
      <c r="BA44" s="329">
        <v>42476</v>
      </c>
      <c r="BB44" s="339" t="s">
        <v>3510</v>
      </c>
      <c r="BC44" s="396">
        <v>22</v>
      </c>
      <c r="BD44" s="332"/>
      <c r="BE44" s="329">
        <v>42842</v>
      </c>
      <c r="BF44" s="339" t="s">
        <v>797</v>
      </c>
      <c r="BG44" s="396">
        <v>56</v>
      </c>
      <c r="BH44" s="332"/>
      <c r="BI44" s="329">
        <v>43203</v>
      </c>
      <c r="BJ44" s="336" t="s">
        <v>1688</v>
      </c>
      <c r="BK44" s="394">
        <v>16</v>
      </c>
      <c r="BL44" s="332"/>
      <c r="BM44" s="329"/>
      <c r="BN44" s="336"/>
      <c r="BO44" s="394"/>
      <c r="BP44" s="332"/>
      <c r="BQ44" s="895">
        <v>43571</v>
      </c>
      <c r="BR44" s="903" t="s">
        <v>3511</v>
      </c>
      <c r="BS44" s="911">
        <v>36</v>
      </c>
      <c r="BT44" s="899" t="s">
        <v>700</v>
      </c>
      <c r="BU44" s="895"/>
      <c r="BV44" s="903"/>
      <c r="BW44" s="911"/>
      <c r="BX44" s="899"/>
      <c r="BY44" s="895">
        <v>44301</v>
      </c>
      <c r="BZ44" s="903" t="s">
        <v>3512</v>
      </c>
      <c r="CA44" s="911">
        <v>12</v>
      </c>
      <c r="CB44" s="899" t="s">
        <v>414</v>
      </c>
      <c r="CC44" s="895">
        <v>44665</v>
      </c>
      <c r="CD44" s="903" t="s">
        <v>845</v>
      </c>
      <c r="CE44" s="910">
        <v>16</v>
      </c>
      <c r="CF44" s="899" t="s">
        <v>414</v>
      </c>
      <c r="CG44" s="895">
        <v>45027</v>
      </c>
      <c r="CH44" s="903" t="s">
        <v>1710</v>
      </c>
      <c r="CI44" s="910">
        <v>0</v>
      </c>
      <c r="CJ44" s="899" t="s">
        <v>414</v>
      </c>
      <c r="CK44" s="895">
        <v>45392</v>
      </c>
      <c r="CL44" s="903" t="s">
        <v>3513</v>
      </c>
      <c r="CM44" s="910">
        <v>5</v>
      </c>
      <c r="CN44" s="2081" t="s">
        <v>414</v>
      </c>
      <c r="CO44" s="2106">
        <v>45729</v>
      </c>
      <c r="CP44" s="896" t="s">
        <v>3370</v>
      </c>
      <c r="CQ44" s="2088">
        <v>15.53</v>
      </c>
      <c r="CR44" s="2066"/>
      <c r="CS44" s="2068"/>
    </row>
    <row r="45" spans="1:97">
      <c r="A45" s="329">
        <v>37725</v>
      </c>
      <c r="B45" s="339" t="s">
        <v>3514</v>
      </c>
      <c r="C45" s="337">
        <v>16</v>
      </c>
      <c r="D45" s="332"/>
      <c r="E45" s="329"/>
      <c r="F45" s="339"/>
      <c r="G45" s="337"/>
      <c r="H45" s="332"/>
      <c r="I45" s="329">
        <v>38465</v>
      </c>
      <c r="J45" s="339" t="s">
        <v>797</v>
      </c>
      <c r="K45" s="337">
        <v>24</v>
      </c>
      <c r="L45" s="332"/>
      <c r="M45" s="329">
        <v>38833</v>
      </c>
      <c r="N45" s="339" t="s">
        <v>3515</v>
      </c>
      <c r="O45" s="337">
        <v>0</v>
      </c>
      <c r="P45" s="332"/>
      <c r="Q45" s="329"/>
      <c r="R45" s="339"/>
      <c r="S45" s="337"/>
      <c r="T45" s="332"/>
      <c r="U45" s="329"/>
      <c r="V45" s="339"/>
      <c r="W45" s="337"/>
      <c r="X45" s="332"/>
      <c r="Y45" s="329">
        <v>39928</v>
      </c>
      <c r="Z45" s="339" t="s">
        <v>802</v>
      </c>
      <c r="AA45" s="337">
        <v>35</v>
      </c>
      <c r="AB45" s="332"/>
      <c r="AC45" s="329">
        <v>40295</v>
      </c>
      <c r="AD45" s="339" t="s">
        <v>3516</v>
      </c>
      <c r="AE45" s="337">
        <v>45</v>
      </c>
      <c r="AF45" s="332"/>
      <c r="AG45" s="329">
        <v>40657</v>
      </c>
      <c r="AH45" s="339" t="s">
        <v>767</v>
      </c>
      <c r="AI45" s="337">
        <v>3</v>
      </c>
      <c r="AJ45" s="332"/>
      <c r="AK45" s="329">
        <v>41028</v>
      </c>
      <c r="AL45" s="339" t="s">
        <v>3360</v>
      </c>
      <c r="AM45" s="337">
        <v>13</v>
      </c>
      <c r="AN45" s="332"/>
      <c r="AO45" s="329">
        <v>41388</v>
      </c>
      <c r="AP45" s="339" t="s">
        <v>3468</v>
      </c>
      <c r="AQ45" s="337">
        <v>50</v>
      </c>
      <c r="AR45" s="332"/>
      <c r="AS45" s="329">
        <v>41748</v>
      </c>
      <c r="AT45" s="339" t="s">
        <v>3135</v>
      </c>
      <c r="AU45" s="395">
        <v>60</v>
      </c>
      <c r="AV45" s="332">
        <f t="shared" si="2"/>
        <v>1.0169491525423728</v>
      </c>
      <c r="AW45" s="329">
        <v>42118</v>
      </c>
      <c r="AX45" s="336" t="s">
        <v>1498</v>
      </c>
      <c r="AY45" s="396">
        <v>8</v>
      </c>
      <c r="AZ45" s="332"/>
      <c r="BA45" s="329">
        <v>42477</v>
      </c>
      <c r="BB45" s="339" t="s">
        <v>3426</v>
      </c>
      <c r="BC45" s="396">
        <v>35</v>
      </c>
      <c r="BD45" s="332"/>
      <c r="BE45" s="329">
        <v>42842</v>
      </c>
      <c r="BF45" s="339" t="s">
        <v>3517</v>
      </c>
      <c r="BG45" s="396">
        <v>13</v>
      </c>
      <c r="BH45" s="332"/>
      <c r="BI45" s="329">
        <v>43203</v>
      </c>
      <c r="BJ45" s="336" t="s">
        <v>3518</v>
      </c>
      <c r="BK45" s="394">
        <v>4</v>
      </c>
      <c r="BL45" s="332"/>
      <c r="BM45" s="329"/>
      <c r="BN45" s="336"/>
      <c r="BO45" s="394"/>
      <c r="BP45" s="332"/>
      <c r="BQ45" s="895">
        <v>43571</v>
      </c>
      <c r="BR45" s="903" t="s">
        <v>3519</v>
      </c>
      <c r="BS45" s="911">
        <v>40</v>
      </c>
      <c r="BT45" s="899" t="s">
        <v>667</v>
      </c>
      <c r="BU45" s="895"/>
      <c r="BV45" s="903"/>
      <c r="BW45" s="911"/>
      <c r="BX45" s="899"/>
      <c r="BY45" s="895">
        <v>44302</v>
      </c>
      <c r="BZ45" s="903" t="s">
        <v>3520</v>
      </c>
      <c r="CA45" s="911">
        <v>180</v>
      </c>
      <c r="CB45" s="899" t="s">
        <v>700</v>
      </c>
      <c r="CC45" s="895">
        <v>44665</v>
      </c>
      <c r="CD45" s="903" t="s">
        <v>3521</v>
      </c>
      <c r="CE45" s="910">
        <v>5</v>
      </c>
      <c r="CF45" s="899" t="s">
        <v>414</v>
      </c>
      <c r="CG45" s="895">
        <v>45027</v>
      </c>
      <c r="CH45" s="903" t="s">
        <v>3522</v>
      </c>
      <c r="CI45" s="910">
        <v>0</v>
      </c>
      <c r="CJ45" s="899" t="s">
        <v>414</v>
      </c>
      <c r="CK45" s="895">
        <v>45394</v>
      </c>
      <c r="CL45" s="903" t="s">
        <v>3523</v>
      </c>
      <c r="CM45" s="910">
        <v>13</v>
      </c>
      <c r="CN45" s="2081" t="s">
        <v>414</v>
      </c>
      <c r="CO45" s="2106">
        <v>45738</v>
      </c>
      <c r="CP45" s="896" t="s">
        <v>3524</v>
      </c>
      <c r="CQ45" s="2088">
        <v>128.34</v>
      </c>
      <c r="CR45" s="2066"/>
      <c r="CS45" s="2068"/>
    </row>
    <row r="46" spans="1:97">
      <c r="A46" s="329">
        <v>37725</v>
      </c>
      <c r="B46" s="339" t="s">
        <v>3525</v>
      </c>
      <c r="C46" s="337">
        <v>695</v>
      </c>
      <c r="D46" s="332"/>
      <c r="E46" s="329"/>
      <c r="F46" s="339"/>
      <c r="G46" s="337"/>
      <c r="H46" s="332"/>
      <c r="I46" s="329">
        <v>38465</v>
      </c>
      <c r="J46" s="339" t="s">
        <v>3526</v>
      </c>
      <c r="K46" s="337">
        <v>4</v>
      </c>
      <c r="L46" s="332"/>
      <c r="M46" s="329">
        <v>38833</v>
      </c>
      <c r="N46" s="339" t="s">
        <v>1156</v>
      </c>
      <c r="O46" s="337">
        <v>125</v>
      </c>
      <c r="P46" s="332"/>
      <c r="Q46" s="329"/>
      <c r="R46" s="339"/>
      <c r="S46" s="337"/>
      <c r="T46" s="332"/>
      <c r="U46" s="329"/>
      <c r="V46" s="339"/>
      <c r="W46" s="337"/>
      <c r="X46" s="332"/>
      <c r="Y46" s="329">
        <v>39928</v>
      </c>
      <c r="Z46" s="339" t="s">
        <v>867</v>
      </c>
      <c r="AA46" s="337">
        <v>21</v>
      </c>
      <c r="AB46" s="332"/>
      <c r="AC46" s="329">
        <v>40295</v>
      </c>
      <c r="AD46" s="339" t="s">
        <v>3527</v>
      </c>
      <c r="AE46" s="337">
        <v>10</v>
      </c>
      <c r="AF46" s="332"/>
      <c r="AG46" s="329">
        <v>40657</v>
      </c>
      <c r="AH46" s="339" t="s">
        <v>3528</v>
      </c>
      <c r="AI46" s="337">
        <v>10</v>
      </c>
      <c r="AJ46" s="332"/>
      <c r="AK46" s="329">
        <v>41028</v>
      </c>
      <c r="AL46" s="339" t="s">
        <v>797</v>
      </c>
      <c r="AM46" s="337">
        <v>35</v>
      </c>
      <c r="AN46" s="332"/>
      <c r="AO46" s="329">
        <v>41388</v>
      </c>
      <c r="AP46" s="339" t="s">
        <v>802</v>
      </c>
      <c r="AQ46" s="337">
        <v>53</v>
      </c>
      <c r="AR46" s="332"/>
      <c r="AS46" s="329">
        <v>41748</v>
      </c>
      <c r="AT46" s="339" t="s">
        <v>3529</v>
      </c>
      <c r="AU46" s="395">
        <v>25000</v>
      </c>
      <c r="AV46" s="332">
        <f t="shared" si="2"/>
        <v>423.72881355932202</v>
      </c>
      <c r="AW46" s="329">
        <v>42119</v>
      </c>
      <c r="AX46" s="339" t="s">
        <v>954</v>
      </c>
      <c r="AY46" s="396">
        <v>51</v>
      </c>
      <c r="AZ46" s="332"/>
      <c r="BA46" s="329">
        <v>42477</v>
      </c>
      <c r="BB46" s="339" t="s">
        <v>3530</v>
      </c>
      <c r="BC46" s="396">
        <v>7</v>
      </c>
      <c r="BD46" s="332"/>
      <c r="BE46" s="329">
        <v>42846</v>
      </c>
      <c r="BF46" s="339" t="s">
        <v>3531</v>
      </c>
      <c r="BG46" s="396">
        <v>17</v>
      </c>
      <c r="BH46" s="332"/>
      <c r="BI46" s="329">
        <v>43203</v>
      </c>
      <c r="BJ46" s="336" t="s">
        <v>3532</v>
      </c>
      <c r="BK46" s="394">
        <v>12</v>
      </c>
      <c r="BL46" s="332"/>
      <c r="BM46" s="329"/>
      <c r="BN46" s="336"/>
      <c r="BO46" s="394"/>
      <c r="BP46" s="332"/>
      <c r="BQ46" s="895">
        <v>43572</v>
      </c>
      <c r="BR46" s="903" t="s">
        <v>3533</v>
      </c>
      <c r="BS46" s="911">
        <v>24</v>
      </c>
      <c r="BT46" s="899" t="s">
        <v>690</v>
      </c>
      <c r="BU46" s="895"/>
      <c r="BV46" s="903"/>
      <c r="BW46" s="911"/>
      <c r="BX46" s="899"/>
      <c r="BY46" s="895">
        <v>44303</v>
      </c>
      <c r="BZ46" s="903" t="s">
        <v>3534</v>
      </c>
      <c r="CA46" s="911">
        <v>175</v>
      </c>
      <c r="CB46" s="899" t="s">
        <v>701</v>
      </c>
      <c r="CC46" s="895">
        <v>44665</v>
      </c>
      <c r="CD46" s="903" t="s">
        <v>3535</v>
      </c>
      <c r="CE46" s="910">
        <v>1</v>
      </c>
      <c r="CF46" s="899" t="s">
        <v>280</v>
      </c>
      <c r="CG46" s="895">
        <v>45027</v>
      </c>
      <c r="CH46" s="903" t="s">
        <v>3536</v>
      </c>
      <c r="CI46" s="910">
        <v>0</v>
      </c>
      <c r="CJ46" s="899" t="s">
        <v>414</v>
      </c>
      <c r="CK46" s="895">
        <v>45394</v>
      </c>
      <c r="CL46" s="903" t="s">
        <v>3537</v>
      </c>
      <c r="CM46" s="910">
        <v>15</v>
      </c>
      <c r="CN46" s="2081" t="s">
        <v>278</v>
      </c>
      <c r="CO46" s="2106">
        <v>45738</v>
      </c>
      <c r="CP46" s="896" t="s">
        <v>3538</v>
      </c>
      <c r="CQ46" s="2087" t="s">
        <v>3480</v>
      </c>
      <c r="CR46" s="2066"/>
      <c r="CS46" s="2068"/>
    </row>
    <row r="47" spans="1:97">
      <c r="A47" s="329">
        <v>37728</v>
      </c>
      <c r="B47" s="339" t="s">
        <v>3539</v>
      </c>
      <c r="C47" s="337">
        <v>50</v>
      </c>
      <c r="D47" s="332"/>
      <c r="E47" s="329"/>
      <c r="F47" s="339"/>
      <c r="G47" s="337"/>
      <c r="H47" s="332"/>
      <c r="I47" s="329">
        <v>38465</v>
      </c>
      <c r="J47" s="339" t="s">
        <v>2580</v>
      </c>
      <c r="K47" s="337">
        <v>26</v>
      </c>
      <c r="L47" s="332"/>
      <c r="M47" s="329">
        <v>38834</v>
      </c>
      <c r="N47" s="339" t="s">
        <v>1810</v>
      </c>
      <c r="O47" s="337">
        <v>33</v>
      </c>
      <c r="P47" s="332"/>
      <c r="Q47" s="329"/>
      <c r="R47" s="339"/>
      <c r="S47" s="337"/>
      <c r="T47" s="332"/>
      <c r="U47" s="329"/>
      <c r="V47" s="339"/>
      <c r="W47" s="337"/>
      <c r="X47" s="332"/>
      <c r="Y47" s="329">
        <v>39928</v>
      </c>
      <c r="Z47" s="339" t="s">
        <v>781</v>
      </c>
      <c r="AA47" s="337">
        <v>83</v>
      </c>
      <c r="AB47" s="332"/>
      <c r="AC47" s="329">
        <v>40295</v>
      </c>
      <c r="AD47" s="339" t="s">
        <v>797</v>
      </c>
      <c r="AE47" s="337">
        <v>28</v>
      </c>
      <c r="AF47" s="332"/>
      <c r="AG47" s="329">
        <v>40657</v>
      </c>
      <c r="AH47" s="339" t="s">
        <v>3540</v>
      </c>
      <c r="AI47" s="337">
        <v>30</v>
      </c>
      <c r="AJ47" s="332"/>
      <c r="AK47" s="329">
        <v>41029</v>
      </c>
      <c r="AL47" s="339" t="s">
        <v>3541</v>
      </c>
      <c r="AM47" s="337"/>
      <c r="AN47" s="332"/>
      <c r="AO47" s="329">
        <v>41390</v>
      </c>
      <c r="AP47" s="339" t="s">
        <v>3361</v>
      </c>
      <c r="AQ47" s="337">
        <v>21</v>
      </c>
      <c r="AR47" s="332"/>
      <c r="AS47" s="329">
        <v>41748</v>
      </c>
      <c r="AT47" s="339" t="s">
        <v>3542</v>
      </c>
      <c r="AU47" s="395">
        <v>501</v>
      </c>
      <c r="AV47" s="332">
        <f t="shared" si="2"/>
        <v>8.4915254237288131</v>
      </c>
      <c r="AW47" s="329">
        <v>42119</v>
      </c>
      <c r="AX47" s="339" t="s">
        <v>3543</v>
      </c>
      <c r="AY47" s="396">
        <v>41</v>
      </c>
      <c r="AZ47" s="332"/>
      <c r="BA47" s="329">
        <v>42478</v>
      </c>
      <c r="BB47" s="336" t="s">
        <v>954</v>
      </c>
      <c r="BC47" s="396">
        <v>82</v>
      </c>
      <c r="BD47" s="332"/>
      <c r="BE47" s="329">
        <v>42846</v>
      </c>
      <c r="BF47" s="336" t="s">
        <v>772</v>
      </c>
      <c r="BG47" s="396">
        <v>57</v>
      </c>
      <c r="BH47" s="332"/>
      <c r="BI47" s="329">
        <v>43203</v>
      </c>
      <c r="BJ47" s="336" t="s">
        <v>3544</v>
      </c>
      <c r="BK47" s="394">
        <v>8</v>
      </c>
      <c r="BL47" s="332"/>
      <c r="BM47" s="329"/>
      <c r="BN47" s="336"/>
      <c r="BO47" s="394"/>
      <c r="BP47" s="332"/>
      <c r="BQ47" s="895">
        <v>43572</v>
      </c>
      <c r="BR47" s="903" t="s">
        <v>3545</v>
      </c>
      <c r="BS47" s="911">
        <v>9</v>
      </c>
      <c r="BT47" s="899" t="s">
        <v>414</v>
      </c>
      <c r="BU47" s="895"/>
      <c r="BV47" s="903"/>
      <c r="BW47" s="911"/>
      <c r="BX47" s="899"/>
      <c r="BY47" s="895">
        <v>44303</v>
      </c>
      <c r="BZ47" s="903" t="s">
        <v>859</v>
      </c>
      <c r="CA47" s="911">
        <v>13</v>
      </c>
      <c r="CB47" s="899" t="s">
        <v>414</v>
      </c>
      <c r="CC47" s="895">
        <v>44665</v>
      </c>
      <c r="CD47" s="903" t="s">
        <v>3546</v>
      </c>
      <c r="CE47" s="910">
        <v>13</v>
      </c>
      <c r="CF47" s="899" t="s">
        <v>667</v>
      </c>
      <c r="CG47" s="895">
        <v>45027</v>
      </c>
      <c r="CH47" s="903" t="s">
        <v>3547</v>
      </c>
      <c r="CI47" s="910">
        <v>50</v>
      </c>
      <c r="CJ47" s="899" t="s">
        <v>280</v>
      </c>
      <c r="CK47" s="895">
        <v>45394</v>
      </c>
      <c r="CL47" s="903" t="s">
        <v>3548</v>
      </c>
      <c r="CM47" s="910">
        <v>6</v>
      </c>
      <c r="CN47" s="2081" t="s">
        <v>278</v>
      </c>
      <c r="CO47" s="2106">
        <v>45738</v>
      </c>
      <c r="CP47" s="896" t="s">
        <v>3382</v>
      </c>
      <c r="CQ47" s="2088">
        <v>12.66</v>
      </c>
      <c r="CR47" s="2066"/>
      <c r="CS47" s="2068"/>
    </row>
    <row r="48" spans="1:97">
      <c r="A48" s="329">
        <v>37729</v>
      </c>
      <c r="B48" s="339" t="s">
        <v>3549</v>
      </c>
      <c r="C48" s="337">
        <v>12</v>
      </c>
      <c r="D48" s="332"/>
      <c r="E48" s="329"/>
      <c r="F48" s="339"/>
      <c r="G48" s="337"/>
      <c r="H48" s="332"/>
      <c r="I48" s="329">
        <v>38467</v>
      </c>
      <c r="J48" s="339" t="s">
        <v>1810</v>
      </c>
      <c r="K48" s="337">
        <v>13</v>
      </c>
      <c r="L48" s="332"/>
      <c r="M48" s="329">
        <v>38837</v>
      </c>
      <c r="N48" s="339" t="s">
        <v>3550</v>
      </c>
      <c r="O48" s="337">
        <v>10</v>
      </c>
      <c r="P48" s="332"/>
      <c r="Q48" s="329"/>
      <c r="R48" s="339"/>
      <c r="S48" s="337"/>
      <c r="T48" s="332"/>
      <c r="U48" s="329"/>
      <c r="V48" s="339"/>
      <c r="W48" s="337"/>
      <c r="X48" s="332"/>
      <c r="Y48" s="329">
        <v>39928</v>
      </c>
      <c r="Z48" s="339" t="s">
        <v>767</v>
      </c>
      <c r="AA48" s="337">
        <v>7</v>
      </c>
      <c r="AB48" s="332"/>
      <c r="AC48" s="329">
        <v>40296</v>
      </c>
      <c r="AD48" s="339" t="s">
        <v>1001</v>
      </c>
      <c r="AE48" s="337">
        <v>18</v>
      </c>
      <c r="AF48" s="332"/>
      <c r="AG48" s="329">
        <v>40659</v>
      </c>
      <c r="AH48" s="339" t="s">
        <v>3551</v>
      </c>
      <c r="AI48" s="337">
        <v>80</v>
      </c>
      <c r="AJ48" s="332"/>
      <c r="AK48" s="329">
        <v>41029</v>
      </c>
      <c r="AL48" s="339" t="s">
        <v>3552</v>
      </c>
      <c r="AM48" s="337">
        <v>36</v>
      </c>
      <c r="AN48" s="332"/>
      <c r="AO48" s="329">
        <v>41391</v>
      </c>
      <c r="AP48" s="339" t="s">
        <v>3553</v>
      </c>
      <c r="AQ48" s="337">
        <v>190</v>
      </c>
      <c r="AR48" s="332"/>
      <c r="AS48" s="329">
        <v>41748</v>
      </c>
      <c r="AT48" s="339" t="s">
        <v>3554</v>
      </c>
      <c r="AU48" s="395">
        <v>400</v>
      </c>
      <c r="AV48" s="332">
        <f t="shared" si="2"/>
        <v>6.7796610169491522</v>
      </c>
      <c r="AW48" s="329">
        <v>42119</v>
      </c>
      <c r="AX48" s="339" t="s">
        <v>3555</v>
      </c>
      <c r="AY48" s="396">
        <v>35</v>
      </c>
      <c r="AZ48" s="332"/>
      <c r="BA48" s="329">
        <v>42479</v>
      </c>
      <c r="BB48" s="339" t="s">
        <v>1459</v>
      </c>
      <c r="BC48" s="396">
        <v>29</v>
      </c>
      <c r="BD48" s="332"/>
      <c r="BE48" s="329">
        <v>42846</v>
      </c>
      <c r="BF48" s="339" t="s">
        <v>823</v>
      </c>
      <c r="BG48" s="396">
        <v>34</v>
      </c>
      <c r="BH48" s="332"/>
      <c r="BI48" s="329">
        <v>43203</v>
      </c>
      <c r="BJ48" s="336" t="s">
        <v>3556</v>
      </c>
      <c r="BK48" s="394">
        <v>27</v>
      </c>
      <c r="BL48" s="332"/>
      <c r="BM48" s="329"/>
      <c r="BN48" s="336"/>
      <c r="BO48" s="394"/>
      <c r="BP48" s="332"/>
      <c r="BQ48" s="895">
        <v>43572</v>
      </c>
      <c r="BR48" s="903" t="s">
        <v>3557</v>
      </c>
      <c r="BS48" s="911">
        <v>38</v>
      </c>
      <c r="BT48" s="899" t="s">
        <v>414</v>
      </c>
      <c r="BU48" s="895"/>
      <c r="BV48" s="903"/>
      <c r="BW48" s="911"/>
      <c r="BX48" s="899"/>
      <c r="BY48" s="895">
        <v>44303</v>
      </c>
      <c r="BZ48" s="903" t="s">
        <v>845</v>
      </c>
      <c r="CA48" s="911">
        <v>49</v>
      </c>
      <c r="CB48" s="899" t="s">
        <v>414</v>
      </c>
      <c r="CC48" s="895">
        <v>44667</v>
      </c>
      <c r="CD48" s="903" t="s">
        <v>1180</v>
      </c>
      <c r="CE48" s="910">
        <v>50</v>
      </c>
      <c r="CF48" s="899" t="s">
        <v>410</v>
      </c>
      <c r="CG48" s="895">
        <v>45027</v>
      </c>
      <c r="CH48" s="903" t="s">
        <v>3558</v>
      </c>
      <c r="CI48" s="910">
        <v>20</v>
      </c>
      <c r="CJ48" s="899" t="s">
        <v>414</v>
      </c>
      <c r="CK48" s="895">
        <v>45394</v>
      </c>
      <c r="CL48" s="903" t="s">
        <v>3559</v>
      </c>
      <c r="CM48" s="910">
        <v>20</v>
      </c>
      <c r="CN48" s="2081" t="s">
        <v>278</v>
      </c>
      <c r="CO48" s="2077">
        <v>45753</v>
      </c>
      <c r="CP48" s="2085" t="s">
        <v>3560</v>
      </c>
      <c r="CQ48" s="2084"/>
      <c r="CR48" s="2066"/>
      <c r="CS48" s="2068"/>
    </row>
    <row r="49" spans="1:97">
      <c r="A49" s="329">
        <v>37730</v>
      </c>
      <c r="B49" s="339" t="s">
        <v>3561</v>
      </c>
      <c r="C49" s="337">
        <v>9</v>
      </c>
      <c r="D49" s="332"/>
      <c r="E49" s="329"/>
      <c r="F49" s="339"/>
      <c r="G49" s="337"/>
      <c r="H49" s="332"/>
      <c r="I49" s="329">
        <v>38467</v>
      </c>
      <c r="J49" s="339" t="s">
        <v>3562</v>
      </c>
      <c r="K49" s="337">
        <v>32</v>
      </c>
      <c r="L49" s="332"/>
      <c r="M49" s="329">
        <v>38837</v>
      </c>
      <c r="N49" s="339" t="s">
        <v>3563</v>
      </c>
      <c r="O49" s="337">
        <v>6</v>
      </c>
      <c r="P49" s="332"/>
      <c r="Q49" s="329"/>
      <c r="R49" s="339"/>
      <c r="S49" s="337"/>
      <c r="T49" s="332"/>
      <c r="U49" s="329"/>
      <c r="V49" s="339"/>
      <c r="W49" s="337"/>
      <c r="X49" s="332"/>
      <c r="Y49" s="329">
        <v>39928</v>
      </c>
      <c r="Z49" s="339" t="s">
        <v>2054</v>
      </c>
      <c r="AA49" s="337">
        <v>25</v>
      </c>
      <c r="AB49" s="332"/>
      <c r="AC49" s="329">
        <v>40297</v>
      </c>
      <c r="AD49" s="339" t="s">
        <v>3564</v>
      </c>
      <c r="AE49" s="337">
        <v>7</v>
      </c>
      <c r="AF49" s="332"/>
      <c r="AG49" s="329">
        <v>40660</v>
      </c>
      <c r="AH49" s="339" t="s">
        <v>781</v>
      </c>
      <c r="AI49" s="337">
        <v>100</v>
      </c>
      <c r="AJ49" s="332"/>
      <c r="AK49" s="329">
        <v>41029</v>
      </c>
      <c r="AL49" s="339" t="s">
        <v>3565</v>
      </c>
      <c r="AM49" s="337">
        <v>22</v>
      </c>
      <c r="AN49" s="332"/>
      <c r="AO49" s="329">
        <v>41391</v>
      </c>
      <c r="AP49" s="374" t="s">
        <v>772</v>
      </c>
      <c r="AQ49" s="337">
        <v>53</v>
      </c>
      <c r="AR49" s="332"/>
      <c r="AS49" s="329">
        <v>41748</v>
      </c>
      <c r="AT49" s="339" t="s">
        <v>3566</v>
      </c>
      <c r="AU49" s="395">
        <v>667</v>
      </c>
      <c r="AV49" s="332">
        <f t="shared" si="2"/>
        <v>11.305084745762711</v>
      </c>
      <c r="AW49" s="329">
        <v>42119</v>
      </c>
      <c r="AX49" s="339" t="s">
        <v>3567</v>
      </c>
      <c r="AY49" s="396">
        <v>50</v>
      </c>
      <c r="AZ49" s="332"/>
      <c r="BA49" s="329">
        <v>42479</v>
      </c>
      <c r="BB49" s="339" t="s">
        <v>3568</v>
      </c>
      <c r="BC49" s="396">
        <v>40</v>
      </c>
      <c r="BD49" s="332"/>
      <c r="BE49" s="329">
        <v>42848</v>
      </c>
      <c r="BF49" s="339" t="s">
        <v>872</v>
      </c>
      <c r="BG49" s="396">
        <v>22</v>
      </c>
      <c r="BH49" s="332"/>
      <c r="BI49" s="329">
        <v>43203</v>
      </c>
      <c r="BJ49" s="336" t="s">
        <v>3569</v>
      </c>
      <c r="BK49" s="394">
        <v>25</v>
      </c>
      <c r="BL49" s="332"/>
      <c r="BM49" s="329"/>
      <c r="BN49" s="336"/>
      <c r="BO49" s="394"/>
      <c r="BP49" s="332"/>
      <c r="BQ49" s="895">
        <v>43573</v>
      </c>
      <c r="BR49" s="903" t="s">
        <v>3570</v>
      </c>
      <c r="BS49" s="911">
        <v>35</v>
      </c>
      <c r="BT49" s="899" t="s">
        <v>278</v>
      </c>
      <c r="BU49" s="895"/>
      <c r="BV49" s="903"/>
      <c r="BW49" s="911"/>
      <c r="BX49" s="899"/>
      <c r="BY49" s="895">
        <v>44303</v>
      </c>
      <c r="BZ49" s="903" t="s">
        <v>872</v>
      </c>
      <c r="CA49" s="911">
        <v>17</v>
      </c>
      <c r="CB49" s="899" t="s">
        <v>414</v>
      </c>
      <c r="CC49" s="895">
        <v>44668</v>
      </c>
      <c r="CD49" s="903" t="s">
        <v>2665</v>
      </c>
      <c r="CE49" s="910">
        <v>32</v>
      </c>
      <c r="CF49" s="899" t="s">
        <v>414</v>
      </c>
      <c r="CG49" s="895">
        <v>45027</v>
      </c>
      <c r="CH49" s="903" t="s">
        <v>3571</v>
      </c>
      <c r="CI49" s="910">
        <v>25</v>
      </c>
      <c r="CJ49" s="899" t="s">
        <v>693</v>
      </c>
      <c r="CK49" s="895">
        <v>45395</v>
      </c>
      <c r="CL49" s="903" t="s">
        <v>3523</v>
      </c>
      <c r="CM49" s="910">
        <v>13</v>
      </c>
      <c r="CN49" s="2081" t="s">
        <v>414</v>
      </c>
      <c r="CO49" s="2077">
        <v>45753</v>
      </c>
      <c r="CP49" s="2085" t="s">
        <v>3572</v>
      </c>
      <c r="CQ49" s="2084"/>
      <c r="CR49" s="2066"/>
      <c r="CS49" s="2068"/>
    </row>
    <row r="50" spans="1:97">
      <c r="A50" s="329">
        <v>37730</v>
      </c>
      <c r="B50" s="339" t="s">
        <v>410</v>
      </c>
      <c r="C50" s="337">
        <v>23</v>
      </c>
      <c r="D50" s="332"/>
      <c r="E50" s="329"/>
      <c r="F50" s="339"/>
      <c r="G50" s="337"/>
      <c r="H50" s="332"/>
      <c r="I50" s="329">
        <v>38471</v>
      </c>
      <c r="J50" s="339" t="s">
        <v>3573</v>
      </c>
      <c r="K50" s="337">
        <v>35</v>
      </c>
      <c r="L50" s="332"/>
      <c r="M50" s="329"/>
      <c r="N50" s="339"/>
      <c r="O50" s="337"/>
      <c r="P50" s="332"/>
      <c r="Q50" s="329"/>
      <c r="R50" s="339"/>
      <c r="S50" s="337"/>
      <c r="T50" s="332"/>
      <c r="U50" s="329"/>
      <c r="V50" s="339"/>
      <c r="W50" s="337"/>
      <c r="X50" s="332"/>
      <c r="Y50" s="329">
        <v>39928</v>
      </c>
      <c r="Z50" s="339" t="s">
        <v>3574</v>
      </c>
      <c r="AA50" s="337">
        <v>3</v>
      </c>
      <c r="AB50" s="332"/>
      <c r="AC50" s="329">
        <v>40297</v>
      </c>
      <c r="AD50" s="339" t="s">
        <v>3575</v>
      </c>
      <c r="AE50" s="337">
        <v>21</v>
      </c>
      <c r="AF50" s="332"/>
      <c r="AG50" s="329">
        <v>40660</v>
      </c>
      <c r="AH50" s="339" t="s">
        <v>782</v>
      </c>
      <c r="AI50" s="337">
        <v>10</v>
      </c>
      <c r="AJ50" s="332"/>
      <c r="AK50" s="329"/>
      <c r="AL50" s="339"/>
      <c r="AM50" s="337"/>
      <c r="AN50" s="332"/>
      <c r="AO50" s="329">
        <v>41391</v>
      </c>
      <c r="AP50" s="339" t="s">
        <v>754</v>
      </c>
      <c r="AQ50" s="337">
        <v>81</v>
      </c>
      <c r="AR50" s="332"/>
      <c r="AS50" s="329">
        <v>41749</v>
      </c>
      <c r="AT50" s="339" t="s">
        <v>3576</v>
      </c>
      <c r="AU50" s="395">
        <v>1680</v>
      </c>
      <c r="AV50" s="332">
        <f t="shared" si="2"/>
        <v>28.474576271186439</v>
      </c>
      <c r="AW50" s="329">
        <v>42119</v>
      </c>
      <c r="AX50" s="339" t="s">
        <v>797</v>
      </c>
      <c r="AY50" s="396">
        <v>43</v>
      </c>
      <c r="AZ50" s="332"/>
      <c r="BA50" s="329">
        <v>42479</v>
      </c>
      <c r="BB50" s="339" t="s">
        <v>3335</v>
      </c>
      <c r="BC50" s="396">
        <v>29</v>
      </c>
      <c r="BD50" s="332"/>
      <c r="BE50" s="329">
        <v>42848</v>
      </c>
      <c r="BF50" s="339" t="s">
        <v>873</v>
      </c>
      <c r="BG50" s="396">
        <v>9</v>
      </c>
      <c r="BH50" s="332"/>
      <c r="BI50" s="329">
        <v>43203</v>
      </c>
      <c r="BJ50" s="336" t="s">
        <v>3577</v>
      </c>
      <c r="BK50" s="394">
        <v>20</v>
      </c>
      <c r="BL50" s="332"/>
      <c r="BM50" s="329"/>
      <c r="BN50" s="336"/>
      <c r="BO50" s="394"/>
      <c r="BP50" s="332"/>
      <c r="BQ50" s="895">
        <v>43573</v>
      </c>
      <c r="BR50" s="903" t="s">
        <v>3578</v>
      </c>
      <c r="BS50" s="911">
        <v>6</v>
      </c>
      <c r="BT50" s="899" t="s">
        <v>278</v>
      </c>
      <c r="BU50" s="895"/>
      <c r="BV50" s="903"/>
      <c r="BW50" s="911"/>
      <c r="BX50" s="899"/>
      <c r="BY50" s="895">
        <v>44303</v>
      </c>
      <c r="BZ50" s="903" t="s">
        <v>3579</v>
      </c>
      <c r="CA50" s="911">
        <v>75</v>
      </c>
      <c r="CB50" s="899" t="s">
        <v>701</v>
      </c>
      <c r="CC50" s="895">
        <v>44668</v>
      </c>
      <c r="CD50" s="903" t="s">
        <v>843</v>
      </c>
      <c r="CE50" s="910">
        <v>40</v>
      </c>
      <c r="CF50" s="899" t="s">
        <v>414</v>
      </c>
      <c r="CG50" s="895">
        <v>45027</v>
      </c>
      <c r="CH50" s="903" t="s">
        <v>2905</v>
      </c>
      <c r="CI50" s="910">
        <v>23</v>
      </c>
      <c r="CJ50" s="899" t="s">
        <v>414</v>
      </c>
      <c r="CK50" s="895">
        <v>45395</v>
      </c>
      <c r="CL50" s="903" t="s">
        <v>3523</v>
      </c>
      <c r="CM50" s="910">
        <v>15</v>
      </c>
      <c r="CN50" s="2081" t="s">
        <v>414</v>
      </c>
      <c r="CO50" s="2077">
        <v>45753</v>
      </c>
      <c r="CP50" s="2085" t="s">
        <v>3580</v>
      </c>
      <c r="CQ50" s="2084"/>
      <c r="CR50" s="2066"/>
      <c r="CS50" s="2068"/>
    </row>
    <row r="51" spans="1:97">
      <c r="A51" s="329">
        <v>37730</v>
      </c>
      <c r="B51" s="339" t="s">
        <v>3581</v>
      </c>
      <c r="C51" s="337">
        <v>21</v>
      </c>
      <c r="D51" s="332"/>
      <c r="E51" s="329"/>
      <c r="F51" s="339"/>
      <c r="G51" s="337"/>
      <c r="H51" s="332"/>
      <c r="I51" s="329">
        <v>38472</v>
      </c>
      <c r="J51" s="339" t="s">
        <v>3582</v>
      </c>
      <c r="K51" s="337">
        <v>11</v>
      </c>
      <c r="L51" s="332"/>
      <c r="M51" s="329"/>
      <c r="N51" s="339"/>
      <c r="O51" s="337"/>
      <c r="P51" s="332"/>
      <c r="Q51" s="329"/>
      <c r="R51" s="339"/>
      <c r="S51" s="337"/>
      <c r="T51" s="332"/>
      <c r="U51" s="329"/>
      <c r="V51" s="339"/>
      <c r="W51" s="337"/>
      <c r="X51" s="332"/>
      <c r="Y51" s="329">
        <v>39930</v>
      </c>
      <c r="Z51" s="339" t="s">
        <v>2417</v>
      </c>
      <c r="AA51" s="337">
        <v>3</v>
      </c>
      <c r="AB51" s="332"/>
      <c r="AC51" s="329">
        <v>40297</v>
      </c>
      <c r="AD51" s="339" t="s">
        <v>3583</v>
      </c>
      <c r="AE51" s="337">
        <v>9</v>
      </c>
      <c r="AF51" s="332"/>
      <c r="AG51" s="329">
        <v>40660</v>
      </c>
      <c r="AH51" s="339" t="s">
        <v>797</v>
      </c>
      <c r="AI51" s="337">
        <v>68</v>
      </c>
      <c r="AJ51" s="332"/>
      <c r="AK51" s="329"/>
      <c r="AL51" s="339"/>
      <c r="AM51" s="337"/>
      <c r="AN51" s="332"/>
      <c r="AO51" s="329">
        <v>41391</v>
      </c>
      <c r="AP51" s="339" t="s">
        <v>3584</v>
      </c>
      <c r="AQ51" s="337">
        <v>16</v>
      </c>
      <c r="AR51" s="332"/>
      <c r="AS51" s="329">
        <v>41749</v>
      </c>
      <c r="AT51" s="374" t="s">
        <v>3441</v>
      </c>
      <c r="AU51" s="395">
        <v>200</v>
      </c>
      <c r="AV51" s="332">
        <f t="shared" si="2"/>
        <v>3.3898305084745761</v>
      </c>
      <c r="AW51" s="329">
        <v>42119</v>
      </c>
      <c r="AX51" s="339" t="s">
        <v>3585</v>
      </c>
      <c r="AY51" s="396">
        <v>17</v>
      </c>
      <c r="AZ51" s="332"/>
      <c r="BA51" s="329">
        <v>42480</v>
      </c>
      <c r="BB51" s="339" t="s">
        <v>1052</v>
      </c>
      <c r="BC51" s="396">
        <v>20</v>
      </c>
      <c r="BD51" s="332"/>
      <c r="BE51" s="329">
        <v>42848</v>
      </c>
      <c r="BF51" s="339" t="s">
        <v>3586</v>
      </c>
      <c r="BG51" s="396">
        <v>23</v>
      </c>
      <c r="BH51" s="332"/>
      <c r="BI51" s="329">
        <v>43204</v>
      </c>
      <c r="BJ51" s="336" t="s">
        <v>3587</v>
      </c>
      <c r="BK51" s="394">
        <v>0</v>
      </c>
      <c r="BL51" s="332"/>
      <c r="BM51" s="329"/>
      <c r="BN51" s="336"/>
      <c r="BO51" s="394"/>
      <c r="BP51" s="332"/>
      <c r="BQ51" s="895">
        <v>43573</v>
      </c>
      <c r="BR51" s="903" t="s">
        <v>3588</v>
      </c>
      <c r="BS51" s="911">
        <v>30</v>
      </c>
      <c r="BT51" s="899" t="s">
        <v>278</v>
      </c>
      <c r="BU51" s="895"/>
      <c r="BV51" s="903"/>
      <c r="BW51" s="911"/>
      <c r="BX51" s="899"/>
      <c r="BY51" s="895">
        <v>44309</v>
      </c>
      <c r="BZ51" s="903" t="s">
        <v>1427</v>
      </c>
      <c r="CA51" s="911">
        <v>66</v>
      </c>
      <c r="CB51" s="899" t="s">
        <v>414</v>
      </c>
      <c r="CC51" s="895">
        <v>44668</v>
      </c>
      <c r="CD51" s="896" t="s">
        <v>872</v>
      </c>
      <c r="CE51" s="910">
        <v>10</v>
      </c>
      <c r="CF51" s="899" t="s">
        <v>414</v>
      </c>
      <c r="CG51" s="895">
        <v>45027</v>
      </c>
      <c r="CH51" s="903" t="s">
        <v>3589</v>
      </c>
      <c r="CI51" s="910">
        <v>130</v>
      </c>
      <c r="CJ51" s="899" t="s">
        <v>667</v>
      </c>
      <c r="CK51" s="895">
        <v>45395</v>
      </c>
      <c r="CL51" s="903" t="s">
        <v>3590</v>
      </c>
      <c r="CM51" s="910">
        <v>15</v>
      </c>
      <c r="CN51" s="2081" t="s">
        <v>414</v>
      </c>
      <c r="CO51" s="2077">
        <v>45753</v>
      </c>
      <c r="CP51" s="2085" t="s">
        <v>3591</v>
      </c>
      <c r="CQ51" s="2084"/>
      <c r="CR51" s="2066"/>
      <c r="CS51" s="2068"/>
    </row>
    <row r="52" spans="1:97">
      <c r="A52" s="329">
        <v>37730</v>
      </c>
      <c r="B52" s="339" t="s">
        <v>3592</v>
      </c>
      <c r="C52" s="337">
        <v>23</v>
      </c>
      <c r="D52" s="332"/>
      <c r="E52" s="329"/>
      <c r="F52" s="339"/>
      <c r="G52" s="337"/>
      <c r="H52" s="332"/>
      <c r="I52" s="329">
        <v>38472</v>
      </c>
      <c r="J52" s="339" t="s">
        <v>3593</v>
      </c>
      <c r="K52" s="337">
        <v>19</v>
      </c>
      <c r="L52" s="332"/>
      <c r="M52" s="329"/>
      <c r="N52" s="339"/>
      <c r="O52" s="337"/>
      <c r="P52" s="332"/>
      <c r="Q52" s="329"/>
      <c r="R52" s="339"/>
      <c r="S52" s="337"/>
      <c r="T52" s="332"/>
      <c r="U52" s="329"/>
      <c r="V52" s="339"/>
      <c r="W52" s="337"/>
      <c r="X52" s="332"/>
      <c r="Y52" s="329">
        <v>39933</v>
      </c>
      <c r="Z52" s="339" t="s">
        <v>797</v>
      </c>
      <c r="AA52" s="337">
        <v>30</v>
      </c>
      <c r="AB52" s="332"/>
      <c r="AC52" s="329">
        <v>40297</v>
      </c>
      <c r="AD52" s="339" t="s">
        <v>3594</v>
      </c>
      <c r="AE52" s="337">
        <v>16</v>
      </c>
      <c r="AF52" s="332"/>
      <c r="AG52" s="329">
        <v>40661</v>
      </c>
      <c r="AH52" s="339" t="s">
        <v>802</v>
      </c>
      <c r="AI52" s="337">
        <v>25</v>
      </c>
      <c r="AJ52" s="332"/>
      <c r="AK52" s="329"/>
      <c r="AL52" s="339"/>
      <c r="AM52" s="337"/>
      <c r="AN52" s="332"/>
      <c r="AO52" s="329">
        <v>41392</v>
      </c>
      <c r="AP52" s="339" t="s">
        <v>3595</v>
      </c>
      <c r="AQ52" s="337">
        <v>68</v>
      </c>
      <c r="AR52" s="332"/>
      <c r="AS52" s="329">
        <v>41749</v>
      </c>
      <c r="AT52" s="374" t="s">
        <v>3596</v>
      </c>
      <c r="AU52" s="395">
        <v>1200</v>
      </c>
      <c r="AV52" s="332">
        <f t="shared" si="2"/>
        <v>20.338983050847457</v>
      </c>
      <c r="AW52" s="329">
        <v>42120</v>
      </c>
      <c r="AX52" s="339" t="s">
        <v>954</v>
      </c>
      <c r="AY52" s="396">
        <v>12</v>
      </c>
      <c r="AZ52" s="332"/>
      <c r="BA52" s="329">
        <v>42480</v>
      </c>
      <c r="BB52" s="339" t="s">
        <v>802</v>
      </c>
      <c r="BC52" s="396">
        <v>35</v>
      </c>
      <c r="BD52" s="332"/>
      <c r="BE52" s="329">
        <v>42849</v>
      </c>
      <c r="BF52" s="339" t="s">
        <v>3597</v>
      </c>
      <c r="BG52" s="396">
        <v>22</v>
      </c>
      <c r="BH52" s="332"/>
      <c r="BI52" s="329">
        <v>43204</v>
      </c>
      <c r="BJ52" s="336" t="s">
        <v>823</v>
      </c>
      <c r="BK52" s="394">
        <v>9</v>
      </c>
      <c r="BL52" s="332"/>
      <c r="BM52" s="329"/>
      <c r="BN52" s="336"/>
      <c r="BO52" s="394"/>
      <c r="BP52" s="332"/>
      <c r="BQ52" s="895">
        <v>43573</v>
      </c>
      <c r="BR52" s="903" t="s">
        <v>3588</v>
      </c>
      <c r="BS52" s="911">
        <v>33</v>
      </c>
      <c r="BT52" s="899" t="s">
        <v>278</v>
      </c>
      <c r="BU52" s="895"/>
      <c r="BV52" s="903"/>
      <c r="BW52" s="911"/>
      <c r="BX52" s="899"/>
      <c r="BY52" s="895">
        <v>44309</v>
      </c>
      <c r="BZ52" s="903" t="s">
        <v>3598</v>
      </c>
      <c r="CA52" s="911">
        <v>0</v>
      </c>
      <c r="CB52" s="899" t="s">
        <v>414</v>
      </c>
      <c r="CC52" s="895">
        <v>44668</v>
      </c>
      <c r="CD52" s="903" t="s">
        <v>772</v>
      </c>
      <c r="CE52" s="910">
        <v>10</v>
      </c>
      <c r="CF52" s="899" t="s">
        <v>414</v>
      </c>
      <c r="CG52" s="895">
        <v>45027</v>
      </c>
      <c r="CH52" s="903" t="s">
        <v>3599</v>
      </c>
      <c r="CI52" s="910">
        <v>100</v>
      </c>
      <c r="CJ52" s="899" t="s">
        <v>414</v>
      </c>
      <c r="CK52" s="895">
        <v>45395</v>
      </c>
      <c r="CL52" s="903" t="s">
        <v>3523</v>
      </c>
      <c r="CM52" s="910">
        <v>21</v>
      </c>
      <c r="CN52" s="2081" t="s">
        <v>414</v>
      </c>
      <c r="CO52" s="2077">
        <v>45753</v>
      </c>
      <c r="CP52" s="2085" t="s">
        <v>1634</v>
      </c>
      <c r="CQ52" s="2084"/>
      <c r="CR52" s="2066"/>
      <c r="CS52" s="2068"/>
    </row>
    <row r="53" spans="1:97">
      <c r="A53" s="329">
        <v>37730</v>
      </c>
      <c r="B53" s="339" t="s">
        <v>3600</v>
      </c>
      <c r="C53" s="337">
        <v>3</v>
      </c>
      <c r="D53" s="332"/>
      <c r="E53" s="329"/>
      <c r="F53" s="339"/>
      <c r="G53" s="337"/>
      <c r="H53" s="332"/>
      <c r="I53" s="329"/>
      <c r="J53" s="339"/>
      <c r="K53" s="337"/>
      <c r="L53" s="332"/>
      <c r="M53" s="329"/>
      <c r="N53" s="339"/>
      <c r="O53" s="337"/>
      <c r="P53" s="332"/>
      <c r="Q53" s="329"/>
      <c r="R53" s="339"/>
      <c r="S53" s="337"/>
      <c r="T53" s="332"/>
      <c r="U53" s="329"/>
      <c r="V53" s="339"/>
      <c r="W53" s="337"/>
      <c r="X53" s="332"/>
      <c r="Y53" s="329">
        <v>39933</v>
      </c>
      <c r="Z53" s="339" t="s">
        <v>3601</v>
      </c>
      <c r="AA53" s="337">
        <v>2</v>
      </c>
      <c r="AB53" s="332"/>
      <c r="AC53" s="329">
        <v>40297</v>
      </c>
      <c r="AD53" s="339" t="s">
        <v>3602</v>
      </c>
      <c r="AE53" s="337">
        <v>6</v>
      </c>
      <c r="AF53" s="332"/>
      <c r="AG53" s="329">
        <v>40661</v>
      </c>
      <c r="AH53" s="339" t="s">
        <v>3603</v>
      </c>
      <c r="AI53" s="337">
        <v>1</v>
      </c>
      <c r="AJ53" s="332"/>
      <c r="AK53" s="329"/>
      <c r="AL53" s="339"/>
      <c r="AM53" s="337"/>
      <c r="AN53" s="332"/>
      <c r="AO53" s="329">
        <v>41394</v>
      </c>
      <c r="AP53" s="339" t="s">
        <v>3604</v>
      </c>
      <c r="AQ53" s="337">
        <v>49</v>
      </c>
      <c r="AR53" s="332"/>
      <c r="AS53" s="329">
        <v>41749</v>
      </c>
      <c r="AT53" s="374" t="s">
        <v>3605</v>
      </c>
      <c r="AU53" s="395">
        <v>500</v>
      </c>
      <c r="AV53" s="332">
        <f t="shared" si="2"/>
        <v>8.4745762711864412</v>
      </c>
      <c r="AW53" s="329">
        <v>42120</v>
      </c>
      <c r="AX53" s="374" t="s">
        <v>3606</v>
      </c>
      <c r="AY53" s="396">
        <v>17</v>
      </c>
      <c r="AZ53" s="332"/>
      <c r="BA53" s="329">
        <v>42480</v>
      </c>
      <c r="BB53" s="339" t="s">
        <v>3607</v>
      </c>
      <c r="BC53" s="396">
        <v>16</v>
      </c>
      <c r="BD53" s="332"/>
      <c r="BE53" s="329">
        <v>42849</v>
      </c>
      <c r="BF53" s="339" t="s">
        <v>3608</v>
      </c>
      <c r="BG53" s="396">
        <v>130</v>
      </c>
      <c r="BH53" s="332"/>
      <c r="BI53" s="329">
        <v>43204</v>
      </c>
      <c r="BJ53" s="336" t="s">
        <v>1427</v>
      </c>
      <c r="BK53" s="394"/>
      <c r="BL53" s="332"/>
      <c r="BM53" s="329"/>
      <c r="BN53" s="336"/>
      <c r="BO53" s="394"/>
      <c r="BP53" s="332"/>
      <c r="BQ53" s="895">
        <v>43573</v>
      </c>
      <c r="BR53" s="903" t="s">
        <v>3609</v>
      </c>
      <c r="BS53" s="911">
        <v>40</v>
      </c>
      <c r="BT53" s="899" t="s">
        <v>381</v>
      </c>
      <c r="BU53" s="895"/>
      <c r="BV53" s="903"/>
      <c r="BW53" s="911"/>
      <c r="BX53" s="899"/>
      <c r="BY53" s="895">
        <v>44309</v>
      </c>
      <c r="BZ53" s="903" t="s">
        <v>845</v>
      </c>
      <c r="CA53" s="911">
        <v>77</v>
      </c>
      <c r="CB53" s="899" t="s">
        <v>414</v>
      </c>
      <c r="CC53" s="895">
        <v>44668</v>
      </c>
      <c r="CD53" s="903" t="s">
        <v>845</v>
      </c>
      <c r="CE53" s="910">
        <v>29</v>
      </c>
      <c r="CF53" s="899" t="s">
        <v>414</v>
      </c>
      <c r="CG53" s="895">
        <v>45027</v>
      </c>
      <c r="CH53" s="903" t="s">
        <v>1750</v>
      </c>
      <c r="CI53" s="910">
        <v>16</v>
      </c>
      <c r="CJ53" s="899" t="s">
        <v>414</v>
      </c>
      <c r="CK53" s="895">
        <v>45396</v>
      </c>
      <c r="CL53" s="903" t="s">
        <v>3610</v>
      </c>
      <c r="CM53" s="910">
        <v>12</v>
      </c>
      <c r="CN53" s="2081" t="s">
        <v>278</v>
      </c>
      <c r="CO53" s="2077">
        <v>45748</v>
      </c>
      <c r="CP53" s="2085" t="s">
        <v>3235</v>
      </c>
      <c r="CQ53" s="2084">
        <v>38.39</v>
      </c>
      <c r="CR53" s="2066"/>
      <c r="CS53" s="2068"/>
    </row>
    <row r="54" spans="1:97">
      <c r="A54" s="329">
        <v>37730</v>
      </c>
      <c r="B54" s="339" t="s">
        <v>3611</v>
      </c>
      <c r="C54" s="337">
        <v>0</v>
      </c>
      <c r="D54" s="332"/>
      <c r="E54" s="329"/>
      <c r="F54" s="339"/>
      <c r="G54" s="337"/>
      <c r="H54" s="332"/>
      <c r="I54" s="329"/>
      <c r="J54" s="339"/>
      <c r="K54" s="337"/>
      <c r="L54" s="332"/>
      <c r="M54" s="329"/>
      <c r="N54" s="339"/>
      <c r="O54" s="337"/>
      <c r="P54" s="332"/>
      <c r="Q54" s="329"/>
      <c r="R54" s="339"/>
      <c r="S54" s="337"/>
      <c r="T54" s="332"/>
      <c r="U54" s="329"/>
      <c r="V54" s="339"/>
      <c r="W54" s="337"/>
      <c r="X54" s="332"/>
      <c r="Y54" s="329"/>
      <c r="Z54" s="339"/>
      <c r="AA54" s="337"/>
      <c r="AB54" s="332"/>
      <c r="AC54" s="329">
        <v>40297</v>
      </c>
      <c r="AD54" s="339" t="s">
        <v>3612</v>
      </c>
      <c r="AE54" s="337">
        <v>5</v>
      </c>
      <c r="AF54" s="332"/>
      <c r="AG54" s="329">
        <v>40663</v>
      </c>
      <c r="AH54" s="339" t="s">
        <v>3613</v>
      </c>
      <c r="AI54" s="337">
        <v>19</v>
      </c>
      <c r="AJ54" s="332"/>
      <c r="AK54" s="329"/>
      <c r="AL54" s="339"/>
      <c r="AM54" s="337"/>
      <c r="AN54" s="332"/>
      <c r="AO54" s="329">
        <v>41394</v>
      </c>
      <c r="AP54" s="339" t="s">
        <v>3614</v>
      </c>
      <c r="AQ54" s="337">
        <v>10</v>
      </c>
      <c r="AR54" s="332"/>
      <c r="AS54" s="329">
        <v>41750</v>
      </c>
      <c r="AT54" s="339" t="s">
        <v>3615</v>
      </c>
      <c r="AU54" s="395">
        <v>1700</v>
      </c>
      <c r="AV54" s="332">
        <f t="shared" si="2"/>
        <v>28.8135593220339</v>
      </c>
      <c r="AW54" s="329">
        <v>42120</v>
      </c>
      <c r="AX54" s="374" t="s">
        <v>772</v>
      </c>
      <c r="AY54" s="396">
        <v>23</v>
      </c>
      <c r="AZ54" s="332"/>
      <c r="BA54" s="329">
        <v>42482</v>
      </c>
      <c r="BB54" s="339" t="s">
        <v>797</v>
      </c>
      <c r="BC54" s="396">
        <v>35</v>
      </c>
      <c r="BD54" s="332"/>
      <c r="BE54" s="329">
        <v>42849</v>
      </c>
      <c r="BF54" s="339" t="s">
        <v>3616</v>
      </c>
      <c r="BG54" s="396">
        <v>30</v>
      </c>
      <c r="BH54" s="332"/>
      <c r="BI54" s="329">
        <v>43204</v>
      </c>
      <c r="BJ54" s="336" t="s">
        <v>859</v>
      </c>
      <c r="BK54" s="394"/>
      <c r="BL54" s="332"/>
      <c r="BM54" s="329"/>
      <c r="BN54" s="336"/>
      <c r="BO54" s="394"/>
      <c r="BP54" s="332"/>
      <c r="BQ54" s="895">
        <v>43574</v>
      </c>
      <c r="BR54" s="903" t="s">
        <v>3617</v>
      </c>
      <c r="BS54" s="911">
        <v>8</v>
      </c>
      <c r="BT54" s="899" t="s">
        <v>690</v>
      </c>
      <c r="BU54" s="895"/>
      <c r="BV54" s="903"/>
      <c r="BW54" s="911"/>
      <c r="BX54" s="899"/>
      <c r="BY54" s="895">
        <v>44309</v>
      </c>
      <c r="BZ54" s="903" t="s">
        <v>843</v>
      </c>
      <c r="CA54" s="911">
        <v>45</v>
      </c>
      <c r="CB54" s="899" t="s">
        <v>414</v>
      </c>
      <c r="CC54" s="895">
        <v>44668</v>
      </c>
      <c r="CD54" s="903" t="s">
        <v>1235</v>
      </c>
      <c r="CE54" s="910">
        <v>14</v>
      </c>
      <c r="CF54" s="899" t="s">
        <v>278</v>
      </c>
      <c r="CG54" s="895">
        <v>45027</v>
      </c>
      <c r="CH54" s="903" t="s">
        <v>1702</v>
      </c>
      <c r="CI54" s="910">
        <v>16</v>
      </c>
      <c r="CJ54" s="899" t="s">
        <v>414</v>
      </c>
      <c r="CK54" s="895">
        <v>45397</v>
      </c>
      <c r="CL54" s="903" t="s">
        <v>3618</v>
      </c>
      <c r="CM54" s="910">
        <v>12</v>
      </c>
      <c r="CN54" s="2081" t="s">
        <v>278</v>
      </c>
      <c r="CO54" s="2077">
        <v>45748</v>
      </c>
      <c r="CP54" s="2085" t="s">
        <v>3248</v>
      </c>
      <c r="CQ54" s="2084">
        <v>18.350000000000001</v>
      </c>
      <c r="CR54" s="2066"/>
      <c r="CS54" s="2068"/>
    </row>
    <row r="55" spans="1:97">
      <c r="A55" s="329">
        <v>37730</v>
      </c>
      <c r="B55" s="339" t="s">
        <v>3619</v>
      </c>
      <c r="C55" s="337">
        <v>11</v>
      </c>
      <c r="D55" s="332"/>
      <c r="E55" s="329"/>
      <c r="F55" s="339"/>
      <c r="G55" s="337"/>
      <c r="H55" s="332"/>
      <c r="I55" s="329"/>
      <c r="J55" s="339"/>
      <c r="K55" s="337"/>
      <c r="L55" s="332"/>
      <c r="M55" s="329"/>
      <c r="N55" s="339"/>
      <c r="O55" s="337"/>
      <c r="P55" s="332"/>
      <c r="Q55" s="329"/>
      <c r="R55" s="339"/>
      <c r="S55" s="337"/>
      <c r="T55" s="332"/>
      <c r="U55" s="329"/>
      <c r="V55" s="339"/>
      <c r="W55" s="337"/>
      <c r="X55" s="332"/>
      <c r="Y55" s="329"/>
      <c r="Z55" s="339"/>
      <c r="AA55" s="337"/>
      <c r="AB55" s="332"/>
      <c r="AC55" s="329">
        <v>40297</v>
      </c>
      <c r="AD55" s="339" t="s">
        <v>3620</v>
      </c>
      <c r="AE55" s="337">
        <v>28</v>
      </c>
      <c r="AF55" s="332"/>
      <c r="AG55" s="329">
        <v>40663</v>
      </c>
      <c r="AH55" s="339" t="s">
        <v>3621</v>
      </c>
      <c r="AI55" s="337">
        <v>53</v>
      </c>
      <c r="AJ55" s="332"/>
      <c r="AK55" s="329"/>
      <c r="AL55" s="339"/>
      <c r="AM55" s="337"/>
      <c r="AN55" s="332"/>
      <c r="AO55" s="329">
        <v>41394</v>
      </c>
      <c r="AP55" s="339" t="s">
        <v>3622</v>
      </c>
      <c r="AQ55" s="337">
        <v>10</v>
      </c>
      <c r="AR55" s="332"/>
      <c r="AS55" s="329">
        <v>41750</v>
      </c>
      <c r="AT55" s="339" t="s">
        <v>3623</v>
      </c>
      <c r="AU55" s="396">
        <v>25</v>
      </c>
      <c r="AV55" s="332"/>
      <c r="AW55" s="329">
        <v>42120</v>
      </c>
      <c r="AX55" s="374" t="s">
        <v>754</v>
      </c>
      <c r="AY55" s="396">
        <v>34</v>
      </c>
      <c r="AZ55" s="332"/>
      <c r="BA55" s="329">
        <v>42482</v>
      </c>
      <c r="BB55" s="374" t="s">
        <v>3624</v>
      </c>
      <c r="BC55" s="396">
        <v>38</v>
      </c>
      <c r="BD55" s="332"/>
      <c r="BE55" s="329">
        <v>42850</v>
      </c>
      <c r="BF55" s="374" t="s">
        <v>805</v>
      </c>
      <c r="BG55" s="396">
        <v>12</v>
      </c>
      <c r="BH55" s="332"/>
      <c r="BI55" s="329">
        <v>43204</v>
      </c>
      <c r="BJ55" s="336" t="s">
        <v>873</v>
      </c>
      <c r="BK55" s="394">
        <v>12</v>
      </c>
      <c r="BL55" s="332"/>
      <c r="BM55" s="329"/>
      <c r="BN55" s="336"/>
      <c r="BO55" s="394"/>
      <c r="BP55" s="332"/>
      <c r="BQ55" s="895">
        <v>43574</v>
      </c>
      <c r="BR55" s="903" t="s">
        <v>3625</v>
      </c>
      <c r="BS55" s="911">
        <v>22</v>
      </c>
      <c r="BT55" s="899" t="s">
        <v>278</v>
      </c>
      <c r="BU55" s="895"/>
      <c r="BV55" s="903"/>
      <c r="BW55" s="911"/>
      <c r="BX55" s="899"/>
      <c r="BY55" s="895">
        <v>44310</v>
      </c>
      <c r="BZ55" s="903" t="s">
        <v>828</v>
      </c>
      <c r="CA55" s="911">
        <v>23</v>
      </c>
      <c r="CB55" s="899" t="s">
        <v>414</v>
      </c>
      <c r="CC55" s="895">
        <v>44668</v>
      </c>
      <c r="CD55" s="903" t="s">
        <v>3626</v>
      </c>
      <c r="CE55" s="910">
        <v>13</v>
      </c>
      <c r="CF55" s="899" t="s">
        <v>280</v>
      </c>
      <c r="CG55" s="895">
        <v>45027</v>
      </c>
      <c r="CH55" s="903" t="s">
        <v>1710</v>
      </c>
      <c r="CI55" s="910">
        <v>27</v>
      </c>
      <c r="CJ55" s="899" t="s">
        <v>414</v>
      </c>
      <c r="CK55" s="895">
        <v>45397</v>
      </c>
      <c r="CL55" s="903" t="s">
        <v>3627</v>
      </c>
      <c r="CM55" s="910">
        <v>1</v>
      </c>
      <c r="CN55" s="2081" t="s">
        <v>690</v>
      </c>
      <c r="CO55" s="2077">
        <v>45748</v>
      </c>
      <c r="CP55" s="2085" t="s">
        <v>3262</v>
      </c>
      <c r="CQ55" s="2084">
        <v>67.45</v>
      </c>
      <c r="CR55" s="2066"/>
      <c r="CS55" s="2068"/>
    </row>
    <row r="56" spans="1:97">
      <c r="A56" s="329">
        <v>37730</v>
      </c>
      <c r="B56" s="339" t="s">
        <v>1189</v>
      </c>
      <c r="C56" s="337">
        <v>57</v>
      </c>
      <c r="D56" s="332"/>
      <c r="E56" s="329"/>
      <c r="F56" s="339"/>
      <c r="G56" s="337"/>
      <c r="H56" s="332"/>
      <c r="I56" s="329"/>
      <c r="J56" s="339"/>
      <c r="K56" s="337"/>
      <c r="L56" s="332"/>
      <c r="M56" s="329"/>
      <c r="N56" s="339"/>
      <c r="O56" s="337"/>
      <c r="P56" s="332"/>
      <c r="Q56" s="329"/>
      <c r="R56" s="339"/>
      <c r="S56" s="337"/>
      <c r="T56" s="332"/>
      <c r="U56" s="329"/>
      <c r="V56" s="339"/>
      <c r="W56" s="337"/>
      <c r="X56" s="332"/>
      <c r="Y56" s="329"/>
      <c r="Z56" s="339"/>
      <c r="AA56" s="337"/>
      <c r="AB56" s="332"/>
      <c r="AC56" s="329">
        <v>40298</v>
      </c>
      <c r="AD56" s="339" t="s">
        <v>3628</v>
      </c>
      <c r="AE56" s="337"/>
      <c r="AF56" s="332"/>
      <c r="AG56" s="329">
        <v>40663</v>
      </c>
      <c r="AH56" s="339" t="s">
        <v>3629</v>
      </c>
      <c r="AI56" s="337">
        <v>63</v>
      </c>
      <c r="AJ56" s="332"/>
      <c r="AK56" s="329"/>
      <c r="AL56" s="339"/>
      <c r="AM56" s="337"/>
      <c r="AN56" s="332"/>
      <c r="AO56" s="329">
        <v>41394</v>
      </c>
      <c r="AP56" s="339" t="s">
        <v>3630</v>
      </c>
      <c r="AQ56" s="337">
        <v>7</v>
      </c>
      <c r="AR56" s="332"/>
      <c r="AS56" s="329">
        <v>41750</v>
      </c>
      <c r="AT56" s="339" t="s">
        <v>3631</v>
      </c>
      <c r="AU56" s="396">
        <v>10</v>
      </c>
      <c r="AV56" s="332"/>
      <c r="AW56" s="329">
        <v>42120</v>
      </c>
      <c r="AX56" s="339" t="s">
        <v>3632</v>
      </c>
      <c r="AY56" s="396">
        <v>46</v>
      </c>
      <c r="AZ56" s="332"/>
      <c r="BA56" s="329">
        <v>42848</v>
      </c>
      <c r="BB56" s="374" t="s">
        <v>3633</v>
      </c>
      <c r="BC56" s="396">
        <v>104</v>
      </c>
      <c r="BD56" s="332"/>
      <c r="BE56" s="329">
        <v>42850</v>
      </c>
      <c r="BF56" s="374" t="s">
        <v>781</v>
      </c>
      <c r="BG56" s="396">
        <v>8</v>
      </c>
      <c r="BH56" s="332"/>
      <c r="BI56" s="329">
        <v>43204</v>
      </c>
      <c r="BJ56" s="336" t="s">
        <v>3245</v>
      </c>
      <c r="BK56" s="394">
        <v>100</v>
      </c>
      <c r="BL56" s="332"/>
      <c r="BM56" s="329"/>
      <c r="BN56" s="336"/>
      <c r="BO56" s="394"/>
      <c r="BP56" s="332"/>
      <c r="BQ56" s="895">
        <v>43575</v>
      </c>
      <c r="BR56" s="903" t="s">
        <v>3634</v>
      </c>
      <c r="BS56" s="911">
        <v>103</v>
      </c>
      <c r="BT56" s="899" t="s">
        <v>381</v>
      </c>
      <c r="BU56" s="895"/>
      <c r="BV56" s="903"/>
      <c r="BW56" s="911"/>
      <c r="BX56" s="899"/>
      <c r="BY56" s="895">
        <v>44310</v>
      </c>
      <c r="BZ56" s="903" t="s">
        <v>772</v>
      </c>
      <c r="CA56" s="911">
        <v>40</v>
      </c>
      <c r="CB56" s="899" t="s">
        <v>414</v>
      </c>
      <c r="CC56" s="895">
        <v>44668</v>
      </c>
      <c r="CD56" s="903" t="s">
        <v>3635</v>
      </c>
      <c r="CE56" s="910">
        <v>1070</v>
      </c>
      <c r="CF56" s="899" t="s">
        <v>280</v>
      </c>
      <c r="CG56" s="895">
        <v>45027</v>
      </c>
      <c r="CH56" s="903" t="s">
        <v>3522</v>
      </c>
      <c r="CI56" s="910">
        <v>7</v>
      </c>
      <c r="CJ56" s="899" t="s">
        <v>414</v>
      </c>
      <c r="CK56" s="895">
        <v>45395</v>
      </c>
      <c r="CL56" s="903" t="s">
        <v>3636</v>
      </c>
      <c r="CM56" s="910">
        <v>15</v>
      </c>
      <c r="CN56" s="2081" t="s">
        <v>278</v>
      </c>
      <c r="CO56" s="2077">
        <v>45750</v>
      </c>
      <c r="CP56" s="2085" t="s">
        <v>3278</v>
      </c>
      <c r="CQ56" s="2084">
        <v>29.59</v>
      </c>
      <c r="CR56" s="2066"/>
      <c r="CS56" s="2068"/>
    </row>
    <row r="57" spans="1:97">
      <c r="A57" s="329">
        <v>37730</v>
      </c>
      <c r="B57" s="339" t="s">
        <v>772</v>
      </c>
      <c r="C57" s="337">
        <v>12</v>
      </c>
      <c r="D57" s="332"/>
      <c r="E57" s="329"/>
      <c r="F57" s="339"/>
      <c r="G57" s="337"/>
      <c r="H57" s="332"/>
      <c r="I57" s="329"/>
      <c r="J57" s="339"/>
      <c r="K57" s="337"/>
      <c r="L57" s="332"/>
      <c r="M57" s="329"/>
      <c r="N57" s="339"/>
      <c r="O57" s="337"/>
      <c r="P57" s="332"/>
      <c r="Q57" s="329"/>
      <c r="R57" s="339"/>
      <c r="S57" s="337"/>
      <c r="T57" s="332"/>
      <c r="U57" s="329"/>
      <c r="V57" s="339"/>
      <c r="W57" s="337"/>
      <c r="X57" s="332"/>
      <c r="Y57" s="329"/>
      <c r="Z57" s="339"/>
      <c r="AA57" s="337"/>
      <c r="AB57" s="332"/>
      <c r="AC57" s="329">
        <v>40298</v>
      </c>
      <c r="AD57" s="339" t="s">
        <v>3637</v>
      </c>
      <c r="AE57" s="337">
        <v>6</v>
      </c>
      <c r="AF57" s="332"/>
      <c r="AG57" s="329"/>
      <c r="AH57" s="339"/>
      <c r="AI57" s="337"/>
      <c r="AJ57" s="332"/>
      <c r="AK57" s="329"/>
      <c r="AL57" s="339"/>
      <c r="AM57" s="337"/>
      <c r="AN57" s="332"/>
      <c r="AO57" s="329"/>
      <c r="AP57" s="339"/>
      <c r="AQ57" s="337"/>
      <c r="AR57" s="332"/>
      <c r="AS57" s="329">
        <v>41750</v>
      </c>
      <c r="AT57" s="339" t="s">
        <v>3638</v>
      </c>
      <c r="AU57" s="396">
        <v>74</v>
      </c>
      <c r="AV57" s="332"/>
      <c r="AW57" s="329">
        <v>42120</v>
      </c>
      <c r="AX57" s="339" t="s">
        <v>3639</v>
      </c>
      <c r="AY57" s="396">
        <v>20</v>
      </c>
      <c r="AZ57" s="332"/>
      <c r="BA57" s="329">
        <v>42848</v>
      </c>
      <c r="BB57" s="374" t="s">
        <v>954</v>
      </c>
      <c r="BC57" s="396">
        <v>60</v>
      </c>
      <c r="BD57" s="332"/>
      <c r="BE57" s="329">
        <v>42851</v>
      </c>
      <c r="BF57" s="374" t="s">
        <v>859</v>
      </c>
      <c r="BG57" s="396">
        <v>26</v>
      </c>
      <c r="BH57" s="332"/>
      <c r="BI57" s="329">
        <v>43205</v>
      </c>
      <c r="BJ57" s="336" t="s">
        <v>3640</v>
      </c>
      <c r="BK57" s="394">
        <v>78</v>
      </c>
      <c r="BL57" s="332"/>
      <c r="BM57" s="329"/>
      <c r="BN57" s="336"/>
      <c r="BO57" s="394"/>
      <c r="BP57" s="332"/>
      <c r="BQ57" s="895">
        <v>43575</v>
      </c>
      <c r="BR57" s="903" t="s">
        <v>3641</v>
      </c>
      <c r="BS57" s="911">
        <v>84</v>
      </c>
      <c r="BT57" s="899" t="s">
        <v>381</v>
      </c>
      <c r="BU57" s="895"/>
      <c r="BV57" s="903"/>
      <c r="BW57" s="911"/>
      <c r="BX57" s="899"/>
      <c r="BY57" s="895">
        <v>44310</v>
      </c>
      <c r="BZ57" s="903" t="s">
        <v>2061</v>
      </c>
      <c r="CA57" s="911">
        <v>7</v>
      </c>
      <c r="CB57" s="899" t="s">
        <v>414</v>
      </c>
      <c r="CC57" s="895">
        <v>44668</v>
      </c>
      <c r="CD57" s="903" t="s">
        <v>3642</v>
      </c>
      <c r="CE57" s="910">
        <v>1</v>
      </c>
      <c r="CF57" s="899" t="s">
        <v>278</v>
      </c>
      <c r="CG57" s="895">
        <v>45027</v>
      </c>
      <c r="CH57" s="903" t="s">
        <v>3536</v>
      </c>
      <c r="CI57" s="910">
        <v>7</v>
      </c>
      <c r="CJ57" s="899" t="s">
        <v>414</v>
      </c>
      <c r="CK57" s="895">
        <v>45397</v>
      </c>
      <c r="CL57" s="903" t="s">
        <v>3643</v>
      </c>
      <c r="CM57" s="910">
        <v>15</v>
      </c>
      <c r="CN57" s="2081" t="s">
        <v>667</v>
      </c>
      <c r="CO57" s="2077">
        <v>45751</v>
      </c>
      <c r="CP57" s="2085" t="s">
        <v>3288</v>
      </c>
      <c r="CQ57" s="2084">
        <v>47.48</v>
      </c>
      <c r="CR57" s="2066"/>
      <c r="CS57" s="2068"/>
    </row>
    <row r="58" spans="1:97">
      <c r="A58" s="329">
        <v>37730</v>
      </c>
      <c r="B58" s="339" t="s">
        <v>797</v>
      </c>
      <c r="C58" s="337">
        <v>26</v>
      </c>
      <c r="D58" s="332"/>
      <c r="E58" s="329"/>
      <c r="F58" s="339"/>
      <c r="G58" s="337"/>
      <c r="H58" s="332"/>
      <c r="I58" s="329"/>
      <c r="J58" s="339"/>
      <c r="K58" s="337"/>
      <c r="L58" s="332"/>
      <c r="M58" s="329"/>
      <c r="N58" s="339"/>
      <c r="O58" s="337"/>
      <c r="P58" s="332"/>
      <c r="Q58" s="329"/>
      <c r="R58" s="339"/>
      <c r="S58" s="337"/>
      <c r="T58" s="332"/>
      <c r="U58" s="329"/>
      <c r="V58" s="339"/>
      <c r="W58" s="337"/>
      <c r="X58" s="332"/>
      <c r="Y58" s="329"/>
      <c r="Z58" s="339"/>
      <c r="AA58" s="337"/>
      <c r="AB58" s="332"/>
      <c r="AC58" s="329">
        <v>40298</v>
      </c>
      <c r="AD58" s="339" t="s">
        <v>3644</v>
      </c>
      <c r="AE58" s="337">
        <v>30</v>
      </c>
      <c r="AF58" s="332"/>
      <c r="AG58" s="329"/>
      <c r="AH58" s="339"/>
      <c r="AI58" s="337"/>
      <c r="AJ58" s="332"/>
      <c r="AK58" s="329"/>
      <c r="AL58" s="339"/>
      <c r="AM58" s="337"/>
      <c r="AN58" s="332"/>
      <c r="AO58" s="329"/>
      <c r="AP58" s="339"/>
      <c r="AQ58" s="337"/>
      <c r="AR58" s="332"/>
      <c r="AS58" s="329">
        <v>41752</v>
      </c>
      <c r="AT58" s="339" t="s">
        <v>3645</v>
      </c>
      <c r="AU58" s="396">
        <v>28</v>
      </c>
      <c r="AV58" s="332"/>
      <c r="AW58" s="329">
        <v>42121</v>
      </c>
      <c r="AX58" s="339" t="s">
        <v>925</v>
      </c>
      <c r="AY58" s="396">
        <v>10</v>
      </c>
      <c r="AZ58" s="332"/>
      <c r="BA58" s="329">
        <v>42848</v>
      </c>
      <c r="BB58" s="339" t="s">
        <v>754</v>
      </c>
      <c r="BC58" s="396">
        <v>77</v>
      </c>
      <c r="BD58" s="332"/>
      <c r="BE58" s="329">
        <v>42851</v>
      </c>
      <c r="BF58" s="339" t="s">
        <v>823</v>
      </c>
      <c r="BG58" s="396">
        <v>11</v>
      </c>
      <c r="BH58" s="332"/>
      <c r="BI58" s="329">
        <v>43205</v>
      </c>
      <c r="BJ58" s="336" t="s">
        <v>872</v>
      </c>
      <c r="BK58" s="394">
        <v>7</v>
      </c>
      <c r="BL58" s="332"/>
      <c r="BM58" s="329"/>
      <c r="BN58" s="336"/>
      <c r="BO58" s="394"/>
      <c r="BP58" s="332"/>
      <c r="BQ58" s="895">
        <v>43575</v>
      </c>
      <c r="BR58" s="903" t="s">
        <v>3646</v>
      </c>
      <c r="BS58" s="911">
        <v>11</v>
      </c>
      <c r="BT58" s="899" t="s">
        <v>278</v>
      </c>
      <c r="BU58" s="895"/>
      <c r="BV58" s="903"/>
      <c r="BW58" s="911"/>
      <c r="BX58" s="899"/>
      <c r="BY58" s="895">
        <v>44310</v>
      </c>
      <c r="BZ58" s="903" t="s">
        <v>3647</v>
      </c>
      <c r="CA58" s="911">
        <v>10</v>
      </c>
      <c r="CB58" s="899" t="s">
        <v>414</v>
      </c>
      <c r="CC58" s="895">
        <v>44669</v>
      </c>
      <c r="CD58" s="903" t="s">
        <v>3648</v>
      </c>
      <c r="CE58" s="910">
        <v>11</v>
      </c>
      <c r="CF58" s="899" t="s">
        <v>284</v>
      </c>
      <c r="CG58" s="895">
        <v>45027</v>
      </c>
      <c r="CH58" s="903" t="s">
        <v>3547</v>
      </c>
      <c r="CI58" s="910">
        <v>50</v>
      </c>
      <c r="CJ58" s="899" t="s">
        <v>280</v>
      </c>
      <c r="CK58" s="895">
        <v>45398</v>
      </c>
      <c r="CL58" s="903" t="s">
        <v>3649</v>
      </c>
      <c r="CM58" s="910">
        <v>10</v>
      </c>
      <c r="CN58" s="2081" t="s">
        <v>278</v>
      </c>
      <c r="CO58" s="2077">
        <v>45751</v>
      </c>
      <c r="CP58" s="2085" t="s">
        <v>3304</v>
      </c>
      <c r="CQ58" s="2084">
        <v>27.03</v>
      </c>
      <c r="CR58" s="2066"/>
      <c r="CS58" s="2068"/>
    </row>
    <row r="59" spans="1:97">
      <c r="A59" s="329">
        <v>37731</v>
      </c>
      <c r="B59" s="339" t="s">
        <v>3650</v>
      </c>
      <c r="C59" s="337">
        <v>131</v>
      </c>
      <c r="D59" s="332"/>
      <c r="E59" s="329"/>
      <c r="F59" s="339"/>
      <c r="G59" s="337"/>
      <c r="H59" s="332"/>
      <c r="I59" s="329"/>
      <c r="J59" s="339"/>
      <c r="K59" s="337"/>
      <c r="L59" s="332"/>
      <c r="M59" s="329"/>
      <c r="N59" s="339"/>
      <c r="O59" s="337"/>
      <c r="P59" s="332"/>
      <c r="Q59" s="329"/>
      <c r="R59" s="339"/>
      <c r="S59" s="337"/>
      <c r="T59" s="332"/>
      <c r="U59" s="329"/>
      <c r="V59" s="339"/>
      <c r="W59" s="337"/>
      <c r="X59" s="332"/>
      <c r="Y59" s="329"/>
      <c r="Z59" s="339"/>
      <c r="AA59" s="337"/>
      <c r="AB59" s="332"/>
      <c r="AC59" s="329">
        <v>40298</v>
      </c>
      <c r="AD59" s="339" t="s">
        <v>3651</v>
      </c>
      <c r="AE59" s="337"/>
      <c r="AF59" s="332"/>
      <c r="AG59" s="329"/>
      <c r="AH59" s="339"/>
      <c r="AI59" s="337"/>
      <c r="AJ59" s="332"/>
      <c r="AK59" s="329"/>
      <c r="AL59" s="339"/>
      <c r="AM59" s="337"/>
      <c r="AN59" s="332"/>
      <c r="AO59" s="329"/>
      <c r="AP59" s="339"/>
      <c r="AQ59" s="337"/>
      <c r="AR59" s="332"/>
      <c r="AS59" s="329">
        <v>41752</v>
      </c>
      <c r="AT59" s="339" t="s">
        <v>3652</v>
      </c>
      <c r="AU59" s="337">
        <v>52</v>
      </c>
      <c r="AV59" s="332"/>
      <c r="AW59" s="329">
        <v>42122</v>
      </c>
      <c r="AX59" s="339" t="s">
        <v>3653</v>
      </c>
      <c r="AY59" s="396">
        <v>15</v>
      </c>
      <c r="AZ59" s="332"/>
      <c r="BA59" s="329">
        <v>42849</v>
      </c>
      <c r="BB59" s="339" t="s">
        <v>2397</v>
      </c>
      <c r="BC59" s="396">
        <v>2</v>
      </c>
      <c r="BD59" s="332"/>
      <c r="BE59" s="329">
        <v>42851</v>
      </c>
      <c r="BF59" s="339" t="s">
        <v>1244</v>
      </c>
      <c r="BG59" s="396">
        <v>39</v>
      </c>
      <c r="BH59" s="332"/>
      <c r="BI59" s="329">
        <v>43206</v>
      </c>
      <c r="BJ59" s="336" t="s">
        <v>3654</v>
      </c>
      <c r="BK59" s="394">
        <v>60</v>
      </c>
      <c r="BL59" s="332"/>
      <c r="BM59" s="329"/>
      <c r="BN59" s="336"/>
      <c r="BO59" s="394"/>
      <c r="BP59" s="332"/>
      <c r="BQ59" s="895">
        <v>43575</v>
      </c>
      <c r="BR59" s="903" t="s">
        <v>3655</v>
      </c>
      <c r="BS59" s="911">
        <v>7</v>
      </c>
      <c r="BT59" s="899" t="s">
        <v>278</v>
      </c>
      <c r="BU59" s="895"/>
      <c r="BV59" s="903"/>
      <c r="BW59" s="911"/>
      <c r="BX59" s="899"/>
      <c r="BY59" s="895">
        <v>44310</v>
      </c>
      <c r="BZ59" s="903" t="s">
        <v>3656</v>
      </c>
      <c r="CA59" s="911">
        <v>23</v>
      </c>
      <c r="CB59" s="899" t="s">
        <v>701</v>
      </c>
      <c r="CC59" s="895">
        <v>44669</v>
      </c>
      <c r="CD59" s="903" t="s">
        <v>3657</v>
      </c>
      <c r="CE59" s="910">
        <v>13</v>
      </c>
      <c r="CF59" s="899" t="s">
        <v>284</v>
      </c>
      <c r="CG59" s="895">
        <v>45027</v>
      </c>
      <c r="CH59" s="903" t="s">
        <v>3558</v>
      </c>
      <c r="CI59" s="910">
        <v>20</v>
      </c>
      <c r="CJ59" s="899" t="s">
        <v>414</v>
      </c>
      <c r="CK59" s="895">
        <v>45398</v>
      </c>
      <c r="CL59" s="903" t="s">
        <v>3658</v>
      </c>
      <c r="CM59" s="910">
        <v>1</v>
      </c>
      <c r="CN59" s="2081" t="s">
        <v>278</v>
      </c>
      <c r="CO59" s="2089">
        <v>45753</v>
      </c>
      <c r="CP59" s="2090" t="s">
        <v>3316</v>
      </c>
      <c r="CQ59" s="2091">
        <v>17.45</v>
      </c>
      <c r="CR59" s="2092"/>
      <c r="CS59" s="2068"/>
    </row>
    <row r="60" spans="1:97">
      <c r="A60" s="329">
        <v>37732</v>
      </c>
      <c r="B60" s="339" t="s">
        <v>3659</v>
      </c>
      <c r="C60" s="337">
        <v>103</v>
      </c>
      <c r="D60" s="332"/>
      <c r="E60" s="329"/>
      <c r="F60" s="339"/>
      <c r="G60" s="337"/>
      <c r="H60" s="332"/>
      <c r="I60" s="329"/>
      <c r="J60" s="339"/>
      <c r="K60" s="337"/>
      <c r="L60" s="332"/>
      <c r="M60" s="329"/>
      <c r="N60" s="339"/>
      <c r="O60" s="337"/>
      <c r="P60" s="332"/>
      <c r="Q60" s="329"/>
      <c r="R60" s="339"/>
      <c r="S60" s="337"/>
      <c r="T60" s="332"/>
      <c r="U60" s="329"/>
      <c r="V60" s="339"/>
      <c r="W60" s="337"/>
      <c r="X60" s="332"/>
      <c r="Y60" s="329"/>
      <c r="Z60" s="339"/>
      <c r="AA60" s="337"/>
      <c r="AB60" s="332"/>
      <c r="AC60" s="329">
        <v>40298</v>
      </c>
      <c r="AD60" s="339" t="s">
        <v>3660</v>
      </c>
      <c r="AE60" s="337">
        <v>53</v>
      </c>
      <c r="AF60" s="332"/>
      <c r="AG60" s="329"/>
      <c r="AH60" s="339"/>
      <c r="AI60" s="337"/>
      <c r="AJ60" s="332"/>
      <c r="AK60" s="329"/>
      <c r="AL60" s="339"/>
      <c r="AM60" s="337"/>
      <c r="AN60" s="332"/>
      <c r="AO60" s="329"/>
      <c r="AP60" s="339"/>
      <c r="AQ60" s="337"/>
      <c r="AR60" s="332"/>
      <c r="AS60" s="329">
        <v>41753</v>
      </c>
      <c r="AT60" s="339" t="s">
        <v>3661</v>
      </c>
      <c r="AU60" s="337">
        <v>8</v>
      </c>
      <c r="AV60" s="332"/>
      <c r="AW60" s="329">
        <v>42123</v>
      </c>
      <c r="AX60" s="339" t="s">
        <v>3662</v>
      </c>
      <c r="AY60" s="396">
        <v>70</v>
      </c>
      <c r="AZ60" s="332"/>
      <c r="BA60" s="329">
        <v>42849</v>
      </c>
      <c r="BB60" s="339" t="s">
        <v>3663</v>
      </c>
      <c r="BC60" s="396">
        <v>2</v>
      </c>
      <c r="BD60" s="332"/>
      <c r="BE60" s="329">
        <v>42851</v>
      </c>
      <c r="BF60" s="339" t="s">
        <v>1573</v>
      </c>
      <c r="BG60" s="396">
        <v>37</v>
      </c>
      <c r="BH60" s="332"/>
      <c r="BI60" s="329">
        <v>43207</v>
      </c>
      <c r="BJ60" s="336" t="s">
        <v>3664</v>
      </c>
      <c r="BK60" s="394">
        <v>32</v>
      </c>
      <c r="BL60" s="332"/>
      <c r="BM60" s="329"/>
      <c r="BN60" s="336"/>
      <c r="BO60" s="394"/>
      <c r="BP60" s="332"/>
      <c r="BQ60" s="895">
        <v>43576</v>
      </c>
      <c r="BR60" s="903" t="s">
        <v>3665</v>
      </c>
      <c r="BS60" s="911">
        <v>12</v>
      </c>
      <c r="BT60" s="899" t="s">
        <v>690</v>
      </c>
      <c r="BU60" s="895"/>
      <c r="BV60" s="903"/>
      <c r="BW60" s="911"/>
      <c r="BX60" s="899"/>
      <c r="BY60" s="895">
        <v>44310</v>
      </c>
      <c r="BZ60" s="903" t="s">
        <v>3666</v>
      </c>
      <c r="CA60" s="911">
        <v>10</v>
      </c>
      <c r="CB60" s="899" t="s">
        <v>280</v>
      </c>
      <c r="CC60" s="895">
        <v>44669</v>
      </c>
      <c r="CD60" s="903" t="s">
        <v>781</v>
      </c>
      <c r="CE60" s="910">
        <v>70</v>
      </c>
      <c r="CF60" s="899" t="s">
        <v>414</v>
      </c>
      <c r="CG60" s="895">
        <v>45027</v>
      </c>
      <c r="CH60" s="903" t="s">
        <v>3571</v>
      </c>
      <c r="CI60" s="910">
        <v>25</v>
      </c>
      <c r="CJ60" s="899" t="s">
        <v>693</v>
      </c>
      <c r="CK60" s="895">
        <v>45398</v>
      </c>
      <c r="CL60" s="903" t="s">
        <v>3667</v>
      </c>
      <c r="CM60" s="910">
        <v>10</v>
      </c>
      <c r="CN60" s="2081" t="s">
        <v>278</v>
      </c>
      <c r="CO60" s="2089">
        <v>45753</v>
      </c>
      <c r="CP60" s="2090" t="s">
        <v>3328</v>
      </c>
      <c r="CQ60" s="2091">
        <v>13.08</v>
      </c>
      <c r="CR60" s="2092"/>
      <c r="CS60" s="2068"/>
    </row>
    <row r="61" spans="1:97">
      <c r="A61" s="329">
        <v>37732</v>
      </c>
      <c r="B61" s="339" t="s">
        <v>3668</v>
      </c>
      <c r="C61" s="337">
        <v>93</v>
      </c>
      <c r="D61" s="332"/>
      <c r="E61" s="329"/>
      <c r="F61" s="339"/>
      <c r="G61" s="337"/>
      <c r="H61" s="332"/>
      <c r="I61" s="329"/>
      <c r="J61" s="339"/>
      <c r="K61" s="337"/>
      <c r="L61" s="332"/>
      <c r="M61" s="329"/>
      <c r="N61" s="339"/>
      <c r="O61" s="337"/>
      <c r="P61" s="332"/>
      <c r="Q61" s="329"/>
      <c r="R61" s="339"/>
      <c r="S61" s="337"/>
      <c r="T61" s="332"/>
      <c r="U61" s="329"/>
      <c r="V61" s="339"/>
      <c r="W61" s="337"/>
      <c r="X61" s="332"/>
      <c r="Y61" s="329"/>
      <c r="Z61" s="339"/>
      <c r="AA61" s="337"/>
      <c r="AB61" s="332"/>
      <c r="AC61" s="329"/>
      <c r="AD61" s="339"/>
      <c r="AE61" s="337"/>
      <c r="AF61" s="332"/>
      <c r="AG61" s="329"/>
      <c r="AH61" s="339"/>
      <c r="AI61" s="337"/>
      <c r="AJ61" s="332"/>
      <c r="AK61" s="329"/>
      <c r="AL61" s="339"/>
      <c r="AM61" s="337"/>
      <c r="AN61" s="332"/>
      <c r="AO61" s="329"/>
      <c r="AP61" s="339"/>
      <c r="AQ61" s="337"/>
      <c r="AR61" s="332"/>
      <c r="AS61" s="329">
        <v>41754</v>
      </c>
      <c r="AT61" s="339" t="s">
        <v>3669</v>
      </c>
      <c r="AU61" s="337">
        <v>55</v>
      </c>
      <c r="AV61" s="332"/>
      <c r="AW61" s="329">
        <v>42123</v>
      </c>
      <c r="AX61" s="339" t="s">
        <v>3670</v>
      </c>
      <c r="AY61" s="396">
        <v>14</v>
      </c>
      <c r="AZ61" s="332"/>
      <c r="BA61" s="329">
        <v>42849</v>
      </c>
      <c r="BB61" s="339" t="s">
        <v>1573</v>
      </c>
      <c r="BC61" s="396">
        <v>5</v>
      </c>
      <c r="BD61" s="332"/>
      <c r="BE61" s="329">
        <v>42851</v>
      </c>
      <c r="BF61" s="339" t="s">
        <v>3671</v>
      </c>
      <c r="BG61" s="396">
        <v>25</v>
      </c>
      <c r="BH61" s="332"/>
      <c r="BI61" s="329">
        <v>43210</v>
      </c>
      <c r="BJ61" s="336" t="s">
        <v>859</v>
      </c>
      <c r="BK61" s="394">
        <v>3</v>
      </c>
      <c r="BL61" s="332"/>
      <c r="BM61" s="329"/>
      <c r="BN61" s="336"/>
      <c r="BO61" s="394"/>
      <c r="BP61" s="332"/>
      <c r="BQ61" s="895">
        <v>43576</v>
      </c>
      <c r="BR61" s="903" t="s">
        <v>3672</v>
      </c>
      <c r="BS61" s="911">
        <v>12</v>
      </c>
      <c r="BT61" s="899" t="s">
        <v>278</v>
      </c>
      <c r="BU61" s="895"/>
      <c r="BV61" s="903"/>
      <c r="BW61" s="911"/>
      <c r="BX61" s="899"/>
      <c r="BY61" s="895">
        <v>44310</v>
      </c>
      <c r="BZ61" s="903" t="s">
        <v>3673</v>
      </c>
      <c r="CA61" s="911">
        <v>10</v>
      </c>
      <c r="CB61" s="899" t="s">
        <v>701</v>
      </c>
      <c r="CC61" s="895">
        <v>44669</v>
      </c>
      <c r="CD61" s="903" t="s">
        <v>1732</v>
      </c>
      <c r="CE61" s="910">
        <v>30</v>
      </c>
      <c r="CF61" s="899" t="s">
        <v>700</v>
      </c>
      <c r="CG61" s="895">
        <v>45027</v>
      </c>
      <c r="CH61" s="903" t="s">
        <v>3674</v>
      </c>
      <c r="CI61" s="910">
        <v>23</v>
      </c>
      <c r="CJ61" s="899" t="s">
        <v>414</v>
      </c>
      <c r="CK61" s="895">
        <v>45398</v>
      </c>
      <c r="CL61" s="903" t="s">
        <v>3667</v>
      </c>
      <c r="CM61" s="910">
        <v>10</v>
      </c>
      <c r="CN61" s="2081" t="s">
        <v>278</v>
      </c>
      <c r="CO61" s="2089">
        <v>45753</v>
      </c>
      <c r="CP61" s="2090" t="s">
        <v>3341</v>
      </c>
      <c r="CQ61" s="2091">
        <v>21.81</v>
      </c>
      <c r="CR61" s="2092"/>
      <c r="CS61" s="2068"/>
    </row>
    <row r="62" spans="1:97">
      <c r="A62" s="329">
        <v>37732</v>
      </c>
      <c r="B62" s="339" t="s">
        <v>3675</v>
      </c>
      <c r="C62" s="337">
        <v>26</v>
      </c>
      <c r="D62" s="332"/>
      <c r="E62" s="329"/>
      <c r="F62" s="339"/>
      <c r="G62" s="337"/>
      <c r="H62" s="332"/>
      <c r="I62" s="329"/>
      <c r="J62" s="339"/>
      <c r="K62" s="337"/>
      <c r="L62" s="332"/>
      <c r="M62" s="329"/>
      <c r="N62" s="339"/>
      <c r="O62" s="337"/>
      <c r="P62" s="332"/>
      <c r="Q62" s="329"/>
      <c r="R62" s="339"/>
      <c r="S62" s="337"/>
      <c r="T62" s="332"/>
      <c r="U62" s="329"/>
      <c r="V62" s="339"/>
      <c r="W62" s="337"/>
      <c r="X62" s="332"/>
      <c r="Y62" s="329"/>
      <c r="Z62" s="339"/>
      <c r="AA62" s="337"/>
      <c r="AB62" s="332"/>
      <c r="AC62" s="329"/>
      <c r="AD62" s="339" t="s">
        <v>3676</v>
      </c>
      <c r="AE62" s="337">
        <f>SUM(AE49:AE60)+AE5+ AE6 + AE7 + 596</f>
        <v>1936</v>
      </c>
      <c r="AF62" s="332"/>
      <c r="AG62" s="329"/>
      <c r="AH62" s="339"/>
      <c r="AI62" s="337"/>
      <c r="AJ62" s="332"/>
      <c r="AK62" s="329"/>
      <c r="AL62" s="339"/>
      <c r="AM62" s="337"/>
      <c r="AN62" s="332"/>
      <c r="AO62" s="329"/>
      <c r="AP62" s="339"/>
      <c r="AQ62" s="337"/>
      <c r="AR62" s="332"/>
      <c r="AS62" s="329">
        <v>41755</v>
      </c>
      <c r="AT62" s="339" t="s">
        <v>855</v>
      </c>
      <c r="AU62" s="337">
        <v>12</v>
      </c>
      <c r="AV62" s="332"/>
      <c r="AW62" s="329">
        <v>42124</v>
      </c>
      <c r="AX62" s="339" t="s">
        <v>3677</v>
      </c>
      <c r="AY62" s="396">
        <v>76</v>
      </c>
      <c r="AZ62" s="332"/>
      <c r="BA62" s="329">
        <v>42485</v>
      </c>
      <c r="BB62" s="339" t="s">
        <v>772</v>
      </c>
      <c r="BC62" s="396">
        <v>29</v>
      </c>
      <c r="BD62" s="332"/>
      <c r="BE62" s="329">
        <v>42851</v>
      </c>
      <c r="BF62" s="339" t="s">
        <v>3678</v>
      </c>
      <c r="BG62" s="396">
        <v>12</v>
      </c>
      <c r="BH62" s="332"/>
      <c r="BI62" s="329">
        <v>43210</v>
      </c>
      <c r="BJ62" s="336" t="s">
        <v>873</v>
      </c>
      <c r="BK62" s="394">
        <v>25</v>
      </c>
      <c r="BL62" s="332"/>
      <c r="BM62" s="329"/>
      <c r="BN62" s="336"/>
      <c r="BO62" s="394"/>
      <c r="BP62" s="332"/>
      <c r="BQ62" s="895">
        <v>43576</v>
      </c>
      <c r="BR62" s="903" t="s">
        <v>3679</v>
      </c>
      <c r="BS62" s="911">
        <v>22</v>
      </c>
      <c r="BT62" s="899" t="s">
        <v>690</v>
      </c>
      <c r="BU62" s="895"/>
      <c r="BV62" s="903"/>
      <c r="BW62" s="911"/>
      <c r="BX62" s="899"/>
      <c r="BY62" s="895">
        <v>44311</v>
      </c>
      <c r="BZ62" s="903" t="s">
        <v>3680</v>
      </c>
      <c r="CA62" s="911">
        <v>47</v>
      </c>
      <c r="CB62" s="899" t="s">
        <v>280</v>
      </c>
      <c r="CC62" s="895">
        <v>44669</v>
      </c>
      <c r="CD62" s="903" t="s">
        <v>3681</v>
      </c>
      <c r="CE62" s="910">
        <v>40</v>
      </c>
      <c r="CF62" s="899" t="s">
        <v>689</v>
      </c>
      <c r="CG62" s="895">
        <v>45027</v>
      </c>
      <c r="CH62" s="903" t="s">
        <v>3589</v>
      </c>
      <c r="CI62" s="910">
        <v>130</v>
      </c>
      <c r="CJ62" s="899" t="s">
        <v>667</v>
      </c>
      <c r="CK62" s="895">
        <v>45398</v>
      </c>
      <c r="CL62" s="903" t="s">
        <v>843</v>
      </c>
      <c r="CM62" s="910">
        <v>23</v>
      </c>
      <c r="CN62" s="2081" t="s">
        <v>414</v>
      </c>
      <c r="CO62" s="2089">
        <v>45753</v>
      </c>
      <c r="CP62" s="2090" t="s">
        <v>3354</v>
      </c>
      <c r="CQ62" s="2091">
        <v>76.150000000000006</v>
      </c>
      <c r="CR62" s="2092"/>
      <c r="CS62" s="2068"/>
    </row>
    <row r="63" spans="1:97">
      <c r="A63" s="329">
        <v>37735</v>
      </c>
      <c r="B63" s="339" t="s">
        <v>3682</v>
      </c>
      <c r="C63" s="337">
        <v>200</v>
      </c>
      <c r="D63" s="332"/>
      <c r="E63" s="329"/>
      <c r="F63" s="339"/>
      <c r="G63" s="337"/>
      <c r="H63" s="332"/>
      <c r="I63" s="329"/>
      <c r="J63" s="339"/>
      <c r="K63" s="337"/>
      <c r="L63" s="332"/>
      <c r="M63" s="329"/>
      <c r="N63" s="339"/>
      <c r="O63" s="337"/>
      <c r="P63" s="332"/>
      <c r="Q63" s="329"/>
      <c r="R63" s="339"/>
      <c r="S63" s="337"/>
      <c r="T63" s="332"/>
      <c r="U63" s="329"/>
      <c r="V63" s="339"/>
      <c r="W63" s="337"/>
      <c r="X63" s="332"/>
      <c r="Y63" s="329"/>
      <c r="Z63" s="339"/>
      <c r="AA63" s="337"/>
      <c r="AB63" s="332"/>
      <c r="AC63" s="329"/>
      <c r="AD63" s="339"/>
      <c r="AE63" s="337"/>
      <c r="AF63" s="332"/>
      <c r="AG63" s="329"/>
      <c r="AH63" s="339"/>
      <c r="AI63" s="337"/>
      <c r="AJ63" s="332"/>
      <c r="AK63" s="329"/>
      <c r="AL63" s="339"/>
      <c r="AM63" s="337"/>
      <c r="AN63" s="332"/>
      <c r="AO63" s="329"/>
      <c r="AP63" s="339"/>
      <c r="AQ63" s="337"/>
      <c r="AR63" s="332"/>
      <c r="AS63" s="329">
        <v>41755</v>
      </c>
      <c r="AT63" s="339" t="s">
        <v>3683</v>
      </c>
      <c r="AU63" s="337">
        <v>76</v>
      </c>
      <c r="AV63" s="332"/>
      <c r="AW63" s="329">
        <v>42124</v>
      </c>
      <c r="AX63" s="339" t="s">
        <v>3684</v>
      </c>
      <c r="AY63" s="396">
        <v>6</v>
      </c>
      <c r="AZ63" s="332"/>
      <c r="BA63" s="329">
        <v>42485</v>
      </c>
      <c r="BB63" s="339" t="s">
        <v>954</v>
      </c>
      <c r="BC63" s="396">
        <v>7</v>
      </c>
      <c r="BD63" s="332"/>
      <c r="BE63" s="329">
        <v>42852</v>
      </c>
      <c r="BF63" s="339" t="s">
        <v>823</v>
      </c>
      <c r="BG63" s="396">
        <v>9</v>
      </c>
      <c r="BH63" s="332"/>
      <c r="BI63" s="329">
        <v>43211</v>
      </c>
      <c r="BJ63" s="336" t="s">
        <v>872</v>
      </c>
      <c r="BK63" s="394">
        <v>32</v>
      </c>
      <c r="BL63" s="332"/>
      <c r="BM63" s="329"/>
      <c r="BN63" s="336"/>
      <c r="BO63" s="394"/>
      <c r="BP63" s="332"/>
      <c r="BQ63" s="895">
        <v>43579</v>
      </c>
      <c r="BR63" s="903" t="s">
        <v>1303</v>
      </c>
      <c r="BS63" s="911"/>
      <c r="BT63" s="899"/>
      <c r="BU63" s="895"/>
      <c r="BV63" s="903"/>
      <c r="BW63" s="911"/>
      <c r="BX63" s="899"/>
      <c r="BY63" s="895">
        <v>44311</v>
      </c>
      <c r="BZ63" s="903" t="s">
        <v>3685</v>
      </c>
      <c r="CA63" s="911">
        <v>8</v>
      </c>
      <c r="CB63" s="899" t="s">
        <v>700</v>
      </c>
      <c r="CC63" s="895">
        <v>44669</v>
      </c>
      <c r="CD63" s="903" t="s">
        <v>797</v>
      </c>
      <c r="CE63" s="910">
        <v>68</v>
      </c>
      <c r="CF63" s="899" t="s">
        <v>410</v>
      </c>
      <c r="CG63" s="895">
        <v>45027</v>
      </c>
      <c r="CH63" s="903" t="s">
        <v>3599</v>
      </c>
      <c r="CI63" s="910">
        <v>100</v>
      </c>
      <c r="CJ63" s="899" t="s">
        <v>414</v>
      </c>
      <c r="CK63" s="895">
        <v>45399</v>
      </c>
      <c r="CL63" s="903" t="s">
        <v>3686</v>
      </c>
      <c r="CM63" s="910">
        <v>12</v>
      </c>
      <c r="CN63" s="2081" t="s">
        <v>278</v>
      </c>
      <c r="CO63" s="2089">
        <v>45704</v>
      </c>
      <c r="CP63" s="2090" t="s">
        <v>3370</v>
      </c>
      <c r="CQ63" s="2091">
        <v>6.65</v>
      </c>
      <c r="CR63" s="2092"/>
      <c r="CS63" s="2068"/>
    </row>
    <row r="64" spans="1:97">
      <c r="A64" s="329">
        <v>37735</v>
      </c>
      <c r="B64" s="339" t="s">
        <v>3687</v>
      </c>
      <c r="C64" s="337"/>
      <c r="D64" s="332">
        <v>378</v>
      </c>
      <c r="E64" s="329"/>
      <c r="F64" s="339"/>
      <c r="G64" s="337"/>
      <c r="H64" s="332"/>
      <c r="I64" s="329"/>
      <c r="J64" s="339"/>
      <c r="K64" s="337"/>
      <c r="L64" s="332"/>
      <c r="M64" s="329"/>
      <c r="N64" s="339"/>
      <c r="O64" s="337"/>
      <c r="P64" s="332"/>
      <c r="Q64" s="329"/>
      <c r="R64" s="339"/>
      <c r="S64" s="337"/>
      <c r="T64" s="332"/>
      <c r="U64" s="329"/>
      <c r="V64" s="339"/>
      <c r="W64" s="337"/>
      <c r="X64" s="332"/>
      <c r="Y64" s="329"/>
      <c r="Z64" s="339"/>
      <c r="AA64" s="337"/>
      <c r="AB64" s="332"/>
      <c r="AC64" s="329"/>
      <c r="AD64" s="339"/>
      <c r="AE64" s="337"/>
      <c r="AF64" s="332"/>
      <c r="AG64" s="329"/>
      <c r="AH64" s="339"/>
      <c r="AI64" s="337"/>
      <c r="AJ64" s="332"/>
      <c r="AK64" s="329"/>
      <c r="AL64" s="339"/>
      <c r="AM64" s="337"/>
      <c r="AN64" s="332"/>
      <c r="AO64" s="329"/>
      <c r="AP64" s="339"/>
      <c r="AQ64" s="337"/>
      <c r="AR64" s="332"/>
      <c r="AS64" s="329">
        <v>41755</v>
      </c>
      <c r="AT64" s="339" t="s">
        <v>3638</v>
      </c>
      <c r="AU64" s="337">
        <v>115</v>
      </c>
      <c r="AV64" s="332"/>
      <c r="AW64" s="329">
        <v>42124</v>
      </c>
      <c r="AX64" s="339" t="s">
        <v>797</v>
      </c>
      <c r="AY64" s="396">
        <v>42</v>
      </c>
      <c r="AZ64" s="332"/>
      <c r="BA64" s="329">
        <v>42487</v>
      </c>
      <c r="BB64" s="339" t="s">
        <v>3688</v>
      </c>
      <c r="BC64" s="396">
        <v>826</v>
      </c>
      <c r="BD64" s="332"/>
      <c r="BE64" s="329">
        <v>42852</v>
      </c>
      <c r="BF64" s="339" t="s">
        <v>3689</v>
      </c>
      <c r="BG64" s="396">
        <v>60</v>
      </c>
      <c r="BH64" s="332"/>
      <c r="BI64" s="329">
        <v>43211</v>
      </c>
      <c r="BJ64" s="336" t="s">
        <v>1427</v>
      </c>
      <c r="BK64" s="394">
        <v>4</v>
      </c>
      <c r="BL64" s="332"/>
      <c r="BM64" s="329"/>
      <c r="BN64" s="336"/>
      <c r="BO64" s="394"/>
      <c r="BP64" s="332"/>
      <c r="BQ64" s="895">
        <v>43581</v>
      </c>
      <c r="BR64" s="903" t="s">
        <v>3690</v>
      </c>
      <c r="BS64" s="911">
        <v>45</v>
      </c>
      <c r="BT64" s="899"/>
      <c r="BU64" s="895"/>
      <c r="BV64" s="903"/>
      <c r="BW64" s="911"/>
      <c r="BX64" s="899"/>
      <c r="BY64" s="895">
        <v>44311</v>
      </c>
      <c r="BZ64" s="903" t="s">
        <v>3691</v>
      </c>
      <c r="CA64" s="911">
        <v>25</v>
      </c>
      <c r="CB64" s="899" t="s">
        <v>414</v>
      </c>
      <c r="CC64" s="895">
        <v>44670</v>
      </c>
      <c r="CD64" s="903" t="s">
        <v>3692</v>
      </c>
      <c r="CE64" s="910">
        <v>51</v>
      </c>
      <c r="CF64" s="899" t="s">
        <v>414</v>
      </c>
      <c r="CG64" s="895">
        <v>45030</v>
      </c>
      <c r="CH64" s="903" t="s">
        <v>3693</v>
      </c>
      <c r="CI64" s="910">
        <v>30</v>
      </c>
      <c r="CJ64" s="899" t="s">
        <v>667</v>
      </c>
      <c r="CK64" s="895">
        <v>45399</v>
      </c>
      <c r="CL64" s="903" t="s">
        <v>3694</v>
      </c>
      <c r="CM64" s="910">
        <v>75</v>
      </c>
      <c r="CN64" s="2081" t="s">
        <v>381</v>
      </c>
      <c r="CO64" s="2089">
        <v>45717</v>
      </c>
      <c r="CP64" s="2090" t="s">
        <v>3382</v>
      </c>
      <c r="CQ64" s="2091">
        <v>5.78</v>
      </c>
      <c r="CR64" s="2092"/>
      <c r="CS64" s="2068"/>
    </row>
    <row r="65" spans="1:97">
      <c r="A65" s="329">
        <v>37735</v>
      </c>
      <c r="B65" s="339" t="s">
        <v>1616</v>
      </c>
      <c r="C65" s="337"/>
      <c r="D65" s="332">
        <v>14</v>
      </c>
      <c r="E65" s="329"/>
      <c r="F65" s="339"/>
      <c r="G65" s="337"/>
      <c r="H65" s="332"/>
      <c r="I65" s="329"/>
      <c r="J65" s="339"/>
      <c r="K65" s="337"/>
      <c r="L65" s="332"/>
      <c r="M65" s="329"/>
      <c r="N65" s="339"/>
      <c r="O65" s="337"/>
      <c r="P65" s="332"/>
      <c r="Q65" s="329"/>
      <c r="R65" s="339"/>
      <c r="S65" s="337"/>
      <c r="T65" s="332"/>
      <c r="U65" s="329"/>
      <c r="V65" s="339"/>
      <c r="W65" s="337"/>
      <c r="X65" s="332"/>
      <c r="Y65" s="329"/>
      <c r="Z65" s="339"/>
      <c r="AA65" s="337"/>
      <c r="AB65" s="332"/>
      <c r="AC65" s="329"/>
      <c r="AD65" s="339"/>
      <c r="AE65" s="337"/>
      <c r="AF65" s="332"/>
      <c r="AG65" s="329"/>
      <c r="AH65" s="339"/>
      <c r="AI65" s="337"/>
      <c r="AJ65" s="332"/>
      <c r="AK65" s="329"/>
      <c r="AL65" s="339"/>
      <c r="AM65" s="337"/>
      <c r="AN65" s="332"/>
      <c r="AO65" s="329"/>
      <c r="AP65" s="339"/>
      <c r="AQ65" s="337"/>
      <c r="AR65" s="332"/>
      <c r="AS65" s="329">
        <v>41755</v>
      </c>
      <c r="AT65" s="339" t="s">
        <v>3695</v>
      </c>
      <c r="AU65" s="337">
        <v>85</v>
      </c>
      <c r="AV65" s="332"/>
      <c r="AW65" s="329">
        <v>42124</v>
      </c>
      <c r="AX65" s="339" t="s">
        <v>3696</v>
      </c>
      <c r="AY65" s="396">
        <v>2</v>
      </c>
      <c r="AZ65" s="332"/>
      <c r="BA65" s="329">
        <v>42487</v>
      </c>
      <c r="BB65" s="339" t="s">
        <v>3697</v>
      </c>
      <c r="BC65" s="396">
        <f xml:space="preserve"> 859 - 527</f>
        <v>332</v>
      </c>
      <c r="BD65" s="332"/>
      <c r="BE65" s="329">
        <v>42852</v>
      </c>
      <c r="BF65" s="339" t="s">
        <v>3698</v>
      </c>
      <c r="BG65" s="396">
        <v>11</v>
      </c>
      <c r="BH65" s="332"/>
      <c r="BI65" s="329">
        <v>43212</v>
      </c>
      <c r="BJ65" s="336" t="s">
        <v>3169</v>
      </c>
      <c r="BK65" s="394">
        <v>12</v>
      </c>
      <c r="BL65" s="332"/>
      <c r="BM65" s="329"/>
      <c r="BN65" s="336"/>
      <c r="BO65" s="394"/>
      <c r="BP65" s="332"/>
      <c r="BQ65" s="895">
        <v>43581</v>
      </c>
      <c r="BR65" s="903" t="s">
        <v>3699</v>
      </c>
      <c r="BS65" s="911">
        <v>39</v>
      </c>
      <c r="BT65" s="899" t="s">
        <v>700</v>
      </c>
      <c r="BU65" s="895"/>
      <c r="BV65" s="903"/>
      <c r="BW65" s="911"/>
      <c r="BX65" s="899"/>
      <c r="BY65" s="895">
        <v>44313</v>
      </c>
      <c r="BZ65" s="903" t="s">
        <v>3700</v>
      </c>
      <c r="CA65" s="911">
        <v>94</v>
      </c>
      <c r="CB65" s="899" t="s">
        <v>280</v>
      </c>
      <c r="CC65" s="895">
        <v>44671</v>
      </c>
      <c r="CD65" s="903" t="s">
        <v>3701</v>
      </c>
      <c r="CE65" s="910">
        <v>18</v>
      </c>
      <c r="CF65" s="899" t="s">
        <v>700</v>
      </c>
      <c r="CG65" s="895">
        <v>45030</v>
      </c>
      <c r="CH65" s="903" t="s">
        <v>3702</v>
      </c>
      <c r="CI65" s="910">
        <v>0</v>
      </c>
      <c r="CJ65" s="899" t="s">
        <v>667</v>
      </c>
      <c r="CK65" s="895">
        <v>45399</v>
      </c>
      <c r="CL65" s="903" t="s">
        <v>3703</v>
      </c>
      <c r="CM65" s="910">
        <v>100</v>
      </c>
      <c r="CN65" s="2081" t="s">
        <v>278</v>
      </c>
      <c r="CO65" s="2089">
        <v>45717</v>
      </c>
      <c r="CP65" s="2090" t="s">
        <v>3393</v>
      </c>
      <c r="CQ65" s="2091">
        <v>21.97</v>
      </c>
      <c r="CR65" s="2092"/>
      <c r="CS65" s="2068"/>
    </row>
    <row r="66" spans="1:97">
      <c r="A66" s="329">
        <v>37736</v>
      </c>
      <c r="B66" s="339" t="s">
        <v>954</v>
      </c>
      <c r="C66" s="337">
        <v>37</v>
      </c>
      <c r="D66" s="332"/>
      <c r="E66" s="329"/>
      <c r="F66" s="339"/>
      <c r="G66" s="337"/>
      <c r="H66" s="332"/>
      <c r="I66" s="329"/>
      <c r="J66" s="339"/>
      <c r="K66" s="337"/>
      <c r="L66" s="332"/>
      <c r="M66" s="329"/>
      <c r="N66" s="339"/>
      <c r="O66" s="337"/>
      <c r="P66" s="332"/>
      <c r="Q66" s="329"/>
      <c r="R66" s="339"/>
      <c r="S66" s="337"/>
      <c r="T66" s="332"/>
      <c r="U66" s="329"/>
      <c r="V66" s="339"/>
      <c r="W66" s="337"/>
      <c r="X66" s="332"/>
      <c r="Y66" s="329"/>
      <c r="Z66" s="339"/>
      <c r="AA66" s="337"/>
      <c r="AB66" s="332"/>
      <c r="AC66" s="329"/>
      <c r="AD66" s="339"/>
      <c r="AE66" s="337"/>
      <c r="AF66" s="332"/>
      <c r="AG66" s="329"/>
      <c r="AH66" s="339"/>
      <c r="AI66" s="337"/>
      <c r="AJ66" s="332"/>
      <c r="AK66" s="329"/>
      <c r="AL66" s="339"/>
      <c r="AM66" s="337"/>
      <c r="AN66" s="332"/>
      <c r="AO66" s="329"/>
      <c r="AP66" s="339"/>
      <c r="AQ66" s="337"/>
      <c r="AR66" s="332"/>
      <c r="AS66" s="329">
        <v>41756</v>
      </c>
      <c r="AT66" s="339" t="s">
        <v>3704</v>
      </c>
      <c r="AU66" s="337">
        <v>25</v>
      </c>
      <c r="AV66" s="332"/>
      <c r="AW66" s="329">
        <v>42124</v>
      </c>
      <c r="AX66" s="339" t="s">
        <v>855</v>
      </c>
      <c r="AY66" s="396">
        <v>10</v>
      </c>
      <c r="AZ66" s="332"/>
      <c r="BA66" s="329">
        <v>42487</v>
      </c>
      <c r="BB66" s="339" t="s">
        <v>3705</v>
      </c>
      <c r="BC66" s="396">
        <f>577 - 552 -306</f>
        <v>-281</v>
      </c>
      <c r="BD66" s="332"/>
      <c r="BE66" s="329">
        <v>42852</v>
      </c>
      <c r="BF66" s="339" t="s">
        <v>3706</v>
      </c>
      <c r="BG66" s="396">
        <v>11</v>
      </c>
      <c r="BH66" s="332"/>
      <c r="BI66" s="329">
        <v>43213</v>
      </c>
      <c r="BJ66" s="336" t="s">
        <v>3707</v>
      </c>
      <c r="BK66" s="394">
        <v>6</v>
      </c>
      <c r="BL66" s="332"/>
      <c r="BM66" s="329"/>
      <c r="BN66" s="336"/>
      <c r="BO66" s="394"/>
      <c r="BP66" s="332"/>
      <c r="BQ66" s="895">
        <v>43581</v>
      </c>
      <c r="BR66" s="903" t="s">
        <v>3708</v>
      </c>
      <c r="BS66" s="911">
        <v>55</v>
      </c>
      <c r="BT66" s="899" t="s">
        <v>381</v>
      </c>
      <c r="BU66" s="895"/>
      <c r="BV66" s="903"/>
      <c r="BW66" s="911"/>
      <c r="BX66" s="899"/>
      <c r="BY66" s="895">
        <v>44313</v>
      </c>
      <c r="BZ66" s="903" t="s">
        <v>3709</v>
      </c>
      <c r="CA66" s="911">
        <v>41</v>
      </c>
      <c r="CB66" s="899" t="s">
        <v>701</v>
      </c>
      <c r="CC66" s="895">
        <v>44671</v>
      </c>
      <c r="CD66" s="903" t="s">
        <v>3710</v>
      </c>
      <c r="CE66" s="910">
        <v>8</v>
      </c>
      <c r="CF66" s="899" t="s">
        <v>414</v>
      </c>
      <c r="CG66" s="895">
        <v>45030</v>
      </c>
      <c r="CH66" s="903" t="s">
        <v>797</v>
      </c>
      <c r="CI66" s="910">
        <v>67</v>
      </c>
      <c r="CJ66" s="899" t="s">
        <v>410</v>
      </c>
      <c r="CK66" s="895">
        <v>45400</v>
      </c>
      <c r="CL66" s="903" t="s">
        <v>3711</v>
      </c>
      <c r="CM66" s="910">
        <v>58</v>
      </c>
      <c r="CN66" s="2081" t="s">
        <v>381</v>
      </c>
      <c r="CO66" s="2089">
        <v>45718</v>
      </c>
      <c r="CP66" s="2090" t="s">
        <v>3404</v>
      </c>
      <c r="CQ66" s="2091">
        <v>24.71</v>
      </c>
      <c r="CR66" s="2092"/>
      <c r="CS66" s="2068"/>
    </row>
    <row r="67" spans="1:97">
      <c r="A67" s="329">
        <v>37736</v>
      </c>
      <c r="B67" s="339" t="s">
        <v>1189</v>
      </c>
      <c r="C67" s="337">
        <v>16</v>
      </c>
      <c r="D67" s="332"/>
      <c r="E67" s="329"/>
      <c r="F67" s="339"/>
      <c r="G67" s="337"/>
      <c r="H67" s="332"/>
      <c r="I67" s="329"/>
      <c r="J67" s="339"/>
      <c r="K67" s="337"/>
      <c r="L67" s="332"/>
      <c r="M67" s="329"/>
      <c r="N67" s="339"/>
      <c r="O67" s="337"/>
      <c r="P67" s="332"/>
      <c r="Q67" s="329"/>
      <c r="R67" s="339"/>
      <c r="S67" s="337"/>
      <c r="T67" s="332"/>
      <c r="U67" s="329"/>
      <c r="V67" s="339"/>
      <c r="W67" s="337"/>
      <c r="X67" s="332"/>
      <c r="Y67" s="329"/>
      <c r="Z67" s="339"/>
      <c r="AA67" s="337"/>
      <c r="AB67" s="332"/>
      <c r="AC67" s="329"/>
      <c r="AD67" s="339"/>
      <c r="AE67" s="337"/>
      <c r="AF67" s="332"/>
      <c r="AG67" s="329"/>
      <c r="AH67" s="339"/>
      <c r="AI67" s="337"/>
      <c r="AJ67" s="332"/>
      <c r="AK67" s="329"/>
      <c r="AL67" s="339"/>
      <c r="AM67" s="337"/>
      <c r="AN67" s="332"/>
      <c r="AO67" s="329"/>
      <c r="AP67" s="339"/>
      <c r="AQ67" s="337"/>
      <c r="AR67" s="332"/>
      <c r="AS67" s="329">
        <v>41756</v>
      </c>
      <c r="AT67" s="339" t="s">
        <v>3712</v>
      </c>
      <c r="AU67" s="337">
        <v>32</v>
      </c>
      <c r="AV67" s="332"/>
      <c r="AW67" s="329">
        <v>42124</v>
      </c>
      <c r="AX67" s="339" t="s">
        <v>3713</v>
      </c>
      <c r="AY67" s="396">
        <v>19</v>
      </c>
      <c r="AZ67" s="332"/>
      <c r="BA67" s="329">
        <v>42487</v>
      </c>
      <c r="BB67" s="339" t="s">
        <v>1483</v>
      </c>
      <c r="BC67" s="396">
        <v>10</v>
      </c>
      <c r="BD67" s="332"/>
      <c r="BE67" s="329">
        <v>42853</v>
      </c>
      <c r="BF67" s="339" t="s">
        <v>872</v>
      </c>
      <c r="BG67" s="396">
        <v>18</v>
      </c>
      <c r="BH67" s="332"/>
      <c r="BI67" s="329">
        <v>43214</v>
      </c>
      <c r="BJ67" s="336" t="s">
        <v>3714</v>
      </c>
      <c r="BK67" s="394">
        <v>13</v>
      </c>
      <c r="BL67" s="332"/>
      <c r="BM67" s="329"/>
      <c r="BN67" s="336"/>
      <c r="BO67" s="394"/>
      <c r="BP67" s="332"/>
      <c r="BQ67" s="895">
        <v>43581</v>
      </c>
      <c r="BR67" s="903" t="s">
        <v>3715</v>
      </c>
      <c r="BS67" s="911">
        <v>0</v>
      </c>
      <c r="BT67" s="899" t="s">
        <v>700</v>
      </c>
      <c r="BU67" s="895"/>
      <c r="BV67" s="903"/>
      <c r="BW67" s="911"/>
      <c r="BX67" s="899"/>
      <c r="BY67" s="895">
        <v>44316</v>
      </c>
      <c r="BZ67" s="903" t="s">
        <v>3716</v>
      </c>
      <c r="CA67" s="911"/>
      <c r="CB67" s="899"/>
      <c r="CC67" s="895">
        <v>44675</v>
      </c>
      <c r="CD67" s="903" t="s">
        <v>1334</v>
      </c>
      <c r="CE67" s="910">
        <v>15</v>
      </c>
      <c r="CF67" s="899" t="s">
        <v>280</v>
      </c>
      <c r="CG67" s="895">
        <v>45030</v>
      </c>
      <c r="CH67" s="903" t="s">
        <v>3717</v>
      </c>
      <c r="CI67" s="910">
        <v>0</v>
      </c>
      <c r="CJ67" s="899" t="s">
        <v>667</v>
      </c>
      <c r="CK67" s="895">
        <v>45400</v>
      </c>
      <c r="CL67" s="903" t="s">
        <v>3718</v>
      </c>
      <c r="CM67" s="910">
        <v>79</v>
      </c>
      <c r="CN67" s="2081" t="s">
        <v>700</v>
      </c>
      <c r="CO67" s="2089">
        <v>45718</v>
      </c>
      <c r="CP67" s="2090" t="s">
        <v>3419</v>
      </c>
      <c r="CQ67" s="2091">
        <v>25.49</v>
      </c>
      <c r="CR67" s="2092"/>
      <c r="CS67" s="2068"/>
    </row>
    <row r="68" spans="1:97">
      <c r="A68" s="329">
        <v>37736</v>
      </c>
      <c r="B68" s="339" t="s">
        <v>772</v>
      </c>
      <c r="C68" s="337">
        <v>19</v>
      </c>
      <c r="D68" s="332"/>
      <c r="E68" s="329"/>
      <c r="F68" s="339"/>
      <c r="G68" s="337"/>
      <c r="H68" s="332"/>
      <c r="I68" s="329"/>
      <c r="J68" s="339"/>
      <c r="K68" s="337"/>
      <c r="L68" s="332"/>
      <c r="M68" s="329"/>
      <c r="N68" s="339"/>
      <c r="O68" s="337"/>
      <c r="P68" s="332"/>
      <c r="Q68" s="329"/>
      <c r="R68" s="339"/>
      <c r="S68" s="337"/>
      <c r="T68" s="332"/>
      <c r="U68" s="329"/>
      <c r="V68" s="339"/>
      <c r="W68" s="337"/>
      <c r="X68" s="332"/>
      <c r="Y68" s="329"/>
      <c r="Z68" s="339"/>
      <c r="AA68" s="337"/>
      <c r="AB68" s="332"/>
      <c r="AC68" s="329"/>
      <c r="AD68" s="339"/>
      <c r="AE68" s="337"/>
      <c r="AF68" s="332"/>
      <c r="AG68" s="329"/>
      <c r="AH68" s="339"/>
      <c r="AI68" s="337"/>
      <c r="AJ68" s="332"/>
      <c r="AK68" s="329"/>
      <c r="AL68" s="339"/>
      <c r="AM68" s="337"/>
      <c r="AN68" s="332"/>
      <c r="AO68" s="329"/>
      <c r="AP68" s="339"/>
      <c r="AQ68" s="337"/>
      <c r="AR68" s="332"/>
      <c r="AS68" s="329">
        <v>41756</v>
      </c>
      <c r="AT68" s="339" t="s">
        <v>3719</v>
      </c>
      <c r="AU68" s="337">
        <v>35</v>
      </c>
      <c r="AV68" s="332"/>
      <c r="AW68" s="329">
        <v>42124</v>
      </c>
      <c r="AX68" s="339" t="s">
        <v>3720</v>
      </c>
      <c r="AY68" s="396">
        <v>260</v>
      </c>
      <c r="AZ68" s="332"/>
      <c r="BA68" s="329">
        <v>42488</v>
      </c>
      <c r="BB68" s="339" t="s">
        <v>797</v>
      </c>
      <c r="BC68" s="396">
        <v>37</v>
      </c>
      <c r="BD68" s="332"/>
      <c r="BE68" s="329">
        <v>42853</v>
      </c>
      <c r="BF68" s="339" t="s">
        <v>781</v>
      </c>
      <c r="BG68" s="396">
        <v>12</v>
      </c>
      <c r="BH68" s="332"/>
      <c r="BI68" s="329">
        <v>43214</v>
      </c>
      <c r="BJ68" s="336" t="s">
        <v>3721</v>
      </c>
      <c r="BK68" s="394">
        <v>12</v>
      </c>
      <c r="BL68" s="332"/>
      <c r="BM68" s="329"/>
      <c r="BN68" s="336"/>
      <c r="BO68" s="394"/>
      <c r="BP68" s="332"/>
      <c r="BQ68" s="895">
        <v>43581</v>
      </c>
      <c r="BR68" s="903" t="s">
        <v>823</v>
      </c>
      <c r="BS68" s="911">
        <v>86</v>
      </c>
      <c r="BT68" s="899" t="s">
        <v>414</v>
      </c>
      <c r="BU68" s="895"/>
      <c r="BV68" s="903"/>
      <c r="BW68" s="911"/>
      <c r="BX68" s="899"/>
      <c r="BY68" s="895">
        <v>44316</v>
      </c>
      <c r="BZ68" s="903" t="s">
        <v>3722</v>
      </c>
      <c r="CA68" s="911">
        <v>41</v>
      </c>
      <c r="CB68" s="899" t="s">
        <v>278</v>
      </c>
      <c r="CC68" s="895">
        <v>44675</v>
      </c>
      <c r="CD68" s="903" t="s">
        <v>3723</v>
      </c>
      <c r="CE68" s="910">
        <v>15</v>
      </c>
      <c r="CF68" s="899" t="s">
        <v>280</v>
      </c>
      <c r="CG68" s="895">
        <v>45030</v>
      </c>
      <c r="CH68" s="903" t="s">
        <v>2144</v>
      </c>
      <c r="CI68" s="910">
        <v>30</v>
      </c>
      <c r="CJ68" s="899" t="s">
        <v>414</v>
      </c>
      <c r="CK68" s="895">
        <v>45401</v>
      </c>
      <c r="CL68" s="903" t="s">
        <v>845</v>
      </c>
      <c r="CM68" s="910">
        <v>99</v>
      </c>
      <c r="CN68" s="2081" t="s">
        <v>414</v>
      </c>
      <c r="CO68" s="2089">
        <v>45718</v>
      </c>
      <c r="CP68" s="2090" t="s">
        <v>3433</v>
      </c>
      <c r="CQ68" s="2091">
        <v>26.89</v>
      </c>
      <c r="CR68" s="2092"/>
      <c r="CS68" s="2068"/>
    </row>
    <row r="69" spans="1:97">
      <c r="A69" s="329">
        <v>37736</v>
      </c>
      <c r="B69" s="339" t="s">
        <v>3724</v>
      </c>
      <c r="C69" s="337">
        <v>12</v>
      </c>
      <c r="D69" s="332"/>
      <c r="E69" s="329"/>
      <c r="F69" s="339"/>
      <c r="G69" s="337"/>
      <c r="H69" s="332"/>
      <c r="I69" s="329"/>
      <c r="J69" s="339"/>
      <c r="K69" s="337"/>
      <c r="L69" s="332"/>
      <c r="M69" s="329"/>
      <c r="N69" s="339"/>
      <c r="O69" s="337"/>
      <c r="P69" s="332"/>
      <c r="Q69" s="329"/>
      <c r="R69" s="339"/>
      <c r="S69" s="337"/>
      <c r="T69" s="332"/>
      <c r="U69" s="329"/>
      <c r="V69" s="339"/>
      <c r="W69" s="337"/>
      <c r="X69" s="332"/>
      <c r="Y69" s="329"/>
      <c r="Z69" s="339"/>
      <c r="AA69" s="337"/>
      <c r="AB69" s="332"/>
      <c r="AC69" s="329"/>
      <c r="AD69" s="339"/>
      <c r="AE69" s="337"/>
      <c r="AF69" s="332"/>
      <c r="AG69" s="329"/>
      <c r="AH69" s="339"/>
      <c r="AI69" s="337"/>
      <c r="AJ69" s="332"/>
      <c r="AK69" s="329"/>
      <c r="AL69" s="339"/>
      <c r="AM69" s="337"/>
      <c r="AN69" s="332"/>
      <c r="AO69" s="329"/>
      <c r="AP69" s="339"/>
      <c r="AQ69" s="337"/>
      <c r="AR69" s="332"/>
      <c r="AS69" s="329">
        <v>41756</v>
      </c>
      <c r="AT69" s="339" t="s">
        <v>3725</v>
      </c>
      <c r="AU69" s="337">
        <v>120</v>
      </c>
      <c r="AV69" s="332"/>
      <c r="AW69" s="329"/>
      <c r="AX69" s="339"/>
      <c r="AY69" s="396"/>
      <c r="AZ69" s="332"/>
      <c r="BA69" s="329">
        <v>42489</v>
      </c>
      <c r="BB69" s="339" t="s">
        <v>3726</v>
      </c>
      <c r="BC69" s="396">
        <v>15</v>
      </c>
      <c r="BD69" s="332"/>
      <c r="BE69" s="329">
        <v>42853</v>
      </c>
      <c r="BF69" s="339" t="s">
        <v>3727</v>
      </c>
      <c r="BG69" s="396">
        <v>16</v>
      </c>
      <c r="BH69" s="332"/>
      <c r="BI69" s="329">
        <v>43215</v>
      </c>
      <c r="BJ69" s="336" t="s">
        <v>859</v>
      </c>
      <c r="BK69" s="394">
        <v>37</v>
      </c>
      <c r="BL69" s="332"/>
      <c r="BM69" s="329"/>
      <c r="BN69" s="336"/>
      <c r="BO69" s="394"/>
      <c r="BP69" s="332"/>
      <c r="BQ69" s="895">
        <v>43582</v>
      </c>
      <c r="BR69" s="903" t="s">
        <v>3728</v>
      </c>
      <c r="BS69" s="911"/>
      <c r="BT69" s="899"/>
      <c r="BU69" s="895"/>
      <c r="BV69" s="903"/>
      <c r="BW69" s="911"/>
      <c r="BX69" s="899"/>
      <c r="BY69" s="895">
        <v>44316</v>
      </c>
      <c r="BZ69" s="903" t="s">
        <v>3729</v>
      </c>
      <c r="CA69" s="911">
        <v>33</v>
      </c>
      <c r="CB69" s="899" t="s">
        <v>278</v>
      </c>
      <c r="CC69" s="895">
        <v>44675</v>
      </c>
      <c r="CD69" s="903" t="s">
        <v>3730</v>
      </c>
      <c r="CE69" s="910">
        <v>45</v>
      </c>
      <c r="CF69" s="899" t="s">
        <v>280</v>
      </c>
      <c r="CG69" s="895">
        <v>45030</v>
      </c>
      <c r="CH69" s="896" t="s">
        <v>3731</v>
      </c>
      <c r="CI69" s="910">
        <v>15</v>
      </c>
      <c r="CJ69" s="899" t="s">
        <v>414</v>
      </c>
      <c r="CK69" s="895">
        <v>45401</v>
      </c>
      <c r="CL69" s="903" t="s">
        <v>3732</v>
      </c>
      <c r="CM69" s="910">
        <v>50</v>
      </c>
      <c r="CN69" s="2081" t="s">
        <v>700</v>
      </c>
      <c r="CO69" s="2089">
        <v>45721</v>
      </c>
      <c r="CP69" s="2090" t="s">
        <v>3370</v>
      </c>
      <c r="CQ69" s="2091">
        <v>17.989999999999998</v>
      </c>
      <c r="CR69" s="2092"/>
      <c r="CS69" s="2068"/>
    </row>
    <row r="70" spans="1:97">
      <c r="A70" s="329">
        <v>37738</v>
      </c>
      <c r="B70" s="339" t="s">
        <v>3733</v>
      </c>
      <c r="C70" s="337">
        <v>21</v>
      </c>
      <c r="D70" s="332"/>
      <c r="E70" s="329"/>
      <c r="F70" s="339"/>
      <c r="G70" s="337"/>
      <c r="H70" s="332"/>
      <c r="I70" s="329"/>
      <c r="J70" s="339"/>
      <c r="K70" s="337"/>
      <c r="L70" s="332"/>
      <c r="M70" s="329"/>
      <c r="N70" s="339"/>
      <c r="O70" s="337"/>
      <c r="P70" s="332"/>
      <c r="Q70" s="329"/>
      <c r="R70" s="339"/>
      <c r="S70" s="337"/>
      <c r="T70" s="332"/>
      <c r="U70" s="329"/>
      <c r="V70" s="339"/>
      <c r="W70" s="337"/>
      <c r="X70" s="332"/>
      <c r="Y70" s="329"/>
      <c r="Z70" s="339"/>
      <c r="AA70" s="337"/>
      <c r="AB70" s="332"/>
      <c r="AC70" s="329"/>
      <c r="AD70" s="339"/>
      <c r="AE70" s="337"/>
      <c r="AF70" s="332"/>
      <c r="AG70" s="329"/>
      <c r="AH70" s="339"/>
      <c r="AI70" s="337"/>
      <c r="AJ70" s="332"/>
      <c r="AK70" s="329"/>
      <c r="AL70" s="339"/>
      <c r="AM70" s="337"/>
      <c r="AN70" s="332"/>
      <c r="AO70" s="329"/>
      <c r="AP70" s="339"/>
      <c r="AQ70" s="337"/>
      <c r="AR70" s="332"/>
      <c r="AS70" s="329">
        <v>41758</v>
      </c>
      <c r="AT70" s="339" t="s">
        <v>1289</v>
      </c>
      <c r="AU70" s="337">
        <v>7</v>
      </c>
      <c r="AV70" s="332"/>
      <c r="AW70" s="329"/>
      <c r="AX70" s="339"/>
      <c r="AY70" s="396"/>
      <c r="AZ70" s="332"/>
      <c r="BA70" s="329">
        <v>42489</v>
      </c>
      <c r="BB70" s="339" t="s">
        <v>3734</v>
      </c>
      <c r="BC70" s="396">
        <v>5</v>
      </c>
      <c r="BD70" s="332"/>
      <c r="BE70" s="329">
        <v>42853</v>
      </c>
      <c r="BF70" s="339" t="s">
        <v>1180</v>
      </c>
      <c r="BG70" s="396">
        <v>56</v>
      </c>
      <c r="BH70" s="332"/>
      <c r="BI70" s="329">
        <v>43216</v>
      </c>
      <c r="BJ70" s="336" t="s">
        <v>797</v>
      </c>
      <c r="BK70" s="394">
        <v>65</v>
      </c>
      <c r="BL70" s="332"/>
      <c r="BM70" s="329"/>
      <c r="BN70" s="336"/>
      <c r="BO70" s="394"/>
      <c r="BP70" s="332"/>
      <c r="BQ70" s="895">
        <v>43582</v>
      </c>
      <c r="BR70" s="903" t="s">
        <v>859</v>
      </c>
      <c r="BS70" s="911">
        <v>5</v>
      </c>
      <c r="BT70" s="899" t="s">
        <v>414</v>
      </c>
      <c r="BU70" s="895"/>
      <c r="BV70" s="903"/>
      <c r="BW70" s="911"/>
      <c r="BX70" s="899"/>
      <c r="BY70" s="895">
        <v>44316</v>
      </c>
      <c r="BZ70" s="903" t="s">
        <v>3735</v>
      </c>
      <c r="CA70" s="911">
        <v>36</v>
      </c>
      <c r="CB70" s="899" t="s">
        <v>414</v>
      </c>
      <c r="CC70" s="895">
        <v>44675</v>
      </c>
      <c r="CD70" s="903" t="s">
        <v>3736</v>
      </c>
      <c r="CE70" s="910">
        <v>10</v>
      </c>
      <c r="CF70" s="899" t="s">
        <v>414</v>
      </c>
      <c r="CG70" s="895">
        <v>45030</v>
      </c>
      <c r="CH70" s="903" t="s">
        <v>772</v>
      </c>
      <c r="CI70" s="910">
        <v>16</v>
      </c>
      <c r="CJ70" s="899" t="s">
        <v>414</v>
      </c>
      <c r="CK70" s="895">
        <v>45401</v>
      </c>
      <c r="CL70" s="896" t="s">
        <v>3737</v>
      </c>
      <c r="CM70" s="910">
        <v>1000</v>
      </c>
      <c r="CN70" s="2081" t="s">
        <v>284</v>
      </c>
      <c r="CO70" s="2089">
        <v>45722</v>
      </c>
      <c r="CP70" s="2090" t="s">
        <v>3464</v>
      </c>
      <c r="CQ70" s="2091">
        <v>14.24</v>
      </c>
      <c r="CR70" s="2092"/>
      <c r="CS70" s="2068"/>
    </row>
    <row r="71" spans="1:97">
      <c r="A71" s="329">
        <v>37738</v>
      </c>
      <c r="B71" s="339" t="s">
        <v>797</v>
      </c>
      <c r="C71" s="337">
        <v>27</v>
      </c>
      <c r="D71" s="332"/>
      <c r="E71" s="329"/>
      <c r="F71" s="339"/>
      <c r="G71" s="337"/>
      <c r="H71" s="332"/>
      <c r="I71" s="329"/>
      <c r="J71" s="339"/>
      <c r="K71" s="337"/>
      <c r="L71" s="332"/>
      <c r="M71" s="329"/>
      <c r="N71" s="339"/>
      <c r="O71" s="337"/>
      <c r="P71" s="332"/>
      <c r="Q71" s="329"/>
      <c r="R71" s="339"/>
      <c r="S71" s="337"/>
      <c r="T71" s="332"/>
      <c r="U71" s="329"/>
      <c r="V71" s="339"/>
      <c r="W71" s="337"/>
      <c r="X71" s="332"/>
      <c r="Y71" s="329"/>
      <c r="Z71" s="339"/>
      <c r="AA71" s="337"/>
      <c r="AB71" s="332"/>
      <c r="AC71" s="329"/>
      <c r="AD71" s="339"/>
      <c r="AE71" s="337"/>
      <c r="AF71" s="332"/>
      <c r="AG71" s="329"/>
      <c r="AH71" s="339"/>
      <c r="AI71" s="337"/>
      <c r="AJ71" s="332"/>
      <c r="AK71" s="329"/>
      <c r="AL71" s="339"/>
      <c r="AM71" s="337"/>
      <c r="AN71" s="332"/>
      <c r="AO71" s="329"/>
      <c r="AP71" s="339"/>
      <c r="AQ71" s="337"/>
      <c r="AR71" s="332"/>
      <c r="AS71" s="329">
        <v>41758</v>
      </c>
      <c r="AT71" s="339" t="s">
        <v>3738</v>
      </c>
      <c r="AU71" s="337">
        <v>12</v>
      </c>
      <c r="AV71" s="332"/>
      <c r="AW71" s="329"/>
      <c r="AX71" s="339"/>
      <c r="AY71" s="396"/>
      <c r="AZ71" s="332"/>
      <c r="BA71" s="329">
        <v>42489</v>
      </c>
      <c r="BB71" s="339" t="s">
        <v>3739</v>
      </c>
      <c r="BC71" s="396">
        <v>7</v>
      </c>
      <c r="BD71" s="332"/>
      <c r="BE71" s="329">
        <v>42854</v>
      </c>
      <c r="BF71" s="339" t="s">
        <v>3740</v>
      </c>
      <c r="BG71" s="396"/>
      <c r="BH71" s="332"/>
      <c r="BI71" s="329">
        <v>43216</v>
      </c>
      <c r="BJ71" s="336" t="s">
        <v>823</v>
      </c>
      <c r="BK71" s="394">
        <v>47</v>
      </c>
      <c r="BL71" s="332"/>
      <c r="BM71" s="329"/>
      <c r="BN71" s="336"/>
      <c r="BO71" s="394"/>
      <c r="BP71" s="332"/>
      <c r="BQ71" s="895">
        <v>43582</v>
      </c>
      <c r="BR71" s="903" t="s">
        <v>873</v>
      </c>
      <c r="BS71" s="911">
        <v>35</v>
      </c>
      <c r="BT71" s="899" t="s">
        <v>414</v>
      </c>
      <c r="BU71" s="895"/>
      <c r="BV71" s="903"/>
      <c r="BW71" s="911"/>
      <c r="BX71" s="899"/>
      <c r="BY71" s="895">
        <v>44316</v>
      </c>
      <c r="BZ71" s="903" t="s">
        <v>3741</v>
      </c>
      <c r="CA71" s="911">
        <v>19</v>
      </c>
      <c r="CB71" s="899" t="s">
        <v>278</v>
      </c>
      <c r="CC71" s="895">
        <v>44675</v>
      </c>
      <c r="CD71" s="903" t="s">
        <v>979</v>
      </c>
      <c r="CE71" s="910">
        <v>60</v>
      </c>
      <c r="CF71" s="899" t="s">
        <v>700</v>
      </c>
      <c r="CG71" s="895">
        <v>45030</v>
      </c>
      <c r="CH71" s="903" t="s">
        <v>843</v>
      </c>
      <c r="CI71" s="910">
        <v>8</v>
      </c>
      <c r="CJ71" s="899" t="s">
        <v>414</v>
      </c>
      <c r="CK71" s="895">
        <v>45401</v>
      </c>
      <c r="CL71" s="903" t="s">
        <v>3742</v>
      </c>
      <c r="CM71" s="910">
        <v>130</v>
      </c>
      <c r="CN71" s="2081" t="s">
        <v>280</v>
      </c>
      <c r="CO71" s="2089">
        <v>45724</v>
      </c>
      <c r="CP71" s="2090" t="s">
        <v>3479</v>
      </c>
      <c r="CQ71" s="2091">
        <v>0</v>
      </c>
      <c r="CR71" s="2092"/>
      <c r="CS71" s="2068"/>
    </row>
    <row r="72" spans="1:97">
      <c r="A72" s="329">
        <v>37738</v>
      </c>
      <c r="B72" s="339" t="s">
        <v>3743</v>
      </c>
      <c r="C72" s="337">
        <v>15</v>
      </c>
      <c r="D72" s="332"/>
      <c r="E72" s="329"/>
      <c r="F72" s="339"/>
      <c r="G72" s="337"/>
      <c r="H72" s="332"/>
      <c r="I72" s="329"/>
      <c r="J72" s="339"/>
      <c r="K72" s="337"/>
      <c r="L72" s="332"/>
      <c r="M72" s="329"/>
      <c r="N72" s="339"/>
      <c r="O72" s="337"/>
      <c r="P72" s="332"/>
      <c r="Q72" s="329"/>
      <c r="R72" s="339"/>
      <c r="S72" s="337"/>
      <c r="T72" s="332"/>
      <c r="U72" s="329"/>
      <c r="V72" s="339"/>
      <c r="W72" s="337"/>
      <c r="X72" s="332"/>
      <c r="Y72" s="329"/>
      <c r="Z72" s="339"/>
      <c r="AA72" s="337"/>
      <c r="AB72" s="332"/>
      <c r="AC72" s="329"/>
      <c r="AD72" s="339"/>
      <c r="AE72" s="337"/>
      <c r="AF72" s="332"/>
      <c r="AG72" s="329"/>
      <c r="AH72" s="339"/>
      <c r="AI72" s="337"/>
      <c r="AJ72" s="332"/>
      <c r="AK72" s="329"/>
      <c r="AL72" s="339"/>
      <c r="AM72" s="337"/>
      <c r="AN72" s="332"/>
      <c r="AO72" s="329"/>
      <c r="AP72" s="339"/>
      <c r="AQ72" s="337"/>
      <c r="AR72" s="332"/>
      <c r="AS72" s="329">
        <v>41758</v>
      </c>
      <c r="AT72" s="339" t="s">
        <v>3744</v>
      </c>
      <c r="AU72" s="337">
        <v>12</v>
      </c>
      <c r="AV72" s="332"/>
      <c r="AW72" s="329"/>
      <c r="AX72" s="339"/>
      <c r="AY72" s="396"/>
      <c r="AZ72" s="332"/>
      <c r="BA72" s="329">
        <v>42490</v>
      </c>
      <c r="BB72" s="339" t="s">
        <v>3745</v>
      </c>
      <c r="BC72" s="396">
        <v>52</v>
      </c>
      <c r="BD72" s="332"/>
      <c r="BE72" s="329">
        <v>42854</v>
      </c>
      <c r="BF72" s="339" t="s">
        <v>3746</v>
      </c>
      <c r="BG72" s="396">
        <v>27</v>
      </c>
      <c r="BH72" s="332"/>
      <c r="BI72" s="329">
        <v>43216</v>
      </c>
      <c r="BJ72" s="336" t="s">
        <v>3747</v>
      </c>
      <c r="BK72" s="394">
        <v>72</v>
      </c>
      <c r="BL72" s="332"/>
      <c r="BM72" s="329"/>
      <c r="BN72" s="336"/>
      <c r="BO72" s="394"/>
      <c r="BP72" s="332"/>
      <c r="BQ72" s="895">
        <v>43582</v>
      </c>
      <c r="BR72" s="903" t="s">
        <v>872</v>
      </c>
      <c r="BS72" s="911">
        <v>20</v>
      </c>
      <c r="BT72" s="899" t="s">
        <v>414</v>
      </c>
      <c r="BU72" s="895"/>
      <c r="BV72" s="903"/>
      <c r="BW72" s="911"/>
      <c r="BX72" s="899"/>
      <c r="BY72" s="895"/>
      <c r="BZ72" s="903"/>
      <c r="CA72" s="911"/>
      <c r="CB72" s="899"/>
      <c r="CC72" s="895">
        <v>44675</v>
      </c>
      <c r="CD72" s="903" t="s">
        <v>781</v>
      </c>
      <c r="CE72" s="910">
        <v>59</v>
      </c>
      <c r="CF72" s="899" t="s">
        <v>414</v>
      </c>
      <c r="CG72" s="895">
        <v>45030</v>
      </c>
      <c r="CH72" s="903" t="s">
        <v>1871</v>
      </c>
      <c r="CI72" s="910">
        <v>25</v>
      </c>
      <c r="CJ72" s="899" t="s">
        <v>414</v>
      </c>
      <c r="CK72" s="895">
        <v>45402</v>
      </c>
      <c r="CL72" s="903" t="s">
        <v>772</v>
      </c>
      <c r="CM72" s="910">
        <v>35</v>
      </c>
      <c r="CN72" s="2081" t="s">
        <v>414</v>
      </c>
      <c r="CO72" s="2089">
        <v>45729</v>
      </c>
      <c r="CP72" s="2090" t="s">
        <v>3492</v>
      </c>
      <c r="CQ72" s="2091">
        <v>11.14</v>
      </c>
      <c r="CR72" s="2092"/>
      <c r="CS72" s="2068"/>
    </row>
    <row r="73" spans="1:97">
      <c r="A73" s="329">
        <v>37738</v>
      </c>
      <c r="B73" s="339" t="s">
        <v>3748</v>
      </c>
      <c r="C73" s="337">
        <v>539</v>
      </c>
      <c r="D73" s="332"/>
      <c r="E73" s="329"/>
      <c r="F73" s="339"/>
      <c r="G73" s="337"/>
      <c r="H73" s="332"/>
      <c r="I73" s="329"/>
      <c r="J73" s="339"/>
      <c r="K73" s="337"/>
      <c r="L73" s="332"/>
      <c r="M73" s="329"/>
      <c r="N73" s="339"/>
      <c r="O73" s="337"/>
      <c r="P73" s="332"/>
      <c r="Q73" s="329"/>
      <c r="R73" s="339"/>
      <c r="S73" s="337"/>
      <c r="T73" s="332"/>
      <c r="U73" s="329"/>
      <c r="V73" s="339"/>
      <c r="W73" s="337"/>
      <c r="X73" s="332"/>
      <c r="Y73" s="329"/>
      <c r="Z73" s="339"/>
      <c r="AA73" s="337"/>
      <c r="AB73" s="332"/>
      <c r="AC73" s="329"/>
      <c r="AD73" s="339"/>
      <c r="AE73" s="337"/>
      <c r="AF73" s="332"/>
      <c r="AG73" s="329"/>
      <c r="AH73" s="339"/>
      <c r="AI73" s="337"/>
      <c r="AJ73" s="332"/>
      <c r="AK73" s="329"/>
      <c r="AL73" s="339"/>
      <c r="AM73" s="337"/>
      <c r="AN73" s="332"/>
      <c r="AO73" s="329"/>
      <c r="AP73" s="339"/>
      <c r="AQ73" s="337"/>
      <c r="AR73" s="332"/>
      <c r="AS73" s="329">
        <v>41758</v>
      </c>
      <c r="AT73" s="339" t="s">
        <v>3749</v>
      </c>
      <c r="AU73" s="337">
        <v>10</v>
      </c>
      <c r="AV73" s="332"/>
      <c r="AW73" s="329"/>
      <c r="AX73" s="339"/>
      <c r="AY73" s="396"/>
      <c r="AZ73" s="332"/>
      <c r="BA73" s="329">
        <v>42490</v>
      </c>
      <c r="BB73" s="339" t="s">
        <v>3750</v>
      </c>
      <c r="BC73" s="396">
        <v>43</v>
      </c>
      <c r="BD73" s="332"/>
      <c r="BE73" s="329">
        <v>42855</v>
      </c>
      <c r="BF73" s="339" t="s">
        <v>3751</v>
      </c>
      <c r="BG73" s="396">
        <v>11</v>
      </c>
      <c r="BH73" s="332"/>
      <c r="BI73" s="329">
        <v>43217</v>
      </c>
      <c r="BJ73" s="336" t="s">
        <v>3752</v>
      </c>
      <c r="BK73" s="394">
        <v>31</v>
      </c>
      <c r="BL73" s="332"/>
      <c r="BM73" s="329"/>
      <c r="BN73" s="336"/>
      <c r="BO73" s="394"/>
      <c r="BP73" s="332"/>
      <c r="BQ73" s="895">
        <v>43582</v>
      </c>
      <c r="BR73" s="903" t="s">
        <v>823</v>
      </c>
      <c r="BS73" s="911">
        <v>9</v>
      </c>
      <c r="BT73" s="899" t="s">
        <v>414</v>
      </c>
      <c r="BU73" s="895"/>
      <c r="BV73" s="903"/>
      <c r="BW73" s="911"/>
      <c r="BX73" s="899"/>
      <c r="BY73" s="895"/>
      <c r="BZ73" s="903"/>
      <c r="CA73" s="911"/>
      <c r="CB73" s="899"/>
      <c r="CC73" s="895">
        <v>44675</v>
      </c>
      <c r="CD73" s="903" t="s">
        <v>2282</v>
      </c>
      <c r="CE73" s="910">
        <v>75</v>
      </c>
      <c r="CF73" s="899" t="s">
        <v>700</v>
      </c>
      <c r="CG73" s="895">
        <v>45030</v>
      </c>
      <c r="CH73" s="903" t="s">
        <v>3753</v>
      </c>
      <c r="CI73" s="910">
        <v>500</v>
      </c>
      <c r="CJ73" s="899" t="s">
        <v>280</v>
      </c>
      <c r="CK73" s="895">
        <v>45402</v>
      </c>
      <c r="CL73" s="903" t="s">
        <v>845</v>
      </c>
      <c r="CM73" s="910">
        <v>75</v>
      </c>
      <c r="CN73" s="2081" t="s">
        <v>414</v>
      </c>
      <c r="CO73" s="2089">
        <v>45729</v>
      </c>
      <c r="CP73" s="2090" t="s">
        <v>3504</v>
      </c>
      <c r="CQ73" s="2091">
        <v>0</v>
      </c>
      <c r="CR73" s="2092"/>
      <c r="CS73" s="2068"/>
    </row>
    <row r="74" spans="1:97">
      <c r="A74" s="329">
        <v>37740</v>
      </c>
      <c r="B74" s="339" t="s">
        <v>3754</v>
      </c>
      <c r="C74" s="337">
        <v>8</v>
      </c>
      <c r="D74" s="332"/>
      <c r="E74" s="329"/>
      <c r="F74" s="339"/>
      <c r="G74" s="337"/>
      <c r="H74" s="332"/>
      <c r="I74" s="329"/>
      <c r="J74" s="339"/>
      <c r="K74" s="337"/>
      <c r="L74" s="332"/>
      <c r="M74" s="329"/>
      <c r="N74" s="339"/>
      <c r="O74" s="337"/>
      <c r="P74" s="332"/>
      <c r="Q74" s="329"/>
      <c r="R74" s="339"/>
      <c r="S74" s="337"/>
      <c r="T74" s="332"/>
      <c r="U74" s="329"/>
      <c r="V74" s="339"/>
      <c r="W74" s="337"/>
      <c r="X74" s="332"/>
      <c r="Y74" s="329"/>
      <c r="Z74" s="339"/>
      <c r="AA74" s="337"/>
      <c r="AB74" s="332"/>
      <c r="AC74" s="329"/>
      <c r="AD74" s="339"/>
      <c r="AE74" s="337"/>
      <c r="AF74" s="332"/>
      <c r="AG74" s="329"/>
      <c r="AH74" s="339"/>
      <c r="AI74" s="337"/>
      <c r="AJ74" s="332"/>
      <c r="AK74" s="329"/>
      <c r="AL74" s="339"/>
      <c r="AM74" s="337"/>
      <c r="AN74" s="332"/>
      <c r="AO74" s="329"/>
      <c r="AP74" s="339"/>
      <c r="AQ74" s="337"/>
      <c r="AR74" s="332"/>
      <c r="AS74" s="329">
        <v>41759</v>
      </c>
      <c r="AT74" s="339" t="s">
        <v>3755</v>
      </c>
      <c r="AU74" s="337">
        <v>23</v>
      </c>
      <c r="AV74" s="332"/>
      <c r="AW74" s="329"/>
      <c r="AX74" s="339"/>
      <c r="AY74" s="396"/>
      <c r="AZ74" s="332"/>
      <c r="BA74" s="329">
        <v>42490</v>
      </c>
      <c r="BB74" s="339" t="s">
        <v>3756</v>
      </c>
      <c r="BC74" s="396">
        <f>SUM(BC75:BC81)</f>
        <v>437</v>
      </c>
      <c r="BD74" s="332"/>
      <c r="BE74" s="329">
        <v>42855</v>
      </c>
      <c r="BF74" s="339" t="s">
        <v>3757</v>
      </c>
      <c r="BG74" s="396"/>
      <c r="BH74" s="332"/>
      <c r="BI74" s="329">
        <v>43217</v>
      </c>
      <c r="BJ74" s="336" t="s">
        <v>3758</v>
      </c>
      <c r="BK74" s="394">
        <v>4</v>
      </c>
      <c r="BL74" s="332"/>
      <c r="BM74" s="329"/>
      <c r="BN74" s="336"/>
      <c r="BO74" s="394"/>
      <c r="BP74" s="332"/>
      <c r="BQ74" s="895">
        <v>43582</v>
      </c>
      <c r="BR74" s="903" t="s">
        <v>3759</v>
      </c>
      <c r="BS74" s="911">
        <v>10</v>
      </c>
      <c r="BT74" s="899" t="s">
        <v>278</v>
      </c>
      <c r="BU74" s="895"/>
      <c r="BV74" s="903"/>
      <c r="BW74" s="911"/>
      <c r="BX74" s="899"/>
      <c r="BY74" s="895"/>
      <c r="BZ74" s="903"/>
      <c r="CA74" s="911"/>
      <c r="CB74" s="899"/>
      <c r="CC74" s="895">
        <v>44675</v>
      </c>
      <c r="CD74" s="903" t="s">
        <v>843</v>
      </c>
      <c r="CE74" s="910">
        <v>35</v>
      </c>
      <c r="CF74" s="899" t="s">
        <v>414</v>
      </c>
      <c r="CG74" s="895">
        <v>45030</v>
      </c>
      <c r="CH74" s="903" t="s">
        <v>3012</v>
      </c>
      <c r="CI74" s="910">
        <v>294</v>
      </c>
      <c r="CJ74" s="899"/>
      <c r="CK74" s="895">
        <v>45402</v>
      </c>
      <c r="CL74" s="903" t="s">
        <v>948</v>
      </c>
      <c r="CM74" s="910">
        <v>20</v>
      </c>
      <c r="CN74" s="2081" t="s">
        <v>414</v>
      </c>
      <c r="CO74" s="2089">
        <v>45729</v>
      </c>
      <c r="CP74" s="2090" t="s">
        <v>3370</v>
      </c>
      <c r="CQ74" s="2091">
        <v>15.53</v>
      </c>
      <c r="CR74" s="2092"/>
      <c r="CS74" s="2068"/>
    </row>
    <row r="75" spans="1:97">
      <c r="A75" s="329">
        <v>37740</v>
      </c>
      <c r="B75" s="339" t="s">
        <v>410</v>
      </c>
      <c r="C75" s="337">
        <v>22</v>
      </c>
      <c r="D75" s="332"/>
      <c r="E75" s="329"/>
      <c r="F75" s="339"/>
      <c r="G75" s="337"/>
      <c r="H75" s="332"/>
      <c r="I75" s="329"/>
      <c r="J75" s="339"/>
      <c r="K75" s="337"/>
      <c r="L75" s="332"/>
      <c r="M75" s="329"/>
      <c r="N75" s="339"/>
      <c r="O75" s="337"/>
      <c r="P75" s="332"/>
      <c r="Q75" s="329"/>
      <c r="R75" s="339"/>
      <c r="S75" s="337"/>
      <c r="T75" s="332"/>
      <c r="U75" s="329"/>
      <c r="V75" s="339"/>
      <c r="W75" s="337"/>
      <c r="X75" s="332"/>
      <c r="Y75" s="329"/>
      <c r="Z75" s="339"/>
      <c r="AA75" s="337"/>
      <c r="AB75" s="332"/>
      <c r="AC75" s="329"/>
      <c r="AD75" s="339"/>
      <c r="AE75" s="337"/>
      <c r="AF75" s="332"/>
      <c r="AG75" s="329"/>
      <c r="AH75" s="339"/>
      <c r="AI75" s="337"/>
      <c r="AJ75" s="332"/>
      <c r="AK75" s="329"/>
      <c r="AL75" s="339"/>
      <c r="AM75" s="337"/>
      <c r="AN75" s="332"/>
      <c r="AO75" s="329"/>
      <c r="AP75" s="339"/>
      <c r="AQ75" s="337"/>
      <c r="AR75" s="332"/>
      <c r="AS75" s="329">
        <v>41759</v>
      </c>
      <c r="AT75" s="339" t="s">
        <v>3760</v>
      </c>
      <c r="AU75" s="337">
        <v>22</v>
      </c>
      <c r="AV75" s="332"/>
      <c r="AW75" s="329"/>
      <c r="AX75" s="339"/>
      <c r="AY75" s="396"/>
      <c r="AZ75" s="332"/>
      <c r="BA75" s="329">
        <v>42490</v>
      </c>
      <c r="BB75" s="339" t="s">
        <v>3761</v>
      </c>
      <c r="BC75" s="396">
        <v>315</v>
      </c>
      <c r="BD75" s="332"/>
      <c r="BE75" s="329">
        <v>42855</v>
      </c>
      <c r="BF75" s="339" t="s">
        <v>3762</v>
      </c>
      <c r="BG75" s="396">
        <v>276</v>
      </c>
      <c r="BH75" s="332"/>
      <c r="BI75" s="329">
        <v>43217</v>
      </c>
      <c r="BJ75" s="336" t="s">
        <v>859</v>
      </c>
      <c r="BK75" s="394">
        <v>31</v>
      </c>
      <c r="BL75" s="332"/>
      <c r="BM75" s="329"/>
      <c r="BN75" s="336"/>
      <c r="BO75" s="394"/>
      <c r="BP75" s="332"/>
      <c r="BQ75" s="895">
        <v>43582</v>
      </c>
      <c r="BR75" s="903" t="s">
        <v>3763</v>
      </c>
      <c r="BS75" s="911">
        <v>12</v>
      </c>
      <c r="BT75" s="899" t="s">
        <v>278</v>
      </c>
      <c r="BU75" s="895"/>
      <c r="BV75" s="903"/>
      <c r="BW75" s="911"/>
      <c r="BX75" s="899"/>
      <c r="BY75" s="895"/>
      <c r="BZ75" s="903"/>
      <c r="CA75" s="911"/>
      <c r="CB75" s="899"/>
      <c r="CC75" s="895">
        <v>44675</v>
      </c>
      <c r="CD75" s="896" t="s">
        <v>872</v>
      </c>
      <c r="CE75" s="910">
        <v>0</v>
      </c>
      <c r="CF75" s="899" t="s">
        <v>414</v>
      </c>
      <c r="CG75" s="895">
        <v>45030</v>
      </c>
      <c r="CH75" s="896" t="s">
        <v>3764</v>
      </c>
      <c r="CI75" s="910">
        <v>50</v>
      </c>
      <c r="CJ75" s="899"/>
      <c r="CK75" s="895">
        <v>45402</v>
      </c>
      <c r="CL75" s="903" t="s">
        <v>3765</v>
      </c>
      <c r="CM75" s="910">
        <v>25</v>
      </c>
      <c r="CN75" s="2081" t="s">
        <v>667</v>
      </c>
      <c r="CO75" s="2089">
        <v>45738</v>
      </c>
      <c r="CP75" s="2090" t="s">
        <v>3524</v>
      </c>
      <c r="CQ75" s="2091">
        <v>128.34</v>
      </c>
      <c r="CR75" s="2092"/>
      <c r="CS75" s="2068"/>
    </row>
    <row r="76" spans="1:97">
      <c r="A76" s="329">
        <v>37741</v>
      </c>
      <c r="B76" s="339" t="s">
        <v>3766</v>
      </c>
      <c r="C76" s="337">
        <v>27</v>
      </c>
      <c r="D76" s="332"/>
      <c r="E76" s="329"/>
      <c r="F76" s="339"/>
      <c r="G76" s="337"/>
      <c r="H76" s="332"/>
      <c r="I76" s="329"/>
      <c r="J76" s="339"/>
      <c r="K76" s="337"/>
      <c r="L76" s="332"/>
      <c r="M76" s="329"/>
      <c r="N76" s="339"/>
      <c r="O76" s="337"/>
      <c r="P76" s="332"/>
      <c r="Q76" s="329"/>
      <c r="R76" s="339"/>
      <c r="S76" s="337"/>
      <c r="T76" s="332"/>
      <c r="U76" s="329"/>
      <c r="V76" s="339"/>
      <c r="W76" s="337"/>
      <c r="X76" s="332"/>
      <c r="Y76" s="329"/>
      <c r="Z76" s="339"/>
      <c r="AA76" s="337"/>
      <c r="AB76" s="332"/>
      <c r="AC76" s="329"/>
      <c r="AD76" s="339"/>
      <c r="AE76" s="337"/>
      <c r="AF76" s="332"/>
      <c r="AG76" s="329"/>
      <c r="AH76" s="339"/>
      <c r="AI76" s="337"/>
      <c r="AJ76" s="332"/>
      <c r="AK76" s="329"/>
      <c r="AL76" s="339"/>
      <c r="AM76" s="337"/>
      <c r="AN76" s="332"/>
      <c r="AO76" s="329"/>
      <c r="AP76" s="339"/>
      <c r="AQ76" s="337"/>
      <c r="AR76" s="332"/>
      <c r="AS76" s="329">
        <v>41759</v>
      </c>
      <c r="AT76" s="339" t="s">
        <v>3767</v>
      </c>
      <c r="AU76" s="337">
        <v>95</v>
      </c>
      <c r="AV76" s="332"/>
      <c r="AW76" s="329"/>
      <c r="AX76" s="339"/>
      <c r="AY76" s="396"/>
      <c r="AZ76" s="332"/>
      <c r="BA76" s="329">
        <v>42490</v>
      </c>
      <c r="BB76" s="339" t="s">
        <v>3768</v>
      </c>
      <c r="BC76" s="396">
        <v>45</v>
      </c>
      <c r="BD76" s="332"/>
      <c r="BE76" s="329">
        <v>42855</v>
      </c>
      <c r="BF76" s="339" t="s">
        <v>3769</v>
      </c>
      <c r="BG76" s="396">
        <v>11</v>
      </c>
      <c r="BH76" s="332"/>
      <c r="BI76" s="329">
        <v>43217</v>
      </c>
      <c r="BJ76" s="336" t="s">
        <v>3770</v>
      </c>
      <c r="BK76" s="394">
        <v>129</v>
      </c>
      <c r="BL76" s="332"/>
      <c r="BM76" s="329"/>
      <c r="BN76" s="336"/>
      <c r="BO76" s="394"/>
      <c r="BP76" s="332"/>
      <c r="BQ76" s="895">
        <v>43582</v>
      </c>
      <c r="BR76" s="903" t="s">
        <v>3771</v>
      </c>
      <c r="BS76" s="911">
        <v>9</v>
      </c>
      <c r="BT76" s="899" t="s">
        <v>278</v>
      </c>
      <c r="BU76" s="895"/>
      <c r="BV76" s="903"/>
      <c r="BW76" s="911"/>
      <c r="BX76" s="899"/>
      <c r="BY76" s="895"/>
      <c r="BZ76" s="903"/>
      <c r="CA76" s="911"/>
      <c r="CB76" s="899"/>
      <c r="CC76" s="895">
        <v>44675</v>
      </c>
      <c r="CD76" s="903" t="s">
        <v>772</v>
      </c>
      <c r="CE76" s="910">
        <v>0</v>
      </c>
      <c r="CF76" s="899" t="s">
        <v>414</v>
      </c>
      <c r="CG76" s="895">
        <v>45030</v>
      </c>
      <c r="CH76" s="903" t="s">
        <v>3772</v>
      </c>
      <c r="CI76" s="910">
        <v>120</v>
      </c>
      <c r="CJ76" s="899" t="s">
        <v>280</v>
      </c>
      <c r="CK76" s="895">
        <v>45402</v>
      </c>
      <c r="CL76" s="896" t="s">
        <v>3773</v>
      </c>
      <c r="CM76" s="910">
        <v>50</v>
      </c>
      <c r="CN76" s="2081" t="s">
        <v>667</v>
      </c>
      <c r="CO76" s="2089">
        <v>45738</v>
      </c>
      <c r="CP76" s="2090" t="s">
        <v>3538</v>
      </c>
      <c r="CQ76" s="2091">
        <v>0</v>
      </c>
      <c r="CR76" s="2092"/>
      <c r="CS76" s="2068"/>
    </row>
    <row r="77" spans="1:97">
      <c r="A77" s="329"/>
      <c r="B77" s="339"/>
      <c r="C77" s="337"/>
      <c r="D77" s="332"/>
      <c r="E77" s="329"/>
      <c r="F77" s="339"/>
      <c r="G77" s="337"/>
      <c r="H77" s="332"/>
      <c r="I77" s="329"/>
      <c r="J77" s="339"/>
      <c r="K77" s="337"/>
      <c r="L77" s="332"/>
      <c r="M77" s="329"/>
      <c r="N77" s="339"/>
      <c r="O77" s="337"/>
      <c r="P77" s="332"/>
      <c r="Q77" s="329"/>
      <c r="R77" s="339"/>
      <c r="S77" s="337"/>
      <c r="T77" s="332"/>
      <c r="U77" s="329"/>
      <c r="V77" s="339"/>
      <c r="W77" s="337"/>
      <c r="X77" s="332"/>
      <c r="Y77" s="329"/>
      <c r="Z77" s="339"/>
      <c r="AA77" s="337"/>
      <c r="AB77" s="332"/>
      <c r="AC77" s="329"/>
      <c r="AD77" s="339"/>
      <c r="AE77" s="337"/>
      <c r="AF77" s="332"/>
      <c r="AG77" s="329"/>
      <c r="AH77" s="339"/>
      <c r="AI77" s="337"/>
      <c r="AJ77" s="332"/>
      <c r="AK77" s="329"/>
      <c r="AL77" s="339"/>
      <c r="AM77" s="337"/>
      <c r="AN77" s="332"/>
      <c r="AO77" s="329"/>
      <c r="AP77" s="339"/>
      <c r="AQ77" s="337"/>
      <c r="AR77" s="332"/>
      <c r="AS77" s="329">
        <v>41759</v>
      </c>
      <c r="AT77" s="339" t="s">
        <v>3774</v>
      </c>
      <c r="AU77" s="337">
        <v>10</v>
      </c>
      <c r="AV77" s="332"/>
      <c r="AW77" s="329"/>
      <c r="AX77" s="339"/>
      <c r="AY77" s="396"/>
      <c r="AZ77" s="332"/>
      <c r="BA77" s="329">
        <v>42490</v>
      </c>
      <c r="BB77" s="339" t="s">
        <v>3775</v>
      </c>
      <c r="BC77" s="396">
        <v>17</v>
      </c>
      <c r="BD77" s="332"/>
      <c r="BE77" s="329">
        <v>42855</v>
      </c>
      <c r="BF77" s="339" t="s">
        <v>3776</v>
      </c>
      <c r="BG77" s="396">
        <v>10</v>
      </c>
      <c r="BH77" s="332"/>
      <c r="BI77" s="329">
        <v>43218</v>
      </c>
      <c r="BJ77" s="336" t="s">
        <v>2226</v>
      </c>
      <c r="BK77" s="394">
        <v>43</v>
      </c>
      <c r="BL77" s="332"/>
      <c r="BM77" s="329"/>
      <c r="BN77" s="336"/>
      <c r="BO77" s="394"/>
      <c r="BP77" s="332"/>
      <c r="BQ77" s="895">
        <v>43582</v>
      </c>
      <c r="BR77" s="903" t="s">
        <v>2943</v>
      </c>
      <c r="BS77" s="911">
        <v>0</v>
      </c>
      <c r="BT77" s="899" t="s">
        <v>700</v>
      </c>
      <c r="BU77" s="895"/>
      <c r="BV77" s="903"/>
      <c r="BW77" s="911"/>
      <c r="BX77" s="899"/>
      <c r="BY77" s="895"/>
      <c r="BZ77" s="903"/>
      <c r="CA77" s="911"/>
      <c r="CB77" s="899"/>
      <c r="CC77" s="895">
        <v>44675</v>
      </c>
      <c r="CD77" s="903" t="s">
        <v>845</v>
      </c>
      <c r="CE77" s="910">
        <v>50</v>
      </c>
      <c r="CF77" s="899" t="s">
        <v>414</v>
      </c>
      <c r="CG77" s="895">
        <v>45030</v>
      </c>
      <c r="CH77" s="903" t="s">
        <v>3777</v>
      </c>
      <c r="CI77" s="910">
        <v>15</v>
      </c>
      <c r="CJ77" s="899" t="s">
        <v>280</v>
      </c>
      <c r="CK77" s="895">
        <v>45402</v>
      </c>
      <c r="CL77" s="896" t="s">
        <v>3778</v>
      </c>
      <c r="CM77" s="910">
        <v>95</v>
      </c>
      <c r="CN77" s="2081" t="s">
        <v>667</v>
      </c>
      <c r="CO77" s="2089">
        <v>45738</v>
      </c>
      <c r="CP77" s="2090" t="s">
        <v>3382</v>
      </c>
      <c r="CQ77" s="2091">
        <v>12.66</v>
      </c>
      <c r="CR77" s="2092"/>
      <c r="CS77" s="2068"/>
    </row>
    <row r="78" spans="1:97">
      <c r="A78" s="348" t="s">
        <v>477</v>
      </c>
      <c r="B78" s="349"/>
      <c r="C78" s="350">
        <f>SUM(C4:C77)</f>
        <v>5564</v>
      </c>
      <c r="D78" s="350">
        <f>SUM(D4:D77)</f>
        <v>1437</v>
      </c>
      <c r="E78" s="348" t="s">
        <v>477</v>
      </c>
      <c r="F78" s="349"/>
      <c r="G78" s="350">
        <f>SUM(G4:G77)</f>
        <v>1864</v>
      </c>
      <c r="H78" s="350">
        <f>SUM(H4:H77)</f>
        <v>245</v>
      </c>
      <c r="I78" s="348" t="s">
        <v>477</v>
      </c>
      <c r="J78" s="349"/>
      <c r="K78" s="350">
        <f>SUM(K4:K77)</f>
        <v>1023</v>
      </c>
      <c r="L78" s="350">
        <f>SUM(L4:L77)</f>
        <v>0</v>
      </c>
      <c r="M78" s="348" t="s">
        <v>477</v>
      </c>
      <c r="N78" s="349"/>
      <c r="O78" s="350">
        <f>SUM(O4:O77)</f>
        <v>1025</v>
      </c>
      <c r="P78" s="350">
        <f>SUM(P4:P77)</f>
        <v>0</v>
      </c>
      <c r="Q78" s="348" t="s">
        <v>477</v>
      </c>
      <c r="R78" s="349"/>
      <c r="S78" s="350">
        <f>SUM(S4:S77)</f>
        <v>932</v>
      </c>
      <c r="T78" s="350">
        <f>SUM(T4:T77)</f>
        <v>0</v>
      </c>
      <c r="U78" s="348" t="s">
        <v>477</v>
      </c>
      <c r="V78" s="349"/>
      <c r="W78" s="350">
        <f>SUM(W4:W77)</f>
        <v>3102</v>
      </c>
      <c r="X78" s="350">
        <f>SUM(X4:X77)</f>
        <v>0</v>
      </c>
      <c r="Y78" s="348" t="s">
        <v>477</v>
      </c>
      <c r="Z78" s="349"/>
      <c r="AA78" s="350">
        <f>SUM(AA4:AA77)</f>
        <v>1419</v>
      </c>
      <c r="AB78" s="350">
        <f>SUM(AB4:AB77)</f>
        <v>0</v>
      </c>
      <c r="AC78" s="348" t="s">
        <v>477</v>
      </c>
      <c r="AD78" s="349"/>
      <c r="AE78" s="350">
        <f>SUM(AE4:AE77)</f>
        <v>4798</v>
      </c>
      <c r="AF78" s="350">
        <f>SUM(AF4:AF77)</f>
        <v>0</v>
      </c>
      <c r="AG78" s="348" t="s">
        <v>477</v>
      </c>
      <c r="AH78" s="349"/>
      <c r="AI78" s="350">
        <f>SUM(AI4:AI77)</f>
        <v>2419</v>
      </c>
      <c r="AJ78" s="350">
        <f>SUM(AJ4:AJ77)</f>
        <v>0</v>
      </c>
      <c r="AK78" s="348" t="s">
        <v>477</v>
      </c>
      <c r="AL78" s="349"/>
      <c r="AM78" s="350">
        <f>SUM(AM4:AM77)</f>
        <v>2046</v>
      </c>
      <c r="AN78" s="350">
        <f>SUM(AN4:AN77)</f>
        <v>0</v>
      </c>
      <c r="AO78" s="348" t="s">
        <v>477</v>
      </c>
      <c r="AP78" s="349"/>
      <c r="AQ78" s="350">
        <f>SUM(AQ4:AQ77)</f>
        <v>2056</v>
      </c>
      <c r="AR78" s="350">
        <f>SUM(AR4:AR77)</f>
        <v>0</v>
      </c>
      <c r="AS78" s="329">
        <v>41759</v>
      </c>
      <c r="AT78" s="339" t="s">
        <v>3779</v>
      </c>
      <c r="AU78" s="337">
        <v>10</v>
      </c>
      <c r="AV78" s="332"/>
      <c r="AW78" s="329"/>
      <c r="AX78" s="339"/>
      <c r="AY78" s="396"/>
      <c r="AZ78" s="332"/>
      <c r="BA78" s="329">
        <v>42490</v>
      </c>
      <c r="BB78" s="339" t="s">
        <v>1770</v>
      </c>
      <c r="BC78" s="396">
        <v>8</v>
      </c>
      <c r="BD78" s="332"/>
      <c r="BE78" s="329">
        <v>42855</v>
      </c>
      <c r="BF78" s="339" t="s">
        <v>3780</v>
      </c>
      <c r="BG78" s="396">
        <v>6</v>
      </c>
      <c r="BH78" s="332"/>
      <c r="BI78" s="329">
        <v>43218</v>
      </c>
      <c r="BJ78" s="336" t="s">
        <v>890</v>
      </c>
      <c r="BK78" s="394">
        <v>20</v>
      </c>
      <c r="BL78" s="332"/>
      <c r="BM78" s="329"/>
      <c r="BN78" s="336"/>
      <c r="BO78" s="394"/>
      <c r="BP78" s="332"/>
      <c r="BQ78" s="895">
        <v>43583</v>
      </c>
      <c r="BR78" s="903" t="s">
        <v>3781</v>
      </c>
      <c r="BS78" s="911">
        <v>18</v>
      </c>
      <c r="BT78" s="899" t="s">
        <v>280</v>
      </c>
      <c r="BU78" s="895"/>
      <c r="BV78" s="903"/>
      <c r="BW78" s="911"/>
      <c r="BX78" s="899"/>
      <c r="BY78" s="895"/>
      <c r="BZ78" s="903"/>
      <c r="CA78" s="911"/>
      <c r="CB78" s="899"/>
      <c r="CC78" s="895">
        <v>44675</v>
      </c>
      <c r="CD78" s="903" t="s">
        <v>3782</v>
      </c>
      <c r="CE78" s="910">
        <v>22</v>
      </c>
      <c r="CF78" s="899" t="s">
        <v>278</v>
      </c>
      <c r="CG78" s="895">
        <v>45030</v>
      </c>
      <c r="CH78" s="903" t="s">
        <v>2906</v>
      </c>
      <c r="CI78" s="910">
        <v>70</v>
      </c>
      <c r="CJ78" s="899" t="s">
        <v>284</v>
      </c>
      <c r="CK78" s="895">
        <v>45403</v>
      </c>
      <c r="CL78" s="903" t="s">
        <v>1180</v>
      </c>
      <c r="CM78" s="910">
        <v>115</v>
      </c>
      <c r="CN78" s="2081" t="s">
        <v>410</v>
      </c>
      <c r="CO78" s="2089">
        <v>45764</v>
      </c>
      <c r="CP78" s="2090" t="s">
        <v>3783</v>
      </c>
      <c r="CQ78" s="2093">
        <v>10</v>
      </c>
      <c r="CR78" s="2092" t="s">
        <v>426</v>
      </c>
      <c r="CS78" s="2068"/>
    </row>
    <row r="79" spans="1:97">
      <c r="A79" s="352" t="s">
        <v>1672</v>
      </c>
      <c r="B79" s="353"/>
      <c r="C79" s="354"/>
      <c r="D79" s="355"/>
      <c r="E79" s="352" t="s">
        <v>1672</v>
      </c>
      <c r="F79" s="353"/>
      <c r="G79" s="354"/>
      <c r="H79" s="355"/>
      <c r="I79" s="352" t="s">
        <v>1672</v>
      </c>
      <c r="J79" s="353"/>
      <c r="K79" s="354"/>
      <c r="L79" s="355"/>
      <c r="M79" s="352" t="s">
        <v>1672</v>
      </c>
      <c r="N79" s="353"/>
      <c r="O79" s="354"/>
      <c r="P79" s="355"/>
      <c r="Q79" s="352" t="s">
        <v>1672</v>
      </c>
      <c r="R79" s="353"/>
      <c r="S79" s="354"/>
      <c r="T79" s="355"/>
      <c r="U79" s="352" t="s">
        <v>1672</v>
      </c>
      <c r="V79" s="353"/>
      <c r="W79" s="354"/>
      <c r="X79" s="355"/>
      <c r="Y79" s="352" t="s">
        <v>1672</v>
      </c>
      <c r="Z79" s="353"/>
      <c r="AA79" s="354"/>
      <c r="AB79" s="355"/>
      <c r="AC79" s="352" t="s">
        <v>1672</v>
      </c>
      <c r="AD79" s="353"/>
      <c r="AE79" s="354"/>
      <c r="AF79" s="355"/>
      <c r="AG79" s="352" t="s">
        <v>1672</v>
      </c>
      <c r="AH79" s="353"/>
      <c r="AI79" s="354"/>
      <c r="AJ79" s="355"/>
      <c r="AK79" s="352" t="s">
        <v>1672</v>
      </c>
      <c r="AL79" s="353"/>
      <c r="AM79" s="354"/>
      <c r="AN79" s="355"/>
      <c r="AO79" s="352" t="s">
        <v>1672</v>
      </c>
      <c r="AP79" s="353"/>
      <c r="AQ79" s="354"/>
      <c r="AR79" s="355"/>
      <c r="AS79" s="329">
        <v>41757</v>
      </c>
      <c r="AT79" s="339" t="s">
        <v>3784</v>
      </c>
      <c r="AU79" s="337">
        <v>54</v>
      </c>
      <c r="AV79" s="332"/>
      <c r="AW79" s="329"/>
      <c r="AX79" s="339"/>
      <c r="AY79" s="396"/>
      <c r="AZ79" s="332"/>
      <c r="BA79" s="329">
        <v>42490</v>
      </c>
      <c r="BB79" s="339" t="s">
        <v>3785</v>
      </c>
      <c r="BC79" s="396">
        <v>31</v>
      </c>
      <c r="BD79" s="332"/>
      <c r="BE79" s="329"/>
      <c r="BF79" s="339"/>
      <c r="BG79" s="396"/>
      <c r="BH79" s="332"/>
      <c r="BI79" s="329">
        <v>43218</v>
      </c>
      <c r="BJ79" s="336" t="s">
        <v>3786</v>
      </c>
      <c r="BK79" s="394">
        <v>4</v>
      </c>
      <c r="BL79" s="332"/>
      <c r="BM79" s="329"/>
      <c r="BN79" s="336"/>
      <c r="BO79" s="394"/>
      <c r="BP79" s="332"/>
      <c r="BQ79" s="895">
        <v>43585</v>
      </c>
      <c r="BR79" s="903" t="s">
        <v>873</v>
      </c>
      <c r="BS79" s="911">
        <v>4</v>
      </c>
      <c r="BT79" s="899" t="s">
        <v>414</v>
      </c>
      <c r="BU79" s="895"/>
      <c r="BV79" s="903"/>
      <c r="BW79" s="911"/>
      <c r="BX79" s="899"/>
      <c r="BY79" s="895"/>
      <c r="BZ79" s="903"/>
      <c r="CA79" s="911"/>
      <c r="CB79" s="899"/>
      <c r="CC79" s="895">
        <v>44675</v>
      </c>
      <c r="CD79" s="903" t="s">
        <v>1052</v>
      </c>
      <c r="CE79" s="914">
        <v>30</v>
      </c>
      <c r="CF79" s="899" t="s">
        <v>280</v>
      </c>
      <c r="CG79" s="895">
        <v>45030</v>
      </c>
      <c r="CH79" s="903" t="s">
        <v>2906</v>
      </c>
      <c r="CI79" s="914">
        <v>441</v>
      </c>
      <c r="CJ79" s="899" t="s">
        <v>284</v>
      </c>
      <c r="CK79" s="895">
        <v>45404</v>
      </c>
      <c r="CL79" s="903" t="s">
        <v>3787</v>
      </c>
      <c r="CM79" s="910">
        <v>30</v>
      </c>
      <c r="CN79" s="2081" t="s">
        <v>667</v>
      </c>
      <c r="CO79" s="2089">
        <v>45764</v>
      </c>
      <c r="CP79" s="2090" t="s">
        <v>3788</v>
      </c>
      <c r="CQ79" s="2093">
        <v>190</v>
      </c>
      <c r="CR79" s="2092" t="s">
        <v>426</v>
      </c>
      <c r="CS79" s="2068"/>
    </row>
    <row r="80" spans="1:97">
      <c r="A80" s="357" t="s">
        <v>138</v>
      </c>
      <c r="B80" s="358"/>
      <c r="C80" s="359">
        <f>SUM(C78,D78)</f>
        <v>7001</v>
      </c>
      <c r="D80" s="360"/>
      <c r="E80" s="357" t="s">
        <v>138</v>
      </c>
      <c r="F80" s="358"/>
      <c r="G80" s="359">
        <f>SUM(G78,H78)</f>
        <v>2109</v>
      </c>
      <c r="H80" s="360"/>
      <c r="I80" s="357" t="s">
        <v>138</v>
      </c>
      <c r="J80" s="358"/>
      <c r="K80" s="359">
        <f>SUM(K78,L78)</f>
        <v>1023</v>
      </c>
      <c r="L80" s="360"/>
      <c r="M80" s="357" t="s">
        <v>138</v>
      </c>
      <c r="N80" s="358"/>
      <c r="O80" s="359">
        <f>SUM(O78,P78)</f>
        <v>1025</v>
      </c>
      <c r="P80" s="360"/>
      <c r="Q80" s="357" t="s">
        <v>138</v>
      </c>
      <c r="R80" s="358"/>
      <c r="S80" s="359">
        <f>SUM(S78,T78)</f>
        <v>932</v>
      </c>
      <c r="T80" s="360"/>
      <c r="U80" s="357" t="s">
        <v>138</v>
      </c>
      <c r="V80" s="358"/>
      <c r="W80" s="359">
        <f>SUM(W78,X78)</f>
        <v>3102</v>
      </c>
      <c r="X80" s="360"/>
      <c r="Y80" s="357" t="s">
        <v>138</v>
      </c>
      <c r="Z80" s="358"/>
      <c r="AA80" s="359">
        <f>SUM(AA78,AB78)</f>
        <v>1419</v>
      </c>
      <c r="AB80" s="360"/>
      <c r="AC80" s="357" t="s">
        <v>138</v>
      </c>
      <c r="AD80" s="358"/>
      <c r="AE80" s="359">
        <f>SUM(AE78,AF78)</f>
        <v>4798</v>
      </c>
      <c r="AF80" s="360"/>
      <c r="AG80" s="357" t="s">
        <v>138</v>
      </c>
      <c r="AH80" s="358"/>
      <c r="AI80" s="359">
        <f>SUM(AI78,AJ78)</f>
        <v>2419</v>
      </c>
      <c r="AJ80" s="360"/>
      <c r="AK80" s="357" t="s">
        <v>138</v>
      </c>
      <c r="AL80" s="358"/>
      <c r="AM80" s="359">
        <f>SUM(AM78,AN78)</f>
        <v>2046</v>
      </c>
      <c r="AN80" s="360"/>
      <c r="AO80" s="357" t="s">
        <v>138</v>
      </c>
      <c r="AP80" s="358"/>
      <c r="AQ80" s="359">
        <f>SUM(AQ78,AR78)</f>
        <v>2056</v>
      </c>
      <c r="AR80" s="360"/>
      <c r="AS80" s="348" t="s">
        <v>477</v>
      </c>
      <c r="AT80" s="349"/>
      <c r="AU80" s="350">
        <f>SUM(AU4:AU79)</f>
        <v>74417.379310344826</v>
      </c>
      <c r="AV80" s="350">
        <f>SUM(AV4:AV79)</f>
        <v>1178.8813559322034</v>
      </c>
      <c r="AW80" s="329"/>
      <c r="AX80" s="339"/>
      <c r="AY80" s="396"/>
      <c r="AZ80" s="332"/>
      <c r="BA80" s="329">
        <v>42490</v>
      </c>
      <c r="BB80" s="339" t="s">
        <v>3789</v>
      </c>
      <c r="BC80" s="396">
        <v>21</v>
      </c>
      <c r="BD80" s="332"/>
      <c r="BE80" s="329"/>
      <c r="BF80" s="339"/>
      <c r="BG80" s="396"/>
      <c r="BH80" s="332"/>
      <c r="BI80" s="329">
        <v>43218</v>
      </c>
      <c r="BJ80" s="336" t="s">
        <v>3790</v>
      </c>
      <c r="BK80" s="394">
        <v>0</v>
      </c>
      <c r="BL80" s="332"/>
      <c r="BM80" s="329"/>
      <c r="BN80" s="336"/>
      <c r="BO80" s="394"/>
      <c r="BP80" s="332"/>
      <c r="BQ80" s="895">
        <v>43585</v>
      </c>
      <c r="BR80" s="903" t="s">
        <v>890</v>
      </c>
      <c r="BS80" s="911">
        <v>6</v>
      </c>
      <c r="BT80" s="899" t="s">
        <v>414</v>
      </c>
      <c r="BU80" s="895"/>
      <c r="BV80" s="903"/>
      <c r="BW80" s="911"/>
      <c r="BX80" s="899"/>
      <c r="BY80" s="895"/>
      <c r="BZ80" s="903"/>
      <c r="CA80" s="911"/>
      <c r="CB80" s="899"/>
      <c r="CC80" s="895">
        <v>44676</v>
      </c>
      <c r="CD80" s="903" t="s">
        <v>3791</v>
      </c>
      <c r="CE80" s="914">
        <v>15</v>
      </c>
      <c r="CF80" s="899" t="s">
        <v>280</v>
      </c>
      <c r="CG80" s="895">
        <v>45030</v>
      </c>
      <c r="CH80" s="903" t="s">
        <v>3792</v>
      </c>
      <c r="CI80" s="914">
        <v>699</v>
      </c>
      <c r="CJ80" s="899" t="s">
        <v>280</v>
      </c>
      <c r="CK80" s="895">
        <v>45404</v>
      </c>
      <c r="CL80" s="903" t="s">
        <v>3793</v>
      </c>
      <c r="CM80" s="914">
        <v>30</v>
      </c>
      <c r="CN80" s="2081" t="s">
        <v>667</v>
      </c>
      <c r="CO80" s="2089">
        <v>45764</v>
      </c>
      <c r="CP80" s="2090" t="s">
        <v>3794</v>
      </c>
      <c r="CQ80" s="2093">
        <v>250</v>
      </c>
      <c r="CR80" s="2092" t="s">
        <v>381</v>
      </c>
      <c r="CS80" s="2068"/>
    </row>
    <row r="81" spans="45:97">
      <c r="AS81" s="352" t="s">
        <v>1672</v>
      </c>
      <c r="AT81" s="353"/>
      <c r="AU81" s="354"/>
      <c r="AV81" s="355"/>
      <c r="AW81" s="329"/>
      <c r="AX81" s="339"/>
      <c r="AY81" s="396"/>
      <c r="AZ81" s="332"/>
      <c r="BA81" s="329"/>
      <c r="BB81" s="339"/>
      <c r="BC81" s="396"/>
      <c r="BD81" s="332"/>
      <c r="BE81" s="329"/>
      <c r="BF81" s="339"/>
      <c r="BG81" s="396"/>
      <c r="BH81" s="332"/>
      <c r="BI81" s="329">
        <v>43218</v>
      </c>
      <c r="BJ81" s="336" t="s">
        <v>3795</v>
      </c>
      <c r="BK81" s="394">
        <v>5</v>
      </c>
      <c r="BL81" s="332"/>
      <c r="BM81" s="329"/>
      <c r="BN81" s="336"/>
      <c r="BO81" s="394"/>
      <c r="BP81" s="332"/>
      <c r="BQ81" s="895">
        <v>43585</v>
      </c>
      <c r="BR81" s="903" t="s">
        <v>3796</v>
      </c>
      <c r="BS81" s="911"/>
      <c r="BT81" s="912"/>
      <c r="BU81" s="895"/>
      <c r="BV81" s="903"/>
      <c r="BW81" s="911"/>
      <c r="BX81" s="912"/>
      <c r="BY81" s="895"/>
      <c r="BZ81" s="903"/>
      <c r="CA81" s="911"/>
      <c r="CB81" s="912"/>
      <c r="CC81" s="895">
        <v>44680</v>
      </c>
      <c r="CD81" s="903" t="s">
        <v>3797</v>
      </c>
      <c r="CE81" s="914">
        <v>96</v>
      </c>
      <c r="CF81" s="899" t="s">
        <v>280</v>
      </c>
      <c r="CG81" s="895">
        <v>45030</v>
      </c>
      <c r="CH81" s="903" t="s">
        <v>3798</v>
      </c>
      <c r="CI81" s="914">
        <v>275</v>
      </c>
      <c r="CJ81" s="899" t="s">
        <v>712</v>
      </c>
      <c r="CK81" s="895">
        <v>45404</v>
      </c>
      <c r="CL81" s="903" t="s">
        <v>3799</v>
      </c>
      <c r="CM81" s="914">
        <v>25</v>
      </c>
      <c r="CN81" s="2081" t="s">
        <v>700</v>
      </c>
      <c r="CO81" s="2089">
        <v>45766</v>
      </c>
      <c r="CP81" s="2090" t="s">
        <v>3800</v>
      </c>
      <c r="CQ81" s="2093">
        <v>71</v>
      </c>
      <c r="CR81" s="2092" t="s">
        <v>381</v>
      </c>
      <c r="CS81" s="2068"/>
    </row>
    <row r="82" spans="45:97">
      <c r="AS82" s="357" t="s">
        <v>138</v>
      </c>
      <c r="AT82" s="358"/>
      <c r="AU82" s="359">
        <f>SUM(AU80,AV80)</f>
        <v>75596.260666277027</v>
      </c>
      <c r="AV82" s="360"/>
      <c r="AW82" s="348" t="s">
        <v>477</v>
      </c>
      <c r="AX82" s="349"/>
      <c r="AY82" s="397">
        <f>SUM(AY4:AY81)</f>
        <v>3748</v>
      </c>
      <c r="AZ82" s="350">
        <f>SUM(AZ4:AZ81)</f>
        <v>0</v>
      </c>
      <c r="BA82" s="348" t="s">
        <v>477</v>
      </c>
      <c r="BB82" s="349"/>
      <c r="BC82" s="397">
        <f>SUM(BC4:BC81)</f>
        <v>4464</v>
      </c>
      <c r="BD82" s="350">
        <f>SUM(BD4:BD81)</f>
        <v>0</v>
      </c>
      <c r="BE82" s="348" t="s">
        <v>477</v>
      </c>
      <c r="BF82" s="349"/>
      <c r="BG82" s="397">
        <f>SUM(BG4:BG81)</f>
        <v>2040</v>
      </c>
      <c r="BH82" s="350">
        <f>SUM(BH4:BH81)</f>
        <v>0</v>
      </c>
      <c r="BI82" s="329">
        <v>43219</v>
      </c>
      <c r="BJ82" s="336" t="s">
        <v>3801</v>
      </c>
      <c r="BK82" s="398" t="s">
        <v>37</v>
      </c>
      <c r="BL82" s="332"/>
      <c r="BM82" s="329"/>
      <c r="BN82" s="336"/>
      <c r="BO82" s="398"/>
      <c r="BP82" s="332"/>
      <c r="BQ82" s="895">
        <v>43585</v>
      </c>
      <c r="BR82" s="903" t="s">
        <v>3802</v>
      </c>
      <c r="BS82" s="911">
        <v>30</v>
      </c>
      <c r="BT82" s="899" t="s">
        <v>278</v>
      </c>
      <c r="BU82" s="895"/>
      <c r="BV82" s="903"/>
      <c r="BW82" s="911"/>
      <c r="BX82" s="899"/>
      <c r="BY82" s="895"/>
      <c r="BZ82" s="903"/>
      <c r="CA82" s="911"/>
      <c r="CB82" s="899"/>
      <c r="CC82" s="895">
        <v>44680</v>
      </c>
      <c r="CD82" s="903" t="s">
        <v>3803</v>
      </c>
      <c r="CE82" s="914">
        <v>30</v>
      </c>
      <c r="CF82" s="899" t="s">
        <v>280</v>
      </c>
      <c r="CG82" s="895">
        <v>45030</v>
      </c>
      <c r="CH82" s="903" t="s">
        <v>2683</v>
      </c>
      <c r="CI82" s="914">
        <v>145</v>
      </c>
      <c r="CJ82" s="899" t="s">
        <v>280</v>
      </c>
      <c r="CK82" s="895">
        <v>45404</v>
      </c>
      <c r="CL82" s="903" t="s">
        <v>3804</v>
      </c>
      <c r="CM82" s="914">
        <v>189</v>
      </c>
      <c r="CN82" s="2081" t="s">
        <v>700</v>
      </c>
      <c r="CO82" s="2089">
        <v>45766</v>
      </c>
      <c r="CP82" s="2090" t="s">
        <v>781</v>
      </c>
      <c r="CQ82" s="2093">
        <v>38</v>
      </c>
      <c r="CR82" s="2092" t="s">
        <v>414</v>
      </c>
      <c r="CS82" s="2068"/>
    </row>
    <row r="83" spans="45:97">
      <c r="AW83" s="352" t="s">
        <v>1672</v>
      </c>
      <c r="AX83" s="353"/>
      <c r="AY83" s="399"/>
      <c r="AZ83" s="355"/>
      <c r="BA83" s="352" t="s">
        <v>1672</v>
      </c>
      <c r="BB83" s="353"/>
      <c r="BC83" s="399"/>
      <c r="BD83" s="355"/>
      <c r="BE83" s="352" t="s">
        <v>1672</v>
      </c>
      <c r="BF83" s="353"/>
      <c r="BG83" s="399"/>
      <c r="BH83" s="355"/>
      <c r="BI83" s="329">
        <v>43219</v>
      </c>
      <c r="BJ83" s="336" t="s">
        <v>3805</v>
      </c>
      <c r="BK83" s="398">
        <v>30</v>
      </c>
      <c r="BL83" s="332"/>
      <c r="BM83" s="329"/>
      <c r="BN83" s="336"/>
      <c r="BO83" s="398"/>
      <c r="BP83" s="332"/>
      <c r="BQ83" s="895">
        <v>43585</v>
      </c>
      <c r="BR83" s="903" t="s">
        <v>3806</v>
      </c>
      <c r="BS83" s="913">
        <v>335</v>
      </c>
      <c r="BT83" s="899" t="s">
        <v>690</v>
      </c>
      <c r="BU83" s="895"/>
      <c r="BV83" s="903"/>
      <c r="BW83" s="913"/>
      <c r="BX83" s="899"/>
      <c r="BY83" s="895"/>
      <c r="BZ83" s="903"/>
      <c r="CA83" s="913"/>
      <c r="CB83" s="899"/>
      <c r="CC83" s="895">
        <v>44679</v>
      </c>
      <c r="CD83" s="903" t="s">
        <v>3807</v>
      </c>
      <c r="CE83" s="914">
        <v>26</v>
      </c>
      <c r="CF83" s="899" t="s">
        <v>278</v>
      </c>
      <c r="CG83" s="895">
        <v>45031</v>
      </c>
      <c r="CH83" s="903" t="s">
        <v>843</v>
      </c>
      <c r="CI83" s="914">
        <v>60</v>
      </c>
      <c r="CJ83" s="899" t="s">
        <v>414</v>
      </c>
      <c r="CK83" s="895">
        <v>45409</v>
      </c>
      <c r="CL83" s="903" t="s">
        <v>845</v>
      </c>
      <c r="CM83" s="914">
        <v>30</v>
      </c>
      <c r="CN83" s="2081" t="s">
        <v>414</v>
      </c>
      <c r="CO83" s="2094">
        <v>45765</v>
      </c>
      <c r="CP83" s="2107" t="s">
        <v>3808</v>
      </c>
      <c r="CQ83" s="2095">
        <v>-21.99</v>
      </c>
      <c r="CR83" s="2092" t="s">
        <v>414</v>
      </c>
      <c r="CS83" s="2068"/>
    </row>
    <row r="84" spans="45:97">
      <c r="AW84" s="357" t="s">
        <v>138</v>
      </c>
      <c r="AX84" s="358"/>
      <c r="AY84" s="400">
        <f>SUM(AY82,AZ82)</f>
        <v>3748</v>
      </c>
      <c r="AZ84" s="360"/>
      <c r="BA84" s="357" t="s">
        <v>138</v>
      </c>
      <c r="BB84" s="358"/>
      <c r="BC84" s="400">
        <f>SUM(BC82,BD82)</f>
        <v>4464</v>
      </c>
      <c r="BD84" s="360"/>
      <c r="BE84" s="357" t="s">
        <v>138</v>
      </c>
      <c r="BF84" s="358"/>
      <c r="BG84" s="400">
        <f>SUM(BG82,BH82)</f>
        <v>2040</v>
      </c>
      <c r="BH84" s="360"/>
      <c r="BI84" s="329">
        <v>43220</v>
      </c>
      <c r="BJ84" s="336" t="s">
        <v>3809</v>
      </c>
      <c r="BK84" s="394">
        <v>51</v>
      </c>
      <c r="BL84" s="332"/>
      <c r="BM84" s="329"/>
      <c r="BN84" s="336"/>
      <c r="BO84" s="394"/>
      <c r="BP84" s="332"/>
      <c r="BQ84" s="329"/>
      <c r="BR84" s="336"/>
      <c r="BS84" s="394"/>
      <c r="BT84" s="332"/>
      <c r="BU84" s="329"/>
      <c r="BV84" s="336"/>
      <c r="BW84" s="394"/>
      <c r="BX84" s="332"/>
      <c r="BY84" s="329"/>
      <c r="BZ84" s="336"/>
      <c r="CA84" s="394"/>
      <c r="CB84" s="332"/>
      <c r="CC84" s="895">
        <v>44679</v>
      </c>
      <c r="CD84" s="903" t="s">
        <v>2921</v>
      </c>
      <c r="CE84" s="914">
        <v>18</v>
      </c>
      <c r="CF84" s="899" t="s">
        <v>278</v>
      </c>
      <c r="CG84" s="895">
        <v>45031</v>
      </c>
      <c r="CH84" s="903" t="s">
        <v>3810</v>
      </c>
      <c r="CI84" s="914">
        <v>35</v>
      </c>
      <c r="CJ84" s="899" t="s">
        <v>414</v>
      </c>
      <c r="CK84" s="895">
        <v>45409</v>
      </c>
      <c r="CL84" s="903" t="s">
        <v>2162</v>
      </c>
      <c r="CM84" s="914">
        <v>30</v>
      </c>
      <c r="CN84" s="2081" t="s">
        <v>414</v>
      </c>
      <c r="CO84" s="2094">
        <v>45765</v>
      </c>
      <c r="CP84" s="2107" t="s">
        <v>3811</v>
      </c>
      <c r="CQ84" s="2095">
        <v>-8.64</v>
      </c>
      <c r="CR84" s="2092" t="s">
        <v>414</v>
      </c>
      <c r="CS84" s="2068"/>
    </row>
    <row r="85" spans="45:97">
      <c r="AY85" s="917"/>
      <c r="BC85" s="917"/>
      <c r="BG85" s="917"/>
      <c r="BI85" s="329">
        <v>43220</v>
      </c>
      <c r="BJ85" s="336" t="s">
        <v>3812</v>
      </c>
      <c r="BK85" s="394">
        <v>58</v>
      </c>
      <c r="BL85" s="332"/>
      <c r="BM85" s="329"/>
      <c r="BN85" s="336"/>
      <c r="BO85" s="394"/>
      <c r="BP85" s="332"/>
      <c r="BQ85" s="329"/>
      <c r="BR85" s="336"/>
      <c r="BS85" s="394"/>
      <c r="BT85" s="332"/>
      <c r="BU85" s="329"/>
      <c r="BV85" s="336"/>
      <c r="BW85" s="394"/>
      <c r="BX85" s="332"/>
      <c r="BY85" s="329"/>
      <c r="BZ85" s="336"/>
      <c r="CA85" s="394"/>
      <c r="CB85" s="332"/>
      <c r="CC85" s="895">
        <v>44680</v>
      </c>
      <c r="CD85" s="903" t="s">
        <v>3813</v>
      </c>
      <c r="CE85" s="914">
        <v>18</v>
      </c>
      <c r="CF85" s="899" t="s">
        <v>278</v>
      </c>
      <c r="CG85" s="895">
        <v>45031</v>
      </c>
      <c r="CH85" s="903" t="s">
        <v>890</v>
      </c>
      <c r="CI85" s="914">
        <v>14</v>
      </c>
      <c r="CJ85" s="899" t="s">
        <v>414</v>
      </c>
      <c r="CK85" s="895">
        <v>45409</v>
      </c>
      <c r="CL85" s="903" t="s">
        <v>3814</v>
      </c>
      <c r="CM85" s="914">
        <v>35</v>
      </c>
      <c r="CN85" s="2081" t="s">
        <v>700</v>
      </c>
      <c r="CO85" s="2094">
        <v>45765</v>
      </c>
      <c r="CP85" s="2107" t="s">
        <v>3815</v>
      </c>
      <c r="CQ85" s="2095">
        <v>-12.99</v>
      </c>
      <c r="CR85" s="2092" t="s">
        <v>414</v>
      </c>
      <c r="CS85" s="2068"/>
    </row>
    <row r="86" spans="45:97">
      <c r="AY86" s="917"/>
      <c r="BC86" s="917"/>
      <c r="BG86" s="917"/>
      <c r="BI86" s="329">
        <v>43220</v>
      </c>
      <c r="BJ86" s="336" t="s">
        <v>873</v>
      </c>
      <c r="BK86" s="394">
        <v>9</v>
      </c>
      <c r="BL86" s="332"/>
      <c r="BM86" s="329"/>
      <c r="BN86" s="336"/>
      <c r="BO86" s="394"/>
      <c r="BP86" s="332"/>
      <c r="BQ86" s="329"/>
      <c r="BR86" s="336"/>
      <c r="BS86" s="394"/>
      <c r="BT86" s="332"/>
      <c r="BU86" s="329"/>
      <c r="BV86" s="336"/>
      <c r="BW86" s="394"/>
      <c r="BX86" s="332"/>
      <c r="BY86" s="329"/>
      <c r="BZ86" s="336"/>
      <c r="CA86" s="394"/>
      <c r="CB86" s="332"/>
      <c r="CC86" s="895">
        <v>44680</v>
      </c>
      <c r="CD86" s="903" t="s">
        <v>3816</v>
      </c>
      <c r="CE86" s="914">
        <v>36</v>
      </c>
      <c r="CF86" s="899" t="s">
        <v>278</v>
      </c>
      <c r="CG86" s="895">
        <v>45031</v>
      </c>
      <c r="CH86" s="903" t="s">
        <v>3817</v>
      </c>
      <c r="CI86" s="914">
        <v>140</v>
      </c>
      <c r="CJ86" s="899" t="s">
        <v>278</v>
      </c>
      <c r="CK86" s="895">
        <v>45409</v>
      </c>
      <c r="CL86" s="903" t="s">
        <v>781</v>
      </c>
      <c r="CM86" s="914">
        <v>45</v>
      </c>
      <c r="CN86" s="2081" t="s">
        <v>414</v>
      </c>
      <c r="CO86" s="2094">
        <v>45765</v>
      </c>
      <c r="CP86" s="2107" t="s">
        <v>3818</v>
      </c>
      <c r="CQ86" s="2095">
        <v>-123.78</v>
      </c>
      <c r="CR86" s="2092" t="s">
        <v>414</v>
      </c>
      <c r="CS86" s="2068"/>
    </row>
    <row r="87" spans="45:97">
      <c r="AY87" s="917"/>
      <c r="BC87" s="917"/>
      <c r="BG87" s="917"/>
      <c r="BI87" s="329">
        <v>43220</v>
      </c>
      <c r="BJ87" s="336" t="s">
        <v>890</v>
      </c>
      <c r="BK87" s="394">
        <v>11</v>
      </c>
      <c r="BL87" s="332"/>
      <c r="BM87" s="329"/>
      <c r="BN87" s="336"/>
      <c r="BO87" s="394"/>
      <c r="BP87" s="332"/>
      <c r="BQ87" s="329"/>
      <c r="BR87" s="336"/>
      <c r="BS87" s="394"/>
      <c r="BT87" s="332"/>
      <c r="BU87" s="329"/>
      <c r="BV87" s="336"/>
      <c r="BW87" s="394"/>
      <c r="BX87" s="332"/>
      <c r="BY87" s="329"/>
      <c r="BZ87" s="336"/>
      <c r="CA87" s="394"/>
      <c r="CB87" s="332"/>
      <c r="CC87" s="895">
        <v>44680</v>
      </c>
      <c r="CD87" s="903" t="s">
        <v>781</v>
      </c>
      <c r="CE87" s="914">
        <v>18</v>
      </c>
      <c r="CF87" s="899" t="s">
        <v>414</v>
      </c>
      <c r="CG87" s="895">
        <v>45031</v>
      </c>
      <c r="CH87" s="903" t="s">
        <v>3819</v>
      </c>
      <c r="CI87" s="914">
        <v>5</v>
      </c>
      <c r="CJ87" s="899" t="s">
        <v>280</v>
      </c>
      <c r="CK87" s="895">
        <v>45409</v>
      </c>
      <c r="CL87" s="903" t="s">
        <v>2337</v>
      </c>
      <c r="CM87" s="914">
        <v>129</v>
      </c>
      <c r="CN87" s="2081" t="s">
        <v>414</v>
      </c>
      <c r="CO87" s="2094">
        <v>45765</v>
      </c>
      <c r="CP87" s="2107" t="s">
        <v>3820</v>
      </c>
      <c r="CQ87" s="2095">
        <v>-3.17</v>
      </c>
      <c r="CR87" s="2092" t="s">
        <v>414</v>
      </c>
      <c r="CS87" s="2068"/>
    </row>
    <row r="88" spans="45:97">
      <c r="AY88" s="917"/>
      <c r="BC88" s="917"/>
      <c r="BG88" s="917"/>
      <c r="BI88" s="329">
        <v>43210</v>
      </c>
      <c r="BJ88" s="336" t="s">
        <v>3821</v>
      </c>
      <c r="BK88" s="394">
        <v>10</v>
      </c>
      <c r="BL88" s="332"/>
      <c r="BM88" s="329"/>
      <c r="BN88" s="336"/>
      <c r="BO88" s="394"/>
      <c r="BP88" s="332"/>
      <c r="BQ88" s="329"/>
      <c r="BR88" s="336"/>
      <c r="BS88" s="394"/>
      <c r="BT88" s="332"/>
      <c r="BU88" s="329"/>
      <c r="BV88" s="336"/>
      <c r="BW88" s="394"/>
      <c r="BX88" s="332"/>
      <c r="BY88" s="329"/>
      <c r="BZ88" s="336"/>
      <c r="CA88" s="394"/>
      <c r="CB88" s="332"/>
      <c r="CC88" s="895">
        <v>44681</v>
      </c>
      <c r="CD88" s="903" t="s">
        <v>3822</v>
      </c>
      <c r="CE88" s="914">
        <v>90</v>
      </c>
      <c r="CF88" s="899" t="s">
        <v>278</v>
      </c>
      <c r="CG88" s="895">
        <v>45031</v>
      </c>
      <c r="CH88" s="903" t="s">
        <v>797</v>
      </c>
      <c r="CI88" s="914">
        <v>77</v>
      </c>
      <c r="CJ88" s="899" t="s">
        <v>410</v>
      </c>
      <c r="CK88" s="895">
        <v>45409</v>
      </c>
      <c r="CL88" s="903" t="s">
        <v>3823</v>
      </c>
      <c r="CM88" s="914">
        <v>20</v>
      </c>
      <c r="CN88" s="2081" t="s">
        <v>414</v>
      </c>
      <c r="CO88" s="2094">
        <v>45765</v>
      </c>
      <c r="CP88" s="2107" t="s">
        <v>3808</v>
      </c>
      <c r="CQ88" s="2095">
        <v>-2.34</v>
      </c>
      <c r="CR88" s="2092" t="s">
        <v>414</v>
      </c>
      <c r="CS88" s="2068"/>
    </row>
    <row r="89" spans="45:97">
      <c r="AY89" s="917"/>
      <c r="BC89" s="917"/>
      <c r="BG89" s="917"/>
      <c r="BI89" s="329"/>
      <c r="BJ89" s="336"/>
      <c r="BK89" s="394"/>
      <c r="BL89" s="332"/>
      <c r="BM89" s="329"/>
      <c r="BN89" s="336"/>
      <c r="BO89" s="394"/>
      <c r="BP89" s="332"/>
      <c r="BQ89" s="329"/>
      <c r="BR89" s="336"/>
      <c r="BS89" s="394"/>
      <c r="BT89" s="332"/>
      <c r="BU89" s="329"/>
      <c r="BV89" s="336"/>
      <c r="BW89" s="394"/>
      <c r="BX89" s="332"/>
      <c r="BY89" s="329"/>
      <c r="BZ89" s="336"/>
      <c r="CA89" s="394"/>
      <c r="CB89" s="332"/>
      <c r="CC89" s="895">
        <v>44681</v>
      </c>
      <c r="CD89" s="903" t="s">
        <v>3824</v>
      </c>
      <c r="CE89" s="914">
        <v>35</v>
      </c>
      <c r="CF89" s="899" t="s">
        <v>278</v>
      </c>
      <c r="CG89" s="895">
        <v>45032</v>
      </c>
      <c r="CH89" s="903" t="s">
        <v>3825</v>
      </c>
      <c r="CI89" s="914">
        <v>21</v>
      </c>
      <c r="CJ89" s="899" t="s">
        <v>426</v>
      </c>
      <c r="CK89" s="895">
        <v>45409</v>
      </c>
      <c r="CL89" s="903" t="s">
        <v>3826</v>
      </c>
      <c r="CM89" s="914"/>
      <c r="CN89" s="2081"/>
      <c r="CO89" s="2094">
        <v>45765</v>
      </c>
      <c r="CP89" s="2107" t="s">
        <v>3827</v>
      </c>
      <c r="CQ89" s="2095">
        <v>-3.22</v>
      </c>
      <c r="CR89" s="2092" t="s">
        <v>414</v>
      </c>
      <c r="CS89" s="2068"/>
    </row>
    <row r="90" spans="45:97">
      <c r="AY90" s="917"/>
      <c r="BC90" s="917"/>
      <c r="BG90" s="917"/>
      <c r="BI90" s="329"/>
      <c r="BJ90" s="336"/>
      <c r="BK90" s="394"/>
      <c r="BL90" s="332"/>
      <c r="BM90" s="329"/>
      <c r="BN90" s="336"/>
      <c r="BO90" s="394"/>
      <c r="BP90" s="332"/>
      <c r="BQ90" s="329"/>
      <c r="BR90" s="336"/>
      <c r="BS90" s="394"/>
      <c r="BT90" s="332"/>
      <c r="BU90" s="329"/>
      <c r="BV90" s="336"/>
      <c r="BW90" s="394"/>
      <c r="BX90" s="332"/>
      <c r="BY90" s="329"/>
      <c r="BZ90" s="336"/>
      <c r="CA90" s="394"/>
      <c r="CB90" s="332"/>
      <c r="CC90" s="895">
        <v>44681</v>
      </c>
      <c r="CD90" s="903" t="s">
        <v>3722</v>
      </c>
      <c r="CE90" s="914">
        <v>43</v>
      </c>
      <c r="CF90" s="899" t="s">
        <v>278</v>
      </c>
      <c r="CG90" s="895">
        <v>45032</v>
      </c>
      <c r="CH90" s="903" t="s">
        <v>3828</v>
      </c>
      <c r="CI90" s="914">
        <v>31</v>
      </c>
      <c r="CJ90" s="899" t="s">
        <v>278</v>
      </c>
      <c r="CK90" s="895">
        <v>45410</v>
      </c>
      <c r="CL90" s="903" t="s">
        <v>3829</v>
      </c>
      <c r="CM90" s="914">
        <v>40</v>
      </c>
      <c r="CN90" s="2081" t="s">
        <v>278</v>
      </c>
      <c r="CO90" s="2094">
        <v>45765</v>
      </c>
      <c r="CP90" s="2107" t="s">
        <v>3830</v>
      </c>
      <c r="CQ90" s="2095">
        <v>-18.28</v>
      </c>
      <c r="CR90" s="2092" t="s">
        <v>414</v>
      </c>
      <c r="CS90" s="2068"/>
    </row>
    <row r="91" spans="45:97">
      <c r="AY91" s="917"/>
      <c r="BC91" s="917"/>
      <c r="BG91" s="917"/>
      <c r="BI91" s="348" t="s">
        <v>477</v>
      </c>
      <c r="BJ91" s="378"/>
      <c r="BK91" s="397">
        <f>SUM(BK4:BK90)</f>
        <v>3291</v>
      </c>
      <c r="BL91" s="350">
        <f>SUM(BL4:BL90)</f>
        <v>0</v>
      </c>
      <c r="BM91" s="348"/>
      <c r="BN91" s="378"/>
      <c r="BO91" s="397"/>
      <c r="BP91" s="350"/>
      <c r="BQ91" s="348" t="s">
        <v>477</v>
      </c>
      <c r="BR91" s="378"/>
      <c r="BS91" s="397">
        <f>SUM(BS4:BS90)</f>
        <v>11712</v>
      </c>
      <c r="BT91" s="350">
        <f>SUM(BT4:BT90)</f>
        <v>0</v>
      </c>
      <c r="BU91" s="348" t="s">
        <v>477</v>
      </c>
      <c r="BV91" s="378"/>
      <c r="BW91" s="397">
        <f>SUM(BW4:BW90)</f>
        <v>2398</v>
      </c>
      <c r="BX91" s="350">
        <f>SUM(BX4:BX90)</f>
        <v>0</v>
      </c>
      <c r="BY91" s="348" t="s">
        <v>477</v>
      </c>
      <c r="BZ91" s="378"/>
      <c r="CA91" s="397">
        <f>SUM(CA4:CA90)</f>
        <v>3220</v>
      </c>
      <c r="CB91" s="350">
        <f>SUM(CB4:CB90)</f>
        <v>0</v>
      </c>
      <c r="CC91" s="895">
        <v>44681</v>
      </c>
      <c r="CD91" s="903" t="s">
        <v>3831</v>
      </c>
      <c r="CE91" s="914">
        <v>19</v>
      </c>
      <c r="CF91" s="899" t="s">
        <v>280</v>
      </c>
      <c r="CG91" s="895">
        <v>45036</v>
      </c>
      <c r="CH91" s="903" t="s">
        <v>3832</v>
      </c>
      <c r="CI91" s="914">
        <v>0</v>
      </c>
      <c r="CJ91" s="899" t="s">
        <v>667</v>
      </c>
      <c r="CK91" s="895">
        <v>45410</v>
      </c>
      <c r="CL91" s="903" t="s">
        <v>2921</v>
      </c>
      <c r="CM91" s="914">
        <v>30</v>
      </c>
      <c r="CN91" s="2081" t="s">
        <v>278</v>
      </c>
      <c r="CO91" s="2094">
        <v>45765</v>
      </c>
      <c r="CP91" s="2107" t="s">
        <v>3833</v>
      </c>
      <c r="CQ91" s="2095">
        <v>-250</v>
      </c>
      <c r="CR91" s="2092" t="s">
        <v>414</v>
      </c>
      <c r="CS91" s="2068"/>
    </row>
    <row r="92" spans="45:97">
      <c r="AY92" s="917"/>
      <c r="BC92" s="917"/>
      <c r="BG92" s="917"/>
      <c r="BI92" s="352" t="s">
        <v>1672</v>
      </c>
      <c r="BJ92" s="353"/>
      <c r="BK92" s="399"/>
      <c r="BL92" s="355"/>
      <c r="BM92" s="352"/>
      <c r="BN92" s="353"/>
      <c r="BO92" s="399"/>
      <c r="BP92" s="355"/>
      <c r="BQ92" s="352" t="s">
        <v>1672</v>
      </c>
      <c r="BR92" s="353"/>
      <c r="BS92" s="399"/>
      <c r="BT92" s="355"/>
      <c r="BU92" s="352" t="s">
        <v>1672</v>
      </c>
      <c r="BV92" s="353"/>
      <c r="BW92" s="399"/>
      <c r="BX92" s="355"/>
      <c r="BY92" s="352" t="s">
        <v>1672</v>
      </c>
      <c r="BZ92" s="353"/>
      <c r="CA92" s="399"/>
      <c r="CB92" s="355"/>
      <c r="CC92" s="895"/>
      <c r="CD92" s="903"/>
      <c r="CE92" s="914"/>
      <c r="CF92" s="899"/>
      <c r="CG92" s="895">
        <v>45037</v>
      </c>
      <c r="CH92" s="903" t="s">
        <v>845</v>
      </c>
      <c r="CI92" s="914">
        <v>30</v>
      </c>
      <c r="CJ92" s="899" t="s">
        <v>414</v>
      </c>
      <c r="CK92" s="895">
        <v>45410</v>
      </c>
      <c r="CL92" s="903" t="s">
        <v>948</v>
      </c>
      <c r="CM92" s="914">
        <v>28</v>
      </c>
      <c r="CN92" s="2081" t="s">
        <v>414</v>
      </c>
      <c r="CO92" s="2094">
        <v>45764</v>
      </c>
      <c r="CP92" s="2108" t="s">
        <v>3834</v>
      </c>
      <c r="CQ92" s="2095">
        <v>-13.25</v>
      </c>
      <c r="CR92" s="2092" t="s">
        <v>414</v>
      </c>
      <c r="CS92" s="2068"/>
    </row>
    <row r="93" spans="45:97">
      <c r="AY93" s="917"/>
      <c r="BC93" s="917"/>
      <c r="BG93" s="917"/>
      <c r="BI93" s="357" t="s">
        <v>138</v>
      </c>
      <c r="BJ93" s="358"/>
      <c r="BK93" s="400">
        <f>SUM(BK91,BL91)</f>
        <v>3291</v>
      </c>
      <c r="BL93" s="360"/>
      <c r="BM93" s="357"/>
      <c r="BN93" s="358"/>
      <c r="BO93" s="400"/>
      <c r="BP93" s="360"/>
      <c r="BQ93" s="357" t="s">
        <v>138</v>
      </c>
      <c r="BR93" s="358"/>
      <c r="BS93" s="400">
        <f>SUM(BS91,BT91)</f>
        <v>11712</v>
      </c>
      <c r="BT93" s="360"/>
      <c r="BU93" s="357" t="s">
        <v>138</v>
      </c>
      <c r="BV93" s="358"/>
      <c r="BW93" s="400">
        <f>SUM(BW91,BX91)</f>
        <v>2398</v>
      </c>
      <c r="BX93" s="360"/>
      <c r="BY93" s="357" t="s">
        <v>138</v>
      </c>
      <c r="BZ93" s="358"/>
      <c r="CA93" s="400">
        <f>SUM(CA91,CB91)</f>
        <v>3220</v>
      </c>
      <c r="CB93" s="360"/>
      <c r="CC93" s="329"/>
      <c r="CD93" s="336"/>
      <c r="CE93" s="891"/>
      <c r="CF93" s="332"/>
      <c r="CG93" s="895">
        <v>45037</v>
      </c>
      <c r="CH93" s="903" t="s">
        <v>772</v>
      </c>
      <c r="CI93" s="914">
        <v>52</v>
      </c>
      <c r="CJ93" s="899" t="s">
        <v>414</v>
      </c>
      <c r="CK93" s="895">
        <v>45410</v>
      </c>
      <c r="CL93" s="903" t="s">
        <v>1151</v>
      </c>
      <c r="CM93" s="914">
        <v>25</v>
      </c>
      <c r="CN93" s="2081" t="s">
        <v>278</v>
      </c>
      <c r="CO93" s="2096">
        <v>45763</v>
      </c>
      <c r="CP93" s="2109" t="s">
        <v>3835</v>
      </c>
      <c r="CQ93" s="2095">
        <v>-5000</v>
      </c>
      <c r="CR93" s="2092" t="s">
        <v>414</v>
      </c>
      <c r="CS93" s="2068"/>
    </row>
    <row r="94" spans="45:97">
      <c r="AY94" s="917"/>
      <c r="BC94" s="917"/>
      <c r="BG94" s="917"/>
      <c r="BK94" s="917"/>
      <c r="BO94" s="917"/>
      <c r="BS94" s="917"/>
      <c r="BW94" s="917"/>
      <c r="CA94" s="917"/>
      <c r="CC94" s="348" t="s">
        <v>477</v>
      </c>
      <c r="CD94" s="378"/>
      <c r="CE94" s="892">
        <f>SUM(CE4:CE93)</f>
        <v>6663</v>
      </c>
      <c r="CF94" s="350">
        <f>SUM(CF4:CF93)</f>
        <v>0</v>
      </c>
      <c r="CG94" s="895">
        <v>45038</v>
      </c>
      <c r="CH94" s="903" t="s">
        <v>3836</v>
      </c>
      <c r="CI94" s="914">
        <v>41</v>
      </c>
      <c r="CJ94" s="899" t="s">
        <v>278</v>
      </c>
      <c r="CK94" s="895">
        <v>45410</v>
      </c>
      <c r="CL94" s="903" t="s">
        <v>3837</v>
      </c>
      <c r="CM94" s="914">
        <v>165</v>
      </c>
      <c r="CN94" s="2081" t="s">
        <v>700</v>
      </c>
      <c r="CO94" s="2096">
        <v>45763</v>
      </c>
      <c r="CP94" s="2109" t="s">
        <v>3838</v>
      </c>
      <c r="CQ94" s="2095">
        <v>-4.8099999999999996</v>
      </c>
      <c r="CR94" s="2092" t="s">
        <v>414</v>
      </c>
      <c r="CS94" s="2068"/>
    </row>
    <row r="95" spans="45:97">
      <c r="AY95" s="917"/>
      <c r="BC95" s="917"/>
      <c r="BG95" s="917"/>
      <c r="BK95" s="917"/>
      <c r="BO95" s="917"/>
      <c r="BS95" s="917"/>
      <c r="BW95" s="917"/>
      <c r="CA95" s="917"/>
      <c r="CC95" s="352" t="s">
        <v>1672</v>
      </c>
      <c r="CD95" s="353"/>
      <c r="CE95" s="893"/>
      <c r="CF95" s="355"/>
      <c r="CG95" s="895">
        <v>45039</v>
      </c>
      <c r="CH95" s="903" t="s">
        <v>3839</v>
      </c>
      <c r="CI95" s="914">
        <v>18</v>
      </c>
      <c r="CJ95" s="899" t="s">
        <v>278</v>
      </c>
      <c r="CK95" s="895">
        <v>45411</v>
      </c>
      <c r="CL95" s="903" t="s">
        <v>3840</v>
      </c>
      <c r="CM95" s="914">
        <v>59</v>
      </c>
      <c r="CN95" s="2081" t="s">
        <v>280</v>
      </c>
      <c r="CO95" s="2096">
        <v>45763</v>
      </c>
      <c r="CP95" s="2109" t="s">
        <v>3841</v>
      </c>
      <c r="CQ95" s="2095">
        <v>-8.98</v>
      </c>
      <c r="CR95" s="2092" t="s">
        <v>414</v>
      </c>
      <c r="CS95" s="2068"/>
    </row>
    <row r="96" spans="45:97">
      <c r="AY96" s="917"/>
      <c r="BC96" s="917"/>
      <c r="BG96" s="917"/>
      <c r="BK96" s="917"/>
      <c r="BO96" s="917"/>
      <c r="BS96" s="917"/>
      <c r="BW96" s="917"/>
      <c r="CA96" s="917"/>
      <c r="CC96" s="357" t="s">
        <v>138</v>
      </c>
      <c r="CD96" s="358"/>
      <c r="CE96" s="894">
        <f>SUM(CE94,CF94)</f>
        <v>6663</v>
      </c>
      <c r="CF96" s="360"/>
      <c r="CG96" s="895">
        <v>45039</v>
      </c>
      <c r="CH96" s="903" t="s">
        <v>843</v>
      </c>
      <c r="CI96" s="914">
        <v>41</v>
      </c>
      <c r="CJ96" s="899" t="s">
        <v>414</v>
      </c>
      <c r="CK96" s="895">
        <v>45412</v>
      </c>
      <c r="CL96" s="903" t="s">
        <v>3842</v>
      </c>
      <c r="CM96" s="914"/>
      <c r="CN96" s="2081"/>
      <c r="CO96" s="2096">
        <v>45763</v>
      </c>
      <c r="CP96" s="2109" t="s">
        <v>3838</v>
      </c>
      <c r="CQ96" s="2095">
        <v>-51.63</v>
      </c>
      <c r="CR96" s="2092" t="s">
        <v>414</v>
      </c>
      <c r="CS96" s="2068"/>
    </row>
    <row r="97" spans="85:97">
      <c r="CG97" s="895">
        <v>45039</v>
      </c>
      <c r="CH97" s="903" t="s">
        <v>3843</v>
      </c>
      <c r="CI97" s="914">
        <v>175</v>
      </c>
      <c r="CJ97" s="899" t="s">
        <v>284</v>
      </c>
      <c r="CK97" s="895">
        <v>45412</v>
      </c>
      <c r="CL97" s="903" t="s">
        <v>3844</v>
      </c>
      <c r="CM97" s="914">
        <v>27</v>
      </c>
      <c r="CN97" s="2081" t="s">
        <v>278</v>
      </c>
      <c r="CO97" s="2096">
        <v>45763</v>
      </c>
      <c r="CP97" s="2109" t="s">
        <v>3845</v>
      </c>
      <c r="CQ97" s="2095">
        <v>-6.43</v>
      </c>
      <c r="CR97" s="2092" t="s">
        <v>414</v>
      </c>
      <c r="CS97" s="2068"/>
    </row>
    <row r="98" spans="85:97">
      <c r="CG98" s="895">
        <v>45039</v>
      </c>
      <c r="CH98" s="903" t="s">
        <v>1427</v>
      </c>
      <c r="CI98" s="914">
        <v>13</v>
      </c>
      <c r="CJ98" s="899" t="s">
        <v>414</v>
      </c>
      <c r="CK98" s="895">
        <v>45412</v>
      </c>
      <c r="CL98" s="903" t="s">
        <v>3846</v>
      </c>
      <c r="CM98" s="914">
        <v>60</v>
      </c>
      <c r="CN98" s="2081" t="s">
        <v>381</v>
      </c>
      <c r="CO98" s="2096">
        <v>45763</v>
      </c>
      <c r="CP98" s="2109" t="s">
        <v>3838</v>
      </c>
      <c r="CQ98" s="2095">
        <v>-22.13</v>
      </c>
      <c r="CR98" s="2092" t="s">
        <v>414</v>
      </c>
      <c r="CS98" s="2068"/>
    </row>
    <row r="99" spans="85:97">
      <c r="CG99" s="895">
        <v>45041</v>
      </c>
      <c r="CH99" s="903" t="s">
        <v>3847</v>
      </c>
      <c r="CI99" s="914">
        <v>29</v>
      </c>
      <c r="CJ99" s="899" t="s">
        <v>278</v>
      </c>
      <c r="CK99" s="895">
        <v>45412</v>
      </c>
      <c r="CL99" s="903" t="s">
        <v>3848</v>
      </c>
      <c r="CM99" s="914">
        <v>8</v>
      </c>
      <c r="CN99" s="2081" t="s">
        <v>698</v>
      </c>
      <c r="CO99" s="2096">
        <v>45763</v>
      </c>
      <c r="CP99" s="2109" t="s">
        <v>3849</v>
      </c>
      <c r="CQ99" s="2095">
        <v>-5.49</v>
      </c>
      <c r="CR99" s="2092" t="s">
        <v>414</v>
      </c>
      <c r="CS99" s="2068"/>
    </row>
    <row r="100" spans="85:97">
      <c r="CG100" s="895">
        <v>45041</v>
      </c>
      <c r="CH100" s="903" t="s">
        <v>797</v>
      </c>
      <c r="CI100" s="914">
        <v>77</v>
      </c>
      <c r="CJ100" s="899" t="s">
        <v>410</v>
      </c>
      <c r="CK100" s="895">
        <v>45412</v>
      </c>
      <c r="CL100" s="903" t="s">
        <v>3850</v>
      </c>
      <c r="CM100" s="914">
        <v>28</v>
      </c>
      <c r="CN100" s="2081" t="s">
        <v>278</v>
      </c>
      <c r="CO100" s="2096">
        <v>45762</v>
      </c>
      <c r="CP100" s="2109" t="s">
        <v>3851</v>
      </c>
      <c r="CQ100" s="2095">
        <v>-16.34</v>
      </c>
      <c r="CR100" s="2092" t="s">
        <v>414</v>
      </c>
      <c r="CS100" s="2068"/>
    </row>
    <row r="101" spans="85:97">
      <c r="CG101" s="895">
        <v>45044</v>
      </c>
      <c r="CH101" s="903" t="s">
        <v>3852</v>
      </c>
      <c r="CI101" s="914">
        <v>20</v>
      </c>
      <c r="CJ101" s="899" t="s">
        <v>414</v>
      </c>
      <c r="CK101" s="895"/>
      <c r="CL101" s="1738" t="s">
        <v>1689</v>
      </c>
      <c r="CM101" s="1839">
        <v>100</v>
      </c>
      <c r="CN101" s="1788" t="s">
        <v>674</v>
      </c>
      <c r="CO101" s="2096">
        <v>45762</v>
      </c>
      <c r="CP101" s="2109" t="s">
        <v>3853</v>
      </c>
      <c r="CQ101" s="2095">
        <v>-104.5</v>
      </c>
      <c r="CR101" s="2092" t="s">
        <v>414</v>
      </c>
      <c r="CS101" s="2068"/>
    </row>
    <row r="102" spans="85:97">
      <c r="CG102" s="895">
        <v>45044</v>
      </c>
      <c r="CH102" s="903" t="s">
        <v>845</v>
      </c>
      <c r="CI102" s="914">
        <v>9</v>
      </c>
      <c r="CJ102" s="899" t="s">
        <v>414</v>
      </c>
      <c r="CK102" s="895"/>
      <c r="CL102" s="903"/>
      <c r="CM102" s="914"/>
      <c r="CN102" s="2081"/>
      <c r="CO102" s="2096">
        <v>45762</v>
      </c>
      <c r="CP102" s="2109" t="s">
        <v>3834</v>
      </c>
      <c r="CQ102" s="2095">
        <v>-13.57</v>
      </c>
      <c r="CR102" s="2092" t="s">
        <v>414</v>
      </c>
      <c r="CS102" s="2068"/>
    </row>
    <row r="103" spans="85:97">
      <c r="CG103" s="895">
        <v>45045</v>
      </c>
      <c r="CH103" s="903" t="s">
        <v>872</v>
      </c>
      <c r="CI103" s="914">
        <v>30</v>
      </c>
      <c r="CJ103" s="899" t="s">
        <v>414</v>
      </c>
      <c r="CK103" s="895"/>
      <c r="CL103" s="903"/>
      <c r="CM103" s="914"/>
      <c r="CN103" s="2081"/>
      <c r="CO103" s="2096">
        <v>45762</v>
      </c>
      <c r="CP103" s="2109" t="s">
        <v>3838</v>
      </c>
      <c r="CQ103" s="2095">
        <v>-9.9</v>
      </c>
      <c r="CR103" s="2092" t="s">
        <v>414</v>
      </c>
      <c r="CS103" s="2068"/>
    </row>
    <row r="104" spans="85:97">
      <c r="CG104" s="895">
        <v>45045</v>
      </c>
      <c r="CH104" s="903" t="s">
        <v>772</v>
      </c>
      <c r="CI104" s="914">
        <v>13</v>
      </c>
      <c r="CJ104" s="899" t="s">
        <v>414</v>
      </c>
      <c r="CK104" s="895"/>
      <c r="CL104" s="903"/>
      <c r="CM104" s="914"/>
      <c r="CN104" s="2081"/>
      <c r="CO104" s="2096">
        <v>45761</v>
      </c>
      <c r="CP104" s="2109" t="s">
        <v>3854</v>
      </c>
      <c r="CQ104" s="2095">
        <v>-79.23</v>
      </c>
      <c r="CR104" s="2092" t="s">
        <v>414</v>
      </c>
      <c r="CS104" s="2068"/>
    </row>
    <row r="105" spans="85:97">
      <c r="CG105" s="895">
        <v>45045</v>
      </c>
      <c r="CH105" s="903" t="s">
        <v>843</v>
      </c>
      <c r="CI105" s="914">
        <v>57</v>
      </c>
      <c r="CJ105" s="899" t="s">
        <v>414</v>
      </c>
      <c r="CK105" s="895"/>
      <c r="CL105" s="903"/>
      <c r="CM105" s="914"/>
      <c r="CN105" s="2081"/>
      <c r="CO105" s="2096">
        <v>45761</v>
      </c>
      <c r="CP105" s="2109" t="s">
        <v>3855</v>
      </c>
      <c r="CQ105" s="2095">
        <v>-2208</v>
      </c>
      <c r="CR105" s="2092" t="s">
        <v>414</v>
      </c>
      <c r="CS105" s="2068"/>
    </row>
    <row r="106" spans="85:97">
      <c r="CG106" s="895">
        <v>45045</v>
      </c>
      <c r="CH106" s="903" t="s">
        <v>3856</v>
      </c>
      <c r="CI106" s="914">
        <v>88</v>
      </c>
      <c r="CJ106" s="899" t="s">
        <v>278</v>
      </c>
      <c r="CK106" s="895"/>
      <c r="CL106" s="903"/>
      <c r="CM106" s="914"/>
      <c r="CN106" s="2081"/>
      <c r="CO106" s="2096">
        <v>45761</v>
      </c>
      <c r="CP106" s="2109" t="s">
        <v>3857</v>
      </c>
      <c r="CQ106" s="2095">
        <v>-5.45</v>
      </c>
      <c r="CR106" s="2092" t="s">
        <v>414</v>
      </c>
      <c r="CS106" s="2068"/>
    </row>
    <row r="107" spans="85:97">
      <c r="CG107" s="895">
        <v>45045</v>
      </c>
      <c r="CH107" s="903" t="s">
        <v>3858</v>
      </c>
      <c r="CI107" s="914">
        <v>8</v>
      </c>
      <c r="CJ107" s="899" t="s">
        <v>278</v>
      </c>
      <c r="CK107" s="895"/>
      <c r="CL107" s="903"/>
      <c r="CM107" s="914"/>
      <c r="CN107" s="2081"/>
      <c r="CO107" s="2096">
        <v>45761</v>
      </c>
      <c r="CP107" s="2109" t="s">
        <v>3859</v>
      </c>
      <c r="CQ107" s="2095">
        <v>-27.23</v>
      </c>
      <c r="CR107" s="2092" t="s">
        <v>414</v>
      </c>
      <c r="CS107" s="2068"/>
    </row>
    <row r="108" spans="85:97">
      <c r="CG108" s="895">
        <v>45045</v>
      </c>
      <c r="CH108" s="903" t="s">
        <v>3860</v>
      </c>
      <c r="CI108" s="914">
        <v>65</v>
      </c>
      <c r="CJ108" s="899" t="s">
        <v>414</v>
      </c>
      <c r="CK108" s="895"/>
      <c r="CL108" s="903"/>
      <c r="CM108" s="914"/>
      <c r="CN108" s="2081"/>
      <c r="CO108" s="2096">
        <v>45761</v>
      </c>
      <c r="CP108" s="2109" t="s">
        <v>3861</v>
      </c>
      <c r="CQ108" s="2095">
        <v>-11.25</v>
      </c>
      <c r="CR108" s="2092" t="s">
        <v>414</v>
      </c>
      <c r="CS108" s="2068"/>
    </row>
    <row r="109" spans="85:97">
      <c r="CG109" s="895">
        <v>45046</v>
      </c>
      <c r="CH109" s="903" t="s">
        <v>3862</v>
      </c>
      <c r="CI109" s="914">
        <v>26</v>
      </c>
      <c r="CJ109" s="899" t="s">
        <v>278</v>
      </c>
      <c r="CK109" s="895"/>
      <c r="CL109" s="903"/>
      <c r="CM109" s="914"/>
      <c r="CN109" s="2081"/>
      <c r="CO109" s="2096">
        <v>45761</v>
      </c>
      <c r="CP109" s="2109" t="s">
        <v>3863</v>
      </c>
      <c r="CQ109" s="2095">
        <v>-7.96</v>
      </c>
      <c r="CR109" s="2092" t="s">
        <v>414</v>
      </c>
      <c r="CS109" s="2068"/>
    </row>
    <row r="110" spans="85:97">
      <c r="CG110" s="895">
        <v>45046</v>
      </c>
      <c r="CH110" s="903" t="s">
        <v>3864</v>
      </c>
      <c r="CI110" s="914">
        <v>29</v>
      </c>
      <c r="CJ110" s="899" t="s">
        <v>278</v>
      </c>
      <c r="CK110" s="895"/>
      <c r="CL110" s="903"/>
      <c r="CM110" s="914"/>
      <c r="CN110" s="2081"/>
      <c r="CO110" s="2096">
        <v>45761</v>
      </c>
      <c r="CP110" s="2109" t="s">
        <v>3865</v>
      </c>
      <c r="CQ110" s="2095">
        <v>-3.27</v>
      </c>
      <c r="CR110" s="2092" t="s">
        <v>414</v>
      </c>
      <c r="CS110" s="2068"/>
    </row>
    <row r="111" spans="85:97">
      <c r="CG111" s="895">
        <v>45046</v>
      </c>
      <c r="CH111" s="903" t="s">
        <v>3866</v>
      </c>
      <c r="CI111" s="914">
        <v>35</v>
      </c>
      <c r="CJ111" s="899" t="s">
        <v>278</v>
      </c>
      <c r="CK111" s="895"/>
      <c r="CL111" s="903"/>
      <c r="CM111" s="914"/>
      <c r="CN111" s="2081"/>
      <c r="CO111" s="2096">
        <v>45761</v>
      </c>
      <c r="CP111" s="2109" t="s">
        <v>3857</v>
      </c>
      <c r="CQ111" s="2095">
        <v>-21.51</v>
      </c>
      <c r="CR111" s="2092" t="s">
        <v>414</v>
      </c>
      <c r="CS111" s="2068"/>
    </row>
    <row r="112" spans="85:97">
      <c r="CG112" s="895">
        <v>45046</v>
      </c>
      <c r="CH112" s="903" t="s">
        <v>853</v>
      </c>
      <c r="CI112" s="914">
        <v>8</v>
      </c>
      <c r="CJ112" s="899" t="s">
        <v>278</v>
      </c>
      <c r="CK112" s="895"/>
      <c r="CL112" s="903"/>
      <c r="CM112" s="914"/>
      <c r="CN112" s="2081"/>
      <c r="CO112" s="2096">
        <v>45761</v>
      </c>
      <c r="CP112" s="2109" t="s">
        <v>3861</v>
      </c>
      <c r="CQ112" s="2095">
        <v>-9.98</v>
      </c>
      <c r="CR112" s="2092" t="s">
        <v>414</v>
      </c>
      <c r="CS112" s="2068"/>
    </row>
    <row r="113" spans="85:97">
      <c r="CG113" s="895">
        <v>45046</v>
      </c>
      <c r="CH113" s="903" t="s">
        <v>3867</v>
      </c>
      <c r="CI113" s="914">
        <v>35</v>
      </c>
      <c r="CJ113" s="899" t="s">
        <v>381</v>
      </c>
      <c r="CK113" s="895"/>
      <c r="CL113" s="903"/>
      <c r="CM113" s="914"/>
      <c r="CN113" s="2081"/>
      <c r="CO113" s="2096">
        <v>45761</v>
      </c>
      <c r="CP113" s="2109" t="s">
        <v>3851</v>
      </c>
      <c r="CQ113" s="2095">
        <v>-28.47</v>
      </c>
      <c r="CR113" s="2092" t="s">
        <v>414</v>
      </c>
      <c r="CS113" s="2068"/>
    </row>
    <row r="114" spans="85:97">
      <c r="CG114" s="895">
        <v>45046</v>
      </c>
      <c r="CH114" s="903" t="s">
        <v>3868</v>
      </c>
      <c r="CI114" s="914">
        <v>25</v>
      </c>
      <c r="CJ114" s="899" t="s">
        <v>278</v>
      </c>
      <c r="CK114" s="895"/>
      <c r="CL114" s="903"/>
      <c r="CM114" s="914"/>
      <c r="CN114" s="2081"/>
      <c r="CO114" s="2096">
        <v>45761</v>
      </c>
      <c r="CP114" s="2109" t="s">
        <v>3869</v>
      </c>
      <c r="CQ114" s="2095">
        <v>-14.86</v>
      </c>
      <c r="CR114" s="2092" t="s">
        <v>414</v>
      </c>
      <c r="CS114" s="2068"/>
    </row>
    <row r="115" spans="85:97">
      <c r="CG115" s="895">
        <v>45046</v>
      </c>
      <c r="CH115" s="903" t="s">
        <v>3870</v>
      </c>
      <c r="CI115" s="914">
        <v>0</v>
      </c>
      <c r="CJ115" s="899" t="s">
        <v>700</v>
      </c>
      <c r="CK115" s="895"/>
      <c r="CL115" s="903"/>
      <c r="CM115" s="914"/>
      <c r="CN115" s="2081"/>
      <c r="CO115" s="2096">
        <v>45761</v>
      </c>
      <c r="CP115" s="2109" t="s">
        <v>3857</v>
      </c>
      <c r="CQ115" s="2095">
        <v>-21.51</v>
      </c>
      <c r="CR115" s="2092" t="s">
        <v>414</v>
      </c>
      <c r="CS115" s="2068"/>
    </row>
    <row r="116" spans="85:97">
      <c r="CG116" s="895">
        <v>45046</v>
      </c>
      <c r="CH116" s="903" t="s">
        <v>3871</v>
      </c>
      <c r="CI116" s="914">
        <v>62</v>
      </c>
      <c r="CJ116" s="899"/>
      <c r="CK116" s="895"/>
      <c r="CL116" s="903"/>
      <c r="CM116" s="914"/>
      <c r="CN116" s="2081"/>
      <c r="CO116" s="2096">
        <v>45761</v>
      </c>
      <c r="CP116" s="2109" t="s">
        <v>3872</v>
      </c>
      <c r="CQ116" s="2095">
        <v>-150</v>
      </c>
      <c r="CR116" s="2092" t="s">
        <v>414</v>
      </c>
      <c r="CS116" s="2069">
        <v>566</v>
      </c>
    </row>
    <row r="117" spans="85:97">
      <c r="CG117" s="895">
        <v>45046</v>
      </c>
      <c r="CH117" s="903" t="s">
        <v>3873</v>
      </c>
      <c r="CI117" s="914">
        <v>52</v>
      </c>
      <c r="CJ117" s="899" t="s">
        <v>689</v>
      </c>
      <c r="CK117" s="895"/>
      <c r="CL117" s="903"/>
      <c r="CM117" s="914"/>
      <c r="CN117" s="2081"/>
      <c r="CO117" s="2096">
        <v>45761</v>
      </c>
      <c r="CP117" s="2109" t="s">
        <v>3874</v>
      </c>
      <c r="CQ117" s="2095">
        <v>-75.89</v>
      </c>
      <c r="CR117" s="2092" t="s">
        <v>414</v>
      </c>
      <c r="CS117" s="2069">
        <v>499</v>
      </c>
    </row>
    <row r="118" spans="85:97">
      <c r="CG118" s="895"/>
      <c r="CH118" s="903"/>
      <c r="CI118" s="914"/>
      <c r="CJ118" s="899"/>
      <c r="CK118" s="895"/>
      <c r="CL118" s="903"/>
      <c r="CM118" s="914"/>
      <c r="CN118" s="2081"/>
      <c r="CO118" s="2096">
        <v>45760</v>
      </c>
      <c r="CP118" s="2109" t="s">
        <v>3875</v>
      </c>
      <c r="CQ118" s="2095">
        <v>-10.28</v>
      </c>
      <c r="CR118" s="2092" t="s">
        <v>414</v>
      </c>
      <c r="CS118" s="2069">
        <v>635</v>
      </c>
    </row>
    <row r="119" spans="85:97">
      <c r="CG119" s="895"/>
      <c r="CH119" s="903"/>
      <c r="CI119" s="914"/>
      <c r="CJ119" s="899"/>
      <c r="CK119" s="895"/>
      <c r="CL119" s="903"/>
      <c r="CM119" s="914"/>
      <c r="CN119" s="2081"/>
      <c r="CO119" s="2096">
        <v>45760</v>
      </c>
      <c r="CP119" s="2109" t="s">
        <v>3876</v>
      </c>
      <c r="CQ119" s="2095">
        <v>-15.25</v>
      </c>
      <c r="CR119" s="2092" t="s">
        <v>414</v>
      </c>
      <c r="CS119" s="2069">
        <v>1831</v>
      </c>
    </row>
    <row r="120" spans="85:97">
      <c r="CG120" s="895"/>
      <c r="CH120" s="903"/>
      <c r="CI120" s="914"/>
      <c r="CJ120" s="899"/>
      <c r="CK120" s="895"/>
      <c r="CL120" s="903"/>
      <c r="CM120" s="914"/>
      <c r="CN120" s="2081"/>
      <c r="CO120" s="2096">
        <v>45760</v>
      </c>
      <c r="CP120" s="2109" t="s">
        <v>3834</v>
      </c>
      <c r="CQ120" s="2095">
        <v>-41.62</v>
      </c>
      <c r="CR120" s="2092" t="s">
        <v>414</v>
      </c>
      <c r="CS120" s="2069">
        <v>566</v>
      </c>
    </row>
    <row r="121" spans="85:97">
      <c r="CG121" s="895"/>
      <c r="CH121" s="903"/>
      <c r="CI121" s="914"/>
      <c r="CJ121" s="899"/>
      <c r="CK121" s="895"/>
      <c r="CL121" s="903"/>
      <c r="CM121" s="914"/>
      <c r="CN121" s="2081"/>
      <c r="CO121" s="2096">
        <v>45760</v>
      </c>
      <c r="CP121" s="2109" t="s">
        <v>3877</v>
      </c>
      <c r="CQ121" s="2095">
        <v>-9.19</v>
      </c>
      <c r="CR121" s="2092" t="s">
        <v>414</v>
      </c>
      <c r="CS121" s="2069">
        <v>499</v>
      </c>
    </row>
    <row r="122" spans="85:97">
      <c r="CG122" s="895"/>
      <c r="CH122" s="903"/>
      <c r="CI122" s="914"/>
      <c r="CJ122" s="899"/>
      <c r="CK122" s="329"/>
      <c r="CL122" s="903"/>
      <c r="CM122" s="914"/>
      <c r="CN122" s="2081"/>
      <c r="CO122" s="2096">
        <v>45760</v>
      </c>
      <c r="CP122" s="2109" t="s">
        <v>3861</v>
      </c>
      <c r="CQ122" s="2095">
        <v>-17.88</v>
      </c>
      <c r="CR122" s="2092" t="s">
        <v>414</v>
      </c>
      <c r="CS122" s="2069">
        <v>635</v>
      </c>
    </row>
    <row r="123" spans="85:97">
      <c r="CG123" s="895"/>
      <c r="CH123" s="903"/>
      <c r="CI123" s="914"/>
      <c r="CJ123" s="899"/>
      <c r="CK123" s="348" t="s">
        <v>477</v>
      </c>
      <c r="CL123" s="903"/>
      <c r="CM123" s="914"/>
      <c r="CN123" s="2081"/>
      <c r="CO123" s="2096">
        <v>45760</v>
      </c>
      <c r="CP123" s="2109" t="s">
        <v>3878</v>
      </c>
      <c r="CQ123" s="2095">
        <v>-23.57</v>
      </c>
      <c r="CR123" s="2092" t="s">
        <v>414</v>
      </c>
      <c r="CS123" s="2069">
        <v>499</v>
      </c>
    </row>
    <row r="124" spans="85:97">
      <c r="CG124" s="895"/>
      <c r="CH124" s="903"/>
      <c r="CI124" s="914"/>
      <c r="CJ124" s="899"/>
      <c r="CK124" s="352" t="s">
        <v>1672</v>
      </c>
      <c r="CL124" s="903"/>
      <c r="CM124" s="914"/>
      <c r="CN124" s="2081"/>
      <c r="CO124" s="2096">
        <v>45760</v>
      </c>
      <c r="CP124" s="2109" t="s">
        <v>3879</v>
      </c>
      <c r="CQ124" s="2095">
        <v>-3.79</v>
      </c>
      <c r="CR124" s="2092" t="s">
        <v>414</v>
      </c>
      <c r="CS124" s="2069">
        <v>1831</v>
      </c>
    </row>
    <row r="125" spans="85:97">
      <c r="CG125" s="895"/>
      <c r="CH125" s="903"/>
      <c r="CI125" s="914"/>
      <c r="CJ125" s="899"/>
      <c r="CK125" s="357" t="s">
        <v>138</v>
      </c>
      <c r="CL125" s="903"/>
      <c r="CM125" s="914"/>
      <c r="CN125" s="2081"/>
      <c r="CO125" s="2096">
        <v>45760</v>
      </c>
      <c r="CP125" s="2109" t="s">
        <v>3880</v>
      </c>
      <c r="CQ125" s="2095">
        <v>-54.46</v>
      </c>
      <c r="CR125" s="2092" t="s">
        <v>414</v>
      </c>
      <c r="CS125" s="2068">
        <v>499</v>
      </c>
    </row>
    <row r="126" spans="85:97">
      <c r="CG126" s="329"/>
      <c r="CH126" s="336"/>
      <c r="CI126" s="891"/>
      <c r="CJ126" s="332"/>
      <c r="CL126" s="903"/>
      <c r="CM126" s="914"/>
      <c r="CN126" s="2081"/>
      <c r="CO126" s="2096">
        <v>45760</v>
      </c>
      <c r="CP126" s="2109" t="s">
        <v>3881</v>
      </c>
      <c r="CQ126" s="2095">
        <v>-1.9</v>
      </c>
      <c r="CR126" s="2092" t="s">
        <v>414</v>
      </c>
      <c r="CS126" s="2068">
        <v>349</v>
      </c>
    </row>
    <row r="127" spans="85:97">
      <c r="CG127" s="348" t="s">
        <v>477</v>
      </c>
      <c r="CH127" s="378"/>
      <c r="CI127" s="892">
        <f>SUM(CI4:CI126)</f>
        <v>10354</v>
      </c>
      <c r="CJ127" s="350">
        <f>SUM(CJ4:CJ126)</f>
        <v>0</v>
      </c>
      <c r="CL127" s="336"/>
      <c r="CM127" s="891"/>
      <c r="CN127" s="333"/>
      <c r="CO127" s="2096">
        <v>45760</v>
      </c>
      <c r="CP127" s="2109" t="s">
        <v>3882</v>
      </c>
      <c r="CQ127" s="2095">
        <v>-144</v>
      </c>
      <c r="CR127" s="2092" t="s">
        <v>414</v>
      </c>
      <c r="CS127" s="2068">
        <v>474.67</v>
      </c>
    </row>
    <row r="128" spans="85:97">
      <c r="CG128" s="352" t="s">
        <v>1672</v>
      </c>
      <c r="CH128" s="353"/>
      <c r="CI128" s="893"/>
      <c r="CJ128" s="355"/>
      <c r="CL128" s="378"/>
      <c r="CM128" s="892">
        <f>SUM(CM4:CM127)</f>
        <v>11700</v>
      </c>
      <c r="CN128" s="351">
        <f>SUM(CN4:CN127)</f>
        <v>0</v>
      </c>
      <c r="CO128" s="2096">
        <v>45760</v>
      </c>
      <c r="CP128" s="2109" t="s">
        <v>3883</v>
      </c>
      <c r="CQ128" s="2095">
        <v>-0.8</v>
      </c>
      <c r="CR128" s="2092" t="s">
        <v>414</v>
      </c>
      <c r="CS128" s="2068">
        <v>474.67</v>
      </c>
    </row>
    <row r="129" spans="85:97">
      <c r="CG129" s="357" t="s">
        <v>138</v>
      </c>
      <c r="CH129" s="358"/>
      <c r="CI129" s="894">
        <f>SUM(CI127,CJ127)</f>
        <v>10354</v>
      </c>
      <c r="CJ129" s="360"/>
      <c r="CL129" s="353"/>
      <c r="CM129" s="893"/>
      <c r="CN129" s="356"/>
      <c r="CO129" s="2096">
        <v>45760</v>
      </c>
      <c r="CP129" s="2109" t="s">
        <v>3884</v>
      </c>
      <c r="CQ129" s="2095">
        <v>-8.42</v>
      </c>
      <c r="CR129" s="2092" t="s">
        <v>414</v>
      </c>
      <c r="CS129" s="2068">
        <v>474.67</v>
      </c>
    </row>
    <row r="130" spans="85:97">
      <c r="CO130" s="2096">
        <v>45760</v>
      </c>
      <c r="CP130" s="2109" t="s">
        <v>3885</v>
      </c>
      <c r="CQ130" s="2095">
        <v>-33.42</v>
      </c>
      <c r="CR130" s="2092" t="s">
        <v>414</v>
      </c>
      <c r="CS130" s="2068">
        <v>275</v>
      </c>
    </row>
    <row r="131" spans="85:97">
      <c r="CO131" s="2096">
        <v>45760</v>
      </c>
      <c r="CP131" s="2109" t="s">
        <v>3886</v>
      </c>
      <c r="CQ131" s="2095">
        <v>-16.34</v>
      </c>
      <c r="CR131" s="2092" t="s">
        <v>414</v>
      </c>
      <c r="CS131" s="2069">
        <v>499</v>
      </c>
    </row>
    <row r="132" spans="85:97">
      <c r="CO132" s="2096">
        <v>45766</v>
      </c>
      <c r="CP132" s="2109" t="s">
        <v>3887</v>
      </c>
      <c r="CQ132" s="2095">
        <v>200</v>
      </c>
      <c r="CR132" s="2092" t="s">
        <v>414</v>
      </c>
      <c r="CS132" s="2069">
        <v>635</v>
      </c>
    </row>
    <row r="133" spans="85:97">
      <c r="CO133" s="2096">
        <v>45759</v>
      </c>
      <c r="CP133" s="2109" t="s">
        <v>3888</v>
      </c>
      <c r="CQ133" s="2095">
        <v>-21.81</v>
      </c>
      <c r="CR133" s="2092" t="s">
        <v>414</v>
      </c>
      <c r="CS133" s="2069">
        <v>1831</v>
      </c>
    </row>
    <row r="134" spans="85:97">
      <c r="CO134" s="2096">
        <v>45758</v>
      </c>
      <c r="CP134" s="2109" t="s">
        <v>3889</v>
      </c>
      <c r="CQ134" s="2095">
        <v>-26</v>
      </c>
      <c r="CR134" s="2092" t="s">
        <v>414</v>
      </c>
      <c r="CS134" s="2069">
        <v>566</v>
      </c>
    </row>
    <row r="135" spans="85:97">
      <c r="CO135" s="2096">
        <v>45758</v>
      </c>
      <c r="CP135" s="2109" t="s">
        <v>3890</v>
      </c>
      <c r="CQ135" s="2095">
        <v>-21.95</v>
      </c>
      <c r="CR135" s="2092" t="s">
        <v>414</v>
      </c>
      <c r="CS135" s="2068">
        <v>998.68</v>
      </c>
    </row>
    <row r="136" spans="85:97">
      <c r="CO136" s="2096">
        <v>45758</v>
      </c>
      <c r="CP136" s="2109" t="s">
        <v>3891</v>
      </c>
      <c r="CQ136" s="2095">
        <v>-25.1</v>
      </c>
      <c r="CR136" s="2092" t="s">
        <v>414</v>
      </c>
      <c r="CS136" s="2067">
        <v>998.68</v>
      </c>
    </row>
    <row r="137" spans="85:97">
      <c r="CO137" s="2096">
        <v>45758</v>
      </c>
      <c r="CP137" s="2109" t="s">
        <v>3892</v>
      </c>
      <c r="CQ137" s="2095">
        <v>-61.98</v>
      </c>
      <c r="CR137" s="2092" t="s">
        <v>414</v>
      </c>
      <c r="CS137" s="2067">
        <v>1424</v>
      </c>
    </row>
    <row r="138" spans="85:97">
      <c r="CO138" s="2096">
        <v>45758</v>
      </c>
      <c r="CP138" s="2109" t="s">
        <v>3893</v>
      </c>
      <c r="CQ138" s="2095">
        <v>-20</v>
      </c>
      <c r="CR138" s="2092" t="s">
        <v>414</v>
      </c>
      <c r="CS138" s="2067">
        <v>1424</v>
      </c>
    </row>
    <row r="139" spans="85:97">
      <c r="CO139" s="2096">
        <v>45758</v>
      </c>
      <c r="CP139" s="2109" t="s">
        <v>3894</v>
      </c>
      <c r="CQ139" s="2095">
        <v>-8.0299999999999994</v>
      </c>
      <c r="CR139" s="2092" t="s">
        <v>414</v>
      </c>
      <c r="CS139" s="2067">
        <v>1424</v>
      </c>
    </row>
    <row r="140" spans="85:97">
      <c r="CO140" s="2097">
        <v>45763</v>
      </c>
      <c r="CP140" s="2110" t="s">
        <v>3895</v>
      </c>
      <c r="CQ140" s="2098">
        <f>CS116/81</f>
        <v>6.9876543209876543</v>
      </c>
      <c r="CR140" s="2092" t="s">
        <v>414</v>
      </c>
      <c r="CS140" s="2067">
        <v>1424</v>
      </c>
    </row>
    <row r="141" spans="85:97">
      <c r="CO141" s="2097">
        <v>45763</v>
      </c>
      <c r="CP141" s="2110" t="s">
        <v>3896</v>
      </c>
      <c r="CQ141" s="2098">
        <f t="shared" ref="CQ141:CQ188" si="3">CS117/81</f>
        <v>6.1604938271604937</v>
      </c>
      <c r="CR141" s="2092" t="s">
        <v>414</v>
      </c>
      <c r="CS141" s="2067">
        <v>1550.9</v>
      </c>
    </row>
    <row r="142" spans="85:97" ht="18" customHeight="1">
      <c r="CO142" s="2097">
        <v>45763</v>
      </c>
      <c r="CP142" s="2110" t="s">
        <v>3897</v>
      </c>
      <c r="CQ142" s="2098">
        <f t="shared" si="3"/>
        <v>7.8395061728395063</v>
      </c>
      <c r="CR142" s="2092" t="s">
        <v>414</v>
      </c>
      <c r="CS142" s="2067">
        <v>1550.9</v>
      </c>
    </row>
    <row r="143" spans="85:97" ht="23.25">
      <c r="CO143" s="2097">
        <v>45762</v>
      </c>
      <c r="CP143" s="2110" t="s">
        <v>3898</v>
      </c>
      <c r="CQ143" s="2098">
        <f t="shared" si="3"/>
        <v>22.604938271604937</v>
      </c>
      <c r="CR143" s="2092" t="s">
        <v>414</v>
      </c>
      <c r="CS143" s="2068">
        <v>1500</v>
      </c>
    </row>
    <row r="144" spans="85:97">
      <c r="CO144" s="2097">
        <v>45763</v>
      </c>
      <c r="CP144" s="2110" t="s">
        <v>3895</v>
      </c>
      <c r="CQ144" s="2098">
        <f t="shared" si="3"/>
        <v>6.9876543209876543</v>
      </c>
      <c r="CR144" s="2092" t="s">
        <v>414</v>
      </c>
      <c r="CS144" s="2068">
        <v>275</v>
      </c>
    </row>
    <row r="145" spans="93:97">
      <c r="CO145" s="2097">
        <v>45763</v>
      </c>
      <c r="CP145" s="2110" t="s">
        <v>3896</v>
      </c>
      <c r="CQ145" s="2098">
        <f t="shared" si="3"/>
        <v>6.1604938271604937</v>
      </c>
      <c r="CR145" s="2092" t="s">
        <v>414</v>
      </c>
      <c r="CS145" s="2067">
        <v>5000</v>
      </c>
    </row>
    <row r="146" spans="93:97" ht="23.25">
      <c r="CO146" s="2097">
        <v>45763</v>
      </c>
      <c r="CP146" s="2110" t="s">
        <v>3897</v>
      </c>
      <c r="CQ146" s="2098">
        <f t="shared" si="3"/>
        <v>7.8395061728395063</v>
      </c>
      <c r="CR146" s="2092" t="s">
        <v>414</v>
      </c>
      <c r="CS146" s="2068">
        <f>4300 + 3900</f>
        <v>8200</v>
      </c>
    </row>
    <row r="147" spans="93:97" ht="23.25">
      <c r="CO147" s="2097">
        <v>45763</v>
      </c>
      <c r="CP147" s="2110" t="s">
        <v>3899</v>
      </c>
      <c r="CQ147" s="2098">
        <f t="shared" si="3"/>
        <v>6.1604938271604937</v>
      </c>
      <c r="CR147" s="2092" t="s">
        <v>414</v>
      </c>
      <c r="CS147" s="2068">
        <v>1600</v>
      </c>
    </row>
    <row r="148" spans="93:97">
      <c r="CO148" s="2097">
        <v>45762</v>
      </c>
      <c r="CP148" s="2110" t="s">
        <v>3900</v>
      </c>
      <c r="CQ148" s="2098">
        <f t="shared" si="3"/>
        <v>22.604938271604937</v>
      </c>
      <c r="CR148" s="2092" t="s">
        <v>414</v>
      </c>
      <c r="CS148" s="2068">
        <v>7800</v>
      </c>
    </row>
    <row r="149" spans="93:97" ht="32.25">
      <c r="CO149" s="2099">
        <v>45763</v>
      </c>
      <c r="CP149" s="2109" t="s">
        <v>3901</v>
      </c>
      <c r="CQ149" s="2098">
        <f t="shared" si="3"/>
        <v>6.1604938271604937</v>
      </c>
      <c r="CR149" s="2092" t="s">
        <v>414</v>
      </c>
      <c r="CS149" s="2068">
        <v>400</v>
      </c>
    </row>
    <row r="150" spans="93:97" ht="32.25">
      <c r="CO150" s="2099">
        <v>45763</v>
      </c>
      <c r="CP150" s="2109" t="s">
        <v>3902</v>
      </c>
      <c r="CQ150" s="2098">
        <f t="shared" si="3"/>
        <v>4.3086419753086416</v>
      </c>
      <c r="CR150" s="2092" t="s">
        <v>414</v>
      </c>
      <c r="CS150" s="2067">
        <v>1000</v>
      </c>
    </row>
    <row r="151" spans="93:97" ht="21.75">
      <c r="CO151" s="2099">
        <v>45763</v>
      </c>
      <c r="CP151" s="2109" t="s">
        <v>3903</v>
      </c>
      <c r="CQ151" s="2098">
        <f t="shared" si="3"/>
        <v>5.8601234567901237</v>
      </c>
      <c r="CR151" s="2092" t="s">
        <v>414</v>
      </c>
      <c r="CS151" s="2067">
        <v>2500</v>
      </c>
    </row>
    <row r="152" spans="93:97" ht="32.25">
      <c r="CO152" s="2099">
        <v>45763</v>
      </c>
      <c r="CP152" s="2109" t="s">
        <v>3904</v>
      </c>
      <c r="CQ152" s="2098">
        <f t="shared" si="3"/>
        <v>5.8601234567901237</v>
      </c>
      <c r="CR152" s="2092" t="s">
        <v>414</v>
      </c>
      <c r="CS152" s="2067">
        <v>2100</v>
      </c>
    </row>
    <row r="153" spans="93:97" ht="21.75">
      <c r="CO153" s="2099">
        <v>45763</v>
      </c>
      <c r="CP153" s="2109" t="s">
        <v>3905</v>
      </c>
      <c r="CQ153" s="2098">
        <f t="shared" si="3"/>
        <v>5.8601234567901237</v>
      </c>
      <c r="CR153" s="2092" t="s">
        <v>414</v>
      </c>
      <c r="CS153" s="2067">
        <v>100</v>
      </c>
    </row>
    <row r="154" spans="93:97" ht="21.75">
      <c r="CO154" s="2099">
        <v>45764</v>
      </c>
      <c r="CP154" s="2109" t="s">
        <v>3906</v>
      </c>
      <c r="CQ154" s="2098">
        <f t="shared" si="3"/>
        <v>3.3950617283950617</v>
      </c>
      <c r="CR154" s="2092" t="s">
        <v>414</v>
      </c>
      <c r="CS154" s="2067">
        <v>1000</v>
      </c>
    </row>
    <row r="155" spans="93:97">
      <c r="CO155" s="2099">
        <v>45764</v>
      </c>
      <c r="CP155" s="2111" t="s">
        <v>3907</v>
      </c>
      <c r="CQ155" s="2098">
        <f t="shared" si="3"/>
        <v>6.1604938271604937</v>
      </c>
      <c r="CR155" s="2092" t="s">
        <v>414</v>
      </c>
      <c r="CS155" s="2067">
        <v>1400</v>
      </c>
    </row>
    <row r="156" spans="93:97">
      <c r="CO156" s="2099">
        <v>45764</v>
      </c>
      <c r="CP156" s="2111" t="s">
        <v>3908</v>
      </c>
      <c r="CQ156" s="2098">
        <f t="shared" si="3"/>
        <v>7.8395061728395063</v>
      </c>
      <c r="CR156" s="2092" t="s">
        <v>414</v>
      </c>
      <c r="CS156" s="2070">
        <v>843</v>
      </c>
    </row>
    <row r="157" spans="93:97">
      <c r="CO157" s="2099">
        <v>45764</v>
      </c>
      <c r="CP157" s="2111" t="s">
        <v>3908</v>
      </c>
      <c r="CQ157" s="2098">
        <f t="shared" si="3"/>
        <v>22.604938271604937</v>
      </c>
      <c r="CR157" s="2092" t="s">
        <v>414</v>
      </c>
      <c r="CS157" s="2070">
        <v>208</v>
      </c>
    </row>
    <row r="158" spans="93:97">
      <c r="CO158" s="2099">
        <v>45764</v>
      </c>
      <c r="CP158" s="2111" t="s">
        <v>3909</v>
      </c>
      <c r="CQ158" s="2098">
        <f t="shared" si="3"/>
        <v>6.9876543209876543</v>
      </c>
      <c r="CR158" s="2092" t="s">
        <v>414</v>
      </c>
      <c r="CS158" s="2070">
        <v>485</v>
      </c>
    </row>
    <row r="159" spans="93:97">
      <c r="CO159" s="2099">
        <v>45762</v>
      </c>
      <c r="CP159" s="2109" t="s">
        <v>3910</v>
      </c>
      <c r="CQ159" s="2098">
        <f t="shared" si="3"/>
        <v>12.329382716049382</v>
      </c>
      <c r="CR159" s="2092" t="s">
        <v>414</v>
      </c>
      <c r="CS159" s="2070">
        <v>399</v>
      </c>
    </row>
    <row r="160" spans="93:97">
      <c r="CO160" s="2099">
        <v>45762</v>
      </c>
      <c r="CP160" s="2109" t="s">
        <v>3911</v>
      </c>
      <c r="CQ160" s="2098">
        <f t="shared" si="3"/>
        <v>12.329382716049382</v>
      </c>
      <c r="CR160" s="2092" t="s">
        <v>414</v>
      </c>
      <c r="CS160" s="2070">
        <v>312</v>
      </c>
    </row>
    <row r="161" spans="93:97">
      <c r="CO161" s="2099">
        <v>45762</v>
      </c>
      <c r="CP161" s="2109" t="s">
        <v>3912</v>
      </c>
      <c r="CQ161" s="2098">
        <f t="shared" si="3"/>
        <v>17.580246913580247</v>
      </c>
      <c r="CR161" s="2092" t="s">
        <v>414</v>
      </c>
      <c r="CS161" s="2070">
        <v>1205</v>
      </c>
    </row>
    <row r="162" spans="93:97">
      <c r="CO162" s="2099">
        <v>45762</v>
      </c>
      <c r="CP162" s="2109" t="s">
        <v>3913</v>
      </c>
      <c r="CQ162" s="2098">
        <f t="shared" si="3"/>
        <v>17.580246913580247</v>
      </c>
      <c r="CR162" s="2092" t="s">
        <v>414</v>
      </c>
      <c r="CS162" s="2070">
        <v>4590</v>
      </c>
    </row>
    <row r="163" spans="93:97">
      <c r="CO163" s="2099">
        <v>45762</v>
      </c>
      <c r="CP163" s="2109" t="s">
        <v>3914</v>
      </c>
      <c r="CQ163" s="2098">
        <f t="shared" si="3"/>
        <v>17.580246913580247</v>
      </c>
      <c r="CR163" s="2092" t="s">
        <v>414</v>
      </c>
      <c r="CS163" s="2070">
        <v>299</v>
      </c>
    </row>
    <row r="164" spans="93:97" ht="21.75">
      <c r="CO164" s="2099">
        <v>45762</v>
      </c>
      <c r="CP164" s="2109" t="s">
        <v>3915</v>
      </c>
      <c r="CQ164" s="2098">
        <f t="shared" si="3"/>
        <v>17.580246913580247</v>
      </c>
      <c r="CR164" s="2092" t="s">
        <v>414</v>
      </c>
      <c r="CS164" s="2070">
        <v>180</v>
      </c>
    </row>
    <row r="165" spans="93:97">
      <c r="CO165" s="2099">
        <v>45762</v>
      </c>
      <c r="CP165" s="2109" t="s">
        <v>3916</v>
      </c>
      <c r="CQ165" s="2098">
        <f t="shared" si="3"/>
        <v>19.146913580246913</v>
      </c>
      <c r="CR165" s="2092" t="s">
        <v>414</v>
      </c>
      <c r="CS165" s="2067">
        <v>775</v>
      </c>
    </row>
    <row r="166" spans="93:97">
      <c r="CO166" s="2099">
        <v>45762</v>
      </c>
      <c r="CP166" s="2111" t="s">
        <v>3917</v>
      </c>
      <c r="CQ166" s="2098">
        <f t="shared" si="3"/>
        <v>19.146913580246913</v>
      </c>
      <c r="CR166" s="2092" t="s">
        <v>414</v>
      </c>
    </row>
    <row r="167" spans="93:97">
      <c r="CO167" s="2099">
        <v>45763</v>
      </c>
      <c r="CP167" s="2111" t="s">
        <v>3918</v>
      </c>
      <c r="CQ167" s="2098">
        <f t="shared" si="3"/>
        <v>18.518518518518519</v>
      </c>
      <c r="CR167" s="2092" t="s">
        <v>414</v>
      </c>
    </row>
    <row r="168" spans="93:97">
      <c r="CO168" s="2099">
        <v>45763</v>
      </c>
      <c r="CP168" s="2111" t="s">
        <v>3919</v>
      </c>
      <c r="CQ168" s="2098">
        <f t="shared" si="3"/>
        <v>3.3950617283950617</v>
      </c>
      <c r="CR168" s="2092" t="s">
        <v>414</v>
      </c>
    </row>
    <row r="169" spans="93:97">
      <c r="CO169" s="2099">
        <v>45763</v>
      </c>
      <c r="CP169" s="2111" t="s">
        <v>3920</v>
      </c>
      <c r="CQ169" s="2098">
        <f t="shared" si="3"/>
        <v>61.728395061728392</v>
      </c>
      <c r="CR169" s="2092" t="s">
        <v>414</v>
      </c>
    </row>
    <row r="170" spans="93:97">
      <c r="CO170" s="2099">
        <v>45763</v>
      </c>
      <c r="CP170" s="2111" t="s">
        <v>3921</v>
      </c>
      <c r="CQ170" s="2098">
        <f t="shared" si="3"/>
        <v>101.23456790123457</v>
      </c>
      <c r="CR170" s="2092" t="s">
        <v>414</v>
      </c>
    </row>
    <row r="171" spans="93:97">
      <c r="CO171" s="2099">
        <v>45763</v>
      </c>
      <c r="CP171" s="2111" t="s">
        <v>3922</v>
      </c>
      <c r="CQ171" s="2098">
        <f t="shared" si="3"/>
        <v>19.753086419753085</v>
      </c>
      <c r="CR171" s="2092" t="s">
        <v>414</v>
      </c>
    </row>
    <row r="172" spans="93:97" ht="13.5" customHeight="1">
      <c r="CO172" s="2099">
        <v>45763</v>
      </c>
      <c r="CP172" s="2111" t="s">
        <v>3923</v>
      </c>
      <c r="CQ172" s="2098">
        <f t="shared" si="3"/>
        <v>96.296296296296291</v>
      </c>
      <c r="CR172" s="2092" t="s">
        <v>414</v>
      </c>
    </row>
    <row r="173" spans="93:97" ht="13.5" customHeight="1">
      <c r="CO173" s="2099">
        <v>45764</v>
      </c>
      <c r="CP173" s="2111" t="s">
        <v>3924</v>
      </c>
      <c r="CQ173" s="2098">
        <f t="shared" si="3"/>
        <v>4.9382716049382713</v>
      </c>
      <c r="CR173" s="2092" t="s">
        <v>414</v>
      </c>
    </row>
    <row r="174" spans="93:97" ht="13.5" customHeight="1">
      <c r="CO174" s="2099">
        <v>45764</v>
      </c>
      <c r="CP174" s="2111" t="s">
        <v>3925</v>
      </c>
      <c r="CQ174" s="2098">
        <f t="shared" si="3"/>
        <v>12.345679012345679</v>
      </c>
      <c r="CR174" s="2092" t="s">
        <v>414</v>
      </c>
    </row>
    <row r="175" spans="93:97" ht="13.5" customHeight="1">
      <c r="CO175" s="2099">
        <v>45764</v>
      </c>
      <c r="CP175" s="2111" t="s">
        <v>3926</v>
      </c>
      <c r="CQ175" s="2098">
        <f t="shared" si="3"/>
        <v>30.864197530864196</v>
      </c>
      <c r="CR175" s="2092" t="s">
        <v>414</v>
      </c>
    </row>
    <row r="176" spans="93:97" ht="13.5" customHeight="1">
      <c r="CO176" s="2099">
        <v>45764</v>
      </c>
      <c r="CP176" s="2111" t="s">
        <v>3927</v>
      </c>
      <c r="CQ176" s="2098">
        <f t="shared" si="3"/>
        <v>25.925925925925927</v>
      </c>
      <c r="CR176" s="2092" t="s">
        <v>414</v>
      </c>
    </row>
    <row r="177" spans="93:96" ht="13.5" customHeight="1">
      <c r="CO177" s="2099">
        <v>45764</v>
      </c>
      <c r="CP177" s="2111" t="s">
        <v>3928</v>
      </c>
      <c r="CQ177" s="2098">
        <f t="shared" si="3"/>
        <v>1.2345679012345678</v>
      </c>
      <c r="CR177" s="2092" t="s">
        <v>414</v>
      </c>
    </row>
    <row r="178" spans="93:96" ht="13.5" customHeight="1">
      <c r="CO178" s="2099">
        <v>45764</v>
      </c>
      <c r="CP178" s="2111" t="s">
        <v>3929</v>
      </c>
      <c r="CQ178" s="2098">
        <f t="shared" si="3"/>
        <v>12.345679012345679</v>
      </c>
      <c r="CR178" s="2092" t="s">
        <v>414</v>
      </c>
    </row>
    <row r="179" spans="93:96" ht="13.5" customHeight="1">
      <c r="CO179" s="2099">
        <v>45764</v>
      </c>
      <c r="CP179" s="2111" t="s">
        <v>3930</v>
      </c>
      <c r="CQ179" s="2098">
        <f t="shared" si="3"/>
        <v>17.283950617283949</v>
      </c>
      <c r="CR179" s="2092" t="s">
        <v>414</v>
      </c>
    </row>
    <row r="180" spans="93:96" ht="13.5" customHeight="1">
      <c r="CO180" s="2100">
        <v>45765</v>
      </c>
      <c r="CP180" s="2109" t="s">
        <v>3931</v>
      </c>
      <c r="CQ180" s="2098">
        <f t="shared" si="3"/>
        <v>10.407407407407407</v>
      </c>
      <c r="CR180" s="2092" t="s">
        <v>414</v>
      </c>
    </row>
    <row r="181" spans="93:96" ht="13.5" customHeight="1">
      <c r="CO181" s="2100">
        <v>45765</v>
      </c>
      <c r="CP181" s="2109" t="s">
        <v>3932</v>
      </c>
      <c r="CQ181" s="2098">
        <f t="shared" si="3"/>
        <v>2.5679012345679011</v>
      </c>
      <c r="CR181" s="2092" t="s">
        <v>414</v>
      </c>
    </row>
    <row r="182" spans="93:96" ht="13.5" customHeight="1">
      <c r="CO182" s="2100">
        <v>45765</v>
      </c>
      <c r="CP182" s="2109" t="s">
        <v>3933</v>
      </c>
      <c r="CQ182" s="2098">
        <f t="shared" si="3"/>
        <v>5.9876543209876543</v>
      </c>
      <c r="CR182" s="2092" t="s">
        <v>414</v>
      </c>
    </row>
    <row r="183" spans="93:96" ht="13.5" customHeight="1">
      <c r="CO183" s="2100">
        <v>45764</v>
      </c>
      <c r="CP183" s="2109" t="s">
        <v>3934</v>
      </c>
      <c r="CQ183" s="2098">
        <f t="shared" si="3"/>
        <v>4.9259259259259256</v>
      </c>
      <c r="CR183" s="2092" t="s">
        <v>414</v>
      </c>
    </row>
    <row r="184" spans="93:96" ht="13.5" customHeight="1">
      <c r="CO184" s="2100">
        <v>45764</v>
      </c>
      <c r="CP184" s="2109" t="s">
        <v>3935</v>
      </c>
      <c r="CQ184" s="2098">
        <f t="shared" si="3"/>
        <v>3.8518518518518516</v>
      </c>
      <c r="CR184" s="2092" t="s">
        <v>414</v>
      </c>
    </row>
    <row r="185" spans="93:96" ht="13.5" customHeight="1">
      <c r="CO185" s="2100">
        <v>45764</v>
      </c>
      <c r="CP185" s="2109" t="s">
        <v>3936</v>
      </c>
      <c r="CQ185" s="2098">
        <f t="shared" si="3"/>
        <v>14.876543209876543</v>
      </c>
      <c r="CR185" s="2092" t="s">
        <v>414</v>
      </c>
    </row>
    <row r="186" spans="93:96" ht="13.5" customHeight="1">
      <c r="CO186" s="2100">
        <v>45764</v>
      </c>
      <c r="CP186" s="2109" t="s">
        <v>3937</v>
      </c>
      <c r="CQ186" s="2098">
        <f t="shared" si="3"/>
        <v>56.666666666666664</v>
      </c>
      <c r="CR186" s="2092" t="s">
        <v>414</v>
      </c>
    </row>
    <row r="187" spans="93:96" ht="13.5" customHeight="1">
      <c r="CO187" s="2100">
        <v>45764</v>
      </c>
      <c r="CP187" s="2109" t="s">
        <v>3938</v>
      </c>
      <c r="CQ187" s="2098">
        <f t="shared" si="3"/>
        <v>3.691358024691358</v>
      </c>
      <c r="CR187" s="2092" t="s">
        <v>414</v>
      </c>
    </row>
    <row r="188" spans="93:96" ht="13.5" customHeight="1">
      <c r="CO188" s="2100">
        <v>45764</v>
      </c>
      <c r="CP188" s="2109" t="s">
        <v>3939</v>
      </c>
      <c r="CQ188" s="2098">
        <f t="shared" si="3"/>
        <v>2.2222222222222223</v>
      </c>
      <c r="CR188" s="2092" t="s">
        <v>414</v>
      </c>
    </row>
    <row r="189" spans="93:96" ht="13.5" customHeight="1">
      <c r="CO189" s="2101">
        <v>45765</v>
      </c>
      <c r="CP189" s="2102" t="s">
        <v>3940</v>
      </c>
      <c r="CQ189" s="2103">
        <f>CS164/81</f>
        <v>2.2222222222222223</v>
      </c>
      <c r="CR189" s="2092" t="s">
        <v>414</v>
      </c>
    </row>
    <row r="190" spans="93:96" ht="13.5" customHeight="1">
      <c r="CO190" s="2101">
        <v>45766</v>
      </c>
      <c r="CP190" s="2102" t="s">
        <v>3941</v>
      </c>
      <c r="CQ190" s="2103">
        <v>5</v>
      </c>
      <c r="CR190" s="2092" t="s">
        <v>414</v>
      </c>
    </row>
    <row r="191" spans="93:96" ht="13.5" customHeight="1">
      <c r="CO191" s="2101">
        <v>45766</v>
      </c>
      <c r="CP191" s="2111" t="s">
        <v>3942</v>
      </c>
      <c r="CQ191" s="2103">
        <v>5</v>
      </c>
      <c r="CR191" s="2092" t="s">
        <v>414</v>
      </c>
    </row>
    <row r="192" spans="93:96" ht="13.5" customHeight="1">
      <c r="CO192" s="2099">
        <v>45772</v>
      </c>
      <c r="CP192" s="2111" t="s">
        <v>3943</v>
      </c>
      <c r="CQ192" s="2103">
        <v>20</v>
      </c>
      <c r="CR192" s="2092" t="s">
        <v>414</v>
      </c>
    </row>
    <row r="193" spans="93:96" ht="13.5" customHeight="1">
      <c r="CO193" s="2099">
        <v>45772</v>
      </c>
      <c r="CP193" s="2111" t="s">
        <v>3944</v>
      </c>
      <c r="CQ193" s="2103">
        <v>55</v>
      </c>
      <c r="CR193" s="2092" t="s">
        <v>414</v>
      </c>
    </row>
    <row r="194" spans="93:96" ht="13.5" customHeight="1">
      <c r="CO194" s="2089">
        <v>45774</v>
      </c>
      <c r="CP194" s="2104" t="s">
        <v>843</v>
      </c>
      <c r="CQ194" s="2105">
        <v>57</v>
      </c>
      <c r="CR194" s="2092" t="s">
        <v>414</v>
      </c>
    </row>
    <row r="195" spans="93:96" ht="13.5" customHeight="1">
      <c r="CO195" s="2089">
        <v>45774</v>
      </c>
      <c r="CP195" s="2104" t="s">
        <v>772</v>
      </c>
      <c r="CQ195" s="2105">
        <v>24</v>
      </c>
      <c r="CR195" s="2092" t="s">
        <v>414</v>
      </c>
    </row>
    <row r="196" spans="93:96" ht="13.5" customHeight="1">
      <c r="CO196" s="2089">
        <v>45774</v>
      </c>
      <c r="CP196" s="2104" t="s">
        <v>2839</v>
      </c>
      <c r="CQ196" s="2105">
        <v>15</v>
      </c>
      <c r="CR196" s="2092" t="s">
        <v>414</v>
      </c>
    </row>
    <row r="197" spans="93:96" ht="13.5" customHeight="1">
      <c r="CO197" s="2089">
        <v>45774</v>
      </c>
      <c r="CP197" s="2104" t="s">
        <v>845</v>
      </c>
      <c r="CQ197" s="2105">
        <v>29</v>
      </c>
      <c r="CR197" s="2092" t="s">
        <v>414</v>
      </c>
    </row>
    <row r="198" spans="93:96" ht="13.5" customHeight="1">
      <c r="CO198" s="2089">
        <v>45774</v>
      </c>
      <c r="CP198" s="2104" t="s">
        <v>3945</v>
      </c>
      <c r="CQ198" s="2105">
        <v>88</v>
      </c>
      <c r="CR198" s="2092" t="s">
        <v>700</v>
      </c>
    </row>
    <row r="199" spans="93:96" ht="13.5" customHeight="1">
      <c r="CO199" s="2089">
        <v>45774</v>
      </c>
      <c r="CP199" s="2104" t="s">
        <v>3946</v>
      </c>
      <c r="CQ199" s="2105">
        <v>48</v>
      </c>
      <c r="CR199" s="2092" t="s">
        <v>700</v>
      </c>
    </row>
    <row r="200" spans="93:96" ht="13.5" customHeight="1">
      <c r="CO200" s="2089">
        <v>45774</v>
      </c>
      <c r="CP200" s="2104" t="s">
        <v>3944</v>
      </c>
      <c r="CQ200" s="2105">
        <v>37</v>
      </c>
      <c r="CR200" s="2092" t="s">
        <v>414</v>
      </c>
    </row>
    <row r="201" spans="93:96" ht="13.5" customHeight="1">
      <c r="CO201" s="2089">
        <v>45774</v>
      </c>
      <c r="CP201" s="2104" t="s">
        <v>3947</v>
      </c>
      <c r="CQ201" s="2105">
        <v>20</v>
      </c>
      <c r="CR201" s="2092" t="s">
        <v>278</v>
      </c>
    </row>
    <row r="202" spans="93:96" ht="13.5" customHeight="1">
      <c r="CO202" s="2089">
        <v>45777</v>
      </c>
      <c r="CP202" s="2104" t="s">
        <v>3948</v>
      </c>
      <c r="CQ202" s="2105">
        <v>48</v>
      </c>
      <c r="CR202" s="2092" t="s">
        <v>700</v>
      </c>
    </row>
    <row r="203" spans="93:96" ht="13.5" customHeight="1">
      <c r="CO203" s="2089">
        <v>45777</v>
      </c>
      <c r="CP203" s="2104" t="s">
        <v>3949</v>
      </c>
      <c r="CQ203" s="2105">
        <v>125</v>
      </c>
      <c r="CR203" s="2092" t="s">
        <v>700</v>
      </c>
    </row>
    <row r="204" spans="93:96" ht="13.5" customHeight="1">
      <c r="CO204" s="2089">
        <v>45777</v>
      </c>
      <c r="CP204" s="2104" t="s">
        <v>3945</v>
      </c>
      <c r="CQ204" s="2105">
        <v>98</v>
      </c>
      <c r="CR204" s="2092" t="s">
        <v>700</v>
      </c>
    </row>
    <row r="205" spans="93:96" ht="13.5" customHeight="1">
      <c r="CO205" s="2089">
        <v>45777</v>
      </c>
      <c r="CP205" s="2104" t="s">
        <v>3946</v>
      </c>
      <c r="CQ205" s="2105">
        <v>48</v>
      </c>
      <c r="CR205" s="2092" t="s">
        <v>700</v>
      </c>
    </row>
    <row r="206" spans="93:96" ht="13.5" customHeight="1">
      <c r="CO206" s="2089">
        <v>45777</v>
      </c>
      <c r="CP206" s="903" t="s">
        <v>3950</v>
      </c>
      <c r="CQ206" s="914">
        <v>25</v>
      </c>
      <c r="CR206" s="2113" t="s">
        <v>278</v>
      </c>
    </row>
    <row r="207" spans="93:96" ht="13.5" customHeight="1">
      <c r="CO207" s="2089">
        <v>45777</v>
      </c>
      <c r="CP207" s="903" t="s">
        <v>3951</v>
      </c>
      <c r="CQ207" s="914">
        <v>42</v>
      </c>
      <c r="CR207" s="2113" t="s">
        <v>278</v>
      </c>
    </row>
    <row r="208" spans="93:96" ht="13.5" customHeight="1">
      <c r="CO208" s="2112"/>
      <c r="CP208" s="903"/>
      <c r="CQ208" s="914"/>
      <c r="CR208" s="2113"/>
    </row>
    <row r="209" spans="93:96" ht="13.5" customHeight="1">
      <c r="CO209" s="2112"/>
      <c r="CP209" s="903"/>
      <c r="CQ209" s="914"/>
      <c r="CR209" s="2113"/>
    </row>
    <row r="210" spans="93:96" ht="13.5" customHeight="1">
      <c r="CO210" s="2112"/>
      <c r="CP210" s="903"/>
      <c r="CQ210" s="914"/>
      <c r="CR210" s="2113"/>
    </row>
    <row r="211" spans="93:96" ht="13.5" customHeight="1">
      <c r="CO211" s="2112"/>
      <c r="CP211" s="903"/>
      <c r="CQ211" s="914"/>
      <c r="CR211" s="2113"/>
    </row>
    <row r="212" spans="93:96" ht="13.5" customHeight="1">
      <c r="CO212" s="2112"/>
      <c r="CP212" s="903"/>
      <c r="CQ212" s="914"/>
      <c r="CR212" s="2113"/>
    </row>
    <row r="213" spans="93:96" ht="13.5" customHeight="1">
      <c r="CO213" s="2112"/>
      <c r="CP213" s="903"/>
      <c r="CQ213" s="914"/>
      <c r="CR213" s="2113"/>
    </row>
    <row r="214" spans="93:96" ht="13.5" customHeight="1">
      <c r="CO214" s="2114"/>
      <c r="CP214" s="2115"/>
      <c r="CQ214" s="2116"/>
      <c r="CR214" s="2117"/>
    </row>
    <row r="1048576" spans="96:96" ht="13.5" customHeight="1">
      <c r="CR1048576" s="2066" t="s">
        <v>414</v>
      </c>
    </row>
  </sheetData>
  <phoneticPr fontId="4" type="noConversion"/>
  <pageMargins left="0.75" right="0.75" top="1" bottom="1" header="0.5" footer="0.5"/>
  <pageSetup orientation="portrait" horizontalDpi="4294967292" verticalDpi="429496729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Monthly!$V$556:$V$584</xm:f>
          </x14:formula1>
          <xm:sqref>BT5:BT80 BT82:BT83 BX82:BX83 BX5:BX80 CB82:CB83 CB4:CB80 CF4:CF92 CJ4:CJ125 CN4:CN126 CR1048576 CR4:CR214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indexed="60"/>
  </sheetPr>
  <dimension ref="A1:CR199"/>
  <sheetViews>
    <sheetView topLeftCell="CJ188" zoomScale="216" zoomScaleNormal="216" zoomScalePageLayoutView="90" workbookViewId="0">
      <selection activeCell="CO208" sqref="CO208"/>
    </sheetView>
  </sheetViews>
  <sheetFormatPr defaultColWidth="8.85546875" defaultRowHeight="9.75"/>
  <cols>
    <col min="1" max="1" width="8.85546875" style="923"/>
    <col min="2" max="2" width="29.85546875" style="923" customWidth="1"/>
    <col min="3" max="4" width="13.85546875" style="923" customWidth="1"/>
    <col min="5" max="5" width="13.42578125" style="923" customWidth="1"/>
    <col min="6" max="6" width="30.42578125" style="923" customWidth="1"/>
    <col min="7" max="7" width="12.85546875" style="923" customWidth="1"/>
    <col min="8" max="8" width="11.28515625" style="923" customWidth="1"/>
    <col min="9" max="9" width="8.85546875" style="923"/>
    <col min="10" max="10" width="27.28515625" style="923" customWidth="1"/>
    <col min="11" max="11" width="12.28515625" style="923" customWidth="1"/>
    <col min="12" max="13" width="8.85546875" style="923"/>
    <col min="14" max="14" width="48" style="923" customWidth="1"/>
    <col min="15" max="15" width="13.28515625" style="923" customWidth="1"/>
    <col min="16" max="16" width="14" style="923" customWidth="1"/>
    <col min="17" max="17" width="8.85546875" style="923"/>
    <col min="18" max="18" width="53.140625" style="923" customWidth="1"/>
    <col min="19" max="19" width="13.85546875" style="923" customWidth="1"/>
    <col min="20" max="20" width="8.85546875" style="923"/>
    <col min="21" max="21" width="10.28515625" style="923" customWidth="1"/>
    <col min="22" max="22" width="49.42578125" style="923" customWidth="1"/>
    <col min="23" max="23" width="14.7109375" style="923" customWidth="1"/>
    <col min="24" max="24" width="8.85546875" style="923"/>
    <col min="25" max="25" width="10.140625" style="923" customWidth="1"/>
    <col min="26" max="26" width="39.140625" style="923" customWidth="1"/>
    <col min="27" max="27" width="11.42578125" style="923" customWidth="1"/>
    <col min="28" max="29" width="8.85546875" style="923"/>
    <col min="30" max="30" width="41.7109375" style="923" customWidth="1"/>
    <col min="31" max="31" width="12.28515625" style="923" customWidth="1"/>
    <col min="32" max="33" width="8.85546875" style="923"/>
    <col min="34" max="34" width="36.7109375" style="923" customWidth="1"/>
    <col min="35" max="35" width="10.140625" style="923" bestFit="1" customWidth="1"/>
    <col min="36" max="37" width="8.85546875" style="923"/>
    <col min="38" max="38" width="49.140625" style="923" customWidth="1"/>
    <col min="39" max="41" width="8.85546875" style="923"/>
    <col min="42" max="42" width="50.28515625" style="923" customWidth="1"/>
    <col min="43" max="45" width="8.85546875" style="923"/>
    <col min="46" max="46" width="65.28515625" style="923" customWidth="1"/>
    <col min="47" max="49" width="8.85546875" style="923"/>
    <col min="50" max="50" width="65.28515625" style="923" customWidth="1"/>
    <col min="51" max="53" width="8.85546875" style="923"/>
    <col min="54" max="54" width="65.28515625" style="923" customWidth="1"/>
    <col min="55" max="57" width="8.85546875" style="923"/>
    <col min="58" max="58" width="65.28515625" style="923" customWidth="1"/>
    <col min="59" max="61" width="8.85546875" style="923"/>
    <col min="62" max="62" width="65.28515625" style="923" customWidth="1"/>
    <col min="63" max="64" width="8.85546875" style="923"/>
    <col min="65" max="65" width="0" style="923" hidden="1" customWidth="1"/>
    <col min="66" max="66" width="65.28515625" style="923" hidden="1" customWidth="1"/>
    <col min="67" max="68" width="0" style="923" hidden="1" customWidth="1"/>
    <col min="69" max="69" width="8.85546875" style="923"/>
    <col min="70" max="70" width="65.28515625" style="923" customWidth="1"/>
    <col min="71" max="71" width="10" style="923" bestFit="1" customWidth="1"/>
    <col min="72" max="73" width="8.85546875" style="923"/>
    <col min="74" max="74" width="65.28515625" style="923" customWidth="1"/>
    <col min="75" max="75" width="9.42578125" style="923" bestFit="1" customWidth="1"/>
    <col min="76" max="77" width="8.85546875" style="923"/>
    <col min="78" max="78" width="65.28515625" style="923" customWidth="1"/>
    <col min="79" max="79" width="11.28515625" style="923" bestFit="1" customWidth="1"/>
    <col min="80" max="81" width="8.85546875" style="923"/>
    <col min="82" max="82" width="65.28515625" style="923" customWidth="1"/>
    <col min="83" max="83" width="14.7109375" style="923" customWidth="1"/>
    <col min="84" max="84" width="11.85546875" style="923" customWidth="1"/>
    <col min="85" max="85" width="9.140625" style="923"/>
    <col min="86" max="86" width="65.28515625" style="923" customWidth="1"/>
    <col min="87" max="87" width="14.7109375" style="923" customWidth="1"/>
    <col min="88" max="88" width="11.85546875" style="923" customWidth="1"/>
    <col min="89" max="89" width="8.85546875" style="923"/>
    <col min="90" max="90" width="66.42578125" style="923" customWidth="1"/>
    <col min="91" max="91" width="9.7109375" style="923" bestFit="1" customWidth="1"/>
    <col min="92" max="92" width="8.85546875" style="923"/>
    <col min="93" max="93" width="9.7109375" style="923" bestFit="1" customWidth="1"/>
    <col min="94" max="94" width="45.42578125" style="923" customWidth="1"/>
    <col min="95" max="95" width="18.42578125" style="923" customWidth="1"/>
    <col min="96" max="96" width="18.5703125" style="923" customWidth="1"/>
    <col min="97" max="16384" width="8.85546875" style="923"/>
  </cols>
  <sheetData>
    <row r="1" spans="1:96" ht="11.25">
      <c r="A1" s="918"/>
      <c r="B1" s="919" t="s">
        <v>3952</v>
      </c>
      <c r="C1" s="918"/>
      <c r="D1" s="920"/>
      <c r="E1" s="918"/>
      <c r="F1" s="919" t="s">
        <v>3953</v>
      </c>
      <c r="G1" s="918"/>
      <c r="H1" s="920"/>
      <c r="I1" s="918"/>
      <c r="J1" s="919" t="s">
        <v>3954</v>
      </c>
      <c r="K1" s="918"/>
      <c r="L1" s="920"/>
      <c r="M1" s="918"/>
      <c r="N1" s="919" t="s">
        <v>3955</v>
      </c>
      <c r="O1" s="918"/>
      <c r="P1" s="920"/>
      <c r="Q1" s="918"/>
      <c r="R1" s="919" t="s">
        <v>3956</v>
      </c>
      <c r="S1" s="918"/>
      <c r="T1" s="920"/>
      <c r="U1" s="918"/>
      <c r="V1" s="919" t="s">
        <v>3957</v>
      </c>
      <c r="W1" s="918"/>
      <c r="X1" s="920"/>
      <c r="Y1" s="918"/>
      <c r="Z1" s="919" t="s">
        <v>3958</v>
      </c>
      <c r="AA1" s="918"/>
      <c r="AB1" s="920"/>
      <c r="AC1" s="918"/>
      <c r="AD1" s="919" t="s">
        <v>3959</v>
      </c>
      <c r="AE1" s="918"/>
      <c r="AF1" s="920"/>
      <c r="AG1" s="918"/>
      <c r="AH1" s="919" t="s">
        <v>3960</v>
      </c>
      <c r="AI1" s="918"/>
      <c r="AJ1" s="920"/>
      <c r="AK1" s="918"/>
      <c r="AL1" s="919" t="s">
        <v>3961</v>
      </c>
      <c r="AM1" s="918"/>
      <c r="AN1" s="920"/>
      <c r="AO1" s="918"/>
      <c r="AP1" s="919" t="s">
        <v>3962</v>
      </c>
      <c r="AQ1" s="918"/>
      <c r="AR1" s="920"/>
      <c r="AS1" s="918"/>
      <c r="AT1" s="919" t="s">
        <v>3963</v>
      </c>
      <c r="AU1" s="918"/>
      <c r="AV1" s="920"/>
      <c r="AW1" s="918"/>
      <c r="AX1" s="919" t="s">
        <v>3964</v>
      </c>
      <c r="AY1" s="918"/>
      <c r="AZ1" s="920"/>
      <c r="BA1" s="918"/>
      <c r="BB1" s="919" t="s">
        <v>3965</v>
      </c>
      <c r="BC1" s="918"/>
      <c r="BD1" s="920"/>
      <c r="BE1" s="918"/>
      <c r="BF1" s="919" t="s">
        <v>3966</v>
      </c>
      <c r="BG1" s="918"/>
      <c r="BH1" s="921"/>
      <c r="BI1" s="922"/>
      <c r="BJ1" s="919" t="s">
        <v>3967</v>
      </c>
      <c r="BK1" s="918"/>
      <c r="BL1" s="920"/>
      <c r="BM1" s="922"/>
      <c r="BN1" s="919"/>
      <c r="BO1" s="918"/>
      <c r="BP1" s="920"/>
      <c r="BQ1" s="922"/>
      <c r="BR1" s="919" t="s">
        <v>3968</v>
      </c>
      <c r="BS1" s="918"/>
      <c r="BT1" s="920"/>
      <c r="BU1" s="922"/>
      <c r="BV1" s="919" t="s">
        <v>3969</v>
      </c>
      <c r="BW1" s="918"/>
      <c r="BX1" s="920"/>
      <c r="BY1" s="922"/>
      <c r="BZ1" s="919" t="s">
        <v>3970</v>
      </c>
      <c r="CA1" s="918"/>
      <c r="CB1" s="920"/>
      <c r="CC1" s="922"/>
      <c r="CD1" s="919" t="s">
        <v>3971</v>
      </c>
      <c r="CE1" s="918"/>
      <c r="CF1" s="920"/>
      <c r="CG1" s="922"/>
      <c r="CH1" s="919" t="s">
        <v>3972</v>
      </c>
      <c r="CI1" s="918"/>
      <c r="CJ1" s="920"/>
      <c r="CK1" s="922"/>
      <c r="CL1" s="919" t="s">
        <v>3973</v>
      </c>
      <c r="CM1" s="918"/>
      <c r="CN1" s="920"/>
      <c r="CO1" s="922"/>
      <c r="CP1" s="919" t="s">
        <v>3973</v>
      </c>
      <c r="CQ1" s="918"/>
      <c r="CR1" s="920"/>
    </row>
    <row r="2" spans="1:96" ht="11.25">
      <c r="A2" s="924" t="s">
        <v>1796</v>
      </c>
      <c r="B2" s="925" t="s">
        <v>138</v>
      </c>
      <c r="C2" s="926" t="s">
        <v>3008</v>
      </c>
      <c r="D2" s="927" t="s">
        <v>3009</v>
      </c>
      <c r="E2" s="924" t="s">
        <v>1796</v>
      </c>
      <c r="F2" s="925" t="s">
        <v>138</v>
      </c>
      <c r="G2" s="926" t="s">
        <v>3008</v>
      </c>
      <c r="H2" s="927" t="s">
        <v>3009</v>
      </c>
      <c r="I2" s="924" t="s">
        <v>1796</v>
      </c>
      <c r="J2" s="925" t="s">
        <v>138</v>
      </c>
      <c r="K2" s="926" t="s">
        <v>3008</v>
      </c>
      <c r="L2" s="927" t="s">
        <v>3009</v>
      </c>
      <c r="M2" s="924" t="s">
        <v>1796</v>
      </c>
      <c r="N2" s="925" t="s">
        <v>138</v>
      </c>
      <c r="O2" s="926" t="s">
        <v>3008</v>
      </c>
      <c r="P2" s="927" t="s">
        <v>3009</v>
      </c>
      <c r="Q2" s="924" t="s">
        <v>1796</v>
      </c>
      <c r="R2" s="925" t="s">
        <v>138</v>
      </c>
      <c r="S2" s="926" t="s">
        <v>3008</v>
      </c>
      <c r="T2" s="927" t="s">
        <v>3009</v>
      </c>
      <c r="U2" s="924" t="s">
        <v>1796</v>
      </c>
      <c r="V2" s="925" t="s">
        <v>138</v>
      </c>
      <c r="W2" s="926" t="s">
        <v>3008</v>
      </c>
      <c r="X2" s="927" t="s">
        <v>3009</v>
      </c>
      <c r="Y2" s="924" t="s">
        <v>1796</v>
      </c>
      <c r="Z2" s="925" t="s">
        <v>138</v>
      </c>
      <c r="AA2" s="926" t="s">
        <v>3008</v>
      </c>
      <c r="AB2" s="927" t="s">
        <v>3009</v>
      </c>
      <c r="AC2" s="924" t="s">
        <v>1796</v>
      </c>
      <c r="AD2" s="925" t="s">
        <v>138</v>
      </c>
      <c r="AE2" s="926" t="s">
        <v>3008</v>
      </c>
      <c r="AF2" s="927" t="s">
        <v>3009</v>
      </c>
      <c r="AG2" s="924" t="s">
        <v>1796</v>
      </c>
      <c r="AH2" s="925" t="s">
        <v>138</v>
      </c>
      <c r="AI2" s="926" t="s">
        <v>3008</v>
      </c>
      <c r="AJ2" s="927" t="s">
        <v>3009</v>
      </c>
      <c r="AK2" s="924" t="s">
        <v>1796</v>
      </c>
      <c r="AL2" s="925" t="s">
        <v>138</v>
      </c>
      <c r="AM2" s="926" t="s">
        <v>3008</v>
      </c>
      <c r="AN2" s="927" t="s">
        <v>3009</v>
      </c>
      <c r="AO2" s="924" t="s">
        <v>1796</v>
      </c>
      <c r="AP2" s="925" t="s">
        <v>138</v>
      </c>
      <c r="AQ2" s="926" t="s">
        <v>3008</v>
      </c>
      <c r="AR2" s="927" t="s">
        <v>3009</v>
      </c>
      <c r="AS2" s="924" t="s">
        <v>1796</v>
      </c>
      <c r="AT2" s="925" t="s">
        <v>138</v>
      </c>
      <c r="AU2" s="926" t="s">
        <v>3008</v>
      </c>
      <c r="AV2" s="927" t="s">
        <v>3009</v>
      </c>
      <c r="AW2" s="924" t="s">
        <v>1796</v>
      </c>
      <c r="AX2" s="925" t="s">
        <v>138</v>
      </c>
      <c r="AY2" s="926" t="s">
        <v>3008</v>
      </c>
      <c r="AZ2" s="927" t="s">
        <v>3009</v>
      </c>
      <c r="BA2" s="924" t="s">
        <v>1796</v>
      </c>
      <c r="BB2" s="925" t="s">
        <v>138</v>
      </c>
      <c r="BC2" s="926" t="s">
        <v>3008</v>
      </c>
      <c r="BD2" s="927" t="s">
        <v>3009</v>
      </c>
      <c r="BE2" s="924" t="s">
        <v>1796</v>
      </c>
      <c r="BF2" s="925" t="s">
        <v>138</v>
      </c>
      <c r="BG2" s="926" t="s">
        <v>3008</v>
      </c>
      <c r="BH2" s="928" t="s">
        <v>3009</v>
      </c>
      <c r="BI2" s="924" t="s">
        <v>1796</v>
      </c>
      <c r="BJ2" s="925" t="s">
        <v>138</v>
      </c>
      <c r="BK2" s="926" t="s">
        <v>3008</v>
      </c>
      <c r="BL2" s="927" t="s">
        <v>742</v>
      </c>
      <c r="BM2" s="924"/>
      <c r="BN2" s="925"/>
      <c r="BO2" s="926"/>
      <c r="BP2" s="927"/>
      <c r="BQ2" s="924" t="s">
        <v>1796</v>
      </c>
      <c r="BR2" s="925" t="s">
        <v>138</v>
      </c>
      <c r="BS2" s="926" t="s">
        <v>3008</v>
      </c>
      <c r="BT2" s="927" t="s">
        <v>3009</v>
      </c>
      <c r="BU2" s="924" t="s">
        <v>1796</v>
      </c>
      <c r="BV2" s="925" t="s">
        <v>138</v>
      </c>
      <c r="BW2" s="926" t="s">
        <v>3008</v>
      </c>
      <c r="BX2" s="927" t="s">
        <v>3009</v>
      </c>
      <c r="BY2" s="924" t="s">
        <v>1796</v>
      </c>
      <c r="BZ2" s="925" t="s">
        <v>138</v>
      </c>
      <c r="CA2" s="926" t="s">
        <v>3008</v>
      </c>
      <c r="CB2" s="927" t="s">
        <v>3009</v>
      </c>
      <c r="CC2" s="924" t="s">
        <v>1796</v>
      </c>
      <c r="CD2" s="925" t="s">
        <v>138</v>
      </c>
      <c r="CE2" s="926" t="s">
        <v>3008</v>
      </c>
      <c r="CF2" s="927" t="s">
        <v>3009</v>
      </c>
      <c r="CG2" s="924" t="s">
        <v>1796</v>
      </c>
      <c r="CH2" s="925" t="s">
        <v>138</v>
      </c>
      <c r="CI2" s="926" t="s">
        <v>3008</v>
      </c>
      <c r="CJ2" s="927" t="s">
        <v>3009</v>
      </c>
      <c r="CK2" s="924" t="s">
        <v>740</v>
      </c>
      <c r="CL2" s="925" t="s">
        <v>138</v>
      </c>
      <c r="CM2" s="926" t="s">
        <v>741</v>
      </c>
      <c r="CN2" s="927" t="s">
        <v>742</v>
      </c>
      <c r="CO2" s="924" t="s">
        <v>740</v>
      </c>
      <c r="CP2" s="925" t="s">
        <v>138</v>
      </c>
      <c r="CQ2" s="926" t="s">
        <v>741</v>
      </c>
      <c r="CR2" s="927" t="s">
        <v>742</v>
      </c>
    </row>
    <row r="3" spans="1:96" ht="11.25">
      <c r="A3" s="929"/>
      <c r="B3" s="930"/>
      <c r="C3" s="931"/>
      <c r="D3" s="929"/>
      <c r="E3" s="929"/>
      <c r="F3" s="930"/>
      <c r="G3" s="931"/>
      <c r="H3" s="929"/>
      <c r="I3" s="929"/>
      <c r="J3" s="930"/>
      <c r="K3" s="931"/>
      <c r="L3" s="929"/>
      <c r="M3" s="929"/>
      <c r="N3" s="930"/>
      <c r="O3" s="931"/>
      <c r="P3" s="929"/>
      <c r="Q3" s="929"/>
      <c r="R3" s="930"/>
      <c r="S3" s="931"/>
      <c r="T3" s="929"/>
      <c r="U3" s="929"/>
      <c r="V3" s="930"/>
      <c r="W3" s="931"/>
      <c r="X3" s="929"/>
      <c r="Y3" s="929"/>
      <c r="Z3" s="930"/>
      <c r="AA3" s="931"/>
      <c r="AB3" s="929"/>
      <c r="AC3" s="929"/>
      <c r="AD3" s="925"/>
      <c r="AE3" s="931"/>
      <c r="AF3" s="929"/>
      <c r="AG3" s="929"/>
      <c r="AH3" s="925"/>
      <c r="AI3" s="931"/>
      <c r="AJ3" s="929"/>
      <c r="AK3" s="929"/>
      <c r="AL3" s="925"/>
      <c r="AM3" s="931"/>
      <c r="AN3" s="929"/>
      <c r="AO3" s="929"/>
      <c r="AP3" s="925"/>
      <c r="AQ3" s="931"/>
      <c r="AR3" s="929"/>
      <c r="AS3" s="929"/>
      <c r="AT3" s="925"/>
      <c r="AU3" s="931"/>
      <c r="AV3" s="929"/>
      <c r="AW3" s="929"/>
      <c r="AX3" s="925"/>
      <c r="AY3" s="931"/>
      <c r="AZ3" s="929"/>
      <c r="BA3" s="929"/>
      <c r="BB3" s="925"/>
      <c r="BC3" s="931"/>
      <c r="BD3" s="929"/>
      <c r="BE3" s="929"/>
      <c r="BF3" s="925"/>
      <c r="BG3" s="931"/>
      <c r="BH3" s="932"/>
      <c r="BI3" s="933"/>
      <c r="BJ3" s="930"/>
      <c r="BK3" s="931"/>
      <c r="BL3" s="934"/>
      <c r="BM3" s="933"/>
      <c r="BN3" s="930"/>
      <c r="BO3" s="931"/>
      <c r="BP3" s="934"/>
      <c r="BQ3" s="933"/>
      <c r="BR3" s="930"/>
      <c r="BS3" s="931"/>
      <c r="BT3" s="934"/>
      <c r="BU3" s="933"/>
      <c r="BV3" s="930"/>
      <c r="BW3" s="931"/>
      <c r="BX3" s="934"/>
      <c r="BY3" s="933"/>
      <c r="BZ3" s="930"/>
      <c r="CA3" s="931"/>
      <c r="CB3" s="934"/>
      <c r="CC3" s="933"/>
      <c r="CD3" s="930"/>
      <c r="CE3" s="931"/>
      <c r="CF3" s="934"/>
      <c r="CG3" s="933"/>
      <c r="CH3" s="930"/>
      <c r="CI3" s="931"/>
      <c r="CJ3" s="934"/>
      <c r="CK3" s="933"/>
      <c r="CL3" s="930"/>
      <c r="CM3" s="931"/>
      <c r="CN3" s="934"/>
      <c r="CO3" s="933"/>
      <c r="CP3" s="930"/>
      <c r="CQ3" s="931"/>
      <c r="CR3" s="934"/>
    </row>
    <row r="4" spans="1:96" ht="11.25">
      <c r="A4" s="935"/>
      <c r="B4" s="936"/>
      <c r="C4" s="937"/>
      <c r="D4" s="938"/>
      <c r="E4" s="935"/>
      <c r="F4" s="936"/>
      <c r="G4" s="937"/>
      <c r="H4" s="938"/>
      <c r="I4" s="935"/>
      <c r="J4" s="936"/>
      <c r="K4" s="937"/>
      <c r="L4" s="938"/>
      <c r="M4" s="935"/>
      <c r="N4" s="936"/>
      <c r="O4" s="937"/>
      <c r="P4" s="938"/>
      <c r="Q4" s="935"/>
      <c r="R4" s="936"/>
      <c r="S4" s="937"/>
      <c r="T4" s="938"/>
      <c r="U4" s="935"/>
      <c r="V4" s="936"/>
      <c r="W4" s="937"/>
      <c r="X4" s="939"/>
      <c r="Y4" s="940"/>
      <c r="Z4" s="941"/>
      <c r="AA4" s="942"/>
      <c r="AB4" s="943"/>
      <c r="AC4" s="940"/>
      <c r="AD4" s="944"/>
      <c r="AE4" s="942"/>
      <c r="AF4" s="943"/>
      <c r="AG4" s="940"/>
      <c r="AH4" s="944"/>
      <c r="AI4" s="942"/>
      <c r="AJ4" s="943"/>
      <c r="AK4" s="940"/>
      <c r="AL4" s="944"/>
      <c r="AM4" s="942"/>
      <c r="AN4" s="943"/>
      <c r="AO4" s="940"/>
      <c r="AP4" s="944"/>
      <c r="AQ4" s="942"/>
      <c r="AR4" s="943"/>
      <c r="AS4" s="940"/>
      <c r="AT4" s="944"/>
      <c r="AU4" s="942"/>
      <c r="AV4" s="943"/>
      <c r="AW4" s="940">
        <v>42125</v>
      </c>
      <c r="AX4" s="944" t="s">
        <v>1100</v>
      </c>
      <c r="AY4" s="942">
        <v>16</v>
      </c>
      <c r="AZ4" s="943"/>
      <c r="BA4" s="940">
        <v>42491</v>
      </c>
      <c r="BB4" s="944" t="s">
        <v>754</v>
      </c>
      <c r="BC4" s="942">
        <v>71</v>
      </c>
      <c r="BD4" s="943"/>
      <c r="BE4" s="940">
        <v>42858</v>
      </c>
      <c r="BF4" s="944" t="s">
        <v>787</v>
      </c>
      <c r="BG4" s="942">
        <v>8</v>
      </c>
      <c r="BH4" s="943"/>
      <c r="BI4" s="935">
        <v>43221</v>
      </c>
      <c r="BJ4" s="945" t="s">
        <v>3974</v>
      </c>
      <c r="BK4" s="937">
        <v>375</v>
      </c>
      <c r="BL4" s="938"/>
      <c r="BM4" s="935"/>
      <c r="BN4" s="945"/>
      <c r="BO4" s="937"/>
      <c r="BP4" s="938"/>
      <c r="BQ4" s="946"/>
      <c r="BR4" s="947"/>
      <c r="BS4" s="948"/>
      <c r="BT4" s="949"/>
      <c r="BU4" s="946"/>
      <c r="BV4" s="947"/>
      <c r="BW4" s="948"/>
      <c r="BX4" s="949"/>
      <c r="BY4" s="946"/>
      <c r="BZ4" s="947"/>
      <c r="CA4" s="948"/>
      <c r="CB4" s="949"/>
      <c r="CC4" s="946"/>
      <c r="CD4" s="947"/>
      <c r="CE4" s="948"/>
      <c r="CF4" s="949"/>
      <c r="CG4" s="946"/>
      <c r="CH4" s="947"/>
      <c r="CI4" s="948"/>
      <c r="CJ4" s="949"/>
      <c r="CK4" s="946"/>
      <c r="CL4" s="947"/>
      <c r="CM4" s="948"/>
      <c r="CN4" s="949"/>
      <c r="CO4" s="946"/>
      <c r="CP4" s="947"/>
      <c r="CQ4" s="948"/>
      <c r="CR4" s="949"/>
    </row>
    <row r="5" spans="1:96" ht="12.75">
      <c r="A5" s="935">
        <v>37742</v>
      </c>
      <c r="B5" s="936" t="s">
        <v>556</v>
      </c>
      <c r="C5" s="937">
        <v>1075</v>
      </c>
      <c r="D5" s="938"/>
      <c r="E5" s="935">
        <v>37742</v>
      </c>
      <c r="F5" s="936" t="s">
        <v>556</v>
      </c>
      <c r="G5" s="937">
        <v>1075</v>
      </c>
      <c r="H5" s="938"/>
      <c r="I5" s="935">
        <v>38473</v>
      </c>
      <c r="J5" s="936" t="s">
        <v>890</v>
      </c>
      <c r="K5" s="937">
        <v>22</v>
      </c>
      <c r="L5" s="938"/>
      <c r="M5" s="935">
        <v>38838</v>
      </c>
      <c r="N5" s="936" t="s">
        <v>3975</v>
      </c>
      <c r="O5" s="937">
        <v>1303</v>
      </c>
      <c r="P5" s="938"/>
      <c r="Q5" s="935">
        <v>39203</v>
      </c>
      <c r="R5" s="936" t="s">
        <v>3976</v>
      </c>
      <c r="S5" s="937">
        <v>29</v>
      </c>
      <c r="T5" s="938"/>
      <c r="U5" s="935">
        <v>39203</v>
      </c>
      <c r="V5" s="936" t="s">
        <v>3976</v>
      </c>
      <c r="W5" s="937">
        <v>29</v>
      </c>
      <c r="X5" s="939"/>
      <c r="Y5" s="935">
        <v>39203</v>
      </c>
      <c r="Z5" s="936" t="s">
        <v>3976</v>
      </c>
      <c r="AA5" s="937">
        <v>29</v>
      </c>
      <c r="AB5" s="938"/>
      <c r="AC5" s="935">
        <v>40299</v>
      </c>
      <c r="AD5" s="936" t="s">
        <v>3977</v>
      </c>
      <c r="AE5" s="937">
        <v>184</v>
      </c>
      <c r="AF5" s="938"/>
      <c r="AG5" s="935">
        <v>40664</v>
      </c>
      <c r="AH5" s="936" t="s">
        <v>3978</v>
      </c>
      <c r="AI5" s="937">
        <v>713</v>
      </c>
      <c r="AJ5" s="938"/>
      <c r="AK5" s="935">
        <v>41031</v>
      </c>
      <c r="AL5" s="936" t="s">
        <v>3979</v>
      </c>
      <c r="AM5" s="937">
        <v>580</v>
      </c>
      <c r="AN5" s="938"/>
      <c r="AO5" s="935">
        <v>41397</v>
      </c>
      <c r="AP5" s="936" t="s">
        <v>3980</v>
      </c>
      <c r="AQ5" s="937">
        <v>248</v>
      </c>
      <c r="AR5" s="938"/>
      <c r="AS5" s="935">
        <v>41761</v>
      </c>
      <c r="AT5" s="936" t="s">
        <v>3981</v>
      </c>
      <c r="AU5" s="937">
        <v>320</v>
      </c>
      <c r="AV5" s="938"/>
      <c r="AW5" s="935">
        <v>42126</v>
      </c>
      <c r="AX5" s="936" t="s">
        <v>802</v>
      </c>
      <c r="AY5" s="950">
        <v>40</v>
      </c>
      <c r="AZ5" s="951"/>
      <c r="BA5" s="935">
        <v>42493</v>
      </c>
      <c r="BB5" s="936" t="s">
        <v>954</v>
      </c>
      <c r="BC5" s="950">
        <v>25</v>
      </c>
      <c r="BD5" s="951"/>
      <c r="BE5" s="935">
        <v>42859</v>
      </c>
      <c r="BF5" s="936" t="s">
        <v>3982</v>
      </c>
      <c r="BG5" s="950">
        <v>5</v>
      </c>
      <c r="BH5" s="951"/>
      <c r="BI5" s="935">
        <v>43222</v>
      </c>
      <c r="BJ5" s="936" t="s">
        <v>873</v>
      </c>
      <c r="BK5" s="950">
        <v>11</v>
      </c>
      <c r="BL5" s="951"/>
      <c r="BM5" s="935"/>
      <c r="BN5" s="936"/>
      <c r="BO5" s="950"/>
      <c r="BP5" s="951"/>
      <c r="BQ5" s="1663">
        <v>43586</v>
      </c>
      <c r="BR5" s="1664" t="s">
        <v>759</v>
      </c>
      <c r="BS5" s="1665">
        <v>295</v>
      </c>
      <c r="BT5" s="1666" t="s">
        <v>689</v>
      </c>
      <c r="BU5" s="1663">
        <v>43586</v>
      </c>
      <c r="BV5" s="1664" t="s">
        <v>759</v>
      </c>
      <c r="BW5" s="1665">
        <v>295</v>
      </c>
      <c r="BX5" s="1666" t="s">
        <v>689</v>
      </c>
      <c r="BY5" s="1663">
        <v>44317</v>
      </c>
      <c r="BZ5" s="1664" t="s">
        <v>1808</v>
      </c>
      <c r="CA5" s="1665">
        <v>1200</v>
      </c>
      <c r="CB5" s="1667" t="s">
        <v>689</v>
      </c>
      <c r="CC5" s="1663">
        <v>44317</v>
      </c>
      <c r="CD5" s="1664" t="s">
        <v>1808</v>
      </c>
      <c r="CE5" s="1665"/>
      <c r="CF5" s="1667" t="s">
        <v>689</v>
      </c>
      <c r="CG5" s="1663">
        <v>44317</v>
      </c>
      <c r="CH5" s="1664" t="s">
        <v>1808</v>
      </c>
      <c r="CI5" s="1665"/>
      <c r="CJ5" s="1667" t="s">
        <v>689</v>
      </c>
      <c r="CK5" s="1663">
        <v>44317</v>
      </c>
      <c r="CL5" s="1554" t="s">
        <v>760</v>
      </c>
      <c r="CM5" s="1555">
        <v>30</v>
      </c>
      <c r="CN5" s="1556" t="s">
        <v>689</v>
      </c>
      <c r="CO5" s="1663">
        <v>44317</v>
      </c>
      <c r="CP5" s="1554" t="s">
        <v>760</v>
      </c>
      <c r="CQ5" s="1555">
        <v>30</v>
      </c>
      <c r="CR5" s="1556" t="s">
        <v>689</v>
      </c>
    </row>
    <row r="6" spans="1:96" ht="12.75">
      <c r="A6" s="935">
        <v>37742</v>
      </c>
      <c r="B6" s="936" t="s">
        <v>276</v>
      </c>
      <c r="C6" s="937">
        <v>621</v>
      </c>
      <c r="D6" s="938">
        <v>479</v>
      </c>
      <c r="E6" s="935">
        <v>37742</v>
      </c>
      <c r="F6" s="936" t="s">
        <v>276</v>
      </c>
      <c r="G6" s="937">
        <v>0</v>
      </c>
      <c r="H6" s="938">
        <v>0</v>
      </c>
      <c r="I6" s="935">
        <v>38474</v>
      </c>
      <c r="J6" s="936" t="s">
        <v>797</v>
      </c>
      <c r="K6" s="937">
        <v>35</v>
      </c>
      <c r="L6" s="938"/>
      <c r="M6" s="935">
        <v>38838</v>
      </c>
      <c r="N6" s="936" t="s">
        <v>3983</v>
      </c>
      <c r="O6" s="937">
        <v>824</v>
      </c>
      <c r="P6" s="938"/>
      <c r="Q6" s="935">
        <v>39204</v>
      </c>
      <c r="R6" s="936" t="s">
        <v>3984</v>
      </c>
      <c r="S6" s="937">
        <v>12</v>
      </c>
      <c r="T6" s="938"/>
      <c r="U6" s="935">
        <v>39203</v>
      </c>
      <c r="V6" s="936" t="s">
        <v>3985</v>
      </c>
      <c r="W6" s="937">
        <v>0</v>
      </c>
      <c r="X6" s="939"/>
      <c r="Y6" s="935">
        <v>39203</v>
      </c>
      <c r="Z6" s="936" t="s">
        <v>3986</v>
      </c>
      <c r="AA6" s="937">
        <v>7</v>
      </c>
      <c r="AB6" s="938"/>
      <c r="AC6" s="935">
        <v>40299</v>
      </c>
      <c r="AD6" s="936" t="s">
        <v>765</v>
      </c>
      <c r="AE6" s="937">
        <v>31</v>
      </c>
      <c r="AF6" s="938"/>
      <c r="AG6" s="935">
        <v>40664</v>
      </c>
      <c r="AH6" s="936" t="s">
        <v>3987</v>
      </c>
      <c r="AI6" s="937">
        <v>7</v>
      </c>
      <c r="AJ6" s="938"/>
      <c r="AK6" s="935">
        <v>41031</v>
      </c>
      <c r="AL6" s="936" t="s">
        <v>1244</v>
      </c>
      <c r="AM6" s="950">
        <v>33</v>
      </c>
      <c r="AN6" s="951"/>
      <c r="AO6" s="935">
        <v>41398</v>
      </c>
      <c r="AP6" s="936" t="s">
        <v>3988</v>
      </c>
      <c r="AQ6" s="937">
        <v>270</v>
      </c>
      <c r="AR6" s="938"/>
      <c r="AS6" s="935">
        <v>41761</v>
      </c>
      <c r="AT6" s="936" t="s">
        <v>3989</v>
      </c>
      <c r="AU6" s="937">
        <v>21</v>
      </c>
      <c r="AV6" s="938"/>
      <c r="AW6" s="935">
        <v>42126</v>
      </c>
      <c r="AX6" s="936" t="s">
        <v>772</v>
      </c>
      <c r="AY6" s="937">
        <v>68</v>
      </c>
      <c r="AZ6" s="938"/>
      <c r="BA6" s="935">
        <v>42493</v>
      </c>
      <c r="BB6" s="936" t="s">
        <v>3052</v>
      </c>
      <c r="BC6" s="937">
        <v>35</v>
      </c>
      <c r="BD6" s="938"/>
      <c r="BE6" s="935">
        <v>42859</v>
      </c>
      <c r="BF6" s="936" t="s">
        <v>1050</v>
      </c>
      <c r="BG6" s="937">
        <v>21</v>
      </c>
      <c r="BH6" s="938"/>
      <c r="BI6" s="935">
        <v>43222</v>
      </c>
      <c r="BJ6" s="936" t="s">
        <v>1427</v>
      </c>
      <c r="BK6" s="937">
        <v>4</v>
      </c>
      <c r="BL6" s="938"/>
      <c r="BM6" s="935"/>
      <c r="BN6" s="936"/>
      <c r="BO6" s="937"/>
      <c r="BP6" s="938"/>
      <c r="BQ6" s="1663">
        <v>43586</v>
      </c>
      <c r="BR6" s="1668" t="s">
        <v>1807</v>
      </c>
      <c r="BS6" s="1669">
        <v>1495</v>
      </c>
      <c r="BT6" s="1667" t="s">
        <v>244</v>
      </c>
      <c r="BU6" s="1663">
        <v>43586</v>
      </c>
      <c r="BV6" s="1670" t="s">
        <v>1807</v>
      </c>
      <c r="BW6" s="1669">
        <v>0</v>
      </c>
      <c r="BX6" s="1667" t="s">
        <v>706</v>
      </c>
      <c r="BY6" s="1663">
        <v>44317</v>
      </c>
      <c r="BZ6" s="1668" t="s">
        <v>777</v>
      </c>
      <c r="CA6" s="1671">
        <v>306</v>
      </c>
      <c r="CB6" s="1667" t="s">
        <v>689</v>
      </c>
      <c r="CC6" s="1663">
        <v>44317</v>
      </c>
      <c r="CD6" s="1668" t="s">
        <v>777</v>
      </c>
      <c r="CE6" s="1672">
        <v>632</v>
      </c>
      <c r="CF6" s="1667" t="s">
        <v>689</v>
      </c>
      <c r="CG6" s="1663">
        <v>44317</v>
      </c>
      <c r="CH6" s="1668" t="s">
        <v>777</v>
      </c>
      <c r="CI6" s="1672">
        <v>26</v>
      </c>
      <c r="CJ6" s="1667" t="s">
        <v>689</v>
      </c>
      <c r="CK6" s="1663">
        <v>44317</v>
      </c>
      <c r="CL6" s="1554" t="s">
        <v>1817</v>
      </c>
      <c r="CM6" s="1557">
        <v>0</v>
      </c>
      <c r="CN6" s="1556" t="s">
        <v>689</v>
      </c>
      <c r="CO6" s="1663">
        <v>44317</v>
      </c>
      <c r="CP6" s="1554" t="s">
        <v>1817</v>
      </c>
      <c r="CQ6" s="1557">
        <v>0</v>
      </c>
      <c r="CR6" s="1556" t="s">
        <v>689</v>
      </c>
    </row>
    <row r="7" spans="1:96" ht="12.75">
      <c r="A7" s="935">
        <v>37742</v>
      </c>
      <c r="B7" s="936" t="s">
        <v>400</v>
      </c>
      <c r="C7" s="937">
        <v>0</v>
      </c>
      <c r="D7" s="938">
        <v>200</v>
      </c>
      <c r="E7" s="935">
        <v>37742</v>
      </c>
      <c r="F7" s="936" t="s">
        <v>400</v>
      </c>
      <c r="G7" s="937">
        <v>0</v>
      </c>
      <c r="H7" s="938">
        <v>200</v>
      </c>
      <c r="I7" s="935">
        <v>38474</v>
      </c>
      <c r="J7" s="936" t="s">
        <v>3990</v>
      </c>
      <c r="K7" s="937">
        <v>8</v>
      </c>
      <c r="L7" s="938"/>
      <c r="M7" s="935">
        <v>38838</v>
      </c>
      <c r="N7" s="936" t="s">
        <v>3991</v>
      </c>
      <c r="O7" s="937">
        <v>17</v>
      </c>
      <c r="P7" s="938"/>
      <c r="Q7" s="935">
        <v>39207</v>
      </c>
      <c r="R7" s="936" t="s">
        <v>937</v>
      </c>
      <c r="S7" s="937">
        <v>48</v>
      </c>
      <c r="T7" s="938"/>
      <c r="U7" s="935">
        <v>39571</v>
      </c>
      <c r="V7" s="936" t="s">
        <v>783</v>
      </c>
      <c r="W7" s="937">
        <v>26</v>
      </c>
      <c r="X7" s="939"/>
      <c r="Y7" s="935">
        <v>39935</v>
      </c>
      <c r="Z7" s="936" t="s">
        <v>3986</v>
      </c>
      <c r="AA7" s="937">
        <v>16</v>
      </c>
      <c r="AB7" s="938"/>
      <c r="AC7" s="935">
        <v>40299</v>
      </c>
      <c r="AD7" s="936" t="s">
        <v>3992</v>
      </c>
      <c r="AE7" s="937">
        <v>15</v>
      </c>
      <c r="AF7" s="938"/>
      <c r="AG7" s="935">
        <v>40664</v>
      </c>
      <c r="AH7" s="936" t="s">
        <v>3993</v>
      </c>
      <c r="AI7" s="937">
        <v>84</v>
      </c>
      <c r="AJ7" s="938"/>
      <c r="AK7" s="935">
        <v>41031</v>
      </c>
      <c r="AL7" s="936" t="s">
        <v>781</v>
      </c>
      <c r="AM7" s="937">
        <v>26</v>
      </c>
      <c r="AN7" s="938"/>
      <c r="AO7" s="935">
        <v>41398</v>
      </c>
      <c r="AP7" s="936" t="s">
        <v>3994</v>
      </c>
      <c r="AQ7" s="950">
        <v>53</v>
      </c>
      <c r="AR7" s="951"/>
      <c r="AS7" s="935">
        <v>41761</v>
      </c>
      <c r="AT7" s="936" t="s">
        <v>3995</v>
      </c>
      <c r="AU7" s="950">
        <v>15</v>
      </c>
      <c r="AV7" s="951"/>
      <c r="AW7" s="935">
        <v>42126</v>
      </c>
      <c r="AX7" s="936" t="s">
        <v>954</v>
      </c>
      <c r="AY7" s="937">
        <v>67</v>
      </c>
      <c r="AZ7" s="938"/>
      <c r="BA7" s="935">
        <v>42493</v>
      </c>
      <c r="BB7" s="936" t="s">
        <v>1720</v>
      </c>
      <c r="BC7" s="937">
        <v>33</v>
      </c>
      <c r="BD7" s="938"/>
      <c r="BE7" s="935">
        <v>42859</v>
      </c>
      <c r="BF7" s="936" t="s">
        <v>3996</v>
      </c>
      <c r="BG7" s="937">
        <v>11</v>
      </c>
      <c r="BH7" s="938"/>
      <c r="BI7" s="935">
        <v>43222</v>
      </c>
      <c r="BJ7" s="936" t="s">
        <v>859</v>
      </c>
      <c r="BK7" s="937">
        <v>6</v>
      </c>
      <c r="BL7" s="938"/>
      <c r="BM7" s="935"/>
      <c r="BN7" s="936"/>
      <c r="BO7" s="937"/>
      <c r="BP7" s="938"/>
      <c r="BQ7" s="1663">
        <v>43587</v>
      </c>
      <c r="BR7" s="1668" t="s">
        <v>3997</v>
      </c>
      <c r="BS7" s="1669">
        <v>10</v>
      </c>
      <c r="BT7" s="1667" t="s">
        <v>280</v>
      </c>
      <c r="BU7" s="1663">
        <v>43586</v>
      </c>
      <c r="BV7" s="1668" t="s">
        <v>777</v>
      </c>
      <c r="BW7" s="1673">
        <v>288</v>
      </c>
      <c r="BX7" s="1667" t="s">
        <v>689</v>
      </c>
      <c r="BY7" s="1663">
        <v>44317</v>
      </c>
      <c r="BZ7" s="1668" t="s">
        <v>792</v>
      </c>
      <c r="CA7" s="1671">
        <v>30</v>
      </c>
      <c r="CB7" s="1667" t="s">
        <v>689</v>
      </c>
      <c r="CC7" s="1663">
        <v>44317</v>
      </c>
      <c r="CD7" s="1668" t="s">
        <v>3998</v>
      </c>
      <c r="CE7" s="1672">
        <v>150</v>
      </c>
      <c r="CF7" s="1667" t="s">
        <v>689</v>
      </c>
      <c r="CG7" s="1663">
        <v>44317</v>
      </c>
      <c r="CH7" s="1668" t="s">
        <v>3998</v>
      </c>
      <c r="CI7" s="1672">
        <v>0</v>
      </c>
      <c r="CJ7" s="1667" t="s">
        <v>689</v>
      </c>
      <c r="CK7" s="1663">
        <v>44317</v>
      </c>
      <c r="CL7" s="1554" t="s">
        <v>794</v>
      </c>
      <c r="CM7" s="1557">
        <v>299</v>
      </c>
      <c r="CN7" s="1556" t="s">
        <v>689</v>
      </c>
      <c r="CO7" s="1663">
        <v>44317</v>
      </c>
      <c r="CP7" s="1554" t="s">
        <v>794</v>
      </c>
      <c r="CQ7" s="1557">
        <v>299</v>
      </c>
      <c r="CR7" s="1556" t="s">
        <v>689</v>
      </c>
    </row>
    <row r="8" spans="1:96" ht="12.75">
      <c r="A8" s="935">
        <v>37742</v>
      </c>
      <c r="B8" s="936" t="s">
        <v>413</v>
      </c>
      <c r="C8" s="950">
        <v>25</v>
      </c>
      <c r="D8" s="951">
        <v>25</v>
      </c>
      <c r="E8" s="935">
        <v>37742</v>
      </c>
      <c r="F8" s="936" t="s">
        <v>413</v>
      </c>
      <c r="G8" s="950">
        <v>25</v>
      </c>
      <c r="H8" s="951">
        <v>25</v>
      </c>
      <c r="I8" s="935">
        <v>38475</v>
      </c>
      <c r="J8" s="936" t="s">
        <v>802</v>
      </c>
      <c r="K8" s="950">
        <v>30</v>
      </c>
      <c r="L8" s="951"/>
      <c r="M8" s="935">
        <v>38838</v>
      </c>
      <c r="N8" s="936" t="s">
        <v>3999</v>
      </c>
      <c r="O8" s="950">
        <v>145</v>
      </c>
      <c r="P8" s="951"/>
      <c r="Q8" s="935">
        <v>39207</v>
      </c>
      <c r="R8" s="936" t="s">
        <v>4000</v>
      </c>
      <c r="S8" s="950">
        <v>20</v>
      </c>
      <c r="T8" s="951"/>
      <c r="U8" s="935">
        <v>39571</v>
      </c>
      <c r="V8" s="936" t="s">
        <v>937</v>
      </c>
      <c r="W8" s="950">
        <v>50</v>
      </c>
      <c r="X8" s="954"/>
      <c r="Y8" s="935">
        <v>39936</v>
      </c>
      <c r="Z8" s="936" t="s">
        <v>781</v>
      </c>
      <c r="AA8" s="950">
        <v>86</v>
      </c>
      <c r="AB8" s="951"/>
      <c r="AC8" s="935">
        <v>40299</v>
      </c>
      <c r="AD8" s="936" t="s">
        <v>765</v>
      </c>
      <c r="AE8" s="950">
        <v>30</v>
      </c>
      <c r="AF8" s="951"/>
      <c r="AG8" s="935">
        <v>40665</v>
      </c>
      <c r="AH8" s="936" t="s">
        <v>937</v>
      </c>
      <c r="AI8" s="950">
        <v>20</v>
      </c>
      <c r="AJ8" s="951"/>
      <c r="AK8" s="935">
        <v>41033</v>
      </c>
      <c r="AL8" s="936" t="s">
        <v>781</v>
      </c>
      <c r="AM8" s="937">
        <v>15</v>
      </c>
      <c r="AN8" s="938"/>
      <c r="AO8" s="935">
        <v>41398</v>
      </c>
      <c r="AP8" s="936" t="s">
        <v>4001</v>
      </c>
      <c r="AQ8" s="937">
        <v>44</v>
      </c>
      <c r="AR8" s="938"/>
      <c r="AS8" s="935">
        <v>41761</v>
      </c>
      <c r="AT8" s="936" t="s">
        <v>797</v>
      </c>
      <c r="AU8" s="937">
        <v>27</v>
      </c>
      <c r="AV8" s="938"/>
      <c r="AW8" s="935">
        <v>42127</v>
      </c>
      <c r="AX8" s="936" t="s">
        <v>4002</v>
      </c>
      <c r="AY8" s="937">
        <v>8</v>
      </c>
      <c r="AZ8" s="938"/>
      <c r="BA8" s="935">
        <v>42493</v>
      </c>
      <c r="BB8" s="936" t="s">
        <v>4003</v>
      </c>
      <c r="BC8" s="937">
        <v>17</v>
      </c>
      <c r="BD8" s="938"/>
      <c r="BE8" s="935">
        <v>42860</v>
      </c>
      <c r="BF8" s="936" t="s">
        <v>2502</v>
      </c>
      <c r="BG8" s="937">
        <v>19</v>
      </c>
      <c r="BH8" s="938"/>
      <c r="BI8" s="935">
        <v>43225</v>
      </c>
      <c r="BJ8" s="936" t="s">
        <v>872</v>
      </c>
      <c r="BK8" s="937">
        <v>17</v>
      </c>
      <c r="BL8" s="938"/>
      <c r="BM8" s="935"/>
      <c r="BN8" s="936"/>
      <c r="BO8" s="937"/>
      <c r="BP8" s="938"/>
      <c r="BQ8" s="1663">
        <v>43588</v>
      </c>
      <c r="BR8" s="1668" t="s">
        <v>2409</v>
      </c>
      <c r="BS8" s="1669">
        <v>17</v>
      </c>
      <c r="BT8" s="1667" t="s">
        <v>414</v>
      </c>
      <c r="BU8" s="1663">
        <v>43586</v>
      </c>
      <c r="BV8" s="1668" t="s">
        <v>792</v>
      </c>
      <c r="BW8" s="1673">
        <v>30</v>
      </c>
      <c r="BX8" s="1667" t="s">
        <v>689</v>
      </c>
      <c r="BY8" s="1663">
        <v>44317</v>
      </c>
      <c r="BZ8" s="1668" t="s">
        <v>4004</v>
      </c>
      <c r="CA8" s="1671">
        <v>400</v>
      </c>
      <c r="CB8" s="1667" t="s">
        <v>689</v>
      </c>
      <c r="CC8" s="1663">
        <v>44317</v>
      </c>
      <c r="CD8" s="1668" t="s">
        <v>4004</v>
      </c>
      <c r="CE8" s="1672">
        <v>400</v>
      </c>
      <c r="CF8" s="1667" t="s">
        <v>689</v>
      </c>
      <c r="CG8" s="1663">
        <v>44317</v>
      </c>
      <c r="CH8" s="1668" t="s">
        <v>4004</v>
      </c>
      <c r="CI8" s="1672">
        <v>0</v>
      </c>
      <c r="CJ8" s="1667" t="s">
        <v>689</v>
      </c>
      <c r="CK8" s="1663">
        <v>44317</v>
      </c>
      <c r="CL8" s="1554" t="s">
        <v>3040</v>
      </c>
      <c r="CM8" s="1557">
        <v>600</v>
      </c>
      <c r="CN8" s="1556" t="s">
        <v>689</v>
      </c>
      <c r="CO8" s="1663">
        <v>44317</v>
      </c>
      <c r="CP8" s="1554" t="s">
        <v>3040</v>
      </c>
      <c r="CQ8" s="1557">
        <v>600</v>
      </c>
      <c r="CR8" s="1556" t="s">
        <v>689</v>
      </c>
    </row>
    <row r="9" spans="1:96" ht="12.75">
      <c r="A9" s="935">
        <v>37742</v>
      </c>
      <c r="B9" s="945" t="s">
        <v>811</v>
      </c>
      <c r="C9" s="937"/>
      <c r="D9" s="938">
        <v>100</v>
      </c>
      <c r="E9" s="935">
        <v>37742</v>
      </c>
      <c r="F9" s="945" t="s">
        <v>811</v>
      </c>
      <c r="G9" s="937"/>
      <c r="H9" s="938">
        <v>100</v>
      </c>
      <c r="I9" s="935">
        <v>38475</v>
      </c>
      <c r="J9" s="945" t="s">
        <v>4005</v>
      </c>
      <c r="K9" s="937">
        <v>10</v>
      </c>
      <c r="L9" s="938"/>
      <c r="M9" s="935">
        <v>38838</v>
      </c>
      <c r="N9" s="945" t="s">
        <v>4006</v>
      </c>
      <c r="O9" s="937">
        <v>91</v>
      </c>
      <c r="P9" s="938"/>
      <c r="Q9" s="935">
        <v>39207</v>
      </c>
      <c r="R9" s="945" t="s">
        <v>4007</v>
      </c>
      <c r="S9" s="937">
        <v>50</v>
      </c>
      <c r="T9" s="938"/>
      <c r="U9" s="935">
        <v>39571</v>
      </c>
      <c r="V9" s="945" t="s">
        <v>767</v>
      </c>
      <c r="W9" s="937">
        <v>18</v>
      </c>
      <c r="X9" s="939"/>
      <c r="Y9" s="935">
        <v>39936</v>
      </c>
      <c r="Z9" s="945" t="s">
        <v>1459</v>
      </c>
      <c r="AA9" s="937">
        <v>12</v>
      </c>
      <c r="AB9" s="938"/>
      <c r="AC9" s="935">
        <v>40299</v>
      </c>
      <c r="AD9" s="936" t="s">
        <v>4008</v>
      </c>
      <c r="AE9" s="937">
        <v>12</v>
      </c>
      <c r="AF9" s="938"/>
      <c r="AG9" s="935">
        <v>40665</v>
      </c>
      <c r="AH9" s="936" t="s">
        <v>797</v>
      </c>
      <c r="AI9" s="937">
        <v>70</v>
      </c>
      <c r="AJ9" s="938"/>
      <c r="AK9" s="935">
        <v>41033</v>
      </c>
      <c r="AL9" s="936" t="s">
        <v>4009</v>
      </c>
      <c r="AM9" s="937">
        <v>15</v>
      </c>
      <c r="AN9" s="938"/>
      <c r="AO9" s="935">
        <v>41398</v>
      </c>
      <c r="AP9" s="936" t="s">
        <v>4010</v>
      </c>
      <c r="AQ9" s="937">
        <v>35</v>
      </c>
      <c r="AR9" s="938"/>
      <c r="AS9" s="935">
        <v>41761</v>
      </c>
      <c r="AT9" s="936" t="s">
        <v>4011</v>
      </c>
      <c r="AU9" s="937">
        <v>11</v>
      </c>
      <c r="AV9" s="938"/>
      <c r="AW9" s="935">
        <v>42131</v>
      </c>
      <c r="AX9" s="936" t="s">
        <v>2691</v>
      </c>
      <c r="AY9" s="937">
        <v>73</v>
      </c>
      <c r="AZ9" s="938"/>
      <c r="BA9" s="935">
        <v>42496</v>
      </c>
      <c r="BB9" s="936" t="s">
        <v>754</v>
      </c>
      <c r="BC9" s="937">
        <v>58</v>
      </c>
      <c r="BD9" s="938"/>
      <c r="BE9" s="935">
        <v>42860</v>
      </c>
      <c r="BF9" s="936" t="s">
        <v>4012</v>
      </c>
      <c r="BG9" s="937">
        <v>36</v>
      </c>
      <c r="BH9" s="938"/>
      <c r="BI9" s="935">
        <v>43225</v>
      </c>
      <c r="BJ9" s="936" t="s">
        <v>4013</v>
      </c>
      <c r="BK9" s="937">
        <v>5</v>
      </c>
      <c r="BL9" s="938"/>
      <c r="BM9" s="935"/>
      <c r="BN9" s="936"/>
      <c r="BO9" s="937"/>
      <c r="BP9" s="938"/>
      <c r="BQ9" s="1663">
        <v>43588</v>
      </c>
      <c r="BR9" s="1668" t="s">
        <v>797</v>
      </c>
      <c r="BS9" s="1669">
        <v>68</v>
      </c>
      <c r="BT9" s="1667" t="s">
        <v>410</v>
      </c>
      <c r="BU9" s="1663">
        <v>43586</v>
      </c>
      <c r="BV9" s="1668" t="s">
        <v>4014</v>
      </c>
      <c r="BW9" s="1673">
        <v>23</v>
      </c>
      <c r="BX9" s="1667" t="s">
        <v>414</v>
      </c>
      <c r="BY9" s="1663">
        <v>44317</v>
      </c>
      <c r="BZ9" s="1668" t="s">
        <v>872</v>
      </c>
      <c r="CA9" s="1673">
        <v>15</v>
      </c>
      <c r="CB9" s="1667" t="s">
        <v>414</v>
      </c>
      <c r="CC9" s="1663">
        <v>44317</v>
      </c>
      <c r="CD9" s="1668" t="s">
        <v>872</v>
      </c>
      <c r="CE9" s="1674">
        <v>20</v>
      </c>
      <c r="CF9" s="1667" t="s">
        <v>414</v>
      </c>
      <c r="CG9" s="1663">
        <v>45048</v>
      </c>
      <c r="CH9" s="1668" t="s">
        <v>2205</v>
      </c>
      <c r="CI9" s="1674">
        <v>40</v>
      </c>
      <c r="CJ9" s="1667" t="s">
        <v>414</v>
      </c>
      <c r="CK9" s="1663">
        <v>44317</v>
      </c>
      <c r="CL9" s="1554" t="s">
        <v>759</v>
      </c>
      <c r="CM9" s="1557">
        <v>1400</v>
      </c>
      <c r="CN9" s="1556" t="s">
        <v>689</v>
      </c>
      <c r="CO9" s="1663">
        <v>44317</v>
      </c>
      <c r="CP9" s="1554" t="s">
        <v>759</v>
      </c>
      <c r="CQ9" s="1557">
        <v>1400</v>
      </c>
      <c r="CR9" s="1556" t="s">
        <v>689</v>
      </c>
    </row>
    <row r="10" spans="1:96" ht="12.75">
      <c r="A10" s="935">
        <v>37742</v>
      </c>
      <c r="B10" s="945" t="s">
        <v>415</v>
      </c>
      <c r="C10" s="937">
        <v>33</v>
      </c>
      <c r="D10" s="938"/>
      <c r="E10" s="935">
        <v>37742</v>
      </c>
      <c r="F10" s="945" t="s">
        <v>415</v>
      </c>
      <c r="G10" s="937">
        <v>33</v>
      </c>
      <c r="H10" s="938"/>
      <c r="I10" s="935">
        <v>38476</v>
      </c>
      <c r="J10" s="945" t="s">
        <v>4015</v>
      </c>
      <c r="K10" s="937">
        <v>44</v>
      </c>
      <c r="L10" s="938"/>
      <c r="M10" s="935">
        <v>38838</v>
      </c>
      <c r="N10" s="945" t="s">
        <v>4016</v>
      </c>
      <c r="O10" s="937">
        <v>241</v>
      </c>
      <c r="P10" s="938"/>
      <c r="Q10" s="935">
        <v>39208</v>
      </c>
      <c r="R10" s="945" t="s">
        <v>965</v>
      </c>
      <c r="S10" s="937">
        <v>8</v>
      </c>
      <c r="T10" s="938"/>
      <c r="U10" s="935">
        <v>39572</v>
      </c>
      <c r="V10" s="945" t="s">
        <v>797</v>
      </c>
      <c r="W10" s="937">
        <v>58</v>
      </c>
      <c r="X10" s="939"/>
      <c r="Y10" s="935">
        <v>39937</v>
      </c>
      <c r="Z10" s="945" t="s">
        <v>4017</v>
      </c>
      <c r="AA10" s="937">
        <v>18</v>
      </c>
      <c r="AB10" s="938"/>
      <c r="AC10" s="935">
        <v>40299</v>
      </c>
      <c r="AD10" s="936" t="s">
        <v>4018</v>
      </c>
      <c r="AE10" s="937">
        <v>5</v>
      </c>
      <c r="AF10" s="938"/>
      <c r="AG10" s="935">
        <v>40670</v>
      </c>
      <c r="AH10" s="936" t="s">
        <v>4019</v>
      </c>
      <c r="AI10" s="937">
        <v>7</v>
      </c>
      <c r="AJ10" s="938"/>
      <c r="AK10" s="935">
        <v>41035</v>
      </c>
      <c r="AL10" s="936" t="s">
        <v>4020</v>
      </c>
      <c r="AM10" s="937">
        <v>22</v>
      </c>
      <c r="AN10" s="938"/>
      <c r="AO10" s="935">
        <v>41398</v>
      </c>
      <c r="AP10" s="936" t="s">
        <v>4021</v>
      </c>
      <c r="AQ10" s="937">
        <v>25</v>
      </c>
      <c r="AR10" s="938"/>
      <c r="AS10" s="935">
        <v>41761</v>
      </c>
      <c r="AT10" s="936" t="s">
        <v>4022</v>
      </c>
      <c r="AU10" s="937">
        <v>4</v>
      </c>
      <c r="AV10" s="938"/>
      <c r="AW10" s="935">
        <v>42131</v>
      </c>
      <c r="AX10" s="936" t="s">
        <v>998</v>
      </c>
      <c r="AY10" s="937">
        <v>22</v>
      </c>
      <c r="AZ10" s="938"/>
      <c r="BA10" s="935">
        <v>42496</v>
      </c>
      <c r="BB10" s="936" t="s">
        <v>772</v>
      </c>
      <c r="BC10" s="937">
        <v>8</v>
      </c>
      <c r="BD10" s="938"/>
      <c r="BE10" s="935">
        <v>42860</v>
      </c>
      <c r="BF10" s="936" t="s">
        <v>4023</v>
      </c>
      <c r="BG10" s="937">
        <v>25</v>
      </c>
      <c r="BH10" s="938"/>
      <c r="BI10" s="935">
        <v>43225</v>
      </c>
      <c r="BJ10" s="936" t="s">
        <v>797</v>
      </c>
      <c r="BK10" s="937">
        <v>57</v>
      </c>
      <c r="BL10" s="938"/>
      <c r="BM10" s="935"/>
      <c r="BN10" s="936"/>
      <c r="BO10" s="937"/>
      <c r="BP10" s="938"/>
      <c r="BQ10" s="1663">
        <v>43588</v>
      </c>
      <c r="BR10" s="1668" t="s">
        <v>1180</v>
      </c>
      <c r="BS10" s="1669">
        <v>51</v>
      </c>
      <c r="BT10" s="1667" t="s">
        <v>410</v>
      </c>
      <c r="BU10" s="1663">
        <v>43586</v>
      </c>
      <c r="BV10" s="1668" t="s">
        <v>4024</v>
      </c>
      <c r="BW10" s="1673">
        <v>15</v>
      </c>
      <c r="BX10" s="1667" t="s">
        <v>414</v>
      </c>
      <c r="BY10" s="1663">
        <v>44317</v>
      </c>
      <c r="BZ10" s="1668" t="s">
        <v>843</v>
      </c>
      <c r="CA10" s="1673">
        <v>37</v>
      </c>
      <c r="CB10" s="1667" t="s">
        <v>414</v>
      </c>
      <c r="CC10" s="1663">
        <v>44317</v>
      </c>
      <c r="CD10" s="1668" t="s">
        <v>4025</v>
      </c>
      <c r="CE10" s="1674">
        <v>31</v>
      </c>
      <c r="CF10" s="1667" t="s">
        <v>414</v>
      </c>
      <c r="CG10" s="1663">
        <v>45048</v>
      </c>
      <c r="CH10" s="1668" t="s">
        <v>4026</v>
      </c>
      <c r="CI10" s="1674">
        <v>21</v>
      </c>
      <c r="CJ10" s="1667" t="s">
        <v>280</v>
      </c>
      <c r="CK10" s="1663">
        <v>44317</v>
      </c>
      <c r="CL10" s="1554" t="s">
        <v>3056</v>
      </c>
      <c r="CM10" s="1557" t="s">
        <v>37</v>
      </c>
      <c r="CN10" s="1556" t="s">
        <v>689</v>
      </c>
      <c r="CO10" s="1663">
        <v>44317</v>
      </c>
      <c r="CP10" s="1554" t="s">
        <v>3056</v>
      </c>
      <c r="CQ10" s="1557" t="s">
        <v>37</v>
      </c>
      <c r="CR10" s="1556" t="s">
        <v>689</v>
      </c>
    </row>
    <row r="11" spans="1:96" ht="13.5">
      <c r="A11" s="935">
        <v>37742</v>
      </c>
      <c r="B11" s="945" t="s">
        <v>847</v>
      </c>
      <c r="C11" s="937">
        <v>70</v>
      </c>
      <c r="D11" s="938"/>
      <c r="E11" s="935">
        <v>37742</v>
      </c>
      <c r="F11" s="945" t="s">
        <v>847</v>
      </c>
      <c r="G11" s="937">
        <v>70</v>
      </c>
      <c r="H11" s="938"/>
      <c r="I11" s="935">
        <v>38478</v>
      </c>
      <c r="J11" s="945" t="s">
        <v>4027</v>
      </c>
      <c r="K11" s="937">
        <v>13</v>
      </c>
      <c r="L11" s="938"/>
      <c r="M11" s="935">
        <v>38838</v>
      </c>
      <c r="N11" s="945" t="s">
        <v>4028</v>
      </c>
      <c r="O11" s="937">
        <v>216</v>
      </c>
      <c r="P11" s="938"/>
      <c r="Q11" s="935">
        <v>39208</v>
      </c>
      <c r="R11" s="945" t="s">
        <v>4029</v>
      </c>
      <c r="S11" s="937">
        <v>28</v>
      </c>
      <c r="T11" s="938"/>
      <c r="U11" s="935">
        <v>39573</v>
      </c>
      <c r="V11" s="945" t="s">
        <v>4030</v>
      </c>
      <c r="W11" s="937">
        <v>30</v>
      </c>
      <c r="X11" s="939"/>
      <c r="Y11" s="935">
        <v>39937</v>
      </c>
      <c r="Z11" s="955" t="s">
        <v>4031</v>
      </c>
      <c r="AA11" s="937">
        <v>6</v>
      </c>
      <c r="AB11" s="938"/>
      <c r="AC11" s="935">
        <v>40300</v>
      </c>
      <c r="AD11" s="936" t="s">
        <v>4032</v>
      </c>
      <c r="AE11" s="937">
        <v>36</v>
      </c>
      <c r="AF11" s="938"/>
      <c r="AG11" s="935">
        <v>40670</v>
      </c>
      <c r="AH11" s="936" t="s">
        <v>781</v>
      </c>
      <c r="AI11" s="937">
        <v>87</v>
      </c>
      <c r="AJ11" s="938"/>
      <c r="AK11" s="935">
        <v>41036</v>
      </c>
      <c r="AL11" s="936" t="s">
        <v>781</v>
      </c>
      <c r="AM11" s="937">
        <v>90</v>
      </c>
      <c r="AN11" s="938"/>
      <c r="AO11" s="956" t="s">
        <v>244</v>
      </c>
      <c r="AP11" s="936" t="s">
        <v>3020</v>
      </c>
      <c r="AQ11" s="937">
        <f>SUM(AQ6:AQ10)</f>
        <v>427</v>
      </c>
      <c r="AR11" s="938"/>
      <c r="AS11" s="935">
        <v>41761</v>
      </c>
      <c r="AT11" s="936" t="s">
        <v>4033</v>
      </c>
      <c r="AU11" s="937">
        <v>5</v>
      </c>
      <c r="AV11" s="938"/>
      <c r="AW11" s="935">
        <v>42131</v>
      </c>
      <c r="AX11" s="936" t="s">
        <v>4034</v>
      </c>
      <c r="AY11" s="937"/>
      <c r="AZ11" s="938"/>
      <c r="BA11" s="935">
        <v>42497</v>
      </c>
      <c r="BB11" s="936" t="s">
        <v>954</v>
      </c>
      <c r="BC11" s="937">
        <v>28</v>
      </c>
      <c r="BD11" s="938"/>
      <c r="BE11" s="935">
        <v>42860</v>
      </c>
      <c r="BF11" s="936" t="s">
        <v>4035</v>
      </c>
      <c r="BG11" s="937">
        <v>7</v>
      </c>
      <c r="BH11" s="938"/>
      <c r="BI11" s="935">
        <v>43225</v>
      </c>
      <c r="BJ11" s="936" t="s">
        <v>4036</v>
      </c>
      <c r="BK11" s="937">
        <v>375</v>
      </c>
      <c r="BL11" s="938"/>
      <c r="BM11" s="935"/>
      <c r="BN11" s="936"/>
      <c r="BO11" s="937"/>
      <c r="BP11" s="938"/>
      <c r="BQ11" s="1663">
        <v>43588</v>
      </c>
      <c r="BR11" s="1668" t="s">
        <v>823</v>
      </c>
      <c r="BS11" s="1669">
        <v>27</v>
      </c>
      <c r="BT11" s="1667" t="s">
        <v>414</v>
      </c>
      <c r="BU11" s="1663">
        <v>43586</v>
      </c>
      <c r="BV11" s="1668" t="s">
        <v>4037</v>
      </c>
      <c r="BW11" s="1669">
        <v>40</v>
      </c>
      <c r="BX11" s="1667" t="s">
        <v>414</v>
      </c>
      <c r="BY11" s="1663">
        <v>44317</v>
      </c>
      <c r="BZ11" s="1668" t="s">
        <v>845</v>
      </c>
      <c r="CA11" s="1669">
        <v>37</v>
      </c>
      <c r="CB11" s="1667" t="s">
        <v>414</v>
      </c>
      <c r="CC11" s="1663">
        <v>44317</v>
      </c>
      <c r="CD11" s="1668" t="s">
        <v>845</v>
      </c>
      <c r="CE11" s="1672">
        <v>43</v>
      </c>
      <c r="CF11" s="1667" t="s">
        <v>414</v>
      </c>
      <c r="CG11" s="1663">
        <v>45049</v>
      </c>
      <c r="CH11" s="1668" t="s">
        <v>4038</v>
      </c>
      <c r="CI11" s="1672">
        <v>8</v>
      </c>
      <c r="CJ11" s="1667" t="s">
        <v>698</v>
      </c>
      <c r="CK11" s="1663">
        <v>45416</v>
      </c>
      <c r="CL11" s="1668" t="s">
        <v>4039</v>
      </c>
      <c r="CM11" s="1672">
        <v>16</v>
      </c>
      <c r="CN11" s="1667" t="s">
        <v>414</v>
      </c>
      <c r="CO11" s="2134">
        <v>45838</v>
      </c>
      <c r="CP11" s="2137" t="s">
        <v>4040</v>
      </c>
      <c r="CQ11" s="2123"/>
      <c r="CR11" s="2124">
        <v>-38.49</v>
      </c>
    </row>
    <row r="12" spans="1:96" ht="26.25">
      <c r="A12" s="935">
        <v>37742</v>
      </c>
      <c r="B12" s="945" t="s">
        <v>864</v>
      </c>
      <c r="C12" s="937">
        <v>30</v>
      </c>
      <c r="D12" s="938">
        <v>50</v>
      </c>
      <c r="E12" s="935">
        <v>37742</v>
      </c>
      <c r="F12" s="945" t="s">
        <v>864</v>
      </c>
      <c r="G12" s="937">
        <v>30</v>
      </c>
      <c r="H12" s="938">
        <v>50</v>
      </c>
      <c r="I12" s="935">
        <v>38478</v>
      </c>
      <c r="J12" s="945" t="s">
        <v>1157</v>
      </c>
      <c r="K12" s="937">
        <v>40</v>
      </c>
      <c r="L12" s="938"/>
      <c r="M12" s="935">
        <v>38838</v>
      </c>
      <c r="N12" s="945" t="s">
        <v>4041</v>
      </c>
      <c r="O12" s="937">
        <v>80</v>
      </c>
      <c r="P12" s="938"/>
      <c r="Q12" s="935">
        <v>39209</v>
      </c>
      <c r="R12" s="945" t="s">
        <v>4042</v>
      </c>
      <c r="S12" s="937">
        <v>53</v>
      </c>
      <c r="T12" s="938"/>
      <c r="U12" s="935">
        <v>39576</v>
      </c>
      <c r="V12" s="945" t="s">
        <v>4043</v>
      </c>
      <c r="W12" s="937">
        <v>3</v>
      </c>
      <c r="X12" s="939"/>
      <c r="Y12" s="935">
        <v>39937</v>
      </c>
      <c r="Z12" s="955" t="s">
        <v>4044</v>
      </c>
      <c r="AA12" s="937">
        <v>4</v>
      </c>
      <c r="AB12" s="938"/>
      <c r="AC12" s="935">
        <v>40300</v>
      </c>
      <c r="AD12" s="936" t="s">
        <v>765</v>
      </c>
      <c r="AE12" s="937">
        <v>36</v>
      </c>
      <c r="AF12" s="938"/>
      <c r="AG12" s="935">
        <v>40670</v>
      </c>
      <c r="AH12" s="936" t="s">
        <v>1573</v>
      </c>
      <c r="AI12" s="937">
        <v>10</v>
      </c>
      <c r="AJ12" s="938"/>
      <c r="AK12" s="935">
        <v>41036</v>
      </c>
      <c r="AL12" s="936" t="s">
        <v>754</v>
      </c>
      <c r="AM12" s="937">
        <v>50</v>
      </c>
      <c r="AN12" s="938"/>
      <c r="AO12" s="935">
        <v>41396</v>
      </c>
      <c r="AP12" s="936" t="s">
        <v>4045</v>
      </c>
      <c r="AQ12" s="937">
        <v>24</v>
      </c>
      <c r="AR12" s="938"/>
      <c r="AS12" s="935">
        <v>41762</v>
      </c>
      <c r="AT12" s="936" t="s">
        <v>890</v>
      </c>
      <c r="AU12" s="937">
        <v>40</v>
      </c>
      <c r="AV12" s="938"/>
      <c r="AW12" s="935">
        <v>42131</v>
      </c>
      <c r="AX12" s="936" t="s">
        <v>4046</v>
      </c>
      <c r="AY12" s="937">
        <v>20</v>
      </c>
      <c r="AZ12" s="938"/>
      <c r="BA12" s="935">
        <v>42497</v>
      </c>
      <c r="BB12" s="936" t="s">
        <v>4047</v>
      </c>
      <c r="BC12" s="937">
        <v>2</v>
      </c>
      <c r="BD12" s="938"/>
      <c r="BE12" s="935">
        <v>42860</v>
      </c>
      <c r="BF12" s="936" t="s">
        <v>4048</v>
      </c>
      <c r="BG12" s="937">
        <v>12</v>
      </c>
      <c r="BH12" s="938"/>
      <c r="BI12" s="935">
        <v>43225</v>
      </c>
      <c r="BJ12" s="936" t="s">
        <v>4049</v>
      </c>
      <c r="BK12" s="937">
        <v>25</v>
      </c>
      <c r="BL12" s="938"/>
      <c r="BM12" s="935"/>
      <c r="BN12" s="936"/>
      <c r="BO12" s="937"/>
      <c r="BP12" s="938"/>
      <c r="BQ12" s="1663">
        <v>43588</v>
      </c>
      <c r="BR12" s="1668" t="s">
        <v>772</v>
      </c>
      <c r="BS12" s="1669">
        <v>45</v>
      </c>
      <c r="BT12" s="1667" t="s">
        <v>414</v>
      </c>
      <c r="BU12" s="1663">
        <v>43586</v>
      </c>
      <c r="BV12" s="1668" t="s">
        <v>4050</v>
      </c>
      <c r="BW12" s="1669">
        <v>44</v>
      </c>
      <c r="BX12" s="1667" t="s">
        <v>414</v>
      </c>
      <c r="BY12" s="1663">
        <v>44317</v>
      </c>
      <c r="BZ12" s="1668" t="s">
        <v>2439</v>
      </c>
      <c r="CA12" s="1669">
        <v>26</v>
      </c>
      <c r="CB12" s="1667" t="s">
        <v>280</v>
      </c>
      <c r="CC12" s="1663">
        <v>44317</v>
      </c>
      <c r="CD12" s="1668" t="s">
        <v>4051</v>
      </c>
      <c r="CE12" s="1672">
        <v>42</v>
      </c>
      <c r="CF12" s="1667" t="s">
        <v>414</v>
      </c>
      <c r="CG12" s="1663">
        <v>45050</v>
      </c>
      <c r="CH12" s="1668" t="s">
        <v>4038</v>
      </c>
      <c r="CI12" s="1672">
        <v>4</v>
      </c>
      <c r="CJ12" s="1667" t="s">
        <v>698</v>
      </c>
      <c r="CK12" s="1663">
        <v>45416</v>
      </c>
      <c r="CL12" s="1668" t="s">
        <v>845</v>
      </c>
      <c r="CM12" s="1672">
        <v>29</v>
      </c>
      <c r="CN12" s="1667" t="s">
        <v>414</v>
      </c>
      <c r="CO12" s="2135">
        <v>45838</v>
      </c>
      <c r="CP12" s="2138" t="s">
        <v>4052</v>
      </c>
      <c r="CQ12" s="2127"/>
      <c r="CR12" s="2128">
        <v>0.03</v>
      </c>
    </row>
    <row r="13" spans="1:96" ht="26.25">
      <c r="A13" s="935">
        <v>37742</v>
      </c>
      <c r="B13" s="945" t="s">
        <v>419</v>
      </c>
      <c r="C13" s="937">
        <v>260</v>
      </c>
      <c r="D13" s="938">
        <v>20</v>
      </c>
      <c r="E13" s="935">
        <v>37742</v>
      </c>
      <c r="F13" s="945" t="s">
        <v>419</v>
      </c>
      <c r="G13" s="937">
        <v>260</v>
      </c>
      <c r="H13" s="938">
        <v>20</v>
      </c>
      <c r="I13" s="935">
        <v>38478</v>
      </c>
      <c r="J13" s="945" t="s">
        <v>4053</v>
      </c>
      <c r="K13" s="937">
        <v>10</v>
      </c>
      <c r="L13" s="938"/>
      <c r="M13" s="935">
        <v>38838</v>
      </c>
      <c r="N13" s="945" t="s">
        <v>4054</v>
      </c>
      <c r="O13" s="937">
        <v>242</v>
      </c>
      <c r="P13" s="938"/>
      <c r="Q13" s="935">
        <v>39209</v>
      </c>
      <c r="R13" s="945" t="s">
        <v>797</v>
      </c>
      <c r="S13" s="937">
        <v>47</v>
      </c>
      <c r="T13" s="938"/>
      <c r="U13" s="935">
        <v>39576</v>
      </c>
      <c r="V13" s="945" t="s">
        <v>2452</v>
      </c>
      <c r="W13" s="937">
        <v>6</v>
      </c>
      <c r="X13" s="939"/>
      <c r="Y13" s="935">
        <v>39937</v>
      </c>
      <c r="Z13" s="955" t="s">
        <v>767</v>
      </c>
      <c r="AA13" s="937">
        <v>7</v>
      </c>
      <c r="AB13" s="938"/>
      <c r="AC13" s="935">
        <v>40300</v>
      </c>
      <c r="AD13" s="936" t="s">
        <v>4055</v>
      </c>
      <c r="AE13" s="937">
        <v>25</v>
      </c>
      <c r="AF13" s="938"/>
      <c r="AG13" s="935">
        <v>40671</v>
      </c>
      <c r="AH13" s="936" t="s">
        <v>802</v>
      </c>
      <c r="AI13" s="937">
        <v>58</v>
      </c>
      <c r="AJ13" s="938"/>
      <c r="AK13" s="935">
        <v>41036</v>
      </c>
      <c r="AL13" s="936" t="s">
        <v>797</v>
      </c>
      <c r="AM13" s="937">
        <v>68</v>
      </c>
      <c r="AN13" s="938"/>
      <c r="AO13" s="935">
        <v>41398</v>
      </c>
      <c r="AP13" s="936" t="s">
        <v>772</v>
      </c>
      <c r="AQ13" s="937">
        <v>42</v>
      </c>
      <c r="AR13" s="938"/>
      <c r="AS13" s="935">
        <v>41762</v>
      </c>
      <c r="AT13" s="936" t="s">
        <v>954</v>
      </c>
      <c r="AU13" s="937">
        <v>59</v>
      </c>
      <c r="AV13" s="938"/>
      <c r="AW13" s="935">
        <v>42132</v>
      </c>
      <c r="AX13" s="936" t="s">
        <v>954</v>
      </c>
      <c r="AY13" s="937">
        <v>99</v>
      </c>
      <c r="AZ13" s="938"/>
      <c r="BA13" s="935">
        <v>42498</v>
      </c>
      <c r="BB13" s="936" t="s">
        <v>954</v>
      </c>
      <c r="BC13" s="937">
        <v>38</v>
      </c>
      <c r="BD13" s="938"/>
      <c r="BE13" s="935">
        <v>42860</v>
      </c>
      <c r="BF13" s="936" t="s">
        <v>4056</v>
      </c>
      <c r="BG13" s="937">
        <v>23</v>
      </c>
      <c r="BH13" s="938"/>
      <c r="BI13" s="935">
        <v>43225</v>
      </c>
      <c r="BJ13" s="936" t="s">
        <v>2162</v>
      </c>
      <c r="BK13" s="937">
        <v>3</v>
      </c>
      <c r="BL13" s="938"/>
      <c r="BM13" s="935"/>
      <c r="BN13" s="936"/>
      <c r="BO13" s="937"/>
      <c r="BP13" s="938"/>
      <c r="BQ13" s="1663">
        <v>43588</v>
      </c>
      <c r="BR13" s="1668" t="s">
        <v>872</v>
      </c>
      <c r="BS13" s="1669">
        <v>4</v>
      </c>
      <c r="BT13" s="1667" t="s">
        <v>414</v>
      </c>
      <c r="BU13" s="1663">
        <v>43586</v>
      </c>
      <c r="BV13" s="1668" t="s">
        <v>4057</v>
      </c>
      <c r="BW13" s="1669">
        <v>0</v>
      </c>
      <c r="BX13" s="1667" t="s">
        <v>414</v>
      </c>
      <c r="BY13" s="1663">
        <v>44323</v>
      </c>
      <c r="BZ13" s="1668" t="s">
        <v>4058</v>
      </c>
      <c r="CA13" s="1669">
        <v>52</v>
      </c>
      <c r="CB13" s="1667" t="s">
        <v>414</v>
      </c>
      <c r="CC13" s="1663">
        <v>44317</v>
      </c>
      <c r="CD13" s="1668" t="s">
        <v>4059</v>
      </c>
      <c r="CE13" s="1672">
        <v>42</v>
      </c>
      <c r="CF13" s="1667" t="s">
        <v>414</v>
      </c>
      <c r="CG13" s="1663">
        <v>45051</v>
      </c>
      <c r="CH13" s="1668" t="s">
        <v>4060</v>
      </c>
      <c r="CI13" s="1672">
        <v>20</v>
      </c>
      <c r="CJ13" s="1667" t="s">
        <v>689</v>
      </c>
      <c r="CK13" s="1663">
        <v>45416</v>
      </c>
      <c r="CL13" s="1668" t="s">
        <v>843</v>
      </c>
      <c r="CM13" s="1672">
        <v>37</v>
      </c>
      <c r="CN13" s="1667" t="s">
        <v>414</v>
      </c>
      <c r="CO13" s="2135">
        <v>45838</v>
      </c>
      <c r="CP13" s="2138" t="s">
        <v>4061</v>
      </c>
      <c r="CQ13" s="2127"/>
      <c r="CR13" s="2128">
        <v>-0.03</v>
      </c>
    </row>
    <row r="14" spans="1:96" ht="13.5">
      <c r="A14" s="935">
        <v>37742</v>
      </c>
      <c r="B14" s="945" t="s">
        <v>286</v>
      </c>
      <c r="C14" s="937">
        <v>500</v>
      </c>
      <c r="D14" s="938">
        <v>260</v>
      </c>
      <c r="E14" s="935">
        <v>37742</v>
      </c>
      <c r="F14" s="945" t="s">
        <v>286</v>
      </c>
      <c r="G14" s="937">
        <v>500</v>
      </c>
      <c r="H14" s="938">
        <v>260</v>
      </c>
      <c r="I14" s="935">
        <v>38479</v>
      </c>
      <c r="J14" s="945" t="s">
        <v>4062</v>
      </c>
      <c r="K14" s="937">
        <v>12</v>
      </c>
      <c r="L14" s="938"/>
      <c r="M14" s="935">
        <v>38838</v>
      </c>
      <c r="N14" s="945" t="s">
        <v>4063</v>
      </c>
      <c r="O14" s="937">
        <v>374</v>
      </c>
      <c r="P14" s="938"/>
      <c r="Q14" s="935">
        <v>39210</v>
      </c>
      <c r="R14" s="945" t="s">
        <v>4064</v>
      </c>
      <c r="S14" s="937">
        <v>30</v>
      </c>
      <c r="T14" s="938"/>
      <c r="U14" s="935">
        <v>39577</v>
      </c>
      <c r="V14" s="945" t="s">
        <v>4065</v>
      </c>
      <c r="W14" s="937">
        <v>11</v>
      </c>
      <c r="X14" s="939"/>
      <c r="Y14" s="935">
        <v>39938</v>
      </c>
      <c r="Z14" s="945" t="s">
        <v>2842</v>
      </c>
      <c r="AA14" s="937">
        <v>6</v>
      </c>
      <c r="AB14" s="938"/>
      <c r="AC14" s="935">
        <v>40301</v>
      </c>
      <c r="AD14" s="936" t="s">
        <v>765</v>
      </c>
      <c r="AE14" s="937">
        <v>55</v>
      </c>
      <c r="AF14" s="938"/>
      <c r="AG14" s="935">
        <v>40671</v>
      </c>
      <c r="AH14" s="936" t="s">
        <v>4066</v>
      </c>
      <c r="AI14" s="937">
        <v>20</v>
      </c>
      <c r="AJ14" s="938"/>
      <c r="AK14" s="935">
        <v>41036</v>
      </c>
      <c r="AL14" s="936" t="s">
        <v>4067</v>
      </c>
      <c r="AM14" s="937">
        <v>15</v>
      </c>
      <c r="AN14" s="938"/>
      <c r="AO14" s="935">
        <v>41398</v>
      </c>
      <c r="AP14" s="936" t="s">
        <v>754</v>
      </c>
      <c r="AQ14" s="937">
        <v>95</v>
      </c>
      <c r="AR14" s="938"/>
      <c r="AS14" s="935">
        <v>41763</v>
      </c>
      <c r="AT14" s="936" t="s">
        <v>4068</v>
      </c>
      <c r="AU14" s="937">
        <v>25</v>
      </c>
      <c r="AV14" s="938"/>
      <c r="AW14" s="935">
        <v>42132</v>
      </c>
      <c r="AX14" s="936" t="s">
        <v>962</v>
      </c>
      <c r="AY14" s="937">
        <v>40</v>
      </c>
      <c r="AZ14" s="938"/>
      <c r="BA14" s="935">
        <v>42498</v>
      </c>
      <c r="BB14" s="936" t="s">
        <v>797</v>
      </c>
      <c r="BC14" s="937">
        <v>34</v>
      </c>
      <c r="BD14" s="938"/>
      <c r="BE14" s="935">
        <v>42860</v>
      </c>
      <c r="BF14" s="936" t="s">
        <v>4069</v>
      </c>
      <c r="BG14" s="937">
        <v>20</v>
      </c>
      <c r="BH14" s="938"/>
      <c r="BI14" s="935">
        <v>43226</v>
      </c>
      <c r="BJ14" s="936" t="s">
        <v>873</v>
      </c>
      <c r="BK14" s="937">
        <v>25</v>
      </c>
      <c r="BL14" s="938"/>
      <c r="BM14" s="935"/>
      <c r="BN14" s="936"/>
      <c r="BO14" s="937"/>
      <c r="BP14" s="938"/>
      <c r="BQ14" s="1663">
        <v>43589</v>
      </c>
      <c r="BR14" s="1668" t="s">
        <v>4070</v>
      </c>
      <c r="BS14" s="1669">
        <v>18</v>
      </c>
      <c r="BT14" s="1667" t="s">
        <v>414</v>
      </c>
      <c r="BU14" s="1663">
        <v>43586</v>
      </c>
      <c r="BV14" s="1668" t="s">
        <v>4071</v>
      </c>
      <c r="BW14" s="1669">
        <v>17</v>
      </c>
      <c r="BX14" s="1667" t="s">
        <v>414</v>
      </c>
      <c r="BY14" s="1663">
        <v>44323</v>
      </c>
      <c r="BZ14" s="1668" t="s">
        <v>4072</v>
      </c>
      <c r="CA14" s="1669">
        <v>84</v>
      </c>
      <c r="CB14" s="1667" t="s">
        <v>414</v>
      </c>
      <c r="CC14" s="1663">
        <v>44317</v>
      </c>
      <c r="CD14" s="1668" t="s">
        <v>987</v>
      </c>
      <c r="CE14" s="1672">
        <v>12</v>
      </c>
      <c r="CF14" s="1667" t="s">
        <v>414</v>
      </c>
      <c r="CG14" s="1663">
        <v>45051</v>
      </c>
      <c r="CH14" s="1668" t="s">
        <v>4073</v>
      </c>
      <c r="CI14" s="1672">
        <v>13</v>
      </c>
      <c r="CJ14" s="1667" t="s">
        <v>667</v>
      </c>
      <c r="CK14" s="1663">
        <v>45416</v>
      </c>
      <c r="CL14" s="1668" t="s">
        <v>2839</v>
      </c>
      <c r="CM14" s="1672">
        <v>8</v>
      </c>
      <c r="CN14" s="1667" t="s">
        <v>414</v>
      </c>
      <c r="CO14" s="2135">
        <v>45838</v>
      </c>
      <c r="CP14" s="2138" t="s">
        <v>4074</v>
      </c>
      <c r="CQ14" s="2127"/>
      <c r="CR14" s="2128">
        <v>-9</v>
      </c>
    </row>
    <row r="15" spans="1:96" ht="13.5">
      <c r="A15" s="935">
        <v>37742</v>
      </c>
      <c r="B15" s="945" t="s">
        <v>772</v>
      </c>
      <c r="C15" s="937">
        <v>20</v>
      </c>
      <c r="D15" s="938"/>
      <c r="E15" s="935">
        <v>37742</v>
      </c>
      <c r="F15" s="945" t="s">
        <v>772</v>
      </c>
      <c r="G15" s="937">
        <v>25</v>
      </c>
      <c r="H15" s="938"/>
      <c r="I15" s="935">
        <v>38482</v>
      </c>
      <c r="J15" s="945" t="s">
        <v>802</v>
      </c>
      <c r="K15" s="937">
        <v>30</v>
      </c>
      <c r="L15" s="938"/>
      <c r="M15" s="935">
        <v>38838</v>
      </c>
      <c r="N15" s="945" t="s">
        <v>4075</v>
      </c>
      <c r="O15" s="937">
        <v>357</v>
      </c>
      <c r="P15" s="938"/>
      <c r="Q15" s="935">
        <v>39214</v>
      </c>
      <c r="R15" s="945" t="s">
        <v>1903</v>
      </c>
      <c r="S15" s="937">
        <v>80</v>
      </c>
      <c r="T15" s="938"/>
      <c r="U15" s="935">
        <v>39577</v>
      </c>
      <c r="V15" s="945" t="s">
        <v>4076</v>
      </c>
      <c r="W15" s="937">
        <v>13</v>
      </c>
      <c r="X15" s="939"/>
      <c r="Y15" s="935">
        <v>39938</v>
      </c>
      <c r="Z15" s="945" t="s">
        <v>4031</v>
      </c>
      <c r="AA15" s="937">
        <v>4</v>
      </c>
      <c r="AB15" s="938"/>
      <c r="AC15" s="935">
        <v>40301</v>
      </c>
      <c r="AD15" s="936" t="s">
        <v>4077</v>
      </c>
      <c r="AE15" s="937">
        <v>12</v>
      </c>
      <c r="AF15" s="938"/>
      <c r="AG15" s="935">
        <v>40671</v>
      </c>
      <c r="AH15" s="936" t="s">
        <v>4078</v>
      </c>
      <c r="AI15" s="937">
        <v>267</v>
      </c>
      <c r="AJ15" s="938"/>
      <c r="AK15" s="935">
        <v>41036</v>
      </c>
      <c r="AL15" s="936" t="s">
        <v>1822</v>
      </c>
      <c r="AM15" s="937">
        <v>17</v>
      </c>
      <c r="AN15" s="938"/>
      <c r="AO15" s="935">
        <v>41399</v>
      </c>
      <c r="AP15" s="936" t="s">
        <v>4079</v>
      </c>
      <c r="AQ15" s="937">
        <v>18</v>
      </c>
      <c r="AR15" s="938"/>
      <c r="AS15" s="935">
        <v>41763</v>
      </c>
      <c r="AT15" s="936" t="s">
        <v>4080</v>
      </c>
      <c r="AU15" s="937">
        <v>375</v>
      </c>
      <c r="AV15" s="938"/>
      <c r="AW15" s="935">
        <v>42132</v>
      </c>
      <c r="AX15" s="936" t="s">
        <v>4081</v>
      </c>
      <c r="AY15" s="937">
        <v>40</v>
      </c>
      <c r="AZ15" s="938"/>
      <c r="BA15" s="935">
        <v>42499</v>
      </c>
      <c r="BB15" s="936" t="s">
        <v>754</v>
      </c>
      <c r="BC15" s="937">
        <v>15</v>
      </c>
      <c r="BD15" s="938"/>
      <c r="BE15" s="935">
        <v>42861</v>
      </c>
      <c r="BF15" s="936" t="s">
        <v>4082</v>
      </c>
      <c r="BG15" s="937">
        <v>40</v>
      </c>
      <c r="BH15" s="938"/>
      <c r="BI15" s="935">
        <v>43226</v>
      </c>
      <c r="BJ15" s="936" t="s">
        <v>4083</v>
      </c>
      <c r="BK15" s="937">
        <v>73</v>
      </c>
      <c r="BL15" s="938"/>
      <c r="BM15" s="935"/>
      <c r="BN15" s="936"/>
      <c r="BO15" s="937"/>
      <c r="BP15" s="938"/>
      <c r="BQ15" s="1663">
        <v>43589</v>
      </c>
      <c r="BR15" s="1668" t="s">
        <v>4084</v>
      </c>
      <c r="BS15" s="1669">
        <v>18</v>
      </c>
      <c r="BT15" s="1667" t="s">
        <v>414</v>
      </c>
      <c r="BU15" s="1663">
        <v>43586</v>
      </c>
      <c r="BV15" s="1668" t="s">
        <v>4085</v>
      </c>
      <c r="BW15" s="1669">
        <v>10</v>
      </c>
      <c r="BX15" s="1667" t="s">
        <v>414</v>
      </c>
      <c r="BY15" s="1663">
        <v>44323</v>
      </c>
      <c r="BZ15" s="1668" t="s">
        <v>4086</v>
      </c>
      <c r="CA15" s="1669">
        <v>3</v>
      </c>
      <c r="CB15" s="1667" t="s">
        <v>414</v>
      </c>
      <c r="CC15" s="1663">
        <v>44317</v>
      </c>
      <c r="CD15" s="1668" t="s">
        <v>3428</v>
      </c>
      <c r="CE15" s="1672">
        <v>18</v>
      </c>
      <c r="CF15" s="1667" t="s">
        <v>414</v>
      </c>
      <c r="CG15" s="1663">
        <v>45051</v>
      </c>
      <c r="CH15" s="1668" t="s">
        <v>4087</v>
      </c>
      <c r="CI15" s="1672">
        <v>42</v>
      </c>
      <c r="CJ15" s="1667" t="s">
        <v>667</v>
      </c>
      <c r="CK15" s="1663">
        <v>45416</v>
      </c>
      <c r="CL15" s="1668" t="s">
        <v>4088</v>
      </c>
      <c r="CM15" s="1672">
        <v>200</v>
      </c>
      <c r="CN15" s="1667" t="s">
        <v>414</v>
      </c>
      <c r="CO15" s="2135">
        <v>45838</v>
      </c>
      <c r="CP15" s="2138" t="s">
        <v>4089</v>
      </c>
      <c r="CQ15" s="2127"/>
      <c r="CR15" s="2128">
        <v>-30.61</v>
      </c>
    </row>
    <row r="16" spans="1:96" ht="13.5">
      <c r="A16" s="935">
        <v>37743</v>
      </c>
      <c r="B16" s="945" t="s">
        <v>4090</v>
      </c>
      <c r="C16" s="937"/>
      <c r="D16" s="938">
        <v>8</v>
      </c>
      <c r="E16" s="935">
        <v>37742</v>
      </c>
      <c r="F16" s="945" t="s">
        <v>4091</v>
      </c>
      <c r="G16" s="937">
        <v>11</v>
      </c>
      <c r="H16" s="938"/>
      <c r="I16" s="935">
        <v>38485</v>
      </c>
      <c r="J16" s="945" t="s">
        <v>797</v>
      </c>
      <c r="K16" s="937">
        <v>10</v>
      </c>
      <c r="L16" s="938"/>
      <c r="M16" s="935">
        <v>38838</v>
      </c>
      <c r="N16" s="945" t="s">
        <v>4092</v>
      </c>
      <c r="O16" s="937">
        <v>78</v>
      </c>
      <c r="P16" s="938"/>
      <c r="Q16" s="935">
        <v>39214</v>
      </c>
      <c r="R16" s="945" t="s">
        <v>4093</v>
      </c>
      <c r="S16" s="937">
        <v>50</v>
      </c>
      <c r="T16" s="938"/>
      <c r="U16" s="935">
        <v>39578</v>
      </c>
      <c r="V16" s="945" t="s">
        <v>781</v>
      </c>
      <c r="W16" s="937">
        <v>20</v>
      </c>
      <c r="X16" s="939"/>
      <c r="Y16" s="935">
        <v>39939</v>
      </c>
      <c r="Z16" s="945" t="s">
        <v>797</v>
      </c>
      <c r="AA16" s="937">
        <v>32</v>
      </c>
      <c r="AB16" s="938"/>
      <c r="AC16" s="935">
        <v>40301</v>
      </c>
      <c r="AD16" s="936" t="s">
        <v>4094</v>
      </c>
      <c r="AE16" s="937">
        <v>9</v>
      </c>
      <c r="AF16" s="938"/>
      <c r="AG16" s="935">
        <v>40671</v>
      </c>
      <c r="AH16" s="936" t="s">
        <v>2644</v>
      </c>
      <c r="AI16" s="937">
        <v>30</v>
      </c>
      <c r="AJ16" s="938"/>
      <c r="AK16" s="935">
        <v>41040</v>
      </c>
      <c r="AL16" s="936" t="s">
        <v>4020</v>
      </c>
      <c r="AM16" s="937">
        <v>30</v>
      </c>
      <c r="AN16" s="938"/>
      <c r="AO16" s="935">
        <v>41400</v>
      </c>
      <c r="AP16" s="936" t="s">
        <v>4095</v>
      </c>
      <c r="AQ16" s="937">
        <v>38</v>
      </c>
      <c r="AR16" s="938"/>
      <c r="AS16" s="935">
        <v>41764</v>
      </c>
      <c r="AT16" s="936" t="s">
        <v>797</v>
      </c>
      <c r="AU16" s="937">
        <v>66</v>
      </c>
      <c r="AV16" s="938"/>
      <c r="AW16" s="935">
        <v>42132</v>
      </c>
      <c r="AX16" s="936" t="s">
        <v>979</v>
      </c>
      <c r="AY16" s="937">
        <v>12</v>
      </c>
      <c r="AZ16" s="938"/>
      <c r="BA16" s="935">
        <v>42499</v>
      </c>
      <c r="BB16" s="936" t="s">
        <v>4096</v>
      </c>
      <c r="BC16" s="937">
        <v>16</v>
      </c>
      <c r="BD16" s="938"/>
      <c r="BE16" s="935">
        <v>42861</v>
      </c>
      <c r="BF16" s="936" t="s">
        <v>4097</v>
      </c>
      <c r="BG16" s="937">
        <v>14</v>
      </c>
      <c r="BH16" s="938"/>
      <c r="BI16" s="935">
        <v>43226</v>
      </c>
      <c r="BJ16" s="936" t="s">
        <v>4098</v>
      </c>
      <c r="BK16" s="937">
        <v>50</v>
      </c>
      <c r="BL16" s="938"/>
      <c r="BM16" s="935"/>
      <c r="BN16" s="936"/>
      <c r="BO16" s="937"/>
      <c r="BP16" s="938"/>
      <c r="BQ16" s="1663">
        <v>43589</v>
      </c>
      <c r="BR16" s="1668" t="s">
        <v>4099</v>
      </c>
      <c r="BS16" s="1669">
        <v>6</v>
      </c>
      <c r="BT16" s="1667" t="s">
        <v>280</v>
      </c>
      <c r="BU16" s="1663">
        <v>43586</v>
      </c>
      <c r="BV16" s="1668" t="s">
        <v>4100</v>
      </c>
      <c r="BW16" s="1669">
        <v>6</v>
      </c>
      <c r="BX16" s="1667" t="s">
        <v>414</v>
      </c>
      <c r="BY16" s="1663">
        <v>44323</v>
      </c>
      <c r="BZ16" s="1668" t="s">
        <v>1276</v>
      </c>
      <c r="CA16" s="1669">
        <v>18</v>
      </c>
      <c r="CB16" s="1667" t="s">
        <v>414</v>
      </c>
      <c r="CC16" s="1663">
        <v>44317</v>
      </c>
      <c r="CD16" s="1668" t="s">
        <v>1033</v>
      </c>
      <c r="CE16" s="1672">
        <v>9</v>
      </c>
      <c r="CF16" s="1667" t="s">
        <v>414</v>
      </c>
      <c r="CG16" s="1663">
        <v>45052</v>
      </c>
      <c r="CH16" s="1668" t="s">
        <v>4101</v>
      </c>
      <c r="CI16" s="1672">
        <v>505</v>
      </c>
      <c r="CJ16" s="1667" t="s">
        <v>280</v>
      </c>
      <c r="CK16" s="1663">
        <v>45416</v>
      </c>
      <c r="CL16" s="1668" t="s">
        <v>4102</v>
      </c>
      <c r="CM16" s="1672">
        <v>50</v>
      </c>
      <c r="CN16" s="1667" t="s">
        <v>414</v>
      </c>
      <c r="CO16" s="2135">
        <v>45838</v>
      </c>
      <c r="CP16" s="2138" t="s">
        <v>4103</v>
      </c>
      <c r="CQ16" s="2127"/>
      <c r="CR16" s="2128">
        <v>-43.5</v>
      </c>
    </row>
    <row r="17" spans="1:96" ht="26.25">
      <c r="A17" s="935">
        <v>37744</v>
      </c>
      <c r="B17" s="945" t="s">
        <v>4104</v>
      </c>
      <c r="C17" s="937">
        <v>76</v>
      </c>
      <c r="D17" s="938"/>
      <c r="E17" s="935">
        <v>38108</v>
      </c>
      <c r="F17" s="945" t="s">
        <v>4105</v>
      </c>
      <c r="G17" s="937">
        <v>5</v>
      </c>
      <c r="H17" s="938"/>
      <c r="I17" s="935">
        <v>38486</v>
      </c>
      <c r="J17" s="945" t="s">
        <v>1156</v>
      </c>
      <c r="K17" s="937">
        <v>100</v>
      </c>
      <c r="L17" s="938"/>
      <c r="M17" s="935">
        <v>38838</v>
      </c>
      <c r="N17" s="945" t="s">
        <v>4106</v>
      </c>
      <c r="O17" s="937">
        <v>39</v>
      </c>
      <c r="P17" s="938"/>
      <c r="Q17" s="935">
        <v>39214</v>
      </c>
      <c r="R17" s="945" t="s">
        <v>772</v>
      </c>
      <c r="S17" s="937">
        <v>119</v>
      </c>
      <c r="T17" s="938"/>
      <c r="U17" s="935">
        <v>39578</v>
      </c>
      <c r="V17" s="945" t="s">
        <v>4107</v>
      </c>
      <c r="W17" s="937">
        <v>20</v>
      </c>
      <c r="X17" s="939"/>
      <c r="Y17" s="935">
        <v>39939</v>
      </c>
      <c r="Z17" s="945" t="s">
        <v>772</v>
      </c>
      <c r="AA17" s="937">
        <v>54</v>
      </c>
      <c r="AB17" s="938"/>
      <c r="AC17" s="935">
        <v>40301</v>
      </c>
      <c r="AD17" s="936" t="s">
        <v>4108</v>
      </c>
      <c r="AE17" s="937">
        <v>6</v>
      </c>
      <c r="AF17" s="938"/>
      <c r="AG17" s="935">
        <v>40673</v>
      </c>
      <c r="AH17" s="936" t="s">
        <v>797</v>
      </c>
      <c r="AI17" s="937">
        <v>68</v>
      </c>
      <c r="AJ17" s="938"/>
      <c r="AK17" s="935">
        <v>41041</v>
      </c>
      <c r="AL17" s="936" t="s">
        <v>4109</v>
      </c>
      <c r="AM17" s="937">
        <v>60</v>
      </c>
      <c r="AN17" s="938"/>
      <c r="AO17" s="935">
        <v>41400</v>
      </c>
      <c r="AP17" s="936" t="s">
        <v>4110</v>
      </c>
      <c r="AQ17" s="937">
        <v>31</v>
      </c>
      <c r="AR17" s="938"/>
      <c r="AS17" s="935">
        <v>41764</v>
      </c>
      <c r="AT17" s="936" t="s">
        <v>3997</v>
      </c>
      <c r="AU17" s="937">
        <v>19</v>
      </c>
      <c r="AV17" s="938"/>
      <c r="AW17" s="935">
        <v>42132</v>
      </c>
      <c r="AX17" s="936" t="s">
        <v>797</v>
      </c>
      <c r="AY17" s="937">
        <v>48</v>
      </c>
      <c r="AZ17" s="938"/>
      <c r="BA17" s="935">
        <v>42501</v>
      </c>
      <c r="BB17" s="936" t="s">
        <v>1303</v>
      </c>
      <c r="BC17" s="937">
        <v>13</v>
      </c>
      <c r="BD17" s="938"/>
      <c r="BE17" s="935">
        <v>42861</v>
      </c>
      <c r="BF17" s="936" t="s">
        <v>4111</v>
      </c>
      <c r="BG17" s="937">
        <v>5</v>
      </c>
      <c r="BH17" s="938"/>
      <c r="BI17" s="935">
        <v>43227</v>
      </c>
      <c r="BJ17" s="936" t="s">
        <v>4112</v>
      </c>
      <c r="BK17" s="937">
        <v>5</v>
      </c>
      <c r="BL17" s="938"/>
      <c r="BM17" s="935"/>
      <c r="BN17" s="936"/>
      <c r="BO17" s="937"/>
      <c r="BP17" s="938"/>
      <c r="BQ17" s="1663">
        <v>43589</v>
      </c>
      <c r="BR17" s="1668" t="s">
        <v>4113</v>
      </c>
      <c r="BS17" s="1669">
        <v>40</v>
      </c>
      <c r="BT17" s="1667" t="s">
        <v>667</v>
      </c>
      <c r="BU17" s="1663">
        <v>43586</v>
      </c>
      <c r="BV17" s="1668" t="s">
        <v>4114</v>
      </c>
      <c r="BW17" s="1669">
        <v>5</v>
      </c>
      <c r="BX17" s="1667" t="s">
        <v>414</v>
      </c>
      <c r="BY17" s="1663">
        <v>44323</v>
      </c>
      <c r="BZ17" s="1668" t="s">
        <v>2253</v>
      </c>
      <c r="CA17" s="1669">
        <v>29</v>
      </c>
      <c r="CB17" s="1667" t="s">
        <v>414</v>
      </c>
      <c r="CC17" s="1663">
        <v>44317</v>
      </c>
      <c r="CD17" s="1668" t="s">
        <v>4115</v>
      </c>
      <c r="CE17" s="1672">
        <v>4</v>
      </c>
      <c r="CF17" s="1667" t="s">
        <v>414</v>
      </c>
      <c r="CG17" s="1663">
        <v>45052</v>
      </c>
      <c r="CH17" s="1668" t="s">
        <v>772</v>
      </c>
      <c r="CI17" s="1672">
        <v>55</v>
      </c>
      <c r="CJ17" s="1667" t="s">
        <v>414</v>
      </c>
      <c r="CK17" s="1663">
        <v>45416</v>
      </c>
      <c r="CL17" s="1668" t="s">
        <v>971</v>
      </c>
      <c r="CM17" s="1672">
        <v>59</v>
      </c>
      <c r="CN17" s="1667" t="s">
        <v>414</v>
      </c>
      <c r="CO17" s="2135">
        <v>45838</v>
      </c>
      <c r="CP17" s="2138" t="s">
        <v>4116</v>
      </c>
      <c r="CQ17" s="2127"/>
      <c r="CR17" s="2128">
        <v>-168.08</v>
      </c>
    </row>
    <row r="18" spans="1:96" ht="26.25">
      <c r="A18" s="935">
        <v>37745</v>
      </c>
      <c r="B18" s="945" t="s">
        <v>4117</v>
      </c>
      <c r="C18" s="937">
        <v>10</v>
      </c>
      <c r="D18" s="938"/>
      <c r="E18" s="935">
        <v>38109</v>
      </c>
      <c r="F18" s="945" t="s">
        <v>2284</v>
      </c>
      <c r="G18" s="937">
        <v>49</v>
      </c>
      <c r="H18" s="938"/>
      <c r="I18" s="935">
        <v>38486</v>
      </c>
      <c r="J18" s="945" t="s">
        <v>4118</v>
      </c>
      <c r="K18" s="937">
        <v>20</v>
      </c>
      <c r="L18" s="938"/>
      <c r="M18" s="935">
        <v>38838</v>
      </c>
      <c r="N18" s="945" t="s">
        <v>4119</v>
      </c>
      <c r="O18" s="937">
        <v>28</v>
      </c>
      <c r="Q18" s="935">
        <v>39214</v>
      </c>
      <c r="R18" s="945" t="s">
        <v>4120</v>
      </c>
      <c r="S18" s="937">
        <v>17</v>
      </c>
      <c r="T18" s="938"/>
      <c r="U18" s="935">
        <v>39578</v>
      </c>
      <c r="V18" s="945" t="s">
        <v>937</v>
      </c>
      <c r="W18" s="937">
        <v>20</v>
      </c>
      <c r="X18" s="939"/>
      <c r="Y18" s="935">
        <v>39941</v>
      </c>
      <c r="Z18" s="945" t="s">
        <v>802</v>
      </c>
      <c r="AA18" s="937">
        <v>25</v>
      </c>
      <c r="AB18" s="938"/>
      <c r="AC18" s="935">
        <v>40301</v>
      </c>
      <c r="AD18" s="936" t="s">
        <v>4121</v>
      </c>
      <c r="AE18" s="937">
        <v>10</v>
      </c>
      <c r="AF18" s="938"/>
      <c r="AG18" s="935">
        <v>40673</v>
      </c>
      <c r="AH18" s="936" t="s">
        <v>960</v>
      </c>
      <c r="AI18" s="937">
        <v>1</v>
      </c>
      <c r="AJ18" s="938"/>
      <c r="AK18" s="935">
        <v>41041</v>
      </c>
      <c r="AL18" s="936" t="s">
        <v>4122</v>
      </c>
      <c r="AM18" s="937">
        <v>10</v>
      </c>
      <c r="AN18" s="938"/>
      <c r="AO18" s="935">
        <v>41400</v>
      </c>
      <c r="AP18" s="936" t="s">
        <v>4123</v>
      </c>
      <c r="AQ18" s="937">
        <v>5</v>
      </c>
      <c r="AR18" s="938"/>
      <c r="AS18" s="935">
        <v>41764</v>
      </c>
      <c r="AT18" s="936" t="s">
        <v>4124</v>
      </c>
      <c r="AU18" s="937">
        <v>100</v>
      </c>
      <c r="AV18" s="938"/>
      <c r="AW18" s="935">
        <v>42133</v>
      </c>
      <c r="AX18" s="936" t="s">
        <v>4125</v>
      </c>
      <c r="AY18" s="937">
        <v>31</v>
      </c>
      <c r="AZ18" s="938"/>
      <c r="BA18" s="935">
        <v>42501</v>
      </c>
      <c r="BB18" s="936" t="s">
        <v>998</v>
      </c>
      <c r="BC18" s="937">
        <v>18</v>
      </c>
      <c r="BD18" s="938"/>
      <c r="BE18" s="935">
        <v>42861</v>
      </c>
      <c r="BF18" s="936" t="s">
        <v>772</v>
      </c>
      <c r="BG18" s="937">
        <v>26</v>
      </c>
      <c r="BH18" s="938"/>
      <c r="BI18" s="935">
        <v>43227</v>
      </c>
      <c r="BJ18" s="936" t="s">
        <v>1429</v>
      </c>
      <c r="BK18" s="937">
        <v>8</v>
      </c>
      <c r="BL18" s="938"/>
      <c r="BM18" s="935"/>
      <c r="BN18" s="936"/>
      <c r="BO18" s="937"/>
      <c r="BP18" s="938"/>
      <c r="BQ18" s="1663">
        <v>43589</v>
      </c>
      <c r="BR18" s="1668" t="s">
        <v>4126</v>
      </c>
      <c r="BS18" s="1669">
        <v>575</v>
      </c>
      <c r="BT18" s="1667" t="s">
        <v>381</v>
      </c>
      <c r="BU18" s="1663">
        <v>43586</v>
      </c>
      <c r="BV18" s="1668" t="s">
        <v>4127</v>
      </c>
      <c r="BW18" s="1669">
        <v>4</v>
      </c>
      <c r="BX18" s="1667" t="s">
        <v>414</v>
      </c>
      <c r="BY18" s="1663">
        <v>44323</v>
      </c>
      <c r="BZ18" s="1668" t="s">
        <v>4128</v>
      </c>
      <c r="CA18" s="1669">
        <v>27</v>
      </c>
      <c r="CB18" s="1667" t="s">
        <v>414</v>
      </c>
      <c r="CC18" s="1663">
        <v>44317</v>
      </c>
      <c r="CD18" s="1668" t="s">
        <v>4129</v>
      </c>
      <c r="CE18" s="1672">
        <v>3</v>
      </c>
      <c r="CF18" s="1667" t="s">
        <v>414</v>
      </c>
      <c r="CG18" s="1663">
        <v>45052</v>
      </c>
      <c r="CH18" s="1668" t="s">
        <v>948</v>
      </c>
      <c r="CI18" s="1672">
        <v>25</v>
      </c>
      <c r="CJ18" s="1667" t="s">
        <v>414</v>
      </c>
      <c r="CK18" s="1663">
        <v>45416</v>
      </c>
      <c r="CL18" s="1668" t="s">
        <v>4130</v>
      </c>
      <c r="CM18" s="1672">
        <v>9</v>
      </c>
      <c r="CN18" s="1667" t="s">
        <v>414</v>
      </c>
      <c r="CO18" s="2135">
        <v>45838</v>
      </c>
      <c r="CP18" s="2138" t="s">
        <v>4131</v>
      </c>
      <c r="CQ18" s="2127"/>
      <c r="CR18" s="2128">
        <v>168.08</v>
      </c>
    </row>
    <row r="19" spans="1:96" ht="26.25">
      <c r="A19" s="935">
        <v>37745</v>
      </c>
      <c r="B19" s="945" t="s">
        <v>4132</v>
      </c>
      <c r="C19" s="937">
        <v>26</v>
      </c>
      <c r="D19" s="938"/>
      <c r="E19" s="935">
        <v>38109</v>
      </c>
      <c r="F19" s="945" t="s">
        <v>4133</v>
      </c>
      <c r="G19" s="937">
        <v>18</v>
      </c>
      <c r="H19" s="938"/>
      <c r="I19" s="935">
        <v>38487</v>
      </c>
      <c r="J19" s="945" t="s">
        <v>4134</v>
      </c>
      <c r="K19" s="937">
        <v>25</v>
      </c>
      <c r="L19" s="938"/>
      <c r="M19" s="957"/>
      <c r="N19" s="958" t="s">
        <v>244</v>
      </c>
      <c r="O19" s="959">
        <f>SUM(O5:O18)</f>
        <v>4035</v>
      </c>
      <c r="P19" s="960">
        <v>0</v>
      </c>
      <c r="Q19" s="935">
        <v>39214</v>
      </c>
      <c r="R19" s="945" t="s">
        <v>772</v>
      </c>
      <c r="S19" s="937">
        <v>25</v>
      </c>
      <c r="T19" s="938"/>
      <c r="U19" s="935">
        <v>39578</v>
      </c>
      <c r="V19" s="945" t="s">
        <v>4135</v>
      </c>
      <c r="W19" s="937">
        <v>1</v>
      </c>
      <c r="X19" s="939"/>
      <c r="Y19" s="935">
        <v>39941</v>
      </c>
      <c r="Z19" s="945" t="s">
        <v>4136</v>
      </c>
      <c r="AA19" s="937">
        <v>25</v>
      </c>
      <c r="AB19" s="938"/>
      <c r="AC19" s="935">
        <v>40301</v>
      </c>
      <c r="AD19" s="936" t="s">
        <v>4137</v>
      </c>
      <c r="AE19" s="937">
        <v>6</v>
      </c>
      <c r="AF19" s="938"/>
      <c r="AG19" s="935">
        <v>40673</v>
      </c>
      <c r="AH19" s="936" t="s">
        <v>2644</v>
      </c>
      <c r="AI19" s="937">
        <v>30</v>
      </c>
      <c r="AJ19" s="938"/>
      <c r="AK19" s="935">
        <v>41041</v>
      </c>
      <c r="AL19" s="936" t="s">
        <v>4138</v>
      </c>
      <c r="AM19" s="937">
        <v>10</v>
      </c>
      <c r="AN19" s="938"/>
      <c r="AO19" s="935">
        <v>41401</v>
      </c>
      <c r="AP19" s="936" t="s">
        <v>802</v>
      </c>
      <c r="AQ19" s="937">
        <v>30</v>
      </c>
      <c r="AR19" s="938"/>
      <c r="AS19" s="935">
        <v>41765</v>
      </c>
      <c r="AT19" s="936" t="s">
        <v>1052</v>
      </c>
      <c r="AU19" s="937">
        <v>18</v>
      </c>
      <c r="AV19" s="938"/>
      <c r="AW19" s="935">
        <v>42133</v>
      </c>
      <c r="AX19" s="936" t="s">
        <v>781</v>
      </c>
      <c r="AY19" s="937">
        <v>45</v>
      </c>
      <c r="AZ19" s="938"/>
      <c r="BA19" s="935">
        <v>42503</v>
      </c>
      <c r="BB19" s="936" t="s">
        <v>4139</v>
      </c>
      <c r="BC19" s="937">
        <v>12</v>
      </c>
      <c r="BD19" s="938"/>
      <c r="BE19" s="935">
        <v>42861</v>
      </c>
      <c r="BF19" s="936" t="s">
        <v>872</v>
      </c>
      <c r="BG19" s="937">
        <v>14</v>
      </c>
      <c r="BH19" s="938"/>
      <c r="BI19" s="935">
        <v>43228</v>
      </c>
      <c r="BJ19" s="936" t="s">
        <v>4140</v>
      </c>
      <c r="BK19" s="937">
        <v>12</v>
      </c>
      <c r="BL19" s="938"/>
      <c r="BM19" s="935"/>
      <c r="BN19" s="936"/>
      <c r="BO19" s="937"/>
      <c r="BP19" s="938"/>
      <c r="BQ19" s="1663">
        <v>43590</v>
      </c>
      <c r="BR19" s="1668" t="s">
        <v>823</v>
      </c>
      <c r="BS19" s="1669">
        <v>31</v>
      </c>
      <c r="BT19" s="1667" t="s">
        <v>414</v>
      </c>
      <c r="BU19" s="1663">
        <v>43586</v>
      </c>
      <c r="BV19" s="1668" t="s">
        <v>4141</v>
      </c>
      <c r="BW19" s="1669">
        <v>2</v>
      </c>
      <c r="BX19" s="1667" t="s">
        <v>414</v>
      </c>
      <c r="BY19" s="1663">
        <v>44323</v>
      </c>
      <c r="BZ19" s="1668" t="s">
        <v>1722</v>
      </c>
      <c r="CA19" s="1669">
        <v>8</v>
      </c>
      <c r="CB19" s="1667" t="s">
        <v>414</v>
      </c>
      <c r="CC19" s="1663">
        <v>44317</v>
      </c>
      <c r="CD19" s="1668" t="s">
        <v>1670</v>
      </c>
      <c r="CE19" s="1672">
        <v>31</v>
      </c>
      <c r="CF19" s="1667" t="s">
        <v>414</v>
      </c>
      <c r="CG19" s="1663">
        <v>45052</v>
      </c>
      <c r="CH19" s="1668" t="s">
        <v>4142</v>
      </c>
      <c r="CI19" s="1672">
        <v>10</v>
      </c>
      <c r="CJ19" s="1667" t="s">
        <v>278</v>
      </c>
      <c r="CK19" s="1663">
        <v>45416</v>
      </c>
      <c r="CL19" s="1668" t="s">
        <v>4143</v>
      </c>
      <c r="CM19" s="1672">
        <v>27</v>
      </c>
      <c r="CN19" s="1667" t="s">
        <v>414</v>
      </c>
      <c r="CO19" s="2135">
        <v>45838</v>
      </c>
      <c r="CP19" s="2138" t="s">
        <v>4144</v>
      </c>
      <c r="CQ19" s="2127"/>
      <c r="CR19" s="2128">
        <v>-5.27</v>
      </c>
    </row>
    <row r="20" spans="1:96" ht="13.5">
      <c r="A20" s="935">
        <v>37745</v>
      </c>
      <c r="B20" s="945" t="s">
        <v>4145</v>
      </c>
      <c r="C20" s="937">
        <v>7</v>
      </c>
      <c r="D20" s="938"/>
      <c r="E20" s="935">
        <v>38109</v>
      </c>
      <c r="F20" s="945" t="s">
        <v>4146</v>
      </c>
      <c r="G20" s="937">
        <v>300</v>
      </c>
      <c r="H20" s="938"/>
      <c r="I20" s="935">
        <v>38487</v>
      </c>
      <c r="J20" s="945" t="s">
        <v>957</v>
      </c>
      <c r="K20" s="937">
        <v>30</v>
      </c>
      <c r="L20" s="938"/>
      <c r="M20" s="935">
        <v>38838</v>
      </c>
      <c r="N20" s="945" t="s">
        <v>802</v>
      </c>
      <c r="O20" s="937">
        <v>42</v>
      </c>
      <c r="P20" s="938"/>
      <c r="Q20" s="935">
        <v>39215</v>
      </c>
      <c r="R20" s="945" t="s">
        <v>937</v>
      </c>
      <c r="S20" s="937">
        <v>50</v>
      </c>
      <c r="T20" s="938"/>
      <c r="U20" s="935">
        <v>39578</v>
      </c>
      <c r="V20" s="945" t="s">
        <v>4147</v>
      </c>
      <c r="W20" s="937">
        <v>15</v>
      </c>
      <c r="X20" s="939"/>
      <c r="Y20" s="935">
        <v>39942</v>
      </c>
      <c r="Z20" s="945" t="s">
        <v>767</v>
      </c>
      <c r="AA20" s="937">
        <v>24</v>
      </c>
      <c r="AB20" s="938"/>
      <c r="AC20" s="935">
        <v>40301</v>
      </c>
      <c r="AD20" s="936" t="s">
        <v>4148</v>
      </c>
      <c r="AE20" s="937">
        <v>16</v>
      </c>
      <c r="AF20" s="938"/>
      <c r="AG20" s="935">
        <v>40677</v>
      </c>
      <c r="AH20" s="936" t="s">
        <v>4149</v>
      </c>
      <c r="AI20" s="937"/>
      <c r="AJ20" s="938"/>
      <c r="AK20" s="935">
        <v>41041</v>
      </c>
      <c r="AL20" s="936" t="s">
        <v>4150</v>
      </c>
      <c r="AM20" s="937">
        <v>65</v>
      </c>
      <c r="AN20" s="938"/>
      <c r="AO20" s="935">
        <v>41402</v>
      </c>
      <c r="AP20" s="936" t="s">
        <v>797</v>
      </c>
      <c r="AQ20" s="937">
        <v>53</v>
      </c>
      <c r="AR20" s="938"/>
      <c r="AS20" s="935">
        <v>41765</v>
      </c>
      <c r="AT20" s="936" t="s">
        <v>802</v>
      </c>
      <c r="AU20" s="937">
        <v>33</v>
      </c>
      <c r="AV20" s="938"/>
      <c r="AW20" s="935">
        <v>42133</v>
      </c>
      <c r="AX20" s="936" t="s">
        <v>4151</v>
      </c>
      <c r="AY20" s="937">
        <v>29</v>
      </c>
      <c r="AZ20" s="938"/>
      <c r="BA20" s="935">
        <v>42504</v>
      </c>
      <c r="BB20" s="936" t="s">
        <v>867</v>
      </c>
      <c r="BC20" s="937">
        <v>33</v>
      </c>
      <c r="BD20" s="938"/>
      <c r="BE20" s="935">
        <v>42861</v>
      </c>
      <c r="BF20" s="936" t="s">
        <v>823</v>
      </c>
      <c r="BG20" s="937">
        <v>18</v>
      </c>
      <c r="BH20" s="938"/>
      <c r="BI20" s="935">
        <v>43228</v>
      </c>
      <c r="BJ20" s="936" t="s">
        <v>1688</v>
      </c>
      <c r="BK20" s="937">
        <v>2</v>
      </c>
      <c r="BL20" s="938"/>
      <c r="BM20" s="935"/>
      <c r="BN20" s="936"/>
      <c r="BO20" s="937"/>
      <c r="BP20" s="938"/>
      <c r="BQ20" s="1663">
        <v>43590</v>
      </c>
      <c r="BR20" s="1668" t="s">
        <v>4152</v>
      </c>
      <c r="BS20" s="1669">
        <v>22</v>
      </c>
      <c r="BT20" s="1667" t="s">
        <v>280</v>
      </c>
      <c r="BU20" s="1663">
        <v>43586</v>
      </c>
      <c r="BV20" s="1668" t="s">
        <v>4153</v>
      </c>
      <c r="BW20" s="1669">
        <v>51</v>
      </c>
      <c r="BX20" s="1667" t="s">
        <v>280</v>
      </c>
      <c r="BY20" s="1663">
        <v>44323</v>
      </c>
      <c r="BZ20" s="1668" t="s">
        <v>4154</v>
      </c>
      <c r="CA20" s="1669">
        <v>40</v>
      </c>
      <c r="CB20" s="1667" t="s">
        <v>280</v>
      </c>
      <c r="CC20" s="1663">
        <v>44317</v>
      </c>
      <c r="CD20" s="1668" t="s">
        <v>4155</v>
      </c>
      <c r="CE20" s="1672">
        <v>35</v>
      </c>
      <c r="CF20" s="1667" t="s">
        <v>414</v>
      </c>
      <c r="CG20" s="1663">
        <v>45052</v>
      </c>
      <c r="CH20" s="1668" t="s">
        <v>828</v>
      </c>
      <c r="CI20" s="1672">
        <v>9</v>
      </c>
      <c r="CJ20" s="1667" t="s">
        <v>414</v>
      </c>
      <c r="CK20" s="1663">
        <v>45417</v>
      </c>
      <c r="CL20" s="1668" t="s">
        <v>797</v>
      </c>
      <c r="CM20" s="1672">
        <v>75</v>
      </c>
      <c r="CN20" s="1667" t="s">
        <v>410</v>
      </c>
      <c r="CO20" s="2135">
        <v>45838</v>
      </c>
      <c r="CP20" s="2138" t="s">
        <v>4156</v>
      </c>
      <c r="CQ20" s="2127"/>
      <c r="CR20" s="2128">
        <v>5.27</v>
      </c>
    </row>
    <row r="21" spans="1:96" ht="26.25">
      <c r="A21" s="935">
        <v>37745</v>
      </c>
      <c r="B21" s="945" t="s">
        <v>4157</v>
      </c>
      <c r="C21" s="937">
        <v>81</v>
      </c>
      <c r="D21" s="938"/>
      <c r="E21" s="935">
        <v>38110</v>
      </c>
      <c r="F21" s="945" t="s">
        <v>4158</v>
      </c>
      <c r="G21" s="937">
        <v>22</v>
      </c>
      <c r="H21" s="938"/>
      <c r="I21" s="935">
        <v>38487</v>
      </c>
      <c r="J21" s="945" t="s">
        <v>937</v>
      </c>
      <c r="K21" s="937">
        <v>16</v>
      </c>
      <c r="L21" s="938"/>
      <c r="M21" s="935">
        <v>38838</v>
      </c>
      <c r="N21" s="945" t="s">
        <v>797</v>
      </c>
      <c r="O21" s="937">
        <v>48</v>
      </c>
      <c r="P21" s="938"/>
      <c r="Q21" s="935">
        <v>39215</v>
      </c>
      <c r="R21" s="945" t="s">
        <v>4159</v>
      </c>
      <c r="S21" s="937">
        <v>12</v>
      </c>
      <c r="T21" s="938"/>
      <c r="U21" s="935">
        <v>39578</v>
      </c>
      <c r="V21" s="945" t="s">
        <v>4160</v>
      </c>
      <c r="W21" s="937">
        <v>0</v>
      </c>
      <c r="X21" s="939"/>
      <c r="Y21" s="935">
        <v>39942</v>
      </c>
      <c r="Z21" s="945" t="s">
        <v>4161</v>
      </c>
      <c r="AA21" s="937">
        <v>18</v>
      </c>
      <c r="AB21" s="938"/>
      <c r="AC21" s="935">
        <v>40301</v>
      </c>
      <c r="AD21" s="936" t="s">
        <v>4162</v>
      </c>
      <c r="AE21" s="937">
        <v>108</v>
      </c>
      <c r="AF21" s="938"/>
      <c r="AG21" s="935">
        <v>40677</v>
      </c>
      <c r="AH21" s="936" t="s">
        <v>4163</v>
      </c>
      <c r="AI21" s="937">
        <v>8</v>
      </c>
      <c r="AJ21" s="938"/>
      <c r="AK21" s="935">
        <v>41041</v>
      </c>
      <c r="AL21" s="936" t="s">
        <v>802</v>
      </c>
      <c r="AM21" s="937">
        <v>40</v>
      </c>
      <c r="AN21" s="938"/>
      <c r="AO21" s="935">
        <v>41403</v>
      </c>
      <c r="AP21" s="936" t="s">
        <v>925</v>
      </c>
      <c r="AQ21" s="937">
        <v>6</v>
      </c>
      <c r="AR21" s="938"/>
      <c r="AS21" s="935">
        <v>41766</v>
      </c>
      <c r="AT21" s="936" t="s">
        <v>925</v>
      </c>
      <c r="AU21" s="937">
        <v>10</v>
      </c>
      <c r="AV21" s="938"/>
      <c r="AW21" s="935">
        <v>42133</v>
      </c>
      <c r="AX21" s="936" t="s">
        <v>4164</v>
      </c>
      <c r="AY21" s="937">
        <v>24</v>
      </c>
      <c r="AZ21" s="938"/>
      <c r="BA21" s="935">
        <v>42504</v>
      </c>
      <c r="BB21" s="936" t="s">
        <v>853</v>
      </c>
      <c r="BC21" s="937">
        <v>6</v>
      </c>
      <c r="BD21" s="938"/>
      <c r="BE21" s="935">
        <v>42861</v>
      </c>
      <c r="BF21" s="936" t="s">
        <v>4165</v>
      </c>
      <c r="BG21" s="937">
        <v>97</v>
      </c>
      <c r="BH21" s="938"/>
      <c r="BI21" s="935">
        <v>43230</v>
      </c>
      <c r="BJ21" s="936" t="s">
        <v>4166</v>
      </c>
      <c r="BK21" s="937">
        <v>26</v>
      </c>
      <c r="BL21" s="938"/>
      <c r="BM21" s="935"/>
      <c r="BN21" s="936"/>
      <c r="BO21" s="937"/>
      <c r="BP21" s="938"/>
      <c r="BQ21" s="1663">
        <v>43590</v>
      </c>
      <c r="BR21" s="1668" t="s">
        <v>4167</v>
      </c>
      <c r="BS21" s="1669">
        <v>15</v>
      </c>
      <c r="BT21" s="1667" t="s">
        <v>280</v>
      </c>
      <c r="BU21" s="1663">
        <v>43586</v>
      </c>
      <c r="BV21" s="1668" t="s">
        <v>4168</v>
      </c>
      <c r="BW21" s="1669">
        <v>18</v>
      </c>
      <c r="BX21" s="1667" t="s">
        <v>414</v>
      </c>
      <c r="BY21" s="1663">
        <v>44323</v>
      </c>
      <c r="BZ21" s="1668" t="s">
        <v>1873</v>
      </c>
      <c r="CA21" s="1669">
        <v>53</v>
      </c>
      <c r="CB21" s="1667" t="s">
        <v>414</v>
      </c>
      <c r="CC21" s="1663">
        <v>44317</v>
      </c>
      <c r="CD21" s="1668" t="s">
        <v>4169</v>
      </c>
      <c r="CE21" s="1672">
        <v>24</v>
      </c>
      <c r="CF21" s="1667" t="s">
        <v>414</v>
      </c>
      <c r="CG21" s="1663">
        <v>45052</v>
      </c>
      <c r="CH21" s="1668" t="s">
        <v>1770</v>
      </c>
      <c r="CI21" s="1672">
        <v>11</v>
      </c>
      <c r="CJ21" s="1667" t="s">
        <v>280</v>
      </c>
      <c r="CK21" s="1663">
        <v>45417</v>
      </c>
      <c r="CL21" s="1668" t="s">
        <v>1052</v>
      </c>
      <c r="CM21" s="1672">
        <v>36</v>
      </c>
      <c r="CN21" s="1667" t="s">
        <v>280</v>
      </c>
      <c r="CO21" s="2135">
        <v>45838</v>
      </c>
      <c r="CP21" s="2138" t="s">
        <v>4170</v>
      </c>
      <c r="CQ21" s="2127"/>
      <c r="CR21" s="2128">
        <v>-51.02</v>
      </c>
    </row>
    <row r="22" spans="1:96" ht="26.25">
      <c r="A22" s="935">
        <v>37745</v>
      </c>
      <c r="B22" s="945" t="s">
        <v>937</v>
      </c>
      <c r="C22" s="937">
        <v>69</v>
      </c>
      <c r="D22" s="938"/>
      <c r="E22" s="935">
        <v>38110</v>
      </c>
      <c r="F22" s="945" t="s">
        <v>797</v>
      </c>
      <c r="G22" s="937">
        <v>33</v>
      </c>
      <c r="H22" s="938"/>
      <c r="I22" s="935">
        <v>38488</v>
      </c>
      <c r="J22" s="945" t="s">
        <v>797</v>
      </c>
      <c r="K22" s="937">
        <v>35</v>
      </c>
      <c r="L22" s="938"/>
      <c r="M22" s="935">
        <v>38841</v>
      </c>
      <c r="N22" s="945" t="s">
        <v>937</v>
      </c>
      <c r="O22" s="937">
        <v>12</v>
      </c>
      <c r="P22" s="938"/>
      <c r="Q22" s="935">
        <v>39215</v>
      </c>
      <c r="R22" s="945" t="s">
        <v>4171</v>
      </c>
      <c r="S22" s="937">
        <v>12</v>
      </c>
      <c r="T22" s="938"/>
      <c r="U22" s="935">
        <v>39578</v>
      </c>
      <c r="V22" s="945" t="s">
        <v>802</v>
      </c>
      <c r="W22" s="937">
        <v>45</v>
      </c>
      <c r="X22" s="939"/>
      <c r="Y22" s="935">
        <v>39942</v>
      </c>
      <c r="Z22" s="945" t="s">
        <v>4172</v>
      </c>
      <c r="AA22" s="937">
        <v>7</v>
      </c>
      <c r="AB22" s="938"/>
      <c r="AC22" s="935"/>
      <c r="AD22" s="936" t="s">
        <v>4173</v>
      </c>
      <c r="AE22" s="937">
        <f>SUM(AE5:AE21)</f>
        <v>596</v>
      </c>
      <c r="AF22" s="938"/>
      <c r="AG22" s="935">
        <v>40677</v>
      </c>
      <c r="AH22" s="936" t="s">
        <v>4174</v>
      </c>
      <c r="AI22" s="937">
        <v>7</v>
      </c>
      <c r="AJ22" s="938"/>
      <c r="AK22" s="935">
        <v>41042</v>
      </c>
      <c r="AL22" s="936" t="s">
        <v>802</v>
      </c>
      <c r="AM22" s="937">
        <v>40</v>
      </c>
      <c r="AN22" s="938"/>
      <c r="AO22" s="935">
        <v>41404</v>
      </c>
      <c r="AP22" s="936" t="s">
        <v>4175</v>
      </c>
      <c r="AQ22" s="937">
        <v>14</v>
      </c>
      <c r="AR22" s="938"/>
      <c r="AS22" s="935">
        <v>41769</v>
      </c>
      <c r="AT22" s="936" t="s">
        <v>4176</v>
      </c>
      <c r="AU22" s="937">
        <v>14</v>
      </c>
      <c r="AV22" s="938"/>
      <c r="AW22" s="935">
        <v>42133</v>
      </c>
      <c r="AX22" s="936" t="s">
        <v>4177</v>
      </c>
      <c r="AY22" s="937">
        <v>30</v>
      </c>
      <c r="AZ22" s="938"/>
      <c r="BA22" s="935">
        <v>42504</v>
      </c>
      <c r="BB22" s="936" t="s">
        <v>754</v>
      </c>
      <c r="BC22" s="937">
        <v>93</v>
      </c>
      <c r="BD22" s="938"/>
      <c r="BE22" s="935">
        <v>42861</v>
      </c>
      <c r="BF22" s="936" t="s">
        <v>4178</v>
      </c>
      <c r="BG22" s="937">
        <v>15</v>
      </c>
      <c r="BH22" s="938"/>
      <c r="BI22" s="935">
        <v>43230</v>
      </c>
      <c r="BJ22" s="936" t="s">
        <v>4179</v>
      </c>
      <c r="BK22" s="937">
        <v>41</v>
      </c>
      <c r="BL22" s="938"/>
      <c r="BM22" s="935"/>
      <c r="BN22" s="936"/>
      <c r="BO22" s="937"/>
      <c r="BP22" s="938"/>
      <c r="BQ22" s="1663">
        <v>43590</v>
      </c>
      <c r="BR22" s="1668" t="s">
        <v>4180</v>
      </c>
      <c r="BS22" s="1669">
        <v>0</v>
      </c>
      <c r="BT22" s="1667" t="s">
        <v>280</v>
      </c>
      <c r="BU22" s="1663">
        <v>43586</v>
      </c>
      <c r="BV22" s="1668" t="s">
        <v>890</v>
      </c>
      <c r="BW22" s="1669">
        <v>27</v>
      </c>
      <c r="BX22" s="1667" t="s">
        <v>414</v>
      </c>
      <c r="BY22" s="1663">
        <v>44323</v>
      </c>
      <c r="BZ22" s="1668" t="s">
        <v>4181</v>
      </c>
      <c r="CA22" s="1669">
        <v>8</v>
      </c>
      <c r="CB22" s="1667" t="s">
        <v>414</v>
      </c>
      <c r="CC22" s="1663">
        <v>44317</v>
      </c>
      <c r="CD22" s="1668" t="s">
        <v>4182</v>
      </c>
      <c r="CE22" s="1672">
        <v>62</v>
      </c>
      <c r="CF22" s="1667" t="s">
        <v>414</v>
      </c>
      <c r="CG22" s="1663">
        <v>45052</v>
      </c>
      <c r="CH22" s="1668" t="s">
        <v>998</v>
      </c>
      <c r="CI22" s="1672" t="s">
        <v>37</v>
      </c>
      <c r="CJ22" s="1667" t="s">
        <v>414</v>
      </c>
      <c r="CK22" s="1663">
        <v>45417</v>
      </c>
      <c r="CL22" s="1668" t="s">
        <v>2253</v>
      </c>
      <c r="CM22" s="1672">
        <v>14</v>
      </c>
      <c r="CN22" s="1667" t="s">
        <v>414</v>
      </c>
      <c r="CO22" s="2135">
        <v>45838</v>
      </c>
      <c r="CP22" s="2138" t="s">
        <v>4183</v>
      </c>
      <c r="CQ22" s="2127"/>
      <c r="CR22" s="2128">
        <v>51.02</v>
      </c>
    </row>
    <row r="23" spans="1:96" ht="26.25">
      <c r="A23" s="935">
        <v>37745</v>
      </c>
      <c r="B23" s="945" t="s">
        <v>410</v>
      </c>
      <c r="C23" s="937">
        <v>23</v>
      </c>
      <c r="D23" s="938"/>
      <c r="E23" s="935">
        <v>38115</v>
      </c>
      <c r="F23" s="945" t="s">
        <v>772</v>
      </c>
      <c r="G23" s="937">
        <v>30</v>
      </c>
      <c r="H23" s="938"/>
      <c r="I23" s="935">
        <v>38491</v>
      </c>
      <c r="J23" s="945" t="s">
        <v>4184</v>
      </c>
      <c r="K23" s="937">
        <v>13</v>
      </c>
      <c r="L23" s="938"/>
      <c r="M23" s="935">
        <v>38842</v>
      </c>
      <c r="N23" s="945" t="s">
        <v>4185</v>
      </c>
      <c r="O23" s="937">
        <v>20</v>
      </c>
      <c r="P23" s="938"/>
      <c r="Q23" s="935">
        <v>39215</v>
      </c>
      <c r="R23" s="945" t="s">
        <v>4186</v>
      </c>
      <c r="S23" s="937">
        <v>8</v>
      </c>
      <c r="T23" s="938"/>
      <c r="U23" s="935">
        <v>39579</v>
      </c>
      <c r="V23" s="945" t="s">
        <v>4187</v>
      </c>
      <c r="W23" s="937">
        <v>30</v>
      </c>
      <c r="X23" s="939"/>
      <c r="Y23" s="935">
        <v>39944</v>
      </c>
      <c r="Z23" s="945" t="s">
        <v>772</v>
      </c>
      <c r="AA23" s="937">
        <v>13</v>
      </c>
      <c r="AB23" s="938"/>
      <c r="AC23" s="935">
        <v>40302</v>
      </c>
      <c r="AD23" s="936" t="s">
        <v>781</v>
      </c>
      <c r="AE23" s="937">
        <v>57</v>
      </c>
      <c r="AF23" s="938"/>
      <c r="AG23" s="935">
        <v>40677</v>
      </c>
      <c r="AH23" s="936" t="s">
        <v>1903</v>
      </c>
      <c r="AI23" s="937">
        <v>70</v>
      </c>
      <c r="AJ23" s="938"/>
      <c r="AK23" s="935">
        <v>41042</v>
      </c>
      <c r="AL23" s="936" t="s">
        <v>797</v>
      </c>
      <c r="AM23" s="937">
        <v>57</v>
      </c>
      <c r="AN23" s="938"/>
      <c r="AO23" s="935">
        <v>41404</v>
      </c>
      <c r="AP23" s="936" t="s">
        <v>802</v>
      </c>
      <c r="AQ23" s="937">
        <v>46</v>
      </c>
      <c r="AR23" s="938"/>
      <c r="AS23" s="935">
        <v>41769</v>
      </c>
      <c r="AT23" s="936" t="s">
        <v>954</v>
      </c>
      <c r="AU23" s="937">
        <v>76</v>
      </c>
      <c r="AV23" s="938"/>
      <c r="AW23" s="935">
        <v>42134</v>
      </c>
      <c r="AX23" s="936" t="s">
        <v>4188</v>
      </c>
      <c r="AY23" s="937">
        <v>20</v>
      </c>
      <c r="AZ23" s="938"/>
      <c r="BA23" s="935">
        <v>42505</v>
      </c>
      <c r="BB23" s="936" t="s">
        <v>4189</v>
      </c>
      <c r="BC23" s="937">
        <v>6</v>
      </c>
      <c r="BD23" s="938"/>
      <c r="BE23" s="935">
        <v>42861</v>
      </c>
      <c r="BF23" s="936" t="s">
        <v>797</v>
      </c>
      <c r="BG23" s="937">
        <v>51</v>
      </c>
      <c r="BH23" s="938"/>
      <c r="BI23" s="935">
        <v>43229</v>
      </c>
      <c r="BJ23" s="936" t="s">
        <v>4190</v>
      </c>
      <c r="BK23" s="937">
        <v>31</v>
      </c>
      <c r="BL23" s="938"/>
      <c r="BM23" s="935"/>
      <c r="BN23" s="936"/>
      <c r="BO23" s="937"/>
      <c r="BP23" s="938"/>
      <c r="BQ23" s="1663">
        <v>43592</v>
      </c>
      <c r="BR23" s="1668" t="s">
        <v>4191</v>
      </c>
      <c r="BS23" s="1669">
        <v>87</v>
      </c>
      <c r="BT23" s="1667" t="s">
        <v>700</v>
      </c>
      <c r="BU23" s="1663">
        <v>43586</v>
      </c>
      <c r="BV23" s="1668" t="s">
        <v>4192</v>
      </c>
      <c r="BW23" s="1669">
        <v>20</v>
      </c>
      <c r="BX23" s="1667" t="s">
        <v>284</v>
      </c>
      <c r="BY23" s="1663">
        <v>44323</v>
      </c>
      <c r="BZ23" s="1668" t="s">
        <v>4193</v>
      </c>
      <c r="CA23" s="1669">
        <v>41</v>
      </c>
      <c r="CB23" s="1667" t="s">
        <v>701</v>
      </c>
      <c r="CC23" s="1663">
        <v>44317</v>
      </c>
      <c r="CD23" s="1668" t="s">
        <v>4194</v>
      </c>
      <c r="CE23" s="1672">
        <v>0</v>
      </c>
      <c r="CF23" s="1667" t="s">
        <v>414</v>
      </c>
      <c r="CG23" s="1663">
        <v>45052</v>
      </c>
      <c r="CH23" s="1668" t="s">
        <v>1903</v>
      </c>
      <c r="CI23" s="1672">
        <v>25</v>
      </c>
      <c r="CJ23" s="1667" t="s">
        <v>700</v>
      </c>
      <c r="CK23" s="1663">
        <v>45417</v>
      </c>
      <c r="CL23" s="1668" t="s">
        <v>4195</v>
      </c>
      <c r="CM23" s="1672">
        <v>80</v>
      </c>
      <c r="CN23" s="1667" t="s">
        <v>700</v>
      </c>
      <c r="CO23" s="2135">
        <v>45838</v>
      </c>
      <c r="CP23" s="2138" t="s">
        <v>4196</v>
      </c>
      <c r="CQ23" s="2127"/>
      <c r="CR23" s="2128">
        <v>-150.41999999999999</v>
      </c>
    </row>
    <row r="24" spans="1:96" ht="13.5">
      <c r="A24" s="935">
        <v>37745</v>
      </c>
      <c r="B24" s="945" t="s">
        <v>989</v>
      </c>
      <c r="C24" s="937">
        <v>5</v>
      </c>
      <c r="D24" s="938"/>
      <c r="E24" s="935">
        <v>38115</v>
      </c>
      <c r="F24" s="945" t="s">
        <v>4197</v>
      </c>
      <c r="G24" s="937">
        <v>4</v>
      </c>
      <c r="H24" s="938"/>
      <c r="I24" s="935">
        <v>38493</v>
      </c>
      <c r="J24" s="945" t="s">
        <v>1050</v>
      </c>
      <c r="K24" s="937">
        <v>15</v>
      </c>
      <c r="L24" s="938"/>
      <c r="M24" s="935">
        <v>38843</v>
      </c>
      <c r="N24" s="945" t="s">
        <v>4198</v>
      </c>
      <c r="O24" s="937">
        <v>11</v>
      </c>
      <c r="P24" s="938"/>
      <c r="Q24" s="935">
        <v>39216</v>
      </c>
      <c r="R24" s="945" t="s">
        <v>4199</v>
      </c>
      <c r="S24" s="937">
        <v>7968</v>
      </c>
      <c r="T24" s="938"/>
      <c r="U24" s="935">
        <v>39579</v>
      </c>
      <c r="V24" s="945" t="s">
        <v>4200</v>
      </c>
      <c r="W24" s="937">
        <v>16</v>
      </c>
      <c r="X24" s="939"/>
      <c r="Y24" s="935">
        <v>39946</v>
      </c>
      <c r="Z24" s="945" t="s">
        <v>797</v>
      </c>
      <c r="AA24" s="937">
        <v>42</v>
      </c>
      <c r="AB24" s="938"/>
      <c r="AC24" s="935">
        <v>40302</v>
      </c>
      <c r="AD24" s="936" t="s">
        <v>4201</v>
      </c>
      <c r="AE24" s="937">
        <v>120</v>
      </c>
      <c r="AF24" s="938"/>
      <c r="AG24" s="935">
        <v>40678</v>
      </c>
      <c r="AH24" s="936" t="s">
        <v>1573</v>
      </c>
      <c r="AI24" s="937">
        <v>8</v>
      </c>
      <c r="AJ24" s="938"/>
      <c r="AK24" s="935">
        <v>41042</v>
      </c>
      <c r="AL24" s="936" t="s">
        <v>772</v>
      </c>
      <c r="AM24" s="937">
        <v>45</v>
      </c>
      <c r="AN24" s="938"/>
      <c r="AO24" s="935">
        <v>41404</v>
      </c>
      <c r="AP24" s="936" t="s">
        <v>4202</v>
      </c>
      <c r="AQ24" s="937">
        <v>45</v>
      </c>
      <c r="AR24" s="938"/>
      <c r="AS24" s="935">
        <v>41769</v>
      </c>
      <c r="AT24" s="936" t="s">
        <v>4203</v>
      </c>
      <c r="AU24" s="937">
        <v>20</v>
      </c>
      <c r="AV24" s="938"/>
      <c r="AW24" s="935">
        <v>42134</v>
      </c>
      <c r="AX24" s="936" t="s">
        <v>3020</v>
      </c>
      <c r="AY24" s="937">
        <f>SUM(AY25:AY31)</f>
        <v>696</v>
      </c>
      <c r="AZ24" s="938"/>
      <c r="BA24" s="935">
        <v>42505</v>
      </c>
      <c r="BB24" s="936" t="s">
        <v>781</v>
      </c>
      <c r="BC24" s="937">
        <v>12</v>
      </c>
      <c r="BD24" s="938"/>
      <c r="BE24" s="935">
        <v>42862</v>
      </c>
      <c r="BF24" s="936" t="s">
        <v>859</v>
      </c>
      <c r="BG24" s="937">
        <v>22</v>
      </c>
      <c r="BH24" s="938"/>
      <c r="BI24" s="935">
        <v>43231</v>
      </c>
      <c r="BJ24" s="936" t="s">
        <v>823</v>
      </c>
      <c r="BK24" s="937">
        <v>37</v>
      </c>
      <c r="BL24" s="938"/>
      <c r="BM24" s="935"/>
      <c r="BN24" s="936"/>
      <c r="BO24" s="937"/>
      <c r="BP24" s="938"/>
      <c r="BQ24" s="1663">
        <v>43595</v>
      </c>
      <c r="BR24" s="1668" t="s">
        <v>772</v>
      </c>
      <c r="BS24" s="1669">
        <v>10</v>
      </c>
      <c r="BT24" s="1667" t="s">
        <v>278</v>
      </c>
      <c r="BU24" s="1663">
        <v>43954</v>
      </c>
      <c r="BV24" s="1668" t="s">
        <v>872</v>
      </c>
      <c r="BW24" s="1669">
        <v>32</v>
      </c>
      <c r="BX24" s="1667" t="s">
        <v>414</v>
      </c>
      <c r="BY24" s="1663">
        <v>44323</v>
      </c>
      <c r="BZ24" s="1668" t="s">
        <v>4204</v>
      </c>
      <c r="CA24" s="1669">
        <v>7</v>
      </c>
      <c r="CB24" s="1667" t="s">
        <v>414</v>
      </c>
      <c r="CC24" s="1663">
        <v>44317</v>
      </c>
      <c r="CD24" s="1668" t="s">
        <v>4205</v>
      </c>
      <c r="CE24" s="1672">
        <v>21</v>
      </c>
      <c r="CF24" s="1667" t="s">
        <v>414</v>
      </c>
      <c r="CG24" s="1663">
        <v>45056</v>
      </c>
      <c r="CH24" s="1668" t="s">
        <v>1180</v>
      </c>
      <c r="CI24" s="1672">
        <v>102</v>
      </c>
      <c r="CJ24" s="1667" t="s">
        <v>410</v>
      </c>
      <c r="CK24" s="1663">
        <v>45417</v>
      </c>
      <c r="CL24" s="1668" t="s">
        <v>4206</v>
      </c>
      <c r="CM24" s="1672">
        <v>35</v>
      </c>
      <c r="CN24" s="1667" t="s">
        <v>280</v>
      </c>
      <c r="CO24" s="2135">
        <v>45838</v>
      </c>
      <c r="CP24" s="2138" t="s">
        <v>4207</v>
      </c>
      <c r="CQ24" s="2127"/>
      <c r="CR24" s="2128">
        <v>150.41999999999999</v>
      </c>
    </row>
    <row r="25" spans="1:96" ht="26.25">
      <c r="A25" s="935">
        <v>37746</v>
      </c>
      <c r="B25" s="945" t="s">
        <v>937</v>
      </c>
      <c r="C25" s="937">
        <v>10</v>
      </c>
      <c r="D25" s="938"/>
      <c r="E25" s="935">
        <v>38115</v>
      </c>
      <c r="F25" s="945" t="s">
        <v>4208</v>
      </c>
      <c r="G25" s="937">
        <v>145</v>
      </c>
      <c r="H25" s="938"/>
      <c r="I25" s="935">
        <v>38493</v>
      </c>
      <c r="J25" s="945" t="s">
        <v>1157</v>
      </c>
      <c r="K25" s="937">
        <v>26</v>
      </c>
      <c r="L25" s="938"/>
      <c r="M25" s="935">
        <v>38843</v>
      </c>
      <c r="N25" s="945" t="s">
        <v>4209</v>
      </c>
      <c r="O25" s="937">
        <v>9</v>
      </c>
      <c r="P25" s="938"/>
      <c r="Q25" s="935">
        <v>39216</v>
      </c>
      <c r="R25" s="945" t="s">
        <v>4210</v>
      </c>
      <c r="S25" s="937">
        <v>3273</v>
      </c>
      <c r="T25" s="938"/>
      <c r="U25" s="935">
        <v>39579</v>
      </c>
      <c r="V25" s="945" t="s">
        <v>4211</v>
      </c>
      <c r="W25" s="937">
        <v>7</v>
      </c>
      <c r="X25" s="939"/>
      <c r="Y25" s="935">
        <v>39946</v>
      </c>
      <c r="Z25" s="945" t="s">
        <v>1459</v>
      </c>
      <c r="AA25" s="937">
        <v>15</v>
      </c>
      <c r="AB25" s="938"/>
      <c r="AC25" s="935">
        <v>40303</v>
      </c>
      <c r="AD25" s="936" t="s">
        <v>4212</v>
      </c>
      <c r="AE25" s="937">
        <v>15</v>
      </c>
      <c r="AF25" s="938"/>
      <c r="AG25" s="935">
        <v>40678</v>
      </c>
      <c r="AH25" s="936" t="s">
        <v>1459</v>
      </c>
      <c r="AI25" s="937">
        <v>9</v>
      </c>
      <c r="AJ25" s="938"/>
      <c r="AK25" s="935">
        <v>41042</v>
      </c>
      <c r="AL25" s="936" t="s">
        <v>754</v>
      </c>
      <c r="AM25" s="937">
        <v>50</v>
      </c>
      <c r="AN25" s="938"/>
      <c r="AO25" s="935">
        <v>41404</v>
      </c>
      <c r="AP25" s="936" t="s">
        <v>754</v>
      </c>
      <c r="AQ25" s="937">
        <v>104</v>
      </c>
      <c r="AR25" s="938"/>
      <c r="AS25" s="935">
        <v>41769</v>
      </c>
      <c r="AT25" s="936" t="s">
        <v>979</v>
      </c>
      <c r="AU25" s="937">
        <v>27</v>
      </c>
      <c r="AV25" s="938"/>
      <c r="AW25" s="935">
        <v>42134</v>
      </c>
      <c r="AX25" s="936" t="s">
        <v>4213</v>
      </c>
      <c r="AY25" s="937">
        <v>505</v>
      </c>
      <c r="AZ25" s="938"/>
      <c r="BA25" s="935">
        <v>42505</v>
      </c>
      <c r="BB25" s="936" t="s">
        <v>1770</v>
      </c>
      <c r="BC25" s="937">
        <v>5</v>
      </c>
      <c r="BD25" s="938"/>
      <c r="BE25" s="935">
        <v>42862</v>
      </c>
      <c r="BF25" s="936" t="s">
        <v>4214</v>
      </c>
      <c r="BG25" s="937">
        <v>22</v>
      </c>
      <c r="BH25" s="938"/>
      <c r="BI25" s="935">
        <v>43231</v>
      </c>
      <c r="BJ25" s="936" t="s">
        <v>872</v>
      </c>
      <c r="BK25" s="937">
        <v>38</v>
      </c>
      <c r="BL25" s="938"/>
      <c r="BM25" s="935"/>
      <c r="BN25" s="936"/>
      <c r="BO25" s="937"/>
      <c r="BP25" s="938"/>
      <c r="BQ25" s="1663">
        <v>43596</v>
      </c>
      <c r="BR25" s="1668" t="s">
        <v>823</v>
      </c>
      <c r="BS25" s="1669">
        <v>36</v>
      </c>
      <c r="BT25" s="1667" t="s">
        <v>414</v>
      </c>
      <c r="BU25" s="1663">
        <v>43954</v>
      </c>
      <c r="BV25" s="1668" t="s">
        <v>772</v>
      </c>
      <c r="BW25" s="1669">
        <v>33</v>
      </c>
      <c r="BX25" s="1667" t="s">
        <v>414</v>
      </c>
      <c r="BY25" s="1663">
        <v>44323</v>
      </c>
      <c r="BZ25" s="1668" t="s">
        <v>4215</v>
      </c>
      <c r="CA25" s="1669">
        <v>16</v>
      </c>
      <c r="CB25" s="1667" t="s">
        <v>280</v>
      </c>
      <c r="CC25" s="1663">
        <v>44317</v>
      </c>
      <c r="CD25" s="1668" t="s">
        <v>4216</v>
      </c>
      <c r="CE25" s="1672">
        <v>57</v>
      </c>
      <c r="CF25" s="1667" t="s">
        <v>693</v>
      </c>
      <c r="CG25" s="1663">
        <v>45056</v>
      </c>
      <c r="CH25" s="1668" t="s">
        <v>797</v>
      </c>
      <c r="CI25" s="1672">
        <v>77</v>
      </c>
      <c r="CJ25" s="1667" t="s">
        <v>410</v>
      </c>
      <c r="CK25" s="1663">
        <v>45422</v>
      </c>
      <c r="CL25" s="1668" t="s">
        <v>845</v>
      </c>
      <c r="CM25" s="1672">
        <v>47</v>
      </c>
      <c r="CN25" s="1667" t="s">
        <v>414</v>
      </c>
      <c r="CO25" s="2135">
        <v>45838</v>
      </c>
      <c r="CP25" s="2138" t="s">
        <v>4217</v>
      </c>
      <c r="CQ25" s="2127"/>
      <c r="CR25" s="2128">
        <v>-2229.36</v>
      </c>
    </row>
    <row r="26" spans="1:96" ht="26.25">
      <c r="A26" s="935">
        <v>37749</v>
      </c>
      <c r="B26" s="945" t="s">
        <v>4218</v>
      </c>
      <c r="C26" s="937"/>
      <c r="D26" s="938">
        <v>4</v>
      </c>
      <c r="E26" s="935">
        <v>38116</v>
      </c>
      <c r="F26" s="945" t="s">
        <v>772</v>
      </c>
      <c r="G26" s="937">
        <v>16</v>
      </c>
      <c r="H26" s="938"/>
      <c r="I26" s="935">
        <v>38496</v>
      </c>
      <c r="J26" s="945" t="s">
        <v>802</v>
      </c>
      <c r="K26" s="937">
        <v>30</v>
      </c>
      <c r="L26" s="938"/>
      <c r="M26" s="935">
        <v>38844</v>
      </c>
      <c r="N26" s="945" t="s">
        <v>4219</v>
      </c>
      <c r="O26" s="937">
        <v>19</v>
      </c>
      <c r="P26" s="938"/>
      <c r="Q26" s="935">
        <v>39216</v>
      </c>
      <c r="R26" s="945" t="s">
        <v>4220</v>
      </c>
      <c r="S26" s="937">
        <v>3273</v>
      </c>
      <c r="T26" s="938"/>
      <c r="U26" s="935">
        <v>39579</v>
      </c>
      <c r="V26" s="945" t="s">
        <v>797</v>
      </c>
      <c r="W26" s="937">
        <v>55</v>
      </c>
      <c r="X26" s="939"/>
      <c r="Y26" s="935">
        <v>39949</v>
      </c>
      <c r="Z26" s="945" t="s">
        <v>781</v>
      </c>
      <c r="AA26" s="937">
        <v>82</v>
      </c>
      <c r="AB26" s="938"/>
      <c r="AC26" s="935">
        <v>40303</v>
      </c>
      <c r="AD26" s="936" t="s">
        <v>4221</v>
      </c>
      <c r="AE26" s="937">
        <v>515</v>
      </c>
      <c r="AF26" s="938"/>
      <c r="AG26" s="935">
        <v>40678</v>
      </c>
      <c r="AH26" s="936" t="s">
        <v>781</v>
      </c>
      <c r="AI26" s="937">
        <v>60</v>
      </c>
      <c r="AJ26" s="938"/>
      <c r="AK26" s="935">
        <v>41042</v>
      </c>
      <c r="AL26" s="936" t="s">
        <v>4222</v>
      </c>
      <c r="AM26" s="937">
        <v>25</v>
      </c>
      <c r="AN26" s="938"/>
      <c r="AO26" s="935">
        <v>41405</v>
      </c>
      <c r="AP26" s="936" t="s">
        <v>781</v>
      </c>
      <c r="AQ26" s="937">
        <v>55</v>
      </c>
      <c r="AR26" s="938"/>
      <c r="AS26" s="935">
        <v>41769</v>
      </c>
      <c r="AT26" s="936" t="s">
        <v>4223</v>
      </c>
      <c r="AU26" s="937">
        <v>19</v>
      </c>
      <c r="AV26" s="938"/>
      <c r="AW26" s="935">
        <v>42134</v>
      </c>
      <c r="AX26" s="936" t="s">
        <v>4224</v>
      </c>
      <c r="AY26" s="937">
        <v>47</v>
      </c>
      <c r="AZ26" s="938"/>
      <c r="BA26" s="935">
        <v>42507</v>
      </c>
      <c r="BB26" s="936" t="s">
        <v>797</v>
      </c>
      <c r="BC26" s="937">
        <v>36</v>
      </c>
      <c r="BD26" s="938"/>
      <c r="BE26" s="935">
        <v>42862</v>
      </c>
      <c r="BF26" s="936" t="s">
        <v>4225</v>
      </c>
      <c r="BG26" s="937">
        <v>15</v>
      </c>
      <c r="BH26" s="938"/>
      <c r="BI26" s="935">
        <v>43232</v>
      </c>
      <c r="BJ26" s="936" t="s">
        <v>859</v>
      </c>
      <c r="BK26" s="937">
        <v>11</v>
      </c>
      <c r="BL26" s="938"/>
      <c r="BM26" s="935"/>
      <c r="BN26" s="936"/>
      <c r="BO26" s="937"/>
      <c r="BP26" s="938"/>
      <c r="BQ26" s="1663">
        <v>43596</v>
      </c>
      <c r="BR26" s="1668" t="s">
        <v>4070</v>
      </c>
      <c r="BS26" s="1669">
        <v>25</v>
      </c>
      <c r="BT26" s="1667" t="s">
        <v>414</v>
      </c>
      <c r="BU26" s="1663">
        <v>43954</v>
      </c>
      <c r="BV26" s="1668" t="s">
        <v>843</v>
      </c>
      <c r="BW26" s="1669">
        <v>73</v>
      </c>
      <c r="BX26" s="1667" t="s">
        <v>414</v>
      </c>
      <c r="BY26" s="1663">
        <v>44323</v>
      </c>
      <c r="BZ26" s="1668" t="s">
        <v>4226</v>
      </c>
      <c r="CA26" s="1669">
        <v>13</v>
      </c>
      <c r="CB26" s="1667" t="s">
        <v>280</v>
      </c>
      <c r="CC26" s="1663">
        <v>44317</v>
      </c>
      <c r="CD26" s="1668" t="s">
        <v>4227</v>
      </c>
      <c r="CE26" s="1672">
        <v>19</v>
      </c>
      <c r="CF26" s="1667" t="s">
        <v>693</v>
      </c>
      <c r="CG26" s="1663">
        <v>45056</v>
      </c>
      <c r="CH26" s="1668" t="s">
        <v>2439</v>
      </c>
      <c r="CI26" s="1672">
        <v>35</v>
      </c>
      <c r="CJ26" s="1667" t="s">
        <v>280</v>
      </c>
      <c r="CK26" s="1663">
        <v>45423</v>
      </c>
      <c r="CL26" s="1668" t="s">
        <v>843</v>
      </c>
      <c r="CM26" s="1672">
        <v>27</v>
      </c>
      <c r="CN26" s="1667" t="s">
        <v>414</v>
      </c>
      <c r="CO26" s="2135">
        <v>45838</v>
      </c>
      <c r="CP26" s="2138" t="s">
        <v>4228</v>
      </c>
      <c r="CQ26" s="2127"/>
      <c r="CR26" s="2128">
        <v>2229.36</v>
      </c>
    </row>
    <row r="27" spans="1:96" ht="13.5">
      <c r="A27" s="935">
        <v>37751</v>
      </c>
      <c r="B27" s="945" t="s">
        <v>4218</v>
      </c>
      <c r="C27" s="937">
        <v>14</v>
      </c>
      <c r="D27" s="938"/>
      <c r="E27" s="935">
        <v>38116</v>
      </c>
      <c r="F27" s="945" t="s">
        <v>2284</v>
      </c>
      <c r="G27" s="937">
        <v>34</v>
      </c>
      <c r="H27" s="938"/>
      <c r="I27" s="935">
        <v>38496</v>
      </c>
      <c r="J27" s="945" t="s">
        <v>849</v>
      </c>
      <c r="K27" s="937">
        <v>20</v>
      </c>
      <c r="L27" s="938"/>
      <c r="M27" s="935">
        <v>38844</v>
      </c>
      <c r="N27" s="945" t="s">
        <v>4229</v>
      </c>
      <c r="O27" s="937">
        <v>7</v>
      </c>
      <c r="P27" s="938"/>
      <c r="Q27" s="935">
        <v>39216</v>
      </c>
      <c r="R27" s="945" t="s">
        <v>772</v>
      </c>
      <c r="S27" s="937">
        <v>20</v>
      </c>
      <c r="T27" s="938"/>
      <c r="U27" s="935">
        <v>39581</v>
      </c>
      <c r="V27" s="945" t="s">
        <v>886</v>
      </c>
      <c r="W27" s="937">
        <v>30</v>
      </c>
      <c r="X27" s="939"/>
      <c r="Y27" s="935">
        <v>39949</v>
      </c>
      <c r="Z27" s="945" t="s">
        <v>4230</v>
      </c>
      <c r="AA27" s="937">
        <v>80</v>
      </c>
      <c r="AB27" s="938"/>
      <c r="AC27" s="935">
        <v>40305</v>
      </c>
      <c r="AD27" s="936" t="s">
        <v>886</v>
      </c>
      <c r="AE27" s="937">
        <v>15</v>
      </c>
      <c r="AF27" s="938"/>
      <c r="AG27" s="935">
        <v>40679</v>
      </c>
      <c r="AH27" s="936" t="s">
        <v>937</v>
      </c>
      <c r="AI27" s="937">
        <v>12</v>
      </c>
      <c r="AJ27" s="938"/>
      <c r="AK27" s="935">
        <v>41048</v>
      </c>
      <c r="AL27" s="936" t="s">
        <v>4231</v>
      </c>
      <c r="AM27" s="937">
        <v>10</v>
      </c>
      <c r="AN27" s="938"/>
      <c r="AO27" s="935">
        <v>41405</v>
      </c>
      <c r="AP27" s="936" t="s">
        <v>1052</v>
      </c>
      <c r="AQ27" s="937">
        <v>19</v>
      </c>
      <c r="AR27" s="938"/>
      <c r="AS27" s="935">
        <v>41769</v>
      </c>
      <c r="AT27" s="936" t="s">
        <v>4232</v>
      </c>
      <c r="AU27" s="937">
        <v>8</v>
      </c>
      <c r="AV27" s="938"/>
      <c r="AW27" s="935">
        <v>42134</v>
      </c>
      <c r="AX27" s="936" t="s">
        <v>4233</v>
      </c>
      <c r="AY27" s="937">
        <v>70</v>
      </c>
      <c r="AZ27" s="938"/>
      <c r="BA27" s="935">
        <v>42508</v>
      </c>
      <c r="BB27" s="936" t="s">
        <v>802</v>
      </c>
      <c r="BC27" s="937">
        <v>39</v>
      </c>
      <c r="BD27" s="938"/>
      <c r="BE27" s="935">
        <v>42862</v>
      </c>
      <c r="BF27" s="936" t="s">
        <v>781</v>
      </c>
      <c r="BG27" s="937">
        <v>18</v>
      </c>
      <c r="BH27" s="938"/>
      <c r="BI27" s="935">
        <v>43232</v>
      </c>
      <c r="BJ27" s="936" t="s">
        <v>1427</v>
      </c>
      <c r="BK27" s="937">
        <v>12</v>
      </c>
      <c r="BL27" s="938"/>
      <c r="BM27" s="935"/>
      <c r="BN27" s="936"/>
      <c r="BO27" s="937"/>
      <c r="BP27" s="938"/>
      <c r="BQ27" s="1663">
        <v>43596</v>
      </c>
      <c r="BR27" s="1668" t="s">
        <v>1180</v>
      </c>
      <c r="BS27" s="1669">
        <v>67</v>
      </c>
      <c r="BT27" s="1667" t="s">
        <v>410</v>
      </c>
      <c r="BU27" s="1663">
        <v>43954</v>
      </c>
      <c r="BV27" s="1668" t="s">
        <v>4234</v>
      </c>
      <c r="BW27" s="1669">
        <v>6</v>
      </c>
      <c r="BX27" s="1667" t="s">
        <v>414</v>
      </c>
      <c r="BY27" s="1663">
        <v>44323</v>
      </c>
      <c r="BZ27" s="1668" t="s">
        <v>4235</v>
      </c>
      <c r="CA27" s="1669">
        <v>9</v>
      </c>
      <c r="CB27" s="1667" t="s">
        <v>701</v>
      </c>
      <c r="CC27" s="1663">
        <v>44317</v>
      </c>
      <c r="CD27" s="1668" t="s">
        <v>4236</v>
      </c>
      <c r="CE27" s="1672">
        <v>8</v>
      </c>
      <c r="CF27" s="1667" t="s">
        <v>278</v>
      </c>
      <c r="CG27" s="1663">
        <v>45056</v>
      </c>
      <c r="CH27" s="1668" t="s">
        <v>2981</v>
      </c>
      <c r="CI27" s="1672">
        <v>35</v>
      </c>
      <c r="CJ27" s="1667" t="s">
        <v>700</v>
      </c>
      <c r="CK27" s="1663">
        <v>45423</v>
      </c>
      <c r="CL27" s="1668" t="s">
        <v>772</v>
      </c>
      <c r="CM27" s="1672">
        <v>36</v>
      </c>
      <c r="CN27" s="1667" t="s">
        <v>414</v>
      </c>
      <c r="CO27" s="2135">
        <v>45838</v>
      </c>
      <c r="CP27" s="2138" t="s">
        <v>4237</v>
      </c>
      <c r="CQ27" s="2127"/>
      <c r="CR27" s="2128">
        <v>103.7</v>
      </c>
    </row>
    <row r="28" spans="1:96" ht="26.25">
      <c r="A28" s="935">
        <v>37751</v>
      </c>
      <c r="B28" s="945" t="s">
        <v>4238</v>
      </c>
      <c r="C28" s="937">
        <v>29</v>
      </c>
      <c r="D28" s="938"/>
      <c r="E28" s="935">
        <v>38116</v>
      </c>
      <c r="F28" s="945" t="s">
        <v>797</v>
      </c>
      <c r="G28" s="937">
        <v>31</v>
      </c>
      <c r="H28" s="938"/>
      <c r="I28" s="935">
        <v>38500</v>
      </c>
      <c r="J28" s="945" t="s">
        <v>4239</v>
      </c>
      <c r="K28" s="937">
        <v>9</v>
      </c>
      <c r="L28" s="938"/>
      <c r="M28" s="935">
        <v>38844</v>
      </c>
      <c r="N28" s="945" t="s">
        <v>4240</v>
      </c>
      <c r="O28" s="937">
        <v>0</v>
      </c>
      <c r="P28" s="938"/>
      <c r="Q28" s="935">
        <v>39216</v>
      </c>
      <c r="R28" s="945" t="s">
        <v>797</v>
      </c>
      <c r="S28" s="937">
        <v>52</v>
      </c>
      <c r="T28" s="938"/>
      <c r="U28" s="935">
        <v>39582</v>
      </c>
      <c r="V28" s="945" t="s">
        <v>4241</v>
      </c>
      <c r="W28" s="937">
        <v>7</v>
      </c>
      <c r="X28" s="939"/>
      <c r="Y28" s="935">
        <v>39950</v>
      </c>
      <c r="Z28" s="945" t="s">
        <v>4136</v>
      </c>
      <c r="AA28" s="937">
        <v>25</v>
      </c>
      <c r="AB28" s="938"/>
      <c r="AC28" s="935">
        <v>40305</v>
      </c>
      <c r="AD28" s="936" t="s">
        <v>797</v>
      </c>
      <c r="AE28" s="937">
        <v>30</v>
      </c>
      <c r="AF28" s="938"/>
      <c r="AG28" s="935">
        <v>40679</v>
      </c>
      <c r="AH28" s="936" t="s">
        <v>4242</v>
      </c>
      <c r="AI28" s="937">
        <v>76</v>
      </c>
      <c r="AJ28" s="938"/>
      <c r="AK28" s="935">
        <v>41048</v>
      </c>
      <c r="AL28" s="936" t="s">
        <v>754</v>
      </c>
      <c r="AM28" s="937">
        <v>75</v>
      </c>
      <c r="AN28" s="938"/>
      <c r="AO28" s="935">
        <v>41405</v>
      </c>
      <c r="AP28" s="936" t="s">
        <v>4243</v>
      </c>
      <c r="AQ28" s="937">
        <v>5</v>
      </c>
      <c r="AR28" s="938"/>
      <c r="AS28" s="935">
        <v>41769</v>
      </c>
      <c r="AT28" s="936" t="s">
        <v>802</v>
      </c>
      <c r="AU28" s="937">
        <v>47</v>
      </c>
      <c r="AV28" s="938"/>
      <c r="AW28" s="935">
        <v>42134</v>
      </c>
      <c r="AX28" s="936" t="s">
        <v>2760</v>
      </c>
      <c r="AY28" s="937">
        <v>13</v>
      </c>
      <c r="AZ28" s="938"/>
      <c r="BA28" s="935">
        <v>42508</v>
      </c>
      <c r="BB28" s="936" t="s">
        <v>998</v>
      </c>
      <c r="BC28" s="937">
        <v>54</v>
      </c>
      <c r="BD28" s="938"/>
      <c r="BE28" s="935">
        <v>42862</v>
      </c>
      <c r="BF28" s="936" t="s">
        <v>787</v>
      </c>
      <c r="BG28" s="937">
        <v>9</v>
      </c>
      <c r="BH28" s="938"/>
      <c r="BI28" s="935">
        <v>43233</v>
      </c>
      <c r="BJ28" s="936" t="s">
        <v>4244</v>
      </c>
      <c r="BK28" s="937"/>
      <c r="BL28" s="938"/>
      <c r="BM28" s="935"/>
      <c r="BN28" s="936"/>
      <c r="BO28" s="937"/>
      <c r="BP28" s="938"/>
      <c r="BQ28" s="1663">
        <v>43596</v>
      </c>
      <c r="BR28" s="1668" t="s">
        <v>4245</v>
      </c>
      <c r="BS28" s="1669">
        <v>20</v>
      </c>
      <c r="BT28" s="1667" t="s">
        <v>381</v>
      </c>
      <c r="BU28" s="1663">
        <v>43955</v>
      </c>
      <c r="BV28" s="1668" t="s">
        <v>4246</v>
      </c>
      <c r="BW28" s="1669">
        <v>24</v>
      </c>
      <c r="BX28" s="1667" t="s">
        <v>280</v>
      </c>
      <c r="BY28" s="1663">
        <v>44324</v>
      </c>
      <c r="BZ28" s="1668" t="s">
        <v>843</v>
      </c>
      <c r="CA28" s="1669">
        <v>51</v>
      </c>
      <c r="CB28" s="1667" t="s">
        <v>414</v>
      </c>
      <c r="CC28" s="1663">
        <v>44317</v>
      </c>
      <c r="CD28" s="1668" t="s">
        <v>4247</v>
      </c>
      <c r="CE28" s="1672">
        <v>5</v>
      </c>
      <c r="CF28" s="1667" t="s">
        <v>278</v>
      </c>
      <c r="CG28" s="1663">
        <v>45056</v>
      </c>
      <c r="CH28" s="1668" t="s">
        <v>4248</v>
      </c>
      <c r="CI28" s="1672">
        <v>27</v>
      </c>
      <c r="CJ28" s="1667" t="s">
        <v>280</v>
      </c>
      <c r="CK28" s="1663">
        <v>45423</v>
      </c>
      <c r="CL28" s="1668" t="s">
        <v>1006</v>
      </c>
      <c r="CM28" s="1672">
        <v>61</v>
      </c>
      <c r="CN28" s="1667" t="s">
        <v>700</v>
      </c>
      <c r="CO28" s="2135">
        <v>45838</v>
      </c>
      <c r="CP28" s="2138" t="s">
        <v>4249</v>
      </c>
      <c r="CQ28" s="2127"/>
      <c r="CR28" s="2128">
        <v>-103.7</v>
      </c>
    </row>
    <row r="29" spans="1:96" ht="26.25">
      <c r="A29" s="935">
        <v>37751</v>
      </c>
      <c r="B29" s="945" t="s">
        <v>4250</v>
      </c>
      <c r="C29" s="937">
        <v>34</v>
      </c>
      <c r="D29" s="938"/>
      <c r="E29" s="935">
        <v>38118</v>
      </c>
      <c r="F29" s="945" t="s">
        <v>4251</v>
      </c>
      <c r="G29" s="937">
        <v>10</v>
      </c>
      <c r="H29" s="938"/>
      <c r="I29" s="935">
        <v>38500</v>
      </c>
      <c r="J29" s="945" t="s">
        <v>797</v>
      </c>
      <c r="K29" s="937">
        <v>27</v>
      </c>
      <c r="L29" s="938"/>
      <c r="M29" s="935">
        <v>38844</v>
      </c>
      <c r="N29" s="945" t="s">
        <v>4252</v>
      </c>
      <c r="O29" s="937">
        <v>18</v>
      </c>
      <c r="P29" s="938"/>
      <c r="Q29" s="935">
        <v>39217</v>
      </c>
      <c r="R29" s="945" t="s">
        <v>4253</v>
      </c>
      <c r="S29" s="937">
        <v>15</v>
      </c>
      <c r="T29" s="938"/>
      <c r="U29" s="935">
        <v>39582</v>
      </c>
      <c r="V29" s="945" t="s">
        <v>4254</v>
      </c>
      <c r="W29" s="937">
        <v>63</v>
      </c>
      <c r="X29" s="939"/>
      <c r="Y29" s="935">
        <v>39951</v>
      </c>
      <c r="Z29" s="945" t="s">
        <v>767</v>
      </c>
      <c r="AA29" s="937">
        <v>8</v>
      </c>
      <c r="AB29" s="938"/>
      <c r="AC29" s="935">
        <v>40306</v>
      </c>
      <c r="AD29" s="936" t="s">
        <v>4255</v>
      </c>
      <c r="AE29" s="937">
        <v>35</v>
      </c>
      <c r="AF29" s="938"/>
      <c r="AG29" s="935">
        <v>40679</v>
      </c>
      <c r="AH29" s="936" t="s">
        <v>4256</v>
      </c>
      <c r="AI29" s="937">
        <v>416</v>
      </c>
      <c r="AJ29" s="938"/>
      <c r="AK29" s="935">
        <v>41049</v>
      </c>
      <c r="AL29" s="936" t="s">
        <v>4257</v>
      </c>
      <c r="AM29" s="937">
        <v>3</v>
      </c>
      <c r="AN29" s="938"/>
      <c r="AO29" s="935">
        <v>41405</v>
      </c>
      <c r="AP29" s="936" t="s">
        <v>4258</v>
      </c>
      <c r="AQ29" s="937">
        <v>61</v>
      </c>
      <c r="AR29" s="938"/>
      <c r="AS29" s="935">
        <v>41770</v>
      </c>
      <c r="AT29" s="936" t="s">
        <v>4259</v>
      </c>
      <c r="AU29" s="937">
        <v>36</v>
      </c>
      <c r="AV29" s="938"/>
      <c r="AW29" s="935">
        <v>42134</v>
      </c>
      <c r="AX29" s="936" t="s">
        <v>4260</v>
      </c>
      <c r="AY29" s="937">
        <v>16</v>
      </c>
      <c r="AZ29" s="938"/>
      <c r="BA29" s="935">
        <v>42509</v>
      </c>
      <c r="BB29" s="936" t="s">
        <v>4261</v>
      </c>
      <c r="BC29" s="937">
        <v>10</v>
      </c>
      <c r="BD29" s="938"/>
      <c r="BE29" s="935">
        <v>42864</v>
      </c>
      <c r="BF29" s="936" t="s">
        <v>781</v>
      </c>
      <c r="BG29" s="937">
        <v>5</v>
      </c>
      <c r="BH29" s="938"/>
      <c r="BI29" s="935">
        <v>43233</v>
      </c>
      <c r="BJ29" s="936" t="s">
        <v>4262</v>
      </c>
      <c r="BK29" s="937">
        <v>56</v>
      </c>
      <c r="BL29" s="938"/>
      <c r="BM29" s="935"/>
      <c r="BN29" s="936"/>
      <c r="BO29" s="937"/>
      <c r="BP29" s="938"/>
      <c r="BQ29" s="1663">
        <v>43597</v>
      </c>
      <c r="BR29" s="1668" t="s">
        <v>1903</v>
      </c>
      <c r="BS29" s="1669">
        <v>52</v>
      </c>
      <c r="BT29" s="1667" t="s">
        <v>700</v>
      </c>
      <c r="BU29" s="1663">
        <v>43955</v>
      </c>
      <c r="BV29" s="1668" t="s">
        <v>890</v>
      </c>
      <c r="BW29" s="1669">
        <v>0</v>
      </c>
      <c r="BX29" s="1667" t="s">
        <v>414</v>
      </c>
      <c r="BY29" s="1663">
        <v>44324</v>
      </c>
      <c r="BZ29" s="1668" t="s">
        <v>772</v>
      </c>
      <c r="CA29" s="1669">
        <v>41</v>
      </c>
      <c r="CB29" s="1667" t="s">
        <v>414</v>
      </c>
      <c r="CC29" s="1663">
        <v>44317</v>
      </c>
      <c r="CD29" s="1668" t="s">
        <v>781</v>
      </c>
      <c r="CE29" s="1672">
        <v>30</v>
      </c>
      <c r="CF29" s="1667" t="s">
        <v>414</v>
      </c>
      <c r="CG29" s="1663">
        <v>45059</v>
      </c>
      <c r="CH29" s="1668" t="s">
        <v>4263</v>
      </c>
      <c r="CI29" s="1672">
        <v>220</v>
      </c>
      <c r="CJ29" s="1667" t="s">
        <v>712</v>
      </c>
      <c r="CK29" s="1663">
        <v>45423</v>
      </c>
      <c r="CL29" s="1668" t="s">
        <v>4264</v>
      </c>
      <c r="CM29" s="1672">
        <v>75</v>
      </c>
      <c r="CN29" s="1667" t="s">
        <v>700</v>
      </c>
      <c r="CO29" s="2135">
        <v>45838</v>
      </c>
      <c r="CP29" s="2138" t="s">
        <v>4228</v>
      </c>
      <c r="CQ29" s="2127"/>
      <c r="CR29" s="2128">
        <v>661.22</v>
      </c>
    </row>
    <row r="30" spans="1:96" ht="26.25">
      <c r="A30" s="935">
        <v>37751</v>
      </c>
      <c r="B30" s="945" t="s">
        <v>4265</v>
      </c>
      <c r="C30" s="937">
        <v>80</v>
      </c>
      <c r="D30" s="938"/>
      <c r="E30" s="935">
        <v>38122</v>
      </c>
      <c r="F30" s="945" t="s">
        <v>4266</v>
      </c>
      <c r="G30" s="937">
        <v>16</v>
      </c>
      <c r="H30" s="938"/>
      <c r="I30" s="935">
        <v>38501</v>
      </c>
      <c r="J30" s="945" t="s">
        <v>4267</v>
      </c>
      <c r="K30" s="937">
        <v>5</v>
      </c>
      <c r="L30" s="938"/>
      <c r="M30" s="935">
        <v>38844</v>
      </c>
      <c r="N30" s="945" t="s">
        <v>797</v>
      </c>
      <c r="O30" s="937">
        <v>40</v>
      </c>
      <c r="P30" s="938"/>
      <c r="Q30" s="935">
        <v>39217</v>
      </c>
      <c r="R30" s="945" t="s">
        <v>4268</v>
      </c>
      <c r="S30" s="937">
        <v>16</v>
      </c>
      <c r="T30" s="938"/>
      <c r="U30" s="935">
        <v>39582</v>
      </c>
      <c r="V30" s="945" t="s">
        <v>4269</v>
      </c>
      <c r="W30" s="937">
        <v>7</v>
      </c>
      <c r="X30" s="939"/>
      <c r="Y30" s="935">
        <v>39952</v>
      </c>
      <c r="Z30" s="945" t="s">
        <v>786</v>
      </c>
      <c r="AA30" s="937">
        <v>34</v>
      </c>
      <c r="AB30" s="938"/>
      <c r="AC30" s="935">
        <v>40306</v>
      </c>
      <c r="AD30" s="936" t="s">
        <v>937</v>
      </c>
      <c r="AE30" s="937">
        <v>2</v>
      </c>
      <c r="AF30" s="938"/>
      <c r="AG30" s="935">
        <v>40680</v>
      </c>
      <c r="AH30" s="936" t="s">
        <v>4270</v>
      </c>
      <c r="AI30" s="937">
        <v>17</v>
      </c>
      <c r="AJ30" s="938"/>
      <c r="AK30" s="935">
        <v>41049</v>
      </c>
      <c r="AL30" s="936" t="s">
        <v>772</v>
      </c>
      <c r="AM30" s="937">
        <v>56</v>
      </c>
      <c r="AN30" s="938"/>
      <c r="AO30" s="935">
        <v>41405</v>
      </c>
      <c r="AP30" s="936" t="s">
        <v>4271</v>
      </c>
      <c r="AQ30" s="937">
        <v>45</v>
      </c>
      <c r="AR30" s="938"/>
      <c r="AS30" s="935">
        <v>41770</v>
      </c>
      <c r="AT30" s="936" t="s">
        <v>890</v>
      </c>
      <c r="AU30" s="937">
        <v>76</v>
      </c>
      <c r="AV30" s="938"/>
      <c r="AW30" s="935">
        <v>42134</v>
      </c>
      <c r="AX30" s="936" t="s">
        <v>4272</v>
      </c>
      <c r="AY30" s="937">
        <v>15</v>
      </c>
      <c r="AZ30" s="938"/>
      <c r="BA30" s="935">
        <v>42509</v>
      </c>
      <c r="BB30" s="936" t="s">
        <v>925</v>
      </c>
      <c r="BC30" s="937">
        <v>3</v>
      </c>
      <c r="BD30" s="938"/>
      <c r="BE30" s="935">
        <v>42864</v>
      </c>
      <c r="BF30" s="936" t="s">
        <v>867</v>
      </c>
      <c r="BG30" s="937">
        <v>4</v>
      </c>
      <c r="BH30" s="938"/>
      <c r="BI30" s="935">
        <v>43233</v>
      </c>
      <c r="BJ30" s="936" t="s">
        <v>4273</v>
      </c>
      <c r="BK30" s="937">
        <v>17</v>
      </c>
      <c r="BL30" s="938"/>
      <c r="BM30" s="935"/>
      <c r="BN30" s="936"/>
      <c r="BO30" s="937"/>
      <c r="BP30" s="938"/>
      <c r="BQ30" s="1663">
        <v>43597</v>
      </c>
      <c r="BR30" s="1668" t="s">
        <v>872</v>
      </c>
      <c r="BS30" s="1669">
        <v>15</v>
      </c>
      <c r="BT30" s="1667" t="s">
        <v>414</v>
      </c>
      <c r="BU30" s="1663">
        <v>43956</v>
      </c>
      <c r="BV30" s="1668" t="s">
        <v>843</v>
      </c>
      <c r="BW30" s="1669">
        <v>31</v>
      </c>
      <c r="BX30" s="1667" t="s">
        <v>414</v>
      </c>
      <c r="BY30" s="1663">
        <v>44324</v>
      </c>
      <c r="BZ30" s="1668" t="s">
        <v>872</v>
      </c>
      <c r="CA30" s="1669">
        <v>15</v>
      </c>
      <c r="CB30" s="1667" t="s">
        <v>414</v>
      </c>
      <c r="CC30" s="1663">
        <v>44317</v>
      </c>
      <c r="CD30" s="1668" t="s">
        <v>781</v>
      </c>
      <c r="CE30" s="1672">
        <v>52</v>
      </c>
      <c r="CF30" s="1667" t="s">
        <v>414</v>
      </c>
      <c r="CG30" s="1663">
        <v>45059</v>
      </c>
      <c r="CH30" s="1668" t="s">
        <v>2040</v>
      </c>
      <c r="CI30" s="1672">
        <v>15</v>
      </c>
      <c r="CJ30" s="1667" t="s">
        <v>414</v>
      </c>
      <c r="CK30" s="1663">
        <v>45423</v>
      </c>
      <c r="CL30" s="1668" t="s">
        <v>4274</v>
      </c>
      <c r="CM30" s="1672">
        <v>125</v>
      </c>
      <c r="CN30" s="1667" t="s">
        <v>414</v>
      </c>
      <c r="CO30" s="2135">
        <v>45838</v>
      </c>
      <c r="CP30" s="2138" t="s">
        <v>4217</v>
      </c>
      <c r="CQ30" s="2127"/>
      <c r="CR30" s="2128">
        <v>-661.22</v>
      </c>
    </row>
    <row r="31" spans="1:96" ht="26.25">
      <c r="A31" s="935">
        <v>37751</v>
      </c>
      <c r="B31" s="945" t="s">
        <v>4275</v>
      </c>
      <c r="C31" s="937">
        <v>19</v>
      </c>
      <c r="D31" s="938"/>
      <c r="E31" s="935">
        <v>38123</v>
      </c>
      <c r="F31" s="945" t="s">
        <v>2284</v>
      </c>
      <c r="G31" s="937">
        <v>52</v>
      </c>
      <c r="H31" s="938"/>
      <c r="I31" s="935">
        <v>38501</v>
      </c>
      <c r="J31" s="945" t="s">
        <v>4276</v>
      </c>
      <c r="K31" s="937">
        <v>14</v>
      </c>
      <c r="L31" s="938"/>
      <c r="M31" s="935">
        <v>38846</v>
      </c>
      <c r="N31" s="945" t="s">
        <v>4277</v>
      </c>
      <c r="O31" s="937">
        <v>34</v>
      </c>
      <c r="P31" s="938"/>
      <c r="Q31" s="935">
        <v>39217</v>
      </c>
      <c r="R31" s="945" t="s">
        <v>4278</v>
      </c>
      <c r="S31" s="937">
        <v>5</v>
      </c>
      <c r="T31" s="938"/>
      <c r="U31" s="935">
        <v>39583</v>
      </c>
      <c r="V31" s="945" t="s">
        <v>4279</v>
      </c>
      <c r="W31" s="937">
        <v>7</v>
      </c>
      <c r="X31" s="939"/>
      <c r="Y31" s="935">
        <v>39954</v>
      </c>
      <c r="Z31" s="945" t="s">
        <v>781</v>
      </c>
      <c r="AA31" s="937">
        <v>28</v>
      </c>
      <c r="AB31" s="938"/>
      <c r="AC31" s="935">
        <v>40307</v>
      </c>
      <c r="AD31" s="936" t="s">
        <v>4280</v>
      </c>
      <c r="AE31" s="937">
        <v>33</v>
      </c>
      <c r="AF31" s="938"/>
      <c r="AG31" s="935">
        <v>40680</v>
      </c>
      <c r="AH31" s="936" t="s">
        <v>922</v>
      </c>
      <c r="AI31" s="937">
        <v>37</v>
      </c>
      <c r="AJ31" s="938"/>
      <c r="AK31" s="935">
        <v>41049</v>
      </c>
      <c r="AL31" s="936" t="s">
        <v>781</v>
      </c>
      <c r="AM31" s="937">
        <v>60</v>
      </c>
      <c r="AN31" s="938"/>
      <c r="AO31" s="935">
        <v>41405</v>
      </c>
      <c r="AP31" s="936" t="s">
        <v>4281</v>
      </c>
      <c r="AQ31" s="937">
        <v>45</v>
      </c>
      <c r="AR31" s="938"/>
      <c r="AS31" s="935">
        <v>41770</v>
      </c>
      <c r="AT31" s="936" t="s">
        <v>4282</v>
      </c>
      <c r="AU31" s="937">
        <v>5</v>
      </c>
      <c r="AV31" s="938"/>
      <c r="AW31" s="935">
        <v>42137</v>
      </c>
      <c r="AX31" s="936" t="s">
        <v>2386</v>
      </c>
      <c r="AY31" s="937">
        <v>30</v>
      </c>
      <c r="AZ31" s="938"/>
      <c r="BA31" s="935">
        <v>42509</v>
      </c>
      <c r="BB31" s="936" t="s">
        <v>886</v>
      </c>
      <c r="BC31" s="937">
        <v>20</v>
      </c>
      <c r="BD31" s="938"/>
      <c r="BE31" s="935">
        <v>42864</v>
      </c>
      <c r="BF31" s="936" t="s">
        <v>4283</v>
      </c>
      <c r="BG31" s="937">
        <v>3</v>
      </c>
      <c r="BH31" s="938"/>
      <c r="BI31" s="935">
        <v>43233</v>
      </c>
      <c r="BJ31" s="936" t="s">
        <v>4284</v>
      </c>
      <c r="BK31" s="937">
        <v>15</v>
      </c>
      <c r="BL31" s="938"/>
      <c r="BM31" s="935"/>
      <c r="BN31" s="936"/>
      <c r="BO31" s="937"/>
      <c r="BP31" s="938"/>
      <c r="BQ31" s="1663">
        <v>43597</v>
      </c>
      <c r="BR31" s="1668" t="s">
        <v>4285</v>
      </c>
      <c r="BS31" s="1669">
        <v>4</v>
      </c>
      <c r="BT31" s="1667" t="s">
        <v>280</v>
      </c>
      <c r="BU31" s="1663">
        <v>43956</v>
      </c>
      <c r="BV31" s="1668" t="s">
        <v>4286</v>
      </c>
      <c r="BW31" s="1669">
        <v>8</v>
      </c>
      <c r="BX31" s="1667" t="s">
        <v>689</v>
      </c>
      <c r="BY31" s="1663">
        <v>44324</v>
      </c>
      <c r="BZ31" s="1668" t="s">
        <v>4287</v>
      </c>
      <c r="CA31" s="1669">
        <v>10</v>
      </c>
      <c r="CB31" s="1667" t="s">
        <v>414</v>
      </c>
      <c r="CC31" s="1663">
        <v>44317</v>
      </c>
      <c r="CD31" s="1668" t="s">
        <v>797</v>
      </c>
      <c r="CE31" s="1672">
        <v>50</v>
      </c>
      <c r="CF31" s="1667" t="s">
        <v>414</v>
      </c>
      <c r="CG31" s="1663">
        <v>45059</v>
      </c>
      <c r="CH31" s="1668" t="s">
        <v>1750</v>
      </c>
      <c r="CI31" s="1672">
        <v>15</v>
      </c>
      <c r="CJ31" s="1667" t="s">
        <v>414</v>
      </c>
      <c r="CK31" s="1663">
        <v>45424</v>
      </c>
      <c r="CL31" s="1668" t="s">
        <v>4288</v>
      </c>
      <c r="CM31" s="1672">
        <v>97</v>
      </c>
      <c r="CN31" s="1667" t="s">
        <v>278</v>
      </c>
      <c r="CO31" s="2135">
        <v>45838</v>
      </c>
      <c r="CP31" s="2138" t="s">
        <v>4289</v>
      </c>
      <c r="CQ31" s="2127"/>
      <c r="CR31" s="2128">
        <v>-336.53</v>
      </c>
    </row>
    <row r="32" spans="1:96" ht="13.5">
      <c r="A32" s="935">
        <v>37751</v>
      </c>
      <c r="B32" s="945" t="s">
        <v>4290</v>
      </c>
      <c r="C32" s="937">
        <v>10</v>
      </c>
      <c r="D32" s="938"/>
      <c r="E32" s="935">
        <v>38123</v>
      </c>
      <c r="F32" s="945" t="s">
        <v>797</v>
      </c>
      <c r="G32" s="937">
        <v>31</v>
      </c>
      <c r="H32" s="938"/>
      <c r="I32" s="935">
        <v>38502</v>
      </c>
      <c r="J32" s="945" t="s">
        <v>4291</v>
      </c>
      <c r="K32" s="937">
        <v>20</v>
      </c>
      <c r="L32" s="938"/>
      <c r="M32" s="935">
        <v>38846</v>
      </c>
      <c r="N32" s="945" t="s">
        <v>4292</v>
      </c>
      <c r="O32" s="937">
        <v>20</v>
      </c>
      <c r="P32" s="938"/>
      <c r="Q32" s="935">
        <v>39219</v>
      </c>
      <c r="R32" s="945" t="s">
        <v>4293</v>
      </c>
      <c r="S32" s="937">
        <v>281</v>
      </c>
      <c r="T32" s="938"/>
      <c r="U32" s="935">
        <v>39583</v>
      </c>
      <c r="V32" s="945" t="s">
        <v>886</v>
      </c>
      <c r="W32" s="937">
        <v>15</v>
      </c>
      <c r="X32" s="939"/>
      <c r="Y32" s="935">
        <v>39956</v>
      </c>
      <c r="Z32" s="945" t="s">
        <v>797</v>
      </c>
      <c r="AA32" s="937">
        <v>25</v>
      </c>
      <c r="AB32" s="938"/>
      <c r="AC32" s="935">
        <v>40307</v>
      </c>
      <c r="AD32" s="936" t="s">
        <v>1584</v>
      </c>
      <c r="AE32" s="937">
        <v>20</v>
      </c>
      <c r="AF32" s="938"/>
      <c r="AG32" s="935">
        <v>40681</v>
      </c>
      <c r="AH32" s="936" t="s">
        <v>4294</v>
      </c>
      <c r="AI32" s="937">
        <v>18</v>
      </c>
      <c r="AJ32" s="938"/>
      <c r="AK32" s="935">
        <v>41049</v>
      </c>
      <c r="AL32" s="936" t="s">
        <v>4295</v>
      </c>
      <c r="AM32" s="937">
        <v>0</v>
      </c>
      <c r="AN32" s="938"/>
      <c r="AO32" s="935">
        <v>41406</v>
      </c>
      <c r="AP32" s="936" t="s">
        <v>4296</v>
      </c>
      <c r="AQ32" s="937">
        <v>36</v>
      </c>
      <c r="AR32" s="938"/>
      <c r="AS32" s="935">
        <v>41771</v>
      </c>
      <c r="AT32" s="936" t="s">
        <v>797</v>
      </c>
      <c r="AU32" s="937">
        <v>63</v>
      </c>
      <c r="AV32" s="938"/>
      <c r="AW32" s="935">
        <v>42137</v>
      </c>
      <c r="AX32" s="936" t="s">
        <v>787</v>
      </c>
      <c r="AY32" s="937">
        <v>6</v>
      </c>
      <c r="AZ32" s="938"/>
      <c r="BA32" s="935">
        <v>42510</v>
      </c>
      <c r="BB32" s="936" t="s">
        <v>1847</v>
      </c>
      <c r="BC32" s="937">
        <v>12</v>
      </c>
      <c r="BD32" s="938"/>
      <c r="BE32" s="935">
        <v>42864</v>
      </c>
      <c r="BF32" s="936" t="s">
        <v>1573</v>
      </c>
      <c r="BG32" s="937">
        <v>14</v>
      </c>
      <c r="BH32" s="938"/>
      <c r="BI32" s="935">
        <v>43234</v>
      </c>
      <c r="BJ32" s="936" t="s">
        <v>4297</v>
      </c>
      <c r="BK32" s="937">
        <v>6</v>
      </c>
      <c r="BL32" s="938"/>
      <c r="BM32" s="935"/>
      <c r="BN32" s="936"/>
      <c r="BO32" s="937"/>
      <c r="BP32" s="938"/>
      <c r="BQ32" s="1663">
        <v>43597</v>
      </c>
      <c r="BR32" s="1668" t="s">
        <v>4298</v>
      </c>
      <c r="BS32" s="1669">
        <v>30</v>
      </c>
      <c r="BT32" s="1667" t="s">
        <v>280</v>
      </c>
      <c r="BU32" s="1663">
        <v>43961</v>
      </c>
      <c r="BV32" s="1668" t="s">
        <v>843</v>
      </c>
      <c r="BW32" s="1669">
        <v>31</v>
      </c>
      <c r="BX32" s="1667" t="s">
        <v>414</v>
      </c>
      <c r="BY32" s="1663">
        <v>44324</v>
      </c>
      <c r="BZ32" s="1668" t="s">
        <v>845</v>
      </c>
      <c r="CA32" s="1669">
        <v>21</v>
      </c>
      <c r="CB32" s="1667" t="s">
        <v>414</v>
      </c>
      <c r="CC32" s="1663">
        <v>44317</v>
      </c>
      <c r="CD32" s="1668" t="s">
        <v>4299</v>
      </c>
      <c r="CE32" s="1672">
        <v>33</v>
      </c>
      <c r="CF32" s="1667" t="s">
        <v>700</v>
      </c>
      <c r="CG32" s="1663">
        <v>45059</v>
      </c>
      <c r="CH32" s="1668" t="s">
        <v>4300</v>
      </c>
      <c r="CI32" s="1672">
        <v>15</v>
      </c>
      <c r="CJ32" s="1667" t="s">
        <v>414</v>
      </c>
      <c r="CK32" s="1663">
        <v>45424</v>
      </c>
      <c r="CL32" s="1668" t="s">
        <v>4301</v>
      </c>
      <c r="CM32" s="1672">
        <v>8</v>
      </c>
      <c r="CN32" s="1667" t="s">
        <v>278</v>
      </c>
      <c r="CO32" s="2135">
        <v>45838</v>
      </c>
      <c r="CP32" s="2138" t="s">
        <v>4302</v>
      </c>
      <c r="CQ32" s="2127"/>
      <c r="CR32" s="2128">
        <v>336.53</v>
      </c>
    </row>
    <row r="33" spans="1:96" ht="26.25">
      <c r="A33" s="935">
        <v>37751</v>
      </c>
      <c r="B33" s="945" t="s">
        <v>4303</v>
      </c>
      <c r="C33" s="937">
        <v>8</v>
      </c>
      <c r="D33" s="938"/>
      <c r="E33" s="935">
        <v>38125</v>
      </c>
      <c r="F33" s="945" t="s">
        <v>848</v>
      </c>
      <c r="G33" s="937">
        <v>26</v>
      </c>
      <c r="H33" s="938"/>
      <c r="I33" s="935">
        <v>38503</v>
      </c>
      <c r="J33" s="945" t="s">
        <v>802</v>
      </c>
      <c r="K33" s="937">
        <v>33</v>
      </c>
      <c r="L33" s="938"/>
      <c r="M33" s="935">
        <v>38848</v>
      </c>
      <c r="N33" s="945" t="s">
        <v>4304</v>
      </c>
      <c r="O33" s="937">
        <v>23</v>
      </c>
      <c r="P33" s="938"/>
      <c r="Q33" s="935">
        <v>39219</v>
      </c>
      <c r="R33" s="945" t="s">
        <v>937</v>
      </c>
      <c r="S33" s="937">
        <v>15</v>
      </c>
      <c r="T33" s="938"/>
      <c r="U33" s="935">
        <v>39584</v>
      </c>
      <c r="V33" s="945" t="s">
        <v>4305</v>
      </c>
      <c r="W33" s="937">
        <v>26</v>
      </c>
      <c r="X33" s="939"/>
      <c r="Y33" s="935">
        <v>39956</v>
      </c>
      <c r="Z33" s="945" t="s">
        <v>783</v>
      </c>
      <c r="AA33" s="937">
        <v>15</v>
      </c>
      <c r="AB33" s="938"/>
      <c r="AC33" s="935">
        <v>40307</v>
      </c>
      <c r="AD33" s="936" t="s">
        <v>4306</v>
      </c>
      <c r="AE33" s="937">
        <v>27</v>
      </c>
      <c r="AF33" s="938"/>
      <c r="AG33" s="935">
        <v>40681</v>
      </c>
      <c r="AH33" s="936" t="s">
        <v>781</v>
      </c>
      <c r="AI33" s="937">
        <v>20</v>
      </c>
      <c r="AJ33" s="938"/>
      <c r="AK33" s="935">
        <v>41049</v>
      </c>
      <c r="AL33" s="936" t="s">
        <v>797</v>
      </c>
      <c r="AM33" s="937">
        <v>65</v>
      </c>
      <c r="AN33" s="938"/>
      <c r="AO33" s="935">
        <v>41406</v>
      </c>
      <c r="AP33" s="936" t="s">
        <v>4307</v>
      </c>
      <c r="AQ33" s="937">
        <v>14</v>
      </c>
      <c r="AR33" s="938"/>
      <c r="AS33" s="935">
        <v>41772</v>
      </c>
      <c r="AT33" s="936" t="s">
        <v>4308</v>
      </c>
      <c r="AU33" s="937">
        <v>15</v>
      </c>
      <c r="AV33" s="938"/>
      <c r="AW33" s="935">
        <v>42137</v>
      </c>
      <c r="AX33" s="936" t="s">
        <v>4309</v>
      </c>
      <c r="AY33" s="937">
        <v>107</v>
      </c>
      <c r="AZ33" s="938"/>
      <c r="BA33" s="935">
        <v>42510</v>
      </c>
      <c r="BB33" s="936" t="s">
        <v>954</v>
      </c>
      <c r="BC33" s="937">
        <v>37</v>
      </c>
      <c r="BD33" s="938"/>
      <c r="BE33" s="935">
        <v>42865</v>
      </c>
      <c r="BF33" s="936" t="s">
        <v>4310</v>
      </c>
      <c r="BG33" s="937">
        <v>200</v>
      </c>
      <c r="BH33" s="938"/>
      <c r="BI33" s="935">
        <v>43234</v>
      </c>
      <c r="BJ33" s="936" t="s">
        <v>3690</v>
      </c>
      <c r="BK33" s="937">
        <v>45</v>
      </c>
      <c r="BL33" s="938"/>
      <c r="BM33" s="935"/>
      <c r="BN33" s="936"/>
      <c r="BO33" s="937"/>
      <c r="BP33" s="938"/>
      <c r="BQ33" s="1663">
        <v>43597</v>
      </c>
      <c r="BR33" s="1668" t="s">
        <v>4311</v>
      </c>
      <c r="BS33" s="1669">
        <v>52</v>
      </c>
      <c r="BT33" s="1667" t="s">
        <v>667</v>
      </c>
      <c r="BU33" s="1663">
        <v>43966</v>
      </c>
      <c r="BV33" s="1668" t="s">
        <v>890</v>
      </c>
      <c r="BW33" s="1669">
        <v>45</v>
      </c>
      <c r="BX33" s="1667" t="s">
        <v>414</v>
      </c>
      <c r="BY33" s="1663">
        <v>44324</v>
      </c>
      <c r="BZ33" s="1668" t="s">
        <v>797</v>
      </c>
      <c r="CA33" s="1669">
        <v>65</v>
      </c>
      <c r="CB33" s="1667" t="s">
        <v>410</v>
      </c>
      <c r="CC33" s="1663">
        <v>44317</v>
      </c>
      <c r="CD33" s="1668" t="s">
        <v>4312</v>
      </c>
      <c r="CE33" s="1672">
        <v>52</v>
      </c>
      <c r="CF33" s="1667" t="s">
        <v>700</v>
      </c>
      <c r="CG33" s="1663">
        <v>45059</v>
      </c>
      <c r="CH33" s="1668" t="s">
        <v>4313</v>
      </c>
      <c r="CI33" s="1672">
        <v>10</v>
      </c>
      <c r="CJ33" s="1667" t="s">
        <v>414</v>
      </c>
      <c r="CK33" s="1663">
        <v>45429</v>
      </c>
      <c r="CL33" s="1668" t="s">
        <v>845</v>
      </c>
      <c r="CM33" s="1672">
        <v>115</v>
      </c>
      <c r="CN33" s="1667" t="s">
        <v>414</v>
      </c>
      <c r="CO33" s="2135">
        <v>45838</v>
      </c>
      <c r="CP33" s="2138" t="s">
        <v>4314</v>
      </c>
      <c r="CQ33" s="2127"/>
      <c r="CR33" s="2128">
        <v>-1140.8</v>
      </c>
    </row>
    <row r="34" spans="1:96" ht="13.5">
      <c r="A34" s="935">
        <v>37751</v>
      </c>
      <c r="B34" s="945" t="s">
        <v>4315</v>
      </c>
      <c r="C34" s="937">
        <v>20</v>
      </c>
      <c r="D34" s="938"/>
      <c r="E34" s="935">
        <v>38127</v>
      </c>
      <c r="F34" s="945" t="s">
        <v>772</v>
      </c>
      <c r="G34" s="937">
        <v>35</v>
      </c>
      <c r="H34" s="938"/>
      <c r="I34" s="935">
        <v>38503</v>
      </c>
      <c r="J34" s="945" t="s">
        <v>1157</v>
      </c>
      <c r="K34" s="937">
        <v>5</v>
      </c>
      <c r="L34" s="938"/>
      <c r="M34" s="935">
        <v>38848</v>
      </c>
      <c r="N34" s="945" t="s">
        <v>4316</v>
      </c>
      <c r="O34" s="937">
        <v>24</v>
      </c>
      <c r="P34" s="938"/>
      <c r="Q34" s="935">
        <v>39221</v>
      </c>
      <c r="R34" s="945" t="s">
        <v>797</v>
      </c>
      <c r="S34" s="937">
        <v>52</v>
      </c>
      <c r="T34" s="938"/>
      <c r="U34" s="935">
        <v>39584</v>
      </c>
      <c r="V34" s="945" t="s">
        <v>787</v>
      </c>
      <c r="W34" s="937">
        <v>45</v>
      </c>
      <c r="X34" s="939"/>
      <c r="Y34" s="935">
        <v>39956</v>
      </c>
      <c r="Z34" s="945" t="s">
        <v>2054</v>
      </c>
      <c r="AA34" s="937">
        <v>5</v>
      </c>
      <c r="AB34" s="938"/>
      <c r="AC34" s="935">
        <v>40307</v>
      </c>
      <c r="AD34" s="936" t="s">
        <v>4317</v>
      </c>
      <c r="AE34" s="937">
        <v>10</v>
      </c>
      <c r="AF34" s="938"/>
      <c r="AG34" s="935">
        <v>40681</v>
      </c>
      <c r="AH34" s="936" t="s">
        <v>4318</v>
      </c>
      <c r="AI34" s="937">
        <v>463</v>
      </c>
      <c r="AJ34" s="938"/>
      <c r="AK34" s="935">
        <v>41055</v>
      </c>
      <c r="AL34" s="936" t="s">
        <v>781</v>
      </c>
      <c r="AM34" s="937">
        <v>40</v>
      </c>
      <c r="AN34" s="938"/>
      <c r="AO34" s="935">
        <v>41406</v>
      </c>
      <c r="AP34" s="936" t="s">
        <v>4319</v>
      </c>
      <c r="AQ34" s="937">
        <v>16</v>
      </c>
      <c r="AR34" s="938"/>
      <c r="AS34" s="935">
        <v>41775</v>
      </c>
      <c r="AT34" s="936" t="s">
        <v>4320</v>
      </c>
      <c r="AU34" s="937">
        <v>15</v>
      </c>
      <c r="AV34" s="938"/>
      <c r="AW34" s="935">
        <v>42137</v>
      </c>
      <c r="AX34" s="936" t="s">
        <v>998</v>
      </c>
      <c r="AY34" s="937">
        <v>25</v>
      </c>
      <c r="AZ34" s="938"/>
      <c r="BA34" s="935">
        <v>42511</v>
      </c>
      <c r="BB34" s="936" t="s">
        <v>4321</v>
      </c>
      <c r="BC34" s="937">
        <v>70</v>
      </c>
      <c r="BD34" s="938"/>
      <c r="BE34" s="935">
        <v>42866</v>
      </c>
      <c r="BF34" s="936" t="s">
        <v>4322</v>
      </c>
      <c r="BG34" s="937">
        <v>400</v>
      </c>
      <c r="BH34" s="938"/>
      <c r="BI34" s="935">
        <v>43234</v>
      </c>
      <c r="BJ34" s="936" t="s">
        <v>4323</v>
      </c>
      <c r="BK34" s="937">
        <v>9</v>
      </c>
      <c r="BL34" s="938"/>
      <c r="BM34" s="935"/>
      <c r="BN34" s="936"/>
      <c r="BO34" s="937"/>
      <c r="BP34" s="938"/>
      <c r="BQ34" s="1663">
        <v>43597</v>
      </c>
      <c r="BR34" s="1668" t="s">
        <v>4324</v>
      </c>
      <c r="BS34" s="1669">
        <v>32</v>
      </c>
      <c r="BT34" s="1667" t="s">
        <v>280</v>
      </c>
      <c r="BU34" s="1663">
        <v>43966</v>
      </c>
      <c r="BV34" s="1668" t="s">
        <v>872</v>
      </c>
      <c r="BW34" s="1669">
        <v>51</v>
      </c>
      <c r="BX34" s="1667" t="s">
        <v>414</v>
      </c>
      <c r="BY34" s="1663">
        <v>44328</v>
      </c>
      <c r="BZ34" s="1668" t="s">
        <v>4325</v>
      </c>
      <c r="CA34" s="1669">
        <v>27</v>
      </c>
      <c r="CB34" s="1667" t="s">
        <v>280</v>
      </c>
      <c r="CC34" s="1663">
        <v>44688</v>
      </c>
      <c r="CD34" s="1668" t="s">
        <v>781</v>
      </c>
      <c r="CE34" s="1672">
        <v>47</v>
      </c>
      <c r="CF34" s="1667" t="s">
        <v>414</v>
      </c>
      <c r="CG34" s="1663">
        <v>45059</v>
      </c>
      <c r="CH34" s="1668" t="s">
        <v>845</v>
      </c>
      <c r="CI34" s="1672">
        <v>53</v>
      </c>
      <c r="CJ34" s="1667" t="s">
        <v>414</v>
      </c>
      <c r="CK34" s="1663">
        <v>45429</v>
      </c>
      <c r="CL34" s="1668" t="s">
        <v>843</v>
      </c>
      <c r="CM34" s="1672">
        <v>15</v>
      </c>
      <c r="CN34" s="1667" t="s">
        <v>414</v>
      </c>
      <c r="CO34" s="2135">
        <v>45838</v>
      </c>
      <c r="CP34" s="2138" t="s">
        <v>4326</v>
      </c>
      <c r="CQ34" s="2127"/>
      <c r="CR34" s="2128">
        <v>1140.8</v>
      </c>
    </row>
    <row r="35" spans="1:96" ht="26.25">
      <c r="A35" s="935">
        <v>37751</v>
      </c>
      <c r="B35" s="945" t="s">
        <v>4327</v>
      </c>
      <c r="C35" s="937">
        <v>19</v>
      </c>
      <c r="D35" s="938"/>
      <c r="E35" s="935">
        <v>38128</v>
      </c>
      <c r="F35" s="945" t="s">
        <v>4328</v>
      </c>
      <c r="G35" s="937">
        <v>32</v>
      </c>
      <c r="H35" s="938"/>
      <c r="I35" s="935"/>
      <c r="J35" s="945"/>
      <c r="K35" s="937"/>
      <c r="L35" s="938"/>
      <c r="M35" s="935">
        <v>38849</v>
      </c>
      <c r="N35" s="945" t="s">
        <v>4329</v>
      </c>
      <c r="O35" s="937">
        <v>10</v>
      </c>
      <c r="P35" s="938"/>
      <c r="Q35" s="935">
        <v>39221</v>
      </c>
      <c r="R35" s="945" t="s">
        <v>957</v>
      </c>
      <c r="S35" s="937">
        <v>22</v>
      </c>
      <c r="T35" s="938"/>
      <c r="U35" s="935">
        <v>39584</v>
      </c>
      <c r="V35" s="945" t="s">
        <v>4330</v>
      </c>
      <c r="W35" s="937">
        <v>2</v>
      </c>
      <c r="X35" s="939"/>
      <c r="Y35" s="935">
        <v>39956</v>
      </c>
      <c r="Z35" s="945" t="s">
        <v>4331</v>
      </c>
      <c r="AA35" s="937">
        <v>0</v>
      </c>
      <c r="AB35" s="938"/>
      <c r="AC35" s="935">
        <v>40307</v>
      </c>
      <c r="AD35" s="936" t="s">
        <v>781</v>
      </c>
      <c r="AE35" s="937">
        <v>105</v>
      </c>
      <c r="AF35" s="938"/>
      <c r="AG35" s="935">
        <v>40682</v>
      </c>
      <c r="AH35" s="936" t="s">
        <v>4332</v>
      </c>
      <c r="AI35" s="937">
        <v>6</v>
      </c>
      <c r="AJ35" s="938"/>
      <c r="AK35" s="935">
        <v>41055</v>
      </c>
      <c r="AL35" s="936" t="s">
        <v>4333</v>
      </c>
      <c r="AM35" s="937">
        <v>15</v>
      </c>
      <c r="AN35" s="938"/>
      <c r="AO35" s="935">
        <v>41407</v>
      </c>
      <c r="AP35" s="936" t="s">
        <v>1303</v>
      </c>
      <c r="AQ35" s="937">
        <v>26</v>
      </c>
      <c r="AR35" s="938"/>
      <c r="AS35" s="935">
        <v>41775</v>
      </c>
      <c r="AT35" s="936" t="s">
        <v>802</v>
      </c>
      <c r="AU35" s="937">
        <v>46</v>
      </c>
      <c r="AV35" s="938"/>
      <c r="AW35" s="935">
        <v>42138</v>
      </c>
      <c r="AX35" s="936" t="s">
        <v>781</v>
      </c>
      <c r="AY35" s="937">
        <v>55</v>
      </c>
      <c r="AZ35" s="938"/>
      <c r="BA35" s="935">
        <v>42511</v>
      </c>
      <c r="BB35" s="936" t="s">
        <v>4334</v>
      </c>
      <c r="BC35" s="937">
        <v>150</v>
      </c>
      <c r="BD35" s="938"/>
      <c r="BE35" s="935">
        <v>42866</v>
      </c>
      <c r="BF35" s="936" t="s">
        <v>1180</v>
      </c>
      <c r="BG35" s="937">
        <v>71</v>
      </c>
      <c r="BH35" s="938"/>
      <c r="BI35" s="935">
        <v>43235</v>
      </c>
      <c r="BJ35" s="936" t="s">
        <v>4335</v>
      </c>
      <c r="BK35" s="937">
        <v>15</v>
      </c>
      <c r="BL35" s="938"/>
      <c r="BM35" s="935"/>
      <c r="BN35" s="936"/>
      <c r="BO35" s="937"/>
      <c r="BP35" s="938"/>
      <c r="BQ35" s="1663">
        <v>43597</v>
      </c>
      <c r="BR35" s="1668" t="s">
        <v>2162</v>
      </c>
      <c r="BS35" s="1669">
        <v>4</v>
      </c>
      <c r="BT35" s="1667" t="s">
        <v>414</v>
      </c>
      <c r="BU35" s="1663">
        <v>43966</v>
      </c>
      <c r="BV35" s="1668" t="s">
        <v>772</v>
      </c>
      <c r="BW35" s="1669">
        <v>27</v>
      </c>
      <c r="BX35" s="1667" t="s">
        <v>414</v>
      </c>
      <c r="BY35" s="1663">
        <v>44328</v>
      </c>
      <c r="BZ35" s="1668" t="s">
        <v>4336</v>
      </c>
      <c r="CA35" s="1669">
        <v>0</v>
      </c>
      <c r="CB35" s="1667" t="s">
        <v>414</v>
      </c>
      <c r="CC35" s="1663">
        <v>44688</v>
      </c>
      <c r="CD35" s="1668" t="s">
        <v>781</v>
      </c>
      <c r="CE35" s="1672">
        <v>10</v>
      </c>
      <c r="CF35" s="1667" t="s">
        <v>414</v>
      </c>
      <c r="CG35" s="1663">
        <v>45059</v>
      </c>
      <c r="CH35" s="1668" t="s">
        <v>4337</v>
      </c>
      <c r="CI35" s="1672">
        <v>45</v>
      </c>
      <c r="CJ35" s="1667" t="s">
        <v>278</v>
      </c>
      <c r="CK35" s="1663">
        <v>45431</v>
      </c>
      <c r="CL35" s="1668" t="s">
        <v>4338</v>
      </c>
      <c r="CM35" s="1672">
        <v>45</v>
      </c>
      <c r="CN35" s="1667" t="s">
        <v>700</v>
      </c>
      <c r="CO35" s="2135">
        <v>45838</v>
      </c>
      <c r="CP35" s="2138" t="s">
        <v>4144</v>
      </c>
      <c r="CQ35" s="2127"/>
      <c r="CR35" s="2128">
        <v>-0.44</v>
      </c>
    </row>
    <row r="36" spans="1:96" ht="13.5">
      <c r="A36" s="935">
        <v>37751</v>
      </c>
      <c r="B36" s="945" t="s">
        <v>4339</v>
      </c>
      <c r="C36" s="937">
        <v>5</v>
      </c>
      <c r="D36" s="938"/>
      <c r="E36" s="935">
        <v>38129</v>
      </c>
      <c r="F36" s="945" t="s">
        <v>4340</v>
      </c>
      <c r="G36" s="937">
        <v>29</v>
      </c>
      <c r="H36" s="938"/>
      <c r="I36" s="935"/>
      <c r="J36" s="945"/>
      <c r="K36" s="937"/>
      <c r="L36" s="938"/>
      <c r="M36" s="935">
        <v>38849</v>
      </c>
      <c r="N36" s="945" t="s">
        <v>4341</v>
      </c>
      <c r="O36" s="937">
        <v>8</v>
      </c>
      <c r="P36" s="938"/>
      <c r="Q36" s="935">
        <v>39222</v>
      </c>
      <c r="R36" s="945" t="s">
        <v>4342</v>
      </c>
      <c r="S36" s="937">
        <v>20</v>
      </c>
      <c r="T36" s="938"/>
      <c r="U36" s="935">
        <v>39585</v>
      </c>
      <c r="V36" s="945" t="s">
        <v>937</v>
      </c>
      <c r="W36" s="937">
        <v>20</v>
      </c>
      <c r="X36" s="939"/>
      <c r="Y36" s="935">
        <v>39957</v>
      </c>
      <c r="Z36" s="945" t="s">
        <v>772</v>
      </c>
      <c r="AA36" s="937">
        <v>42</v>
      </c>
      <c r="AB36" s="938"/>
      <c r="AC36" s="935">
        <v>40307</v>
      </c>
      <c r="AD36" s="936" t="s">
        <v>4343</v>
      </c>
      <c r="AE36" s="937">
        <v>10</v>
      </c>
      <c r="AF36" s="938"/>
      <c r="AG36" s="935">
        <v>40682</v>
      </c>
      <c r="AH36" s="936" t="s">
        <v>4344</v>
      </c>
      <c r="AI36" s="937">
        <v>16</v>
      </c>
      <c r="AJ36" s="938"/>
      <c r="AK36" s="935">
        <v>41055</v>
      </c>
      <c r="AL36" s="936" t="s">
        <v>3049</v>
      </c>
      <c r="AM36" s="937">
        <v>35</v>
      </c>
      <c r="AN36" s="938"/>
      <c r="AO36" s="935">
        <v>41409</v>
      </c>
      <c r="AP36" s="936" t="s">
        <v>802</v>
      </c>
      <c r="AQ36" s="937">
        <v>23</v>
      </c>
      <c r="AR36" s="938"/>
      <c r="AS36" s="935">
        <v>41775</v>
      </c>
      <c r="AT36" s="936" t="s">
        <v>787</v>
      </c>
      <c r="AU36" s="937">
        <v>21</v>
      </c>
      <c r="AV36" s="938"/>
      <c r="AW36" s="935">
        <v>42138</v>
      </c>
      <c r="AX36" s="936" t="s">
        <v>954</v>
      </c>
      <c r="AY36" s="937">
        <v>26</v>
      </c>
      <c r="AZ36" s="938"/>
      <c r="BA36" s="935">
        <v>42511</v>
      </c>
      <c r="BB36" s="936" t="s">
        <v>4345</v>
      </c>
      <c r="BC36" s="937">
        <v>50</v>
      </c>
      <c r="BD36" s="938"/>
      <c r="BE36" s="935">
        <v>42866</v>
      </c>
      <c r="BF36" s="936" t="s">
        <v>4346</v>
      </c>
      <c r="BG36" s="937">
        <v>15</v>
      </c>
      <c r="BH36" s="938"/>
      <c r="BI36" s="935">
        <v>43235</v>
      </c>
      <c r="BJ36" s="936" t="s">
        <v>4347</v>
      </c>
      <c r="BK36" s="937">
        <v>12</v>
      </c>
      <c r="BL36" s="938"/>
      <c r="BM36" s="935"/>
      <c r="BN36" s="936"/>
      <c r="BO36" s="937"/>
      <c r="BP36" s="938"/>
      <c r="BQ36" s="1663">
        <v>43597</v>
      </c>
      <c r="BR36" s="1668" t="s">
        <v>2533</v>
      </c>
      <c r="BS36" s="1669">
        <v>12</v>
      </c>
      <c r="BT36" s="1667" t="s">
        <v>278</v>
      </c>
      <c r="BU36" s="1663">
        <v>43966</v>
      </c>
      <c r="BV36" s="1668" t="s">
        <v>843</v>
      </c>
      <c r="BW36" s="1669">
        <v>0</v>
      </c>
      <c r="BX36" s="1667" t="s">
        <v>414</v>
      </c>
      <c r="BY36" s="1663">
        <v>44328</v>
      </c>
      <c r="BZ36" s="1668" t="s">
        <v>4348</v>
      </c>
      <c r="CA36" s="1669">
        <v>160</v>
      </c>
      <c r="CB36" s="1667" t="s">
        <v>701</v>
      </c>
      <c r="CC36" s="1663">
        <v>44688</v>
      </c>
      <c r="CD36" s="1668" t="s">
        <v>843</v>
      </c>
      <c r="CE36" s="1672">
        <v>33</v>
      </c>
      <c r="CF36" s="1667" t="s">
        <v>414</v>
      </c>
      <c r="CG36" s="1663">
        <v>45059</v>
      </c>
      <c r="CH36" s="1668" t="s">
        <v>948</v>
      </c>
      <c r="CI36" s="1672">
        <v>38</v>
      </c>
      <c r="CJ36" s="1667" t="s">
        <v>414</v>
      </c>
      <c r="CK36" s="1663">
        <v>45431</v>
      </c>
      <c r="CL36" s="1668" t="s">
        <v>4349</v>
      </c>
      <c r="CM36" s="1672">
        <v>0</v>
      </c>
      <c r="CN36" s="1667" t="s">
        <v>700</v>
      </c>
      <c r="CO36" s="2135">
        <v>45838</v>
      </c>
      <c r="CP36" s="2138" t="s">
        <v>4156</v>
      </c>
      <c r="CQ36" s="2127"/>
      <c r="CR36" s="2128">
        <v>0.44</v>
      </c>
    </row>
    <row r="37" spans="1:96" ht="13.5">
      <c r="A37" s="935">
        <v>37751</v>
      </c>
      <c r="B37" s="945" t="s">
        <v>772</v>
      </c>
      <c r="C37" s="937">
        <v>31</v>
      </c>
      <c r="D37" s="938"/>
      <c r="E37" s="935">
        <v>38129</v>
      </c>
      <c r="F37" s="945" t="s">
        <v>4350</v>
      </c>
      <c r="G37" s="937">
        <v>10</v>
      </c>
      <c r="H37" s="938"/>
      <c r="I37" s="935"/>
      <c r="J37" s="945"/>
      <c r="K37" s="937"/>
      <c r="L37" s="938"/>
      <c r="M37" s="935">
        <v>38850</v>
      </c>
      <c r="N37" s="945" t="s">
        <v>4351</v>
      </c>
      <c r="O37" s="937">
        <v>4</v>
      </c>
      <c r="P37" s="938"/>
      <c r="Q37" s="935">
        <v>39227</v>
      </c>
      <c r="R37" s="945" t="s">
        <v>802</v>
      </c>
      <c r="S37" s="937">
        <v>10</v>
      </c>
      <c r="T37" s="938"/>
      <c r="U37" s="935">
        <v>39585</v>
      </c>
      <c r="V37" s="945" t="s">
        <v>783</v>
      </c>
      <c r="W37" s="937">
        <v>40</v>
      </c>
      <c r="X37" s="939"/>
      <c r="Y37" s="935">
        <v>39957</v>
      </c>
      <c r="Z37" s="945" t="s">
        <v>781</v>
      </c>
      <c r="AA37" s="937">
        <v>80</v>
      </c>
      <c r="AB37" s="938"/>
      <c r="AC37" s="935">
        <v>40307</v>
      </c>
      <c r="AD37" s="936" t="s">
        <v>960</v>
      </c>
      <c r="AE37" s="937">
        <v>3</v>
      </c>
      <c r="AF37" s="938"/>
      <c r="AG37" s="935">
        <v>40682</v>
      </c>
      <c r="AH37" s="936" t="s">
        <v>4352</v>
      </c>
      <c r="AI37" s="937">
        <v>713</v>
      </c>
      <c r="AJ37" s="938"/>
      <c r="AK37" s="935">
        <v>41055</v>
      </c>
      <c r="AL37" s="936" t="s">
        <v>4353</v>
      </c>
      <c r="AM37" s="937">
        <v>30</v>
      </c>
      <c r="AN37" s="938"/>
      <c r="AO37" s="935">
        <v>41412</v>
      </c>
      <c r="AP37" s="936" t="s">
        <v>772</v>
      </c>
      <c r="AQ37" s="937">
        <v>62</v>
      </c>
      <c r="AR37" s="938"/>
      <c r="AS37" s="935">
        <v>41775</v>
      </c>
      <c r="AT37" s="936" t="s">
        <v>4354</v>
      </c>
      <c r="AU37" s="937">
        <v>32</v>
      </c>
      <c r="AV37" s="938"/>
      <c r="AW37" s="935">
        <v>42138</v>
      </c>
      <c r="AX37" s="936" t="s">
        <v>797</v>
      </c>
      <c r="AY37" s="937">
        <v>48</v>
      </c>
      <c r="AZ37" s="938"/>
      <c r="BA37" s="935">
        <v>42515</v>
      </c>
      <c r="BB37" s="936" t="s">
        <v>1052</v>
      </c>
      <c r="BC37" s="937">
        <v>19</v>
      </c>
      <c r="BD37" s="938"/>
      <c r="BE37" s="935">
        <v>42867</v>
      </c>
      <c r="BF37" s="936" t="s">
        <v>823</v>
      </c>
      <c r="BG37" s="937">
        <v>9</v>
      </c>
      <c r="BH37" s="938"/>
      <c r="BI37" s="935">
        <v>43235</v>
      </c>
      <c r="BJ37" s="936" t="s">
        <v>4355</v>
      </c>
      <c r="BK37" s="937">
        <v>200</v>
      </c>
      <c r="BL37" s="938"/>
      <c r="BM37" s="935"/>
      <c r="BN37" s="936"/>
      <c r="BO37" s="937"/>
      <c r="BP37" s="938"/>
      <c r="BQ37" s="1663">
        <v>43597</v>
      </c>
      <c r="BR37" s="1668" t="s">
        <v>4356</v>
      </c>
      <c r="BS37" s="1669">
        <v>33</v>
      </c>
      <c r="BT37" s="1667" t="s">
        <v>278</v>
      </c>
      <c r="BU37" s="1663">
        <v>43966</v>
      </c>
      <c r="BV37" s="1668" t="s">
        <v>845</v>
      </c>
      <c r="BW37" s="1669">
        <v>52</v>
      </c>
      <c r="BX37" s="1667" t="s">
        <v>414</v>
      </c>
      <c r="BY37" s="1663">
        <v>44328</v>
      </c>
      <c r="BZ37" s="1668" t="s">
        <v>4357</v>
      </c>
      <c r="CA37" s="1669">
        <v>140</v>
      </c>
      <c r="CB37" s="1667" t="s">
        <v>280</v>
      </c>
      <c r="CC37" s="1663">
        <v>44688</v>
      </c>
      <c r="CD37" s="1668" t="s">
        <v>872</v>
      </c>
      <c r="CE37" s="1672">
        <v>17</v>
      </c>
      <c r="CF37" s="1667" t="s">
        <v>414</v>
      </c>
      <c r="CG37" s="1663">
        <v>45059</v>
      </c>
      <c r="CH37" s="1668" t="s">
        <v>4358</v>
      </c>
      <c r="CI37" s="1672">
        <v>19</v>
      </c>
      <c r="CJ37" s="1667" t="s">
        <v>667</v>
      </c>
      <c r="CK37" s="1663">
        <v>45431</v>
      </c>
      <c r="CL37" s="1668" t="s">
        <v>4359</v>
      </c>
      <c r="CM37" s="1672">
        <v>160</v>
      </c>
      <c r="CN37" s="1667" t="s">
        <v>701</v>
      </c>
      <c r="CO37" s="2135">
        <v>45838</v>
      </c>
      <c r="CP37" s="2138" t="s">
        <v>4360</v>
      </c>
      <c r="CQ37" s="2127"/>
      <c r="CR37" s="2128">
        <v>1257.03</v>
      </c>
    </row>
    <row r="38" spans="1:96" ht="13.5">
      <c r="A38" s="935">
        <v>37751</v>
      </c>
      <c r="B38" s="945" t="s">
        <v>4361</v>
      </c>
      <c r="C38" s="937">
        <v>55</v>
      </c>
      <c r="D38" s="938"/>
      <c r="E38" s="935">
        <v>38129</v>
      </c>
      <c r="F38" s="945" t="s">
        <v>797</v>
      </c>
      <c r="G38" s="937">
        <v>36</v>
      </c>
      <c r="H38" s="938"/>
      <c r="I38" s="935"/>
      <c r="J38" s="945"/>
      <c r="K38" s="937"/>
      <c r="L38" s="938"/>
      <c r="M38" s="935">
        <v>38850</v>
      </c>
      <c r="N38" s="945" t="s">
        <v>4362</v>
      </c>
      <c r="O38" s="937">
        <v>27</v>
      </c>
      <c r="P38" s="938"/>
      <c r="Q38" s="935">
        <v>39227</v>
      </c>
      <c r="R38" s="945" t="s">
        <v>4363</v>
      </c>
      <c r="S38" s="937">
        <v>30</v>
      </c>
      <c r="T38" s="938"/>
      <c r="U38" s="935">
        <v>39585</v>
      </c>
      <c r="V38" s="945" t="s">
        <v>767</v>
      </c>
      <c r="W38" s="937">
        <v>30</v>
      </c>
      <c r="X38" s="939"/>
      <c r="Y38" s="935">
        <v>39960</v>
      </c>
      <c r="Z38" s="945" t="s">
        <v>4364</v>
      </c>
      <c r="AA38" s="937">
        <v>13</v>
      </c>
      <c r="AB38" s="938"/>
      <c r="AC38" s="935">
        <v>40308</v>
      </c>
      <c r="AD38" s="936" t="s">
        <v>4365</v>
      </c>
      <c r="AE38" s="937">
        <v>40</v>
      </c>
      <c r="AF38" s="938"/>
      <c r="AG38" s="935">
        <v>40683</v>
      </c>
      <c r="AH38" s="936" t="s">
        <v>4366</v>
      </c>
      <c r="AI38" s="937">
        <v>350</v>
      </c>
      <c r="AJ38" s="938"/>
      <c r="AK38" s="935">
        <v>41055</v>
      </c>
      <c r="AL38" s="936" t="s">
        <v>4367</v>
      </c>
      <c r="AM38" s="937">
        <v>65</v>
      </c>
      <c r="AN38" s="938"/>
      <c r="AO38" s="935">
        <v>41412</v>
      </c>
      <c r="AP38" s="936" t="s">
        <v>4368</v>
      </c>
      <c r="AQ38" s="937">
        <v>60</v>
      </c>
      <c r="AR38" s="938"/>
      <c r="AS38" s="935">
        <v>41776</v>
      </c>
      <c r="AT38" s="936" t="s">
        <v>772</v>
      </c>
      <c r="AU38" s="937">
        <v>71</v>
      </c>
      <c r="AV38" s="938"/>
      <c r="AW38" s="935">
        <v>42138</v>
      </c>
      <c r="AX38" s="936" t="s">
        <v>4369</v>
      </c>
      <c r="AY38" s="937">
        <v>10</v>
      </c>
      <c r="AZ38" s="938"/>
      <c r="BA38" s="935">
        <v>42515</v>
      </c>
      <c r="BB38" s="936" t="s">
        <v>802</v>
      </c>
      <c r="BC38" s="937">
        <v>33</v>
      </c>
      <c r="BD38" s="938"/>
      <c r="BE38" s="935">
        <v>42868</v>
      </c>
      <c r="BF38" s="936" t="s">
        <v>823</v>
      </c>
      <c r="BG38" s="937">
        <v>25</v>
      </c>
      <c r="BH38" s="938"/>
      <c r="BI38" s="935">
        <v>43236</v>
      </c>
      <c r="BJ38" s="936" t="s">
        <v>1688</v>
      </c>
      <c r="BK38" s="937">
        <v>8</v>
      </c>
      <c r="BL38" s="938"/>
      <c r="BM38" s="935"/>
      <c r="BN38" s="936"/>
      <c r="BO38" s="937"/>
      <c r="BP38" s="938"/>
      <c r="BQ38" s="1663">
        <v>43596</v>
      </c>
      <c r="BR38" s="1668" t="s">
        <v>4370</v>
      </c>
      <c r="BS38" s="1669">
        <v>0</v>
      </c>
      <c r="BT38" s="1667" t="s">
        <v>381</v>
      </c>
      <c r="BU38" s="1663">
        <v>43968</v>
      </c>
      <c r="BV38" s="1668" t="s">
        <v>4371</v>
      </c>
      <c r="BW38" s="1669">
        <v>29</v>
      </c>
      <c r="BX38" s="1667" t="s">
        <v>280</v>
      </c>
      <c r="BY38" s="1663">
        <v>44331</v>
      </c>
      <c r="BZ38" s="1668" t="s">
        <v>4372</v>
      </c>
      <c r="CA38" s="1669">
        <v>17</v>
      </c>
      <c r="CB38" s="1667" t="s">
        <v>414</v>
      </c>
      <c r="CC38" s="1663">
        <v>44688</v>
      </c>
      <c r="CD38" s="1668" t="s">
        <v>845</v>
      </c>
      <c r="CE38" s="1672">
        <v>53</v>
      </c>
      <c r="CF38" s="1667" t="s">
        <v>414</v>
      </c>
      <c r="CG38" s="1663">
        <v>45059</v>
      </c>
      <c r="CH38" s="1668" t="s">
        <v>2215</v>
      </c>
      <c r="CI38" s="1672">
        <v>2</v>
      </c>
      <c r="CJ38" s="1667" t="s">
        <v>414</v>
      </c>
      <c r="CK38" s="1663">
        <v>45431</v>
      </c>
      <c r="CL38" s="1668" t="s">
        <v>2895</v>
      </c>
      <c r="CM38" s="1672">
        <v>25</v>
      </c>
      <c r="CN38" s="1667" t="s">
        <v>414</v>
      </c>
      <c r="CO38" s="2135">
        <v>45838</v>
      </c>
      <c r="CP38" s="2138" t="s">
        <v>4373</v>
      </c>
      <c r="CQ38" s="2127"/>
      <c r="CR38" s="2128">
        <v>-100</v>
      </c>
    </row>
    <row r="39" spans="1:96" ht="13.5">
      <c r="A39" s="935">
        <v>37751</v>
      </c>
      <c r="B39" s="945" t="s">
        <v>410</v>
      </c>
      <c r="C39" s="937">
        <v>24</v>
      </c>
      <c r="D39" s="938"/>
      <c r="E39" s="935">
        <v>38129</v>
      </c>
      <c r="F39" s="945" t="s">
        <v>772</v>
      </c>
      <c r="G39" s="937">
        <v>27</v>
      </c>
      <c r="H39" s="938"/>
      <c r="I39" s="935"/>
      <c r="J39" s="945"/>
      <c r="K39" s="937"/>
      <c r="L39" s="938"/>
      <c r="M39" s="935">
        <v>38850</v>
      </c>
      <c r="N39" s="945" t="s">
        <v>802</v>
      </c>
      <c r="O39" s="937">
        <v>45</v>
      </c>
      <c r="P39" s="938"/>
      <c r="Q39" s="935">
        <v>39227</v>
      </c>
      <c r="R39" s="945" t="s">
        <v>4374</v>
      </c>
      <c r="S39" s="937">
        <v>3</v>
      </c>
      <c r="T39" s="938"/>
      <c r="U39" s="935">
        <v>39585</v>
      </c>
      <c r="V39" s="945" t="s">
        <v>797</v>
      </c>
      <c r="W39" s="937">
        <v>67</v>
      </c>
      <c r="X39" s="939"/>
      <c r="Y39" s="935">
        <v>39961</v>
      </c>
      <c r="Z39" s="945" t="s">
        <v>797</v>
      </c>
      <c r="AA39" s="937">
        <v>16</v>
      </c>
      <c r="AB39" s="938"/>
      <c r="AC39" s="935">
        <v>40308</v>
      </c>
      <c r="AD39" s="936" t="s">
        <v>797</v>
      </c>
      <c r="AE39" s="937">
        <v>41</v>
      </c>
      <c r="AF39" s="938"/>
      <c r="AG39" s="935">
        <v>40683</v>
      </c>
      <c r="AH39" s="936" t="s">
        <v>4375</v>
      </c>
      <c r="AI39" s="937">
        <v>210</v>
      </c>
      <c r="AJ39" s="938"/>
      <c r="AK39" s="935">
        <v>41055</v>
      </c>
      <c r="AL39" s="936" t="s">
        <v>4376</v>
      </c>
      <c r="AM39" s="937">
        <v>32</v>
      </c>
      <c r="AN39" s="938"/>
      <c r="AO39" s="935">
        <v>41412</v>
      </c>
      <c r="AP39" s="936" t="s">
        <v>4377</v>
      </c>
      <c r="AQ39" s="937">
        <v>15</v>
      </c>
      <c r="AR39" s="938"/>
      <c r="AS39" s="935">
        <v>41776</v>
      </c>
      <c r="AT39" s="936" t="s">
        <v>4378</v>
      </c>
      <c r="AU39" s="937">
        <v>22</v>
      </c>
      <c r="AV39" s="938"/>
      <c r="AW39" s="935">
        <v>42141</v>
      </c>
      <c r="AX39" s="936" t="s">
        <v>754</v>
      </c>
      <c r="AY39" s="937">
        <v>16</v>
      </c>
      <c r="AZ39" s="938"/>
      <c r="BA39" s="935">
        <v>42517</v>
      </c>
      <c r="BB39" s="936" t="s">
        <v>4379</v>
      </c>
      <c r="BC39" s="937">
        <v>75</v>
      </c>
      <c r="BD39" s="938"/>
      <c r="BE39" s="935">
        <v>42868</v>
      </c>
      <c r="BF39" s="936" t="s">
        <v>4380</v>
      </c>
      <c r="BG39" s="937">
        <v>31</v>
      </c>
      <c r="BH39" s="938"/>
      <c r="BI39" s="935">
        <v>43236</v>
      </c>
      <c r="BJ39" s="936" t="s">
        <v>1290</v>
      </c>
      <c r="BK39" s="937">
        <v>46</v>
      </c>
      <c r="BL39" s="938"/>
      <c r="BM39" s="935"/>
      <c r="BN39" s="936"/>
      <c r="BO39" s="937"/>
      <c r="BP39" s="938"/>
      <c r="BQ39" s="1663">
        <v>43597</v>
      </c>
      <c r="BR39" s="1668" t="s">
        <v>4381</v>
      </c>
      <c r="BS39" s="1669">
        <v>0</v>
      </c>
      <c r="BT39" s="1667" t="s">
        <v>381</v>
      </c>
      <c r="BU39" s="1663">
        <v>43968</v>
      </c>
      <c r="BV39" s="1668" t="s">
        <v>797</v>
      </c>
      <c r="BW39" s="1669">
        <v>50</v>
      </c>
      <c r="BX39" s="1667" t="s">
        <v>410</v>
      </c>
      <c r="BY39" s="1663">
        <v>44331</v>
      </c>
      <c r="BZ39" s="1668" t="s">
        <v>772</v>
      </c>
      <c r="CA39" s="1669">
        <v>29</v>
      </c>
      <c r="CB39" s="1667" t="s">
        <v>414</v>
      </c>
      <c r="CC39" s="1663">
        <v>44688</v>
      </c>
      <c r="CD39" s="1668" t="s">
        <v>4382</v>
      </c>
      <c r="CE39" s="1672">
        <v>62</v>
      </c>
      <c r="CF39" s="1667" t="s">
        <v>381</v>
      </c>
      <c r="CG39" s="1663">
        <v>45059</v>
      </c>
      <c r="CH39" s="1668" t="s">
        <v>4383</v>
      </c>
      <c r="CI39" s="1672">
        <v>15</v>
      </c>
      <c r="CJ39" s="1667" t="s">
        <v>280</v>
      </c>
      <c r="CK39" s="1663">
        <v>45431</v>
      </c>
      <c r="CL39" s="1668" t="s">
        <v>4384</v>
      </c>
      <c r="CM39" s="1672">
        <v>0</v>
      </c>
      <c r="CN39" s="1667" t="s">
        <v>700</v>
      </c>
      <c r="CO39" s="2135">
        <v>45837</v>
      </c>
      <c r="CP39" s="2138" t="s">
        <v>4385</v>
      </c>
      <c r="CQ39" s="2127"/>
      <c r="CR39" s="2128">
        <v>-5.46</v>
      </c>
    </row>
    <row r="40" spans="1:96" ht="13.5">
      <c r="A40" s="935">
        <v>37752</v>
      </c>
      <c r="B40" s="945" t="s">
        <v>1299</v>
      </c>
      <c r="C40" s="937">
        <v>60</v>
      </c>
      <c r="D40" s="938"/>
      <c r="E40" s="935">
        <v>38129</v>
      </c>
      <c r="F40" s="945" t="s">
        <v>989</v>
      </c>
      <c r="G40" s="937">
        <v>10</v>
      </c>
      <c r="H40" s="938"/>
      <c r="I40" s="935"/>
      <c r="J40" s="945"/>
      <c r="K40" s="937"/>
      <c r="L40" s="938"/>
      <c r="M40" s="935">
        <v>38850</v>
      </c>
      <c r="N40" s="945" t="s">
        <v>937</v>
      </c>
      <c r="O40" s="937">
        <v>9</v>
      </c>
      <c r="P40" s="938"/>
      <c r="Q40" s="935">
        <v>39227</v>
      </c>
      <c r="R40" s="945" t="s">
        <v>4386</v>
      </c>
      <c r="S40" s="937">
        <v>22</v>
      </c>
      <c r="T40" s="938"/>
      <c r="U40" s="935">
        <v>39585</v>
      </c>
      <c r="V40" s="945" t="s">
        <v>1903</v>
      </c>
      <c r="W40" s="937">
        <v>31</v>
      </c>
      <c r="X40" s="939"/>
      <c r="Y40" s="935">
        <v>39963</v>
      </c>
      <c r="Z40" s="945" t="s">
        <v>781</v>
      </c>
      <c r="AA40" s="937">
        <v>82</v>
      </c>
      <c r="AB40" s="938"/>
      <c r="AC40" s="935">
        <v>40308</v>
      </c>
      <c r="AD40" s="936" t="s">
        <v>1052</v>
      </c>
      <c r="AE40" s="937">
        <v>19</v>
      </c>
      <c r="AF40" s="938"/>
      <c r="AG40" s="935">
        <v>40683</v>
      </c>
      <c r="AH40" s="936" t="s">
        <v>4387</v>
      </c>
      <c r="AI40" s="937">
        <v>140</v>
      </c>
      <c r="AJ40" s="938"/>
      <c r="AK40" s="935">
        <v>41056</v>
      </c>
      <c r="AL40" s="936" t="s">
        <v>4388</v>
      </c>
      <c r="AM40" s="937">
        <v>35</v>
      </c>
      <c r="AN40" s="938"/>
      <c r="AO40" s="935">
        <v>41412</v>
      </c>
      <c r="AP40" s="936" t="s">
        <v>4389</v>
      </c>
      <c r="AQ40" s="937">
        <v>12</v>
      </c>
      <c r="AR40" s="938"/>
      <c r="AS40" s="935">
        <v>41776</v>
      </c>
      <c r="AT40" s="936" t="s">
        <v>954</v>
      </c>
      <c r="AU40" s="937">
        <v>83</v>
      </c>
      <c r="AV40" s="938"/>
      <c r="AW40" s="935">
        <v>42141</v>
      </c>
      <c r="AX40" s="936" t="s">
        <v>772</v>
      </c>
      <c r="AY40" s="937">
        <v>10</v>
      </c>
      <c r="AZ40" s="938"/>
      <c r="BA40" s="935">
        <v>42517</v>
      </c>
      <c r="BB40" s="936" t="s">
        <v>797</v>
      </c>
      <c r="BC40" s="937">
        <v>38</v>
      </c>
      <c r="BD40" s="938"/>
      <c r="BE40" s="935">
        <v>42868</v>
      </c>
      <c r="BF40" s="936" t="s">
        <v>872</v>
      </c>
      <c r="BG40" s="937">
        <v>28</v>
      </c>
      <c r="BH40" s="938"/>
      <c r="BI40" s="935">
        <v>43236</v>
      </c>
      <c r="BJ40" s="936" t="s">
        <v>4390</v>
      </c>
      <c r="BK40" s="937">
        <v>31</v>
      </c>
      <c r="BL40" s="938"/>
      <c r="BM40" s="935"/>
      <c r="BN40" s="936"/>
      <c r="BO40" s="937"/>
      <c r="BP40" s="938"/>
      <c r="BQ40" s="1663">
        <v>43597</v>
      </c>
      <c r="BR40" s="1668" t="s">
        <v>797</v>
      </c>
      <c r="BS40" s="1669">
        <v>53</v>
      </c>
      <c r="BT40" s="1667" t="s">
        <v>410</v>
      </c>
      <c r="BU40" s="1663">
        <v>43968</v>
      </c>
      <c r="BV40" s="1668" t="s">
        <v>4391</v>
      </c>
      <c r="BW40" s="1669">
        <v>0</v>
      </c>
      <c r="BX40" s="1667" t="s">
        <v>280</v>
      </c>
      <c r="BY40" s="1663">
        <v>44331</v>
      </c>
      <c r="BZ40" s="1668" t="s">
        <v>872</v>
      </c>
      <c r="CA40" s="1669">
        <v>28</v>
      </c>
      <c r="CB40" s="1667" t="s">
        <v>414</v>
      </c>
      <c r="CC40" s="1663">
        <v>44688</v>
      </c>
      <c r="CD40" s="1668" t="s">
        <v>4392</v>
      </c>
      <c r="CE40" s="1672">
        <v>47</v>
      </c>
      <c r="CF40" s="1667" t="s">
        <v>700</v>
      </c>
      <c r="CG40" s="1663">
        <v>45059</v>
      </c>
      <c r="CH40" s="1668" t="s">
        <v>4393</v>
      </c>
      <c r="CI40" s="1672">
        <v>40</v>
      </c>
      <c r="CJ40" s="1667" t="s">
        <v>689</v>
      </c>
      <c r="CK40" s="1663">
        <v>45431</v>
      </c>
      <c r="CL40" s="1668" t="s">
        <v>4394</v>
      </c>
      <c r="CM40" s="1672">
        <v>98</v>
      </c>
      <c r="CN40" s="1667" t="s">
        <v>712</v>
      </c>
      <c r="CO40" s="2135">
        <v>45837</v>
      </c>
      <c r="CP40" s="2138" t="s">
        <v>4395</v>
      </c>
      <c r="CQ40" s="2127"/>
      <c r="CR40" s="2128">
        <v>-33.57</v>
      </c>
    </row>
    <row r="41" spans="1:96" ht="13.5">
      <c r="A41" s="935">
        <v>37752</v>
      </c>
      <c r="B41" s="945" t="s">
        <v>4396</v>
      </c>
      <c r="C41" s="937">
        <v>21</v>
      </c>
      <c r="D41" s="938"/>
      <c r="E41" s="935">
        <v>38135</v>
      </c>
      <c r="F41" s="945" t="s">
        <v>4397</v>
      </c>
      <c r="G41" s="937">
        <v>15</v>
      </c>
      <c r="H41" s="938"/>
      <c r="I41" s="935"/>
      <c r="J41" s="945"/>
      <c r="K41" s="937"/>
      <c r="L41" s="938"/>
      <c r="M41" s="935">
        <v>38851</v>
      </c>
      <c r="N41" s="945" t="s">
        <v>4398</v>
      </c>
      <c r="O41" s="937">
        <v>25</v>
      </c>
      <c r="P41" s="938"/>
      <c r="Q41" s="935">
        <v>39228</v>
      </c>
      <c r="R41" s="945" t="s">
        <v>4399</v>
      </c>
      <c r="S41" s="937">
        <v>0</v>
      </c>
      <c r="T41" s="938"/>
      <c r="U41" s="935">
        <v>39585</v>
      </c>
      <c r="V41" s="945" t="s">
        <v>4400</v>
      </c>
      <c r="W41" s="937">
        <v>0</v>
      </c>
      <c r="X41" s="939"/>
      <c r="Y41" s="935">
        <v>39963</v>
      </c>
      <c r="Z41" s="945" t="s">
        <v>4401</v>
      </c>
      <c r="AA41" s="937">
        <v>8</v>
      </c>
      <c r="AB41" s="938"/>
      <c r="AC41" s="935">
        <v>40310</v>
      </c>
      <c r="AD41" s="936" t="s">
        <v>797</v>
      </c>
      <c r="AE41" s="937">
        <v>10</v>
      </c>
      <c r="AF41" s="938"/>
      <c r="AG41" s="935">
        <v>40684</v>
      </c>
      <c r="AH41" s="936" t="s">
        <v>4402</v>
      </c>
      <c r="AI41" s="937">
        <v>26</v>
      </c>
      <c r="AJ41" s="938"/>
      <c r="AK41" s="935">
        <v>41056</v>
      </c>
      <c r="AL41" s="936" t="s">
        <v>4403</v>
      </c>
      <c r="AM41" s="937">
        <v>47</v>
      </c>
      <c r="AN41" s="938"/>
      <c r="AO41" s="935">
        <v>41412</v>
      </c>
      <c r="AP41" s="936" t="s">
        <v>754</v>
      </c>
      <c r="AQ41" s="937">
        <v>87</v>
      </c>
      <c r="AR41" s="938"/>
      <c r="AS41" s="935">
        <v>41776</v>
      </c>
      <c r="AT41" s="936" t="s">
        <v>4404</v>
      </c>
      <c r="AU41" s="937">
        <v>16</v>
      </c>
      <c r="AV41" s="938"/>
      <c r="AW41" s="935">
        <v>42142</v>
      </c>
      <c r="AX41" s="936" t="s">
        <v>802</v>
      </c>
      <c r="AY41" s="937">
        <v>46</v>
      </c>
      <c r="AZ41" s="938"/>
      <c r="BA41" s="935">
        <v>42518</v>
      </c>
      <c r="BB41" s="936" t="s">
        <v>4405</v>
      </c>
      <c r="BC41" s="937">
        <v>12</v>
      </c>
      <c r="BD41" s="938"/>
      <c r="BE41" s="935">
        <v>42868</v>
      </c>
      <c r="BF41" s="936" t="s">
        <v>781</v>
      </c>
      <c r="BG41" s="937">
        <v>20</v>
      </c>
      <c r="BH41" s="938"/>
      <c r="BI41" s="935">
        <v>43236</v>
      </c>
      <c r="BJ41" s="936" t="s">
        <v>4406</v>
      </c>
      <c r="BK41" s="937">
        <v>12</v>
      </c>
      <c r="BL41" s="938"/>
      <c r="BM41" s="935"/>
      <c r="BN41" s="936"/>
      <c r="BO41" s="937"/>
      <c r="BP41" s="938"/>
      <c r="BQ41" s="1663">
        <v>43600</v>
      </c>
      <c r="BR41" s="1668" t="s">
        <v>4407</v>
      </c>
      <c r="BS41" s="1669">
        <v>9</v>
      </c>
      <c r="BT41" s="1667" t="s">
        <v>284</v>
      </c>
      <c r="BU41" s="1663">
        <v>43968</v>
      </c>
      <c r="BV41" s="1668" t="s">
        <v>4408</v>
      </c>
      <c r="BW41" s="1669">
        <v>39</v>
      </c>
      <c r="BX41" s="1667" t="s">
        <v>280</v>
      </c>
      <c r="BY41" s="1663">
        <v>44331</v>
      </c>
      <c r="BZ41" s="1668" t="s">
        <v>2079</v>
      </c>
      <c r="CA41" s="1669">
        <v>4</v>
      </c>
      <c r="CB41" s="1667" t="s">
        <v>414</v>
      </c>
      <c r="CC41" s="1663">
        <v>44688</v>
      </c>
      <c r="CD41" s="1668" t="s">
        <v>772</v>
      </c>
      <c r="CE41" s="1672">
        <v>12</v>
      </c>
      <c r="CF41" s="1667" t="s">
        <v>414</v>
      </c>
      <c r="CG41" s="1663">
        <v>45059</v>
      </c>
      <c r="CH41" s="1668" t="s">
        <v>4409</v>
      </c>
      <c r="CI41" s="1672">
        <v>75</v>
      </c>
      <c r="CJ41" s="1667" t="s">
        <v>278</v>
      </c>
      <c r="CK41" s="1663">
        <v>45433</v>
      </c>
      <c r="CL41" s="1668" t="s">
        <v>4410</v>
      </c>
      <c r="CM41" s="1672">
        <v>21</v>
      </c>
      <c r="CN41" s="1667" t="s">
        <v>280</v>
      </c>
      <c r="CO41" s="2135">
        <v>45837</v>
      </c>
      <c r="CP41" s="2138" t="s">
        <v>4411</v>
      </c>
      <c r="CQ41" s="2127"/>
      <c r="CR41" s="2128">
        <v>-130</v>
      </c>
    </row>
    <row r="42" spans="1:96" ht="13.5">
      <c r="A42" s="935">
        <v>37752</v>
      </c>
      <c r="B42" s="945" t="s">
        <v>797</v>
      </c>
      <c r="C42" s="937">
        <v>29</v>
      </c>
      <c r="D42" s="938"/>
      <c r="E42" s="935">
        <v>38136</v>
      </c>
      <c r="F42" s="945" t="s">
        <v>797</v>
      </c>
      <c r="G42" s="937">
        <v>28</v>
      </c>
      <c r="H42" s="938"/>
      <c r="I42" s="935"/>
      <c r="J42" s="945"/>
      <c r="K42" s="937"/>
      <c r="L42" s="938"/>
      <c r="M42" s="935">
        <v>38851</v>
      </c>
      <c r="N42" s="945" t="s">
        <v>797</v>
      </c>
      <c r="O42" s="937">
        <v>47</v>
      </c>
      <c r="P42" s="938"/>
      <c r="Q42" s="935">
        <v>39228</v>
      </c>
      <c r="R42" s="945" t="s">
        <v>4412</v>
      </c>
      <c r="S42" s="937">
        <v>51</v>
      </c>
      <c r="T42" s="938"/>
      <c r="U42" s="935">
        <v>39586</v>
      </c>
      <c r="V42" s="945" t="s">
        <v>783</v>
      </c>
      <c r="W42" s="937">
        <v>4</v>
      </c>
      <c r="X42" s="939"/>
      <c r="Y42" s="935">
        <v>39963</v>
      </c>
      <c r="Z42" s="945" t="s">
        <v>1052</v>
      </c>
      <c r="AA42" s="937">
        <v>18</v>
      </c>
      <c r="AB42" s="938"/>
      <c r="AC42" s="935">
        <v>40310</v>
      </c>
      <c r="AD42" s="936" t="s">
        <v>787</v>
      </c>
      <c r="AE42" s="937">
        <v>30</v>
      </c>
      <c r="AF42" s="938"/>
      <c r="AG42" s="935">
        <v>40684</v>
      </c>
      <c r="AH42" s="936" t="s">
        <v>4413</v>
      </c>
      <c r="AI42" s="937">
        <v>33</v>
      </c>
      <c r="AJ42" s="938"/>
      <c r="AK42" s="935">
        <v>41056</v>
      </c>
      <c r="AL42" s="936" t="s">
        <v>772</v>
      </c>
      <c r="AM42" s="937">
        <v>40</v>
      </c>
      <c r="AN42" s="938"/>
      <c r="AO42" s="935">
        <v>41412</v>
      </c>
      <c r="AP42" s="936" t="s">
        <v>797</v>
      </c>
      <c r="AQ42" s="937">
        <v>57</v>
      </c>
      <c r="AR42" s="938"/>
      <c r="AS42" s="935">
        <v>41776</v>
      </c>
      <c r="AT42" s="936" t="s">
        <v>4414</v>
      </c>
      <c r="AU42" s="937">
        <v>8</v>
      </c>
      <c r="AV42" s="938"/>
      <c r="AW42" s="935">
        <v>42143</v>
      </c>
      <c r="AX42" s="936" t="s">
        <v>4415</v>
      </c>
      <c r="AY42" s="937">
        <v>36</v>
      </c>
      <c r="AZ42" s="938"/>
      <c r="BA42" s="935">
        <v>42518</v>
      </c>
      <c r="BB42" s="936" t="s">
        <v>781</v>
      </c>
      <c r="BC42" s="937">
        <v>25</v>
      </c>
      <c r="BD42" s="938"/>
      <c r="BE42" s="935">
        <v>42868</v>
      </c>
      <c r="BF42" s="936" t="s">
        <v>4416</v>
      </c>
      <c r="BG42" s="937">
        <v>30</v>
      </c>
      <c r="BH42" s="938"/>
      <c r="BI42" s="935">
        <v>43236</v>
      </c>
      <c r="BJ42" s="936" t="s">
        <v>4417</v>
      </c>
      <c r="BK42" s="937">
        <v>43</v>
      </c>
      <c r="BL42" s="938"/>
      <c r="BM42" s="935"/>
      <c r="BN42" s="936"/>
      <c r="BO42" s="937"/>
      <c r="BP42" s="938"/>
      <c r="BQ42" s="1663">
        <v>43600</v>
      </c>
      <c r="BR42" s="1668" t="s">
        <v>1903</v>
      </c>
      <c r="BS42" s="1669">
        <v>45</v>
      </c>
      <c r="BT42" s="1667" t="s">
        <v>700</v>
      </c>
      <c r="BU42" s="1663">
        <v>43971</v>
      </c>
      <c r="BV42" s="1668" t="s">
        <v>4418</v>
      </c>
      <c r="BW42" s="1669">
        <v>25</v>
      </c>
      <c r="BX42" s="1667" t="s">
        <v>414</v>
      </c>
      <c r="BY42" s="1663">
        <v>44331</v>
      </c>
      <c r="BZ42" s="1668" t="s">
        <v>845</v>
      </c>
      <c r="CA42" s="1669">
        <v>49</v>
      </c>
      <c r="CB42" s="1667" t="s">
        <v>414</v>
      </c>
      <c r="CC42" s="1663">
        <v>44688</v>
      </c>
      <c r="CD42" s="1668" t="s">
        <v>4419</v>
      </c>
      <c r="CE42" s="1672">
        <v>40</v>
      </c>
      <c r="CF42" s="1667" t="s">
        <v>692</v>
      </c>
      <c r="CG42" s="1663">
        <v>45059</v>
      </c>
      <c r="CH42" s="1668" t="s">
        <v>4420</v>
      </c>
      <c r="CI42" s="1672">
        <v>15</v>
      </c>
      <c r="CJ42" s="1667" t="s">
        <v>414</v>
      </c>
      <c r="CK42" s="1663">
        <v>45436</v>
      </c>
      <c r="CL42" s="1668" t="s">
        <v>845</v>
      </c>
      <c r="CM42" s="1672">
        <v>49</v>
      </c>
      <c r="CN42" s="1667" t="s">
        <v>414</v>
      </c>
      <c r="CO42" s="2135">
        <v>45835</v>
      </c>
      <c r="CP42" s="2138" t="s">
        <v>4421</v>
      </c>
      <c r="CQ42" s="2127"/>
      <c r="CR42" s="2128">
        <v>-536.19000000000005</v>
      </c>
    </row>
    <row r="43" spans="1:96" ht="13.5">
      <c r="A43" s="935">
        <v>37755</v>
      </c>
      <c r="B43" s="945" t="s">
        <v>4422</v>
      </c>
      <c r="C43" s="937">
        <v>100</v>
      </c>
      <c r="D43" s="938"/>
      <c r="E43" s="935">
        <v>38136</v>
      </c>
      <c r="F43" s="945" t="s">
        <v>4423</v>
      </c>
      <c r="G43" s="937">
        <v>116</v>
      </c>
      <c r="H43" s="938"/>
      <c r="I43" s="935"/>
      <c r="J43" s="945"/>
      <c r="K43" s="937"/>
      <c r="L43" s="938"/>
      <c r="M43" s="935">
        <v>38851</v>
      </c>
      <c r="N43" s="945" t="s">
        <v>4424</v>
      </c>
      <c r="O43" s="937">
        <v>5</v>
      </c>
      <c r="P43" s="938"/>
      <c r="Q43" s="935">
        <v>39228</v>
      </c>
      <c r="R43" s="945" t="s">
        <v>4425</v>
      </c>
      <c r="S43" s="937">
        <v>2</v>
      </c>
      <c r="T43" s="938"/>
      <c r="U43" s="935">
        <v>39586</v>
      </c>
      <c r="V43" s="945" t="s">
        <v>1052</v>
      </c>
      <c r="W43" s="937">
        <v>16</v>
      </c>
      <c r="X43" s="939"/>
      <c r="Y43" s="935">
        <v>39963</v>
      </c>
      <c r="Z43" s="945" t="s">
        <v>4426</v>
      </c>
      <c r="AA43" s="937">
        <v>40</v>
      </c>
      <c r="AB43" s="938"/>
      <c r="AC43" s="935">
        <v>40310</v>
      </c>
      <c r="AD43" s="936" t="s">
        <v>886</v>
      </c>
      <c r="AE43" s="937">
        <v>30</v>
      </c>
      <c r="AF43" s="938"/>
      <c r="AG43" s="935">
        <v>40684</v>
      </c>
      <c r="AH43" s="936" t="s">
        <v>4427</v>
      </c>
      <c r="AI43" s="937">
        <v>52</v>
      </c>
      <c r="AJ43" s="938"/>
      <c r="AK43" s="935">
        <v>41056</v>
      </c>
      <c r="AL43" s="936" t="s">
        <v>754</v>
      </c>
      <c r="AM43" s="937">
        <v>120</v>
      </c>
      <c r="AN43" s="938"/>
      <c r="AO43" s="935">
        <v>41417</v>
      </c>
      <c r="AP43" s="936" t="s">
        <v>802</v>
      </c>
      <c r="AQ43" s="937">
        <v>47</v>
      </c>
      <c r="AR43" s="938"/>
      <c r="AS43" s="935">
        <v>41776</v>
      </c>
      <c r="AT43" s="936" t="s">
        <v>4428</v>
      </c>
      <c r="AU43" s="937"/>
      <c r="AV43" s="938"/>
      <c r="AW43" s="935">
        <v>42146</v>
      </c>
      <c r="AX43" s="936" t="s">
        <v>925</v>
      </c>
      <c r="AY43" s="937">
        <v>12</v>
      </c>
      <c r="AZ43" s="938"/>
      <c r="BA43" s="935">
        <v>42518</v>
      </c>
      <c r="BB43" s="936" t="s">
        <v>4429</v>
      </c>
      <c r="BC43" s="937">
        <v>20</v>
      </c>
      <c r="BD43" s="938"/>
      <c r="BE43" s="935">
        <v>42869</v>
      </c>
      <c r="BF43" s="936" t="s">
        <v>4430</v>
      </c>
      <c r="BG43" s="937">
        <v>50</v>
      </c>
      <c r="BH43" s="938"/>
      <c r="BI43" s="935">
        <v>43236</v>
      </c>
      <c r="BJ43" s="936" t="s">
        <v>4431</v>
      </c>
      <c r="BK43" s="937">
        <v>4</v>
      </c>
      <c r="BL43" s="938"/>
      <c r="BM43" s="935"/>
      <c r="BN43" s="936"/>
      <c r="BO43" s="937"/>
      <c r="BP43" s="938"/>
      <c r="BQ43" s="1663">
        <v>43602</v>
      </c>
      <c r="BR43" s="1668" t="s">
        <v>823</v>
      </c>
      <c r="BS43" s="1669">
        <v>28</v>
      </c>
      <c r="BT43" s="1667" t="s">
        <v>414</v>
      </c>
      <c r="BU43" s="1663">
        <v>43971</v>
      </c>
      <c r="BV43" s="1668" t="s">
        <v>4432</v>
      </c>
      <c r="BW43" s="1669">
        <v>15</v>
      </c>
      <c r="BX43" s="1667" t="s">
        <v>414</v>
      </c>
      <c r="BY43" s="1663">
        <v>44331</v>
      </c>
      <c r="BZ43" s="1668" t="s">
        <v>859</v>
      </c>
      <c r="CA43" s="1669">
        <v>17</v>
      </c>
      <c r="CB43" s="1667" t="s">
        <v>414</v>
      </c>
      <c r="CC43" s="1663">
        <v>44688</v>
      </c>
      <c r="CD43" s="1668" t="s">
        <v>4433</v>
      </c>
      <c r="CE43" s="1672">
        <v>76</v>
      </c>
      <c r="CF43" s="1667" t="s">
        <v>701</v>
      </c>
      <c r="CG43" s="1663">
        <v>45059</v>
      </c>
      <c r="CH43" s="1668" t="s">
        <v>4434</v>
      </c>
      <c r="CI43" s="1672">
        <v>25</v>
      </c>
      <c r="CJ43" s="1667" t="s">
        <v>381</v>
      </c>
      <c r="CK43" s="1663">
        <v>45436</v>
      </c>
      <c r="CL43" s="1668" t="s">
        <v>772</v>
      </c>
      <c r="CM43" s="1672">
        <v>79</v>
      </c>
      <c r="CN43" s="1667" t="s">
        <v>414</v>
      </c>
      <c r="CO43" s="2135">
        <v>45835</v>
      </c>
      <c r="CP43" s="2138" t="s">
        <v>4435</v>
      </c>
      <c r="CQ43" s="2127"/>
      <c r="CR43" s="2128">
        <v>-27.27</v>
      </c>
    </row>
    <row r="44" spans="1:96" ht="13.5">
      <c r="A44" s="935">
        <v>37755</v>
      </c>
      <c r="B44" s="945" t="s">
        <v>4436</v>
      </c>
      <c r="C44" s="937">
        <v>10</v>
      </c>
      <c r="D44" s="938"/>
      <c r="E44" s="935">
        <v>38136</v>
      </c>
      <c r="F44" s="945" t="s">
        <v>4437</v>
      </c>
      <c r="G44" s="937">
        <v>1100</v>
      </c>
      <c r="H44" s="938"/>
      <c r="I44" s="935"/>
      <c r="J44" s="945"/>
      <c r="K44" s="937"/>
      <c r="L44" s="938"/>
      <c r="M44" s="935">
        <v>38852</v>
      </c>
      <c r="N44" s="945" t="s">
        <v>2715</v>
      </c>
      <c r="O44" s="937">
        <v>29</v>
      </c>
      <c r="P44" s="938"/>
      <c r="Q44" s="935">
        <v>39228</v>
      </c>
      <c r="R44" s="945" t="s">
        <v>797</v>
      </c>
      <c r="S44" s="937">
        <v>30</v>
      </c>
      <c r="T44" s="938"/>
      <c r="U44" s="935">
        <v>39588</v>
      </c>
      <c r="V44" s="945" t="s">
        <v>4305</v>
      </c>
      <c r="W44" s="937">
        <v>26</v>
      </c>
      <c r="X44" s="939"/>
      <c r="Y44" s="935">
        <v>39964</v>
      </c>
      <c r="Z44" s="945" t="s">
        <v>767</v>
      </c>
      <c r="AA44" s="937">
        <v>15</v>
      </c>
      <c r="AB44" s="938"/>
      <c r="AC44" s="935">
        <v>40312</v>
      </c>
      <c r="AD44" s="936" t="s">
        <v>772</v>
      </c>
      <c r="AE44" s="937">
        <v>100</v>
      </c>
      <c r="AF44" s="938"/>
      <c r="AG44" s="935">
        <v>40684</v>
      </c>
      <c r="AH44" s="936" t="s">
        <v>900</v>
      </c>
      <c r="AI44" s="937">
        <v>5</v>
      </c>
      <c r="AJ44" s="938"/>
      <c r="AK44" s="935">
        <v>41057</v>
      </c>
      <c r="AL44" s="936" t="s">
        <v>781</v>
      </c>
      <c r="AM44" s="937">
        <v>10</v>
      </c>
      <c r="AN44" s="938"/>
      <c r="AO44" s="935">
        <v>41417</v>
      </c>
      <c r="AP44" s="936" t="s">
        <v>4438</v>
      </c>
      <c r="AQ44" s="937">
        <v>23</v>
      </c>
      <c r="AR44" s="938"/>
      <c r="AS44" s="935">
        <v>41777</v>
      </c>
      <c r="AT44" s="936" t="s">
        <v>1903</v>
      </c>
      <c r="AU44" s="937">
        <v>23</v>
      </c>
      <c r="AV44" s="938"/>
      <c r="AW44" s="935">
        <v>42146</v>
      </c>
      <c r="AX44" s="936" t="s">
        <v>4439</v>
      </c>
      <c r="AY44" s="937">
        <v>85</v>
      </c>
      <c r="AZ44" s="938"/>
      <c r="BA44" s="935">
        <v>42518</v>
      </c>
      <c r="BB44" s="936" t="s">
        <v>954</v>
      </c>
      <c r="BC44" s="937">
        <v>63</v>
      </c>
      <c r="BD44" s="938"/>
      <c r="BE44" s="935">
        <v>42869</v>
      </c>
      <c r="BF44" s="936" t="s">
        <v>4440</v>
      </c>
      <c r="BG44" s="937">
        <v>162</v>
      </c>
      <c r="BH44" s="938"/>
      <c r="BI44" s="935">
        <v>43236</v>
      </c>
      <c r="BJ44" s="936" t="s">
        <v>4441</v>
      </c>
      <c r="BK44" s="937">
        <v>8</v>
      </c>
      <c r="BL44" s="938"/>
      <c r="BM44" s="935"/>
      <c r="BN44" s="936"/>
      <c r="BO44" s="937"/>
      <c r="BP44" s="938"/>
      <c r="BQ44" s="1663">
        <v>43603</v>
      </c>
      <c r="BR44" s="1668" t="s">
        <v>4070</v>
      </c>
      <c r="BS44" s="1669">
        <v>40</v>
      </c>
      <c r="BT44" s="1667" t="s">
        <v>414</v>
      </c>
      <c r="BU44" s="1663">
        <v>43971</v>
      </c>
      <c r="BV44" s="1668" t="s">
        <v>4442</v>
      </c>
      <c r="BW44" s="1669">
        <v>0</v>
      </c>
      <c r="BX44" s="1667" t="s">
        <v>414</v>
      </c>
      <c r="BY44" s="1663">
        <v>44335</v>
      </c>
      <c r="BZ44" s="1668" t="s">
        <v>4443</v>
      </c>
      <c r="CA44" s="1669">
        <v>14</v>
      </c>
      <c r="CB44" s="1667" t="s">
        <v>280</v>
      </c>
      <c r="CC44" s="1663">
        <v>44688</v>
      </c>
      <c r="CD44" s="1668" t="s">
        <v>2162</v>
      </c>
      <c r="CE44" s="1672">
        <v>9</v>
      </c>
      <c r="CF44" s="1667" t="s">
        <v>414</v>
      </c>
      <c r="CG44" s="1663">
        <v>45059</v>
      </c>
      <c r="CH44" s="1668" t="s">
        <v>4444</v>
      </c>
      <c r="CI44" s="1672">
        <v>23</v>
      </c>
      <c r="CJ44" s="1667" t="s">
        <v>381</v>
      </c>
      <c r="CK44" s="1663">
        <v>45436</v>
      </c>
      <c r="CL44" s="1668" t="s">
        <v>843</v>
      </c>
      <c r="CM44" s="1672">
        <v>21</v>
      </c>
      <c r="CN44" s="1667" t="s">
        <v>414</v>
      </c>
      <c r="CO44" s="2135">
        <v>45835</v>
      </c>
      <c r="CP44" s="2138" t="s">
        <v>4445</v>
      </c>
      <c r="CQ44" s="2127"/>
      <c r="CR44" s="2128">
        <v>78.11</v>
      </c>
    </row>
    <row r="45" spans="1:96" ht="13.5">
      <c r="A45" s="935">
        <v>37755</v>
      </c>
      <c r="B45" s="945" t="s">
        <v>4446</v>
      </c>
      <c r="C45" s="937">
        <v>20</v>
      </c>
      <c r="D45" s="938"/>
      <c r="E45" s="935">
        <v>38137</v>
      </c>
      <c r="F45" s="945" t="s">
        <v>4447</v>
      </c>
      <c r="G45" s="937">
        <v>157</v>
      </c>
      <c r="H45" s="938"/>
      <c r="I45" s="935"/>
      <c r="J45" s="945"/>
      <c r="K45" s="937"/>
      <c r="L45" s="938"/>
      <c r="M45" s="935">
        <v>38852</v>
      </c>
      <c r="N45" s="945" t="s">
        <v>4448</v>
      </c>
      <c r="O45" s="937">
        <v>16</v>
      </c>
      <c r="P45" s="938"/>
      <c r="Q45" s="935">
        <v>39229</v>
      </c>
      <c r="R45" s="945" t="s">
        <v>937</v>
      </c>
      <c r="S45" s="937">
        <v>48</v>
      </c>
      <c r="T45" s="938"/>
      <c r="U45" s="935">
        <v>39591</v>
      </c>
      <c r="V45" s="945" t="s">
        <v>4449</v>
      </c>
      <c r="W45" s="937">
        <v>75</v>
      </c>
      <c r="X45" s="939"/>
      <c r="Y45" s="935">
        <v>39964</v>
      </c>
      <c r="Z45" s="945" t="s">
        <v>797</v>
      </c>
      <c r="AA45" s="937">
        <v>45</v>
      </c>
      <c r="AB45" s="938"/>
      <c r="AC45" s="935">
        <v>40312</v>
      </c>
      <c r="AD45" s="936" t="s">
        <v>4450</v>
      </c>
      <c r="AE45" s="937">
        <v>30</v>
      </c>
      <c r="AF45" s="938"/>
      <c r="AG45" s="935">
        <v>40685</v>
      </c>
      <c r="AH45" s="936" t="s">
        <v>4451</v>
      </c>
      <c r="AI45" s="937">
        <v>55</v>
      </c>
      <c r="AJ45" s="938"/>
      <c r="AK45" s="935">
        <v>41057</v>
      </c>
      <c r="AL45" s="936" t="s">
        <v>4452</v>
      </c>
      <c r="AM45" s="937">
        <v>32</v>
      </c>
      <c r="AN45" s="938"/>
      <c r="AO45" s="935">
        <v>41418</v>
      </c>
      <c r="AP45" s="936" t="s">
        <v>4453</v>
      </c>
      <c r="AQ45" s="937">
        <v>18</v>
      </c>
      <c r="AR45" s="938"/>
      <c r="AS45" s="935">
        <v>41777</v>
      </c>
      <c r="AT45" s="936" t="s">
        <v>1573</v>
      </c>
      <c r="AU45" s="937">
        <v>60</v>
      </c>
      <c r="AV45" s="938"/>
      <c r="AW45" s="935">
        <v>42140</v>
      </c>
      <c r="AX45" s="936" t="s">
        <v>4454</v>
      </c>
      <c r="AY45" s="937">
        <v>140</v>
      </c>
      <c r="AZ45" s="938"/>
      <c r="BA45" s="935">
        <v>42518</v>
      </c>
      <c r="BB45" s="936" t="s">
        <v>4429</v>
      </c>
      <c r="BC45" s="937">
        <v>32</v>
      </c>
      <c r="BD45" s="938"/>
      <c r="BE45" s="935">
        <v>42869</v>
      </c>
      <c r="BF45" s="936" t="s">
        <v>4455</v>
      </c>
      <c r="BG45" s="937">
        <v>10</v>
      </c>
      <c r="BH45" s="938"/>
      <c r="BI45" s="935">
        <v>43236</v>
      </c>
      <c r="BJ45" s="936" t="s">
        <v>4456</v>
      </c>
      <c r="BK45" s="937">
        <v>31</v>
      </c>
      <c r="BL45" s="938"/>
      <c r="BM45" s="935"/>
      <c r="BN45" s="936"/>
      <c r="BO45" s="937"/>
      <c r="BP45" s="938"/>
      <c r="BQ45" s="1663">
        <v>43603</v>
      </c>
      <c r="BR45" s="1668" t="s">
        <v>872</v>
      </c>
      <c r="BS45" s="1669">
        <v>12</v>
      </c>
      <c r="BT45" s="1667" t="s">
        <v>414</v>
      </c>
      <c r="BU45" s="1663">
        <v>43971</v>
      </c>
      <c r="BV45" s="1668" t="s">
        <v>890</v>
      </c>
      <c r="BW45" s="1669">
        <v>36</v>
      </c>
      <c r="BX45" s="1667" t="s">
        <v>414</v>
      </c>
      <c r="BY45" s="1663">
        <v>44335</v>
      </c>
      <c r="BZ45" s="1668" t="s">
        <v>1429</v>
      </c>
      <c r="CA45" s="1669">
        <v>21</v>
      </c>
      <c r="CB45" s="1667" t="s">
        <v>414</v>
      </c>
      <c r="CC45" s="1663">
        <v>44688</v>
      </c>
      <c r="CD45" s="1668" t="s">
        <v>4457</v>
      </c>
      <c r="CE45" s="1672">
        <v>12</v>
      </c>
      <c r="CF45" s="1667" t="s">
        <v>381</v>
      </c>
      <c r="CG45" s="1663">
        <v>45060</v>
      </c>
      <c r="CH45" s="1668" t="s">
        <v>4458</v>
      </c>
      <c r="CI45" s="1672">
        <v>23</v>
      </c>
      <c r="CJ45" s="1667" t="s">
        <v>278</v>
      </c>
      <c r="CK45" s="1663">
        <v>45436</v>
      </c>
      <c r="CL45" s="1668" t="s">
        <v>859</v>
      </c>
      <c r="CM45" s="1672">
        <v>6</v>
      </c>
      <c r="CN45" s="1667" t="s">
        <v>414</v>
      </c>
      <c r="CO45" s="2135">
        <v>45835</v>
      </c>
      <c r="CP45" s="2138" t="s">
        <v>4459</v>
      </c>
      <c r="CQ45" s="2127"/>
      <c r="CR45" s="2128">
        <v>189.87</v>
      </c>
    </row>
    <row r="46" spans="1:96" ht="13.5">
      <c r="A46" s="935">
        <v>37756</v>
      </c>
      <c r="B46" s="945" t="s">
        <v>4460</v>
      </c>
      <c r="C46" s="937">
        <v>45</v>
      </c>
      <c r="D46" s="938"/>
      <c r="E46" s="935">
        <v>38137</v>
      </c>
      <c r="F46" s="945" t="s">
        <v>772</v>
      </c>
      <c r="G46" s="937">
        <v>38</v>
      </c>
      <c r="H46" s="938"/>
      <c r="I46" s="935"/>
      <c r="J46" s="945"/>
      <c r="K46" s="937"/>
      <c r="L46" s="938"/>
      <c r="M46" s="935">
        <v>38852</v>
      </c>
      <c r="N46" s="945" t="s">
        <v>4461</v>
      </c>
      <c r="O46" s="937">
        <v>0</v>
      </c>
      <c r="P46" s="938"/>
      <c r="Q46" s="935">
        <v>39229</v>
      </c>
      <c r="R46" s="945" t="s">
        <v>783</v>
      </c>
      <c r="S46" s="937">
        <v>6</v>
      </c>
      <c r="T46" s="938"/>
      <c r="U46" s="935">
        <v>39591</v>
      </c>
      <c r="V46" s="945" t="s">
        <v>772</v>
      </c>
      <c r="W46" s="937">
        <v>91</v>
      </c>
      <c r="X46" s="939"/>
      <c r="Y46" s="935"/>
      <c r="Z46" s="945"/>
      <c r="AA46" s="937"/>
      <c r="AB46" s="938"/>
      <c r="AC46" s="935">
        <v>40313</v>
      </c>
      <c r="AD46" s="936" t="s">
        <v>4462</v>
      </c>
      <c r="AE46" s="937">
        <v>20</v>
      </c>
      <c r="AF46" s="938"/>
      <c r="AG46" s="935">
        <v>40685</v>
      </c>
      <c r="AH46" s="936" t="s">
        <v>4463</v>
      </c>
      <c r="AI46" s="937">
        <v>5</v>
      </c>
      <c r="AJ46" s="938"/>
      <c r="AK46" s="935">
        <v>41057</v>
      </c>
      <c r="AL46" s="936" t="s">
        <v>4353</v>
      </c>
      <c r="AM46" s="937">
        <v>100</v>
      </c>
      <c r="AN46" s="938"/>
      <c r="AO46" s="935">
        <v>41418</v>
      </c>
      <c r="AP46" s="936" t="s">
        <v>4464</v>
      </c>
      <c r="AQ46" s="937">
        <v>14</v>
      </c>
      <c r="AR46" s="938"/>
      <c r="AS46" s="935">
        <v>41777</v>
      </c>
      <c r="AT46" s="936" t="s">
        <v>890</v>
      </c>
      <c r="AU46" s="937">
        <v>35</v>
      </c>
      <c r="AV46" s="938"/>
      <c r="AW46" s="935">
        <v>42146</v>
      </c>
      <c r="AX46" s="936" t="s">
        <v>4465</v>
      </c>
      <c r="AY46" s="937">
        <v>8</v>
      </c>
      <c r="AZ46" s="938"/>
      <c r="BA46" s="935">
        <v>42518</v>
      </c>
      <c r="BB46" s="936" t="s">
        <v>4466</v>
      </c>
      <c r="BC46" s="937">
        <v>10</v>
      </c>
      <c r="BD46" s="938"/>
      <c r="BE46" s="935">
        <v>42870</v>
      </c>
      <c r="BF46" s="936" t="s">
        <v>4467</v>
      </c>
      <c r="BG46" s="937">
        <v>156</v>
      </c>
      <c r="BH46" s="938"/>
      <c r="BI46" s="935">
        <v>43236</v>
      </c>
      <c r="BJ46" s="936" t="s">
        <v>1688</v>
      </c>
      <c r="BK46" s="937">
        <v>19</v>
      </c>
      <c r="BL46" s="938"/>
      <c r="BM46" s="935"/>
      <c r="BN46" s="936"/>
      <c r="BO46" s="937"/>
      <c r="BP46" s="938"/>
      <c r="BQ46" s="1663">
        <v>43603</v>
      </c>
      <c r="BR46" s="1668" t="s">
        <v>4468</v>
      </c>
      <c r="BS46" s="1669">
        <v>0</v>
      </c>
      <c r="BT46" s="1667" t="s">
        <v>700</v>
      </c>
      <c r="BU46" s="1663">
        <v>43972</v>
      </c>
      <c r="BV46" s="1668" t="s">
        <v>4469</v>
      </c>
      <c r="BW46" s="1669">
        <v>37</v>
      </c>
      <c r="BX46" s="1667" t="s">
        <v>414</v>
      </c>
      <c r="BY46" s="1663">
        <v>44338</v>
      </c>
      <c r="BZ46" s="1668" t="s">
        <v>3234</v>
      </c>
      <c r="CA46" s="1669">
        <v>65</v>
      </c>
      <c r="CB46" s="1667" t="s">
        <v>414</v>
      </c>
      <c r="CC46" s="1663">
        <v>44689</v>
      </c>
      <c r="CD46" s="1668" t="s">
        <v>4470</v>
      </c>
      <c r="CE46" s="1672">
        <v>3</v>
      </c>
      <c r="CF46" s="1667" t="s">
        <v>693</v>
      </c>
      <c r="CG46" s="1663">
        <v>45061</v>
      </c>
      <c r="CH46" s="1668" t="s">
        <v>4471</v>
      </c>
      <c r="CI46" s="1672">
        <v>25</v>
      </c>
      <c r="CJ46" s="1667" t="s">
        <v>414</v>
      </c>
      <c r="CK46" s="1663">
        <v>45436</v>
      </c>
      <c r="CL46" s="1668" t="s">
        <v>4472</v>
      </c>
      <c r="CM46" s="1672">
        <v>41</v>
      </c>
      <c r="CN46" s="1667" t="s">
        <v>414</v>
      </c>
      <c r="CO46" s="2135">
        <v>45834</v>
      </c>
      <c r="CP46" s="2138" t="s">
        <v>4473</v>
      </c>
      <c r="CQ46" s="2127"/>
      <c r="CR46" s="2128">
        <v>-909.11</v>
      </c>
    </row>
    <row r="47" spans="1:96" ht="13.5">
      <c r="A47" s="935">
        <v>37756</v>
      </c>
      <c r="B47" s="945" t="s">
        <v>4474</v>
      </c>
      <c r="C47" s="937">
        <v>7</v>
      </c>
      <c r="D47" s="938"/>
      <c r="E47" s="935">
        <v>38137</v>
      </c>
      <c r="F47" s="945" t="s">
        <v>4475</v>
      </c>
      <c r="G47" s="937">
        <v>4</v>
      </c>
      <c r="H47" s="938"/>
      <c r="I47" s="935"/>
      <c r="J47" s="945"/>
      <c r="K47" s="937"/>
      <c r="L47" s="938"/>
      <c r="M47" s="935">
        <v>38853</v>
      </c>
      <c r="N47" s="945" t="s">
        <v>4476</v>
      </c>
      <c r="O47" s="937">
        <v>36</v>
      </c>
      <c r="P47" s="938"/>
      <c r="Q47" s="935">
        <v>39230</v>
      </c>
      <c r="R47" s="945" t="s">
        <v>4477</v>
      </c>
      <c r="S47" s="937">
        <v>12</v>
      </c>
      <c r="T47" s="938"/>
      <c r="U47" s="935">
        <v>39591</v>
      </c>
      <c r="V47" s="945" t="s">
        <v>797</v>
      </c>
      <c r="W47" s="937">
        <v>34</v>
      </c>
      <c r="X47" s="939"/>
      <c r="Y47" s="935"/>
      <c r="Z47" s="945"/>
      <c r="AA47" s="937"/>
      <c r="AB47" s="938"/>
      <c r="AC47" s="935">
        <v>40313</v>
      </c>
      <c r="AD47" s="936" t="s">
        <v>4478</v>
      </c>
      <c r="AE47" s="937">
        <v>315</v>
      </c>
      <c r="AF47" s="938"/>
      <c r="AG47" s="935">
        <v>40685</v>
      </c>
      <c r="AH47" s="936" t="s">
        <v>4479</v>
      </c>
      <c r="AI47" s="937">
        <v>34</v>
      </c>
      <c r="AJ47" s="938"/>
      <c r="AK47" s="935">
        <v>41057</v>
      </c>
      <c r="AL47" s="936" t="s">
        <v>4480</v>
      </c>
      <c r="AM47" s="937">
        <v>45</v>
      </c>
      <c r="AN47" s="938"/>
      <c r="AO47" s="935">
        <v>41418</v>
      </c>
      <c r="AP47" s="936" t="s">
        <v>797</v>
      </c>
      <c r="AQ47" s="937">
        <v>42</v>
      </c>
      <c r="AR47" s="938"/>
      <c r="AS47" s="935">
        <v>41777</v>
      </c>
      <c r="AT47" s="936" t="s">
        <v>4481</v>
      </c>
      <c r="AU47" s="937">
        <v>18</v>
      </c>
      <c r="AV47" s="938"/>
      <c r="AW47" s="935">
        <v>42146</v>
      </c>
      <c r="AX47" s="936" t="s">
        <v>772</v>
      </c>
      <c r="AY47" s="937">
        <v>76</v>
      </c>
      <c r="AZ47" s="938"/>
      <c r="BA47" s="935">
        <v>42520</v>
      </c>
      <c r="BB47" s="936" t="s">
        <v>855</v>
      </c>
      <c r="BC47" s="937">
        <v>11</v>
      </c>
      <c r="BD47" s="938"/>
      <c r="BE47" s="935">
        <v>42870</v>
      </c>
      <c r="BF47" s="936" t="s">
        <v>2091</v>
      </c>
      <c r="BG47" s="937">
        <v>30</v>
      </c>
      <c r="BH47" s="938"/>
      <c r="BI47" s="935">
        <v>43236</v>
      </c>
      <c r="BJ47" s="936" t="s">
        <v>4482</v>
      </c>
      <c r="BK47" s="937">
        <v>4</v>
      </c>
      <c r="BL47" s="938"/>
      <c r="BM47" s="935"/>
      <c r="BN47" s="936"/>
      <c r="BO47" s="937"/>
      <c r="BP47" s="938"/>
      <c r="BQ47" s="1663">
        <v>43603</v>
      </c>
      <c r="BR47" s="1668" t="s">
        <v>4483</v>
      </c>
      <c r="BS47" s="1669">
        <v>0</v>
      </c>
      <c r="BT47" s="1667" t="s">
        <v>700</v>
      </c>
      <c r="BU47" s="1663">
        <v>43974</v>
      </c>
      <c r="BV47" s="1668" t="s">
        <v>845</v>
      </c>
      <c r="BW47" s="1669">
        <v>69</v>
      </c>
      <c r="BX47" s="1667" t="s">
        <v>414</v>
      </c>
      <c r="BY47" s="1663">
        <v>44338</v>
      </c>
      <c r="BZ47" s="1668" t="s">
        <v>4484</v>
      </c>
      <c r="CA47" s="1669">
        <v>8</v>
      </c>
      <c r="CB47" s="1667" t="s">
        <v>414</v>
      </c>
      <c r="CC47" s="1663">
        <v>44692</v>
      </c>
      <c r="CD47" s="1668" t="s">
        <v>797</v>
      </c>
      <c r="CE47" s="1672">
        <v>95</v>
      </c>
      <c r="CF47" s="1667" t="s">
        <v>410</v>
      </c>
      <c r="CG47" s="1663">
        <v>45061</v>
      </c>
      <c r="CH47" s="1668" t="s">
        <v>4485</v>
      </c>
      <c r="CI47" s="1672">
        <v>175</v>
      </c>
      <c r="CJ47" s="1667" t="s">
        <v>695</v>
      </c>
      <c r="CK47" s="1663">
        <v>45436</v>
      </c>
      <c r="CL47" s="1668" t="s">
        <v>4486</v>
      </c>
      <c r="CM47" s="1672">
        <v>32</v>
      </c>
      <c r="CN47" s="1667" t="s">
        <v>712</v>
      </c>
      <c r="CO47" s="2135">
        <v>45834</v>
      </c>
      <c r="CP47" s="2138" t="s">
        <v>4487</v>
      </c>
      <c r="CQ47" s="2127"/>
      <c r="CR47" s="2128">
        <v>909.11</v>
      </c>
    </row>
    <row r="48" spans="1:96" ht="13.5">
      <c r="A48" s="935">
        <v>37757</v>
      </c>
      <c r="B48" s="945" t="s">
        <v>4488</v>
      </c>
      <c r="C48" s="937">
        <v>16</v>
      </c>
      <c r="D48" s="938"/>
      <c r="E48" s="935">
        <v>38138</v>
      </c>
      <c r="F48" s="945" t="s">
        <v>937</v>
      </c>
      <c r="G48" s="937">
        <v>47</v>
      </c>
      <c r="H48" s="938"/>
      <c r="I48" s="935"/>
      <c r="J48" s="945"/>
      <c r="K48" s="937"/>
      <c r="L48" s="938"/>
      <c r="M48" s="935">
        <v>38853</v>
      </c>
      <c r="N48" s="945" t="s">
        <v>4489</v>
      </c>
      <c r="O48" s="937">
        <v>0</v>
      </c>
      <c r="P48" s="938"/>
      <c r="Q48" s="935">
        <v>39232</v>
      </c>
      <c r="R48" s="945" t="s">
        <v>4490</v>
      </c>
      <c r="S48" s="937">
        <v>48</v>
      </c>
      <c r="T48" s="938"/>
      <c r="U48" s="935">
        <v>39592</v>
      </c>
      <c r="V48" s="945" t="s">
        <v>4491</v>
      </c>
      <c r="W48" s="937">
        <v>30</v>
      </c>
      <c r="X48" s="939"/>
      <c r="Y48" s="935"/>
      <c r="Z48" s="945"/>
      <c r="AA48" s="937"/>
      <c r="AB48" s="938"/>
      <c r="AC48" s="935">
        <v>40313</v>
      </c>
      <c r="AD48" s="936" t="s">
        <v>4492</v>
      </c>
      <c r="AE48" s="937">
        <v>20</v>
      </c>
      <c r="AF48" s="938"/>
      <c r="AG48" s="935">
        <v>40685</v>
      </c>
      <c r="AH48" s="936" t="s">
        <v>4493</v>
      </c>
      <c r="AI48" s="937">
        <v>15</v>
      </c>
      <c r="AJ48" s="938"/>
      <c r="AK48" s="935">
        <v>41058</v>
      </c>
      <c r="AL48" s="936" t="s">
        <v>1052</v>
      </c>
      <c r="AM48" s="937">
        <v>20</v>
      </c>
      <c r="AN48" s="938"/>
      <c r="AO48" s="935">
        <v>41418</v>
      </c>
      <c r="AP48" s="936" t="s">
        <v>4494</v>
      </c>
      <c r="AQ48" s="937">
        <v>3</v>
      </c>
      <c r="AR48" s="938"/>
      <c r="AS48" s="935">
        <v>41777</v>
      </c>
      <c r="AT48" s="936" t="s">
        <v>4495</v>
      </c>
      <c r="AU48" s="937">
        <v>0</v>
      </c>
      <c r="AV48" s="938"/>
      <c r="AW48" s="935">
        <v>42146</v>
      </c>
      <c r="AX48" s="936" t="s">
        <v>962</v>
      </c>
      <c r="AY48" s="937">
        <v>76</v>
      </c>
      <c r="AZ48" s="938"/>
      <c r="BA48" s="935">
        <v>42520</v>
      </c>
      <c r="BB48" s="936" t="s">
        <v>4496</v>
      </c>
      <c r="BC48" s="937">
        <v>87</v>
      </c>
      <c r="BD48" s="938"/>
      <c r="BE48" s="935">
        <v>42870</v>
      </c>
      <c r="BF48" s="936" t="s">
        <v>4497</v>
      </c>
      <c r="BG48" s="937">
        <v>62</v>
      </c>
      <c r="BH48" s="938"/>
      <c r="BI48" s="935">
        <v>43236</v>
      </c>
      <c r="BJ48" s="936" t="s">
        <v>4498</v>
      </c>
      <c r="BK48" s="937">
        <v>15</v>
      </c>
      <c r="BL48" s="938"/>
      <c r="BM48" s="935"/>
      <c r="BN48" s="936"/>
      <c r="BO48" s="937"/>
      <c r="BP48" s="938"/>
      <c r="BQ48" s="1663">
        <v>43603</v>
      </c>
      <c r="BR48" s="1668" t="s">
        <v>1903</v>
      </c>
      <c r="BS48" s="1669">
        <v>61</v>
      </c>
      <c r="BT48" s="1667" t="s">
        <v>414</v>
      </c>
      <c r="BU48" s="1663">
        <v>43977</v>
      </c>
      <c r="BV48" s="1668" t="s">
        <v>4469</v>
      </c>
      <c r="BW48" s="1669">
        <v>43</v>
      </c>
      <c r="BX48" s="1667" t="s">
        <v>414</v>
      </c>
      <c r="BY48" s="1663">
        <v>44338</v>
      </c>
      <c r="BZ48" s="1668" t="s">
        <v>4499</v>
      </c>
      <c r="CA48" s="1669">
        <v>24</v>
      </c>
      <c r="CB48" s="1667" t="s">
        <v>414</v>
      </c>
      <c r="CC48" s="1663">
        <v>44692</v>
      </c>
      <c r="CD48" s="1668" t="s">
        <v>1180</v>
      </c>
      <c r="CE48" s="1672">
        <v>115</v>
      </c>
      <c r="CF48" s="1667" t="s">
        <v>410</v>
      </c>
      <c r="CG48" s="1663">
        <v>45061</v>
      </c>
      <c r="CH48" s="1668" t="s">
        <v>4500</v>
      </c>
      <c r="CI48" s="1672">
        <v>25</v>
      </c>
      <c r="CJ48" s="1667" t="s">
        <v>693</v>
      </c>
      <c r="CK48" s="1663">
        <v>45436</v>
      </c>
      <c r="CL48" s="1668" t="s">
        <v>2253</v>
      </c>
      <c r="CM48" s="1672">
        <v>55</v>
      </c>
      <c r="CN48" s="1667" t="s">
        <v>414</v>
      </c>
      <c r="CO48" s="2135">
        <v>45833</v>
      </c>
      <c r="CP48" s="2138" t="s">
        <v>3838</v>
      </c>
      <c r="CQ48" s="2127"/>
      <c r="CR48" s="2128">
        <v>-5.87</v>
      </c>
    </row>
    <row r="49" spans="1:96" ht="13.5">
      <c r="A49" s="935">
        <v>37757</v>
      </c>
      <c r="B49" s="945" t="s">
        <v>1299</v>
      </c>
      <c r="C49" s="937">
        <v>45</v>
      </c>
      <c r="D49" s="938"/>
      <c r="E49" s="935">
        <v>38138</v>
      </c>
      <c r="F49" s="945" t="s">
        <v>989</v>
      </c>
      <c r="G49" s="937">
        <v>4</v>
      </c>
      <c r="H49" s="938"/>
      <c r="I49" s="935"/>
      <c r="J49" s="945"/>
      <c r="K49" s="937"/>
      <c r="L49" s="938"/>
      <c r="M49" s="935">
        <v>38854</v>
      </c>
      <c r="N49" s="945" t="s">
        <v>4501</v>
      </c>
      <c r="O49" s="937">
        <v>10</v>
      </c>
      <c r="P49" s="938"/>
      <c r="Q49" s="935">
        <v>39171</v>
      </c>
      <c r="R49" s="945" t="s">
        <v>802</v>
      </c>
      <c r="S49" s="937">
        <v>40</v>
      </c>
      <c r="T49" s="938"/>
      <c r="U49" s="935">
        <v>39592</v>
      </c>
      <c r="V49" s="945" t="s">
        <v>797</v>
      </c>
      <c r="W49" s="937">
        <v>40</v>
      </c>
      <c r="X49" s="939"/>
      <c r="Y49" s="935"/>
      <c r="Z49" s="945"/>
      <c r="AA49" s="937"/>
      <c r="AB49" s="938"/>
      <c r="AC49" s="935">
        <v>40313</v>
      </c>
      <c r="AD49" s="936" t="s">
        <v>4502</v>
      </c>
      <c r="AE49" s="937">
        <v>50</v>
      </c>
      <c r="AF49" s="938"/>
      <c r="AG49" s="935">
        <v>40685</v>
      </c>
      <c r="AH49" s="936" t="s">
        <v>749</v>
      </c>
      <c r="AI49" s="937">
        <v>84</v>
      </c>
      <c r="AJ49" s="938"/>
      <c r="AK49" s="935">
        <v>41058</v>
      </c>
      <c r="AL49" s="936" t="s">
        <v>4503</v>
      </c>
      <c r="AM49" s="937">
        <v>4</v>
      </c>
      <c r="AN49" s="938"/>
      <c r="AO49" s="935">
        <v>41418</v>
      </c>
      <c r="AP49" s="936" t="s">
        <v>4504</v>
      </c>
      <c r="AQ49" s="937">
        <v>7</v>
      </c>
      <c r="AR49" s="938"/>
      <c r="AS49" s="935">
        <v>41778</v>
      </c>
      <c r="AT49" s="936" t="s">
        <v>925</v>
      </c>
      <c r="AU49" s="937">
        <v>10</v>
      </c>
      <c r="AV49" s="938"/>
      <c r="AW49" s="935">
        <v>42147</v>
      </c>
      <c r="AX49" s="936" t="s">
        <v>954</v>
      </c>
      <c r="AY49" s="937">
        <v>45</v>
      </c>
      <c r="AZ49" s="938"/>
      <c r="BA49" s="935">
        <v>42520</v>
      </c>
      <c r="BB49" s="936" t="s">
        <v>4505</v>
      </c>
      <c r="BC49" s="937">
        <v>35</v>
      </c>
      <c r="BD49" s="938"/>
      <c r="BE49" s="935">
        <v>42872</v>
      </c>
      <c r="BF49" s="936" t="s">
        <v>4506</v>
      </c>
      <c r="BG49" s="937">
        <v>7</v>
      </c>
      <c r="BH49" s="938"/>
      <c r="BI49" s="935">
        <v>43237</v>
      </c>
      <c r="BJ49" s="936" t="s">
        <v>4507</v>
      </c>
      <c r="BK49" s="937">
        <v>41</v>
      </c>
      <c r="BL49" s="938"/>
      <c r="BM49" s="935"/>
      <c r="BN49" s="936"/>
      <c r="BO49" s="937"/>
      <c r="BP49" s="938"/>
      <c r="BQ49" s="1663">
        <v>43604</v>
      </c>
      <c r="BR49" s="1668" t="s">
        <v>823</v>
      </c>
      <c r="BS49" s="1669">
        <v>52</v>
      </c>
      <c r="BT49" s="1667" t="s">
        <v>414</v>
      </c>
      <c r="BU49" s="1663">
        <v>43980</v>
      </c>
      <c r="BV49" s="1668" t="s">
        <v>4508</v>
      </c>
      <c r="BW49" s="1669">
        <v>0</v>
      </c>
      <c r="BX49" s="1667" t="s">
        <v>280</v>
      </c>
      <c r="BY49" s="1663">
        <v>44338</v>
      </c>
      <c r="BZ49" s="1668" t="s">
        <v>4509</v>
      </c>
      <c r="CA49" s="1669">
        <v>60</v>
      </c>
      <c r="CB49" s="1667" t="s">
        <v>414</v>
      </c>
      <c r="CC49" s="1663">
        <v>44692</v>
      </c>
      <c r="CD49" s="1668" t="s">
        <v>4433</v>
      </c>
      <c r="CE49" s="1672">
        <v>125</v>
      </c>
      <c r="CF49" s="1667" t="s">
        <v>701</v>
      </c>
      <c r="CG49" s="1663">
        <v>45062</v>
      </c>
      <c r="CH49" s="1668" t="s">
        <v>797</v>
      </c>
      <c r="CI49" s="1672">
        <v>80</v>
      </c>
      <c r="CJ49" s="1667" t="s">
        <v>410</v>
      </c>
      <c r="CK49" s="1663">
        <v>45436</v>
      </c>
      <c r="CL49" s="1668" t="s">
        <v>4510</v>
      </c>
      <c r="CM49" s="1672">
        <v>12</v>
      </c>
      <c r="CN49" s="1667" t="s">
        <v>414</v>
      </c>
      <c r="CO49" s="2135">
        <v>45833</v>
      </c>
      <c r="CP49" s="2138" t="s">
        <v>4511</v>
      </c>
      <c r="CQ49" s="2127"/>
      <c r="CR49" s="2128">
        <v>517.5</v>
      </c>
    </row>
    <row r="50" spans="1:96" ht="13.5">
      <c r="A50" s="935">
        <v>37757</v>
      </c>
      <c r="B50" s="945" t="s">
        <v>4512</v>
      </c>
      <c r="C50" s="937">
        <v>18</v>
      </c>
      <c r="D50" s="938"/>
      <c r="E50" s="935">
        <v>37771</v>
      </c>
      <c r="F50" s="945" t="s">
        <v>4513</v>
      </c>
      <c r="G50" s="937">
        <v>45</v>
      </c>
      <c r="H50" s="938"/>
      <c r="I50" s="935"/>
      <c r="J50" s="945"/>
      <c r="K50" s="937"/>
      <c r="L50" s="938"/>
      <c r="M50" s="935">
        <v>38854</v>
      </c>
      <c r="N50" s="945" t="s">
        <v>4514</v>
      </c>
      <c r="O50" s="937">
        <v>0</v>
      </c>
      <c r="P50" s="938"/>
      <c r="Q50" s="935"/>
      <c r="R50" s="945"/>
      <c r="S50" s="937"/>
      <c r="T50" s="938"/>
      <c r="U50" s="935">
        <v>39592</v>
      </c>
      <c r="V50" s="945" t="s">
        <v>4515</v>
      </c>
      <c r="W50" s="937">
        <v>5</v>
      </c>
      <c r="X50" s="939"/>
      <c r="Y50" s="935"/>
      <c r="Z50" s="945"/>
      <c r="AA50" s="937"/>
      <c r="AB50" s="938"/>
      <c r="AC50" s="935">
        <v>40313</v>
      </c>
      <c r="AD50" s="936" t="s">
        <v>4516</v>
      </c>
      <c r="AE50" s="937">
        <v>200</v>
      </c>
      <c r="AF50" s="938"/>
      <c r="AG50" s="935">
        <v>40685</v>
      </c>
      <c r="AH50" s="936" t="s">
        <v>4517</v>
      </c>
      <c r="AI50" s="937">
        <v>30</v>
      </c>
      <c r="AJ50" s="938"/>
      <c r="AK50" s="935">
        <v>41059</v>
      </c>
      <c r="AL50" s="936" t="s">
        <v>797</v>
      </c>
      <c r="AM50" s="937">
        <v>60</v>
      </c>
      <c r="AN50" s="938"/>
      <c r="AO50" s="935">
        <v>41418</v>
      </c>
      <c r="AP50" s="936" t="s">
        <v>4518</v>
      </c>
      <c r="AQ50" s="937">
        <v>40</v>
      </c>
      <c r="AR50" s="938"/>
      <c r="AS50" s="935">
        <v>41781</v>
      </c>
      <c r="AT50" s="936" t="s">
        <v>954</v>
      </c>
      <c r="AU50" s="937">
        <v>12</v>
      </c>
      <c r="AV50" s="938"/>
      <c r="AW50" s="935">
        <v>42147</v>
      </c>
      <c r="AX50" s="936" t="s">
        <v>1052</v>
      </c>
      <c r="AY50" s="937">
        <v>20</v>
      </c>
      <c r="AZ50" s="938"/>
      <c r="BA50" s="935">
        <v>42520</v>
      </c>
      <c r="BB50" s="936" t="s">
        <v>873</v>
      </c>
      <c r="BC50" s="937">
        <v>25</v>
      </c>
      <c r="BD50" s="938"/>
      <c r="BE50" s="935">
        <v>42872</v>
      </c>
      <c r="BF50" s="936" t="s">
        <v>859</v>
      </c>
      <c r="BG50" s="937">
        <v>7</v>
      </c>
      <c r="BH50" s="938"/>
      <c r="BI50" s="935">
        <v>43237</v>
      </c>
      <c r="BJ50" s="936" t="s">
        <v>4519</v>
      </c>
      <c r="BK50" s="937">
        <v>6</v>
      </c>
      <c r="BL50" s="938"/>
      <c r="BM50" s="935"/>
      <c r="BN50" s="936"/>
      <c r="BO50" s="937"/>
      <c r="BP50" s="938"/>
      <c r="BQ50" s="1663">
        <v>43604</v>
      </c>
      <c r="BR50" s="1668" t="s">
        <v>797</v>
      </c>
      <c r="BS50" s="1669">
        <v>40</v>
      </c>
      <c r="BT50" s="1667" t="s">
        <v>410</v>
      </c>
      <c r="BU50" s="1663">
        <v>43980</v>
      </c>
      <c r="BV50" s="1668" t="s">
        <v>4520</v>
      </c>
      <c r="BW50" s="1669">
        <v>0</v>
      </c>
      <c r="BX50" s="1667" t="s">
        <v>280</v>
      </c>
      <c r="BY50" s="1663">
        <v>44338</v>
      </c>
      <c r="BZ50" s="1668" t="s">
        <v>872</v>
      </c>
      <c r="CA50" s="1669">
        <v>25</v>
      </c>
      <c r="CB50" s="1667" t="s">
        <v>414</v>
      </c>
      <c r="CC50" s="1663">
        <v>44693</v>
      </c>
      <c r="CD50" s="1668" t="s">
        <v>1429</v>
      </c>
      <c r="CE50" s="1672">
        <v>0</v>
      </c>
      <c r="CF50" s="1667" t="s">
        <v>414</v>
      </c>
      <c r="CG50" s="1663">
        <v>45063</v>
      </c>
      <c r="CH50" s="1668" t="s">
        <v>2205</v>
      </c>
      <c r="CI50" s="1672">
        <v>20</v>
      </c>
      <c r="CJ50" s="1667" t="s">
        <v>414</v>
      </c>
      <c r="CK50" s="1663">
        <v>45436</v>
      </c>
      <c r="CL50" s="1668" t="s">
        <v>4521</v>
      </c>
      <c r="CM50" s="1672">
        <v>8</v>
      </c>
      <c r="CN50" s="1667" t="s">
        <v>414</v>
      </c>
      <c r="CO50" s="2135">
        <v>45833</v>
      </c>
      <c r="CP50" s="2138" t="s">
        <v>4522</v>
      </c>
      <c r="CQ50" s="2127"/>
      <c r="CR50" s="2128">
        <v>-1201.6199999999999</v>
      </c>
    </row>
    <row r="51" spans="1:96" ht="13.5">
      <c r="A51" s="935">
        <v>37758</v>
      </c>
      <c r="B51" s="945" t="s">
        <v>4523</v>
      </c>
      <c r="C51" s="937">
        <v>120</v>
      </c>
      <c r="D51" s="938"/>
      <c r="E51" s="935"/>
      <c r="F51" s="945"/>
      <c r="G51" s="937"/>
      <c r="H51" s="938"/>
      <c r="I51" s="935"/>
      <c r="J51" s="945"/>
      <c r="K51" s="937"/>
      <c r="L51" s="938"/>
      <c r="M51" s="935">
        <v>38855</v>
      </c>
      <c r="N51" s="945" t="s">
        <v>4524</v>
      </c>
      <c r="O51" s="937">
        <v>40</v>
      </c>
      <c r="P51" s="938"/>
      <c r="Q51" s="935"/>
      <c r="R51" s="945"/>
      <c r="S51" s="937"/>
      <c r="T51" s="938"/>
      <c r="U51" s="935">
        <v>39592</v>
      </c>
      <c r="V51" s="945" t="s">
        <v>4525</v>
      </c>
      <c r="W51" s="937">
        <v>13</v>
      </c>
      <c r="X51" s="939"/>
      <c r="Y51" s="935"/>
      <c r="Z51" s="945"/>
      <c r="AA51" s="937"/>
      <c r="AB51" s="938"/>
      <c r="AC51" s="935">
        <v>40313</v>
      </c>
      <c r="AD51" s="936" t="s">
        <v>4526</v>
      </c>
      <c r="AE51" s="937">
        <v>50</v>
      </c>
      <c r="AF51" s="938"/>
      <c r="AG51" s="935"/>
      <c r="AH51" s="936" t="s">
        <v>4527</v>
      </c>
      <c r="AI51" s="937">
        <f>SUM(AI35:AI50)</f>
        <v>1774</v>
      </c>
      <c r="AJ51" s="938"/>
      <c r="AK51" s="935">
        <v>41059</v>
      </c>
      <c r="AL51" s="936" t="s">
        <v>4528</v>
      </c>
      <c r="AM51" s="937">
        <v>52</v>
      </c>
      <c r="AN51" s="938"/>
      <c r="AO51" s="935">
        <v>41419</v>
      </c>
      <c r="AP51" s="936" t="s">
        <v>4529</v>
      </c>
      <c r="AQ51" s="937">
        <v>7</v>
      </c>
      <c r="AR51" s="938"/>
      <c r="AS51" s="935">
        <v>41781</v>
      </c>
      <c r="AT51" s="936" t="s">
        <v>4530</v>
      </c>
      <c r="AU51" s="937">
        <v>7</v>
      </c>
      <c r="AV51" s="938"/>
      <c r="AW51" s="935">
        <v>42147</v>
      </c>
      <c r="AX51" s="936" t="s">
        <v>797</v>
      </c>
      <c r="AY51" s="937">
        <v>48</v>
      </c>
      <c r="AZ51" s="938"/>
      <c r="BA51" s="935">
        <v>42520</v>
      </c>
      <c r="BB51" s="936" t="s">
        <v>2162</v>
      </c>
      <c r="BC51" s="937">
        <v>5</v>
      </c>
      <c r="BD51" s="938"/>
      <c r="BE51" s="935">
        <v>42874</v>
      </c>
      <c r="BF51" s="936" t="s">
        <v>4531</v>
      </c>
      <c r="BG51" s="937">
        <v>34</v>
      </c>
      <c r="BH51" s="938"/>
      <c r="BI51" s="935">
        <v>43237</v>
      </c>
      <c r="BJ51" s="936" t="s">
        <v>4532</v>
      </c>
      <c r="BK51" s="937">
        <v>118</v>
      </c>
      <c r="BL51" s="938"/>
      <c r="BM51" s="935"/>
      <c r="BN51" s="936"/>
      <c r="BO51" s="937"/>
      <c r="BP51" s="938"/>
      <c r="BQ51" s="1663">
        <v>43604</v>
      </c>
      <c r="BR51" s="1668" t="s">
        <v>1290</v>
      </c>
      <c r="BS51" s="1669">
        <v>30</v>
      </c>
      <c r="BT51" s="1667" t="s">
        <v>414</v>
      </c>
      <c r="BU51" s="1663">
        <v>43981</v>
      </c>
      <c r="BV51" s="1668" t="s">
        <v>872</v>
      </c>
      <c r="BW51" s="1669">
        <v>30</v>
      </c>
      <c r="BX51" s="1667" t="s">
        <v>414</v>
      </c>
      <c r="BY51" s="1663">
        <v>44338</v>
      </c>
      <c r="BZ51" s="1668" t="s">
        <v>4533</v>
      </c>
      <c r="CA51" s="1669">
        <v>27</v>
      </c>
      <c r="CB51" s="1667" t="s">
        <v>414</v>
      </c>
      <c r="CC51" s="1663">
        <v>44694</v>
      </c>
      <c r="CD51" s="1668" t="s">
        <v>845</v>
      </c>
      <c r="CE51" s="1672">
        <v>79</v>
      </c>
      <c r="CF51" s="1667" t="s">
        <v>414</v>
      </c>
      <c r="CG51" s="1663">
        <v>45066</v>
      </c>
      <c r="CH51" s="1668" t="s">
        <v>948</v>
      </c>
      <c r="CI51" s="1672">
        <v>44</v>
      </c>
      <c r="CJ51" s="1667" t="s">
        <v>414</v>
      </c>
      <c r="CK51" s="1663">
        <v>45436</v>
      </c>
      <c r="CL51" s="1668" t="s">
        <v>2157</v>
      </c>
      <c r="CM51" s="1672">
        <v>23</v>
      </c>
      <c r="CN51" s="1667" t="s">
        <v>414</v>
      </c>
      <c r="CO51" s="2135">
        <v>45833</v>
      </c>
      <c r="CP51" s="2138" t="s">
        <v>4534</v>
      </c>
      <c r="CQ51" s="2127"/>
      <c r="CR51" s="2128">
        <v>-164.68</v>
      </c>
    </row>
    <row r="52" spans="1:96" ht="13.5">
      <c r="A52" s="935">
        <v>37758</v>
      </c>
      <c r="B52" s="945" t="s">
        <v>797</v>
      </c>
      <c r="C52" s="937">
        <v>30</v>
      </c>
      <c r="D52" s="938"/>
      <c r="E52" s="935"/>
      <c r="F52" s="945"/>
      <c r="G52" s="937"/>
      <c r="H52" s="938"/>
      <c r="I52" s="935"/>
      <c r="J52" s="945"/>
      <c r="K52" s="937"/>
      <c r="L52" s="938"/>
      <c r="M52" s="935">
        <v>38855</v>
      </c>
      <c r="N52" s="945" t="s">
        <v>4535</v>
      </c>
      <c r="O52" s="937">
        <v>3</v>
      </c>
      <c r="P52" s="938"/>
      <c r="Q52" s="935"/>
      <c r="R52" s="945"/>
      <c r="S52" s="937"/>
      <c r="T52" s="938"/>
      <c r="U52" s="935">
        <v>39593</v>
      </c>
      <c r="V52" s="945" t="s">
        <v>4536</v>
      </c>
      <c r="W52" s="937">
        <v>5</v>
      </c>
      <c r="X52" s="939"/>
      <c r="Y52" s="935"/>
      <c r="Z52" s="945"/>
      <c r="AA52" s="937"/>
      <c r="AB52" s="938"/>
      <c r="AC52" s="935">
        <v>40313</v>
      </c>
      <c r="AD52" s="936" t="s">
        <v>4537</v>
      </c>
      <c r="AE52" s="937">
        <v>210</v>
      </c>
      <c r="AF52" s="938"/>
      <c r="AG52" s="935">
        <v>40686</v>
      </c>
      <c r="AH52" s="936" t="s">
        <v>4538</v>
      </c>
      <c r="AI52" s="937">
        <v>278</v>
      </c>
      <c r="AJ52" s="938"/>
      <c r="AK52" s="935">
        <v>41060</v>
      </c>
      <c r="AL52" s="936" t="s">
        <v>4539</v>
      </c>
      <c r="AM52" s="937">
        <v>5</v>
      </c>
      <c r="AN52" s="938"/>
      <c r="AO52" s="935">
        <v>41420</v>
      </c>
      <c r="AP52" s="936" t="s">
        <v>4258</v>
      </c>
      <c r="AQ52" s="937">
        <v>15</v>
      </c>
      <c r="AR52" s="938"/>
      <c r="AS52" s="935">
        <v>41781</v>
      </c>
      <c r="AT52" s="936" t="s">
        <v>4540</v>
      </c>
      <c r="AU52" s="937">
        <v>20</v>
      </c>
      <c r="AV52" s="938"/>
      <c r="AW52" s="935">
        <v>42147</v>
      </c>
      <c r="AX52" s="936" t="s">
        <v>754</v>
      </c>
      <c r="AY52" s="937">
        <v>94</v>
      </c>
      <c r="AZ52" s="938"/>
      <c r="BA52" s="935">
        <v>42521</v>
      </c>
      <c r="BB52" s="936" t="s">
        <v>4541</v>
      </c>
      <c r="BC52" s="937">
        <v>31</v>
      </c>
      <c r="BD52" s="938"/>
      <c r="BE52" s="935">
        <v>42874</v>
      </c>
      <c r="BF52" s="936" t="s">
        <v>781</v>
      </c>
      <c r="BG52" s="937">
        <v>8</v>
      </c>
      <c r="BH52" s="938"/>
      <c r="BI52" s="935">
        <v>43238</v>
      </c>
      <c r="BJ52" s="936" t="s">
        <v>823</v>
      </c>
      <c r="BK52" s="937">
        <v>17</v>
      </c>
      <c r="BL52" s="938"/>
      <c r="BM52" s="935"/>
      <c r="BN52" s="936"/>
      <c r="BO52" s="937"/>
      <c r="BP52" s="938"/>
      <c r="BQ52" s="1663">
        <v>43604</v>
      </c>
      <c r="BR52" s="1668" t="s">
        <v>4542</v>
      </c>
      <c r="BS52" s="1669">
        <v>40</v>
      </c>
      <c r="BT52" s="1667" t="s">
        <v>414</v>
      </c>
      <c r="BU52" s="1663">
        <v>43981</v>
      </c>
      <c r="BV52" s="1668" t="s">
        <v>772</v>
      </c>
      <c r="BW52" s="1669">
        <v>97</v>
      </c>
      <c r="BX52" s="1667" t="s">
        <v>414</v>
      </c>
      <c r="BY52" s="1663">
        <v>44338</v>
      </c>
      <c r="BZ52" s="1668" t="s">
        <v>845</v>
      </c>
      <c r="CA52" s="1669">
        <v>27</v>
      </c>
      <c r="CB52" s="1667" t="s">
        <v>414</v>
      </c>
      <c r="CC52" s="1663">
        <v>44695</v>
      </c>
      <c r="CD52" s="1668" t="s">
        <v>872</v>
      </c>
      <c r="CE52" s="1672">
        <v>3</v>
      </c>
      <c r="CF52" s="1667" t="s">
        <v>414</v>
      </c>
      <c r="CG52" s="1663">
        <v>45066</v>
      </c>
      <c r="CH52" s="1668" t="s">
        <v>828</v>
      </c>
      <c r="CI52" s="1672">
        <v>25</v>
      </c>
      <c r="CJ52" s="1667" t="s">
        <v>414</v>
      </c>
      <c r="CK52" s="1663">
        <v>45436</v>
      </c>
      <c r="CL52" s="1668" t="s">
        <v>4543</v>
      </c>
      <c r="CM52" s="1672">
        <v>26</v>
      </c>
      <c r="CN52" s="1667" t="s">
        <v>414</v>
      </c>
      <c r="CO52" s="2135">
        <v>45833</v>
      </c>
      <c r="CP52" s="2138" t="s">
        <v>4544</v>
      </c>
      <c r="CQ52" s="2127"/>
      <c r="CR52" s="2128">
        <v>-41.7</v>
      </c>
    </row>
    <row r="53" spans="1:96" ht="13.5">
      <c r="A53" s="935">
        <v>37758</v>
      </c>
      <c r="B53" s="945" t="s">
        <v>772</v>
      </c>
      <c r="C53" s="937">
        <v>32</v>
      </c>
      <c r="D53" s="938"/>
      <c r="E53" s="935"/>
      <c r="F53" s="945"/>
      <c r="G53" s="937"/>
      <c r="H53" s="938"/>
      <c r="I53" s="935"/>
      <c r="J53" s="945"/>
      <c r="K53" s="937"/>
      <c r="L53" s="938"/>
      <c r="M53" s="935">
        <v>38856</v>
      </c>
      <c r="N53" s="945" t="s">
        <v>4545</v>
      </c>
      <c r="O53" s="937">
        <v>32</v>
      </c>
      <c r="P53" s="938"/>
      <c r="Q53" s="935"/>
      <c r="R53" s="945"/>
      <c r="S53" s="937"/>
      <c r="T53" s="938"/>
      <c r="U53" s="935">
        <v>39593</v>
      </c>
      <c r="V53" s="945" t="s">
        <v>4546</v>
      </c>
      <c r="W53" s="937">
        <v>40</v>
      </c>
      <c r="X53" s="939"/>
      <c r="Y53" s="935"/>
      <c r="Z53" s="945"/>
      <c r="AA53" s="937"/>
      <c r="AB53" s="938"/>
      <c r="AC53" s="935">
        <v>40313</v>
      </c>
      <c r="AD53" s="936" t="s">
        <v>4547</v>
      </c>
      <c r="AE53" s="937">
        <v>200</v>
      </c>
      <c r="AF53" s="938"/>
      <c r="AG53" s="935">
        <v>40687</v>
      </c>
      <c r="AH53" s="936" t="s">
        <v>797</v>
      </c>
      <c r="AI53" s="937">
        <v>65</v>
      </c>
      <c r="AJ53" s="938"/>
      <c r="AK53" s="935">
        <v>41060</v>
      </c>
      <c r="AL53" s="936" t="s">
        <v>4548</v>
      </c>
      <c r="AM53" s="937">
        <v>14</v>
      </c>
      <c r="AN53" s="938"/>
      <c r="AO53" s="935">
        <v>41420</v>
      </c>
      <c r="AP53" s="936" t="s">
        <v>4549</v>
      </c>
      <c r="AQ53" s="937">
        <v>60</v>
      </c>
      <c r="AR53" s="938"/>
      <c r="AS53" s="935">
        <v>41781</v>
      </c>
      <c r="AT53" s="936" t="s">
        <v>890</v>
      </c>
      <c r="AU53" s="937">
        <v>30</v>
      </c>
      <c r="AV53" s="938"/>
      <c r="AW53" s="935">
        <v>42147</v>
      </c>
      <c r="AX53" s="936" t="s">
        <v>4550</v>
      </c>
      <c r="AY53" s="937">
        <v>15</v>
      </c>
      <c r="AZ53" s="938"/>
      <c r="BA53" s="935">
        <v>42521</v>
      </c>
      <c r="BB53" s="936" t="s">
        <v>4551</v>
      </c>
      <c r="BC53" s="937">
        <v>7</v>
      </c>
      <c r="BD53" s="938"/>
      <c r="BE53" s="935">
        <v>42874</v>
      </c>
      <c r="BF53" s="936" t="s">
        <v>873</v>
      </c>
      <c r="BG53" s="937">
        <v>5</v>
      </c>
      <c r="BH53" s="938"/>
      <c r="BI53" s="935">
        <v>43238</v>
      </c>
      <c r="BJ53" s="936" t="s">
        <v>872</v>
      </c>
      <c r="BK53" s="937">
        <v>20</v>
      </c>
      <c r="BL53" s="938"/>
      <c r="BM53" s="935"/>
      <c r="BN53" s="936"/>
      <c r="BO53" s="937"/>
      <c r="BP53" s="938"/>
      <c r="BQ53" s="1663">
        <v>43604</v>
      </c>
      <c r="BR53" s="1668" t="s">
        <v>1033</v>
      </c>
      <c r="BS53" s="1669">
        <v>7</v>
      </c>
      <c r="BT53" s="1667" t="s">
        <v>414</v>
      </c>
      <c r="BU53" s="1663">
        <v>43981</v>
      </c>
      <c r="BV53" s="1668" t="s">
        <v>843</v>
      </c>
      <c r="BW53" s="1669">
        <v>67</v>
      </c>
      <c r="BX53" s="1667" t="s">
        <v>414</v>
      </c>
      <c r="BY53" s="1663">
        <v>44338</v>
      </c>
      <c r="BZ53" s="1668" t="s">
        <v>843</v>
      </c>
      <c r="CA53" s="1669">
        <v>36</v>
      </c>
      <c r="CB53" s="1667" t="s">
        <v>414</v>
      </c>
      <c r="CC53" s="1663">
        <v>44695</v>
      </c>
      <c r="CD53" s="1668" t="s">
        <v>859</v>
      </c>
      <c r="CE53" s="1672">
        <v>20</v>
      </c>
      <c r="CF53" s="1667" t="s">
        <v>414</v>
      </c>
      <c r="CG53" s="1663">
        <v>45066</v>
      </c>
      <c r="CH53" s="1668" t="s">
        <v>2162</v>
      </c>
      <c r="CI53" s="1672">
        <v>30</v>
      </c>
      <c r="CJ53" s="1667" t="s">
        <v>414</v>
      </c>
      <c r="CK53" s="1663">
        <v>45436</v>
      </c>
      <c r="CL53" s="1668" t="s">
        <v>4552</v>
      </c>
      <c r="CM53" s="1672">
        <v>15</v>
      </c>
      <c r="CN53" s="1667" t="s">
        <v>414</v>
      </c>
      <c r="CO53" s="2135">
        <v>45832</v>
      </c>
      <c r="CP53" s="2138" t="s">
        <v>4553</v>
      </c>
      <c r="CQ53" s="2127"/>
      <c r="CR53" s="2128">
        <v>-5</v>
      </c>
    </row>
    <row r="54" spans="1:96" ht="13.5">
      <c r="A54" s="935">
        <v>37758</v>
      </c>
      <c r="B54" s="945" t="s">
        <v>937</v>
      </c>
      <c r="C54" s="937">
        <v>48</v>
      </c>
      <c r="D54" s="938"/>
      <c r="E54" s="935"/>
      <c r="F54" s="945"/>
      <c r="G54" s="937"/>
      <c r="H54" s="938"/>
      <c r="I54" s="935"/>
      <c r="J54" s="945"/>
      <c r="K54" s="937"/>
      <c r="L54" s="938"/>
      <c r="M54" s="935">
        <v>38856</v>
      </c>
      <c r="N54" s="945" t="s">
        <v>4554</v>
      </c>
      <c r="O54" s="937">
        <v>10</v>
      </c>
      <c r="P54" s="938"/>
      <c r="Q54" s="935"/>
      <c r="R54" s="945"/>
      <c r="S54" s="937"/>
      <c r="T54" s="938"/>
      <c r="U54" s="935">
        <v>39594</v>
      </c>
      <c r="V54" s="945" t="s">
        <v>4555</v>
      </c>
      <c r="W54" s="937">
        <v>30</v>
      </c>
      <c r="X54" s="939"/>
      <c r="Y54" s="935"/>
      <c r="Z54" s="945"/>
      <c r="AA54" s="937"/>
      <c r="AB54" s="938"/>
      <c r="AC54" s="935">
        <v>40313</v>
      </c>
      <c r="AD54" s="936" t="s">
        <v>4556</v>
      </c>
      <c r="AE54" s="937">
        <f>SUM(AE45:AE53) + AE36 +AE24 +28 +42 +32</f>
        <v>1327</v>
      </c>
      <c r="AF54" s="938"/>
      <c r="AG54" s="935">
        <v>40688</v>
      </c>
      <c r="AH54" s="936" t="s">
        <v>767</v>
      </c>
      <c r="AI54" s="937">
        <v>5</v>
      </c>
      <c r="AJ54" s="938"/>
      <c r="AK54" s="935">
        <v>41060</v>
      </c>
      <c r="AL54" s="936" t="s">
        <v>4557</v>
      </c>
      <c r="AM54" s="937">
        <v>20</v>
      </c>
      <c r="AN54" s="938"/>
      <c r="AO54" s="935">
        <v>41420</v>
      </c>
      <c r="AP54" s="936" t="s">
        <v>2463</v>
      </c>
      <c r="AQ54" s="937">
        <v>54</v>
      </c>
      <c r="AR54" s="938"/>
      <c r="AS54" s="935">
        <v>41782</v>
      </c>
      <c r="AT54" s="936" t="s">
        <v>797</v>
      </c>
      <c r="AU54" s="937">
        <v>61</v>
      </c>
      <c r="AV54" s="938"/>
      <c r="AW54" s="935">
        <v>42147</v>
      </c>
      <c r="AX54" s="936" t="s">
        <v>787</v>
      </c>
      <c r="AY54" s="937">
        <v>22</v>
      </c>
      <c r="AZ54" s="938"/>
      <c r="BA54" s="935">
        <v>42521</v>
      </c>
      <c r="BB54" s="936" t="s">
        <v>4551</v>
      </c>
      <c r="BC54" s="937">
        <v>7</v>
      </c>
      <c r="BD54" s="938"/>
      <c r="BE54" s="935">
        <v>42874</v>
      </c>
      <c r="BF54" s="936" t="s">
        <v>797</v>
      </c>
      <c r="BG54" s="937">
        <v>57</v>
      </c>
      <c r="BH54" s="938"/>
      <c r="BI54" s="935">
        <v>43238</v>
      </c>
      <c r="BJ54" s="936" t="s">
        <v>4507</v>
      </c>
      <c r="BK54" s="937">
        <v>41</v>
      </c>
      <c r="BL54" s="938"/>
      <c r="BM54" s="935"/>
      <c r="BN54" s="936"/>
      <c r="BO54" s="937"/>
      <c r="BP54" s="938"/>
      <c r="BQ54" s="1663">
        <v>43604</v>
      </c>
      <c r="BR54" s="1668" t="s">
        <v>1357</v>
      </c>
      <c r="BS54" s="1669">
        <v>15</v>
      </c>
      <c r="BT54" s="1667" t="s">
        <v>414</v>
      </c>
      <c r="BU54" s="1663">
        <v>43982</v>
      </c>
      <c r="BV54" s="1668" t="s">
        <v>4558</v>
      </c>
      <c r="BW54" s="1669">
        <v>19</v>
      </c>
      <c r="BX54" s="1667" t="s">
        <v>414</v>
      </c>
      <c r="BY54" s="1663">
        <v>44338</v>
      </c>
      <c r="BZ54" s="1668" t="s">
        <v>998</v>
      </c>
      <c r="CA54" s="1669">
        <v>2</v>
      </c>
      <c r="CB54" s="1667" t="s">
        <v>414</v>
      </c>
      <c r="CC54" s="1663">
        <v>44702</v>
      </c>
      <c r="CD54" s="1668" t="s">
        <v>748</v>
      </c>
      <c r="CE54" s="1672">
        <v>120</v>
      </c>
      <c r="CF54" s="1667" t="s">
        <v>280</v>
      </c>
      <c r="CG54" s="1663">
        <v>45066</v>
      </c>
      <c r="CH54" s="1668" t="s">
        <v>4559</v>
      </c>
      <c r="CI54" s="1672">
        <v>10</v>
      </c>
      <c r="CJ54" s="1667" t="s">
        <v>414</v>
      </c>
      <c r="CK54" s="1663">
        <v>45436</v>
      </c>
      <c r="CL54" s="1668" t="s">
        <v>4560</v>
      </c>
      <c r="CM54" s="1672">
        <v>15</v>
      </c>
      <c r="CN54" s="1667" t="s">
        <v>414</v>
      </c>
      <c r="CO54" s="2135">
        <v>45832</v>
      </c>
      <c r="CP54" s="2138" t="s">
        <v>4561</v>
      </c>
      <c r="CQ54" s="2127"/>
      <c r="CR54" s="2128">
        <v>627.67999999999995</v>
      </c>
    </row>
    <row r="55" spans="1:96" ht="13.5">
      <c r="A55" s="935">
        <v>37760</v>
      </c>
      <c r="B55" s="945" t="s">
        <v>4562</v>
      </c>
      <c r="C55" s="937">
        <v>50</v>
      </c>
      <c r="D55" s="938"/>
      <c r="E55" s="935"/>
      <c r="F55" s="945"/>
      <c r="G55" s="937"/>
      <c r="H55" s="938"/>
      <c r="I55" s="935"/>
      <c r="J55" s="945"/>
      <c r="K55" s="937"/>
      <c r="L55" s="938"/>
      <c r="M55" s="935">
        <v>38856</v>
      </c>
      <c r="N55" s="945" t="s">
        <v>4563</v>
      </c>
      <c r="O55" s="937">
        <v>7</v>
      </c>
      <c r="P55" s="938"/>
      <c r="Q55" s="935"/>
      <c r="R55" s="945"/>
      <c r="S55" s="937"/>
      <c r="T55" s="938"/>
      <c r="U55" s="935">
        <v>39594</v>
      </c>
      <c r="V55" s="945" t="s">
        <v>797</v>
      </c>
      <c r="W55" s="937">
        <v>35</v>
      </c>
      <c r="X55" s="939"/>
      <c r="Y55" s="935"/>
      <c r="Z55" s="945"/>
      <c r="AA55" s="937"/>
      <c r="AB55" s="938"/>
      <c r="AC55" s="935">
        <v>40314</v>
      </c>
      <c r="AD55" s="936" t="s">
        <v>4564</v>
      </c>
      <c r="AE55" s="937">
        <v>10</v>
      </c>
      <c r="AF55" s="938"/>
      <c r="AG55" s="935">
        <v>40689</v>
      </c>
      <c r="AH55" s="936" t="s">
        <v>1052</v>
      </c>
      <c r="AI55" s="937">
        <v>35</v>
      </c>
      <c r="AJ55" s="938"/>
      <c r="AK55" s="935">
        <v>41060</v>
      </c>
      <c r="AL55" s="936" t="s">
        <v>4565</v>
      </c>
      <c r="AM55" s="937">
        <v>165</v>
      </c>
      <c r="AN55" s="938"/>
      <c r="AO55" s="935">
        <v>41420</v>
      </c>
      <c r="AP55" s="936" t="s">
        <v>4566</v>
      </c>
      <c r="AQ55" s="937">
        <v>65</v>
      </c>
      <c r="AR55" s="938"/>
      <c r="AS55" s="935">
        <v>41782</v>
      </c>
      <c r="AT55" s="936" t="s">
        <v>4567</v>
      </c>
      <c r="AU55" s="937">
        <v>20</v>
      </c>
      <c r="AV55" s="938"/>
      <c r="AW55" s="935">
        <v>42147</v>
      </c>
      <c r="AX55" s="936" t="s">
        <v>4568</v>
      </c>
      <c r="AY55" s="937">
        <v>20</v>
      </c>
      <c r="AZ55" s="938"/>
      <c r="BA55" s="935">
        <v>42521</v>
      </c>
      <c r="BB55" s="936" t="s">
        <v>4569</v>
      </c>
      <c r="BC55" s="937">
        <v>150</v>
      </c>
      <c r="BD55" s="938"/>
      <c r="BE55" s="935">
        <v>42875</v>
      </c>
      <c r="BF55" s="936" t="s">
        <v>872</v>
      </c>
      <c r="BG55" s="937">
        <v>35</v>
      </c>
      <c r="BH55" s="938"/>
      <c r="BI55" s="935">
        <v>43238</v>
      </c>
      <c r="BJ55" s="936" t="s">
        <v>4570</v>
      </c>
      <c r="BK55" s="937">
        <v>8</v>
      </c>
      <c r="BL55" s="938"/>
      <c r="BM55" s="935"/>
      <c r="BN55" s="936"/>
      <c r="BO55" s="937"/>
      <c r="BP55" s="938"/>
      <c r="BQ55" s="1663">
        <v>43604</v>
      </c>
      <c r="BR55" s="1668" t="s">
        <v>4571</v>
      </c>
      <c r="BS55" s="1669">
        <v>7</v>
      </c>
      <c r="BT55" s="1667" t="s">
        <v>414</v>
      </c>
      <c r="BU55" s="1663">
        <v>43982</v>
      </c>
      <c r="BV55" s="1668" t="s">
        <v>4572</v>
      </c>
      <c r="BW55" s="1669">
        <v>4</v>
      </c>
      <c r="BX55" s="1667" t="s">
        <v>414</v>
      </c>
      <c r="BY55" s="1663">
        <v>44343</v>
      </c>
      <c r="BZ55" s="1668" t="s">
        <v>4573</v>
      </c>
      <c r="CA55" s="1669">
        <v>36</v>
      </c>
      <c r="CB55" s="1667" t="s">
        <v>414</v>
      </c>
      <c r="CC55" s="1663">
        <v>44702</v>
      </c>
      <c r="CD55" s="1668" t="s">
        <v>845</v>
      </c>
      <c r="CE55" s="1672">
        <v>49</v>
      </c>
      <c r="CF55" s="1667" t="s">
        <v>414</v>
      </c>
      <c r="CG55" s="1663">
        <v>45066</v>
      </c>
      <c r="CH55" s="1668" t="s">
        <v>4574</v>
      </c>
      <c r="CI55" s="1672">
        <v>25</v>
      </c>
      <c r="CJ55" s="1667" t="s">
        <v>278</v>
      </c>
      <c r="CK55" s="1663">
        <v>45436</v>
      </c>
      <c r="CL55" s="1668" t="s">
        <v>4575</v>
      </c>
      <c r="CM55" s="1672">
        <v>18</v>
      </c>
      <c r="CN55" s="1667" t="s">
        <v>414</v>
      </c>
      <c r="CO55" s="2135">
        <v>45831</v>
      </c>
      <c r="CP55" s="2138" t="s">
        <v>4576</v>
      </c>
      <c r="CQ55" s="2127"/>
      <c r="CR55" s="2128">
        <v>-13</v>
      </c>
    </row>
    <row r="56" spans="1:96" ht="13.5">
      <c r="A56" s="935">
        <v>37760</v>
      </c>
      <c r="B56" s="945" t="s">
        <v>4577</v>
      </c>
      <c r="C56" s="937">
        <v>22</v>
      </c>
      <c r="D56" s="938"/>
      <c r="E56" s="961"/>
      <c r="F56" s="955"/>
      <c r="G56" s="937"/>
      <c r="H56" s="938"/>
      <c r="I56" s="961"/>
      <c r="J56" s="955"/>
      <c r="K56" s="937"/>
      <c r="L56" s="938"/>
      <c r="M56" s="935">
        <v>38856</v>
      </c>
      <c r="N56" s="945" t="s">
        <v>4578</v>
      </c>
      <c r="O56" s="937">
        <v>7</v>
      </c>
      <c r="P56" s="938"/>
      <c r="Q56" s="935"/>
      <c r="R56" s="945"/>
      <c r="S56" s="937"/>
      <c r="T56" s="938"/>
      <c r="U56" s="935">
        <v>39594</v>
      </c>
      <c r="V56" s="945" t="s">
        <v>4579</v>
      </c>
      <c r="W56" s="937">
        <v>22</v>
      </c>
      <c r="X56" s="939"/>
      <c r="Y56" s="935"/>
      <c r="Z56" s="945"/>
      <c r="AA56" s="937"/>
      <c r="AB56" s="938"/>
      <c r="AC56" s="935">
        <v>40314</v>
      </c>
      <c r="AD56" s="936" t="s">
        <v>4580</v>
      </c>
      <c r="AE56" s="937">
        <v>20</v>
      </c>
      <c r="AF56" s="938"/>
      <c r="AG56" s="935">
        <v>40689</v>
      </c>
      <c r="AH56" s="936" t="s">
        <v>4581</v>
      </c>
      <c r="AI56" s="937">
        <v>39</v>
      </c>
      <c r="AJ56" s="938"/>
      <c r="AK56" s="935">
        <v>41060</v>
      </c>
      <c r="AL56" s="936" t="s">
        <v>4582</v>
      </c>
      <c r="AM56" s="937">
        <v>10</v>
      </c>
      <c r="AN56" s="938"/>
      <c r="AO56" s="935">
        <v>41420</v>
      </c>
      <c r="AP56" s="936" t="s">
        <v>754</v>
      </c>
      <c r="AQ56" s="937">
        <v>134</v>
      </c>
      <c r="AR56" s="938"/>
      <c r="AS56" s="935">
        <v>41782</v>
      </c>
      <c r="AT56" s="936" t="s">
        <v>4583</v>
      </c>
      <c r="AU56" s="937">
        <v>37</v>
      </c>
      <c r="AV56" s="938"/>
      <c r="AW56" s="935">
        <v>42148</v>
      </c>
      <c r="AX56" s="936" t="s">
        <v>4405</v>
      </c>
      <c r="AY56" s="937">
        <v>9</v>
      </c>
      <c r="AZ56" s="938"/>
      <c r="BA56" s="935"/>
      <c r="BB56" s="936"/>
      <c r="BC56" s="937"/>
      <c r="BD56" s="938"/>
      <c r="BE56" s="935">
        <v>42875</v>
      </c>
      <c r="BF56" s="936" t="s">
        <v>823</v>
      </c>
      <c r="BG56" s="937">
        <v>15</v>
      </c>
      <c r="BH56" s="938"/>
      <c r="BI56" s="935">
        <v>43238</v>
      </c>
      <c r="BJ56" s="936" t="s">
        <v>797</v>
      </c>
      <c r="BK56" s="937">
        <v>59</v>
      </c>
      <c r="BL56" s="938"/>
      <c r="BM56" s="935"/>
      <c r="BN56" s="936"/>
      <c r="BO56" s="937"/>
      <c r="BP56" s="938"/>
      <c r="BQ56" s="1663">
        <v>43604</v>
      </c>
      <c r="BR56" s="1668" t="s">
        <v>4584</v>
      </c>
      <c r="BS56" s="1669">
        <v>18</v>
      </c>
      <c r="BT56" s="1667" t="s">
        <v>280</v>
      </c>
      <c r="BU56" s="1663">
        <v>43982</v>
      </c>
      <c r="BV56" s="1668" t="s">
        <v>4585</v>
      </c>
      <c r="BW56" s="1669">
        <v>10</v>
      </c>
      <c r="BX56" s="1667" t="s">
        <v>280</v>
      </c>
      <c r="BY56" s="1663">
        <v>44343</v>
      </c>
      <c r="BZ56" s="1668" t="s">
        <v>4586</v>
      </c>
      <c r="CA56" s="1669">
        <v>55</v>
      </c>
      <c r="CB56" s="1667" t="s">
        <v>667</v>
      </c>
      <c r="CC56" s="1663">
        <v>44702</v>
      </c>
      <c r="CD56" s="1668" t="s">
        <v>772</v>
      </c>
      <c r="CE56" s="1672">
        <v>31</v>
      </c>
      <c r="CF56" s="1667" t="s">
        <v>414</v>
      </c>
      <c r="CG56" s="1663">
        <v>45066</v>
      </c>
      <c r="CH56" s="1668" t="s">
        <v>4587</v>
      </c>
      <c r="CI56" s="1672">
        <v>550</v>
      </c>
      <c r="CJ56" s="1667" t="s">
        <v>689</v>
      </c>
      <c r="CK56" s="1663">
        <v>45436</v>
      </c>
      <c r="CL56" s="1668" t="s">
        <v>4588</v>
      </c>
      <c r="CM56" s="1672">
        <v>9</v>
      </c>
      <c r="CN56" s="1667" t="s">
        <v>414</v>
      </c>
      <c r="CO56" s="2135">
        <v>45831</v>
      </c>
      <c r="CP56" s="2138" t="s">
        <v>4589</v>
      </c>
      <c r="CQ56" s="2127"/>
      <c r="CR56" s="2128">
        <v>-46.9</v>
      </c>
    </row>
    <row r="57" spans="1:96" ht="13.5">
      <c r="A57" s="935">
        <v>37760</v>
      </c>
      <c r="B57" s="945" t="s">
        <v>4590</v>
      </c>
      <c r="C57" s="937">
        <v>20</v>
      </c>
      <c r="D57" s="938"/>
      <c r="E57" s="935"/>
      <c r="F57" s="945"/>
      <c r="G57" s="937"/>
      <c r="H57" s="938"/>
      <c r="I57" s="935"/>
      <c r="J57" s="945"/>
      <c r="K57" s="937"/>
      <c r="L57" s="938"/>
      <c r="M57" s="935">
        <v>38856</v>
      </c>
      <c r="N57" s="945" t="s">
        <v>4591</v>
      </c>
      <c r="O57" s="937">
        <v>9</v>
      </c>
      <c r="P57" s="938"/>
      <c r="Q57" s="935"/>
      <c r="R57" s="945"/>
      <c r="S57" s="937"/>
      <c r="T57" s="938"/>
      <c r="U57" s="935">
        <v>39594</v>
      </c>
      <c r="V57" s="945" t="s">
        <v>4592</v>
      </c>
      <c r="W57" s="937">
        <v>7</v>
      </c>
      <c r="X57" s="939"/>
      <c r="Y57" s="935"/>
      <c r="Z57" s="945"/>
      <c r="AA57" s="937"/>
      <c r="AB57" s="938"/>
      <c r="AC57" s="935">
        <v>40314</v>
      </c>
      <c r="AD57" s="936" t="s">
        <v>4593</v>
      </c>
      <c r="AE57" s="937">
        <v>20</v>
      </c>
      <c r="AF57" s="938"/>
      <c r="AG57" s="935">
        <v>40691</v>
      </c>
      <c r="AH57" s="936" t="s">
        <v>4594</v>
      </c>
      <c r="AI57" s="937">
        <v>7</v>
      </c>
      <c r="AJ57" s="938"/>
      <c r="AK57" s="935"/>
      <c r="AL57" s="936"/>
      <c r="AM57" s="937"/>
      <c r="AN57" s="938"/>
      <c r="AO57" s="935">
        <v>41421</v>
      </c>
      <c r="AP57" s="936" t="s">
        <v>4595</v>
      </c>
      <c r="AQ57" s="937">
        <v>18</v>
      </c>
      <c r="AR57" s="938"/>
      <c r="AS57" s="935">
        <v>41782</v>
      </c>
      <c r="AT57" s="936" t="s">
        <v>4596</v>
      </c>
      <c r="AU57" s="937">
        <v>210</v>
      </c>
      <c r="AV57" s="938"/>
      <c r="AW57" s="935">
        <v>42148</v>
      </c>
      <c r="AX57" s="936" t="s">
        <v>4597</v>
      </c>
      <c r="AY57" s="937">
        <v>9</v>
      </c>
      <c r="AZ57" s="938"/>
      <c r="BA57" s="935"/>
      <c r="BB57" s="936"/>
      <c r="BC57" s="937"/>
      <c r="BD57" s="938"/>
      <c r="BE57" s="935">
        <v>42875</v>
      </c>
      <c r="BF57" s="936" t="s">
        <v>4598</v>
      </c>
      <c r="BG57" s="937">
        <v>70</v>
      </c>
      <c r="BH57" s="938"/>
      <c r="BI57" s="935">
        <v>43239</v>
      </c>
      <c r="BJ57" s="936" t="s">
        <v>1180</v>
      </c>
      <c r="BK57" s="937">
        <v>87</v>
      </c>
      <c r="BL57" s="938"/>
      <c r="BM57" s="935"/>
      <c r="BN57" s="936"/>
      <c r="BO57" s="937"/>
      <c r="BP57" s="938"/>
      <c r="BQ57" s="1663">
        <v>43604</v>
      </c>
      <c r="BR57" s="1668" t="s">
        <v>4599</v>
      </c>
      <c r="BS57" s="1669">
        <v>20</v>
      </c>
      <c r="BT57" s="1667" t="s">
        <v>280</v>
      </c>
      <c r="BU57" s="1663">
        <v>43982</v>
      </c>
      <c r="BV57" s="1668" t="s">
        <v>4600</v>
      </c>
      <c r="BW57" s="1669">
        <v>0</v>
      </c>
      <c r="BX57" s="1667" t="s">
        <v>280</v>
      </c>
      <c r="BY57" s="1663">
        <v>44343</v>
      </c>
      <c r="BZ57" s="1668" t="s">
        <v>4598</v>
      </c>
      <c r="CA57" s="1669">
        <v>8</v>
      </c>
      <c r="CB57" s="1667" t="s">
        <v>280</v>
      </c>
      <c r="CC57" s="1663">
        <v>44702</v>
      </c>
      <c r="CD57" s="1668" t="s">
        <v>872</v>
      </c>
      <c r="CE57" s="1672">
        <v>10</v>
      </c>
      <c r="CF57" s="1667" t="s">
        <v>414</v>
      </c>
      <c r="CG57" s="1663">
        <v>45066</v>
      </c>
      <c r="CH57" s="1668" t="s">
        <v>845</v>
      </c>
      <c r="CI57" s="1672">
        <v>16</v>
      </c>
      <c r="CJ57" s="1667" t="s">
        <v>414</v>
      </c>
      <c r="CK57" s="1663">
        <v>45436</v>
      </c>
      <c r="CL57" s="1668" t="s">
        <v>4601</v>
      </c>
      <c r="CM57" s="1672">
        <v>24</v>
      </c>
      <c r="CN57" s="1667" t="s">
        <v>414</v>
      </c>
      <c r="CO57" s="2135">
        <v>45831</v>
      </c>
      <c r="CP57" s="2138" t="s">
        <v>4385</v>
      </c>
      <c r="CQ57" s="2127"/>
      <c r="CR57" s="2128">
        <v>-3.72</v>
      </c>
    </row>
    <row r="58" spans="1:96" ht="13.5">
      <c r="A58" s="935">
        <v>37761</v>
      </c>
      <c r="B58" s="945" t="s">
        <v>4602</v>
      </c>
      <c r="C58" s="937">
        <v>28</v>
      </c>
      <c r="D58" s="938"/>
      <c r="E58" s="935"/>
      <c r="F58" s="945"/>
      <c r="G58" s="937"/>
      <c r="H58" s="938"/>
      <c r="I58" s="935"/>
      <c r="J58" s="945"/>
      <c r="K58" s="937"/>
      <c r="L58" s="938"/>
      <c r="M58" s="935">
        <v>38856</v>
      </c>
      <c r="N58" s="945" t="s">
        <v>4603</v>
      </c>
      <c r="O58" s="937">
        <v>7</v>
      </c>
      <c r="P58" s="938"/>
      <c r="Q58" s="935"/>
      <c r="R58" s="945"/>
      <c r="S58" s="937"/>
      <c r="T58" s="938"/>
      <c r="U58" s="935">
        <v>39594</v>
      </c>
      <c r="V58" s="945" t="s">
        <v>4604</v>
      </c>
      <c r="W58" s="937">
        <v>120</v>
      </c>
      <c r="X58" s="939"/>
      <c r="Y58" s="935"/>
      <c r="Z58" s="945"/>
      <c r="AA58" s="937"/>
      <c r="AB58" s="938"/>
      <c r="AC58" s="935">
        <v>40314</v>
      </c>
      <c r="AD58" s="936" t="s">
        <v>937</v>
      </c>
      <c r="AE58" s="937">
        <v>12</v>
      </c>
      <c r="AF58" s="938"/>
      <c r="AG58" s="935">
        <v>40691</v>
      </c>
      <c r="AH58" s="936" t="s">
        <v>1903</v>
      </c>
      <c r="AI58" s="937">
        <v>26</v>
      </c>
      <c r="AJ58" s="938"/>
      <c r="AK58" s="935"/>
      <c r="AL58" s="936"/>
      <c r="AM58" s="937"/>
      <c r="AN58" s="938"/>
      <c r="AO58" s="935">
        <v>41421</v>
      </c>
      <c r="AP58" s="936" t="s">
        <v>2463</v>
      </c>
      <c r="AQ58" s="937">
        <v>5</v>
      </c>
      <c r="AR58" s="938"/>
      <c r="AS58" s="935">
        <v>41783</v>
      </c>
      <c r="AT58" s="936" t="s">
        <v>4605</v>
      </c>
      <c r="AU58" s="937">
        <v>45</v>
      </c>
      <c r="AV58" s="938"/>
      <c r="AW58" s="935">
        <v>42149</v>
      </c>
      <c r="AX58" s="936" t="s">
        <v>772</v>
      </c>
      <c r="AY58" s="937">
        <v>31</v>
      </c>
      <c r="AZ58" s="938"/>
      <c r="BA58" s="935"/>
      <c r="BB58" s="936"/>
      <c r="BC58" s="937"/>
      <c r="BD58" s="938"/>
      <c r="BE58" s="935">
        <v>42875</v>
      </c>
      <c r="BF58" s="936" t="s">
        <v>979</v>
      </c>
      <c r="BG58" s="937">
        <v>115</v>
      </c>
      <c r="BH58" s="938"/>
      <c r="BI58" s="935">
        <v>43239</v>
      </c>
      <c r="BJ58" s="936" t="s">
        <v>4606</v>
      </c>
      <c r="BK58" s="937">
        <v>24</v>
      </c>
      <c r="BL58" s="938"/>
      <c r="BM58" s="935"/>
      <c r="BN58" s="936"/>
      <c r="BO58" s="937"/>
      <c r="BP58" s="938"/>
      <c r="BQ58" s="1663">
        <v>43604</v>
      </c>
      <c r="BR58" s="1668" t="s">
        <v>4607</v>
      </c>
      <c r="BS58" s="1669">
        <v>7</v>
      </c>
      <c r="BT58" s="1667" t="s">
        <v>280</v>
      </c>
      <c r="BU58" s="1663"/>
      <c r="BV58" s="1668"/>
      <c r="BW58" s="1669"/>
      <c r="BX58" s="1667"/>
      <c r="BY58" s="1663">
        <v>44344</v>
      </c>
      <c r="BZ58" s="1668" t="s">
        <v>4509</v>
      </c>
      <c r="CA58" s="1669">
        <v>27</v>
      </c>
      <c r="CB58" s="1667" t="s">
        <v>414</v>
      </c>
      <c r="CC58" s="1663">
        <v>44702</v>
      </c>
      <c r="CD58" s="1668" t="s">
        <v>1352</v>
      </c>
      <c r="CE58" s="1672">
        <v>85</v>
      </c>
      <c r="CF58" s="1667" t="s">
        <v>667</v>
      </c>
      <c r="CG58" s="1663">
        <v>45070</v>
      </c>
      <c r="CH58" s="1668" t="s">
        <v>4608</v>
      </c>
      <c r="CI58" s="1672">
        <v>21</v>
      </c>
      <c r="CJ58" s="1667" t="s">
        <v>280</v>
      </c>
      <c r="CK58" s="1663">
        <v>45436</v>
      </c>
      <c r="CL58" s="1668" t="s">
        <v>4609</v>
      </c>
      <c r="CM58" s="1672">
        <v>15</v>
      </c>
      <c r="CN58" s="1667" t="s">
        <v>414</v>
      </c>
      <c r="CO58" s="2135">
        <v>45831</v>
      </c>
      <c r="CP58" s="2138" t="s">
        <v>4040</v>
      </c>
      <c r="CQ58" s="2127"/>
      <c r="CR58" s="2128">
        <v>-35.520000000000003</v>
      </c>
    </row>
    <row r="59" spans="1:96" ht="13.5">
      <c r="A59" s="935">
        <v>37761</v>
      </c>
      <c r="B59" s="945" t="s">
        <v>4610</v>
      </c>
      <c r="C59" s="937">
        <v>17</v>
      </c>
      <c r="D59" s="938"/>
      <c r="E59" s="935"/>
      <c r="F59" s="945"/>
      <c r="G59" s="937"/>
      <c r="H59" s="938"/>
      <c r="I59" s="935"/>
      <c r="J59" s="945"/>
      <c r="K59" s="937"/>
      <c r="L59" s="938"/>
      <c r="M59" s="935">
        <v>38857</v>
      </c>
      <c r="N59" s="945" t="s">
        <v>4611</v>
      </c>
      <c r="O59" s="937">
        <v>5</v>
      </c>
      <c r="P59" s="938"/>
      <c r="Q59" s="935"/>
      <c r="R59" s="945"/>
      <c r="S59" s="937"/>
      <c r="T59" s="938"/>
      <c r="U59" s="935">
        <v>39595</v>
      </c>
      <c r="V59" s="945" t="s">
        <v>4612</v>
      </c>
      <c r="W59" s="937">
        <v>10</v>
      </c>
      <c r="X59" s="939"/>
      <c r="Y59" s="935"/>
      <c r="Z59" s="945"/>
      <c r="AA59" s="937"/>
      <c r="AB59" s="938"/>
      <c r="AC59" s="935">
        <v>40314</v>
      </c>
      <c r="AD59" s="936" t="s">
        <v>4613</v>
      </c>
      <c r="AE59" s="937">
        <v>60</v>
      </c>
      <c r="AF59" s="938"/>
      <c r="AG59" s="935">
        <v>40691</v>
      </c>
      <c r="AH59" s="936" t="s">
        <v>4614</v>
      </c>
      <c r="AI59" s="937">
        <v>4</v>
      </c>
      <c r="AJ59" s="938"/>
      <c r="AK59" s="935"/>
      <c r="AL59" s="936"/>
      <c r="AM59" s="937"/>
      <c r="AN59" s="938"/>
      <c r="AO59" s="935">
        <v>41421</v>
      </c>
      <c r="AP59" s="936" t="s">
        <v>4615</v>
      </c>
      <c r="AQ59" s="937">
        <v>11</v>
      </c>
      <c r="AR59" s="938"/>
      <c r="AS59" s="935">
        <v>41783</v>
      </c>
      <c r="AT59" s="936" t="s">
        <v>4616</v>
      </c>
      <c r="AU59" s="937">
        <v>20</v>
      </c>
      <c r="AV59" s="938"/>
      <c r="AW59" s="935">
        <v>42151</v>
      </c>
      <c r="AX59" s="936" t="s">
        <v>4617</v>
      </c>
      <c r="AY59" s="937">
        <v>110</v>
      </c>
      <c r="AZ59" s="938"/>
      <c r="BA59" s="935"/>
      <c r="BB59" s="936"/>
      <c r="BC59" s="937"/>
      <c r="BD59" s="938"/>
      <c r="BE59" s="935">
        <v>42875</v>
      </c>
      <c r="BF59" s="936" t="s">
        <v>1244</v>
      </c>
      <c r="BG59" s="937">
        <v>10</v>
      </c>
      <c r="BH59" s="938"/>
      <c r="BI59" s="935">
        <v>43239</v>
      </c>
      <c r="BJ59" s="936" t="s">
        <v>4618</v>
      </c>
      <c r="BK59" s="937">
        <v>24</v>
      </c>
      <c r="BL59" s="938"/>
      <c r="BM59" s="935"/>
      <c r="BN59" s="936"/>
      <c r="BO59" s="937"/>
      <c r="BP59" s="938"/>
      <c r="BQ59" s="1663">
        <v>43609</v>
      </c>
      <c r="BR59" s="1668" t="s">
        <v>4619</v>
      </c>
      <c r="BS59" s="1669">
        <v>155</v>
      </c>
      <c r="BT59" s="1667"/>
      <c r="BU59" s="1663"/>
      <c r="BV59" s="1668"/>
      <c r="BW59" s="1669"/>
      <c r="BX59" s="1667"/>
      <c r="BY59" s="1663">
        <v>44344</v>
      </c>
      <c r="BZ59" s="1668" t="s">
        <v>828</v>
      </c>
      <c r="CA59" s="1669">
        <v>18</v>
      </c>
      <c r="CB59" s="1667" t="s">
        <v>414</v>
      </c>
      <c r="CC59" s="1663">
        <v>44702</v>
      </c>
      <c r="CD59" s="1668" t="s">
        <v>4620</v>
      </c>
      <c r="CE59" s="1672">
        <v>75</v>
      </c>
      <c r="CF59" s="1667" t="s">
        <v>701</v>
      </c>
      <c r="CG59" s="1663">
        <v>45070</v>
      </c>
      <c r="CH59" s="1668" t="s">
        <v>2205</v>
      </c>
      <c r="CI59" s="1672">
        <v>30</v>
      </c>
      <c r="CJ59" s="1667" t="s">
        <v>414</v>
      </c>
      <c r="CK59" s="1663">
        <v>45436</v>
      </c>
      <c r="CL59" s="1668" t="s">
        <v>4621</v>
      </c>
      <c r="CM59" s="1672">
        <v>21</v>
      </c>
      <c r="CN59" s="1667" t="s">
        <v>414</v>
      </c>
      <c r="CO59" s="2135">
        <v>45831</v>
      </c>
      <c r="CP59" s="2138" t="s">
        <v>4622</v>
      </c>
      <c r="CQ59" s="2127"/>
      <c r="CR59" s="2128">
        <v>18.54</v>
      </c>
    </row>
    <row r="60" spans="1:96" ht="13.5">
      <c r="A60" s="935">
        <v>37762</v>
      </c>
      <c r="B60" s="945" t="s">
        <v>4623</v>
      </c>
      <c r="C60" s="937">
        <v>3</v>
      </c>
      <c r="D60" s="938"/>
      <c r="E60" s="935"/>
      <c r="F60" s="945"/>
      <c r="G60" s="937"/>
      <c r="H60" s="938"/>
      <c r="I60" s="935"/>
      <c r="J60" s="945"/>
      <c r="K60" s="937"/>
      <c r="L60" s="938"/>
      <c r="M60" s="935">
        <v>38857</v>
      </c>
      <c r="N60" s="945" t="s">
        <v>4624</v>
      </c>
      <c r="O60" s="937">
        <v>17</v>
      </c>
      <c r="P60" s="938"/>
      <c r="Q60" s="935"/>
      <c r="R60" s="945"/>
      <c r="S60" s="937"/>
      <c r="T60" s="938"/>
      <c r="U60" s="935">
        <v>39595</v>
      </c>
      <c r="V60" s="945" t="s">
        <v>767</v>
      </c>
      <c r="W60" s="937">
        <v>10</v>
      </c>
      <c r="X60" s="939"/>
      <c r="Y60" s="935"/>
      <c r="Z60" s="945"/>
      <c r="AA60" s="937"/>
      <c r="AB60" s="938"/>
      <c r="AC60" s="935">
        <v>40317</v>
      </c>
      <c r="AD60" s="936" t="s">
        <v>886</v>
      </c>
      <c r="AE60" s="937">
        <v>15</v>
      </c>
      <c r="AF60" s="938"/>
      <c r="AG60" s="935">
        <v>40692</v>
      </c>
      <c r="AH60" s="936" t="s">
        <v>2367</v>
      </c>
      <c r="AI60" s="937">
        <v>47</v>
      </c>
      <c r="AJ60" s="938"/>
      <c r="AK60" s="935"/>
      <c r="AL60" s="936"/>
      <c r="AM60" s="937"/>
      <c r="AN60" s="938"/>
      <c r="AO60" s="935">
        <v>41421</v>
      </c>
      <c r="AP60" s="936" t="s">
        <v>781</v>
      </c>
      <c r="AQ60" s="937">
        <v>10</v>
      </c>
      <c r="AR60" s="938"/>
      <c r="AS60" s="935">
        <v>41783</v>
      </c>
      <c r="AT60" s="936" t="s">
        <v>4625</v>
      </c>
      <c r="AU60" s="937">
        <v>4</v>
      </c>
      <c r="AV60" s="938"/>
      <c r="AW60" s="935">
        <v>42152</v>
      </c>
      <c r="AX60" s="936" t="s">
        <v>802</v>
      </c>
      <c r="AY60" s="937">
        <v>41</v>
      </c>
      <c r="AZ60" s="938"/>
      <c r="BA60" s="935"/>
      <c r="BB60" s="936"/>
      <c r="BC60" s="937"/>
      <c r="BD60" s="938"/>
      <c r="BE60" s="935">
        <v>42877</v>
      </c>
      <c r="BF60" s="936" t="s">
        <v>823</v>
      </c>
      <c r="BG60" s="937">
        <v>3</v>
      </c>
      <c r="BH60" s="938"/>
      <c r="BI60" s="935">
        <v>43239</v>
      </c>
      <c r="BJ60" s="936" t="s">
        <v>4190</v>
      </c>
      <c r="BK60" s="937">
        <v>4</v>
      </c>
      <c r="BL60" s="938"/>
      <c r="BM60" s="935"/>
      <c r="BN60" s="936"/>
      <c r="BO60" s="937"/>
      <c r="BP60" s="938"/>
      <c r="BQ60" s="1663">
        <v>43609</v>
      </c>
      <c r="BR60" s="1668" t="s">
        <v>823</v>
      </c>
      <c r="BS60" s="1669">
        <v>29</v>
      </c>
      <c r="BT60" s="1667" t="s">
        <v>414</v>
      </c>
      <c r="BU60" s="1663"/>
      <c r="BV60" s="1668"/>
      <c r="BW60" s="1669"/>
      <c r="BX60" s="1667"/>
      <c r="BY60" s="1663">
        <v>44344</v>
      </c>
      <c r="BZ60" s="1668" t="s">
        <v>2162</v>
      </c>
      <c r="CA60" s="1669">
        <v>7</v>
      </c>
      <c r="CB60" s="1667" t="s">
        <v>414</v>
      </c>
      <c r="CC60" s="1663">
        <v>44702</v>
      </c>
      <c r="CD60" s="1668" t="s">
        <v>843</v>
      </c>
      <c r="CE60" s="1672">
        <v>28</v>
      </c>
      <c r="CF60" s="1667" t="s">
        <v>414</v>
      </c>
      <c r="CG60" s="1663">
        <v>45070</v>
      </c>
      <c r="CH60" s="1668" t="s">
        <v>3391</v>
      </c>
      <c r="CI60" s="1672">
        <v>150</v>
      </c>
      <c r="CJ60" s="1667" t="s">
        <v>414</v>
      </c>
      <c r="CK60" s="1663">
        <v>45436</v>
      </c>
      <c r="CL60" s="1668" t="s">
        <v>1977</v>
      </c>
      <c r="CM60" s="1672">
        <v>21</v>
      </c>
      <c r="CN60" s="1667" t="s">
        <v>414</v>
      </c>
      <c r="CO60" s="2135">
        <v>45831</v>
      </c>
      <c r="CP60" s="2138" t="s">
        <v>4089</v>
      </c>
      <c r="CQ60" s="2127"/>
      <c r="CR60" s="2128">
        <v>-76.430000000000007</v>
      </c>
    </row>
    <row r="61" spans="1:96" ht="13.5">
      <c r="A61" s="935">
        <v>37762</v>
      </c>
      <c r="B61" s="945" t="s">
        <v>4626</v>
      </c>
      <c r="C61" s="937"/>
      <c r="D61" s="938">
        <v>21</v>
      </c>
      <c r="E61" s="935"/>
      <c r="F61" s="945"/>
      <c r="G61" s="937"/>
      <c r="H61" s="938"/>
      <c r="I61" s="935"/>
      <c r="J61" s="945"/>
      <c r="K61" s="937"/>
      <c r="L61" s="938"/>
      <c r="M61" s="935">
        <v>38857</v>
      </c>
      <c r="N61" s="945" t="s">
        <v>4627</v>
      </c>
      <c r="O61" s="937">
        <v>6</v>
      </c>
      <c r="P61" s="938"/>
      <c r="Q61" s="935"/>
      <c r="R61" s="945"/>
      <c r="S61" s="937"/>
      <c r="T61" s="938"/>
      <c r="U61" s="935">
        <v>39595</v>
      </c>
      <c r="V61" s="945" t="s">
        <v>802</v>
      </c>
      <c r="W61" s="937">
        <v>55</v>
      </c>
      <c r="X61" s="939"/>
      <c r="Y61" s="935"/>
      <c r="Z61" s="945"/>
      <c r="AA61" s="937"/>
      <c r="AB61" s="938"/>
      <c r="AC61" s="935">
        <v>40317</v>
      </c>
      <c r="AD61" s="936" t="s">
        <v>937</v>
      </c>
      <c r="AE61" s="937">
        <v>10</v>
      </c>
      <c r="AF61" s="938"/>
      <c r="AG61" s="935">
        <v>40692</v>
      </c>
      <c r="AH61" s="936" t="s">
        <v>772</v>
      </c>
      <c r="AI61" s="937">
        <v>123</v>
      </c>
      <c r="AJ61" s="938"/>
      <c r="AK61" s="935"/>
      <c r="AL61" s="936"/>
      <c r="AM61" s="937"/>
      <c r="AN61" s="938"/>
      <c r="AO61" s="935">
        <v>41423</v>
      </c>
      <c r="AP61" s="936" t="s">
        <v>4628</v>
      </c>
      <c r="AQ61" s="937">
        <v>25</v>
      </c>
      <c r="AR61" s="938"/>
      <c r="AS61" s="935">
        <v>41783</v>
      </c>
      <c r="AT61" s="936" t="s">
        <v>4629</v>
      </c>
      <c r="AU61" s="937">
        <v>4</v>
      </c>
      <c r="AV61" s="938"/>
      <c r="AW61" s="935">
        <v>42153</v>
      </c>
      <c r="AX61" s="936" t="s">
        <v>4630</v>
      </c>
      <c r="AY61" s="937">
        <v>27</v>
      </c>
      <c r="AZ61" s="938"/>
      <c r="BA61" s="935"/>
      <c r="BB61" s="936"/>
      <c r="BC61" s="937"/>
      <c r="BD61" s="938"/>
      <c r="BE61" s="935">
        <v>42877</v>
      </c>
      <c r="BF61" s="936" t="s">
        <v>4631</v>
      </c>
      <c r="BG61" s="937">
        <v>24</v>
      </c>
      <c r="BH61" s="938"/>
      <c r="BI61" s="935">
        <v>43239</v>
      </c>
      <c r="BJ61" s="936" t="s">
        <v>4632</v>
      </c>
      <c r="BK61" s="937">
        <v>4</v>
      </c>
      <c r="BL61" s="938"/>
      <c r="BM61" s="935"/>
      <c r="BN61" s="936"/>
      <c r="BO61" s="937"/>
      <c r="BP61" s="938"/>
      <c r="BQ61" s="1663">
        <v>43609</v>
      </c>
      <c r="BR61" s="1668" t="s">
        <v>872</v>
      </c>
      <c r="BS61" s="1669">
        <v>17</v>
      </c>
      <c r="BT61" s="1667" t="s">
        <v>414</v>
      </c>
      <c r="BU61" s="1663"/>
      <c r="BV61" s="1668"/>
      <c r="BW61" s="1669"/>
      <c r="BX61" s="1667"/>
      <c r="BY61" s="1663">
        <v>44344</v>
      </c>
      <c r="BZ61" s="1668" t="s">
        <v>845</v>
      </c>
      <c r="CA61" s="1669">
        <v>30</v>
      </c>
      <c r="CB61" s="1667" t="s">
        <v>414</v>
      </c>
      <c r="CC61" s="1663">
        <v>44704</v>
      </c>
      <c r="CD61" s="1668" t="s">
        <v>998</v>
      </c>
      <c r="CE61" s="1672">
        <v>16</v>
      </c>
      <c r="CF61" s="1667" t="s">
        <v>414</v>
      </c>
      <c r="CG61" s="1663">
        <v>45070</v>
      </c>
      <c r="CH61" s="1668" t="s">
        <v>4633</v>
      </c>
      <c r="CI61" s="1672">
        <v>50</v>
      </c>
      <c r="CJ61" s="1667" t="s">
        <v>700</v>
      </c>
      <c r="CK61" s="1663">
        <v>45436</v>
      </c>
      <c r="CL61" s="1668" t="s">
        <v>4634</v>
      </c>
      <c r="CM61" s="1672">
        <v>37</v>
      </c>
      <c r="CN61" s="1667" t="s">
        <v>414</v>
      </c>
      <c r="CO61" s="2135">
        <v>45831</v>
      </c>
      <c r="CP61" s="2138" t="s">
        <v>4635</v>
      </c>
      <c r="CQ61" s="2127"/>
      <c r="CR61" s="2128">
        <v>-105.85</v>
      </c>
    </row>
    <row r="62" spans="1:96" ht="13.5">
      <c r="A62" s="935">
        <v>37764</v>
      </c>
      <c r="B62" s="945" t="s">
        <v>772</v>
      </c>
      <c r="C62" s="937"/>
      <c r="D62" s="938">
        <v>20</v>
      </c>
      <c r="E62" s="935"/>
      <c r="F62" s="945"/>
      <c r="G62" s="937"/>
      <c r="H62" s="938"/>
      <c r="I62" s="935"/>
      <c r="J62" s="945"/>
      <c r="K62" s="937"/>
      <c r="L62" s="938"/>
      <c r="M62" s="935">
        <v>38857</v>
      </c>
      <c r="N62" s="945" t="s">
        <v>4636</v>
      </c>
      <c r="O62" s="937">
        <v>16</v>
      </c>
      <c r="P62" s="938"/>
      <c r="Q62" s="935"/>
      <c r="R62" s="945"/>
      <c r="S62" s="937"/>
      <c r="T62" s="938"/>
      <c r="U62" s="935">
        <v>39597</v>
      </c>
      <c r="V62" s="945" t="s">
        <v>797</v>
      </c>
      <c r="W62" s="937">
        <v>70</v>
      </c>
      <c r="X62" s="939"/>
      <c r="Y62" s="935"/>
      <c r="Z62" s="945"/>
      <c r="AA62" s="937"/>
      <c r="AB62" s="938"/>
      <c r="AC62" s="935">
        <v>40319</v>
      </c>
      <c r="AD62" s="936" t="s">
        <v>4637</v>
      </c>
      <c r="AE62" s="937">
        <v>1528</v>
      </c>
      <c r="AF62" s="938"/>
      <c r="AG62" s="935">
        <v>40692</v>
      </c>
      <c r="AH62" s="936" t="s">
        <v>781</v>
      </c>
      <c r="AI62" s="937">
        <v>116</v>
      </c>
      <c r="AJ62" s="938"/>
      <c r="AK62" s="935"/>
      <c r="AL62" s="936"/>
      <c r="AM62" s="937"/>
      <c r="AN62" s="938"/>
      <c r="AO62" s="935">
        <v>41423</v>
      </c>
      <c r="AP62" s="936" t="s">
        <v>4638</v>
      </c>
      <c r="AQ62" s="937">
        <v>15</v>
      </c>
      <c r="AR62" s="938"/>
      <c r="AS62" s="935">
        <v>41783</v>
      </c>
      <c r="AT62" s="936" t="s">
        <v>4639</v>
      </c>
      <c r="AU62" s="937">
        <v>10</v>
      </c>
      <c r="AV62" s="938"/>
      <c r="AW62" s="935">
        <v>42153</v>
      </c>
      <c r="AX62" s="936" t="s">
        <v>979</v>
      </c>
      <c r="AY62" s="937">
        <v>25</v>
      </c>
      <c r="AZ62" s="938"/>
      <c r="BA62" s="935"/>
      <c r="BB62" s="936"/>
      <c r="BC62" s="937"/>
      <c r="BD62" s="938"/>
      <c r="BE62" s="935">
        <v>42881</v>
      </c>
      <c r="BF62" s="936" t="s">
        <v>872</v>
      </c>
      <c r="BG62" s="937">
        <v>32</v>
      </c>
      <c r="BH62" s="938"/>
      <c r="BI62" s="935">
        <v>43240</v>
      </c>
      <c r="BJ62" s="936" t="s">
        <v>890</v>
      </c>
      <c r="BK62" s="937">
        <v>10</v>
      </c>
      <c r="BL62" s="938"/>
      <c r="BM62" s="935"/>
      <c r="BN62" s="936"/>
      <c r="BO62" s="937"/>
      <c r="BP62" s="938"/>
      <c r="BQ62" s="1663">
        <v>43609</v>
      </c>
      <c r="BR62" s="1668" t="s">
        <v>772</v>
      </c>
      <c r="BS62" s="1669">
        <v>5</v>
      </c>
      <c r="BT62" s="1667" t="s">
        <v>414</v>
      </c>
      <c r="BU62" s="1663"/>
      <c r="BV62" s="1668"/>
      <c r="BW62" s="1669"/>
      <c r="BX62" s="1667"/>
      <c r="BY62" s="1663">
        <v>44344</v>
      </c>
      <c r="BZ62" s="1668" t="s">
        <v>843</v>
      </c>
      <c r="CA62" s="1669">
        <v>24</v>
      </c>
      <c r="CB62" s="1667" t="s">
        <v>414</v>
      </c>
      <c r="CC62" s="1663">
        <v>44704</v>
      </c>
      <c r="CD62" s="1668" t="s">
        <v>4640</v>
      </c>
      <c r="CE62" s="1672">
        <v>45</v>
      </c>
      <c r="CF62" s="1667" t="s">
        <v>700</v>
      </c>
      <c r="CG62" s="1663">
        <v>45070</v>
      </c>
      <c r="CH62" s="1668" t="s">
        <v>2277</v>
      </c>
      <c r="CI62" s="1672">
        <v>40</v>
      </c>
      <c r="CJ62" s="1667" t="s">
        <v>280</v>
      </c>
      <c r="CK62" s="1663">
        <v>45436</v>
      </c>
      <c r="CL62" s="1668" t="s">
        <v>4641</v>
      </c>
      <c r="CM62" s="1672">
        <v>12</v>
      </c>
      <c r="CN62" s="1667" t="s">
        <v>414</v>
      </c>
      <c r="CO62" s="2135">
        <v>45831</v>
      </c>
      <c r="CP62" s="2138" t="s">
        <v>4642</v>
      </c>
      <c r="CQ62" s="2127"/>
      <c r="CR62" s="2128">
        <v>-5.58</v>
      </c>
    </row>
    <row r="63" spans="1:96" ht="13.5">
      <c r="A63" s="935">
        <v>37765</v>
      </c>
      <c r="B63" s="945" t="s">
        <v>4643</v>
      </c>
      <c r="C63" s="937">
        <v>29</v>
      </c>
      <c r="D63" s="938"/>
      <c r="E63" s="935"/>
      <c r="F63" s="945"/>
      <c r="G63" s="937"/>
      <c r="H63" s="938"/>
      <c r="I63" s="935"/>
      <c r="J63" s="945"/>
      <c r="K63" s="937"/>
      <c r="L63" s="938"/>
      <c r="M63" s="935">
        <v>38857</v>
      </c>
      <c r="N63" s="945" t="s">
        <v>4644</v>
      </c>
      <c r="O63" s="937">
        <v>3</v>
      </c>
      <c r="P63" s="938"/>
      <c r="Q63" s="935"/>
      <c r="R63" s="945"/>
      <c r="S63" s="937"/>
      <c r="T63" s="938"/>
      <c r="U63" s="935">
        <v>39598</v>
      </c>
      <c r="V63" s="945" t="s">
        <v>4241</v>
      </c>
      <c r="W63" s="937">
        <v>62</v>
      </c>
      <c r="X63" s="939"/>
      <c r="Y63" s="935"/>
      <c r="Z63" s="945"/>
      <c r="AA63" s="937"/>
      <c r="AB63" s="938"/>
      <c r="AC63" s="935">
        <v>40319</v>
      </c>
      <c r="AD63" s="936" t="s">
        <v>4645</v>
      </c>
      <c r="AE63" s="937">
        <v>205</v>
      </c>
      <c r="AF63" s="938"/>
      <c r="AG63" s="935">
        <v>40693</v>
      </c>
      <c r="AH63" s="936" t="s">
        <v>797</v>
      </c>
      <c r="AI63" s="937">
        <v>56</v>
      </c>
      <c r="AJ63" s="938"/>
      <c r="AK63" s="935"/>
      <c r="AL63" s="936"/>
      <c r="AM63" s="937"/>
      <c r="AN63" s="938"/>
      <c r="AO63" s="935">
        <v>41423</v>
      </c>
      <c r="AP63" s="936" t="s">
        <v>787</v>
      </c>
      <c r="AQ63" s="937">
        <v>18</v>
      </c>
      <c r="AR63" s="938"/>
      <c r="AS63" s="935">
        <v>41783</v>
      </c>
      <c r="AT63" s="936" t="s">
        <v>4646</v>
      </c>
      <c r="AU63" s="937">
        <v>72</v>
      </c>
      <c r="AV63" s="938"/>
      <c r="AW63" s="935">
        <v>42154</v>
      </c>
      <c r="AX63" s="936" t="s">
        <v>954</v>
      </c>
      <c r="AY63" s="937">
        <v>115</v>
      </c>
      <c r="AZ63" s="938"/>
      <c r="BA63" s="935"/>
      <c r="BB63" s="936"/>
      <c r="BC63" s="937"/>
      <c r="BD63" s="938"/>
      <c r="BE63" s="935">
        <v>42881</v>
      </c>
      <c r="BF63" s="936" t="s">
        <v>4647</v>
      </c>
      <c r="BG63" s="937">
        <v>31</v>
      </c>
      <c r="BH63" s="938"/>
      <c r="BI63" s="935">
        <v>43240</v>
      </c>
      <c r="BJ63" s="936" t="s">
        <v>873</v>
      </c>
      <c r="BK63" s="937">
        <v>21</v>
      </c>
      <c r="BL63" s="938"/>
      <c r="BM63" s="935"/>
      <c r="BN63" s="936"/>
      <c r="BO63" s="937"/>
      <c r="BP63" s="938"/>
      <c r="BQ63" s="1663">
        <v>43611</v>
      </c>
      <c r="BR63" s="1668" t="s">
        <v>4648</v>
      </c>
      <c r="BS63" s="1669">
        <v>21</v>
      </c>
      <c r="BT63" s="1667" t="s">
        <v>278</v>
      </c>
      <c r="BU63" s="1663"/>
      <c r="BV63" s="1668"/>
      <c r="BW63" s="1669"/>
      <c r="BX63" s="1667"/>
      <c r="BY63" s="1663">
        <v>44347</v>
      </c>
      <c r="BZ63" s="1668" t="s">
        <v>845</v>
      </c>
      <c r="CA63" s="1669">
        <v>41</v>
      </c>
      <c r="CB63" s="1667" t="s">
        <v>414</v>
      </c>
      <c r="CC63" s="1663">
        <v>44704</v>
      </c>
      <c r="CD63" s="1668" t="s">
        <v>4649</v>
      </c>
      <c r="CE63" s="1672">
        <v>69</v>
      </c>
      <c r="CF63" s="1667" t="s">
        <v>280</v>
      </c>
      <c r="CG63" s="1663">
        <v>45070</v>
      </c>
      <c r="CH63" s="1668"/>
      <c r="CI63" s="1672"/>
      <c r="CJ63" s="1667"/>
      <c r="CK63" s="1663">
        <v>45436</v>
      </c>
      <c r="CL63" s="1668" t="s">
        <v>4650</v>
      </c>
      <c r="CM63" s="1672">
        <v>12</v>
      </c>
      <c r="CN63" s="1667" t="s">
        <v>414</v>
      </c>
      <c r="CO63" s="2135">
        <v>45831</v>
      </c>
      <c r="CP63" s="2138" t="s">
        <v>4651</v>
      </c>
      <c r="CQ63" s="2127"/>
      <c r="CR63" s="2128">
        <v>-8.07</v>
      </c>
    </row>
    <row r="64" spans="1:96" ht="13.5">
      <c r="A64" s="935">
        <v>37765</v>
      </c>
      <c r="B64" s="945" t="s">
        <v>410</v>
      </c>
      <c r="C64" s="937">
        <v>25</v>
      </c>
      <c r="D64" s="938"/>
      <c r="E64" s="935"/>
      <c r="F64" s="945"/>
      <c r="G64" s="937"/>
      <c r="H64" s="938"/>
      <c r="I64" s="935"/>
      <c r="J64" s="945"/>
      <c r="K64" s="937"/>
      <c r="L64" s="938"/>
      <c r="M64" s="935">
        <v>38857</v>
      </c>
      <c r="N64" s="955" t="s">
        <v>4652</v>
      </c>
      <c r="O64" s="937">
        <v>7</v>
      </c>
      <c r="P64" s="938"/>
      <c r="Q64" s="961"/>
      <c r="R64" s="955"/>
      <c r="S64" s="937"/>
      <c r="T64" s="938"/>
      <c r="U64" s="935">
        <v>39598</v>
      </c>
      <c r="V64" s="945" t="s">
        <v>4653</v>
      </c>
      <c r="W64" s="937">
        <v>60</v>
      </c>
      <c r="X64" s="939"/>
      <c r="Y64" s="935"/>
      <c r="Z64" s="945"/>
      <c r="AA64" s="937"/>
      <c r="AB64" s="938"/>
      <c r="AC64" s="935">
        <v>40319</v>
      </c>
      <c r="AD64" s="936" t="s">
        <v>802</v>
      </c>
      <c r="AE64" s="937">
        <v>41</v>
      </c>
      <c r="AF64" s="938"/>
      <c r="AG64" s="935">
        <v>40693</v>
      </c>
      <c r="AH64" s="936" t="s">
        <v>1638</v>
      </c>
      <c r="AI64" s="937">
        <v>25</v>
      </c>
      <c r="AJ64" s="938"/>
      <c r="AK64" s="935"/>
      <c r="AL64" s="936"/>
      <c r="AM64" s="937"/>
      <c r="AN64" s="938"/>
      <c r="AO64" s="935">
        <v>41423</v>
      </c>
      <c r="AP64" s="936" t="s">
        <v>4463</v>
      </c>
      <c r="AQ64" s="937">
        <v>4</v>
      </c>
      <c r="AR64" s="938"/>
      <c r="AS64" s="935">
        <v>41783</v>
      </c>
      <c r="AT64" s="936" t="s">
        <v>4654</v>
      </c>
      <c r="AU64" s="937">
        <v>2</v>
      </c>
      <c r="AV64" s="938"/>
      <c r="AW64" s="935">
        <v>42154</v>
      </c>
      <c r="AX64" s="936" t="s">
        <v>4655</v>
      </c>
      <c r="AY64" s="937">
        <v>45</v>
      </c>
      <c r="AZ64" s="938"/>
      <c r="BA64" s="935"/>
      <c r="BB64" s="936"/>
      <c r="BC64" s="937"/>
      <c r="BD64" s="938"/>
      <c r="BE64" s="935">
        <v>42881</v>
      </c>
      <c r="BF64" s="936" t="s">
        <v>4656</v>
      </c>
      <c r="BG64" s="937">
        <v>37</v>
      </c>
      <c r="BH64" s="938"/>
      <c r="BI64" s="935">
        <v>43240</v>
      </c>
      <c r="BJ64" s="936" t="s">
        <v>4657</v>
      </c>
      <c r="BK64" s="937">
        <v>8</v>
      </c>
      <c r="BL64" s="938"/>
      <c r="BM64" s="935"/>
      <c r="BN64" s="936"/>
      <c r="BO64" s="937"/>
      <c r="BP64" s="938"/>
      <c r="BQ64" s="1663">
        <v>43611</v>
      </c>
      <c r="BR64" s="1668" t="s">
        <v>4658</v>
      </c>
      <c r="BS64" s="1669">
        <v>6</v>
      </c>
      <c r="BT64" s="1667" t="s">
        <v>414</v>
      </c>
      <c r="BU64" s="1663"/>
      <c r="BV64" s="1668"/>
      <c r="BW64" s="1669"/>
      <c r="BX64" s="1667"/>
      <c r="BY64" s="1663">
        <v>44347</v>
      </c>
      <c r="BZ64" s="1668" t="s">
        <v>859</v>
      </c>
      <c r="CA64" s="1669">
        <v>20</v>
      </c>
      <c r="CB64" s="1667" t="s">
        <v>414</v>
      </c>
      <c r="CC64" s="1663">
        <v>44705</v>
      </c>
      <c r="CD64" s="1668" t="s">
        <v>4640</v>
      </c>
      <c r="CE64" s="1672">
        <v>43</v>
      </c>
      <c r="CF64" s="1667" t="s">
        <v>700</v>
      </c>
      <c r="CG64" s="1663">
        <v>45070</v>
      </c>
      <c r="CH64" s="1668"/>
      <c r="CI64" s="1672"/>
      <c r="CJ64" s="1667"/>
      <c r="CK64" s="1663">
        <v>45436</v>
      </c>
      <c r="CL64" s="1668" t="s">
        <v>1768</v>
      </c>
      <c r="CM64" s="1672">
        <v>25</v>
      </c>
      <c r="CN64" s="1667" t="s">
        <v>414</v>
      </c>
      <c r="CO64" s="2135">
        <v>45830</v>
      </c>
      <c r="CP64" s="2138" t="s">
        <v>4622</v>
      </c>
      <c r="CQ64" s="2127"/>
      <c r="CR64" s="2128">
        <v>-127.6</v>
      </c>
    </row>
    <row r="65" spans="1:96" ht="13.5">
      <c r="A65" s="935">
        <v>37765</v>
      </c>
      <c r="B65" s="945" t="s">
        <v>937</v>
      </c>
      <c r="C65" s="937">
        <v>13</v>
      </c>
      <c r="D65" s="938"/>
      <c r="E65" s="935"/>
      <c r="F65" s="945"/>
      <c r="G65" s="937"/>
      <c r="H65" s="938"/>
      <c r="I65" s="935"/>
      <c r="J65" s="945"/>
      <c r="K65" s="937"/>
      <c r="L65" s="938"/>
      <c r="M65" s="935">
        <v>38857</v>
      </c>
      <c r="N65" s="945" t="s">
        <v>4659</v>
      </c>
      <c r="O65" s="937">
        <v>9</v>
      </c>
      <c r="P65" s="938"/>
      <c r="Q65" s="935"/>
      <c r="R65" s="945"/>
      <c r="S65" s="937"/>
      <c r="T65" s="938"/>
      <c r="U65" s="935">
        <v>39599</v>
      </c>
      <c r="V65" s="945" t="s">
        <v>4660</v>
      </c>
      <c r="W65" s="937">
        <v>24</v>
      </c>
      <c r="X65" s="939"/>
      <c r="Y65" s="935"/>
      <c r="Z65" s="945"/>
      <c r="AA65" s="937"/>
      <c r="AB65" s="938"/>
      <c r="AC65" s="935">
        <v>40319</v>
      </c>
      <c r="AD65" s="936" t="s">
        <v>797</v>
      </c>
      <c r="AE65" s="937">
        <v>39</v>
      </c>
      <c r="AF65" s="938"/>
      <c r="AG65" s="935"/>
      <c r="AH65" s="936"/>
      <c r="AI65" s="937"/>
      <c r="AJ65" s="938"/>
      <c r="AK65" s="935"/>
      <c r="AL65" s="936"/>
      <c r="AM65" s="937"/>
      <c r="AN65" s="938"/>
      <c r="AO65" s="935">
        <v>41425</v>
      </c>
      <c r="AP65" s="936" t="s">
        <v>797</v>
      </c>
      <c r="AQ65" s="937">
        <v>35</v>
      </c>
      <c r="AR65" s="938"/>
      <c r="AS65" s="935">
        <v>41784</v>
      </c>
      <c r="AT65" s="936" t="s">
        <v>4661</v>
      </c>
      <c r="AU65" s="937">
        <v>89</v>
      </c>
      <c r="AV65" s="938"/>
      <c r="AW65" s="935">
        <v>42155</v>
      </c>
      <c r="AX65" s="936" t="s">
        <v>797</v>
      </c>
      <c r="AY65" s="937">
        <v>50</v>
      </c>
      <c r="AZ65" s="938"/>
      <c r="BA65" s="935"/>
      <c r="BB65" s="936"/>
      <c r="BC65" s="937"/>
      <c r="BD65" s="938"/>
      <c r="BE65" s="935">
        <v>42881</v>
      </c>
      <c r="BF65" s="936" t="s">
        <v>4662</v>
      </c>
      <c r="BG65" s="937">
        <v>0</v>
      </c>
      <c r="BH65" s="938"/>
      <c r="BI65" s="935">
        <v>43240</v>
      </c>
      <c r="BJ65" s="936" t="s">
        <v>772</v>
      </c>
      <c r="BK65" s="937">
        <v>44</v>
      </c>
      <c r="BL65" s="938"/>
      <c r="BM65" s="935"/>
      <c r="BN65" s="936"/>
      <c r="BO65" s="937"/>
      <c r="BP65" s="938"/>
      <c r="BQ65" s="1663">
        <v>43611</v>
      </c>
      <c r="BR65" s="1668" t="s">
        <v>781</v>
      </c>
      <c r="BS65" s="1669">
        <v>47</v>
      </c>
      <c r="BT65" s="1667" t="s">
        <v>414</v>
      </c>
      <c r="BU65" s="1663"/>
      <c r="BV65" s="1668"/>
      <c r="BW65" s="1669"/>
      <c r="BX65" s="1667"/>
      <c r="BY65" s="1663">
        <v>44347</v>
      </c>
      <c r="BZ65" s="1668" t="s">
        <v>4663</v>
      </c>
      <c r="CA65" s="1669">
        <v>20</v>
      </c>
      <c r="CB65" s="1667" t="s">
        <v>280</v>
      </c>
      <c r="CC65" s="1663">
        <v>44705</v>
      </c>
      <c r="CD65" s="1668" t="s">
        <v>797</v>
      </c>
      <c r="CE65" s="1672">
        <v>95</v>
      </c>
      <c r="CF65" s="1667" t="s">
        <v>410</v>
      </c>
      <c r="CG65" s="1663">
        <v>45070</v>
      </c>
      <c r="CH65" s="1668" t="s">
        <v>845</v>
      </c>
      <c r="CI65" s="1672">
        <v>45</v>
      </c>
      <c r="CJ65" s="1667" t="s">
        <v>414</v>
      </c>
      <c r="CK65" s="1663">
        <v>45436</v>
      </c>
      <c r="CL65" s="1668" t="s">
        <v>4664</v>
      </c>
      <c r="CM65" s="1672">
        <v>25</v>
      </c>
      <c r="CN65" s="1667" t="s">
        <v>414</v>
      </c>
      <c r="CO65" s="2135">
        <v>45830</v>
      </c>
      <c r="CP65" s="2138" t="s">
        <v>4665</v>
      </c>
      <c r="CQ65" s="2127"/>
      <c r="CR65" s="2128">
        <v>-5261.75</v>
      </c>
    </row>
    <row r="66" spans="1:96" ht="13.5">
      <c r="A66" s="935">
        <v>37765</v>
      </c>
      <c r="B66" s="945" t="s">
        <v>4666</v>
      </c>
      <c r="C66" s="937">
        <v>19</v>
      </c>
      <c r="D66" s="938"/>
      <c r="E66" s="935"/>
      <c r="F66" s="945"/>
      <c r="G66" s="937"/>
      <c r="H66" s="938"/>
      <c r="I66" s="935"/>
      <c r="J66" s="945"/>
      <c r="K66" s="937"/>
      <c r="L66" s="938"/>
      <c r="M66" s="935">
        <v>38857</v>
      </c>
      <c r="N66" s="945" t="s">
        <v>4667</v>
      </c>
      <c r="O66" s="937">
        <v>185</v>
      </c>
      <c r="P66" s="938"/>
      <c r="Q66" s="935"/>
      <c r="R66" s="945"/>
      <c r="S66" s="937"/>
      <c r="T66" s="938"/>
      <c r="U66" s="935">
        <v>39599</v>
      </c>
      <c r="V66" s="945" t="s">
        <v>1410</v>
      </c>
      <c r="W66" s="937">
        <v>29</v>
      </c>
      <c r="X66" s="939"/>
      <c r="Y66" s="935"/>
      <c r="Z66" s="945"/>
      <c r="AA66" s="937"/>
      <c r="AB66" s="938"/>
      <c r="AC66" s="935">
        <v>40319</v>
      </c>
      <c r="AD66" s="936" t="s">
        <v>2054</v>
      </c>
      <c r="AE66" s="937">
        <v>25</v>
      </c>
      <c r="AF66" s="938"/>
      <c r="AG66" s="935"/>
      <c r="AH66" s="936"/>
      <c r="AI66" s="937"/>
      <c r="AJ66" s="938"/>
      <c r="AK66" s="935"/>
      <c r="AL66" s="936"/>
      <c r="AM66" s="937"/>
      <c r="AN66" s="938"/>
      <c r="AO66" s="935">
        <v>41425</v>
      </c>
      <c r="AP66" s="936" t="s">
        <v>4668</v>
      </c>
      <c r="AQ66" s="937">
        <v>8</v>
      </c>
      <c r="AR66" s="938"/>
      <c r="AS66" s="935">
        <v>41784</v>
      </c>
      <c r="AT66" s="936" t="s">
        <v>4669</v>
      </c>
      <c r="AU66" s="937">
        <v>75</v>
      </c>
      <c r="AV66" s="938"/>
      <c r="AW66" s="935">
        <v>42155</v>
      </c>
      <c r="AX66" s="936" t="s">
        <v>781</v>
      </c>
      <c r="AY66" s="937">
        <v>67</v>
      </c>
      <c r="AZ66" s="938"/>
      <c r="BA66" s="935"/>
      <c r="BB66" s="936"/>
      <c r="BC66" s="937"/>
      <c r="BD66" s="938"/>
      <c r="BE66" s="935">
        <v>42881</v>
      </c>
      <c r="BF66" s="936" t="s">
        <v>4670</v>
      </c>
      <c r="BG66" s="937">
        <v>9</v>
      </c>
      <c r="BH66" s="938"/>
      <c r="BI66" s="935">
        <v>43240</v>
      </c>
      <c r="BJ66" s="936" t="s">
        <v>1052</v>
      </c>
      <c r="BK66" s="937">
        <v>24</v>
      </c>
      <c r="BL66" s="938"/>
      <c r="BM66" s="935"/>
      <c r="BN66" s="936"/>
      <c r="BO66" s="937"/>
      <c r="BP66" s="938"/>
      <c r="BQ66" s="1663">
        <v>43611</v>
      </c>
      <c r="BR66" s="1668" t="s">
        <v>4671</v>
      </c>
      <c r="BS66" s="1669">
        <v>57</v>
      </c>
      <c r="BT66" s="1667" t="s">
        <v>280</v>
      </c>
      <c r="BU66" s="1663"/>
      <c r="BV66" s="1668"/>
      <c r="BW66" s="1669"/>
      <c r="BX66" s="1667"/>
      <c r="BY66" s="1663">
        <v>44347</v>
      </c>
      <c r="BZ66" s="1675" t="s">
        <v>4672</v>
      </c>
      <c r="CA66" s="1669">
        <v>95</v>
      </c>
      <c r="CB66" s="1667" t="s">
        <v>701</v>
      </c>
      <c r="CC66" s="1663">
        <v>44709</v>
      </c>
      <c r="CD66" s="1668" t="s">
        <v>845</v>
      </c>
      <c r="CE66" s="1672">
        <v>44</v>
      </c>
      <c r="CF66" s="1667" t="s">
        <v>414</v>
      </c>
      <c r="CG66" s="1663">
        <v>45072</v>
      </c>
      <c r="CH66" s="1668" t="s">
        <v>4325</v>
      </c>
      <c r="CI66" s="1672">
        <v>30</v>
      </c>
      <c r="CJ66" s="1667" t="s">
        <v>280</v>
      </c>
      <c r="CK66" s="1663">
        <v>45436</v>
      </c>
      <c r="CL66" s="1668" t="s">
        <v>2637</v>
      </c>
      <c r="CM66" s="1672">
        <v>27</v>
      </c>
      <c r="CN66" s="1667" t="s">
        <v>414</v>
      </c>
      <c r="CO66" s="2135">
        <v>45830</v>
      </c>
      <c r="CP66" s="2138" t="s">
        <v>4673</v>
      </c>
      <c r="CQ66" s="2127"/>
      <c r="CR66" s="2128">
        <v>-2.5</v>
      </c>
    </row>
    <row r="67" spans="1:96" ht="13.5">
      <c r="A67" s="935">
        <v>37765</v>
      </c>
      <c r="B67" s="945" t="s">
        <v>4674</v>
      </c>
      <c r="C67" s="937">
        <v>15</v>
      </c>
      <c r="D67" s="938"/>
      <c r="E67" s="935"/>
      <c r="F67" s="945"/>
      <c r="G67" s="937"/>
      <c r="H67" s="938"/>
      <c r="I67" s="935"/>
      <c r="J67" s="945"/>
      <c r="K67" s="937"/>
      <c r="L67" s="938"/>
      <c r="M67" s="935">
        <v>38858</v>
      </c>
      <c r="N67" s="945" t="s">
        <v>4675</v>
      </c>
      <c r="O67" s="937">
        <v>15</v>
      </c>
      <c r="P67" s="938"/>
      <c r="Q67" s="935"/>
      <c r="R67" s="945"/>
      <c r="S67" s="937"/>
      <c r="T67" s="938"/>
      <c r="U67" s="935">
        <v>39599</v>
      </c>
      <c r="V67" s="945" t="s">
        <v>4676</v>
      </c>
      <c r="W67" s="937">
        <v>10</v>
      </c>
      <c r="X67" s="939"/>
      <c r="Y67" s="935"/>
      <c r="Z67" s="945"/>
      <c r="AA67" s="937"/>
      <c r="AB67" s="938"/>
      <c r="AC67" s="935">
        <v>40320</v>
      </c>
      <c r="AD67" s="936" t="s">
        <v>4677</v>
      </c>
      <c r="AE67" s="937">
        <v>2</v>
      </c>
      <c r="AF67" s="938"/>
      <c r="AG67" s="935"/>
      <c r="AH67" s="936"/>
      <c r="AI67" s="937"/>
      <c r="AJ67" s="938"/>
      <c r="AK67" s="935"/>
      <c r="AL67" s="936"/>
      <c r="AM67" s="937"/>
      <c r="AN67" s="938"/>
      <c r="AO67" s="935">
        <v>41425</v>
      </c>
      <c r="AP67" s="936" t="s">
        <v>4678</v>
      </c>
      <c r="AQ67" s="937">
        <v>10</v>
      </c>
      <c r="AR67" s="938"/>
      <c r="AS67" s="935">
        <v>41784</v>
      </c>
      <c r="AT67" s="936" t="s">
        <v>4679</v>
      </c>
      <c r="AU67" s="937">
        <v>75</v>
      </c>
      <c r="AV67" s="938"/>
      <c r="AW67" s="935">
        <v>42155</v>
      </c>
      <c r="AX67" s="936" t="s">
        <v>754</v>
      </c>
      <c r="AY67" s="937">
        <v>12</v>
      </c>
      <c r="AZ67" s="938"/>
      <c r="BA67" s="935"/>
      <c r="BB67" s="936"/>
      <c r="BC67" s="937"/>
      <c r="BD67" s="938"/>
      <c r="BE67" s="935">
        <v>42882</v>
      </c>
      <c r="BF67" s="936" t="s">
        <v>4680</v>
      </c>
      <c r="BG67" s="937">
        <v>23</v>
      </c>
      <c r="BH67" s="938"/>
      <c r="BI67" s="935">
        <v>43243</v>
      </c>
      <c r="BJ67" s="936" t="s">
        <v>4681</v>
      </c>
      <c r="BK67" s="937">
        <v>31</v>
      </c>
      <c r="BL67" s="938"/>
      <c r="BM67" s="935"/>
      <c r="BN67" s="936"/>
      <c r="BO67" s="937"/>
      <c r="BP67" s="938"/>
      <c r="BQ67" s="1663">
        <v>43611</v>
      </c>
      <c r="BR67" s="1668" t="s">
        <v>4682</v>
      </c>
      <c r="BS67" s="1669">
        <v>4</v>
      </c>
      <c r="BT67" s="1667" t="s">
        <v>414</v>
      </c>
      <c r="BU67" s="1663"/>
      <c r="BV67" s="1668"/>
      <c r="BW67" s="1669"/>
      <c r="BX67" s="1667"/>
      <c r="BY67" s="1663">
        <v>44347</v>
      </c>
      <c r="BZ67" s="1668" t="s">
        <v>2282</v>
      </c>
      <c r="CA67" s="1669">
        <v>70</v>
      </c>
      <c r="CB67" s="1667" t="s">
        <v>700</v>
      </c>
      <c r="CC67" s="1663">
        <v>44709</v>
      </c>
      <c r="CD67" s="1668" t="s">
        <v>772</v>
      </c>
      <c r="CE67" s="1672">
        <v>39</v>
      </c>
      <c r="CF67" s="1667" t="s">
        <v>414</v>
      </c>
      <c r="CG67" s="1663">
        <v>45072</v>
      </c>
      <c r="CH67" s="1668" t="s">
        <v>4248</v>
      </c>
      <c r="CI67" s="1672">
        <v>55</v>
      </c>
      <c r="CJ67" s="1667" t="s">
        <v>280</v>
      </c>
      <c r="CK67" s="1663">
        <v>45436</v>
      </c>
      <c r="CL67" s="1668" t="s">
        <v>4683</v>
      </c>
      <c r="CM67" s="1672">
        <v>27</v>
      </c>
      <c r="CN67" s="1667" t="s">
        <v>414</v>
      </c>
      <c r="CO67" s="2135">
        <v>45830</v>
      </c>
      <c r="CP67" s="2138" t="s">
        <v>3881</v>
      </c>
      <c r="CQ67" s="2127"/>
      <c r="CR67" s="2128">
        <v>20.9</v>
      </c>
    </row>
    <row r="68" spans="1:96" ht="13.5">
      <c r="A68" s="935">
        <v>37766</v>
      </c>
      <c r="B68" s="945" t="s">
        <v>4684</v>
      </c>
      <c r="C68" s="937">
        <v>40</v>
      </c>
      <c r="D68" s="938"/>
      <c r="E68" s="935"/>
      <c r="F68" s="945"/>
      <c r="G68" s="937"/>
      <c r="H68" s="938"/>
      <c r="I68" s="935"/>
      <c r="J68" s="945"/>
      <c r="K68" s="937"/>
      <c r="L68" s="938"/>
      <c r="M68" s="935">
        <v>38858</v>
      </c>
      <c r="N68" s="945" t="s">
        <v>4685</v>
      </c>
      <c r="O68" s="937">
        <v>6</v>
      </c>
      <c r="P68" s="938"/>
      <c r="Q68" s="935"/>
      <c r="R68" s="945"/>
      <c r="S68" s="937"/>
      <c r="T68" s="938"/>
      <c r="U68" s="935">
        <v>39599</v>
      </c>
      <c r="V68" s="945" t="s">
        <v>4686</v>
      </c>
      <c r="W68" s="937">
        <v>10</v>
      </c>
      <c r="X68" s="939"/>
      <c r="Y68" s="935"/>
      <c r="Z68" s="945"/>
      <c r="AA68" s="937"/>
      <c r="AB68" s="938"/>
      <c r="AC68" s="935">
        <v>40321</v>
      </c>
      <c r="AD68" s="936" t="s">
        <v>4687</v>
      </c>
      <c r="AE68" s="937">
        <v>33</v>
      </c>
      <c r="AF68" s="938"/>
      <c r="AG68" s="935"/>
      <c r="AH68" s="936"/>
      <c r="AI68" s="937"/>
      <c r="AJ68" s="938"/>
      <c r="AK68" s="935"/>
      <c r="AL68" s="936"/>
      <c r="AM68" s="937"/>
      <c r="AN68" s="938"/>
      <c r="AO68" s="935">
        <v>41425</v>
      </c>
      <c r="AP68" s="936" t="s">
        <v>4688</v>
      </c>
      <c r="AQ68" s="937">
        <v>116</v>
      </c>
      <c r="AR68" s="938"/>
      <c r="AS68" s="935">
        <v>41784</v>
      </c>
      <c r="AT68" s="936" t="s">
        <v>4689</v>
      </c>
      <c r="AU68" s="937">
        <v>38</v>
      </c>
      <c r="AV68" s="938"/>
      <c r="AW68" s="935">
        <v>42155</v>
      </c>
      <c r="AX68" s="936" t="s">
        <v>772</v>
      </c>
      <c r="AY68" s="937">
        <v>26</v>
      </c>
      <c r="AZ68" s="938"/>
      <c r="BA68" s="935"/>
      <c r="BB68" s="936"/>
      <c r="BC68" s="937"/>
      <c r="BD68" s="938"/>
      <c r="BE68" s="935">
        <v>42882</v>
      </c>
      <c r="BF68" s="936" t="s">
        <v>4690</v>
      </c>
      <c r="BG68" s="937">
        <v>20</v>
      </c>
      <c r="BH68" s="938"/>
      <c r="BI68" s="935">
        <v>43244</v>
      </c>
      <c r="BJ68" s="936" t="s">
        <v>4691</v>
      </c>
      <c r="BK68" s="937">
        <v>70</v>
      </c>
      <c r="BL68" s="938"/>
      <c r="BM68" s="935"/>
      <c r="BN68" s="936"/>
      <c r="BO68" s="937"/>
      <c r="BP68" s="938"/>
      <c r="BQ68" s="1663">
        <v>43611</v>
      </c>
      <c r="BR68" s="1668" t="s">
        <v>4692</v>
      </c>
      <c r="BS68" s="1669">
        <v>29</v>
      </c>
      <c r="BT68" s="1667" t="s">
        <v>414</v>
      </c>
      <c r="BU68" s="1663"/>
      <c r="BV68" s="1668"/>
      <c r="BW68" s="1669"/>
      <c r="BX68" s="1667"/>
      <c r="BY68" s="1663"/>
      <c r="BZ68" s="1668"/>
      <c r="CA68" s="1669"/>
      <c r="CB68" s="1667"/>
      <c r="CC68" s="1663">
        <v>44709</v>
      </c>
      <c r="CD68" s="1668" t="s">
        <v>872</v>
      </c>
      <c r="CE68" s="1672">
        <v>12</v>
      </c>
      <c r="CF68" s="1667" t="s">
        <v>414</v>
      </c>
      <c r="CG68" s="1663">
        <v>45073</v>
      </c>
      <c r="CH68" s="1668" t="s">
        <v>4693</v>
      </c>
      <c r="CI68" s="1672">
        <v>598</v>
      </c>
      <c r="CJ68" s="1667" t="s">
        <v>381</v>
      </c>
      <c r="CK68" s="1663">
        <v>45436</v>
      </c>
      <c r="CL68" s="1668" t="s">
        <v>4694</v>
      </c>
      <c r="CM68" s="1672">
        <v>19</v>
      </c>
      <c r="CN68" s="1667" t="s">
        <v>414</v>
      </c>
      <c r="CO68" s="2135">
        <v>45830</v>
      </c>
      <c r="CP68" s="2138" t="s">
        <v>4673</v>
      </c>
      <c r="CQ68" s="2127"/>
      <c r="CR68" s="2128">
        <v>-2.5</v>
      </c>
    </row>
    <row r="69" spans="1:96" ht="13.5">
      <c r="A69" s="935">
        <v>37766</v>
      </c>
      <c r="B69" s="945" t="s">
        <v>4695</v>
      </c>
      <c r="C69" s="937">
        <v>16</v>
      </c>
      <c r="D69" s="938"/>
      <c r="E69" s="935"/>
      <c r="F69" s="945"/>
      <c r="G69" s="937"/>
      <c r="H69" s="938"/>
      <c r="I69" s="935"/>
      <c r="J69" s="945"/>
      <c r="K69" s="937"/>
      <c r="L69" s="938"/>
      <c r="M69" s="935">
        <v>38858</v>
      </c>
      <c r="N69" s="945" t="s">
        <v>4696</v>
      </c>
      <c r="O69" s="937">
        <v>20</v>
      </c>
      <c r="P69" s="938"/>
      <c r="Q69" s="935"/>
      <c r="R69" s="945"/>
      <c r="S69" s="937"/>
      <c r="T69" s="938"/>
      <c r="U69" s="935">
        <v>39599</v>
      </c>
      <c r="V69" s="955" t="s">
        <v>4697</v>
      </c>
      <c r="W69" s="937">
        <v>10</v>
      </c>
      <c r="X69" s="939"/>
      <c r="Y69" s="935"/>
      <c r="Z69" s="945"/>
      <c r="AA69" s="937"/>
      <c r="AB69" s="938"/>
      <c r="AC69" s="935">
        <v>40321</v>
      </c>
      <c r="AD69" s="936" t="s">
        <v>4698</v>
      </c>
      <c r="AE69" s="937">
        <v>10</v>
      </c>
      <c r="AF69" s="938"/>
      <c r="AG69" s="935"/>
      <c r="AH69" s="936"/>
      <c r="AI69" s="937"/>
      <c r="AJ69" s="938"/>
      <c r="AK69" s="935"/>
      <c r="AL69" s="936"/>
      <c r="AM69" s="937"/>
      <c r="AN69" s="938"/>
      <c r="AO69" s="935">
        <v>41425</v>
      </c>
      <c r="AP69" s="936" t="s">
        <v>4699</v>
      </c>
      <c r="AQ69" s="937">
        <v>5</v>
      </c>
      <c r="AR69" s="938"/>
      <c r="AS69" s="935">
        <v>41784</v>
      </c>
      <c r="AT69" s="936" t="s">
        <v>4700</v>
      </c>
      <c r="AU69" s="937">
        <v>29</v>
      </c>
      <c r="AV69" s="938"/>
      <c r="AW69" s="935">
        <v>42154</v>
      </c>
      <c r="AX69" s="936" t="s">
        <v>4701</v>
      </c>
      <c r="AY69" s="937"/>
      <c r="AZ69" s="938"/>
      <c r="BA69" s="935"/>
      <c r="BB69" s="936"/>
      <c r="BC69" s="937"/>
      <c r="BD69" s="938"/>
      <c r="BE69" s="935">
        <v>42883</v>
      </c>
      <c r="BF69" s="936" t="s">
        <v>4702</v>
      </c>
      <c r="BG69" s="937">
        <v>36</v>
      </c>
      <c r="BH69" s="938"/>
      <c r="BI69" s="935">
        <v>43245</v>
      </c>
      <c r="BJ69" s="936" t="s">
        <v>4703</v>
      </c>
      <c r="BK69" s="937">
        <v>90</v>
      </c>
      <c r="BL69" s="938"/>
      <c r="BM69" s="935"/>
      <c r="BN69" s="936"/>
      <c r="BO69" s="937"/>
      <c r="BP69" s="938"/>
      <c r="BQ69" s="1663">
        <v>43612</v>
      </c>
      <c r="BR69" s="1668" t="s">
        <v>4070</v>
      </c>
      <c r="BS69" s="1669">
        <v>7</v>
      </c>
      <c r="BT69" s="1667" t="s">
        <v>414</v>
      </c>
      <c r="BU69" s="1663"/>
      <c r="BV69" s="1668"/>
      <c r="BW69" s="1669"/>
      <c r="BX69" s="1667"/>
      <c r="BY69" s="1663"/>
      <c r="BZ69" s="1668"/>
      <c r="CA69" s="1669"/>
      <c r="CB69" s="1667"/>
      <c r="CC69" s="1663">
        <v>44709</v>
      </c>
      <c r="CD69" s="1668" t="s">
        <v>843</v>
      </c>
      <c r="CE69" s="1672">
        <v>33</v>
      </c>
      <c r="CF69" s="1667" t="s">
        <v>414</v>
      </c>
      <c r="CG69" s="1663">
        <v>45073</v>
      </c>
      <c r="CH69" s="1668" t="s">
        <v>4704</v>
      </c>
      <c r="CI69" s="1672">
        <v>209</v>
      </c>
      <c r="CJ69" s="1667" t="s">
        <v>381</v>
      </c>
      <c r="CK69" s="1663">
        <v>45436</v>
      </c>
      <c r="CL69" s="1668" t="s">
        <v>4705</v>
      </c>
      <c r="CM69" s="1672">
        <v>65</v>
      </c>
      <c r="CN69" s="1667" t="s">
        <v>414</v>
      </c>
      <c r="CO69" s="2135">
        <v>45830</v>
      </c>
      <c r="CP69" s="2138" t="s">
        <v>4673</v>
      </c>
      <c r="CQ69" s="2127"/>
      <c r="CR69" s="2128">
        <v>-28</v>
      </c>
    </row>
    <row r="70" spans="1:96" ht="13.5">
      <c r="A70" s="935">
        <v>37766</v>
      </c>
      <c r="B70" s="945" t="s">
        <v>4706</v>
      </c>
      <c r="C70" s="937">
        <v>4</v>
      </c>
      <c r="D70" s="938"/>
      <c r="E70" s="935"/>
      <c r="F70" s="945"/>
      <c r="G70" s="937"/>
      <c r="H70" s="938"/>
      <c r="I70" s="935"/>
      <c r="J70" s="945"/>
      <c r="K70" s="937"/>
      <c r="L70" s="938"/>
      <c r="M70" s="935">
        <v>38858</v>
      </c>
      <c r="N70" s="945" t="s">
        <v>4707</v>
      </c>
      <c r="O70" s="937">
        <v>7</v>
      </c>
      <c r="P70" s="938"/>
      <c r="Q70" s="935"/>
      <c r="R70" s="945"/>
      <c r="S70" s="937"/>
      <c r="T70" s="938"/>
      <c r="U70" s="935"/>
      <c r="V70" s="945"/>
      <c r="W70" s="937"/>
      <c r="X70" s="939"/>
      <c r="Y70" s="935"/>
      <c r="Z70" s="945"/>
      <c r="AA70" s="937"/>
      <c r="AB70" s="938"/>
      <c r="AC70" s="935">
        <v>40321</v>
      </c>
      <c r="AD70" s="936" t="s">
        <v>4708</v>
      </c>
      <c r="AE70" s="937">
        <v>33</v>
      </c>
      <c r="AF70" s="938"/>
      <c r="AG70" s="935"/>
      <c r="AH70" s="936"/>
      <c r="AI70" s="937"/>
      <c r="AJ70" s="938"/>
      <c r="AK70" s="935"/>
      <c r="AL70" s="936"/>
      <c r="AM70" s="937"/>
      <c r="AN70" s="938"/>
      <c r="AO70" s="935"/>
      <c r="AP70" s="936"/>
      <c r="AQ70" s="937"/>
      <c r="AR70" s="938"/>
      <c r="AS70" s="935">
        <v>41784</v>
      </c>
      <c r="AT70" s="936" t="s">
        <v>1289</v>
      </c>
      <c r="AU70" s="937">
        <v>11</v>
      </c>
      <c r="AV70" s="938"/>
      <c r="AW70" s="935"/>
      <c r="AX70" s="936"/>
      <c r="AY70" s="937"/>
      <c r="AZ70" s="938"/>
      <c r="BA70" s="935"/>
      <c r="BB70" s="936"/>
      <c r="BC70" s="937"/>
      <c r="BD70" s="938"/>
      <c r="BE70" s="935">
        <v>42883</v>
      </c>
      <c r="BF70" s="936" t="s">
        <v>4709</v>
      </c>
      <c r="BG70" s="937">
        <v>25</v>
      </c>
      <c r="BH70" s="938"/>
      <c r="BI70" s="935">
        <v>43245</v>
      </c>
      <c r="BJ70" s="936" t="s">
        <v>4710</v>
      </c>
      <c r="BK70" s="937">
        <v>50</v>
      </c>
      <c r="BL70" s="938"/>
      <c r="BM70" s="935"/>
      <c r="BN70" s="936"/>
      <c r="BO70" s="937"/>
      <c r="BP70" s="938"/>
      <c r="BQ70" s="1663">
        <v>43612</v>
      </c>
      <c r="BR70" s="1668" t="s">
        <v>4711</v>
      </c>
      <c r="BS70" s="1669">
        <v>57</v>
      </c>
      <c r="BT70" s="1667" t="s">
        <v>280</v>
      </c>
      <c r="BU70" s="1663"/>
      <c r="BV70" s="1668"/>
      <c r="BW70" s="1669"/>
      <c r="BX70" s="1667"/>
      <c r="BY70" s="1663"/>
      <c r="BZ70" s="1668"/>
      <c r="CA70" s="1669"/>
      <c r="CB70" s="1667"/>
      <c r="CC70" s="1663">
        <v>44709</v>
      </c>
      <c r="CD70" s="1668" t="s">
        <v>4712</v>
      </c>
      <c r="CE70" s="1672">
        <v>40</v>
      </c>
      <c r="CF70" s="1667" t="s">
        <v>701</v>
      </c>
      <c r="CG70" s="1663">
        <v>45073</v>
      </c>
      <c r="CH70" s="1668" t="s">
        <v>4713</v>
      </c>
      <c r="CI70" s="1672">
        <v>13</v>
      </c>
      <c r="CJ70" s="1667" t="s">
        <v>278</v>
      </c>
      <c r="CK70" s="1663">
        <v>45436</v>
      </c>
      <c r="CL70" s="1668" t="s">
        <v>971</v>
      </c>
      <c r="CM70" s="1672">
        <v>65</v>
      </c>
      <c r="CN70" s="1667" t="s">
        <v>414</v>
      </c>
      <c r="CO70" s="2135">
        <v>45830</v>
      </c>
      <c r="CP70" s="2138" t="s">
        <v>4673</v>
      </c>
      <c r="CQ70" s="2127"/>
      <c r="CR70" s="2128">
        <v>-14</v>
      </c>
    </row>
    <row r="71" spans="1:96" ht="13.5">
      <c r="A71" s="935">
        <v>37766</v>
      </c>
      <c r="B71" s="945" t="s">
        <v>4714</v>
      </c>
      <c r="C71" s="937">
        <v>5</v>
      </c>
      <c r="D71" s="938"/>
      <c r="E71" s="935"/>
      <c r="F71" s="945"/>
      <c r="G71" s="937"/>
      <c r="H71" s="938"/>
      <c r="I71" s="935"/>
      <c r="J71" s="945"/>
      <c r="K71" s="937"/>
      <c r="L71" s="938"/>
      <c r="M71" s="935">
        <v>38858</v>
      </c>
      <c r="N71" s="945" t="s">
        <v>4715</v>
      </c>
      <c r="O71" s="937">
        <v>15</v>
      </c>
      <c r="P71" s="938"/>
      <c r="Q71" s="935"/>
      <c r="R71" s="945"/>
      <c r="S71" s="937"/>
      <c r="T71" s="938"/>
      <c r="U71" s="935"/>
      <c r="V71" s="945"/>
      <c r="W71" s="937"/>
      <c r="X71" s="939"/>
      <c r="Y71" s="935"/>
      <c r="Z71" s="945"/>
      <c r="AA71" s="937"/>
      <c r="AB71" s="938"/>
      <c r="AC71" s="935">
        <v>40321</v>
      </c>
      <c r="AD71" s="936" t="s">
        <v>937</v>
      </c>
      <c r="AE71" s="937">
        <v>18</v>
      </c>
      <c r="AF71" s="938"/>
      <c r="AG71" s="935"/>
      <c r="AH71" s="936"/>
      <c r="AI71" s="937"/>
      <c r="AJ71" s="938"/>
      <c r="AK71" s="935"/>
      <c r="AL71" s="936"/>
      <c r="AM71" s="937"/>
      <c r="AN71" s="938"/>
      <c r="AO71" s="935"/>
      <c r="AP71" s="936"/>
      <c r="AQ71" s="937"/>
      <c r="AR71" s="938"/>
      <c r="AS71" s="935">
        <v>41785</v>
      </c>
      <c r="AT71" s="936" t="s">
        <v>954</v>
      </c>
      <c r="AU71" s="937">
        <v>49</v>
      </c>
      <c r="AV71" s="938"/>
      <c r="AW71" s="935"/>
      <c r="AX71" s="936"/>
      <c r="AY71" s="937"/>
      <c r="AZ71" s="938"/>
      <c r="BA71" s="935"/>
      <c r="BB71" s="936"/>
      <c r="BC71" s="937"/>
      <c r="BD71" s="938"/>
      <c r="BE71" s="935">
        <v>42883</v>
      </c>
      <c r="BF71" s="936" t="s">
        <v>4716</v>
      </c>
      <c r="BG71" s="937">
        <v>102</v>
      </c>
      <c r="BH71" s="938"/>
      <c r="BI71" s="935">
        <v>43245</v>
      </c>
      <c r="BJ71" s="936" t="s">
        <v>872</v>
      </c>
      <c r="BK71" s="937">
        <v>24</v>
      </c>
      <c r="BL71" s="938"/>
      <c r="BM71" s="935"/>
      <c r="BN71" s="936"/>
      <c r="BO71" s="937"/>
      <c r="BP71" s="938"/>
      <c r="BQ71" s="1663">
        <v>43614</v>
      </c>
      <c r="BR71" s="1668" t="s">
        <v>797</v>
      </c>
      <c r="BS71" s="1669">
        <v>59</v>
      </c>
      <c r="BT71" s="1667" t="s">
        <v>410</v>
      </c>
      <c r="BU71" s="1663"/>
      <c r="BV71" s="1668"/>
      <c r="BW71" s="1669"/>
      <c r="BX71" s="1667"/>
      <c r="BY71" s="1663"/>
      <c r="BZ71" s="1668"/>
      <c r="CA71" s="1669"/>
      <c r="CB71" s="1667"/>
      <c r="CC71" s="1663">
        <v>44709</v>
      </c>
      <c r="CD71" s="1668" t="s">
        <v>4640</v>
      </c>
      <c r="CE71" s="1672">
        <v>55</v>
      </c>
      <c r="CF71" s="1667" t="s">
        <v>700</v>
      </c>
      <c r="CG71" s="1663">
        <v>45073</v>
      </c>
      <c r="CH71" s="1668" t="s">
        <v>4717</v>
      </c>
      <c r="CI71" s="1672">
        <v>22</v>
      </c>
      <c r="CJ71" s="1667" t="s">
        <v>278</v>
      </c>
      <c r="CK71" s="1663">
        <v>45436</v>
      </c>
      <c r="CL71" s="1668" t="s">
        <v>1180</v>
      </c>
      <c r="CM71" s="1672">
        <v>120</v>
      </c>
      <c r="CN71" s="1667" t="s">
        <v>410</v>
      </c>
      <c r="CO71" s="2135">
        <v>45830</v>
      </c>
      <c r="CP71" s="2138" t="s">
        <v>4718</v>
      </c>
      <c r="CQ71" s="2127"/>
      <c r="CR71" s="2128">
        <v>43.63</v>
      </c>
    </row>
    <row r="72" spans="1:96" ht="13.5">
      <c r="A72" s="935">
        <v>37766</v>
      </c>
      <c r="B72" s="945" t="s">
        <v>4719</v>
      </c>
      <c r="C72" s="937">
        <v>5</v>
      </c>
      <c r="D72" s="938"/>
      <c r="E72" s="935"/>
      <c r="F72" s="945"/>
      <c r="G72" s="937"/>
      <c r="H72" s="938"/>
      <c r="I72" s="935"/>
      <c r="J72" s="945"/>
      <c r="K72" s="937"/>
      <c r="L72" s="938"/>
      <c r="M72" s="935">
        <v>38859</v>
      </c>
      <c r="N72" s="945" t="s">
        <v>4720</v>
      </c>
      <c r="O72" s="937">
        <v>7</v>
      </c>
      <c r="P72" s="938"/>
      <c r="Q72" s="935"/>
      <c r="R72" s="945"/>
      <c r="S72" s="937"/>
      <c r="T72" s="938"/>
      <c r="U72" s="935"/>
      <c r="V72" s="945"/>
      <c r="W72" s="937"/>
      <c r="X72" s="939"/>
      <c r="Y72" s="935"/>
      <c r="Z72" s="945"/>
      <c r="AA72" s="937"/>
      <c r="AB72" s="938"/>
      <c r="AC72" s="935">
        <v>40321</v>
      </c>
      <c r="AD72" s="936" t="s">
        <v>797</v>
      </c>
      <c r="AE72" s="937">
        <v>39</v>
      </c>
      <c r="AF72" s="938"/>
      <c r="AG72" s="935"/>
      <c r="AH72" s="936"/>
      <c r="AI72" s="937"/>
      <c r="AJ72" s="938"/>
      <c r="AK72" s="935"/>
      <c r="AL72" s="936"/>
      <c r="AM72" s="937"/>
      <c r="AN72" s="938"/>
      <c r="AO72" s="935"/>
      <c r="AP72" s="936"/>
      <c r="AQ72" s="937"/>
      <c r="AR72" s="938"/>
      <c r="AS72" s="935">
        <v>41785</v>
      </c>
      <c r="AT72" s="936" t="s">
        <v>890</v>
      </c>
      <c r="AU72" s="937">
        <v>25</v>
      </c>
      <c r="AV72" s="938"/>
      <c r="AW72" s="935"/>
      <c r="AX72" s="936"/>
      <c r="AY72" s="937"/>
      <c r="AZ72" s="938"/>
      <c r="BA72" s="935"/>
      <c r="BB72" s="936"/>
      <c r="BC72" s="937"/>
      <c r="BD72" s="938"/>
      <c r="BE72" s="935">
        <v>42883</v>
      </c>
      <c r="BF72" s="936" t="s">
        <v>1180</v>
      </c>
      <c r="BG72" s="937">
        <v>38</v>
      </c>
      <c r="BH72" s="938"/>
      <c r="BI72" s="935">
        <v>43245</v>
      </c>
      <c r="BJ72" s="936" t="s">
        <v>823</v>
      </c>
      <c r="BK72" s="937">
        <v>20</v>
      </c>
      <c r="BL72" s="938"/>
      <c r="BM72" s="935"/>
      <c r="BN72" s="936"/>
      <c r="BO72" s="937"/>
      <c r="BP72" s="938"/>
      <c r="BQ72" s="1663">
        <v>43615</v>
      </c>
      <c r="BR72" s="1668" t="s">
        <v>2409</v>
      </c>
      <c r="BS72" s="1669">
        <v>17</v>
      </c>
      <c r="BT72" s="1667" t="s">
        <v>414</v>
      </c>
      <c r="BU72" s="1663"/>
      <c r="BV72" s="1668"/>
      <c r="BW72" s="1669"/>
      <c r="BX72" s="1667"/>
      <c r="BY72" s="1663"/>
      <c r="BZ72" s="1668"/>
      <c r="CA72" s="1669"/>
      <c r="CB72" s="1667"/>
      <c r="CC72" s="1663">
        <v>44709</v>
      </c>
      <c r="CD72" s="1668" t="s">
        <v>4721</v>
      </c>
      <c r="CE72" s="1672">
        <v>41</v>
      </c>
      <c r="CF72" s="1667" t="s">
        <v>692</v>
      </c>
      <c r="CG72" s="1663">
        <v>45073</v>
      </c>
      <c r="CH72" s="1668" t="s">
        <v>4722</v>
      </c>
      <c r="CI72" s="1672">
        <v>22</v>
      </c>
      <c r="CJ72" s="1667" t="s">
        <v>278</v>
      </c>
      <c r="CK72" s="1663"/>
      <c r="CL72" s="1668" t="s">
        <v>4723</v>
      </c>
      <c r="CM72" s="1672">
        <v>48</v>
      </c>
      <c r="CN72" s="1667" t="s">
        <v>414</v>
      </c>
      <c r="CO72" s="2135">
        <v>45830</v>
      </c>
      <c r="CP72" s="2138" t="s">
        <v>3838</v>
      </c>
      <c r="CQ72" s="2127"/>
      <c r="CR72" s="2128">
        <v>-20.81</v>
      </c>
    </row>
    <row r="73" spans="1:96" ht="13.5">
      <c r="A73" s="935">
        <v>37766</v>
      </c>
      <c r="B73" s="945" t="s">
        <v>4724</v>
      </c>
      <c r="C73" s="937">
        <v>15</v>
      </c>
      <c r="D73" s="938"/>
      <c r="E73" s="935"/>
      <c r="F73" s="945"/>
      <c r="G73" s="937"/>
      <c r="H73" s="938"/>
      <c r="I73" s="935"/>
      <c r="J73" s="945"/>
      <c r="K73" s="937"/>
      <c r="L73" s="938"/>
      <c r="M73" s="935">
        <v>38859</v>
      </c>
      <c r="N73" s="945" t="s">
        <v>4725</v>
      </c>
      <c r="O73" s="937">
        <v>3</v>
      </c>
      <c r="P73" s="938"/>
      <c r="Q73" s="935"/>
      <c r="R73" s="945"/>
      <c r="S73" s="937"/>
      <c r="T73" s="938"/>
      <c r="U73" s="935"/>
      <c r="V73" s="945"/>
      <c r="W73" s="937"/>
      <c r="X73" s="939"/>
      <c r="Y73" s="935"/>
      <c r="Z73" s="955"/>
      <c r="AA73" s="937"/>
      <c r="AB73" s="938"/>
      <c r="AC73" s="935">
        <v>40321</v>
      </c>
      <c r="AD73" s="936" t="s">
        <v>4726</v>
      </c>
      <c r="AE73" s="937"/>
      <c r="AF73" s="938"/>
      <c r="AG73" s="935"/>
      <c r="AH73" s="936"/>
      <c r="AI73" s="937"/>
      <c r="AJ73" s="938"/>
      <c r="AK73" s="935"/>
      <c r="AL73" s="936"/>
      <c r="AM73" s="937"/>
      <c r="AN73" s="938"/>
      <c r="AO73" s="935"/>
      <c r="AP73" s="936"/>
      <c r="AQ73" s="937"/>
      <c r="AR73" s="938"/>
      <c r="AS73" s="935">
        <v>41785</v>
      </c>
      <c r="AT73" s="936" t="s">
        <v>772</v>
      </c>
      <c r="AU73" s="937">
        <v>13</v>
      </c>
      <c r="AV73" s="938"/>
      <c r="AW73" s="935"/>
      <c r="AX73" s="936"/>
      <c r="AY73" s="937"/>
      <c r="AZ73" s="938"/>
      <c r="BA73" s="935"/>
      <c r="BB73" s="936"/>
      <c r="BC73" s="937"/>
      <c r="BD73" s="938"/>
      <c r="BE73" s="935">
        <v>42883</v>
      </c>
      <c r="BF73" s="936" t="s">
        <v>823</v>
      </c>
      <c r="BG73" s="937">
        <v>37</v>
      </c>
      <c r="BH73" s="938"/>
      <c r="BI73" s="935">
        <v>43246</v>
      </c>
      <c r="BJ73" s="936" t="s">
        <v>4727</v>
      </c>
      <c r="BK73" s="937">
        <v>17</v>
      </c>
      <c r="BL73" s="938"/>
      <c r="BM73" s="935"/>
      <c r="BN73" s="936"/>
      <c r="BO73" s="937"/>
      <c r="BP73" s="938"/>
      <c r="BQ73" s="1663">
        <v>43615</v>
      </c>
      <c r="BR73" s="1668" t="s">
        <v>781</v>
      </c>
      <c r="BS73" s="1669">
        <v>8</v>
      </c>
      <c r="BT73" s="1667" t="s">
        <v>414</v>
      </c>
      <c r="BU73" s="1663"/>
      <c r="BV73" s="1668"/>
      <c r="BW73" s="1669"/>
      <c r="BX73" s="1667"/>
      <c r="BY73" s="1663"/>
      <c r="BZ73" s="1668"/>
      <c r="CA73" s="1669"/>
      <c r="CB73" s="1667"/>
      <c r="CC73" s="1663">
        <v>44709</v>
      </c>
      <c r="CD73" s="1668" t="s">
        <v>1200</v>
      </c>
      <c r="CE73" s="1672">
        <v>30</v>
      </c>
      <c r="CF73" s="1667" t="s">
        <v>414</v>
      </c>
      <c r="CG73" s="1663">
        <v>45074</v>
      </c>
      <c r="CH73" s="1668" t="s">
        <v>4174</v>
      </c>
      <c r="CI73" s="1672">
        <v>45</v>
      </c>
      <c r="CJ73" s="1667" t="s">
        <v>278</v>
      </c>
      <c r="CK73" s="1663"/>
      <c r="CL73" s="1668" t="s">
        <v>4728</v>
      </c>
      <c r="CM73" s="1672">
        <v>20</v>
      </c>
      <c r="CN73" s="1667" t="s">
        <v>436</v>
      </c>
      <c r="CO73" s="2135">
        <v>45830</v>
      </c>
      <c r="CP73" s="2138" t="s">
        <v>4729</v>
      </c>
      <c r="CQ73" s="2127"/>
      <c r="CR73" s="2128">
        <v>-13.88</v>
      </c>
    </row>
    <row r="74" spans="1:96" ht="13.5">
      <c r="A74" s="935">
        <v>37767</v>
      </c>
      <c r="B74" s="945" t="s">
        <v>410</v>
      </c>
      <c r="C74" s="937">
        <v>17</v>
      </c>
      <c r="D74" s="938"/>
      <c r="E74" s="935"/>
      <c r="F74" s="945"/>
      <c r="G74" s="937"/>
      <c r="H74" s="938"/>
      <c r="I74" s="935"/>
      <c r="J74" s="945"/>
      <c r="K74" s="937"/>
      <c r="L74" s="938"/>
      <c r="M74" s="935">
        <v>38859</v>
      </c>
      <c r="N74" s="945" t="s">
        <v>4730</v>
      </c>
      <c r="O74" s="937">
        <v>7</v>
      </c>
      <c r="P74" s="938"/>
      <c r="Q74" s="935"/>
      <c r="R74" s="945"/>
      <c r="S74" s="937"/>
      <c r="T74" s="938"/>
      <c r="U74" s="935"/>
      <c r="V74" s="945"/>
      <c r="W74" s="937"/>
      <c r="X74" s="939"/>
      <c r="Y74" s="935"/>
      <c r="Z74" s="945"/>
      <c r="AA74" s="937"/>
      <c r="AB74" s="938"/>
      <c r="AC74" s="935">
        <v>40322</v>
      </c>
      <c r="AD74" s="936" t="s">
        <v>781</v>
      </c>
      <c r="AE74" s="937">
        <v>63</v>
      </c>
      <c r="AF74" s="938"/>
      <c r="AG74" s="935"/>
      <c r="AH74" s="936"/>
      <c r="AI74" s="937"/>
      <c r="AJ74" s="938"/>
      <c r="AK74" s="935"/>
      <c r="AL74" s="936"/>
      <c r="AM74" s="937"/>
      <c r="AN74" s="938"/>
      <c r="AO74" s="935"/>
      <c r="AP74" s="936"/>
      <c r="AQ74" s="937"/>
      <c r="AR74" s="938"/>
      <c r="AS74" s="935">
        <v>41785</v>
      </c>
      <c r="AT74" s="936" t="s">
        <v>4731</v>
      </c>
      <c r="AU74" s="937">
        <v>390</v>
      </c>
      <c r="AV74" s="938"/>
      <c r="AW74" s="935"/>
      <c r="AX74" s="936"/>
      <c r="AY74" s="937"/>
      <c r="AZ74" s="938"/>
      <c r="BA74" s="935"/>
      <c r="BB74" s="936"/>
      <c r="BC74" s="937"/>
      <c r="BD74" s="938"/>
      <c r="BE74" s="935">
        <v>42883</v>
      </c>
      <c r="BF74" s="936" t="s">
        <v>4732</v>
      </c>
      <c r="BG74" s="937">
        <v>14</v>
      </c>
      <c r="BH74" s="938"/>
      <c r="BI74" s="935">
        <v>43246</v>
      </c>
      <c r="BJ74" s="936" t="s">
        <v>4733</v>
      </c>
      <c r="BK74" s="937">
        <v>17</v>
      </c>
      <c r="BL74" s="938"/>
      <c r="BM74" s="935"/>
      <c r="BN74" s="936"/>
      <c r="BO74" s="937"/>
      <c r="BP74" s="938"/>
      <c r="BQ74" s="1663">
        <v>43616</v>
      </c>
      <c r="BR74" s="1668" t="s">
        <v>823</v>
      </c>
      <c r="BS74" s="1669">
        <v>27</v>
      </c>
      <c r="BT74" s="1667" t="s">
        <v>414</v>
      </c>
      <c r="BU74" s="1663"/>
      <c r="BV74" s="1668"/>
      <c r="BW74" s="1669"/>
      <c r="BX74" s="1667"/>
      <c r="BY74" s="1663"/>
      <c r="BZ74" s="1668"/>
      <c r="CA74" s="1669"/>
      <c r="CB74" s="1667"/>
      <c r="CC74" s="1663">
        <v>44709</v>
      </c>
      <c r="CD74" s="1668" t="s">
        <v>4734</v>
      </c>
      <c r="CE74" s="1672">
        <v>170</v>
      </c>
      <c r="CF74" s="1667" t="s">
        <v>695</v>
      </c>
      <c r="CG74" s="1663">
        <v>45074</v>
      </c>
      <c r="CH74" s="1668" t="s">
        <v>4735</v>
      </c>
      <c r="CI74" s="1672">
        <v>37</v>
      </c>
      <c r="CJ74" s="1667" t="s">
        <v>381</v>
      </c>
      <c r="CK74" s="1663"/>
      <c r="CL74" s="1668" t="s">
        <v>4736</v>
      </c>
      <c r="CM74" s="1672">
        <v>695</v>
      </c>
      <c r="CN74" s="1667" t="s">
        <v>436</v>
      </c>
      <c r="CO74" s="2135">
        <v>45830</v>
      </c>
      <c r="CP74" s="2138" t="s">
        <v>4737</v>
      </c>
      <c r="CQ74" s="2127"/>
      <c r="CR74" s="2128">
        <v>-21.31</v>
      </c>
    </row>
    <row r="75" spans="1:96" ht="13.5">
      <c r="A75" s="935">
        <v>37767</v>
      </c>
      <c r="B75" s="945" t="s">
        <v>4738</v>
      </c>
      <c r="C75" s="937">
        <v>5</v>
      </c>
      <c r="D75" s="938"/>
      <c r="E75" s="935"/>
      <c r="F75" s="945"/>
      <c r="G75" s="937"/>
      <c r="H75" s="938"/>
      <c r="I75" s="935"/>
      <c r="J75" s="945"/>
      <c r="K75" s="937"/>
      <c r="L75" s="938"/>
      <c r="M75" s="935">
        <v>38859</v>
      </c>
      <c r="N75" s="945" t="s">
        <v>4739</v>
      </c>
      <c r="O75" s="937">
        <v>2</v>
      </c>
      <c r="P75" s="938"/>
      <c r="Q75" s="935"/>
      <c r="R75" s="945"/>
      <c r="S75" s="937"/>
      <c r="T75" s="938"/>
      <c r="U75" s="935"/>
      <c r="V75" s="945"/>
      <c r="W75" s="937"/>
      <c r="X75" s="939"/>
      <c r="Y75" s="935"/>
      <c r="Z75" s="945"/>
      <c r="AA75" s="937"/>
      <c r="AB75" s="938"/>
      <c r="AC75" s="935">
        <v>40327</v>
      </c>
      <c r="AD75" s="936" t="s">
        <v>4740</v>
      </c>
      <c r="AE75" s="937">
        <v>27</v>
      </c>
      <c r="AF75" s="938"/>
      <c r="AG75" s="935"/>
      <c r="AH75" s="936"/>
      <c r="AI75" s="937"/>
      <c r="AJ75" s="938"/>
      <c r="AK75" s="935"/>
      <c r="AL75" s="936"/>
      <c r="AM75" s="937"/>
      <c r="AN75" s="938"/>
      <c r="AO75" s="935"/>
      <c r="AP75" s="936"/>
      <c r="AQ75" s="937"/>
      <c r="AR75" s="938"/>
      <c r="AS75" s="935">
        <v>41785</v>
      </c>
      <c r="AT75" s="936" t="s">
        <v>4741</v>
      </c>
      <c r="AU75" s="937">
        <v>0</v>
      </c>
      <c r="AV75" s="938"/>
      <c r="AW75" s="935"/>
      <c r="AX75" s="936"/>
      <c r="AY75" s="937"/>
      <c r="AZ75" s="938"/>
      <c r="BA75" s="935"/>
      <c r="BB75" s="936"/>
      <c r="BC75" s="937"/>
      <c r="BD75" s="938"/>
      <c r="BE75" s="935">
        <v>42883</v>
      </c>
      <c r="BF75" s="936" t="s">
        <v>1237</v>
      </c>
      <c r="BG75" s="937">
        <v>9</v>
      </c>
      <c r="BH75" s="938"/>
      <c r="BI75" s="935">
        <v>43247</v>
      </c>
      <c r="BJ75" s="936" t="s">
        <v>4742</v>
      </c>
      <c r="BK75" s="937">
        <v>14</v>
      </c>
      <c r="BL75" s="938"/>
      <c r="BM75" s="935"/>
      <c r="BN75" s="936"/>
      <c r="BO75" s="937"/>
      <c r="BP75" s="938"/>
      <c r="BQ75" s="1663">
        <v>43616</v>
      </c>
      <c r="BR75" s="1668" t="s">
        <v>4743</v>
      </c>
      <c r="BS75" s="1669">
        <v>335</v>
      </c>
      <c r="BT75" s="1667" t="s">
        <v>690</v>
      </c>
      <c r="BU75" s="1663"/>
      <c r="BV75" s="1668"/>
      <c r="BW75" s="1669"/>
      <c r="BX75" s="1667"/>
      <c r="BY75" s="1663"/>
      <c r="BZ75" s="1668"/>
      <c r="CA75" s="1676"/>
      <c r="CB75" s="1667"/>
      <c r="CC75" s="1663">
        <v>44710</v>
      </c>
      <c r="CD75" s="1668" t="s">
        <v>4744</v>
      </c>
      <c r="CE75" s="1677">
        <v>9</v>
      </c>
      <c r="CF75" s="1667" t="s">
        <v>414</v>
      </c>
      <c r="CG75" s="1663">
        <v>45074</v>
      </c>
      <c r="CH75" s="1668" t="s">
        <v>4745</v>
      </c>
      <c r="CI75" s="1672">
        <v>10</v>
      </c>
      <c r="CJ75" s="1667" t="s">
        <v>698</v>
      </c>
      <c r="CK75" s="1663"/>
      <c r="CL75" s="1668" t="s">
        <v>4746</v>
      </c>
      <c r="CM75" s="1672">
        <v>124</v>
      </c>
      <c r="CN75" s="1667" t="s">
        <v>414</v>
      </c>
      <c r="CO75" s="2135">
        <v>45828</v>
      </c>
      <c r="CP75" s="2138" t="s">
        <v>4747</v>
      </c>
      <c r="CQ75" s="2127"/>
      <c r="CR75" s="2128">
        <v>-14.13</v>
      </c>
    </row>
    <row r="76" spans="1:96" ht="13.5">
      <c r="A76" s="935">
        <v>37767</v>
      </c>
      <c r="B76" s="945" t="s">
        <v>4315</v>
      </c>
      <c r="C76" s="937">
        <v>31</v>
      </c>
      <c r="D76" s="938"/>
      <c r="E76" s="935"/>
      <c r="F76" s="945"/>
      <c r="G76" s="937"/>
      <c r="H76" s="938"/>
      <c r="I76" s="935"/>
      <c r="J76" s="945"/>
      <c r="K76" s="937"/>
      <c r="L76" s="938"/>
      <c r="M76" s="935">
        <v>38859</v>
      </c>
      <c r="N76" s="945" t="s">
        <v>4748</v>
      </c>
      <c r="O76" s="937">
        <v>16</v>
      </c>
      <c r="P76" s="938"/>
      <c r="Q76" s="935"/>
      <c r="R76" s="945"/>
      <c r="S76" s="937"/>
      <c r="T76" s="938"/>
      <c r="U76" s="935"/>
      <c r="V76" s="945"/>
      <c r="W76" s="937"/>
      <c r="X76" s="939"/>
      <c r="Y76" s="935"/>
      <c r="Z76" s="945"/>
      <c r="AA76" s="937"/>
      <c r="AB76" s="938"/>
      <c r="AC76" s="935">
        <v>40327</v>
      </c>
      <c r="AD76" s="936" t="s">
        <v>1944</v>
      </c>
      <c r="AE76" s="937">
        <v>54</v>
      </c>
      <c r="AF76" s="938"/>
      <c r="AG76" s="935"/>
      <c r="AH76" s="936"/>
      <c r="AI76" s="937"/>
      <c r="AJ76" s="938"/>
      <c r="AK76" s="935"/>
      <c r="AL76" s="936"/>
      <c r="AM76" s="937"/>
      <c r="AN76" s="938"/>
      <c r="AO76" s="935"/>
      <c r="AP76" s="936"/>
      <c r="AQ76" s="937"/>
      <c r="AR76" s="938"/>
      <c r="AS76" s="935">
        <v>41788</v>
      </c>
      <c r="AT76" s="936" t="s">
        <v>754</v>
      </c>
      <c r="AU76" s="937">
        <v>12</v>
      </c>
      <c r="AV76" s="938"/>
      <c r="AW76" s="935"/>
      <c r="AX76" s="936"/>
      <c r="AY76" s="937"/>
      <c r="AZ76" s="938"/>
      <c r="BA76" s="935"/>
      <c r="BB76" s="936"/>
      <c r="BC76" s="937"/>
      <c r="BD76" s="938"/>
      <c r="BE76" s="935">
        <v>42884</v>
      </c>
      <c r="BF76" s="936" t="s">
        <v>4749</v>
      </c>
      <c r="BG76" s="937">
        <v>31</v>
      </c>
      <c r="BH76" s="938"/>
      <c r="BI76" s="935">
        <v>43247</v>
      </c>
      <c r="BJ76" s="936" t="s">
        <v>4750</v>
      </c>
      <c r="BK76" s="937">
        <v>8</v>
      </c>
      <c r="BL76" s="938"/>
      <c r="BM76" s="935"/>
      <c r="BN76" s="936"/>
      <c r="BO76" s="937"/>
      <c r="BP76" s="938"/>
      <c r="BQ76" s="1663">
        <v>43616</v>
      </c>
      <c r="BR76" s="1668" t="s">
        <v>4751</v>
      </c>
      <c r="BS76" s="1669">
        <v>335</v>
      </c>
      <c r="BT76" s="1667" t="s">
        <v>284</v>
      </c>
      <c r="BU76" s="1663"/>
      <c r="BV76" s="1668"/>
      <c r="BW76" s="1669"/>
      <c r="BX76" s="1667"/>
      <c r="BY76" s="1663"/>
      <c r="BZ76" s="1668"/>
      <c r="CA76" s="1669"/>
      <c r="CB76" s="1678"/>
      <c r="CC76" s="1663">
        <v>44710</v>
      </c>
      <c r="CD76" s="1668" t="s">
        <v>2439</v>
      </c>
      <c r="CE76" s="1672">
        <v>30</v>
      </c>
      <c r="CF76" s="1667" t="s">
        <v>280</v>
      </c>
      <c r="CG76" s="1663">
        <v>45074</v>
      </c>
      <c r="CH76" s="1668" t="s">
        <v>4752</v>
      </c>
      <c r="CI76" s="1677">
        <v>20</v>
      </c>
      <c r="CJ76" s="1667" t="s">
        <v>414</v>
      </c>
      <c r="CK76" s="1663"/>
      <c r="CL76" s="1668" t="s">
        <v>772</v>
      </c>
      <c r="CM76" s="1677">
        <v>75</v>
      </c>
      <c r="CN76" s="1667" t="s">
        <v>414</v>
      </c>
      <c r="CO76" s="2135">
        <v>45828</v>
      </c>
      <c r="CP76" s="2138" t="s">
        <v>3881</v>
      </c>
      <c r="CQ76" s="2127"/>
      <c r="CR76" s="2128">
        <v>-20.9</v>
      </c>
    </row>
    <row r="77" spans="1:96" ht="13.5">
      <c r="A77" s="935">
        <v>37767</v>
      </c>
      <c r="B77" s="945" t="s">
        <v>937</v>
      </c>
      <c r="C77" s="937">
        <v>56</v>
      </c>
      <c r="D77" s="938"/>
      <c r="E77" s="935"/>
      <c r="F77" s="945"/>
      <c r="G77" s="937"/>
      <c r="H77" s="938"/>
      <c r="I77" s="935"/>
      <c r="J77" s="945"/>
      <c r="K77" s="937"/>
      <c r="L77" s="938"/>
      <c r="M77" s="935">
        <v>38859</v>
      </c>
      <c r="N77" s="945" t="s">
        <v>4753</v>
      </c>
      <c r="O77" s="937">
        <v>5</v>
      </c>
      <c r="P77" s="938"/>
      <c r="Q77" s="935"/>
      <c r="R77" s="945"/>
      <c r="S77" s="937"/>
      <c r="T77" s="938"/>
      <c r="U77" s="935"/>
      <c r="V77" s="945"/>
      <c r="W77" s="937"/>
      <c r="X77" s="939"/>
      <c r="Y77" s="935"/>
      <c r="Z77" s="945"/>
      <c r="AA77" s="937"/>
      <c r="AB77" s="938"/>
      <c r="AC77" s="935">
        <v>40327</v>
      </c>
      <c r="AD77" s="936" t="s">
        <v>4754</v>
      </c>
      <c r="AE77" s="937">
        <v>29</v>
      </c>
      <c r="AF77" s="938"/>
      <c r="AG77" s="935"/>
      <c r="AH77" s="936"/>
      <c r="AI77" s="937"/>
      <c r="AJ77" s="938"/>
      <c r="AK77" s="935"/>
      <c r="AL77" s="936"/>
      <c r="AM77" s="937"/>
      <c r="AN77" s="938"/>
      <c r="AO77" s="935"/>
      <c r="AP77" s="936"/>
      <c r="AQ77" s="937"/>
      <c r="AR77" s="938"/>
      <c r="AS77" s="935">
        <v>41788</v>
      </c>
      <c r="AT77" s="936" t="s">
        <v>802</v>
      </c>
      <c r="AU77" s="937">
        <v>48</v>
      </c>
      <c r="AV77" s="938"/>
      <c r="AW77" s="935"/>
      <c r="AX77" s="936"/>
      <c r="AY77" s="937"/>
      <c r="AZ77" s="938"/>
      <c r="BA77" s="935"/>
      <c r="BB77" s="936"/>
      <c r="BC77" s="937"/>
      <c r="BD77" s="938"/>
      <c r="BE77" s="935">
        <v>42884</v>
      </c>
      <c r="BF77" s="936" t="s">
        <v>4755</v>
      </c>
      <c r="BG77" s="937">
        <v>5</v>
      </c>
      <c r="BH77" s="938"/>
      <c r="BI77" s="935">
        <v>43247</v>
      </c>
      <c r="BJ77" s="936" t="s">
        <v>4756</v>
      </c>
      <c r="BK77" s="937">
        <v>5</v>
      </c>
      <c r="BL77" s="938"/>
      <c r="BM77" s="935"/>
      <c r="BN77" s="936"/>
      <c r="BO77" s="937"/>
      <c r="BP77" s="938"/>
      <c r="BQ77" s="1663">
        <v>43616</v>
      </c>
      <c r="BR77" s="1668" t="s">
        <v>4757</v>
      </c>
      <c r="BS77" s="1669">
        <v>135</v>
      </c>
      <c r="BT77" s="1667" t="s">
        <v>284</v>
      </c>
      <c r="BU77" s="1663"/>
      <c r="BV77" s="1668"/>
      <c r="BW77" s="1669"/>
      <c r="BX77" s="1667"/>
      <c r="BY77" s="1663"/>
      <c r="BZ77" s="1668"/>
      <c r="CA77" s="1669"/>
      <c r="CB77" s="1678"/>
      <c r="CC77" s="1663">
        <v>44710</v>
      </c>
      <c r="CD77" s="1668" t="s">
        <v>4758</v>
      </c>
      <c r="CE77" s="1672">
        <v>19</v>
      </c>
      <c r="CF77" s="1667" t="s">
        <v>693</v>
      </c>
      <c r="CG77" s="1663">
        <v>45076</v>
      </c>
      <c r="CH77" s="1668" t="s">
        <v>4759</v>
      </c>
      <c r="CI77" s="1672">
        <v>20</v>
      </c>
      <c r="CJ77" s="1667" t="s">
        <v>667</v>
      </c>
      <c r="CK77" s="1663"/>
      <c r="CL77" s="1668" t="s">
        <v>859</v>
      </c>
      <c r="CM77" s="1672">
        <v>6</v>
      </c>
      <c r="CN77" s="1667" t="s">
        <v>414</v>
      </c>
      <c r="CO77" s="2135">
        <v>45828</v>
      </c>
      <c r="CP77" s="2138" t="s">
        <v>4760</v>
      </c>
      <c r="CQ77" s="2127"/>
      <c r="CR77" s="2128">
        <v>1869.29</v>
      </c>
    </row>
    <row r="78" spans="1:96" ht="26.25">
      <c r="A78" s="935">
        <v>37767</v>
      </c>
      <c r="B78" s="945" t="s">
        <v>797</v>
      </c>
      <c r="C78" s="937">
        <v>30</v>
      </c>
      <c r="D78" s="938"/>
      <c r="E78" s="935"/>
      <c r="F78" s="945"/>
      <c r="G78" s="937"/>
      <c r="H78" s="938"/>
      <c r="I78" s="935"/>
      <c r="J78" s="945"/>
      <c r="K78" s="937"/>
      <c r="L78" s="938"/>
      <c r="M78" s="935">
        <v>38859</v>
      </c>
      <c r="N78" s="945" t="s">
        <v>4761</v>
      </c>
      <c r="O78" s="937">
        <v>17</v>
      </c>
      <c r="P78" s="938"/>
      <c r="Q78" s="935"/>
      <c r="R78" s="945"/>
      <c r="S78" s="937"/>
      <c r="T78" s="938"/>
      <c r="U78" s="935"/>
      <c r="V78" s="945"/>
      <c r="W78" s="937"/>
      <c r="X78" s="939"/>
      <c r="Y78" s="935"/>
      <c r="Z78" s="945"/>
      <c r="AA78" s="937"/>
      <c r="AB78" s="938"/>
      <c r="AC78" s="935">
        <v>40327</v>
      </c>
      <c r="AD78" s="936" t="s">
        <v>781</v>
      </c>
      <c r="AE78" s="937">
        <v>126</v>
      </c>
      <c r="AF78" s="938"/>
      <c r="AG78" s="935"/>
      <c r="AH78" s="936"/>
      <c r="AI78" s="937"/>
      <c r="AJ78" s="938"/>
      <c r="AK78" s="935"/>
      <c r="AL78" s="936"/>
      <c r="AM78" s="937"/>
      <c r="AN78" s="938"/>
      <c r="AO78" s="935"/>
      <c r="AP78" s="936"/>
      <c r="AQ78" s="937"/>
      <c r="AR78" s="938"/>
      <c r="AS78" s="935">
        <v>41789</v>
      </c>
      <c r="AT78" s="936" t="s">
        <v>4354</v>
      </c>
      <c r="AU78" s="937">
        <v>15</v>
      </c>
      <c r="AV78" s="938"/>
      <c r="AW78" s="935"/>
      <c r="AX78" s="936"/>
      <c r="AY78" s="937"/>
      <c r="AZ78" s="938"/>
      <c r="BA78" s="935"/>
      <c r="BB78" s="936"/>
      <c r="BC78" s="937"/>
      <c r="BD78" s="938"/>
      <c r="BE78" s="935">
        <v>42884</v>
      </c>
      <c r="BF78" s="936" t="s">
        <v>872</v>
      </c>
      <c r="BG78" s="937">
        <v>12</v>
      </c>
      <c r="BH78" s="938"/>
      <c r="BI78" s="935">
        <v>43247</v>
      </c>
      <c r="BJ78" s="936" t="s">
        <v>1151</v>
      </c>
      <c r="BK78" s="937">
        <v>3</v>
      </c>
      <c r="BL78" s="938"/>
      <c r="BM78" s="935"/>
      <c r="BN78" s="936"/>
      <c r="BO78" s="937"/>
      <c r="BP78" s="938"/>
      <c r="BQ78" s="1663"/>
      <c r="BR78" s="1668" t="s">
        <v>3806</v>
      </c>
      <c r="BS78" s="1676">
        <v>335</v>
      </c>
      <c r="BT78" s="1667" t="s">
        <v>690</v>
      </c>
      <c r="BU78" s="1663"/>
      <c r="BV78" s="1668"/>
      <c r="BW78" s="1676"/>
      <c r="BX78" s="1667"/>
      <c r="BY78" s="1663"/>
      <c r="BZ78" s="1668"/>
      <c r="CA78" s="1669"/>
      <c r="CB78" s="1678"/>
      <c r="CC78" s="1663">
        <v>44711</v>
      </c>
      <c r="CD78" s="1668" t="s">
        <v>4762</v>
      </c>
      <c r="CE78" s="1672">
        <v>62</v>
      </c>
      <c r="CF78" s="1667" t="s">
        <v>381</v>
      </c>
      <c r="CG78" s="1663">
        <v>45076</v>
      </c>
      <c r="CH78" s="1668" t="s">
        <v>4763</v>
      </c>
      <c r="CI78" s="1672">
        <v>25</v>
      </c>
      <c r="CJ78" s="1667" t="s">
        <v>667</v>
      </c>
      <c r="CK78" s="1663"/>
      <c r="CL78" s="1668" t="s">
        <v>772</v>
      </c>
      <c r="CM78" s="1672">
        <v>68</v>
      </c>
      <c r="CN78" s="1667" t="s">
        <v>414</v>
      </c>
      <c r="CO78" s="2135">
        <v>45828</v>
      </c>
      <c r="CP78" s="2138" t="s">
        <v>4764</v>
      </c>
      <c r="CQ78" s="2127"/>
      <c r="CR78" s="2128">
        <v>-1869.29</v>
      </c>
    </row>
    <row r="79" spans="1:96" ht="26.25">
      <c r="A79" s="935">
        <v>37769</v>
      </c>
      <c r="B79" s="945" t="s">
        <v>4765</v>
      </c>
      <c r="C79" s="937">
        <v>15</v>
      </c>
      <c r="D79" s="938"/>
      <c r="E79" s="935"/>
      <c r="F79" s="945"/>
      <c r="G79" s="937"/>
      <c r="H79" s="938"/>
      <c r="I79" s="935"/>
      <c r="J79" s="945"/>
      <c r="K79" s="937"/>
      <c r="L79" s="938"/>
      <c r="M79" s="935">
        <v>38859</v>
      </c>
      <c r="N79" s="945" t="s">
        <v>4766</v>
      </c>
      <c r="O79" s="937">
        <v>8</v>
      </c>
      <c r="P79" s="938"/>
      <c r="Q79" s="935"/>
      <c r="R79" s="945"/>
      <c r="S79" s="937"/>
      <c r="T79" s="938"/>
      <c r="U79" s="935"/>
      <c r="V79" s="945"/>
      <c r="W79" s="937"/>
      <c r="X79" s="939"/>
      <c r="Y79" s="935"/>
      <c r="Z79" s="945"/>
      <c r="AA79" s="937"/>
      <c r="AB79" s="938"/>
      <c r="AC79" s="935">
        <v>40328</v>
      </c>
      <c r="AD79" s="936" t="s">
        <v>2698</v>
      </c>
      <c r="AE79" s="937">
        <v>2</v>
      </c>
      <c r="AF79" s="938"/>
      <c r="AG79" s="935"/>
      <c r="AH79" s="936"/>
      <c r="AI79" s="937"/>
      <c r="AJ79" s="938"/>
      <c r="AK79" s="935"/>
      <c r="AL79" s="936"/>
      <c r="AM79" s="937"/>
      <c r="AN79" s="938"/>
      <c r="AO79" s="935"/>
      <c r="AP79" s="936"/>
      <c r="AQ79" s="937"/>
      <c r="AR79" s="938"/>
      <c r="AS79" s="935">
        <v>41789</v>
      </c>
      <c r="AT79" s="936" t="s">
        <v>954</v>
      </c>
      <c r="AU79" s="937">
        <v>52</v>
      </c>
      <c r="AV79" s="938"/>
      <c r="AW79" s="935"/>
      <c r="AX79" s="936"/>
      <c r="AY79" s="937"/>
      <c r="AZ79" s="938"/>
      <c r="BA79" s="935"/>
      <c r="BB79" s="936"/>
      <c r="BC79" s="937"/>
      <c r="BD79" s="938"/>
      <c r="BE79" s="935">
        <v>42884</v>
      </c>
      <c r="BF79" s="936" t="s">
        <v>4732</v>
      </c>
      <c r="BG79" s="937">
        <v>7</v>
      </c>
      <c r="BH79" s="938"/>
      <c r="BI79" s="935">
        <v>43247</v>
      </c>
      <c r="BJ79" s="936" t="s">
        <v>4767</v>
      </c>
      <c r="BK79" s="937">
        <v>4</v>
      </c>
      <c r="BL79" s="938"/>
      <c r="BM79" s="935"/>
      <c r="BN79" s="936"/>
      <c r="BO79" s="937"/>
      <c r="BP79" s="938"/>
      <c r="BQ79" s="1663"/>
      <c r="BR79" s="1668"/>
      <c r="BS79" s="1669"/>
      <c r="BT79" s="1678"/>
      <c r="BU79" s="1663"/>
      <c r="BV79" s="1668"/>
      <c r="BW79" s="1669"/>
      <c r="BX79" s="1678"/>
      <c r="BY79" s="1663"/>
      <c r="BZ79" s="1668"/>
      <c r="CA79" s="1669"/>
      <c r="CB79" s="1678"/>
      <c r="CC79" s="1663">
        <v>44711</v>
      </c>
      <c r="CD79" s="1668" t="s">
        <v>2162</v>
      </c>
      <c r="CE79" s="1672">
        <v>13</v>
      </c>
      <c r="CF79" s="1678" t="s">
        <v>414</v>
      </c>
      <c r="CG79" s="1663">
        <v>45076</v>
      </c>
      <c r="CH79" s="1668" t="s">
        <v>4768</v>
      </c>
      <c r="CI79" s="1672">
        <v>25</v>
      </c>
      <c r="CJ79" s="1667" t="s">
        <v>667</v>
      </c>
      <c r="CK79" s="1663"/>
      <c r="CL79" s="1668" t="s">
        <v>4769</v>
      </c>
      <c r="CM79" s="1672">
        <v>39</v>
      </c>
      <c r="CN79" s="1667" t="s">
        <v>712</v>
      </c>
      <c r="CO79" s="2135">
        <v>45828</v>
      </c>
      <c r="CP79" s="2138" t="s">
        <v>4764</v>
      </c>
      <c r="CQ79" s="2127"/>
      <c r="CR79" s="2128">
        <v>-716.33</v>
      </c>
    </row>
    <row r="80" spans="1:96" ht="13.5">
      <c r="A80" s="935">
        <v>37769</v>
      </c>
      <c r="B80" s="945" t="s">
        <v>4090</v>
      </c>
      <c r="C80" s="937">
        <v>5</v>
      </c>
      <c r="D80" s="938"/>
      <c r="E80" s="935"/>
      <c r="F80" s="945"/>
      <c r="G80" s="937"/>
      <c r="H80" s="938"/>
      <c r="I80" s="935"/>
      <c r="J80" s="945"/>
      <c r="K80" s="937"/>
      <c r="L80" s="938"/>
      <c r="M80" s="935">
        <v>38860</v>
      </c>
      <c r="N80" s="945" t="s">
        <v>4770</v>
      </c>
      <c r="O80" s="937">
        <v>21</v>
      </c>
      <c r="P80" s="938"/>
      <c r="Q80" s="935"/>
      <c r="R80" s="945"/>
      <c r="S80" s="937"/>
      <c r="T80" s="938"/>
      <c r="U80" s="935"/>
      <c r="V80" s="945"/>
      <c r="W80" s="937"/>
      <c r="X80" s="939"/>
      <c r="Y80" s="935"/>
      <c r="Z80" s="945"/>
      <c r="AA80" s="937"/>
      <c r="AB80" s="938"/>
      <c r="AC80" s="935">
        <v>40328</v>
      </c>
      <c r="AD80" s="936" t="s">
        <v>960</v>
      </c>
      <c r="AE80" s="937">
        <v>2</v>
      </c>
      <c r="AF80" s="938"/>
      <c r="AG80" s="935"/>
      <c r="AH80" s="936"/>
      <c r="AI80" s="937"/>
      <c r="AJ80" s="938"/>
      <c r="AK80" s="935"/>
      <c r="AL80" s="936"/>
      <c r="AM80" s="937"/>
      <c r="AN80" s="938"/>
      <c r="AO80" s="935"/>
      <c r="AP80" s="936"/>
      <c r="AQ80" s="937"/>
      <c r="AR80" s="938"/>
      <c r="AS80" s="935">
        <v>41789</v>
      </c>
      <c r="AT80" s="936" t="s">
        <v>890</v>
      </c>
      <c r="AU80" s="937">
        <v>51</v>
      </c>
      <c r="AV80" s="938"/>
      <c r="AW80" s="935"/>
      <c r="AX80" s="936"/>
      <c r="AY80" s="937"/>
      <c r="AZ80" s="938"/>
      <c r="BA80" s="935"/>
      <c r="BB80" s="936"/>
      <c r="BC80" s="937"/>
      <c r="BD80" s="938"/>
      <c r="BE80" s="935">
        <v>42885</v>
      </c>
      <c r="BF80" s="936" t="s">
        <v>4771</v>
      </c>
      <c r="BG80" s="937">
        <v>25</v>
      </c>
      <c r="BH80" s="938"/>
      <c r="BI80" s="935">
        <v>43248</v>
      </c>
      <c r="BJ80" s="936" t="s">
        <v>872</v>
      </c>
      <c r="BK80" s="937">
        <v>8</v>
      </c>
      <c r="BL80" s="938"/>
      <c r="BM80" s="935"/>
      <c r="BN80" s="936"/>
      <c r="BO80" s="937"/>
      <c r="BP80" s="938"/>
      <c r="BQ80" s="1663"/>
      <c r="BR80" s="1668"/>
      <c r="BS80" s="1669"/>
      <c r="BT80" s="1678"/>
      <c r="BU80" s="1663"/>
      <c r="BV80" s="1668"/>
      <c r="BW80" s="1669"/>
      <c r="BX80" s="1678"/>
      <c r="BY80" s="1663"/>
      <c r="BZ80" s="1668"/>
      <c r="CA80" s="1669"/>
      <c r="CB80" s="1678"/>
      <c r="CC80" s="1663">
        <v>44711</v>
      </c>
      <c r="CD80" s="1668" t="s">
        <v>4772</v>
      </c>
      <c r="CE80" s="1672">
        <v>40</v>
      </c>
      <c r="CF80" s="1667" t="s">
        <v>693</v>
      </c>
      <c r="CG80" s="1663">
        <v>45076</v>
      </c>
      <c r="CH80" s="1668" t="s">
        <v>4773</v>
      </c>
      <c r="CI80" s="1672">
        <v>25</v>
      </c>
      <c r="CJ80" s="1667" t="s">
        <v>667</v>
      </c>
      <c r="CK80" s="1663"/>
      <c r="CL80" s="1738" t="s">
        <v>1689</v>
      </c>
      <c r="CM80" s="1839">
        <v>100</v>
      </c>
      <c r="CN80" s="1787" t="s">
        <v>674</v>
      </c>
      <c r="CO80" s="2135">
        <v>45828</v>
      </c>
      <c r="CP80" s="2138" t="s">
        <v>4760</v>
      </c>
      <c r="CQ80" s="2127"/>
      <c r="CR80" s="2128">
        <v>716.33</v>
      </c>
    </row>
    <row r="81" spans="1:96" ht="13.5">
      <c r="A81" s="935">
        <v>37770</v>
      </c>
      <c r="B81" s="945" t="s">
        <v>4774</v>
      </c>
      <c r="C81" s="937"/>
      <c r="D81" s="938">
        <v>5</v>
      </c>
      <c r="E81" s="935"/>
      <c r="F81" s="945"/>
      <c r="G81" s="937"/>
      <c r="H81" s="938"/>
      <c r="I81" s="935"/>
      <c r="J81" s="945"/>
      <c r="K81" s="937"/>
      <c r="L81" s="938"/>
      <c r="M81" s="935">
        <v>38860</v>
      </c>
      <c r="N81" s="945" t="s">
        <v>4775</v>
      </c>
      <c r="O81" s="937">
        <v>13</v>
      </c>
      <c r="P81" s="938"/>
      <c r="Q81" s="935"/>
      <c r="R81" s="945"/>
      <c r="S81" s="937"/>
      <c r="T81" s="938"/>
      <c r="U81" s="935"/>
      <c r="V81" s="945"/>
      <c r="W81" s="937"/>
      <c r="X81" s="939"/>
      <c r="Y81" s="935"/>
      <c r="Z81" s="945"/>
      <c r="AA81" s="937"/>
      <c r="AB81" s="938"/>
      <c r="AC81" s="935">
        <v>40329</v>
      </c>
      <c r="AD81" s="936" t="s">
        <v>4776</v>
      </c>
      <c r="AE81" s="937">
        <v>13</v>
      </c>
      <c r="AF81" s="938"/>
      <c r="AG81" s="935"/>
      <c r="AH81" s="936"/>
      <c r="AI81" s="937"/>
      <c r="AJ81" s="938"/>
      <c r="AK81" s="935"/>
      <c r="AL81" s="936"/>
      <c r="AM81" s="937"/>
      <c r="AN81" s="938"/>
      <c r="AO81" s="935"/>
      <c r="AP81" s="936"/>
      <c r="AQ81" s="937"/>
      <c r="AR81" s="938"/>
      <c r="AS81" s="935">
        <v>41789</v>
      </c>
      <c r="AT81" s="936" t="s">
        <v>4777</v>
      </c>
      <c r="AU81" s="937">
        <v>10</v>
      </c>
      <c r="AV81" s="938"/>
      <c r="AW81" s="935"/>
      <c r="AX81" s="936"/>
      <c r="AY81" s="937"/>
      <c r="AZ81" s="938"/>
      <c r="BA81" s="935"/>
      <c r="BB81" s="936"/>
      <c r="BC81" s="937"/>
      <c r="BD81" s="938"/>
      <c r="BE81" s="935">
        <v>42885</v>
      </c>
      <c r="BF81" s="936" t="s">
        <v>4778</v>
      </c>
      <c r="BG81" s="937">
        <v>48</v>
      </c>
      <c r="BH81" s="938"/>
      <c r="BI81" s="935">
        <v>43248</v>
      </c>
      <c r="BJ81" s="936" t="s">
        <v>873</v>
      </c>
      <c r="BK81" s="937">
        <v>24</v>
      </c>
      <c r="BL81" s="938"/>
      <c r="BM81" s="935"/>
      <c r="BN81" s="936"/>
      <c r="BO81" s="937"/>
      <c r="BP81" s="938"/>
      <c r="BQ81" s="1663"/>
      <c r="BR81" s="1668"/>
      <c r="BS81" s="1669"/>
      <c r="BT81" s="1678"/>
      <c r="BU81" s="1663"/>
      <c r="BV81" s="1668"/>
      <c r="BW81" s="1669"/>
      <c r="BX81" s="1678"/>
      <c r="BY81" s="1663"/>
      <c r="BZ81" s="1668"/>
      <c r="CA81" s="1669"/>
      <c r="CB81" s="1678"/>
      <c r="CC81" s="1663">
        <v>44711</v>
      </c>
      <c r="CD81" s="1668" t="s">
        <v>4779</v>
      </c>
      <c r="CE81" s="1672">
        <v>51</v>
      </c>
      <c r="CF81" s="1667" t="s">
        <v>700</v>
      </c>
      <c r="CG81" s="1663">
        <v>45076</v>
      </c>
      <c r="CH81" s="1668" t="s">
        <v>1180</v>
      </c>
      <c r="CI81" s="1672">
        <v>110</v>
      </c>
      <c r="CJ81" s="1667" t="s">
        <v>410</v>
      </c>
      <c r="CK81" s="1663"/>
      <c r="CL81" s="1668"/>
      <c r="CM81" s="1672"/>
      <c r="CN81" s="1667"/>
      <c r="CO81" s="2135">
        <v>45827</v>
      </c>
      <c r="CP81" s="2139" t="s">
        <v>4780</v>
      </c>
      <c r="CQ81" s="2127"/>
      <c r="CR81" s="2128">
        <v>1167.8499999999999</v>
      </c>
    </row>
    <row r="82" spans="1:96" ht="13.5">
      <c r="A82" s="935">
        <v>37770</v>
      </c>
      <c r="B82" s="945" t="s">
        <v>4781</v>
      </c>
      <c r="C82" s="937"/>
      <c r="D82" s="938">
        <v>6</v>
      </c>
      <c r="E82" s="935"/>
      <c r="F82" s="945"/>
      <c r="G82" s="937"/>
      <c r="H82" s="938"/>
      <c r="I82" s="935"/>
      <c r="J82" s="945"/>
      <c r="K82" s="937"/>
      <c r="L82" s="938"/>
      <c r="M82" s="935">
        <v>38861</v>
      </c>
      <c r="N82" s="945" t="s">
        <v>4782</v>
      </c>
      <c r="O82" s="937">
        <v>21</v>
      </c>
      <c r="P82" s="938"/>
      <c r="Q82" s="935"/>
      <c r="R82" s="945"/>
      <c r="S82" s="937"/>
      <c r="T82" s="938"/>
      <c r="U82" s="935"/>
      <c r="V82" s="945"/>
      <c r="W82" s="937"/>
      <c r="X82" s="939"/>
      <c r="Y82" s="935"/>
      <c r="Z82" s="945"/>
      <c r="AA82" s="937"/>
      <c r="AB82" s="938"/>
      <c r="AC82" s="935">
        <v>40329</v>
      </c>
      <c r="AD82" s="936" t="s">
        <v>767</v>
      </c>
      <c r="AE82" s="937">
        <v>2</v>
      </c>
      <c r="AF82" s="938"/>
      <c r="AG82" s="935"/>
      <c r="AH82" s="936"/>
      <c r="AI82" s="937"/>
      <c r="AJ82" s="938"/>
      <c r="AK82" s="935"/>
      <c r="AL82" s="936"/>
      <c r="AM82" s="937"/>
      <c r="AN82" s="938"/>
      <c r="AO82" s="935"/>
      <c r="AP82" s="936"/>
      <c r="AQ82" s="937"/>
      <c r="AR82" s="938"/>
      <c r="AS82" s="935"/>
      <c r="AT82" s="936"/>
      <c r="AU82" s="937"/>
      <c r="AV82" s="938"/>
      <c r="AW82" s="935"/>
      <c r="AX82" s="936"/>
      <c r="AY82" s="937"/>
      <c r="AZ82" s="938"/>
      <c r="BA82" s="935"/>
      <c r="BB82" s="936"/>
      <c r="BC82" s="937"/>
      <c r="BD82" s="938"/>
      <c r="BE82" s="935">
        <v>42885</v>
      </c>
      <c r="BF82" s="936" t="s">
        <v>823</v>
      </c>
      <c r="BG82" s="937">
        <v>6</v>
      </c>
      <c r="BH82" s="938"/>
      <c r="BI82" s="935">
        <v>43248</v>
      </c>
      <c r="BJ82" s="936" t="s">
        <v>797</v>
      </c>
      <c r="BK82" s="937">
        <v>37</v>
      </c>
      <c r="BL82" s="938"/>
      <c r="BM82" s="935"/>
      <c r="BN82" s="936"/>
      <c r="BO82" s="937"/>
      <c r="BP82" s="938"/>
      <c r="BQ82" s="935"/>
      <c r="BR82" s="936"/>
      <c r="BS82" s="937"/>
      <c r="BT82" s="938"/>
      <c r="BU82" s="935"/>
      <c r="BV82" s="936"/>
      <c r="BW82" s="937"/>
      <c r="BX82" s="938"/>
      <c r="BY82" s="935"/>
      <c r="BZ82" s="936"/>
      <c r="CA82" s="937"/>
      <c r="CB82" s="938"/>
      <c r="CC82" s="935"/>
      <c r="CD82" s="936"/>
      <c r="CE82" s="953"/>
      <c r="CF82" s="938"/>
      <c r="CG82" s="935"/>
      <c r="CH82" s="936"/>
      <c r="CI82" s="953"/>
      <c r="CJ82" s="952"/>
      <c r="CK82" s="935"/>
      <c r="CL82" s="936"/>
      <c r="CM82" s="953"/>
      <c r="CN82" s="952"/>
      <c r="CO82" s="2135">
        <v>45827</v>
      </c>
      <c r="CP82" s="2138" t="s">
        <v>4783</v>
      </c>
      <c r="CQ82" s="2127"/>
      <c r="CR82" s="2128">
        <v>-50</v>
      </c>
    </row>
    <row r="83" spans="1:96" ht="13.5">
      <c r="A83" s="935">
        <v>37771</v>
      </c>
      <c r="B83" s="945" t="s">
        <v>4784</v>
      </c>
      <c r="C83" s="937">
        <v>2</v>
      </c>
      <c r="D83" s="938"/>
      <c r="E83" s="935"/>
      <c r="F83" s="945"/>
      <c r="G83" s="937"/>
      <c r="H83" s="938"/>
      <c r="I83" s="935"/>
      <c r="J83" s="945"/>
      <c r="K83" s="937"/>
      <c r="L83" s="938"/>
      <c r="M83" s="935">
        <v>38861</v>
      </c>
      <c r="N83" s="945" t="s">
        <v>4785</v>
      </c>
      <c r="O83" s="937">
        <v>5</v>
      </c>
      <c r="P83" s="938"/>
      <c r="Q83" s="935"/>
      <c r="R83" s="945"/>
      <c r="S83" s="937"/>
      <c r="T83" s="938"/>
      <c r="U83" s="935"/>
      <c r="V83" s="945"/>
      <c r="W83" s="937"/>
      <c r="X83" s="939"/>
      <c r="Y83" s="935"/>
      <c r="Z83" s="945"/>
      <c r="AA83" s="937"/>
      <c r="AB83" s="938"/>
      <c r="AC83" s="935"/>
      <c r="AD83" s="936"/>
      <c r="AE83" s="937"/>
      <c r="AF83" s="938"/>
      <c r="AG83" s="935"/>
      <c r="AH83" s="936"/>
      <c r="AI83" s="937"/>
      <c r="AJ83" s="938"/>
      <c r="AK83" s="935"/>
      <c r="AL83" s="936"/>
      <c r="AM83" s="937"/>
      <c r="AN83" s="938"/>
      <c r="AO83" s="935"/>
      <c r="AP83" s="936"/>
      <c r="AQ83" s="937"/>
      <c r="AR83" s="938"/>
      <c r="AS83" s="935"/>
      <c r="AT83" s="936"/>
      <c r="AU83" s="937"/>
      <c r="AV83" s="938"/>
      <c r="AW83" s="935"/>
      <c r="AX83" s="936"/>
      <c r="AY83" s="937"/>
      <c r="AZ83" s="938"/>
      <c r="BA83" s="935"/>
      <c r="BB83" s="936"/>
      <c r="BC83" s="937"/>
      <c r="BD83" s="938"/>
      <c r="BE83" s="935"/>
      <c r="BF83" s="936"/>
      <c r="BG83" s="937"/>
      <c r="BH83" s="938"/>
      <c r="BI83" s="935"/>
      <c r="BJ83" s="936"/>
      <c r="BK83" s="937"/>
      <c r="BL83" s="938"/>
      <c r="BM83" s="935"/>
      <c r="BN83" s="936"/>
      <c r="BO83" s="937"/>
      <c r="BP83" s="938"/>
      <c r="BQ83" s="935"/>
      <c r="BR83" s="936"/>
      <c r="BS83" s="937"/>
      <c r="BT83" s="938"/>
      <c r="BU83" s="935"/>
      <c r="BV83" s="936"/>
      <c r="BW83" s="937"/>
      <c r="BX83" s="938"/>
      <c r="BY83" s="935"/>
      <c r="BZ83" s="936"/>
      <c r="CA83" s="937"/>
      <c r="CB83" s="938"/>
      <c r="CC83" s="935"/>
      <c r="CD83" s="936"/>
      <c r="CE83" s="953"/>
      <c r="CF83" s="938"/>
      <c r="CG83" s="935"/>
      <c r="CH83" s="936"/>
      <c r="CI83" s="953"/>
      <c r="CJ83" s="938"/>
      <c r="CK83" s="935"/>
      <c r="CL83" s="936"/>
      <c r="CM83" s="953"/>
      <c r="CN83" s="938"/>
      <c r="CO83" s="2135">
        <v>45827</v>
      </c>
      <c r="CP83" s="2138" t="s">
        <v>4786</v>
      </c>
      <c r="CQ83" s="2127"/>
      <c r="CR83" s="2128">
        <v>-10.9</v>
      </c>
    </row>
    <row r="84" spans="1:96" ht="13.5">
      <c r="A84" s="935">
        <v>37771</v>
      </c>
      <c r="B84" s="945" t="s">
        <v>4787</v>
      </c>
      <c r="C84" s="937">
        <v>4</v>
      </c>
      <c r="D84" s="938"/>
      <c r="E84" s="935"/>
      <c r="F84" s="945"/>
      <c r="G84" s="937"/>
      <c r="H84" s="938"/>
      <c r="I84" s="935"/>
      <c r="J84" s="945"/>
      <c r="K84" s="937"/>
      <c r="L84" s="938"/>
      <c r="M84" s="935">
        <v>38861</v>
      </c>
      <c r="N84" s="945" t="s">
        <v>4788</v>
      </c>
      <c r="O84" s="937">
        <v>2</v>
      </c>
      <c r="P84" s="938"/>
      <c r="Q84" s="935"/>
      <c r="R84" s="945"/>
      <c r="S84" s="937"/>
      <c r="T84" s="938"/>
      <c r="U84" s="935"/>
      <c r="V84" s="945"/>
      <c r="W84" s="937"/>
      <c r="X84" s="939"/>
      <c r="Y84" s="935"/>
      <c r="Z84" s="945"/>
      <c r="AA84" s="937"/>
      <c r="AB84" s="938"/>
      <c r="AC84" s="935"/>
      <c r="AD84" s="936"/>
      <c r="AE84" s="937"/>
      <c r="AF84" s="938"/>
      <c r="AG84" s="935"/>
      <c r="AH84" s="936"/>
      <c r="AI84" s="937"/>
      <c r="AJ84" s="938"/>
      <c r="AK84" s="935"/>
      <c r="AL84" s="936"/>
      <c r="AM84" s="937"/>
      <c r="AN84" s="938"/>
      <c r="AO84" s="935"/>
      <c r="AP84" s="936"/>
      <c r="AQ84" s="937"/>
      <c r="AR84" s="938"/>
      <c r="AS84" s="935"/>
      <c r="AT84" s="936"/>
      <c r="AU84" s="937"/>
      <c r="AV84" s="938"/>
      <c r="AW84" s="935"/>
      <c r="AX84" s="936"/>
      <c r="AY84" s="937"/>
      <c r="AZ84" s="938"/>
      <c r="BA84" s="935"/>
      <c r="BB84" s="936"/>
      <c r="BC84" s="937"/>
      <c r="BD84" s="938"/>
      <c r="BE84" s="935"/>
      <c r="BF84" s="936"/>
      <c r="BG84" s="937"/>
      <c r="BH84" s="938"/>
      <c r="BI84" s="935"/>
      <c r="BJ84" s="936"/>
      <c r="BK84" s="937"/>
      <c r="BL84" s="938"/>
      <c r="BM84" s="935"/>
      <c r="BN84" s="936"/>
      <c r="BO84" s="937"/>
      <c r="BP84" s="938"/>
      <c r="BQ84" s="935"/>
      <c r="BR84" s="936"/>
      <c r="BS84" s="937"/>
      <c r="BT84" s="938"/>
      <c r="BU84" s="935"/>
      <c r="BV84" s="936"/>
      <c r="BW84" s="937"/>
      <c r="BX84" s="938"/>
      <c r="BY84" s="935"/>
      <c r="BZ84" s="936"/>
      <c r="CA84" s="937"/>
      <c r="CB84" s="938"/>
      <c r="CC84" s="935"/>
      <c r="CD84" s="936"/>
      <c r="CE84" s="953"/>
      <c r="CF84" s="938"/>
      <c r="CG84" s="935"/>
      <c r="CH84" s="936"/>
      <c r="CI84" s="953"/>
      <c r="CJ84" s="938"/>
      <c r="CK84" s="935"/>
      <c r="CL84" s="936"/>
      <c r="CM84" s="953"/>
      <c r="CN84" s="938"/>
      <c r="CO84" s="2135">
        <v>45826</v>
      </c>
      <c r="CP84" s="2138" t="s">
        <v>4789</v>
      </c>
      <c r="CQ84" s="2127"/>
      <c r="CR84" s="2128">
        <v>-9</v>
      </c>
    </row>
    <row r="85" spans="1:96" ht="13.5">
      <c r="A85" s="935">
        <v>37771</v>
      </c>
      <c r="B85" s="945" t="s">
        <v>4790</v>
      </c>
      <c r="C85" s="937">
        <v>2</v>
      </c>
      <c r="D85" s="938"/>
      <c r="E85" s="935"/>
      <c r="F85" s="945"/>
      <c r="G85" s="937"/>
      <c r="H85" s="938"/>
      <c r="I85" s="935"/>
      <c r="J85" s="945"/>
      <c r="K85" s="937"/>
      <c r="L85" s="938"/>
      <c r="M85" s="935">
        <v>38861</v>
      </c>
      <c r="N85" s="945" t="s">
        <v>4791</v>
      </c>
      <c r="O85" s="937">
        <v>7</v>
      </c>
      <c r="P85" s="938"/>
      <c r="Q85" s="935"/>
      <c r="R85" s="945"/>
      <c r="S85" s="937"/>
      <c r="T85" s="938"/>
      <c r="U85" s="935"/>
      <c r="V85" s="945"/>
      <c r="W85" s="937"/>
      <c r="X85" s="939"/>
      <c r="Y85" s="935"/>
      <c r="Z85" s="945"/>
      <c r="AA85" s="937"/>
      <c r="AB85" s="938"/>
      <c r="AC85" s="935"/>
      <c r="AD85" s="936"/>
      <c r="AE85" s="937"/>
      <c r="AF85" s="938"/>
      <c r="AG85" s="935"/>
      <c r="AH85" s="936"/>
      <c r="AI85" s="937"/>
      <c r="AJ85" s="938"/>
      <c r="AK85" s="935"/>
      <c r="AL85" s="936"/>
      <c r="AM85" s="937"/>
      <c r="AN85" s="938"/>
      <c r="AO85" s="935"/>
      <c r="AP85" s="936"/>
      <c r="AQ85" s="937"/>
      <c r="AR85" s="938"/>
      <c r="AS85" s="935"/>
      <c r="AT85" s="936"/>
      <c r="AU85" s="937"/>
      <c r="AV85" s="938"/>
      <c r="AW85" s="935"/>
      <c r="AX85" s="936"/>
      <c r="AY85" s="937"/>
      <c r="AZ85" s="938"/>
      <c r="BA85" s="935"/>
      <c r="BB85" s="936"/>
      <c r="BC85" s="937"/>
      <c r="BD85" s="938"/>
      <c r="BE85" s="935"/>
      <c r="BF85" s="936"/>
      <c r="BG85" s="937"/>
      <c r="BH85" s="938"/>
      <c r="BI85" s="935"/>
      <c r="BJ85" s="936"/>
      <c r="BK85" s="937"/>
      <c r="BL85" s="938"/>
      <c r="BM85" s="935"/>
      <c r="BN85" s="936"/>
      <c r="BO85" s="937"/>
      <c r="BP85" s="938"/>
      <c r="BQ85" s="935"/>
      <c r="BR85" s="936"/>
      <c r="BS85" s="937"/>
      <c r="BT85" s="938"/>
      <c r="BU85" s="935"/>
      <c r="BV85" s="936"/>
      <c r="BW85" s="937"/>
      <c r="BX85" s="938"/>
      <c r="BY85" s="935"/>
      <c r="BZ85" s="936"/>
      <c r="CA85" s="937"/>
      <c r="CB85" s="938"/>
      <c r="CC85" s="935"/>
      <c r="CD85" s="936"/>
      <c r="CE85" s="953"/>
      <c r="CF85" s="938"/>
      <c r="CG85" s="935"/>
      <c r="CH85" s="936"/>
      <c r="CI85" s="953"/>
      <c r="CJ85" s="938"/>
      <c r="CK85" s="935"/>
      <c r="CL85" s="936"/>
      <c r="CM85" s="953"/>
      <c r="CN85" s="938"/>
      <c r="CO85" s="2135">
        <v>45826</v>
      </c>
      <c r="CP85" s="2138" t="s">
        <v>4792</v>
      </c>
      <c r="CQ85" s="2127"/>
      <c r="CR85" s="2128">
        <v>-7.13</v>
      </c>
    </row>
    <row r="86" spans="1:96" ht="13.5">
      <c r="A86" s="935">
        <v>37772</v>
      </c>
      <c r="B86" s="945" t="s">
        <v>4793</v>
      </c>
      <c r="C86" s="937">
        <v>8</v>
      </c>
      <c r="D86" s="938"/>
      <c r="E86" s="935"/>
      <c r="F86" s="945"/>
      <c r="G86" s="937"/>
      <c r="H86" s="938"/>
      <c r="I86" s="935"/>
      <c r="J86" s="945"/>
      <c r="K86" s="937"/>
      <c r="L86" s="938"/>
      <c r="M86" s="935">
        <v>38861</v>
      </c>
      <c r="N86" s="945" t="s">
        <v>4794</v>
      </c>
      <c r="O86" s="937">
        <v>5</v>
      </c>
      <c r="P86" s="938"/>
      <c r="Q86" s="935"/>
      <c r="R86" s="945"/>
      <c r="S86" s="937"/>
      <c r="T86" s="938"/>
      <c r="U86" s="935"/>
      <c r="V86" s="945"/>
      <c r="W86" s="937"/>
      <c r="X86" s="939"/>
      <c r="Y86" s="935"/>
      <c r="Z86" s="945"/>
      <c r="AA86" s="937"/>
      <c r="AB86" s="938"/>
      <c r="AC86" s="935"/>
      <c r="AD86" s="936"/>
      <c r="AE86" s="937"/>
      <c r="AF86" s="938"/>
      <c r="AG86" s="935"/>
      <c r="AH86" s="936"/>
      <c r="AI86" s="937"/>
      <c r="AJ86" s="938"/>
      <c r="AK86" s="935"/>
      <c r="AL86" s="936"/>
      <c r="AM86" s="937"/>
      <c r="AN86" s="938"/>
      <c r="AO86" s="935"/>
      <c r="AP86" s="936"/>
      <c r="AQ86" s="937"/>
      <c r="AR86" s="938"/>
      <c r="AS86" s="935"/>
      <c r="AT86" s="936"/>
      <c r="AU86" s="937"/>
      <c r="AV86" s="938"/>
      <c r="AW86" s="935"/>
      <c r="AX86" s="936"/>
      <c r="AY86" s="937"/>
      <c r="AZ86" s="938"/>
      <c r="BA86" s="935"/>
      <c r="BB86" s="936"/>
      <c r="BC86" s="937"/>
      <c r="BD86" s="938"/>
      <c r="BE86" s="935"/>
      <c r="BF86" s="936"/>
      <c r="BG86" s="937"/>
      <c r="BH86" s="938"/>
      <c r="BI86" s="935"/>
      <c r="BJ86" s="936"/>
      <c r="BK86" s="937"/>
      <c r="BL86" s="938"/>
      <c r="BM86" s="935"/>
      <c r="BN86" s="936"/>
      <c r="BO86" s="937"/>
      <c r="BP86" s="938"/>
      <c r="BQ86" s="935"/>
      <c r="BR86" s="936"/>
      <c r="BS86" s="937"/>
      <c r="BT86" s="938"/>
      <c r="BU86" s="935"/>
      <c r="BV86" s="936"/>
      <c r="BW86" s="937"/>
      <c r="BX86" s="938"/>
      <c r="BY86" s="935"/>
      <c r="BZ86" s="936"/>
      <c r="CA86" s="937"/>
      <c r="CB86" s="938"/>
      <c r="CC86" s="935"/>
      <c r="CD86" s="936"/>
      <c r="CE86" s="953"/>
      <c r="CF86" s="938"/>
      <c r="CG86" s="935"/>
      <c r="CH86" s="936"/>
      <c r="CI86" s="953"/>
      <c r="CJ86" s="938"/>
      <c r="CK86" s="935"/>
      <c r="CL86" s="936"/>
      <c r="CM86" s="953"/>
      <c r="CN86" s="938"/>
      <c r="CO86" s="2135">
        <v>45825</v>
      </c>
      <c r="CP86" s="2138" t="s">
        <v>4795</v>
      </c>
      <c r="CQ86" s="2127"/>
      <c r="CR86" s="2128">
        <v>-695</v>
      </c>
    </row>
    <row r="87" spans="1:96" ht="13.5">
      <c r="A87" s="935">
        <v>37772</v>
      </c>
      <c r="B87" s="945" t="s">
        <v>4796</v>
      </c>
      <c r="C87" s="937">
        <v>25</v>
      </c>
      <c r="D87" s="938"/>
      <c r="E87" s="935"/>
      <c r="F87" s="945"/>
      <c r="G87" s="937"/>
      <c r="H87" s="938"/>
      <c r="I87" s="935"/>
      <c r="J87" s="945"/>
      <c r="K87" s="937"/>
      <c r="L87" s="938"/>
      <c r="M87" s="935">
        <v>38861</v>
      </c>
      <c r="N87" s="945" t="s">
        <v>4797</v>
      </c>
      <c r="O87" s="937">
        <v>8</v>
      </c>
      <c r="P87" s="938"/>
      <c r="Q87" s="935"/>
      <c r="R87" s="945"/>
      <c r="S87" s="937"/>
      <c r="T87" s="938"/>
      <c r="U87" s="935"/>
      <c r="V87" s="945"/>
      <c r="W87" s="937"/>
      <c r="X87" s="939"/>
      <c r="Y87" s="935"/>
      <c r="Z87" s="945"/>
      <c r="AA87" s="937"/>
      <c r="AB87" s="938"/>
      <c r="AC87" s="935"/>
      <c r="AD87" s="936"/>
      <c r="AE87" s="937"/>
      <c r="AF87" s="938"/>
      <c r="AG87" s="935"/>
      <c r="AH87" s="936"/>
      <c r="AI87" s="937"/>
      <c r="AJ87" s="938"/>
      <c r="AK87" s="935"/>
      <c r="AL87" s="936"/>
      <c r="AM87" s="937"/>
      <c r="AN87" s="938"/>
      <c r="AO87" s="935"/>
      <c r="AP87" s="936"/>
      <c r="AQ87" s="937"/>
      <c r="AR87" s="938"/>
      <c r="AS87" s="935"/>
      <c r="AT87" s="936"/>
      <c r="AU87" s="937"/>
      <c r="AV87" s="938"/>
      <c r="AW87" s="935"/>
      <c r="AX87" s="936"/>
      <c r="AY87" s="937"/>
      <c r="AZ87" s="938"/>
      <c r="BA87" s="935"/>
      <c r="BB87" s="936"/>
      <c r="BC87" s="937"/>
      <c r="BD87" s="938"/>
      <c r="BE87" s="935"/>
      <c r="BF87" s="936"/>
      <c r="BG87" s="937"/>
      <c r="BH87" s="938"/>
      <c r="BI87" s="935"/>
      <c r="BJ87" s="936"/>
      <c r="BK87" s="937"/>
      <c r="BL87" s="938"/>
      <c r="BM87" s="935"/>
      <c r="BN87" s="936"/>
      <c r="BO87" s="937"/>
      <c r="BP87" s="938"/>
      <c r="BQ87" s="935"/>
      <c r="BR87" s="936"/>
      <c r="BS87" s="937"/>
      <c r="BT87" s="938"/>
      <c r="BU87" s="935"/>
      <c r="BV87" s="936"/>
      <c r="BW87" s="937"/>
      <c r="BX87" s="938"/>
      <c r="BY87" s="935"/>
      <c r="BZ87" s="936"/>
      <c r="CA87" s="937"/>
      <c r="CB87" s="938"/>
      <c r="CC87" s="935"/>
      <c r="CD87" s="936"/>
      <c r="CE87" s="953"/>
      <c r="CF87" s="938"/>
      <c r="CG87" s="935"/>
      <c r="CH87" s="936"/>
      <c r="CI87" s="953"/>
      <c r="CJ87" s="938"/>
      <c r="CK87" s="935"/>
      <c r="CL87" s="936"/>
      <c r="CM87" s="953"/>
      <c r="CN87" s="938"/>
      <c r="CO87" s="2135">
        <v>45825</v>
      </c>
      <c r="CP87" s="2138" t="s">
        <v>4798</v>
      </c>
      <c r="CQ87" s="2127"/>
      <c r="CR87" s="2128">
        <v>-19.989999999999998</v>
      </c>
    </row>
    <row r="88" spans="1:96" ht="13.5">
      <c r="A88" s="935">
        <v>37772</v>
      </c>
      <c r="B88" s="945" t="s">
        <v>4799</v>
      </c>
      <c r="C88" s="937">
        <v>20</v>
      </c>
      <c r="D88" s="938"/>
      <c r="E88" s="935"/>
      <c r="F88" s="945"/>
      <c r="G88" s="937"/>
      <c r="H88" s="938"/>
      <c r="I88" s="935"/>
      <c r="J88" s="945"/>
      <c r="K88" s="937"/>
      <c r="L88" s="938"/>
      <c r="M88" s="935">
        <v>38862</v>
      </c>
      <c r="N88" s="945" t="s">
        <v>4800</v>
      </c>
      <c r="O88" s="937">
        <v>13</v>
      </c>
      <c r="P88" s="938"/>
      <c r="Q88" s="935"/>
      <c r="R88" s="945"/>
      <c r="S88" s="937"/>
      <c r="T88" s="938"/>
      <c r="U88" s="935"/>
      <c r="V88" s="945"/>
      <c r="W88" s="937"/>
      <c r="X88" s="939"/>
      <c r="Y88" s="935"/>
      <c r="Z88" s="945"/>
      <c r="AA88" s="937"/>
      <c r="AB88" s="938"/>
      <c r="AC88" s="935"/>
      <c r="AD88" s="936"/>
      <c r="AE88" s="937"/>
      <c r="AF88" s="938"/>
      <c r="AG88" s="935"/>
      <c r="AH88" s="936"/>
      <c r="AI88" s="937"/>
      <c r="AJ88" s="938"/>
      <c r="AK88" s="935"/>
      <c r="AL88" s="936"/>
      <c r="AM88" s="937"/>
      <c r="AN88" s="938"/>
      <c r="AO88" s="935"/>
      <c r="AP88" s="936"/>
      <c r="AQ88" s="937"/>
      <c r="AR88" s="938"/>
      <c r="AS88" s="935"/>
      <c r="AT88" s="936"/>
      <c r="AU88" s="937"/>
      <c r="AV88" s="938"/>
      <c r="AW88" s="935"/>
      <c r="AX88" s="936"/>
      <c r="AY88" s="937"/>
      <c r="AZ88" s="938"/>
      <c r="BA88" s="935"/>
      <c r="BB88" s="936"/>
      <c r="BC88" s="937"/>
      <c r="BD88" s="938"/>
      <c r="BE88" s="935"/>
      <c r="BF88" s="936"/>
      <c r="BG88" s="937"/>
      <c r="BH88" s="938"/>
      <c r="BI88" s="935"/>
      <c r="BJ88" s="936"/>
      <c r="BK88" s="937"/>
      <c r="BL88" s="938"/>
      <c r="BM88" s="935"/>
      <c r="BN88" s="936"/>
      <c r="BO88" s="937"/>
      <c r="BP88" s="938"/>
      <c r="BQ88" s="935"/>
      <c r="BR88" s="936"/>
      <c r="BS88" s="937"/>
      <c r="BT88" s="938"/>
      <c r="BU88" s="935"/>
      <c r="BV88" s="936"/>
      <c r="BW88" s="937"/>
      <c r="BX88" s="938"/>
      <c r="BY88" s="935"/>
      <c r="BZ88" s="936"/>
      <c r="CA88" s="937"/>
      <c r="CB88" s="938"/>
      <c r="CC88" s="935"/>
      <c r="CD88" s="936"/>
      <c r="CE88" s="953"/>
      <c r="CF88" s="938"/>
      <c r="CG88" s="935"/>
      <c r="CH88" s="936"/>
      <c r="CI88" s="953"/>
      <c r="CJ88" s="938"/>
      <c r="CK88" s="935"/>
      <c r="CL88" s="936"/>
      <c r="CM88" s="953"/>
      <c r="CN88" s="938"/>
      <c r="CO88" s="2135">
        <v>45824</v>
      </c>
      <c r="CP88" s="2138" t="s">
        <v>4801</v>
      </c>
      <c r="CQ88" s="2127"/>
      <c r="CR88" s="2128">
        <v>-8.76</v>
      </c>
    </row>
    <row r="89" spans="1:96" ht="13.5">
      <c r="A89" s="962" t="s">
        <v>477</v>
      </c>
      <c r="B89" s="963"/>
      <c r="C89" s="964">
        <f>SUM(C4:C88)</f>
        <v>4436</v>
      </c>
      <c r="D89" s="964">
        <f>SUM(D4:D88)</f>
        <v>1198</v>
      </c>
      <c r="E89" s="962" t="s">
        <v>477</v>
      </c>
      <c r="F89" s="963"/>
      <c r="G89" s="964">
        <f>SUM(G4:G88)</f>
        <v>4584</v>
      </c>
      <c r="H89" s="964">
        <f>SUM(H4:H88)</f>
        <v>655</v>
      </c>
      <c r="I89" s="962" t="s">
        <v>477</v>
      </c>
      <c r="J89" s="963"/>
      <c r="K89" s="964">
        <f>SUM(K4:K88)</f>
        <v>707</v>
      </c>
      <c r="L89" s="964">
        <f>SUM(L4:L88)</f>
        <v>0</v>
      </c>
      <c r="M89" s="935">
        <v>38862</v>
      </c>
      <c r="N89" s="945" t="s">
        <v>4802</v>
      </c>
      <c r="O89" s="937">
        <v>17</v>
      </c>
      <c r="P89" s="938"/>
      <c r="Q89" s="935"/>
      <c r="R89" s="945"/>
      <c r="S89" s="937"/>
      <c r="T89" s="938"/>
      <c r="U89" s="935"/>
      <c r="V89" s="945"/>
      <c r="W89" s="937"/>
      <c r="X89" s="939"/>
      <c r="Y89" s="935"/>
      <c r="Z89" s="945"/>
      <c r="AA89" s="937"/>
      <c r="AB89" s="938"/>
      <c r="AC89" s="935"/>
      <c r="AD89" s="936"/>
      <c r="AE89" s="937"/>
      <c r="AF89" s="938"/>
      <c r="AG89" s="935"/>
      <c r="AH89" s="936"/>
      <c r="AI89" s="937"/>
      <c r="AJ89" s="938"/>
      <c r="AK89" s="935"/>
      <c r="AL89" s="936"/>
      <c r="AM89" s="937"/>
      <c r="AN89" s="938"/>
      <c r="AO89" s="935"/>
      <c r="AP89" s="936"/>
      <c r="AQ89" s="937"/>
      <c r="AR89" s="938"/>
      <c r="AS89" s="935"/>
      <c r="AT89" s="936"/>
      <c r="AU89" s="937"/>
      <c r="AV89" s="938"/>
      <c r="AW89" s="935"/>
      <c r="AX89" s="936"/>
      <c r="AY89" s="937"/>
      <c r="AZ89" s="938"/>
      <c r="BA89" s="935"/>
      <c r="BB89" s="936"/>
      <c r="BC89" s="937"/>
      <c r="BD89" s="938"/>
      <c r="BE89" s="935"/>
      <c r="BF89" s="936"/>
      <c r="BG89" s="937"/>
      <c r="BH89" s="938"/>
      <c r="BI89" s="935"/>
      <c r="BJ89" s="936"/>
      <c r="BK89" s="937"/>
      <c r="BL89" s="938"/>
      <c r="BM89" s="935"/>
      <c r="BN89" s="936"/>
      <c r="BO89" s="937"/>
      <c r="BP89" s="938"/>
      <c r="BQ89" s="935"/>
      <c r="BR89" s="936"/>
      <c r="BS89" s="937"/>
      <c r="BT89" s="938"/>
      <c r="BU89" s="935"/>
      <c r="BV89" s="936"/>
      <c r="BW89" s="937"/>
      <c r="BX89" s="938"/>
      <c r="BY89" s="935"/>
      <c r="BZ89" s="936"/>
      <c r="CA89" s="937"/>
      <c r="CB89" s="938"/>
      <c r="CC89" s="935"/>
      <c r="CD89" s="936"/>
      <c r="CE89" s="953"/>
      <c r="CF89" s="938"/>
      <c r="CG89" s="935"/>
      <c r="CH89" s="936"/>
      <c r="CI89" s="953"/>
      <c r="CJ89" s="938"/>
      <c r="CK89" s="935"/>
      <c r="CL89" s="936"/>
      <c r="CM89" s="953"/>
      <c r="CN89" s="938"/>
      <c r="CO89" s="2135">
        <v>45824</v>
      </c>
      <c r="CP89" s="2138" t="s">
        <v>4803</v>
      </c>
      <c r="CQ89" s="2127"/>
      <c r="CR89" s="2128">
        <v>-47.28</v>
      </c>
    </row>
    <row r="90" spans="1:96" ht="13.5">
      <c r="A90" s="965" t="s">
        <v>1672</v>
      </c>
      <c r="B90" s="966"/>
      <c r="C90" s="967"/>
      <c r="D90" s="968"/>
      <c r="E90" s="965" t="s">
        <v>1672</v>
      </c>
      <c r="F90" s="966"/>
      <c r="G90" s="967"/>
      <c r="H90" s="968"/>
      <c r="I90" s="965" t="s">
        <v>1672</v>
      </c>
      <c r="J90" s="966"/>
      <c r="K90" s="967"/>
      <c r="L90" s="968"/>
      <c r="M90" s="935">
        <v>38862</v>
      </c>
      <c r="N90" s="945" t="s">
        <v>4804</v>
      </c>
      <c r="O90" s="937">
        <v>3</v>
      </c>
      <c r="P90" s="938"/>
      <c r="Q90" s="935"/>
      <c r="R90" s="945"/>
      <c r="S90" s="937"/>
      <c r="T90" s="938"/>
      <c r="U90" s="935"/>
      <c r="V90" s="945"/>
      <c r="W90" s="937"/>
      <c r="X90" s="939"/>
      <c r="Y90" s="935"/>
      <c r="Z90" s="945"/>
      <c r="AA90" s="937"/>
      <c r="AB90" s="938"/>
      <c r="AC90" s="935"/>
      <c r="AD90" s="936"/>
      <c r="AE90" s="937"/>
      <c r="AF90" s="938"/>
      <c r="AG90" s="935"/>
      <c r="AH90" s="936"/>
      <c r="AI90" s="937"/>
      <c r="AJ90" s="938"/>
      <c r="AK90" s="935"/>
      <c r="AL90" s="936"/>
      <c r="AM90" s="937"/>
      <c r="AN90" s="938"/>
      <c r="AO90" s="935"/>
      <c r="AP90" s="936"/>
      <c r="AQ90" s="937"/>
      <c r="AR90" s="938"/>
      <c r="AS90" s="935"/>
      <c r="AT90" s="936"/>
      <c r="AU90" s="937"/>
      <c r="AV90" s="938"/>
      <c r="AW90" s="935"/>
      <c r="AX90" s="936"/>
      <c r="AY90" s="937"/>
      <c r="AZ90" s="938"/>
      <c r="BA90" s="935"/>
      <c r="BB90" s="936"/>
      <c r="BC90" s="937"/>
      <c r="BD90" s="938"/>
      <c r="BE90" s="935"/>
      <c r="BF90" s="936"/>
      <c r="BG90" s="937"/>
      <c r="BH90" s="938"/>
      <c r="BI90" s="935"/>
      <c r="BJ90" s="936"/>
      <c r="BK90" s="937"/>
      <c r="BL90" s="938"/>
      <c r="BM90" s="935"/>
      <c r="BN90" s="936"/>
      <c r="BO90" s="937"/>
      <c r="BP90" s="938"/>
      <c r="BQ90" s="935"/>
      <c r="BR90" s="936"/>
      <c r="BS90" s="937"/>
      <c r="BT90" s="938"/>
      <c r="BU90" s="935"/>
      <c r="BV90" s="936"/>
      <c r="BW90" s="937"/>
      <c r="BX90" s="938"/>
      <c r="BY90" s="935"/>
      <c r="BZ90" s="936"/>
      <c r="CA90" s="937"/>
      <c r="CB90" s="938"/>
      <c r="CC90" s="935"/>
      <c r="CD90" s="936"/>
      <c r="CE90" s="953"/>
      <c r="CF90" s="938"/>
      <c r="CG90" s="935"/>
      <c r="CH90" s="936"/>
      <c r="CI90" s="953"/>
      <c r="CJ90" s="938"/>
      <c r="CK90" s="935"/>
      <c r="CL90" s="936"/>
      <c r="CM90" s="953"/>
      <c r="CN90" s="938"/>
      <c r="CO90" s="2135">
        <v>45824</v>
      </c>
      <c r="CP90" s="2138" t="s">
        <v>4805</v>
      </c>
      <c r="CQ90" s="2127"/>
      <c r="CR90" s="2128">
        <v>-8.14</v>
      </c>
    </row>
    <row r="91" spans="1:96" ht="13.5">
      <c r="A91" s="969" t="s">
        <v>138</v>
      </c>
      <c r="B91" s="970"/>
      <c r="C91" s="971">
        <f>SUM(C89,D89)</f>
        <v>5634</v>
      </c>
      <c r="D91" s="972"/>
      <c r="E91" s="969" t="s">
        <v>138</v>
      </c>
      <c r="F91" s="970"/>
      <c r="G91" s="971">
        <f>SUM(G89,H89)</f>
        <v>5239</v>
      </c>
      <c r="H91" s="972"/>
      <c r="I91" s="969" t="s">
        <v>138</v>
      </c>
      <c r="J91" s="970"/>
      <c r="K91" s="971">
        <f>SUM(K89,L89)</f>
        <v>707</v>
      </c>
      <c r="L91" s="972"/>
      <c r="M91" s="935">
        <v>38862</v>
      </c>
      <c r="N91" s="945" t="s">
        <v>4806</v>
      </c>
      <c r="O91" s="937">
        <v>12</v>
      </c>
      <c r="P91" s="938"/>
      <c r="Q91" s="935"/>
      <c r="R91" s="945"/>
      <c r="S91" s="937"/>
      <c r="T91" s="938"/>
      <c r="U91" s="935"/>
      <c r="V91" s="945"/>
      <c r="W91" s="937"/>
      <c r="X91" s="939"/>
      <c r="Y91" s="935"/>
      <c r="Z91" s="945"/>
      <c r="AA91" s="937"/>
      <c r="AB91" s="938"/>
      <c r="AC91" s="935"/>
      <c r="AD91" s="936"/>
      <c r="AE91" s="937"/>
      <c r="AF91" s="938"/>
      <c r="AG91" s="935"/>
      <c r="AH91" s="936"/>
      <c r="AI91" s="937"/>
      <c r="AJ91" s="938"/>
      <c r="AK91" s="935"/>
      <c r="AL91" s="936"/>
      <c r="AM91" s="937"/>
      <c r="AN91" s="938"/>
      <c r="AO91" s="935"/>
      <c r="AP91" s="936"/>
      <c r="AQ91" s="937"/>
      <c r="AR91" s="938"/>
      <c r="AS91" s="935"/>
      <c r="AT91" s="936"/>
      <c r="AU91" s="937"/>
      <c r="AV91" s="938"/>
      <c r="AW91" s="935"/>
      <c r="AX91" s="936"/>
      <c r="AY91" s="937"/>
      <c r="AZ91" s="938"/>
      <c r="BA91" s="935"/>
      <c r="BB91" s="936"/>
      <c r="BC91" s="937"/>
      <c r="BD91" s="938"/>
      <c r="BE91" s="935"/>
      <c r="BF91" s="936"/>
      <c r="BG91" s="937"/>
      <c r="BH91" s="938"/>
      <c r="BI91" s="935"/>
      <c r="BJ91" s="936"/>
      <c r="BK91" s="937"/>
      <c r="BL91" s="938"/>
      <c r="BM91" s="935"/>
      <c r="BN91" s="936"/>
      <c r="BO91" s="937"/>
      <c r="BP91" s="938"/>
      <c r="BQ91" s="935"/>
      <c r="BR91" s="936"/>
      <c r="BS91" s="937"/>
      <c r="BT91" s="938"/>
      <c r="BU91" s="935"/>
      <c r="BV91" s="936"/>
      <c r="BW91" s="937"/>
      <c r="BX91" s="938"/>
      <c r="BY91" s="935"/>
      <c r="BZ91" s="936"/>
      <c r="CA91" s="937"/>
      <c r="CB91" s="938"/>
      <c r="CC91" s="935"/>
      <c r="CD91" s="936"/>
      <c r="CE91" s="953"/>
      <c r="CF91" s="938"/>
      <c r="CG91" s="935"/>
      <c r="CH91" s="936"/>
      <c r="CI91" s="953"/>
      <c r="CJ91" s="938"/>
      <c r="CK91" s="935"/>
      <c r="CL91" s="936"/>
      <c r="CM91" s="953"/>
      <c r="CN91" s="938"/>
      <c r="CO91" s="2135">
        <v>45824</v>
      </c>
      <c r="CP91" s="2138" t="s">
        <v>4807</v>
      </c>
      <c r="CQ91" s="2127"/>
      <c r="CR91" s="2128">
        <v>-47.32</v>
      </c>
    </row>
    <row r="92" spans="1:96" ht="12.75">
      <c r="M92" s="935">
        <v>38862</v>
      </c>
      <c r="N92" s="945" t="s">
        <v>4808</v>
      </c>
      <c r="O92" s="937">
        <v>7</v>
      </c>
      <c r="P92" s="938"/>
      <c r="Q92" s="935"/>
      <c r="R92" s="945"/>
      <c r="S92" s="937"/>
      <c r="T92" s="938"/>
      <c r="U92" s="935"/>
      <c r="V92" s="945"/>
      <c r="W92" s="937"/>
      <c r="X92" s="939"/>
      <c r="Y92" s="935"/>
      <c r="Z92" s="945"/>
      <c r="AA92" s="937"/>
      <c r="AB92" s="938"/>
      <c r="AC92" s="935"/>
      <c r="AD92" s="936"/>
      <c r="AE92" s="937"/>
      <c r="AF92" s="938"/>
      <c r="AG92" s="935"/>
      <c r="AH92" s="936"/>
      <c r="AI92" s="937"/>
      <c r="AJ92" s="938"/>
      <c r="AK92" s="935"/>
      <c r="AL92" s="936"/>
      <c r="AM92" s="937"/>
      <c r="AN92" s="938"/>
      <c r="AO92" s="935"/>
      <c r="AP92" s="936"/>
      <c r="AQ92" s="937"/>
      <c r="AR92" s="938"/>
      <c r="AS92" s="935"/>
      <c r="AT92" s="936"/>
      <c r="AU92" s="937"/>
      <c r="AV92" s="938"/>
      <c r="AW92" s="935"/>
      <c r="AX92" s="936"/>
      <c r="AY92" s="937"/>
      <c r="AZ92" s="938"/>
      <c r="BA92" s="935"/>
      <c r="BB92" s="936"/>
      <c r="BC92" s="937"/>
      <c r="BD92" s="938"/>
      <c r="BE92" s="935"/>
      <c r="BF92" s="936"/>
      <c r="BG92" s="937"/>
      <c r="BH92" s="938"/>
      <c r="BI92" s="935"/>
      <c r="BJ92" s="936"/>
      <c r="BK92" s="937"/>
      <c r="BL92" s="938"/>
      <c r="BM92" s="935"/>
      <c r="BN92" s="936"/>
      <c r="BO92" s="937"/>
      <c r="BP92" s="938"/>
      <c r="BQ92" s="935"/>
      <c r="BR92" s="936"/>
      <c r="BS92" s="937"/>
      <c r="BT92" s="938"/>
      <c r="BU92" s="935"/>
      <c r="BV92" s="936"/>
      <c r="BW92" s="937"/>
      <c r="BX92" s="938"/>
      <c r="BY92" s="935"/>
      <c r="BZ92" s="936"/>
      <c r="CA92" s="937"/>
      <c r="CB92" s="938"/>
      <c r="CC92" s="935"/>
      <c r="CD92" s="936"/>
      <c r="CE92" s="953"/>
      <c r="CF92" s="938"/>
      <c r="CG92" s="935"/>
      <c r="CH92" s="936"/>
      <c r="CI92" s="953"/>
      <c r="CJ92" s="938"/>
      <c r="CK92" s="935"/>
      <c r="CL92" s="936"/>
      <c r="CM92" s="953"/>
      <c r="CN92" s="938"/>
      <c r="CO92" s="2135">
        <v>45824</v>
      </c>
      <c r="CP92" s="2139" t="s">
        <v>4809</v>
      </c>
      <c r="CQ92" s="2127"/>
      <c r="CR92" s="2128">
        <v>-43.63</v>
      </c>
    </row>
    <row r="93" spans="1:96" ht="13.5">
      <c r="M93" s="935">
        <v>38862</v>
      </c>
      <c r="N93" s="945" t="s">
        <v>4810</v>
      </c>
      <c r="O93" s="937">
        <v>10</v>
      </c>
      <c r="P93" s="938"/>
      <c r="Q93" s="935"/>
      <c r="R93" s="945"/>
      <c r="S93" s="937"/>
      <c r="T93" s="938"/>
      <c r="U93" s="935"/>
      <c r="V93" s="945"/>
      <c r="W93" s="937"/>
      <c r="X93" s="939"/>
      <c r="Y93" s="935"/>
      <c r="Z93" s="945"/>
      <c r="AA93" s="937"/>
      <c r="AB93" s="938"/>
      <c r="AC93" s="935"/>
      <c r="AD93" s="936"/>
      <c r="AE93" s="937"/>
      <c r="AF93" s="938"/>
      <c r="AG93" s="935"/>
      <c r="AH93" s="936"/>
      <c r="AI93" s="937"/>
      <c r="AJ93" s="938"/>
      <c r="AK93" s="935"/>
      <c r="AL93" s="936"/>
      <c r="AM93" s="937"/>
      <c r="AN93" s="938"/>
      <c r="AO93" s="935"/>
      <c r="AP93" s="936"/>
      <c r="AQ93" s="937"/>
      <c r="AR93" s="938"/>
      <c r="AS93" s="935"/>
      <c r="AT93" s="936"/>
      <c r="AU93" s="937"/>
      <c r="AV93" s="938"/>
      <c r="AW93" s="935"/>
      <c r="AX93" s="936"/>
      <c r="AY93" s="937"/>
      <c r="AZ93" s="938"/>
      <c r="BA93" s="935"/>
      <c r="BB93" s="936"/>
      <c r="BC93" s="937"/>
      <c r="BD93" s="938"/>
      <c r="BE93" s="935"/>
      <c r="BF93" s="936"/>
      <c r="BG93" s="937"/>
      <c r="BH93" s="938"/>
      <c r="BI93" s="935"/>
      <c r="BJ93" s="936"/>
      <c r="BK93" s="937"/>
      <c r="BL93" s="938"/>
      <c r="BM93" s="935"/>
      <c r="BN93" s="936"/>
      <c r="BO93" s="937"/>
      <c r="BP93" s="938"/>
      <c r="BQ93" s="935"/>
      <c r="BR93" s="936"/>
      <c r="BS93" s="937"/>
      <c r="BT93" s="938"/>
      <c r="BU93" s="935"/>
      <c r="BV93" s="936"/>
      <c r="BW93" s="937"/>
      <c r="BX93" s="938"/>
      <c r="BY93" s="935"/>
      <c r="BZ93" s="936"/>
      <c r="CA93" s="937"/>
      <c r="CB93" s="938"/>
      <c r="CC93" s="935"/>
      <c r="CD93" s="936"/>
      <c r="CE93" s="953"/>
      <c r="CF93" s="938"/>
      <c r="CG93" s="935"/>
      <c r="CH93" s="936"/>
      <c r="CI93" s="953"/>
      <c r="CJ93" s="938"/>
      <c r="CK93" s="935"/>
      <c r="CL93" s="936"/>
      <c r="CM93" s="953"/>
      <c r="CN93" s="938"/>
      <c r="CO93" s="2135">
        <v>45824</v>
      </c>
      <c r="CP93" s="2138" t="s">
        <v>4811</v>
      </c>
      <c r="CQ93" s="2127"/>
      <c r="CR93" s="2128">
        <v>-6</v>
      </c>
    </row>
    <row r="94" spans="1:96" ht="13.5">
      <c r="M94" s="935">
        <v>38863</v>
      </c>
      <c r="N94" s="945" t="s">
        <v>4812</v>
      </c>
      <c r="O94" s="937">
        <v>3</v>
      </c>
      <c r="P94" s="938"/>
      <c r="Q94" s="935"/>
      <c r="R94" s="945"/>
      <c r="S94" s="937"/>
      <c r="T94" s="938"/>
      <c r="U94" s="935"/>
      <c r="V94" s="945"/>
      <c r="W94" s="937"/>
      <c r="X94" s="939"/>
      <c r="Y94" s="935"/>
      <c r="Z94" s="945"/>
      <c r="AA94" s="937"/>
      <c r="AB94" s="938"/>
      <c r="AC94" s="935"/>
      <c r="AD94" s="936"/>
      <c r="AE94" s="937"/>
      <c r="AF94" s="938"/>
      <c r="AG94" s="935"/>
      <c r="AH94" s="936"/>
      <c r="AI94" s="937"/>
      <c r="AJ94" s="938"/>
      <c r="AK94" s="935"/>
      <c r="AL94" s="936"/>
      <c r="AM94" s="937"/>
      <c r="AN94" s="938"/>
      <c r="AO94" s="962" t="s">
        <v>477</v>
      </c>
      <c r="AP94" s="973"/>
      <c r="AQ94" s="964">
        <f>SUM(AQ4:AQ93)</f>
        <v>3100</v>
      </c>
      <c r="AR94" s="964">
        <f>SUM(AR4:AR93)</f>
        <v>0</v>
      </c>
      <c r="AS94" s="935"/>
      <c r="AT94" s="936"/>
      <c r="AU94" s="937"/>
      <c r="AV94" s="938"/>
      <c r="AW94" s="935"/>
      <c r="AX94" s="936"/>
      <c r="AY94" s="937"/>
      <c r="AZ94" s="938"/>
      <c r="BA94" s="935"/>
      <c r="BB94" s="936"/>
      <c r="BC94" s="937"/>
      <c r="BD94" s="938"/>
      <c r="BE94" s="935"/>
      <c r="BF94" s="936"/>
      <c r="BG94" s="937"/>
      <c r="BH94" s="938"/>
      <c r="BI94" s="935"/>
      <c r="BJ94" s="936"/>
      <c r="BK94" s="937"/>
      <c r="BL94" s="938"/>
      <c r="BM94" s="935"/>
      <c r="BN94" s="936"/>
      <c r="BO94" s="937"/>
      <c r="BP94" s="938"/>
      <c r="BQ94" s="935"/>
      <c r="BR94" s="936"/>
      <c r="BS94" s="937"/>
      <c r="BT94" s="938"/>
      <c r="BU94" s="935"/>
      <c r="BV94" s="936"/>
      <c r="BW94" s="937"/>
      <c r="BX94" s="938"/>
      <c r="BY94" s="935"/>
      <c r="BZ94" s="936"/>
      <c r="CA94" s="937"/>
      <c r="CB94" s="938"/>
      <c r="CC94" s="935"/>
      <c r="CD94" s="936"/>
      <c r="CE94" s="953"/>
      <c r="CF94" s="938"/>
      <c r="CG94" s="935"/>
      <c r="CH94" s="936"/>
      <c r="CI94" s="953"/>
      <c r="CJ94" s="938"/>
      <c r="CK94" s="935"/>
      <c r="CL94" s="936"/>
      <c r="CM94" s="953"/>
      <c r="CN94" s="938"/>
      <c r="CO94" s="2135">
        <v>45824</v>
      </c>
      <c r="CP94" s="2138" t="s">
        <v>4813</v>
      </c>
      <c r="CQ94" s="2127"/>
      <c r="CR94" s="2128">
        <v>-150</v>
      </c>
    </row>
    <row r="95" spans="1:96" ht="13.5">
      <c r="M95" s="935">
        <v>38863</v>
      </c>
      <c r="N95" s="945" t="s">
        <v>4814</v>
      </c>
      <c r="O95" s="937">
        <v>13</v>
      </c>
      <c r="P95" s="938"/>
      <c r="Q95" s="935"/>
      <c r="R95" s="945"/>
      <c r="S95" s="937"/>
      <c r="T95" s="938"/>
      <c r="U95" s="935"/>
      <c r="V95" s="945"/>
      <c r="W95" s="937"/>
      <c r="X95" s="939"/>
      <c r="Y95" s="935"/>
      <c r="Z95" s="945"/>
      <c r="AA95" s="937"/>
      <c r="AB95" s="938"/>
      <c r="AC95" s="935"/>
      <c r="AD95" s="936"/>
      <c r="AE95" s="937"/>
      <c r="AF95" s="938"/>
      <c r="AG95" s="935"/>
      <c r="AH95" s="936"/>
      <c r="AI95" s="937"/>
      <c r="AJ95" s="938"/>
      <c r="AK95" s="935"/>
      <c r="AL95" s="936"/>
      <c r="AM95" s="937"/>
      <c r="AN95" s="938"/>
      <c r="AO95" s="965" t="s">
        <v>1672</v>
      </c>
      <c r="AP95" s="966"/>
      <c r="AQ95" s="967"/>
      <c r="AR95" s="968"/>
      <c r="AS95" s="935"/>
      <c r="AT95" s="936"/>
      <c r="AU95" s="937"/>
      <c r="AV95" s="938"/>
      <c r="AW95" s="935"/>
      <c r="AX95" s="936"/>
      <c r="AY95" s="937"/>
      <c r="AZ95" s="938"/>
      <c r="BA95" s="935"/>
      <c r="BB95" s="936"/>
      <c r="BC95" s="937"/>
      <c r="BD95" s="938"/>
      <c r="BE95" s="935"/>
      <c r="BF95" s="936"/>
      <c r="BG95" s="937"/>
      <c r="BH95" s="938"/>
      <c r="BI95" s="935"/>
      <c r="BJ95" s="936"/>
      <c r="BK95" s="937"/>
      <c r="BL95" s="938"/>
      <c r="BM95" s="935"/>
      <c r="BN95" s="936"/>
      <c r="BO95" s="937"/>
      <c r="BP95" s="938"/>
      <c r="BQ95" s="935"/>
      <c r="BR95" s="936"/>
      <c r="BS95" s="937"/>
      <c r="BT95" s="938"/>
      <c r="BU95" s="935"/>
      <c r="BV95" s="936"/>
      <c r="BW95" s="937"/>
      <c r="BX95" s="938"/>
      <c r="BY95" s="935"/>
      <c r="BZ95" s="936"/>
      <c r="CA95" s="937"/>
      <c r="CB95" s="938"/>
      <c r="CC95" s="935"/>
      <c r="CD95" s="936"/>
      <c r="CE95" s="953"/>
      <c r="CF95" s="938"/>
      <c r="CG95" s="935"/>
      <c r="CH95" s="936"/>
      <c r="CI95" s="953"/>
      <c r="CJ95" s="938"/>
      <c r="CK95" s="935"/>
      <c r="CL95" s="936"/>
      <c r="CM95" s="953"/>
      <c r="CN95" s="938"/>
      <c r="CO95" s="2135">
        <v>45823</v>
      </c>
      <c r="CP95" s="2138" t="s">
        <v>4622</v>
      </c>
      <c r="CQ95" s="2127"/>
      <c r="CR95" s="2128">
        <v>-31.27</v>
      </c>
    </row>
    <row r="96" spans="1:96" ht="13.5">
      <c r="M96" s="935">
        <v>38863</v>
      </c>
      <c r="N96" s="945" t="s">
        <v>4815</v>
      </c>
      <c r="O96" s="937">
        <v>12</v>
      </c>
      <c r="P96" s="938"/>
      <c r="Q96" s="935"/>
      <c r="R96" s="945"/>
      <c r="S96" s="937"/>
      <c r="T96" s="938"/>
      <c r="U96" s="935"/>
      <c r="V96" s="945"/>
      <c r="W96" s="937"/>
      <c r="X96" s="939"/>
      <c r="Y96" s="935"/>
      <c r="Z96" s="945"/>
      <c r="AA96" s="937"/>
      <c r="AB96" s="938"/>
      <c r="AC96" s="935"/>
      <c r="AD96" s="936"/>
      <c r="AE96" s="937"/>
      <c r="AF96" s="938"/>
      <c r="AG96" s="935"/>
      <c r="AH96" s="936"/>
      <c r="AI96" s="937"/>
      <c r="AJ96" s="938"/>
      <c r="AK96" s="935"/>
      <c r="AL96" s="936"/>
      <c r="AM96" s="937"/>
      <c r="AN96" s="938"/>
      <c r="AO96" s="969" t="s">
        <v>138</v>
      </c>
      <c r="AP96" s="970"/>
      <c r="AQ96" s="971">
        <f>SUM(AQ94,AR94)</f>
        <v>3100</v>
      </c>
      <c r="AR96" s="972"/>
      <c r="AS96" s="935"/>
      <c r="AT96" s="936"/>
      <c r="AU96" s="937"/>
      <c r="AV96" s="938"/>
      <c r="AW96" s="935"/>
      <c r="AX96" s="936"/>
      <c r="AY96" s="937"/>
      <c r="AZ96" s="938"/>
      <c r="BA96" s="935"/>
      <c r="BB96" s="936"/>
      <c r="BC96" s="937"/>
      <c r="BD96" s="938"/>
      <c r="BE96" s="935"/>
      <c r="BF96" s="936"/>
      <c r="BG96" s="937"/>
      <c r="BH96" s="938"/>
      <c r="BI96" s="935"/>
      <c r="BJ96" s="936"/>
      <c r="BK96" s="937"/>
      <c r="BL96" s="938"/>
      <c r="BM96" s="935"/>
      <c r="BN96" s="936"/>
      <c r="BO96" s="937"/>
      <c r="BP96" s="938"/>
      <c r="BQ96" s="935"/>
      <c r="BR96" s="936"/>
      <c r="BS96" s="937"/>
      <c r="BT96" s="938"/>
      <c r="BU96" s="935"/>
      <c r="BV96" s="936"/>
      <c r="BW96" s="937"/>
      <c r="BX96" s="938"/>
      <c r="BY96" s="935"/>
      <c r="BZ96" s="936"/>
      <c r="CA96" s="937"/>
      <c r="CB96" s="938"/>
      <c r="CC96" s="935"/>
      <c r="CD96" s="936"/>
      <c r="CE96" s="953"/>
      <c r="CF96" s="938"/>
      <c r="CG96" s="935"/>
      <c r="CH96" s="936"/>
      <c r="CI96" s="953"/>
      <c r="CJ96" s="938"/>
      <c r="CK96" s="935"/>
      <c r="CL96" s="936"/>
      <c r="CM96" s="953"/>
      <c r="CN96" s="938"/>
      <c r="CO96" s="2135">
        <v>45823</v>
      </c>
      <c r="CP96" s="2138" t="s">
        <v>4816</v>
      </c>
      <c r="CQ96" s="2127"/>
      <c r="CR96" s="2128">
        <v>-1.29</v>
      </c>
    </row>
    <row r="97" spans="13:96" ht="13.5">
      <c r="M97" s="935">
        <v>38863</v>
      </c>
      <c r="N97" s="945" t="s">
        <v>4817</v>
      </c>
      <c r="O97" s="937">
        <v>48</v>
      </c>
      <c r="P97" s="938"/>
      <c r="Q97" s="962" t="s">
        <v>477</v>
      </c>
      <c r="R97" s="963"/>
      <c r="S97" s="964">
        <f>SUM(S4:S96)</f>
        <v>16012</v>
      </c>
      <c r="T97" s="964">
        <f>SUM(T4:T96)</f>
        <v>0</v>
      </c>
      <c r="U97" s="962" t="s">
        <v>477</v>
      </c>
      <c r="V97" s="963"/>
      <c r="W97" s="964">
        <f>SUM(W4:W96)</f>
        <v>1806</v>
      </c>
      <c r="X97" s="964">
        <f>SUM(X4:X96)</f>
        <v>0</v>
      </c>
      <c r="Y97" s="962" t="s">
        <v>477</v>
      </c>
      <c r="Z97" s="963"/>
      <c r="AA97" s="964">
        <f>SUM(AA4:AA96)</f>
        <v>1111</v>
      </c>
      <c r="AB97" s="964">
        <f>SUM(AB4:AB96)</f>
        <v>0</v>
      </c>
      <c r="AC97" s="935"/>
      <c r="AD97" s="936"/>
      <c r="AE97" s="937"/>
      <c r="AF97" s="938"/>
      <c r="AG97" s="935"/>
      <c r="AH97" s="936"/>
      <c r="AI97" s="937"/>
      <c r="AJ97" s="938"/>
      <c r="AK97" s="935"/>
      <c r="AL97" s="936"/>
      <c r="AM97" s="937"/>
      <c r="AN97" s="938"/>
      <c r="AS97" s="935"/>
      <c r="AT97" s="936"/>
      <c r="AU97" s="937"/>
      <c r="AV97" s="938"/>
      <c r="AW97" s="935"/>
      <c r="AX97" s="936"/>
      <c r="AY97" s="937"/>
      <c r="AZ97" s="938"/>
      <c r="BA97" s="935"/>
      <c r="BB97" s="936"/>
      <c r="BC97" s="937"/>
      <c r="BD97" s="938"/>
      <c r="BE97" s="935"/>
      <c r="BF97" s="936"/>
      <c r="BG97" s="937"/>
      <c r="BH97" s="938"/>
      <c r="BI97" s="935"/>
      <c r="BJ97" s="936"/>
      <c r="BK97" s="937"/>
      <c r="BL97" s="938"/>
      <c r="BM97" s="935"/>
      <c r="BN97" s="936"/>
      <c r="BO97" s="937"/>
      <c r="BP97" s="938"/>
      <c r="BQ97" s="935"/>
      <c r="BR97" s="936"/>
      <c r="BS97" s="937"/>
      <c r="BT97" s="938"/>
      <c r="BU97" s="935"/>
      <c r="BV97" s="936"/>
      <c r="BW97" s="937"/>
      <c r="BX97" s="938"/>
      <c r="BY97" s="935"/>
      <c r="BZ97" s="936"/>
      <c r="CA97" s="937"/>
      <c r="CB97" s="938"/>
      <c r="CC97" s="935"/>
      <c r="CD97" s="936"/>
      <c r="CE97" s="953"/>
      <c r="CF97" s="938"/>
      <c r="CG97" s="935"/>
      <c r="CH97" s="936"/>
      <c r="CI97" s="953"/>
      <c r="CJ97" s="938"/>
      <c r="CK97" s="935"/>
      <c r="CL97" s="936"/>
      <c r="CM97" s="953"/>
      <c r="CN97" s="938"/>
      <c r="CO97" s="2135">
        <v>45823</v>
      </c>
      <c r="CP97" s="2138" t="s">
        <v>4589</v>
      </c>
      <c r="CQ97" s="2127"/>
      <c r="CR97" s="2128">
        <v>-80.239999999999995</v>
      </c>
    </row>
    <row r="98" spans="13:96" ht="13.5">
      <c r="M98" s="935">
        <v>38863</v>
      </c>
      <c r="N98" s="945" t="s">
        <v>4818</v>
      </c>
      <c r="O98" s="937">
        <v>6</v>
      </c>
      <c r="P98" s="938"/>
      <c r="Q98" s="965" t="s">
        <v>1672</v>
      </c>
      <c r="R98" s="966"/>
      <c r="S98" s="967"/>
      <c r="T98" s="968"/>
      <c r="U98" s="965" t="s">
        <v>1672</v>
      </c>
      <c r="V98" s="966"/>
      <c r="W98" s="967"/>
      <c r="X98" s="968"/>
      <c r="Y98" s="965" t="s">
        <v>1672</v>
      </c>
      <c r="Z98" s="966"/>
      <c r="AA98" s="967"/>
      <c r="AB98" s="968"/>
      <c r="AC98" s="962" t="s">
        <v>477</v>
      </c>
      <c r="AD98" s="973"/>
      <c r="AE98" s="964">
        <f>SUM(AE4:AE97)</f>
        <v>7319</v>
      </c>
      <c r="AF98" s="964">
        <f>SUM(AF4:AF97)</f>
        <v>0</v>
      </c>
      <c r="AG98" s="962" t="s">
        <v>477</v>
      </c>
      <c r="AH98" s="973"/>
      <c r="AI98" s="964">
        <f>SUM(AI4:AI97)</f>
        <v>7067</v>
      </c>
      <c r="AJ98" s="964">
        <f>SUM(AJ4:AJ97)</f>
        <v>0</v>
      </c>
      <c r="AK98" s="962" t="s">
        <v>477</v>
      </c>
      <c r="AL98" s="973"/>
      <c r="AM98" s="964">
        <f>SUM(AM4:AM97)</f>
        <v>2628</v>
      </c>
      <c r="AN98" s="964">
        <f>SUM(AN4:AN97)</f>
        <v>0</v>
      </c>
      <c r="AS98" s="935"/>
      <c r="AT98" s="936"/>
      <c r="AU98" s="937"/>
      <c r="AV98" s="938"/>
      <c r="AW98" s="935"/>
      <c r="AX98" s="936"/>
      <c r="AY98" s="937"/>
      <c r="AZ98" s="938"/>
      <c r="BA98" s="935"/>
      <c r="BB98" s="936"/>
      <c r="BC98" s="937"/>
      <c r="BD98" s="938"/>
      <c r="BE98" s="935"/>
      <c r="BF98" s="936"/>
      <c r="BG98" s="937"/>
      <c r="BH98" s="938"/>
      <c r="BI98" s="935"/>
      <c r="BJ98" s="936"/>
      <c r="BK98" s="937"/>
      <c r="BL98" s="938"/>
      <c r="BM98" s="935"/>
      <c r="BN98" s="936"/>
      <c r="BO98" s="937"/>
      <c r="BP98" s="938"/>
      <c r="BQ98" s="935"/>
      <c r="BR98" s="936"/>
      <c r="BS98" s="937"/>
      <c r="BT98" s="938"/>
      <c r="BU98" s="935"/>
      <c r="BV98" s="936"/>
      <c r="BW98" s="937"/>
      <c r="BX98" s="938"/>
      <c r="BY98" s="935"/>
      <c r="BZ98" s="936"/>
      <c r="CA98" s="937"/>
      <c r="CB98" s="938"/>
      <c r="CC98" s="935"/>
      <c r="CD98" s="936"/>
      <c r="CE98" s="953"/>
      <c r="CF98" s="938"/>
      <c r="CG98" s="935"/>
      <c r="CH98" s="936"/>
      <c r="CI98" s="953"/>
      <c r="CJ98" s="938"/>
      <c r="CK98" s="935"/>
      <c r="CL98" s="936"/>
      <c r="CM98" s="953"/>
      <c r="CN98" s="938"/>
      <c r="CO98" s="2135">
        <v>45823</v>
      </c>
      <c r="CP98" s="2138" t="s">
        <v>4819</v>
      </c>
      <c r="CQ98" s="2127"/>
      <c r="CR98" s="2128">
        <v>-200</v>
      </c>
    </row>
    <row r="99" spans="13:96" ht="13.5">
      <c r="M99" s="935">
        <v>38864</v>
      </c>
      <c r="N99" s="945" t="s">
        <v>4820</v>
      </c>
      <c r="O99" s="937">
        <v>4</v>
      </c>
      <c r="P99" s="938"/>
      <c r="Q99" s="969" t="s">
        <v>138</v>
      </c>
      <c r="R99" s="970"/>
      <c r="S99" s="971">
        <f>SUM(S97,T97)</f>
        <v>16012</v>
      </c>
      <c r="T99" s="972"/>
      <c r="U99" s="969" t="s">
        <v>138</v>
      </c>
      <c r="V99" s="970"/>
      <c r="W99" s="971">
        <f>SUM(W97,X97)</f>
        <v>1806</v>
      </c>
      <c r="X99" s="972"/>
      <c r="Y99" s="969" t="s">
        <v>138</v>
      </c>
      <c r="Z99" s="970"/>
      <c r="AA99" s="971">
        <f>SUM(AA97,AB97)</f>
        <v>1111</v>
      </c>
      <c r="AB99" s="972"/>
      <c r="AC99" s="965" t="s">
        <v>1672</v>
      </c>
      <c r="AD99" s="966"/>
      <c r="AE99" s="967"/>
      <c r="AF99" s="968"/>
      <c r="AG99" s="965" t="s">
        <v>1672</v>
      </c>
      <c r="AH99" s="966"/>
      <c r="AI99" s="967"/>
      <c r="AJ99" s="968"/>
      <c r="AK99" s="965" t="s">
        <v>1672</v>
      </c>
      <c r="AL99" s="966"/>
      <c r="AM99" s="967"/>
      <c r="AN99" s="968"/>
      <c r="AS99" s="935"/>
      <c r="AT99" s="936"/>
      <c r="AU99" s="937"/>
      <c r="AV99" s="938"/>
      <c r="AW99" s="935"/>
      <c r="AX99" s="936"/>
      <c r="AY99" s="937"/>
      <c r="AZ99" s="938"/>
      <c r="BA99" s="935"/>
      <c r="BB99" s="936"/>
      <c r="BC99" s="937"/>
      <c r="BD99" s="938"/>
      <c r="BE99" s="935"/>
      <c r="BF99" s="936"/>
      <c r="BG99" s="937"/>
      <c r="BH99" s="938"/>
      <c r="BI99" s="935"/>
      <c r="BJ99" s="936"/>
      <c r="BK99" s="937"/>
      <c r="BL99" s="938"/>
      <c r="BM99" s="935"/>
      <c r="BN99" s="936"/>
      <c r="BO99" s="937"/>
      <c r="BP99" s="938"/>
      <c r="BQ99" s="935"/>
      <c r="BR99" s="936"/>
      <c r="BS99" s="937"/>
      <c r="BT99" s="938"/>
      <c r="BU99" s="935"/>
      <c r="BV99" s="936"/>
      <c r="BW99" s="937"/>
      <c r="BX99" s="938"/>
      <c r="BY99" s="935"/>
      <c r="BZ99" s="936"/>
      <c r="CA99" s="937"/>
      <c r="CB99" s="938"/>
      <c r="CC99" s="935"/>
      <c r="CD99" s="936"/>
      <c r="CE99" s="953"/>
      <c r="CF99" s="938"/>
      <c r="CG99" s="935"/>
      <c r="CH99" s="936"/>
      <c r="CI99" s="953"/>
      <c r="CJ99" s="938"/>
      <c r="CK99" s="935"/>
      <c r="CL99" s="936"/>
      <c r="CM99" s="953"/>
      <c r="CN99" s="938"/>
      <c r="CO99" s="2135">
        <v>45823</v>
      </c>
      <c r="CP99" s="2138" t="s">
        <v>4622</v>
      </c>
      <c r="CQ99" s="2127"/>
      <c r="CR99" s="2128">
        <v>-83.99</v>
      </c>
    </row>
    <row r="100" spans="13:96" ht="13.5">
      <c r="M100" s="935">
        <v>38864</v>
      </c>
      <c r="N100" s="945" t="s">
        <v>4821</v>
      </c>
      <c r="O100" s="937">
        <v>4</v>
      </c>
      <c r="P100" s="938"/>
      <c r="AC100" s="969" t="s">
        <v>138</v>
      </c>
      <c r="AD100" s="970"/>
      <c r="AE100" s="971">
        <f>SUM(AE98,AF98)</f>
        <v>7319</v>
      </c>
      <c r="AF100" s="972"/>
      <c r="AG100" s="969" t="s">
        <v>138</v>
      </c>
      <c r="AH100" s="970"/>
      <c r="AI100" s="971">
        <f>SUM(AI98,AJ98)</f>
        <v>7067</v>
      </c>
      <c r="AJ100" s="972"/>
      <c r="AK100" s="969" t="s">
        <v>138</v>
      </c>
      <c r="AL100" s="970"/>
      <c r="AM100" s="971">
        <f>SUM(AM98,AN98)</f>
        <v>2628</v>
      </c>
      <c r="AN100" s="972"/>
      <c r="AS100" s="962" t="s">
        <v>477</v>
      </c>
      <c r="AT100" s="973"/>
      <c r="AU100" s="964">
        <f>SUM(AU4:AU99)</f>
        <v>3550</v>
      </c>
      <c r="AV100" s="964">
        <f>SUM(AV4:AV99)</f>
        <v>0</v>
      </c>
      <c r="AW100" s="935"/>
      <c r="AX100" s="936"/>
      <c r="AY100" s="937"/>
      <c r="AZ100" s="938"/>
      <c r="BA100" s="935"/>
      <c r="BB100" s="936"/>
      <c r="BC100" s="937"/>
      <c r="BD100" s="938"/>
      <c r="BE100" s="935"/>
      <c r="BF100" s="936"/>
      <c r="BG100" s="937"/>
      <c r="BH100" s="938"/>
      <c r="BI100" s="935"/>
      <c r="BJ100" s="936"/>
      <c r="BK100" s="937"/>
      <c r="BL100" s="938"/>
      <c r="BM100" s="935"/>
      <c r="BN100" s="936"/>
      <c r="BO100" s="937"/>
      <c r="BP100" s="938"/>
      <c r="BQ100" s="935"/>
      <c r="BR100" s="936"/>
      <c r="BS100" s="937"/>
      <c r="BT100" s="938"/>
      <c r="BU100" s="935"/>
      <c r="BV100" s="936"/>
      <c r="BW100" s="937"/>
      <c r="BX100" s="938"/>
      <c r="BY100" s="962" t="s">
        <v>477</v>
      </c>
      <c r="BZ100" s="973"/>
      <c r="CA100" s="964">
        <f>SUM(CA4:CA99)</f>
        <v>3893</v>
      </c>
      <c r="CB100" s="964">
        <f>SUM(CB4:CB99)</f>
        <v>0</v>
      </c>
      <c r="CC100" s="962" t="s">
        <v>477</v>
      </c>
      <c r="CD100" s="973"/>
      <c r="CE100" s="964">
        <f>SUM(CE4:CE99)</f>
        <v>4097</v>
      </c>
      <c r="CF100" s="964">
        <f>SUM(CF4:CF99)</f>
        <v>0</v>
      </c>
      <c r="CG100" s="935"/>
      <c r="CH100" s="936"/>
      <c r="CI100" s="953"/>
      <c r="CJ100" s="938"/>
      <c r="CK100" s="935"/>
      <c r="CL100" s="936"/>
      <c r="CM100" s="953"/>
      <c r="CN100" s="938"/>
      <c r="CO100" s="2135">
        <v>45823</v>
      </c>
      <c r="CP100" s="2138" t="s">
        <v>4822</v>
      </c>
      <c r="CQ100" s="2127"/>
      <c r="CR100" s="2128">
        <v>-15.29</v>
      </c>
    </row>
    <row r="101" spans="13:96" ht="13.5">
      <c r="M101" s="935">
        <v>38864</v>
      </c>
      <c r="N101" s="945" t="s">
        <v>4823</v>
      </c>
      <c r="O101" s="937">
        <v>13</v>
      </c>
      <c r="P101" s="938"/>
      <c r="AS101" s="965" t="s">
        <v>1672</v>
      </c>
      <c r="AT101" s="966"/>
      <c r="AU101" s="967"/>
      <c r="AV101" s="968"/>
      <c r="AW101" s="935"/>
      <c r="AX101" s="936"/>
      <c r="AY101" s="937"/>
      <c r="AZ101" s="938"/>
      <c r="BA101" s="935"/>
      <c r="BB101" s="936"/>
      <c r="BC101" s="937"/>
      <c r="BD101" s="938"/>
      <c r="BE101" s="935"/>
      <c r="BF101" s="936"/>
      <c r="BG101" s="937"/>
      <c r="BH101" s="938"/>
      <c r="BI101" s="935"/>
      <c r="BJ101" s="936"/>
      <c r="BK101" s="937"/>
      <c r="BL101" s="938"/>
      <c r="BM101" s="935"/>
      <c r="BN101" s="936"/>
      <c r="BO101" s="937"/>
      <c r="BP101" s="938"/>
      <c r="BQ101" s="935"/>
      <c r="BR101" s="936"/>
      <c r="BS101" s="937"/>
      <c r="BT101" s="938"/>
      <c r="BU101" s="935"/>
      <c r="BV101" s="936"/>
      <c r="BW101" s="937"/>
      <c r="BX101" s="938"/>
      <c r="BY101" s="965" t="s">
        <v>1672</v>
      </c>
      <c r="BZ101" s="966"/>
      <c r="CA101" s="967"/>
      <c r="CB101" s="968"/>
      <c r="CC101" s="965" t="s">
        <v>1672</v>
      </c>
      <c r="CD101" s="966"/>
      <c r="CE101" s="967"/>
      <c r="CF101" s="968"/>
      <c r="CG101" s="962" t="s">
        <v>477</v>
      </c>
      <c r="CH101" s="973"/>
      <c r="CI101" s="964">
        <f>SUM(CI4:CI100)</f>
        <v>4365</v>
      </c>
      <c r="CJ101" s="964">
        <f>SUM(CJ4:CJ100)</f>
        <v>0</v>
      </c>
      <c r="CK101" s="962" t="s">
        <v>477</v>
      </c>
      <c r="CL101" s="973"/>
      <c r="CM101" s="964">
        <f>SUM(CM4:CM100)</f>
        <v>6058</v>
      </c>
      <c r="CN101" s="964">
        <f>SUM(CN4:CN100)</f>
        <v>0</v>
      </c>
      <c r="CO101" s="2135">
        <v>45823</v>
      </c>
      <c r="CP101" s="2138" t="s">
        <v>4824</v>
      </c>
      <c r="CQ101" s="2127"/>
      <c r="CR101" s="2128">
        <v>-12.11</v>
      </c>
    </row>
    <row r="102" spans="13:96" ht="13.5">
      <c r="M102" s="935">
        <v>38864</v>
      </c>
      <c r="N102" s="945" t="s">
        <v>4825</v>
      </c>
      <c r="O102" s="937">
        <v>26</v>
      </c>
      <c r="P102" s="938"/>
      <c r="AS102" s="969" t="s">
        <v>138</v>
      </c>
      <c r="AT102" s="970"/>
      <c r="AU102" s="971">
        <f>SUM(AU100,AV100)</f>
        <v>3550</v>
      </c>
      <c r="AV102" s="972"/>
      <c r="AW102" s="935"/>
      <c r="AX102" s="936"/>
      <c r="AY102" s="937"/>
      <c r="AZ102" s="938"/>
      <c r="BA102" s="935"/>
      <c r="BB102" s="936"/>
      <c r="BC102" s="937"/>
      <c r="BD102" s="938"/>
      <c r="BE102" s="935"/>
      <c r="BF102" s="936"/>
      <c r="BG102" s="937"/>
      <c r="BH102" s="938"/>
      <c r="BI102" s="935"/>
      <c r="BJ102" s="936"/>
      <c r="BK102" s="937"/>
      <c r="BL102" s="938"/>
      <c r="BM102" s="935"/>
      <c r="BN102" s="936"/>
      <c r="BO102" s="937"/>
      <c r="BP102" s="938"/>
      <c r="BQ102" s="935"/>
      <c r="BR102" s="936"/>
      <c r="BS102" s="937"/>
      <c r="BT102" s="938"/>
      <c r="BU102" s="935"/>
      <c r="BV102" s="936"/>
      <c r="BW102" s="937"/>
      <c r="BX102" s="938"/>
      <c r="BY102" s="969" t="s">
        <v>138</v>
      </c>
      <c r="BZ102" s="970"/>
      <c r="CA102" s="971">
        <f>SUM(CA100,CB100)</f>
        <v>3893</v>
      </c>
      <c r="CB102" s="972"/>
      <c r="CC102" s="969" t="s">
        <v>138</v>
      </c>
      <c r="CD102" s="970"/>
      <c r="CE102" s="971">
        <f>SUM(CE100,CF100)</f>
        <v>4097</v>
      </c>
      <c r="CF102" s="972"/>
      <c r="CG102" s="965" t="s">
        <v>1672</v>
      </c>
      <c r="CH102" s="966"/>
      <c r="CI102" s="967"/>
      <c r="CJ102" s="968"/>
      <c r="CK102" s="965" t="s">
        <v>1672</v>
      </c>
      <c r="CL102" s="966"/>
      <c r="CM102" s="967"/>
      <c r="CN102" s="968"/>
      <c r="CO102" s="2135">
        <v>45823</v>
      </c>
      <c r="CP102" s="2138" t="s">
        <v>4826</v>
      </c>
      <c r="CQ102" s="2127"/>
      <c r="CR102" s="2128">
        <v>-6.83</v>
      </c>
    </row>
    <row r="103" spans="13:96" ht="13.5">
      <c r="M103" s="935">
        <v>38865</v>
      </c>
      <c r="N103" s="945" t="s">
        <v>4827</v>
      </c>
      <c r="O103" s="937">
        <v>13</v>
      </c>
      <c r="P103" s="938"/>
      <c r="AW103" s="962" t="s">
        <v>477</v>
      </c>
      <c r="AX103" s="973"/>
      <c r="AY103" s="964">
        <f>SUM(AY4:AY102)</f>
        <v>3737</v>
      </c>
      <c r="AZ103" s="964">
        <f>SUM(AZ4:AZ102)</f>
        <v>0</v>
      </c>
      <c r="BA103" s="962" t="s">
        <v>477</v>
      </c>
      <c r="BB103" s="973"/>
      <c r="BC103" s="964">
        <f>SUM(BC4:BC102)</f>
        <v>1744</v>
      </c>
      <c r="BD103" s="964">
        <f>SUM(BD4:BD102)</f>
        <v>0</v>
      </c>
      <c r="BE103" s="962" t="s">
        <v>477</v>
      </c>
      <c r="BF103" s="973"/>
      <c r="BG103" s="964">
        <f>SUM(BG4:BG102)</f>
        <v>2815</v>
      </c>
      <c r="BH103" s="964">
        <f>SUM(BH4:BH102)</f>
        <v>0</v>
      </c>
      <c r="BI103" s="962" t="s">
        <v>477</v>
      </c>
      <c r="BJ103" s="973"/>
      <c r="BK103" s="964">
        <f>SUM(BK4:BK102)</f>
        <v>2827</v>
      </c>
      <c r="BL103" s="964">
        <f>SUM(BL4:BL102)</f>
        <v>0</v>
      </c>
      <c r="BM103" s="962"/>
      <c r="BN103" s="973"/>
      <c r="BO103" s="964"/>
      <c r="BP103" s="964"/>
      <c r="BQ103" s="962" t="s">
        <v>477</v>
      </c>
      <c r="BR103" s="973"/>
      <c r="BS103" s="964">
        <f>SUM(BS4:BS102)</f>
        <v>5385</v>
      </c>
      <c r="BT103" s="964">
        <f>SUM(BT4:BT102)</f>
        <v>0</v>
      </c>
      <c r="BU103" s="962" t="s">
        <v>477</v>
      </c>
      <c r="BV103" s="973"/>
      <c r="BW103" s="964">
        <f>SUM(BW4:BW102)</f>
        <v>1878</v>
      </c>
      <c r="BX103" s="964">
        <f>SUM(BX4:BX102)</f>
        <v>0</v>
      </c>
      <c r="CG103" s="969" t="s">
        <v>138</v>
      </c>
      <c r="CH103" s="970"/>
      <c r="CI103" s="971">
        <f>SUM(CI101,CJ101)</f>
        <v>4365</v>
      </c>
      <c r="CJ103" s="972"/>
      <c r="CK103" s="969" t="s">
        <v>138</v>
      </c>
      <c r="CL103" s="970"/>
      <c r="CM103" s="971">
        <f>SUM(CM101,CN101)</f>
        <v>6058</v>
      </c>
      <c r="CN103" s="972"/>
      <c r="CO103" s="2135">
        <v>45823</v>
      </c>
      <c r="CP103" s="2138" t="s">
        <v>4828</v>
      </c>
      <c r="CQ103" s="2127"/>
      <c r="CR103" s="2128">
        <v>-6.65</v>
      </c>
    </row>
    <row r="104" spans="13:96" ht="13.5">
      <c r="M104" s="935">
        <v>38865</v>
      </c>
      <c r="N104" s="945" t="s">
        <v>4829</v>
      </c>
      <c r="O104" s="937">
        <v>16</v>
      </c>
      <c r="P104" s="938"/>
      <c r="AW104" s="965" t="s">
        <v>1672</v>
      </c>
      <c r="AX104" s="966"/>
      <c r="AY104" s="967"/>
      <c r="AZ104" s="968"/>
      <c r="BA104" s="965" t="s">
        <v>1672</v>
      </c>
      <c r="BB104" s="966"/>
      <c r="BC104" s="967"/>
      <c r="BD104" s="968"/>
      <c r="BE104" s="965" t="s">
        <v>1672</v>
      </c>
      <c r="BF104" s="966"/>
      <c r="BG104" s="967"/>
      <c r="BH104" s="968"/>
      <c r="BI104" s="965" t="s">
        <v>1672</v>
      </c>
      <c r="BJ104" s="966"/>
      <c r="BK104" s="967"/>
      <c r="BL104" s="968"/>
      <c r="BM104" s="965"/>
      <c r="BN104" s="966"/>
      <c r="BO104" s="967"/>
      <c r="BP104" s="968"/>
      <c r="BQ104" s="965" t="s">
        <v>1672</v>
      </c>
      <c r="BR104" s="966"/>
      <c r="BS104" s="967"/>
      <c r="BT104" s="968"/>
      <c r="BU104" s="965" t="s">
        <v>1672</v>
      </c>
      <c r="BV104" s="966"/>
      <c r="BW104" s="967"/>
      <c r="BX104" s="968"/>
      <c r="CO104" s="2135">
        <v>45823</v>
      </c>
      <c r="CP104" s="2138" t="s">
        <v>4830</v>
      </c>
      <c r="CQ104" s="2127"/>
      <c r="CR104" s="2128">
        <v>-25.86</v>
      </c>
    </row>
    <row r="105" spans="13:96" ht="13.5">
      <c r="M105" s="935">
        <v>38865</v>
      </c>
      <c r="N105" s="945" t="s">
        <v>4831</v>
      </c>
      <c r="O105" s="937">
        <v>4</v>
      </c>
      <c r="P105" s="938"/>
      <c r="AW105" s="969" t="s">
        <v>138</v>
      </c>
      <c r="AX105" s="970"/>
      <c r="AY105" s="971">
        <f>SUM(AY103,AZ103)</f>
        <v>3737</v>
      </c>
      <c r="AZ105" s="972"/>
      <c r="BA105" s="969" t="s">
        <v>138</v>
      </c>
      <c r="BB105" s="970"/>
      <c r="BC105" s="971">
        <f>SUM(BC103,BD103)</f>
        <v>1744</v>
      </c>
      <c r="BD105" s="972"/>
      <c r="BE105" s="969" t="s">
        <v>138</v>
      </c>
      <c r="BF105" s="970"/>
      <c r="BG105" s="971">
        <f>SUM(BG103,BH103)</f>
        <v>2815</v>
      </c>
      <c r="BH105" s="972"/>
      <c r="BI105" s="969" t="s">
        <v>138</v>
      </c>
      <c r="BJ105" s="970"/>
      <c r="BK105" s="971">
        <f>SUM(BK103,BL103)</f>
        <v>2827</v>
      </c>
      <c r="BL105" s="972"/>
      <c r="BM105" s="969"/>
      <c r="BN105" s="970"/>
      <c r="BO105" s="971"/>
      <c r="BP105" s="972"/>
      <c r="BQ105" s="969" t="s">
        <v>138</v>
      </c>
      <c r="BR105" s="970"/>
      <c r="BS105" s="971">
        <f>SUM(BS103,BT103)</f>
        <v>5385</v>
      </c>
      <c r="BT105" s="972"/>
      <c r="BU105" s="969" t="s">
        <v>138</v>
      </c>
      <c r="BV105" s="970"/>
      <c r="BW105" s="971">
        <f>SUM(BW103,BX103)</f>
        <v>1878</v>
      </c>
      <c r="BX105" s="972"/>
      <c r="CO105" s="2135">
        <v>45823</v>
      </c>
      <c r="CP105" s="2138" t="s">
        <v>4832</v>
      </c>
      <c r="CQ105" s="2127"/>
      <c r="CR105" s="2128">
        <v>-29.41</v>
      </c>
    </row>
    <row r="106" spans="13:96" ht="13.5">
      <c r="M106" s="935">
        <v>38865</v>
      </c>
      <c r="N106" s="945" t="s">
        <v>4833</v>
      </c>
      <c r="O106" s="937">
        <v>4</v>
      </c>
      <c r="P106" s="938"/>
      <c r="CO106" s="2135">
        <v>45823</v>
      </c>
      <c r="CP106" s="2138" t="s">
        <v>4834</v>
      </c>
      <c r="CQ106" s="2127"/>
      <c r="CR106" s="2128">
        <v>-4.63</v>
      </c>
    </row>
    <row r="107" spans="13:96" ht="13.5">
      <c r="M107" s="935">
        <v>38865</v>
      </c>
      <c r="N107" s="945" t="s">
        <v>4835</v>
      </c>
      <c r="O107" s="937">
        <v>27</v>
      </c>
      <c r="P107" s="938"/>
      <c r="CO107" s="2135">
        <v>45823</v>
      </c>
      <c r="CP107" s="2138" t="s">
        <v>4836</v>
      </c>
      <c r="CQ107" s="2127"/>
      <c r="CR107" s="2128">
        <v>-3.87</v>
      </c>
    </row>
    <row r="108" spans="13:96" ht="13.5">
      <c r="M108" s="935">
        <v>38866</v>
      </c>
      <c r="N108" s="945" t="s">
        <v>4837</v>
      </c>
      <c r="O108" s="937">
        <v>3</v>
      </c>
      <c r="P108" s="938"/>
      <c r="CO108" s="2135">
        <v>45823</v>
      </c>
      <c r="CP108" s="2138" t="s">
        <v>4838</v>
      </c>
      <c r="CQ108" s="2127"/>
      <c r="CR108" s="2128">
        <v>-13.91</v>
      </c>
    </row>
    <row r="109" spans="13:96" ht="13.5">
      <c r="M109" s="935">
        <v>38866</v>
      </c>
      <c r="N109" s="945" t="s">
        <v>4839</v>
      </c>
      <c r="O109" s="937">
        <v>3</v>
      </c>
      <c r="P109" s="938"/>
      <c r="CO109" s="2135">
        <v>45823</v>
      </c>
      <c r="CP109" s="2138" t="s">
        <v>4840</v>
      </c>
      <c r="CQ109" s="2127"/>
      <c r="CR109" s="2128">
        <v>-13.64</v>
      </c>
    </row>
    <row r="110" spans="13:96" ht="13.5">
      <c r="M110" s="935">
        <v>38866</v>
      </c>
      <c r="N110" s="945" t="s">
        <v>4841</v>
      </c>
      <c r="O110" s="937">
        <v>4</v>
      </c>
      <c r="P110" s="938"/>
      <c r="CO110" s="2135">
        <v>45823</v>
      </c>
      <c r="CP110" s="2138" t="s">
        <v>4842</v>
      </c>
      <c r="CQ110" s="2127"/>
      <c r="CR110" s="2128">
        <v>-8.86</v>
      </c>
    </row>
    <row r="111" spans="13:96" ht="13.5">
      <c r="M111" s="935">
        <v>38866</v>
      </c>
      <c r="N111" s="945" t="s">
        <v>4843</v>
      </c>
      <c r="O111" s="937">
        <v>25</v>
      </c>
      <c r="P111" s="938"/>
      <c r="CO111" s="2135">
        <v>45823</v>
      </c>
      <c r="CP111" s="2138" t="s">
        <v>4844</v>
      </c>
      <c r="CQ111" s="2127"/>
      <c r="CR111" s="2128">
        <v>-16.649999999999999</v>
      </c>
    </row>
    <row r="112" spans="13:96" ht="13.5">
      <c r="M112" s="935">
        <v>38866</v>
      </c>
      <c r="N112" s="945" t="s">
        <v>4845</v>
      </c>
      <c r="O112" s="937">
        <v>3</v>
      </c>
      <c r="P112" s="938"/>
      <c r="CO112" s="2135">
        <v>45823</v>
      </c>
      <c r="CP112" s="2138" t="s">
        <v>4846</v>
      </c>
      <c r="CQ112" s="2127"/>
      <c r="CR112" s="2128">
        <v>-5.75</v>
      </c>
    </row>
    <row r="113" spans="13:96" ht="13.5">
      <c r="M113" s="935">
        <v>38867</v>
      </c>
      <c r="N113" s="945" t="s">
        <v>4847</v>
      </c>
      <c r="O113" s="937">
        <v>20</v>
      </c>
      <c r="P113" s="938"/>
      <c r="CO113" s="2135">
        <v>45823</v>
      </c>
      <c r="CP113" s="2138" t="s">
        <v>4848</v>
      </c>
      <c r="CQ113" s="2127"/>
      <c r="CR113" s="2128">
        <v>-36.729999999999997</v>
      </c>
    </row>
    <row r="114" spans="13:96" ht="26.25">
      <c r="M114" s="935">
        <v>38867</v>
      </c>
      <c r="N114" s="945" t="s">
        <v>4849</v>
      </c>
      <c r="O114" s="937">
        <v>25</v>
      </c>
      <c r="P114" s="938"/>
      <c r="CO114" s="2135">
        <v>45822</v>
      </c>
      <c r="CP114" s="2138" t="s">
        <v>4850</v>
      </c>
      <c r="CQ114" s="2127"/>
      <c r="CR114" s="2128">
        <v>-100</v>
      </c>
    </row>
    <row r="115" spans="13:96" ht="26.25">
      <c r="M115" s="935">
        <v>38868</v>
      </c>
      <c r="N115" s="945" t="s">
        <v>797</v>
      </c>
      <c r="O115" s="937">
        <v>39</v>
      </c>
      <c r="P115" s="938"/>
      <c r="CO115" s="2135">
        <v>45822</v>
      </c>
      <c r="CP115" s="2138" t="s">
        <v>4851</v>
      </c>
      <c r="CQ115" s="2127"/>
      <c r="CR115" s="2128">
        <v>100</v>
      </c>
    </row>
    <row r="116" spans="13:96" ht="13.5">
      <c r="M116" s="935">
        <v>38868</v>
      </c>
      <c r="N116" s="945" t="s">
        <v>4852</v>
      </c>
      <c r="O116" s="937">
        <v>0</v>
      </c>
      <c r="P116" s="938"/>
      <c r="CO116" s="2135">
        <v>45821</v>
      </c>
      <c r="CP116" s="2138" t="s">
        <v>4853</v>
      </c>
      <c r="CQ116" s="2127"/>
      <c r="CR116" s="2128">
        <v>-4.8</v>
      </c>
    </row>
    <row r="117" spans="13:96" ht="13.5">
      <c r="M117" s="935">
        <v>38868</v>
      </c>
      <c r="N117" s="945" t="s">
        <v>4854</v>
      </c>
      <c r="O117" s="937">
        <v>0</v>
      </c>
      <c r="P117" s="938"/>
      <c r="CO117" s="2135">
        <v>45821</v>
      </c>
      <c r="CP117" s="2138" t="s">
        <v>4855</v>
      </c>
      <c r="CQ117" s="2127"/>
      <c r="CR117" s="2128">
        <v>-1.21</v>
      </c>
    </row>
    <row r="118" spans="13:96" ht="13.5">
      <c r="M118" s="935"/>
      <c r="N118" s="955"/>
      <c r="O118" s="939"/>
      <c r="P118" s="938"/>
      <c r="CO118" s="2135">
        <v>45821</v>
      </c>
      <c r="CP118" s="2138" t="s">
        <v>4856</v>
      </c>
      <c r="CQ118" s="2127"/>
      <c r="CR118" s="2128">
        <v>-15.71</v>
      </c>
    </row>
    <row r="119" spans="13:96" ht="13.5">
      <c r="M119" s="935"/>
      <c r="N119" s="955"/>
      <c r="O119" s="939"/>
      <c r="P119" s="938"/>
      <c r="CO119" s="2135">
        <v>45821</v>
      </c>
      <c r="CP119" s="2138" t="s">
        <v>4857</v>
      </c>
      <c r="CQ119" s="2127"/>
      <c r="CR119" s="2128">
        <v>-8.7200000000000006</v>
      </c>
    </row>
    <row r="120" spans="13:96" ht="13.5">
      <c r="M120" s="935"/>
      <c r="N120" s="955"/>
      <c r="O120" s="939"/>
      <c r="P120" s="938"/>
      <c r="CO120" s="2135">
        <v>45821</v>
      </c>
      <c r="CP120" s="2138" t="s">
        <v>4360</v>
      </c>
      <c r="CQ120" s="2127"/>
      <c r="CR120" s="2128">
        <v>854.73</v>
      </c>
    </row>
    <row r="121" spans="13:96" ht="13.5">
      <c r="M121" s="935"/>
      <c r="N121" s="955"/>
      <c r="O121" s="939"/>
      <c r="P121" s="938"/>
      <c r="CO121" s="2135">
        <v>45821</v>
      </c>
      <c r="CP121" s="2138" t="s">
        <v>4858</v>
      </c>
      <c r="CQ121" s="2127"/>
      <c r="CR121" s="2128">
        <v>-739.89</v>
      </c>
    </row>
    <row r="122" spans="13:96" ht="13.5">
      <c r="M122" s="935"/>
      <c r="N122" s="955"/>
      <c r="O122" s="939"/>
      <c r="P122" s="938"/>
      <c r="CO122" s="2135">
        <v>45820</v>
      </c>
      <c r="CP122" s="2138" t="s">
        <v>4859</v>
      </c>
      <c r="CQ122" s="2127"/>
      <c r="CR122" s="2128">
        <v>-7.25</v>
      </c>
    </row>
    <row r="123" spans="13:96" ht="13.5">
      <c r="M123" s="935"/>
      <c r="N123" s="955"/>
      <c r="O123" s="939"/>
      <c r="P123" s="938"/>
      <c r="CO123" s="2135">
        <v>45820</v>
      </c>
      <c r="CP123" s="2138" t="s">
        <v>4860</v>
      </c>
      <c r="CQ123" s="2127"/>
      <c r="CR123" s="2128">
        <v>-16.97</v>
      </c>
    </row>
    <row r="124" spans="13:96" ht="13.5">
      <c r="M124" s="974"/>
      <c r="N124" s="974"/>
      <c r="O124" s="964">
        <f>SUM(O4:O117)</f>
        <v>9618</v>
      </c>
      <c r="P124" s="964">
        <f>SUM(P4:P117)</f>
        <v>0</v>
      </c>
      <c r="CO124" s="2135">
        <v>45820</v>
      </c>
      <c r="CP124" s="2138" t="s">
        <v>4861</v>
      </c>
      <c r="CQ124" s="2127"/>
      <c r="CR124" s="2128">
        <v>-21.06</v>
      </c>
    </row>
    <row r="125" spans="13:96" ht="13.5">
      <c r="M125" s="965" t="s">
        <v>1672</v>
      </c>
      <c r="N125" s="966"/>
      <c r="O125" s="967"/>
      <c r="P125" s="968"/>
      <c r="CO125" s="2135">
        <v>45820</v>
      </c>
      <c r="CP125" s="2138" t="s">
        <v>4862</v>
      </c>
      <c r="CQ125" s="2127"/>
      <c r="CR125" s="2128">
        <v>-25.65</v>
      </c>
    </row>
    <row r="126" spans="13:96" ht="13.5">
      <c r="M126" s="969" t="s">
        <v>138</v>
      </c>
      <c r="N126" s="970"/>
      <c r="O126" s="971">
        <f>SUM(O124,P124)</f>
        <v>9618</v>
      </c>
      <c r="P126" s="972"/>
      <c r="CO126" s="2135">
        <v>45820</v>
      </c>
      <c r="CP126" s="2138" t="s">
        <v>4863</v>
      </c>
      <c r="CQ126" s="2127"/>
      <c r="CR126" s="2128">
        <v>-4.96</v>
      </c>
    </row>
    <row r="127" spans="13:96" ht="13.5">
      <c r="CO127" s="2135">
        <v>45820</v>
      </c>
      <c r="CP127" s="2138" t="s">
        <v>4864</v>
      </c>
      <c r="CQ127" s="2127"/>
      <c r="CR127" s="2128">
        <v>-4.96</v>
      </c>
    </row>
    <row r="128" spans="13:96" ht="13.5">
      <c r="CO128" s="2135">
        <v>45819</v>
      </c>
      <c r="CP128" s="2138" t="s">
        <v>3891</v>
      </c>
      <c r="CQ128" s="2127"/>
      <c r="CR128" s="2128">
        <v>-25.1</v>
      </c>
    </row>
    <row r="129" spans="93:96" ht="13.5">
      <c r="CO129" s="2135">
        <v>45819</v>
      </c>
      <c r="CP129" s="2138" t="s">
        <v>4865</v>
      </c>
      <c r="CQ129" s="2127"/>
      <c r="CR129" s="2128">
        <v>-1280</v>
      </c>
    </row>
    <row r="130" spans="93:96" ht="13.5">
      <c r="CO130" s="2135">
        <v>45819</v>
      </c>
      <c r="CP130" s="2138" t="s">
        <v>4866</v>
      </c>
      <c r="CQ130" s="2127"/>
      <c r="CR130" s="2128">
        <v>-15.21</v>
      </c>
    </row>
    <row r="131" spans="93:96" ht="13.5">
      <c r="CO131" s="2135">
        <v>45819</v>
      </c>
      <c r="CP131" s="2138" t="s">
        <v>3892</v>
      </c>
      <c r="CQ131" s="2127"/>
      <c r="CR131" s="2128">
        <v>-88.78</v>
      </c>
    </row>
    <row r="132" spans="93:96" ht="13.5">
      <c r="CO132" s="2135">
        <v>45819</v>
      </c>
      <c r="CP132" s="2138" t="s">
        <v>3893</v>
      </c>
      <c r="CQ132" s="2127"/>
      <c r="CR132" s="2128">
        <v>-180.02</v>
      </c>
    </row>
    <row r="133" spans="93:96" ht="13.5">
      <c r="CO133" s="2135">
        <v>45819</v>
      </c>
      <c r="CP133" s="2138" t="s">
        <v>3893</v>
      </c>
      <c r="CQ133" s="2127"/>
      <c r="CR133" s="2128">
        <v>-20</v>
      </c>
    </row>
    <row r="134" spans="93:96" ht="13.5">
      <c r="CO134" s="2135">
        <v>45819</v>
      </c>
      <c r="CP134" s="2138" t="s">
        <v>4867</v>
      </c>
      <c r="CQ134" s="2127"/>
      <c r="CR134" s="2128">
        <v>-40.47</v>
      </c>
    </row>
    <row r="135" spans="93:96" ht="13.5">
      <c r="CO135" s="2135">
        <v>45819</v>
      </c>
      <c r="CP135" s="2138" t="s">
        <v>4868</v>
      </c>
      <c r="CQ135" s="2127"/>
      <c r="CR135" s="2128">
        <v>3206.49</v>
      </c>
    </row>
    <row r="136" spans="93:96" ht="13.5">
      <c r="CO136" s="2135">
        <v>45819</v>
      </c>
      <c r="CP136" s="2138" t="s">
        <v>4869</v>
      </c>
      <c r="CQ136" s="2127"/>
      <c r="CR136" s="2128">
        <v>3333.46</v>
      </c>
    </row>
    <row r="137" spans="93:96" ht="13.5">
      <c r="CO137" s="2135">
        <v>45818</v>
      </c>
      <c r="CP137" s="2138" t="s">
        <v>4870</v>
      </c>
      <c r="CQ137" s="2127"/>
      <c r="CR137" s="2128">
        <v>-217.16</v>
      </c>
    </row>
    <row r="138" spans="93:96" ht="13.5">
      <c r="CO138" s="2135">
        <v>45818</v>
      </c>
      <c r="CP138" s="2138" t="s">
        <v>4871</v>
      </c>
      <c r="CQ138" s="2127"/>
      <c r="CR138" s="2128">
        <v>-269.95999999999998</v>
      </c>
    </row>
    <row r="139" spans="93:96" ht="13.5">
      <c r="CO139" s="2135">
        <v>45818</v>
      </c>
      <c r="CP139" s="2138" t="s">
        <v>4872</v>
      </c>
      <c r="CQ139" s="2127"/>
      <c r="CR139" s="2128">
        <v>-80.05</v>
      </c>
    </row>
    <row r="140" spans="93:96" ht="13.5">
      <c r="CO140" s="2135">
        <v>45818</v>
      </c>
      <c r="CP140" s="2138" t="s">
        <v>4873</v>
      </c>
      <c r="CQ140" s="2127"/>
      <c r="CR140" s="2128">
        <v>-16.36</v>
      </c>
    </row>
    <row r="141" spans="93:96" ht="13.5">
      <c r="CO141" s="2135">
        <v>45818</v>
      </c>
      <c r="CP141" s="2138" t="s">
        <v>4874</v>
      </c>
      <c r="CQ141" s="2127"/>
      <c r="CR141" s="2128">
        <v>-13.47</v>
      </c>
    </row>
    <row r="142" spans="93:96" ht="13.5">
      <c r="CO142" s="2135">
        <v>45818</v>
      </c>
      <c r="CP142" s="2138" t="s">
        <v>4875</v>
      </c>
      <c r="CQ142" s="2127"/>
      <c r="CR142" s="2128">
        <v>-7.6</v>
      </c>
    </row>
    <row r="143" spans="93:96" ht="13.5">
      <c r="CO143" s="2135">
        <v>45818</v>
      </c>
      <c r="CP143" s="2138" t="s">
        <v>4876</v>
      </c>
      <c r="CQ143" s="2127"/>
      <c r="CR143" s="2128">
        <v>524</v>
      </c>
    </row>
    <row r="144" spans="93:96" ht="26.25">
      <c r="CO144" s="2135">
        <v>45818</v>
      </c>
      <c r="CP144" s="2138" t="s">
        <v>4877</v>
      </c>
      <c r="CQ144" s="2127"/>
      <c r="CR144" s="2128">
        <v>-29.41</v>
      </c>
    </row>
    <row r="145" spans="93:96" ht="13.5">
      <c r="CO145" s="2135">
        <v>45818</v>
      </c>
      <c r="CP145" s="2138" t="s">
        <v>4878</v>
      </c>
      <c r="CQ145" s="2127"/>
      <c r="CR145" s="2128">
        <v>-13.84</v>
      </c>
    </row>
    <row r="146" spans="93:96" ht="13.5">
      <c r="CO146" s="2135">
        <v>45818</v>
      </c>
      <c r="CP146" s="2138" t="s">
        <v>4878</v>
      </c>
      <c r="CQ146" s="2127"/>
      <c r="CR146" s="2128">
        <v>-50</v>
      </c>
    </row>
    <row r="147" spans="93:96" ht="13.5">
      <c r="CO147" s="2135">
        <v>45817</v>
      </c>
      <c r="CP147" s="2138" t="s">
        <v>4879</v>
      </c>
      <c r="CQ147" s="2127"/>
      <c r="CR147" s="2128">
        <v>29.41</v>
      </c>
    </row>
    <row r="148" spans="93:96" ht="13.5">
      <c r="CO148" s="2135">
        <v>45817</v>
      </c>
      <c r="CP148" s="2138" t="s">
        <v>4880</v>
      </c>
      <c r="CQ148" s="2127"/>
      <c r="CR148" s="2128">
        <v>-11.5</v>
      </c>
    </row>
    <row r="149" spans="93:96" ht="13.5">
      <c r="CO149" s="2135">
        <v>45817</v>
      </c>
      <c r="CP149" s="2138" t="s">
        <v>4881</v>
      </c>
      <c r="CQ149" s="2127"/>
      <c r="CR149" s="2128">
        <v>-16.88</v>
      </c>
    </row>
    <row r="150" spans="93:96" ht="13.5">
      <c r="CO150" s="2135">
        <v>45817</v>
      </c>
      <c r="CP150" s="2138" t="s">
        <v>4882</v>
      </c>
      <c r="CQ150" s="2127"/>
      <c r="CR150" s="2128">
        <v>-9.5</v>
      </c>
    </row>
    <row r="151" spans="93:96" ht="13.5">
      <c r="CO151" s="2135">
        <v>45817</v>
      </c>
      <c r="CP151" s="2138" t="s">
        <v>4883</v>
      </c>
      <c r="CQ151" s="2127"/>
      <c r="CR151" s="2128">
        <v>-9423.64</v>
      </c>
    </row>
    <row r="152" spans="93:96" ht="13.5">
      <c r="CO152" s="2135">
        <v>45817</v>
      </c>
      <c r="CP152" s="2138" t="s">
        <v>4884</v>
      </c>
      <c r="CQ152" s="2127"/>
      <c r="CR152" s="2128">
        <v>32.43</v>
      </c>
    </row>
    <row r="153" spans="93:96" ht="13.5">
      <c r="CO153" s="2135">
        <v>45817</v>
      </c>
      <c r="CP153" s="2138" t="s">
        <v>4884</v>
      </c>
      <c r="CQ153" s="2127"/>
      <c r="CR153" s="2128">
        <v>32.43</v>
      </c>
    </row>
    <row r="154" spans="93:96" ht="13.5">
      <c r="CO154" s="2135">
        <v>45817</v>
      </c>
      <c r="CP154" s="2138" t="s">
        <v>4884</v>
      </c>
      <c r="CQ154" s="2127"/>
      <c r="CR154" s="2128">
        <v>32.43</v>
      </c>
    </row>
    <row r="155" spans="93:96" ht="13.5">
      <c r="CO155" s="2135">
        <v>45817</v>
      </c>
      <c r="CP155" s="2138" t="s">
        <v>4884</v>
      </c>
      <c r="CQ155" s="2127"/>
      <c r="CR155" s="2128">
        <v>32.43</v>
      </c>
    </row>
    <row r="156" spans="93:96" ht="13.5">
      <c r="CO156" s="2135">
        <v>45816</v>
      </c>
      <c r="CP156" s="2138" t="s">
        <v>4885</v>
      </c>
      <c r="CQ156" s="2127"/>
      <c r="CR156" s="2128">
        <v>-74.81</v>
      </c>
    </row>
    <row r="157" spans="93:96" ht="13.5">
      <c r="CO157" s="2135">
        <v>45816</v>
      </c>
      <c r="CP157" s="2138" t="s">
        <v>4886</v>
      </c>
      <c r="CQ157" s="2127"/>
      <c r="CR157" s="2128">
        <v>-21.81</v>
      </c>
    </row>
    <row r="158" spans="93:96" ht="13.5">
      <c r="CO158" s="2135">
        <v>45816</v>
      </c>
      <c r="CP158" s="2138" t="s">
        <v>4887</v>
      </c>
      <c r="CQ158" s="2127"/>
      <c r="CR158" s="2128">
        <v>-36.22</v>
      </c>
    </row>
    <row r="159" spans="93:96" ht="13.5">
      <c r="CO159" s="2135">
        <v>45816</v>
      </c>
      <c r="CP159" s="2138" t="s">
        <v>4859</v>
      </c>
      <c r="CQ159" s="2127"/>
      <c r="CR159" s="2128">
        <v>-4.75</v>
      </c>
    </row>
    <row r="160" spans="93:96" ht="13.5">
      <c r="CO160" s="2135">
        <v>45816</v>
      </c>
      <c r="CP160" s="2138" t="s">
        <v>4859</v>
      </c>
      <c r="CQ160" s="2127"/>
      <c r="CR160" s="2128">
        <v>-6.45</v>
      </c>
    </row>
    <row r="161" spans="93:96" ht="13.5">
      <c r="CO161" s="2135">
        <v>45816</v>
      </c>
      <c r="CP161" s="2138" t="s">
        <v>4886</v>
      </c>
      <c r="CQ161" s="2127"/>
      <c r="CR161" s="2128">
        <v>-19.63</v>
      </c>
    </row>
    <row r="162" spans="93:96" ht="26.25">
      <c r="CO162" s="2135">
        <v>45815</v>
      </c>
      <c r="CP162" s="2138" t="s">
        <v>4850</v>
      </c>
      <c r="CQ162" s="2127"/>
      <c r="CR162" s="2128">
        <v>-100</v>
      </c>
    </row>
    <row r="163" spans="93:96" ht="26.25">
      <c r="CO163" s="2135">
        <v>45815</v>
      </c>
      <c r="CP163" s="2138" t="s">
        <v>4851</v>
      </c>
      <c r="CQ163" s="2127"/>
      <c r="CR163" s="2128">
        <v>100</v>
      </c>
    </row>
    <row r="164" spans="93:96" ht="13.5">
      <c r="CO164" s="2135">
        <v>45814</v>
      </c>
      <c r="CP164" s="2138" t="s">
        <v>4074</v>
      </c>
      <c r="CQ164" s="2127"/>
      <c r="CR164" s="2128">
        <v>-7.64</v>
      </c>
    </row>
    <row r="165" spans="93:96" ht="13.5">
      <c r="CO165" s="2135">
        <v>45814</v>
      </c>
      <c r="CP165" s="2138" t="s">
        <v>4853</v>
      </c>
      <c r="CQ165" s="2127"/>
      <c r="CR165" s="2128">
        <v>-10.09</v>
      </c>
    </row>
    <row r="166" spans="93:96" ht="13.5">
      <c r="CO166" s="2135">
        <v>45814</v>
      </c>
      <c r="CP166" s="2138" t="s">
        <v>4859</v>
      </c>
      <c r="CQ166" s="2127"/>
      <c r="CR166" s="2128">
        <v>-7.25</v>
      </c>
    </row>
    <row r="167" spans="93:96" ht="13.5">
      <c r="CO167" s="2135">
        <v>45813</v>
      </c>
      <c r="CP167" s="2138" t="s">
        <v>4888</v>
      </c>
      <c r="CQ167" s="2127"/>
      <c r="CR167" s="2128">
        <v>20</v>
      </c>
    </row>
    <row r="168" spans="93:96" ht="13.5">
      <c r="CO168" s="2135">
        <v>45813</v>
      </c>
      <c r="CP168" s="2138" t="s">
        <v>4889</v>
      </c>
      <c r="CQ168" s="2127"/>
      <c r="CR168" s="2128">
        <v>-50</v>
      </c>
    </row>
    <row r="169" spans="93:96" ht="13.5">
      <c r="CO169" s="2135">
        <v>45813</v>
      </c>
      <c r="CP169" s="2138" t="s">
        <v>4890</v>
      </c>
      <c r="CQ169" s="2127"/>
      <c r="CR169" s="2128">
        <v>-25</v>
      </c>
    </row>
    <row r="170" spans="93:96" ht="13.5">
      <c r="CO170" s="2135">
        <v>45813</v>
      </c>
      <c r="CP170" s="2138" t="s">
        <v>4890</v>
      </c>
      <c r="CQ170" s="2127"/>
      <c r="CR170" s="2128">
        <v>-7.25</v>
      </c>
    </row>
    <row r="171" spans="93:96" ht="13.5">
      <c r="CO171" s="2135">
        <v>45813</v>
      </c>
      <c r="CP171" s="2138" t="s">
        <v>4891</v>
      </c>
      <c r="CQ171" s="2127"/>
      <c r="CR171" s="2128">
        <v>-247</v>
      </c>
    </row>
    <row r="172" spans="93:96" ht="26.25">
      <c r="CO172" s="2135">
        <v>45813</v>
      </c>
      <c r="CP172" s="2138" t="s">
        <v>4892</v>
      </c>
      <c r="CQ172" s="2127"/>
      <c r="CR172" s="2128">
        <v>-7546.06</v>
      </c>
    </row>
    <row r="173" spans="93:96" ht="13.5">
      <c r="CO173" s="2135">
        <v>45812</v>
      </c>
      <c r="CP173" s="2138" t="s">
        <v>4893</v>
      </c>
      <c r="CQ173" s="2127"/>
      <c r="CR173" s="2128">
        <v>-21.99</v>
      </c>
    </row>
    <row r="174" spans="93:96" ht="13.5">
      <c r="CO174" s="2135">
        <v>45812</v>
      </c>
      <c r="CP174" s="2138" t="s">
        <v>4894</v>
      </c>
      <c r="CQ174" s="2127"/>
      <c r="CR174" s="2128">
        <v>-119</v>
      </c>
    </row>
    <row r="175" spans="93:96" ht="13.5">
      <c r="CO175" s="2135">
        <v>45812</v>
      </c>
      <c r="CP175" s="2138" t="s">
        <v>4561</v>
      </c>
      <c r="CQ175" s="2127"/>
      <c r="CR175" s="2128">
        <v>7546.06</v>
      </c>
    </row>
    <row r="176" spans="93:96" ht="13.5">
      <c r="CO176" s="2135">
        <v>45812</v>
      </c>
      <c r="CP176" s="2138" t="s">
        <v>4895</v>
      </c>
      <c r="CQ176" s="2127"/>
      <c r="CR176" s="2128">
        <v>-6.99</v>
      </c>
    </row>
    <row r="177" spans="93:96" ht="13.5">
      <c r="CO177" s="2135">
        <v>45811</v>
      </c>
      <c r="CP177" s="2138" t="s">
        <v>4896</v>
      </c>
      <c r="CQ177" s="2127"/>
      <c r="CR177" s="2128">
        <v>-820</v>
      </c>
    </row>
    <row r="178" spans="93:96" ht="13.5">
      <c r="CO178" s="2135">
        <v>45811</v>
      </c>
      <c r="CP178" s="2138" t="s">
        <v>4897</v>
      </c>
      <c r="CQ178" s="2127"/>
      <c r="CR178" s="2128">
        <v>-75.010000000000005</v>
      </c>
    </row>
    <row r="179" spans="93:96" ht="26.25">
      <c r="CO179" s="2135">
        <v>45811</v>
      </c>
      <c r="CP179" s="2138" t="s">
        <v>4898</v>
      </c>
      <c r="CQ179" s="2127"/>
      <c r="CR179" s="2128">
        <v>-100</v>
      </c>
    </row>
    <row r="180" spans="93:96" ht="26.25">
      <c r="CO180" s="2135">
        <v>45811</v>
      </c>
      <c r="CP180" s="2138" t="s">
        <v>4899</v>
      </c>
      <c r="CQ180" s="2127"/>
      <c r="CR180" s="2128">
        <v>-745.44</v>
      </c>
    </row>
    <row r="181" spans="93:96" ht="13.5">
      <c r="CO181" s="2135">
        <v>45810</v>
      </c>
      <c r="CP181" s="2138" t="s">
        <v>4879</v>
      </c>
      <c r="CQ181" s="2127"/>
      <c r="CR181" s="2128">
        <v>745.44</v>
      </c>
    </row>
    <row r="182" spans="93:96" ht="13.5">
      <c r="CO182" s="2135">
        <v>45810</v>
      </c>
      <c r="CP182" s="2138" t="s">
        <v>4900</v>
      </c>
      <c r="CQ182" s="2127"/>
      <c r="CR182" s="2128">
        <v>-17.97</v>
      </c>
    </row>
    <row r="183" spans="93:96" ht="13.5">
      <c r="CO183" s="2135">
        <v>45810</v>
      </c>
      <c r="CP183" s="2138" t="s">
        <v>4103</v>
      </c>
      <c r="CQ183" s="2127"/>
      <c r="CR183" s="2128">
        <v>-88.06</v>
      </c>
    </row>
    <row r="184" spans="93:96" ht="13.5">
      <c r="CO184" s="2135">
        <v>45810</v>
      </c>
      <c r="CP184" s="2138" t="s">
        <v>4901</v>
      </c>
      <c r="CQ184" s="2127"/>
      <c r="CR184" s="2128">
        <v>67.849999999999994</v>
      </c>
    </row>
    <row r="185" spans="93:96" ht="12.75">
      <c r="CO185" s="2135">
        <v>45810</v>
      </c>
      <c r="CP185" s="2139" t="s">
        <v>4902</v>
      </c>
      <c r="CQ185" s="2127"/>
      <c r="CR185" s="2128">
        <v>-52.49</v>
      </c>
    </row>
    <row r="186" spans="93:96" ht="13.5">
      <c r="CO186" s="2135">
        <v>45810</v>
      </c>
      <c r="CP186" s="2138" t="s">
        <v>4870</v>
      </c>
      <c r="CQ186" s="2127"/>
      <c r="CR186" s="2128">
        <v>-217.16</v>
      </c>
    </row>
    <row r="187" spans="93:96" ht="13.5">
      <c r="CO187" s="2135">
        <v>45810</v>
      </c>
      <c r="CP187" s="2138" t="s">
        <v>4089</v>
      </c>
      <c r="CQ187" s="2127"/>
      <c r="CR187" s="2128">
        <v>-27.47</v>
      </c>
    </row>
    <row r="188" spans="93:96" ht="13.5">
      <c r="CO188" s="2135">
        <v>45810</v>
      </c>
      <c r="CP188" s="2138" t="s">
        <v>4870</v>
      </c>
      <c r="CQ188" s="2127"/>
      <c r="CR188" s="2128">
        <v>217.16</v>
      </c>
    </row>
    <row r="189" spans="93:96" ht="13.5">
      <c r="CO189" s="2135">
        <v>45810</v>
      </c>
      <c r="CP189" s="2138" t="s">
        <v>4903</v>
      </c>
      <c r="CQ189" s="2127"/>
      <c r="CR189" s="2128">
        <v>-100</v>
      </c>
    </row>
    <row r="190" spans="93:96" ht="13.5">
      <c r="CO190" s="2135">
        <v>45810</v>
      </c>
      <c r="CP190" s="2138" t="s">
        <v>4904</v>
      </c>
      <c r="CQ190" s="2127"/>
      <c r="CR190" s="2128">
        <v>32.78</v>
      </c>
    </row>
    <row r="191" spans="93:96" ht="13.5">
      <c r="CO191" s="2135">
        <v>45810</v>
      </c>
      <c r="CP191" s="2138" t="s">
        <v>4904</v>
      </c>
      <c r="CQ191" s="2127"/>
      <c r="CR191" s="2128">
        <v>32.78</v>
      </c>
    </row>
    <row r="192" spans="93:96" ht="13.5">
      <c r="CO192" s="2135">
        <v>45810</v>
      </c>
      <c r="CP192" s="2138" t="s">
        <v>4904</v>
      </c>
      <c r="CQ192" s="2127"/>
      <c r="CR192" s="2128">
        <v>32.78</v>
      </c>
    </row>
    <row r="193" spans="93:96" ht="13.5">
      <c r="CO193" s="2135">
        <v>45809</v>
      </c>
      <c r="CP193" s="2138" t="s">
        <v>4905</v>
      </c>
      <c r="CQ193" s="2127"/>
      <c r="CR193" s="2128">
        <v>-4.79</v>
      </c>
    </row>
    <row r="194" spans="93:96" ht="13.5">
      <c r="CO194" s="2135">
        <v>45809</v>
      </c>
      <c r="CP194" s="2138" t="s">
        <v>4622</v>
      </c>
      <c r="CQ194" s="2127"/>
      <c r="CR194" s="2128">
        <v>-11.99</v>
      </c>
    </row>
    <row r="195" spans="93:96" ht="13.5">
      <c r="CO195" s="2135">
        <v>45809</v>
      </c>
      <c r="CP195" s="2138" t="s">
        <v>4816</v>
      </c>
      <c r="CQ195" s="2127"/>
      <c r="CR195" s="2128">
        <v>-5.45</v>
      </c>
    </row>
    <row r="196" spans="93:96" ht="13.5">
      <c r="CO196" s="2135">
        <v>45809</v>
      </c>
      <c r="CP196" s="2138" t="s">
        <v>4729</v>
      </c>
      <c r="CQ196" s="2127"/>
      <c r="CR196" s="2128">
        <v>-15.66</v>
      </c>
    </row>
    <row r="197" spans="93:96" ht="26.25">
      <c r="CO197" s="2135">
        <v>45809</v>
      </c>
      <c r="CP197" s="2138" t="s">
        <v>4906</v>
      </c>
      <c r="CQ197" s="2127"/>
      <c r="CR197" s="2128">
        <v>-45</v>
      </c>
    </row>
    <row r="198" spans="93:96" ht="26.25">
      <c r="CO198" s="2136">
        <v>45809</v>
      </c>
      <c r="CP198" s="2140" t="s">
        <v>4907</v>
      </c>
      <c r="CQ198" s="2132"/>
      <c r="CR198" s="2133">
        <v>45</v>
      </c>
    </row>
    <row r="199" spans="93:96" ht="11.25"/>
  </sheetData>
  <phoneticPr fontId="4" type="noConversion"/>
  <hyperlinks>
    <hyperlink ref="CP81" r:id="rId1" xr:uid="{5C6CCB45-8499-4388-A196-CFF1C5E43937}"/>
    <hyperlink ref="CP92" r:id="rId2" xr:uid="{BB96600E-DDE4-45F0-A4A3-E2F349BC524F}"/>
    <hyperlink ref="CP185" r:id="rId3" xr:uid="{84D58069-9732-4275-BCE3-143A8775BE97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Monthly!$V$556:$V$584</xm:f>
          </x14:formula1>
          <xm:sqref>BT6:BT78 BX6:BX78 CB5:CB75 CF5:CF78 CF80:CF81 CJ5:CJ82 CN5:CN82 CR5:CR10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>
    <tabColor indexed="51"/>
  </sheetPr>
  <dimension ref="A1:CR112"/>
  <sheetViews>
    <sheetView topLeftCell="CL36" zoomScale="141" zoomScaleNormal="141" workbookViewId="0">
      <selection activeCell="CO9" sqref="CO9:CR9"/>
    </sheetView>
  </sheetViews>
  <sheetFormatPr defaultColWidth="8.85546875" defaultRowHeight="12.75"/>
  <cols>
    <col min="1" max="1" width="9" style="697" bestFit="1" customWidth="1"/>
    <col min="2" max="2" width="31.42578125" style="697" customWidth="1"/>
    <col min="3" max="3" width="13.28515625" style="697" customWidth="1"/>
    <col min="4" max="4" width="14.28515625" style="697" customWidth="1"/>
    <col min="5" max="5" width="8.140625" style="697" customWidth="1"/>
    <col min="6" max="6" width="40" style="697" customWidth="1"/>
    <col min="7" max="7" width="12" style="697" customWidth="1"/>
    <col min="8" max="8" width="12.7109375" style="697" customWidth="1"/>
    <col min="9" max="9" width="9" style="697" bestFit="1" customWidth="1"/>
    <col min="10" max="10" width="33.42578125" style="697" customWidth="1"/>
    <col min="11" max="11" width="11.7109375" style="697" customWidth="1"/>
    <col min="12" max="12" width="13.28515625" style="697" customWidth="1"/>
    <col min="13" max="13" width="9" style="697" bestFit="1" customWidth="1"/>
    <col min="14" max="14" width="33.28515625" style="697" customWidth="1"/>
    <col min="15" max="15" width="11" style="697" customWidth="1"/>
    <col min="16" max="16" width="11.42578125" style="697" customWidth="1"/>
    <col min="17" max="17" width="9" style="697" bestFit="1" customWidth="1"/>
    <col min="18" max="18" width="44.140625" style="697" customWidth="1"/>
    <col min="19" max="19" width="10.140625" style="697" bestFit="1" customWidth="1"/>
    <col min="20" max="21" width="9" style="697" bestFit="1" customWidth="1"/>
    <col min="22" max="22" width="48" style="697" customWidth="1"/>
    <col min="23" max="23" width="12.140625" style="697" customWidth="1"/>
    <col min="24" max="24" width="9" style="697" bestFit="1" customWidth="1"/>
    <col min="25" max="25" width="11" style="697" customWidth="1"/>
    <col min="26" max="26" width="41.85546875" style="697" customWidth="1"/>
    <col min="27" max="27" width="15.140625" style="697" customWidth="1"/>
    <col min="28" max="28" width="11.7109375" style="697" customWidth="1"/>
    <col min="29" max="29" width="9" style="697" bestFit="1" customWidth="1"/>
    <col min="30" max="30" width="54.85546875" style="697" customWidth="1"/>
    <col min="31" max="31" width="11.140625" style="697" customWidth="1"/>
    <col min="32" max="32" width="14.140625" style="697" customWidth="1"/>
    <col min="33" max="33" width="9" style="697" bestFit="1" customWidth="1"/>
    <col min="34" max="34" width="46.85546875" style="697" customWidth="1"/>
    <col min="35" max="35" width="9.85546875" style="697" bestFit="1" customWidth="1"/>
    <col min="36" max="37" width="9" style="697" bestFit="1" customWidth="1"/>
    <col min="38" max="38" width="45" style="697" customWidth="1"/>
    <col min="39" max="39" width="11.42578125" style="697" customWidth="1"/>
    <col min="40" max="41" width="9" style="697" bestFit="1" customWidth="1"/>
    <col min="42" max="42" width="59.85546875" style="697" customWidth="1"/>
    <col min="43" max="43" width="12.28515625" style="697" customWidth="1"/>
    <col min="44" max="45" width="9" style="697" bestFit="1" customWidth="1"/>
    <col min="46" max="46" width="48.140625" style="697" customWidth="1"/>
    <col min="47" max="47" width="12.85546875" style="697" customWidth="1"/>
    <col min="48" max="49" width="9" style="697" bestFit="1" customWidth="1"/>
    <col min="50" max="50" width="57.28515625" style="697" customWidth="1"/>
    <col min="51" max="51" width="10.140625" style="697" bestFit="1" customWidth="1"/>
    <col min="52" max="53" width="9" style="697" bestFit="1" customWidth="1"/>
    <col min="54" max="54" width="57.28515625" style="697" customWidth="1"/>
    <col min="55" max="55" width="10.140625" style="697" bestFit="1" customWidth="1"/>
    <col min="56" max="57" width="9" style="697" bestFit="1" customWidth="1"/>
    <col min="58" max="58" width="57.28515625" style="697" customWidth="1"/>
    <col min="59" max="59" width="11.85546875" style="697" customWidth="1"/>
    <col min="60" max="61" width="9" style="697" bestFit="1" customWidth="1"/>
    <col min="62" max="62" width="57.28515625" style="697" customWidth="1"/>
    <col min="63" max="63" width="11.85546875" style="697" customWidth="1"/>
    <col min="64" max="65" width="9" style="697" bestFit="1" customWidth="1"/>
    <col min="66" max="66" width="57.28515625" style="697" customWidth="1"/>
    <col min="67" max="67" width="11.85546875" style="697" customWidth="1"/>
    <col min="68" max="69" width="9" style="697" bestFit="1" customWidth="1"/>
    <col min="70" max="70" width="57.28515625" style="697" customWidth="1"/>
    <col min="71" max="71" width="11.85546875" style="697" customWidth="1"/>
    <col min="72" max="72" width="13" style="697" customWidth="1"/>
    <col min="73" max="73" width="9" style="697" bestFit="1" customWidth="1"/>
    <col min="74" max="74" width="57.28515625" style="697" customWidth="1"/>
    <col min="75" max="75" width="11.85546875" style="697" customWidth="1"/>
    <col min="76" max="76" width="9" style="697" bestFit="1" customWidth="1"/>
    <col min="77" max="77" width="11.42578125" style="697" customWidth="1"/>
    <col min="78" max="78" width="44" style="697" customWidth="1"/>
    <col min="79" max="81" width="11.42578125" style="697" customWidth="1"/>
    <col min="82" max="82" width="60.28515625" style="697" customWidth="1"/>
    <col min="83" max="85" width="11.42578125" style="697" customWidth="1"/>
    <col min="86" max="86" width="60.28515625" style="697" customWidth="1"/>
    <col min="87" max="88" width="11.42578125" style="697" customWidth="1"/>
    <col min="89" max="89" width="8.85546875" style="697"/>
    <col min="90" max="90" width="61.28515625" style="697" customWidth="1"/>
    <col min="91" max="91" width="16.28515625" style="697" customWidth="1"/>
    <col min="92" max="92" width="13.5703125" style="697" customWidth="1"/>
    <col min="93" max="93" width="9.140625" style="697" bestFit="1" customWidth="1"/>
    <col min="94" max="94" width="57.85546875" style="697" customWidth="1"/>
    <col min="95" max="95" width="22" style="697" customWidth="1"/>
    <col min="96" max="16384" width="8.85546875" style="697"/>
  </cols>
  <sheetData>
    <row r="1" spans="1:96" ht="13.5">
      <c r="A1" s="690"/>
      <c r="B1" s="691" t="s">
        <v>4908</v>
      </c>
      <c r="C1" s="692"/>
      <c r="D1" s="693"/>
      <c r="E1" s="694"/>
      <c r="F1" s="695" t="s">
        <v>4909</v>
      </c>
      <c r="G1" s="694"/>
      <c r="H1" s="696"/>
      <c r="I1" s="694"/>
      <c r="J1" s="695" t="s">
        <v>4910</v>
      </c>
      <c r="K1" s="694"/>
      <c r="L1" s="696"/>
      <c r="M1" s="694"/>
      <c r="N1" s="695" t="s">
        <v>4911</v>
      </c>
      <c r="O1" s="694"/>
      <c r="P1" s="696"/>
      <c r="Q1" s="694"/>
      <c r="R1" s="695" t="s">
        <v>4912</v>
      </c>
      <c r="S1" s="694"/>
      <c r="T1" s="696"/>
      <c r="U1" s="694"/>
      <c r="V1" s="695" t="s">
        <v>4913</v>
      </c>
      <c r="W1" s="694"/>
      <c r="X1" s="696"/>
      <c r="Y1" s="694"/>
      <c r="Z1" s="695" t="s">
        <v>4914</v>
      </c>
      <c r="AA1" s="694"/>
      <c r="AB1" s="696"/>
      <c r="AC1" s="694"/>
      <c r="AD1" s="695" t="s">
        <v>4915</v>
      </c>
      <c r="AE1" s="694"/>
      <c r="AF1" s="696"/>
      <c r="AG1" s="694"/>
      <c r="AH1" s="695" t="s">
        <v>4916</v>
      </c>
      <c r="AI1" s="694"/>
      <c r="AJ1" s="696"/>
      <c r="AK1" s="694"/>
      <c r="AL1" s="695" t="s">
        <v>4917</v>
      </c>
      <c r="AM1" s="694"/>
      <c r="AN1" s="696"/>
      <c r="AO1" s="694"/>
      <c r="AP1" s="695" t="s">
        <v>4918</v>
      </c>
      <c r="AQ1" s="694"/>
      <c r="AR1" s="696"/>
      <c r="AS1" s="694"/>
      <c r="AT1" s="695" t="s">
        <v>4919</v>
      </c>
      <c r="AU1" s="694"/>
      <c r="AV1" s="696"/>
      <c r="AW1" s="694"/>
      <c r="AX1" s="695" t="s">
        <v>4920</v>
      </c>
      <c r="AY1" s="694"/>
      <c r="AZ1" s="696"/>
      <c r="BA1" s="694"/>
      <c r="BB1" s="695" t="s">
        <v>4921</v>
      </c>
      <c r="BC1" s="694"/>
      <c r="BD1" s="696"/>
      <c r="BE1" s="694"/>
      <c r="BF1" s="695" t="s">
        <v>4922</v>
      </c>
      <c r="BG1" s="694"/>
      <c r="BH1" s="696"/>
      <c r="BI1" s="694"/>
      <c r="BJ1" s="695" t="s">
        <v>4923</v>
      </c>
      <c r="BK1" s="694"/>
      <c r="BL1" s="696"/>
      <c r="BM1" s="694"/>
      <c r="BN1" s="695" t="s">
        <v>4924</v>
      </c>
      <c r="BO1" s="694"/>
      <c r="BP1" s="696"/>
      <c r="BQ1" s="698"/>
      <c r="BR1" s="695" t="s">
        <v>4925</v>
      </c>
      <c r="BS1" s="694"/>
      <c r="BT1" s="696"/>
      <c r="BU1" s="694"/>
      <c r="BV1" s="695" t="s">
        <v>4926</v>
      </c>
      <c r="BW1" s="694"/>
      <c r="BX1" s="696"/>
      <c r="BY1" s="694"/>
      <c r="BZ1" s="695" t="s">
        <v>4927</v>
      </c>
      <c r="CA1" s="694"/>
      <c r="CB1" s="696"/>
      <c r="CC1" s="694"/>
      <c r="CD1" s="695" t="s">
        <v>4928</v>
      </c>
      <c r="CE1" s="694"/>
      <c r="CF1" s="696"/>
      <c r="CG1" s="694"/>
      <c r="CH1" s="695" t="s">
        <v>4929</v>
      </c>
      <c r="CI1" s="694"/>
      <c r="CJ1" s="1830"/>
      <c r="CK1" s="1810"/>
      <c r="CL1" s="1811" t="s">
        <v>4930</v>
      </c>
      <c r="CM1" s="1812"/>
      <c r="CN1" s="1813"/>
      <c r="CO1" s="1810"/>
      <c r="CP1" s="1811" t="s">
        <v>4930</v>
      </c>
      <c r="CQ1" s="1812"/>
      <c r="CR1" s="1813"/>
    </row>
    <row r="2" spans="1:96" ht="13.5">
      <c r="A2" s="699" t="s">
        <v>740</v>
      </c>
      <c r="B2" s="700" t="s">
        <v>138</v>
      </c>
      <c r="C2" s="701" t="s">
        <v>741</v>
      </c>
      <c r="D2" s="702" t="s">
        <v>742</v>
      </c>
      <c r="E2" s="863" t="s">
        <v>740</v>
      </c>
      <c r="F2" s="700" t="s">
        <v>138</v>
      </c>
      <c r="G2" s="701" t="s">
        <v>741</v>
      </c>
      <c r="H2" s="702" t="s">
        <v>742</v>
      </c>
      <c r="I2" s="863" t="s">
        <v>740</v>
      </c>
      <c r="J2" s="700" t="s">
        <v>138</v>
      </c>
      <c r="K2" s="701" t="s">
        <v>741</v>
      </c>
      <c r="L2" s="702" t="s">
        <v>742</v>
      </c>
      <c r="M2" s="863" t="s">
        <v>740</v>
      </c>
      <c r="N2" s="700" t="s">
        <v>138</v>
      </c>
      <c r="O2" s="701" t="s">
        <v>741</v>
      </c>
      <c r="P2" s="702" t="s">
        <v>742</v>
      </c>
      <c r="Q2" s="863" t="s">
        <v>740</v>
      </c>
      <c r="R2" s="700" t="s">
        <v>138</v>
      </c>
      <c r="S2" s="701" t="s">
        <v>741</v>
      </c>
      <c r="T2" s="702" t="s">
        <v>742</v>
      </c>
      <c r="U2" s="863" t="s">
        <v>740</v>
      </c>
      <c r="V2" s="700" t="s">
        <v>138</v>
      </c>
      <c r="W2" s="701" t="s">
        <v>741</v>
      </c>
      <c r="X2" s="702" t="s">
        <v>742</v>
      </c>
      <c r="Y2" s="863" t="s">
        <v>740</v>
      </c>
      <c r="Z2" s="700" t="s">
        <v>138</v>
      </c>
      <c r="AA2" s="701" t="s">
        <v>741</v>
      </c>
      <c r="AB2" s="702" t="s">
        <v>742</v>
      </c>
      <c r="AC2" s="863" t="s">
        <v>740</v>
      </c>
      <c r="AD2" s="700" t="s">
        <v>138</v>
      </c>
      <c r="AE2" s="701" t="s">
        <v>741</v>
      </c>
      <c r="AF2" s="702" t="s">
        <v>742</v>
      </c>
      <c r="AG2" s="863" t="s">
        <v>740</v>
      </c>
      <c r="AH2" s="700" t="s">
        <v>138</v>
      </c>
      <c r="AI2" s="701" t="s">
        <v>741</v>
      </c>
      <c r="AJ2" s="702" t="s">
        <v>742</v>
      </c>
      <c r="AK2" s="863" t="s">
        <v>740</v>
      </c>
      <c r="AL2" s="700" t="s">
        <v>138</v>
      </c>
      <c r="AM2" s="701" t="s">
        <v>741</v>
      </c>
      <c r="AN2" s="702" t="s">
        <v>742</v>
      </c>
      <c r="AO2" s="863" t="s">
        <v>740</v>
      </c>
      <c r="AP2" s="700" t="s">
        <v>138</v>
      </c>
      <c r="AQ2" s="701" t="s">
        <v>741</v>
      </c>
      <c r="AR2" s="702" t="s">
        <v>742</v>
      </c>
      <c r="AS2" s="863" t="s">
        <v>740</v>
      </c>
      <c r="AT2" s="700" t="s">
        <v>138</v>
      </c>
      <c r="AU2" s="701" t="s">
        <v>741</v>
      </c>
      <c r="AV2" s="702" t="s">
        <v>742</v>
      </c>
      <c r="AW2" s="863" t="s">
        <v>740</v>
      </c>
      <c r="AX2" s="700" t="s">
        <v>138</v>
      </c>
      <c r="AY2" s="701" t="s">
        <v>741</v>
      </c>
      <c r="AZ2" s="702" t="s">
        <v>742</v>
      </c>
      <c r="BA2" s="863" t="s">
        <v>740</v>
      </c>
      <c r="BB2" s="700" t="s">
        <v>138</v>
      </c>
      <c r="BC2" s="701" t="s">
        <v>741</v>
      </c>
      <c r="BD2" s="702" t="s">
        <v>742</v>
      </c>
      <c r="BE2" s="863" t="s">
        <v>740</v>
      </c>
      <c r="BF2" s="700" t="s">
        <v>138</v>
      </c>
      <c r="BG2" s="701" t="s">
        <v>741</v>
      </c>
      <c r="BH2" s="702" t="s">
        <v>742</v>
      </c>
      <c r="BI2" s="863" t="s">
        <v>740</v>
      </c>
      <c r="BJ2" s="700" t="s">
        <v>138</v>
      </c>
      <c r="BK2" s="701" t="s">
        <v>741</v>
      </c>
      <c r="BL2" s="702" t="s">
        <v>742</v>
      </c>
      <c r="BM2" s="863" t="s">
        <v>740</v>
      </c>
      <c r="BN2" s="700" t="s">
        <v>138</v>
      </c>
      <c r="BO2" s="701" t="s">
        <v>741</v>
      </c>
      <c r="BP2" s="702" t="s">
        <v>742</v>
      </c>
      <c r="BQ2" s="863" t="s">
        <v>740</v>
      </c>
      <c r="BR2" s="700" t="s">
        <v>138</v>
      </c>
      <c r="BS2" s="701" t="s">
        <v>741</v>
      </c>
      <c r="BT2" s="702" t="s">
        <v>742</v>
      </c>
      <c r="BU2" s="863" t="s">
        <v>740</v>
      </c>
      <c r="BV2" s="700" t="s">
        <v>138</v>
      </c>
      <c r="BW2" s="701" t="s">
        <v>741</v>
      </c>
      <c r="BX2" s="702" t="s">
        <v>742</v>
      </c>
      <c r="BY2" s="863" t="s">
        <v>740</v>
      </c>
      <c r="BZ2" s="700" t="s">
        <v>138</v>
      </c>
      <c r="CA2" s="701" t="s">
        <v>741</v>
      </c>
      <c r="CB2" s="702" t="s">
        <v>742</v>
      </c>
      <c r="CC2" s="863" t="s">
        <v>740</v>
      </c>
      <c r="CD2" s="700" t="s">
        <v>138</v>
      </c>
      <c r="CE2" s="701" t="s">
        <v>741</v>
      </c>
      <c r="CF2" s="702" t="s">
        <v>742</v>
      </c>
      <c r="CG2" s="863" t="s">
        <v>740</v>
      </c>
      <c r="CH2" s="700" t="s">
        <v>138</v>
      </c>
      <c r="CI2" s="701" t="s">
        <v>741</v>
      </c>
      <c r="CJ2" s="752" t="s">
        <v>742</v>
      </c>
      <c r="CK2" s="1814" t="s">
        <v>740</v>
      </c>
      <c r="CL2" s="700" t="s">
        <v>138</v>
      </c>
      <c r="CM2" s="701" t="s">
        <v>741</v>
      </c>
      <c r="CN2" s="1815" t="s">
        <v>742</v>
      </c>
      <c r="CO2" s="1814" t="s">
        <v>740</v>
      </c>
      <c r="CP2" s="700" t="s">
        <v>138</v>
      </c>
      <c r="CQ2" s="701" t="s">
        <v>741</v>
      </c>
      <c r="CR2" s="1815" t="s">
        <v>742</v>
      </c>
    </row>
    <row r="3" spans="1:96" ht="13.5">
      <c r="A3" s="704"/>
      <c r="B3" s="704"/>
      <c r="C3" s="705"/>
      <c r="D3" s="706"/>
      <c r="E3" s="707"/>
      <c r="F3" s="708"/>
      <c r="G3" s="709"/>
      <c r="H3" s="707"/>
      <c r="I3" s="707"/>
      <c r="J3" s="708"/>
      <c r="K3" s="709"/>
      <c r="L3" s="707"/>
      <c r="M3" s="707"/>
      <c r="N3" s="708"/>
      <c r="O3" s="709"/>
      <c r="P3" s="707"/>
      <c r="Q3" s="707"/>
      <c r="R3" s="708"/>
      <c r="S3" s="709"/>
      <c r="T3" s="707"/>
      <c r="U3" s="707"/>
      <c r="V3" s="708"/>
      <c r="W3" s="709"/>
      <c r="X3" s="707"/>
      <c r="Y3" s="707"/>
      <c r="Z3" s="708"/>
      <c r="AA3" s="709"/>
      <c r="AB3" s="707"/>
      <c r="AC3" s="707"/>
      <c r="AD3" s="708"/>
      <c r="AE3" s="709"/>
      <c r="AF3" s="707"/>
      <c r="AG3" s="707"/>
      <c r="AH3" s="708"/>
      <c r="AI3" s="709"/>
      <c r="AJ3" s="707"/>
      <c r="AK3" s="707"/>
      <c r="AL3" s="708"/>
      <c r="AM3" s="709"/>
      <c r="AN3" s="707"/>
      <c r="AO3" s="707"/>
      <c r="AP3" s="708"/>
      <c r="AQ3" s="709"/>
      <c r="AR3" s="707"/>
      <c r="AS3" s="707"/>
      <c r="AT3" s="708"/>
      <c r="AU3" s="709"/>
      <c r="AV3" s="707"/>
      <c r="AW3" s="707"/>
      <c r="AX3" s="708"/>
      <c r="AY3" s="709"/>
      <c r="AZ3" s="707"/>
      <c r="BA3" s="707"/>
      <c r="BB3" s="708"/>
      <c r="BC3" s="709"/>
      <c r="BD3" s="707"/>
      <c r="BE3" s="707"/>
      <c r="BF3" s="700"/>
      <c r="BG3" s="709"/>
      <c r="BH3" s="707"/>
      <c r="BI3" s="707"/>
      <c r="BJ3" s="700"/>
      <c r="BK3" s="709"/>
      <c r="BL3" s="707"/>
      <c r="BM3" s="707"/>
      <c r="BN3" s="700"/>
      <c r="BO3" s="709"/>
      <c r="BP3" s="707"/>
      <c r="BQ3" s="864"/>
      <c r="BR3" s="865"/>
      <c r="BS3" s="866"/>
      <c r="BT3" s="867"/>
      <c r="BU3" s="867"/>
      <c r="BV3" s="868"/>
      <c r="BW3" s="866"/>
      <c r="BX3" s="869"/>
      <c r="BY3" s="867"/>
      <c r="BZ3" s="868"/>
      <c r="CA3" s="866"/>
      <c r="CB3" s="869"/>
      <c r="CC3" s="867"/>
      <c r="CD3" s="868"/>
      <c r="CE3" s="866"/>
      <c r="CF3" s="869"/>
      <c r="CG3" s="867"/>
      <c r="CH3" s="868"/>
      <c r="CI3" s="866"/>
      <c r="CJ3" s="1831"/>
      <c r="CK3" s="1816"/>
      <c r="CL3" s="868"/>
      <c r="CM3" s="866"/>
      <c r="CN3" s="1817"/>
      <c r="CO3" s="1816"/>
      <c r="CP3" s="868"/>
      <c r="CQ3" s="866"/>
      <c r="CR3" s="1817"/>
    </row>
    <row r="4" spans="1:96" ht="13.5">
      <c r="A4" s="1769">
        <v>37438</v>
      </c>
      <c r="B4" s="1711" t="s">
        <v>4931</v>
      </c>
      <c r="C4" s="1716"/>
      <c r="D4" s="1717">
        <v>130.54</v>
      </c>
      <c r="E4" s="1702"/>
      <c r="F4" s="1736"/>
      <c r="G4" s="1704"/>
      <c r="H4" s="1705"/>
      <c r="I4" s="1702"/>
      <c r="J4" s="1736"/>
      <c r="K4" s="1704"/>
      <c r="L4" s="1705"/>
      <c r="M4" s="1702"/>
      <c r="N4" s="1736"/>
      <c r="O4" s="1704"/>
      <c r="P4" s="1705"/>
      <c r="Q4" s="1702"/>
      <c r="R4" s="1736"/>
      <c r="S4" s="1704"/>
      <c r="T4" s="1705"/>
      <c r="U4" s="1702"/>
      <c r="V4" s="1736"/>
      <c r="W4" s="1704"/>
      <c r="X4" s="1705"/>
      <c r="Y4" s="1702"/>
      <c r="Z4" s="1736"/>
      <c r="AA4" s="1704"/>
      <c r="AB4" s="1705"/>
      <c r="AC4" s="1702"/>
      <c r="AD4" s="1736"/>
      <c r="AE4" s="1704"/>
      <c r="AF4" s="1705"/>
      <c r="AG4" s="1702"/>
      <c r="AH4" s="1736"/>
      <c r="AI4" s="1704"/>
      <c r="AJ4" s="1705"/>
      <c r="AK4" s="1702"/>
      <c r="AL4" s="1736"/>
      <c r="AM4" s="1704"/>
      <c r="AN4" s="1705"/>
      <c r="AO4" s="1702"/>
      <c r="AP4" s="1736"/>
      <c r="AQ4" s="1704"/>
      <c r="AR4" s="1705"/>
      <c r="AS4" s="1702"/>
      <c r="AT4" s="1736"/>
      <c r="AU4" s="1704"/>
      <c r="AV4" s="1705"/>
      <c r="AW4" s="1702"/>
      <c r="AX4" s="1736"/>
      <c r="AY4" s="1704"/>
      <c r="AZ4" s="1705"/>
      <c r="BA4" s="1702"/>
      <c r="BB4" s="1736"/>
      <c r="BC4" s="1704"/>
      <c r="BD4" s="1705"/>
      <c r="BE4" s="1702"/>
      <c r="BF4" s="1770"/>
      <c r="BG4" s="1716"/>
      <c r="BH4" s="1705"/>
      <c r="BI4" s="1702"/>
      <c r="BJ4" s="1770"/>
      <c r="BK4" s="1716"/>
      <c r="BL4" s="1705"/>
      <c r="BM4" s="1702"/>
      <c r="BN4" s="1770"/>
      <c r="BO4" s="1716"/>
      <c r="BP4" s="1705"/>
      <c r="BQ4" s="1706">
        <v>43647</v>
      </c>
      <c r="BR4" s="1707" t="s">
        <v>759</v>
      </c>
      <c r="BS4" s="1708">
        <v>295</v>
      </c>
      <c r="BT4" s="1709" t="s">
        <v>689</v>
      </c>
      <c r="BU4" s="1706">
        <v>43647</v>
      </c>
      <c r="BV4" s="1707" t="s">
        <v>759</v>
      </c>
      <c r="BW4" s="1708">
        <v>295</v>
      </c>
      <c r="BX4" s="1709" t="s">
        <v>689</v>
      </c>
      <c r="BY4" s="1706">
        <v>43647</v>
      </c>
      <c r="BZ4" s="1707" t="s">
        <v>759</v>
      </c>
      <c r="CA4" s="1708">
        <v>0</v>
      </c>
      <c r="CB4" s="1709" t="s">
        <v>689</v>
      </c>
      <c r="CC4" s="1706">
        <v>43647</v>
      </c>
      <c r="CD4" s="1707" t="s">
        <v>759</v>
      </c>
      <c r="CE4" s="1708">
        <v>0</v>
      </c>
      <c r="CF4" s="1709" t="s">
        <v>689</v>
      </c>
      <c r="CG4" s="1706">
        <v>43647</v>
      </c>
      <c r="CH4" s="1707" t="s">
        <v>4932</v>
      </c>
      <c r="CI4" s="1708">
        <v>949</v>
      </c>
      <c r="CJ4" s="1785" t="s">
        <v>689</v>
      </c>
      <c r="CK4" s="1818">
        <v>45474</v>
      </c>
      <c r="CL4" s="1707" t="s">
        <v>759</v>
      </c>
      <c r="CM4" s="1708">
        <v>1400</v>
      </c>
      <c r="CN4" s="1819" t="s">
        <v>689</v>
      </c>
      <c r="CO4" s="1818">
        <v>45474</v>
      </c>
      <c r="CP4" s="1707" t="s">
        <v>759</v>
      </c>
      <c r="CQ4" s="1708">
        <v>1400</v>
      </c>
      <c r="CR4" s="1819" t="s">
        <v>689</v>
      </c>
    </row>
    <row r="5" spans="1:96" ht="13.5">
      <c r="A5" s="1769">
        <v>37438</v>
      </c>
      <c r="B5" s="1711" t="s">
        <v>276</v>
      </c>
      <c r="C5" s="1716">
        <v>422</v>
      </c>
      <c r="D5" s="1717">
        <v>386</v>
      </c>
      <c r="E5" s="1702">
        <v>37803</v>
      </c>
      <c r="F5" s="1711" t="s">
        <v>556</v>
      </c>
      <c r="G5" s="1704">
        <v>1075</v>
      </c>
      <c r="H5" s="1705"/>
      <c r="I5" s="1702">
        <v>37803</v>
      </c>
      <c r="J5" s="1711" t="s">
        <v>56</v>
      </c>
      <c r="K5" s="1704">
        <v>585</v>
      </c>
      <c r="L5" s="1705">
        <v>312</v>
      </c>
      <c r="M5" s="1702">
        <v>38534</v>
      </c>
      <c r="N5" s="1711" t="s">
        <v>4933</v>
      </c>
      <c r="O5" s="1704">
        <v>68</v>
      </c>
      <c r="P5" s="1705"/>
      <c r="Q5" s="1702">
        <v>38899</v>
      </c>
      <c r="R5" s="1711" t="s">
        <v>4934</v>
      </c>
      <c r="S5" s="1704">
        <v>7</v>
      </c>
      <c r="T5" s="1705"/>
      <c r="U5" s="1702">
        <v>38899</v>
      </c>
      <c r="V5" s="1711" t="s">
        <v>4935</v>
      </c>
      <c r="W5" s="1704">
        <v>372</v>
      </c>
      <c r="X5" s="1705"/>
      <c r="Y5" s="1702">
        <v>39632</v>
      </c>
      <c r="Z5" s="1711" t="s">
        <v>4936</v>
      </c>
      <c r="AA5" s="1704">
        <v>35</v>
      </c>
      <c r="AB5" s="1705"/>
      <c r="AC5" s="1702">
        <v>39995</v>
      </c>
      <c r="AD5" s="1711" t="s">
        <v>4937</v>
      </c>
      <c r="AE5" s="1704">
        <v>115</v>
      </c>
      <c r="AF5" s="1705"/>
      <c r="AG5" s="1702">
        <v>40360</v>
      </c>
      <c r="AH5" s="1711" t="s">
        <v>4938</v>
      </c>
      <c r="AI5" s="1704">
        <v>190</v>
      </c>
      <c r="AJ5" s="1705"/>
      <c r="AK5" s="1702">
        <v>40726</v>
      </c>
      <c r="AL5" s="1711" t="s">
        <v>4939</v>
      </c>
      <c r="AM5" s="1704">
        <v>10</v>
      </c>
      <c r="AN5" s="1705"/>
      <c r="AO5" s="1702">
        <v>41091</v>
      </c>
      <c r="AP5" s="1711" t="s">
        <v>781</v>
      </c>
      <c r="AQ5" s="1704">
        <v>35</v>
      </c>
      <c r="AR5" s="1705"/>
      <c r="AS5" s="1702">
        <v>41458</v>
      </c>
      <c r="AT5" s="1711" t="s">
        <v>4940</v>
      </c>
      <c r="AU5" s="1704">
        <v>83</v>
      </c>
      <c r="AV5" s="1705"/>
      <c r="AW5" s="1702">
        <v>41821</v>
      </c>
      <c r="AX5" s="1736" t="s">
        <v>4941</v>
      </c>
      <c r="AY5" s="1704">
        <v>1040</v>
      </c>
      <c r="AZ5" s="1705"/>
      <c r="BA5" s="1702">
        <v>42186</v>
      </c>
      <c r="BB5" s="1736" t="s">
        <v>4942</v>
      </c>
      <c r="BC5" s="1704">
        <v>35</v>
      </c>
      <c r="BD5" s="1705"/>
      <c r="BE5" s="1702">
        <v>42552</v>
      </c>
      <c r="BF5" s="1711" t="s">
        <v>4943</v>
      </c>
      <c r="BG5" s="1716">
        <v>385</v>
      </c>
      <c r="BH5" s="1705"/>
      <c r="BI5" s="1702">
        <v>42917</v>
      </c>
      <c r="BJ5" s="1711" t="s">
        <v>4944</v>
      </c>
      <c r="BK5" s="1716">
        <v>375</v>
      </c>
      <c r="BL5" s="1705"/>
      <c r="BM5" s="1702">
        <v>42917</v>
      </c>
      <c r="BN5" s="1736" t="s">
        <v>4945</v>
      </c>
      <c r="BO5" s="1716">
        <v>1848</v>
      </c>
      <c r="BP5" s="1705"/>
      <c r="BQ5" s="1702">
        <v>43647</v>
      </c>
      <c r="BR5" s="1703" t="s">
        <v>4946</v>
      </c>
      <c r="BS5" s="1704">
        <v>1495</v>
      </c>
      <c r="BT5" s="1710" t="s">
        <v>706</v>
      </c>
      <c r="BU5" s="1702">
        <v>44013</v>
      </c>
      <c r="BV5" s="1703" t="s">
        <v>4947</v>
      </c>
      <c r="BW5" s="1704">
        <v>0</v>
      </c>
      <c r="BX5" s="1710" t="s">
        <v>689</v>
      </c>
      <c r="BY5" s="1702">
        <v>44013</v>
      </c>
      <c r="BZ5" s="1703" t="s">
        <v>4947</v>
      </c>
      <c r="CA5" s="1704">
        <v>0</v>
      </c>
      <c r="CB5" s="1710" t="s">
        <v>689</v>
      </c>
      <c r="CC5" s="1702">
        <v>44013</v>
      </c>
      <c r="CD5" s="1703" t="s">
        <v>4948</v>
      </c>
      <c r="CE5" s="1704">
        <v>995</v>
      </c>
      <c r="CF5" s="1710" t="s">
        <v>689</v>
      </c>
      <c r="CG5" s="1702">
        <v>44013</v>
      </c>
      <c r="CH5" s="1703" t="s">
        <v>4949</v>
      </c>
      <c r="CI5" s="1704">
        <v>525</v>
      </c>
      <c r="CJ5" s="1788" t="s">
        <v>689</v>
      </c>
      <c r="CK5" s="1818">
        <v>45474</v>
      </c>
      <c r="CL5" s="1711" t="s">
        <v>4950</v>
      </c>
      <c r="CM5" s="1704">
        <v>3000</v>
      </c>
      <c r="CN5" s="1819" t="s">
        <v>689</v>
      </c>
      <c r="CO5" s="1818">
        <v>45474</v>
      </c>
      <c r="CP5" s="1711" t="s">
        <v>4950</v>
      </c>
      <c r="CQ5" s="1704">
        <v>3000</v>
      </c>
      <c r="CR5" s="1819" t="s">
        <v>689</v>
      </c>
    </row>
    <row r="6" spans="1:96" ht="13.5">
      <c r="A6" s="1769">
        <v>37438</v>
      </c>
      <c r="B6" s="1711" t="s">
        <v>400</v>
      </c>
      <c r="C6" s="1716">
        <v>0</v>
      </c>
      <c r="D6" s="1717">
        <v>100</v>
      </c>
      <c r="E6" s="1702">
        <v>37803</v>
      </c>
      <c r="F6" s="1711" t="s">
        <v>276</v>
      </c>
      <c r="G6" s="1704">
        <v>821</v>
      </c>
      <c r="H6" s="1705">
        <v>485</v>
      </c>
      <c r="I6" s="1702">
        <v>37803</v>
      </c>
      <c r="J6" s="1711" t="s">
        <v>276</v>
      </c>
      <c r="K6" s="1704">
        <v>0</v>
      </c>
      <c r="L6" s="1705">
        <v>0</v>
      </c>
      <c r="M6" s="1702">
        <v>38534</v>
      </c>
      <c r="N6" s="1711" t="s">
        <v>4951</v>
      </c>
      <c r="O6" s="1704">
        <v>11</v>
      </c>
      <c r="P6" s="1705"/>
      <c r="Q6" s="1702">
        <v>38899</v>
      </c>
      <c r="R6" s="1711" t="s">
        <v>4952</v>
      </c>
      <c r="S6" s="1704">
        <v>6</v>
      </c>
      <c r="T6" s="1705"/>
      <c r="U6" s="1702">
        <v>38899</v>
      </c>
      <c r="V6" s="1711" t="s">
        <v>4953</v>
      </c>
      <c r="W6" s="1704">
        <v>90</v>
      </c>
      <c r="X6" s="1705"/>
      <c r="Y6" s="1702">
        <v>39632</v>
      </c>
      <c r="Z6" s="1711" t="s">
        <v>4954</v>
      </c>
      <c r="AA6" s="1704">
        <v>8</v>
      </c>
      <c r="AB6" s="1705"/>
      <c r="AC6" s="1702">
        <v>39995</v>
      </c>
      <c r="AD6" s="1711" t="s">
        <v>4955</v>
      </c>
      <c r="AE6" s="1704">
        <v>36</v>
      </c>
      <c r="AF6" s="1705"/>
      <c r="AG6" s="1702">
        <v>40362</v>
      </c>
      <c r="AH6" s="1711" t="s">
        <v>4956</v>
      </c>
      <c r="AI6" s="1704">
        <v>138</v>
      </c>
      <c r="AJ6" s="1705"/>
      <c r="AK6" s="1702">
        <v>40726</v>
      </c>
      <c r="AL6" s="1711" t="s">
        <v>2005</v>
      </c>
      <c r="AM6" s="1704">
        <v>100</v>
      </c>
      <c r="AN6" s="1705"/>
      <c r="AO6" s="1702">
        <v>41091</v>
      </c>
      <c r="AP6" s="1711" t="s">
        <v>4957</v>
      </c>
      <c r="AQ6" s="1704">
        <v>20</v>
      </c>
      <c r="AR6" s="1705"/>
      <c r="AS6" s="1702">
        <v>41459</v>
      </c>
      <c r="AT6" s="1711" t="s">
        <v>2397</v>
      </c>
      <c r="AU6" s="1704">
        <v>42</v>
      </c>
      <c r="AV6" s="1705"/>
      <c r="AW6" s="1702">
        <v>41821</v>
      </c>
      <c r="AX6" s="1711" t="s">
        <v>4958</v>
      </c>
      <c r="AY6" s="1704">
        <v>7</v>
      </c>
      <c r="AZ6" s="1705"/>
      <c r="BA6" s="1702">
        <v>42186</v>
      </c>
      <c r="BB6" s="1711" t="s">
        <v>802</v>
      </c>
      <c r="BC6" s="1704">
        <v>35</v>
      </c>
      <c r="BD6" s="1705"/>
      <c r="BE6" s="1702">
        <v>42552</v>
      </c>
      <c r="BF6" s="1711" t="s">
        <v>4959</v>
      </c>
      <c r="BG6" s="1716">
        <v>704</v>
      </c>
      <c r="BH6" s="1705"/>
      <c r="BI6" s="1702">
        <v>42917</v>
      </c>
      <c r="BJ6" s="1711" t="s">
        <v>4960</v>
      </c>
      <c r="BK6" s="1716">
        <v>375</v>
      </c>
      <c r="BL6" s="1705"/>
      <c r="BM6" s="1702">
        <v>43282</v>
      </c>
      <c r="BN6" s="1736" t="s">
        <v>4961</v>
      </c>
      <c r="BO6" s="1716"/>
      <c r="BP6" s="1705"/>
      <c r="BQ6" s="1702">
        <v>43647</v>
      </c>
      <c r="BR6" s="1736" t="s">
        <v>4962</v>
      </c>
      <c r="BS6" s="1716">
        <v>9</v>
      </c>
      <c r="BT6" s="1710" t="s">
        <v>700</v>
      </c>
      <c r="BU6" s="1702">
        <v>44013</v>
      </c>
      <c r="BV6" s="1711" t="s">
        <v>777</v>
      </c>
      <c r="BW6" s="1704">
        <v>288</v>
      </c>
      <c r="BX6" s="1710" t="s">
        <v>689</v>
      </c>
      <c r="BY6" s="1702">
        <v>44013</v>
      </c>
      <c r="BZ6" s="1711" t="s">
        <v>777</v>
      </c>
      <c r="CA6" s="1704">
        <v>308</v>
      </c>
      <c r="CB6" s="1710" t="s">
        <v>689</v>
      </c>
      <c r="CC6" s="1702">
        <v>44013</v>
      </c>
      <c r="CD6" s="1711" t="s">
        <v>4963</v>
      </c>
      <c r="CE6" s="1704">
        <v>308</v>
      </c>
      <c r="CF6" s="1710" t="s">
        <v>689</v>
      </c>
      <c r="CG6" s="1702">
        <v>44013</v>
      </c>
      <c r="CH6" s="1711" t="s">
        <v>4964</v>
      </c>
      <c r="CI6" s="1704">
        <v>720</v>
      </c>
      <c r="CJ6" s="1788" t="s">
        <v>689</v>
      </c>
      <c r="CK6" s="1818">
        <v>45474</v>
      </c>
      <c r="CL6" s="1711" t="s">
        <v>4965</v>
      </c>
      <c r="CM6" s="1704">
        <v>900</v>
      </c>
      <c r="CN6" s="1819" t="s">
        <v>689</v>
      </c>
      <c r="CO6" s="1818">
        <v>45474</v>
      </c>
      <c r="CP6" s="1711" t="s">
        <v>4965</v>
      </c>
      <c r="CQ6" s="1704">
        <v>900</v>
      </c>
      <c r="CR6" s="1819" t="s">
        <v>689</v>
      </c>
    </row>
    <row r="7" spans="1:96" ht="13.5">
      <c r="A7" s="1769">
        <v>37445</v>
      </c>
      <c r="B7" s="1711" t="s">
        <v>4966</v>
      </c>
      <c r="C7" s="1716">
        <v>150</v>
      </c>
      <c r="D7" s="1717"/>
      <c r="E7" s="1702">
        <v>37803</v>
      </c>
      <c r="F7" s="1711" t="s">
        <v>400</v>
      </c>
      <c r="G7" s="1704">
        <v>0</v>
      </c>
      <c r="H7" s="1705">
        <v>200</v>
      </c>
      <c r="I7" s="1702">
        <v>37803</v>
      </c>
      <c r="J7" s="1711" t="s">
        <v>400</v>
      </c>
      <c r="K7" s="1704">
        <v>0</v>
      </c>
      <c r="L7" s="1705">
        <v>297</v>
      </c>
      <c r="M7" s="1702">
        <v>38535</v>
      </c>
      <c r="N7" s="1711" t="s">
        <v>4967</v>
      </c>
      <c r="O7" s="1704">
        <v>15</v>
      </c>
      <c r="P7" s="1705"/>
      <c r="Q7" s="1702">
        <v>38899</v>
      </c>
      <c r="R7" s="1711" t="s">
        <v>797</v>
      </c>
      <c r="S7" s="1704">
        <v>43</v>
      </c>
      <c r="T7" s="1705"/>
      <c r="U7" s="1702">
        <v>38899</v>
      </c>
      <c r="V7" s="1711" t="s">
        <v>4968</v>
      </c>
      <c r="W7" s="1704">
        <v>158</v>
      </c>
      <c r="X7" s="1705"/>
      <c r="Y7" s="1702">
        <v>39632</v>
      </c>
      <c r="Z7" s="1711" t="s">
        <v>886</v>
      </c>
      <c r="AA7" s="1704">
        <v>38</v>
      </c>
      <c r="AB7" s="1705"/>
      <c r="AC7" s="1702">
        <v>39995</v>
      </c>
      <c r="AD7" s="1711" t="s">
        <v>802</v>
      </c>
      <c r="AE7" s="1704">
        <v>8</v>
      </c>
      <c r="AF7" s="1705"/>
      <c r="AG7" s="1702">
        <v>40362</v>
      </c>
      <c r="AH7" s="1711" t="s">
        <v>4969</v>
      </c>
      <c r="AI7" s="1704">
        <v>11</v>
      </c>
      <c r="AJ7" s="1705"/>
      <c r="AK7" s="1702">
        <v>40726</v>
      </c>
      <c r="AL7" s="1711" t="s">
        <v>786</v>
      </c>
      <c r="AM7" s="1704">
        <v>38</v>
      </c>
      <c r="AN7" s="1705"/>
      <c r="AO7" s="1702">
        <v>41091</v>
      </c>
      <c r="AP7" s="1711" t="s">
        <v>772</v>
      </c>
      <c r="AQ7" s="1704">
        <v>60</v>
      </c>
      <c r="AR7" s="1705"/>
      <c r="AS7" s="1702">
        <v>41459</v>
      </c>
      <c r="AT7" s="1711" t="s">
        <v>4970</v>
      </c>
      <c r="AU7" s="1704">
        <v>86</v>
      </c>
      <c r="AV7" s="1705"/>
      <c r="AW7" s="1702">
        <v>41821</v>
      </c>
      <c r="AX7" s="1711" t="s">
        <v>4971</v>
      </c>
      <c r="AY7" s="1704">
        <v>12</v>
      </c>
      <c r="AZ7" s="1705"/>
      <c r="BA7" s="1702">
        <v>42186</v>
      </c>
      <c r="BB7" s="1711" t="s">
        <v>4972</v>
      </c>
      <c r="BC7" s="1704">
        <v>125</v>
      </c>
      <c r="BD7" s="1705"/>
      <c r="BE7" s="1702">
        <v>42552</v>
      </c>
      <c r="BF7" s="1711" t="s">
        <v>4973</v>
      </c>
      <c r="BG7" s="1716">
        <v>465</v>
      </c>
      <c r="BH7" s="1705"/>
      <c r="BI7" s="1702">
        <v>42917</v>
      </c>
      <c r="BJ7" s="1711" t="s">
        <v>4974</v>
      </c>
      <c r="BK7" s="1716">
        <v>375</v>
      </c>
      <c r="BL7" s="1705"/>
      <c r="BM7" s="1702">
        <v>43282</v>
      </c>
      <c r="BN7" s="1736" t="s">
        <v>890</v>
      </c>
      <c r="BO7" s="1716">
        <v>17</v>
      </c>
      <c r="BP7" s="1705"/>
      <c r="BQ7" s="1702">
        <v>43648</v>
      </c>
      <c r="BR7" s="1736" t="s">
        <v>4975</v>
      </c>
      <c r="BS7" s="1716">
        <v>20</v>
      </c>
      <c r="BT7" s="1710" t="s">
        <v>280</v>
      </c>
      <c r="BU7" s="1702">
        <v>44013</v>
      </c>
      <c r="BV7" s="1711" t="s">
        <v>792</v>
      </c>
      <c r="BW7" s="1704">
        <v>30</v>
      </c>
      <c r="BX7" s="1710" t="s">
        <v>689</v>
      </c>
      <c r="BY7" s="1702">
        <v>44013</v>
      </c>
      <c r="BZ7" s="1711" t="s">
        <v>792</v>
      </c>
      <c r="CA7" s="1704">
        <v>0</v>
      </c>
      <c r="CB7" s="1710" t="s">
        <v>689</v>
      </c>
      <c r="CC7" s="1702">
        <v>44013</v>
      </c>
      <c r="CD7" s="1711" t="s">
        <v>4976</v>
      </c>
      <c r="CE7" s="1704">
        <v>1700</v>
      </c>
      <c r="CF7" s="1710" t="s">
        <v>689</v>
      </c>
      <c r="CG7" s="1702">
        <v>44013</v>
      </c>
      <c r="CH7" s="1711" t="s">
        <v>3221</v>
      </c>
      <c r="CI7" s="1704">
        <v>68</v>
      </c>
      <c r="CJ7" s="1788" t="s">
        <v>689</v>
      </c>
      <c r="CK7" s="1818">
        <v>45474</v>
      </c>
      <c r="CL7" s="1711" t="s">
        <v>792</v>
      </c>
      <c r="CM7" s="1704">
        <v>0</v>
      </c>
      <c r="CN7" s="1819" t="s">
        <v>689</v>
      </c>
      <c r="CO7" s="1818">
        <v>45474</v>
      </c>
      <c r="CP7" s="1711" t="s">
        <v>792</v>
      </c>
      <c r="CQ7" s="1704">
        <v>0</v>
      </c>
      <c r="CR7" s="1819" t="s">
        <v>689</v>
      </c>
    </row>
    <row r="8" spans="1:96" ht="13.5">
      <c r="A8" s="1769">
        <v>37810</v>
      </c>
      <c r="B8" s="1711" t="s">
        <v>413</v>
      </c>
      <c r="C8" s="1716">
        <v>25</v>
      </c>
      <c r="D8" s="1717">
        <v>25</v>
      </c>
      <c r="E8" s="1702">
        <v>37803</v>
      </c>
      <c r="F8" s="1711" t="s">
        <v>413</v>
      </c>
      <c r="G8" s="1716">
        <v>5</v>
      </c>
      <c r="H8" s="1717">
        <v>25</v>
      </c>
      <c r="I8" s="1702">
        <v>37803</v>
      </c>
      <c r="J8" s="1711" t="s">
        <v>413</v>
      </c>
      <c r="K8" s="1716">
        <v>5</v>
      </c>
      <c r="L8" s="1717">
        <v>25</v>
      </c>
      <c r="M8" s="1702">
        <v>38535</v>
      </c>
      <c r="N8" s="1711" t="s">
        <v>4977</v>
      </c>
      <c r="O8" s="1716">
        <v>30</v>
      </c>
      <c r="P8" s="1717"/>
      <c r="Q8" s="1702">
        <v>38901</v>
      </c>
      <c r="R8" s="1711" t="s">
        <v>4978</v>
      </c>
      <c r="S8" s="1716">
        <v>40</v>
      </c>
      <c r="T8" s="1717"/>
      <c r="U8" s="1702">
        <v>39264</v>
      </c>
      <c r="V8" s="1711" t="s">
        <v>4979</v>
      </c>
      <c r="W8" s="1704">
        <v>29</v>
      </c>
      <c r="X8" s="1705"/>
      <c r="Y8" s="1702">
        <v>39632</v>
      </c>
      <c r="Z8" s="1711" t="s">
        <v>886</v>
      </c>
      <c r="AA8" s="1716">
        <v>15</v>
      </c>
      <c r="AB8" s="1717"/>
      <c r="AC8" s="1702">
        <v>39995</v>
      </c>
      <c r="AD8" s="1711" t="s">
        <v>4980</v>
      </c>
      <c r="AE8" s="1704">
        <v>25</v>
      </c>
      <c r="AF8" s="1705"/>
      <c r="AG8" s="1702">
        <v>40363</v>
      </c>
      <c r="AH8" s="1711" t="s">
        <v>4981</v>
      </c>
      <c r="AI8" s="1704">
        <v>10</v>
      </c>
      <c r="AJ8" s="1705"/>
      <c r="AK8" s="1702">
        <v>40727</v>
      </c>
      <c r="AL8" s="1711" t="s">
        <v>4982</v>
      </c>
      <c r="AM8" s="1704">
        <v>24</v>
      </c>
      <c r="AN8" s="1705"/>
      <c r="AO8" s="1702">
        <v>41091</v>
      </c>
      <c r="AP8" s="1711" t="s">
        <v>754</v>
      </c>
      <c r="AQ8" s="1704">
        <v>90</v>
      </c>
      <c r="AR8" s="1705"/>
      <c r="AS8" s="1702">
        <v>41459</v>
      </c>
      <c r="AT8" s="1711" t="s">
        <v>1289</v>
      </c>
      <c r="AU8" s="1704">
        <v>6</v>
      </c>
      <c r="AV8" s="1705"/>
      <c r="AW8" s="1702">
        <v>41821</v>
      </c>
      <c r="AX8" s="1711" t="s">
        <v>4983</v>
      </c>
      <c r="AY8" s="1704">
        <v>357</v>
      </c>
      <c r="AZ8" s="1705"/>
      <c r="BA8" s="1702">
        <v>42186</v>
      </c>
      <c r="BB8" s="1711" t="s">
        <v>772</v>
      </c>
      <c r="BC8" s="1704">
        <v>18</v>
      </c>
      <c r="BD8" s="1705"/>
      <c r="BE8" s="1702">
        <v>42552</v>
      </c>
      <c r="BF8" s="1711" t="s">
        <v>4984</v>
      </c>
      <c r="BG8" s="1716">
        <v>876</v>
      </c>
      <c r="BH8" s="1705"/>
      <c r="BI8" s="1702">
        <v>42917</v>
      </c>
      <c r="BJ8" s="1711" t="s">
        <v>4985</v>
      </c>
      <c r="BK8" s="1716">
        <v>375</v>
      </c>
      <c r="BL8" s="1705"/>
      <c r="BM8" s="1702">
        <v>43282</v>
      </c>
      <c r="BN8" s="1736" t="s">
        <v>979</v>
      </c>
      <c r="BO8" s="1716">
        <v>36</v>
      </c>
      <c r="BP8" s="1705"/>
      <c r="BQ8" s="1702">
        <v>43648</v>
      </c>
      <c r="BR8" s="1736" t="s">
        <v>4986</v>
      </c>
      <c r="BS8" s="1716">
        <v>31</v>
      </c>
      <c r="BT8" s="1710" t="s">
        <v>280</v>
      </c>
      <c r="BU8" s="1702">
        <v>44013</v>
      </c>
      <c r="BV8" s="1711" t="s">
        <v>4004</v>
      </c>
      <c r="BW8" s="1704">
        <v>398</v>
      </c>
      <c r="BX8" s="1710" t="s">
        <v>689</v>
      </c>
      <c r="BY8" s="1702">
        <v>44013</v>
      </c>
      <c r="BZ8" s="1711" t="s">
        <v>4004</v>
      </c>
      <c r="CA8" s="1704">
        <v>398</v>
      </c>
      <c r="CB8" s="1710" t="s">
        <v>689</v>
      </c>
      <c r="CC8" s="1702">
        <v>44013</v>
      </c>
      <c r="CD8" s="1711" t="s">
        <v>4987</v>
      </c>
      <c r="CE8" s="1704">
        <v>0</v>
      </c>
      <c r="CF8" s="1710" t="s">
        <v>414</v>
      </c>
      <c r="CG8" s="1702">
        <v>44013</v>
      </c>
      <c r="CH8" s="1711" t="s">
        <v>843</v>
      </c>
      <c r="CI8" s="1704">
        <v>25</v>
      </c>
      <c r="CJ8" s="1788" t="s">
        <v>414</v>
      </c>
      <c r="CK8" s="1818">
        <v>45474</v>
      </c>
      <c r="CL8" s="1711" t="s">
        <v>4988</v>
      </c>
      <c r="CM8" s="1704">
        <v>20</v>
      </c>
      <c r="CN8" s="1819" t="s">
        <v>689</v>
      </c>
      <c r="CO8" s="1818">
        <v>45474</v>
      </c>
      <c r="CP8" s="1711" t="s">
        <v>4988</v>
      </c>
      <c r="CQ8" s="1704">
        <v>20</v>
      </c>
      <c r="CR8" s="1819" t="s">
        <v>689</v>
      </c>
    </row>
    <row r="9" spans="1:96" ht="35.25">
      <c r="A9" s="1769">
        <v>37449</v>
      </c>
      <c r="B9" s="1711" t="s">
        <v>238</v>
      </c>
      <c r="C9" s="1716"/>
      <c r="D9" s="1717"/>
      <c r="E9" s="1702">
        <v>37803</v>
      </c>
      <c r="F9" s="1703" t="s">
        <v>811</v>
      </c>
      <c r="G9" s="1704"/>
      <c r="H9" s="1705">
        <v>0</v>
      </c>
      <c r="I9" s="1702">
        <v>37803</v>
      </c>
      <c r="J9" s="1703" t="s">
        <v>811</v>
      </c>
      <c r="K9" s="1704"/>
      <c r="L9" s="1705">
        <v>0</v>
      </c>
      <c r="M9" s="1702">
        <v>38535</v>
      </c>
      <c r="N9" s="1703" t="s">
        <v>4989</v>
      </c>
      <c r="O9" s="1704">
        <v>13</v>
      </c>
      <c r="P9" s="1705"/>
      <c r="Q9" s="1702">
        <v>38901</v>
      </c>
      <c r="R9" s="1703" t="s">
        <v>797</v>
      </c>
      <c r="S9" s="1704">
        <v>44</v>
      </c>
      <c r="T9" s="1705"/>
      <c r="U9" s="1702">
        <v>39264</v>
      </c>
      <c r="V9" s="1711" t="s">
        <v>4990</v>
      </c>
      <c r="W9" s="1704">
        <v>15</v>
      </c>
      <c r="X9" s="1705"/>
      <c r="Y9" s="1702">
        <v>39632</v>
      </c>
      <c r="Z9" s="1703" t="s">
        <v>4991</v>
      </c>
      <c r="AA9" s="1716">
        <v>36</v>
      </c>
      <c r="AB9" s="1717"/>
      <c r="AC9" s="1702">
        <v>39997</v>
      </c>
      <c r="AD9" s="1711" t="s">
        <v>867</v>
      </c>
      <c r="AE9" s="1704">
        <v>60</v>
      </c>
      <c r="AF9" s="1705"/>
      <c r="AG9" s="1702">
        <v>40363</v>
      </c>
      <c r="AH9" s="1711" t="s">
        <v>772</v>
      </c>
      <c r="AI9" s="1704">
        <v>148</v>
      </c>
      <c r="AJ9" s="1705"/>
      <c r="AK9" s="1702">
        <v>40727</v>
      </c>
      <c r="AL9" s="1711" t="s">
        <v>4992</v>
      </c>
      <c r="AM9" s="1704">
        <v>6</v>
      </c>
      <c r="AN9" s="1705"/>
      <c r="AO9" s="1702">
        <v>41091</v>
      </c>
      <c r="AP9" s="1711" t="s">
        <v>4993</v>
      </c>
      <c r="AQ9" s="1704">
        <v>5</v>
      </c>
      <c r="AR9" s="1705"/>
      <c r="AS9" s="1702">
        <v>41459</v>
      </c>
      <c r="AT9" s="1711" t="s">
        <v>4994</v>
      </c>
      <c r="AU9" s="1704">
        <v>38</v>
      </c>
      <c r="AV9" s="1705"/>
      <c r="AW9" s="1702">
        <v>41821</v>
      </c>
      <c r="AX9" s="1711" t="s">
        <v>772</v>
      </c>
      <c r="AY9" s="1704">
        <v>43</v>
      </c>
      <c r="AZ9" s="1705"/>
      <c r="BA9" s="1702">
        <v>42188</v>
      </c>
      <c r="BB9" s="1711" t="s">
        <v>4995</v>
      </c>
      <c r="BC9" s="1704">
        <v>18</v>
      </c>
      <c r="BD9" s="1705"/>
      <c r="BE9" s="1702">
        <v>42553</v>
      </c>
      <c r="BF9" s="1711" t="s">
        <v>4996</v>
      </c>
      <c r="BG9" s="1716">
        <v>4</v>
      </c>
      <c r="BH9" s="1705"/>
      <c r="BI9" s="1702">
        <v>42917</v>
      </c>
      <c r="BJ9" s="1711" t="s">
        <v>4997</v>
      </c>
      <c r="BK9" s="1716">
        <v>375</v>
      </c>
      <c r="BL9" s="1705"/>
      <c r="BM9" s="1702">
        <v>43282</v>
      </c>
      <c r="BN9" s="1736" t="s">
        <v>4998</v>
      </c>
      <c r="BO9" s="1716">
        <v>20</v>
      </c>
      <c r="BP9" s="1705"/>
      <c r="BQ9" s="1702">
        <v>43648</v>
      </c>
      <c r="BR9" s="1736" t="s">
        <v>4999</v>
      </c>
      <c r="BS9" s="1716">
        <v>2</v>
      </c>
      <c r="BT9" s="1710" t="s">
        <v>280</v>
      </c>
      <c r="BU9" s="1702">
        <v>44013</v>
      </c>
      <c r="BV9" s="1711" t="s">
        <v>3127</v>
      </c>
      <c r="BW9" s="1704">
        <v>8</v>
      </c>
      <c r="BX9" s="1710" t="s">
        <v>414</v>
      </c>
      <c r="BY9" s="1702">
        <v>44379</v>
      </c>
      <c r="BZ9" s="1711" t="s">
        <v>5000</v>
      </c>
      <c r="CA9" s="1704">
        <v>0</v>
      </c>
      <c r="CB9" s="1710" t="s">
        <v>700</v>
      </c>
      <c r="CC9" s="1702">
        <v>44013</v>
      </c>
      <c r="CD9" s="1711" t="s">
        <v>5001</v>
      </c>
      <c r="CE9" s="1704">
        <v>0</v>
      </c>
      <c r="CF9" s="1710" t="s">
        <v>414</v>
      </c>
      <c r="CG9" s="1702">
        <v>44013</v>
      </c>
      <c r="CH9" s="1711" t="s">
        <v>872</v>
      </c>
      <c r="CI9" s="1704">
        <v>6</v>
      </c>
      <c r="CJ9" s="1788" t="s">
        <v>414</v>
      </c>
      <c r="CK9" s="1818">
        <v>45474</v>
      </c>
      <c r="CL9" s="1719" t="s">
        <v>5002</v>
      </c>
      <c r="CM9" s="1720">
        <f>CM10+CM11+CM14+CM15+CM20+CM21+CM22</f>
        <v>6131</v>
      </c>
      <c r="CN9" s="1820"/>
      <c r="CO9" s="2144">
        <v>45839</v>
      </c>
      <c r="CP9" s="2150" t="s">
        <v>5003</v>
      </c>
      <c r="CQ9" s="2145">
        <v>33.99</v>
      </c>
      <c r="CR9" s="1820"/>
    </row>
    <row r="10" spans="1:96" ht="23.25">
      <c r="A10" s="1769">
        <v>37449</v>
      </c>
      <c r="B10" s="1711" t="s">
        <v>5004</v>
      </c>
      <c r="C10" s="1716">
        <v>8</v>
      </c>
      <c r="D10" s="1717">
        <v>8</v>
      </c>
      <c r="E10" s="1702">
        <v>37803</v>
      </c>
      <c r="F10" s="1703" t="s">
        <v>415</v>
      </c>
      <c r="G10" s="1704">
        <v>53</v>
      </c>
      <c r="H10" s="1705"/>
      <c r="I10" s="1702">
        <v>37803</v>
      </c>
      <c r="J10" s="1703" t="s">
        <v>415</v>
      </c>
      <c r="K10" s="1704">
        <v>53</v>
      </c>
      <c r="L10" s="1705"/>
      <c r="M10" s="1702">
        <v>38535</v>
      </c>
      <c r="N10" s="1703" t="s">
        <v>5005</v>
      </c>
      <c r="O10" s="1704">
        <v>13</v>
      </c>
      <c r="P10" s="1705"/>
      <c r="Q10" s="1702">
        <v>38901</v>
      </c>
      <c r="R10" s="1703" t="s">
        <v>5006</v>
      </c>
      <c r="S10" s="1704">
        <v>2</v>
      </c>
      <c r="T10" s="1705"/>
      <c r="U10" s="1702">
        <v>39264</v>
      </c>
      <c r="V10" s="1711" t="s">
        <v>2226</v>
      </c>
      <c r="W10" s="1716">
        <v>12</v>
      </c>
      <c r="X10" s="1717"/>
      <c r="Y10" s="1702">
        <v>39633</v>
      </c>
      <c r="Z10" s="1703" t="s">
        <v>960</v>
      </c>
      <c r="AA10" s="1704">
        <v>7</v>
      </c>
      <c r="AB10" s="1705"/>
      <c r="AC10" s="1702">
        <v>39997</v>
      </c>
      <c r="AD10" s="1711" t="s">
        <v>781</v>
      </c>
      <c r="AE10" s="1716">
        <v>25</v>
      </c>
      <c r="AF10" s="1717"/>
      <c r="AG10" s="1702">
        <v>40363</v>
      </c>
      <c r="AH10" s="1711" t="s">
        <v>5007</v>
      </c>
      <c r="AI10" s="1704">
        <v>13</v>
      </c>
      <c r="AJ10" s="1705"/>
      <c r="AK10" s="1702">
        <v>40727</v>
      </c>
      <c r="AL10" s="1711" t="s">
        <v>1157</v>
      </c>
      <c r="AM10" s="1704">
        <v>53</v>
      </c>
      <c r="AN10" s="1705"/>
      <c r="AO10" s="1702">
        <v>41091</v>
      </c>
      <c r="AP10" s="1703" t="s">
        <v>1823</v>
      </c>
      <c r="AQ10" s="1716">
        <v>21</v>
      </c>
      <c r="AR10" s="1717"/>
      <c r="AS10" s="1702">
        <v>41459</v>
      </c>
      <c r="AT10" s="1703" t="s">
        <v>5008</v>
      </c>
      <c r="AU10" s="1716">
        <v>4</v>
      </c>
      <c r="AV10" s="1717"/>
      <c r="AW10" s="1702">
        <v>41821</v>
      </c>
      <c r="AX10" s="1711" t="s">
        <v>954</v>
      </c>
      <c r="AY10" s="1704">
        <v>97</v>
      </c>
      <c r="AZ10" s="1705"/>
      <c r="BA10" s="1702">
        <v>42188</v>
      </c>
      <c r="BB10" s="1711" t="s">
        <v>5009</v>
      </c>
      <c r="BC10" s="1704">
        <v>11</v>
      </c>
      <c r="BD10" s="1705"/>
      <c r="BE10" s="1702">
        <v>42553</v>
      </c>
      <c r="BF10" s="1711" t="s">
        <v>5010</v>
      </c>
      <c r="BG10" s="1716">
        <v>21</v>
      </c>
      <c r="BH10" s="1705"/>
      <c r="BI10" s="1702">
        <v>42917</v>
      </c>
      <c r="BJ10" s="1711" t="s">
        <v>5011</v>
      </c>
      <c r="BK10" s="1716">
        <v>375</v>
      </c>
      <c r="BL10" s="1705"/>
      <c r="BM10" s="1702">
        <v>43282</v>
      </c>
      <c r="BN10" s="1736" t="s">
        <v>5012</v>
      </c>
      <c r="BO10" s="1716">
        <v>13</v>
      </c>
      <c r="BP10" s="1705"/>
      <c r="BQ10" s="1702">
        <v>43649</v>
      </c>
      <c r="BR10" s="1736" t="s">
        <v>2005</v>
      </c>
      <c r="BS10" s="1716">
        <v>20</v>
      </c>
      <c r="BT10" s="1710" t="s">
        <v>700</v>
      </c>
      <c r="BU10" s="1702">
        <v>44013</v>
      </c>
      <c r="BV10" s="1711" t="s">
        <v>5013</v>
      </c>
      <c r="BW10" s="1704">
        <v>0</v>
      </c>
      <c r="BX10" s="1710" t="s">
        <v>414</v>
      </c>
      <c r="BY10" s="1702">
        <v>44379</v>
      </c>
      <c r="BZ10" s="1711" t="s">
        <v>5014</v>
      </c>
      <c r="CA10" s="1704">
        <v>0</v>
      </c>
      <c r="CB10" s="1710" t="s">
        <v>700</v>
      </c>
      <c r="CC10" s="1702">
        <v>44013</v>
      </c>
      <c r="CD10" s="1711" t="s">
        <v>5015</v>
      </c>
      <c r="CE10" s="1704">
        <v>60</v>
      </c>
      <c r="CF10" s="1710" t="s">
        <v>414</v>
      </c>
      <c r="CG10" s="1702">
        <v>44013</v>
      </c>
      <c r="CH10" s="1711" t="s">
        <v>5016</v>
      </c>
      <c r="CI10" s="1704">
        <v>21</v>
      </c>
      <c r="CJ10" s="1788" t="s">
        <v>414</v>
      </c>
      <c r="CK10" s="1818">
        <v>45474</v>
      </c>
      <c r="CL10" s="1722" t="s">
        <v>5017</v>
      </c>
      <c r="CM10" s="1720">
        <v>0</v>
      </c>
      <c r="CN10" s="1821">
        <f>CM10/$CM$9</f>
        <v>0</v>
      </c>
      <c r="CO10" s="2146">
        <v>45843</v>
      </c>
      <c r="CP10" s="2151" t="s">
        <v>5018</v>
      </c>
      <c r="CQ10" s="2147">
        <v>23.74</v>
      </c>
      <c r="CR10" s="1821"/>
    </row>
    <row r="11" spans="1:96" ht="13.5">
      <c r="A11" s="1769">
        <v>37450</v>
      </c>
      <c r="B11" s="1711" t="s">
        <v>5019</v>
      </c>
      <c r="C11" s="1716"/>
      <c r="D11" s="1717">
        <v>60</v>
      </c>
      <c r="E11" s="1702">
        <v>37803</v>
      </c>
      <c r="F11" s="1703" t="s">
        <v>847</v>
      </c>
      <c r="G11" s="1704">
        <v>70</v>
      </c>
      <c r="H11" s="1705"/>
      <c r="I11" s="1702">
        <v>37803</v>
      </c>
      <c r="J11" s="1703" t="s">
        <v>847</v>
      </c>
      <c r="K11" s="1704">
        <v>70</v>
      </c>
      <c r="L11" s="1705"/>
      <c r="M11" s="1702">
        <v>38535</v>
      </c>
      <c r="N11" s="1703" t="s">
        <v>5020</v>
      </c>
      <c r="O11" s="1704">
        <v>20</v>
      </c>
      <c r="P11" s="1705"/>
      <c r="Q11" s="1702">
        <v>38901</v>
      </c>
      <c r="R11" s="1703" t="s">
        <v>767</v>
      </c>
      <c r="S11" s="1704">
        <v>36</v>
      </c>
      <c r="T11" s="1705"/>
      <c r="U11" s="1702">
        <v>39264</v>
      </c>
      <c r="V11" s="1703" t="s">
        <v>5021</v>
      </c>
      <c r="W11" s="1704">
        <v>4</v>
      </c>
      <c r="X11" s="1705"/>
      <c r="Y11" s="1702">
        <v>39633</v>
      </c>
      <c r="Z11" s="1703" t="s">
        <v>5022</v>
      </c>
      <c r="AA11" s="1704">
        <v>6</v>
      </c>
      <c r="AB11" s="1705"/>
      <c r="AC11" s="1702">
        <v>39997</v>
      </c>
      <c r="AD11" s="1703" t="s">
        <v>802</v>
      </c>
      <c r="AE11" s="1716">
        <v>40</v>
      </c>
      <c r="AF11" s="1717"/>
      <c r="AG11" s="1702">
        <v>40363</v>
      </c>
      <c r="AH11" s="1703" t="s">
        <v>5023</v>
      </c>
      <c r="AI11" s="1716">
        <v>15</v>
      </c>
      <c r="AJ11" s="1717"/>
      <c r="AK11" s="1702">
        <v>40727</v>
      </c>
      <c r="AL11" s="1703" t="s">
        <v>797</v>
      </c>
      <c r="AM11" s="1716">
        <v>42</v>
      </c>
      <c r="AN11" s="1717"/>
      <c r="AO11" s="1702">
        <v>41091</v>
      </c>
      <c r="AP11" s="1711" t="s">
        <v>5024</v>
      </c>
      <c r="AQ11" s="1716">
        <v>8</v>
      </c>
      <c r="AR11" s="1717"/>
      <c r="AS11" s="1702">
        <v>41459</v>
      </c>
      <c r="AT11" s="1711" t="s">
        <v>5025</v>
      </c>
      <c r="AU11" s="1716">
        <v>12</v>
      </c>
      <c r="AV11" s="1717"/>
      <c r="AW11" s="1702">
        <v>41821</v>
      </c>
      <c r="AX11" s="1703" t="s">
        <v>5026</v>
      </c>
      <c r="AY11" s="1716">
        <v>18</v>
      </c>
      <c r="AZ11" s="1717"/>
      <c r="BA11" s="1702">
        <v>42188</v>
      </c>
      <c r="BB11" s="1703" t="s">
        <v>5027</v>
      </c>
      <c r="BC11" s="1716">
        <v>0</v>
      </c>
      <c r="BD11" s="1717"/>
      <c r="BE11" s="1702">
        <v>42553</v>
      </c>
      <c r="BF11" s="1711" t="s">
        <v>5028</v>
      </c>
      <c r="BG11" s="1716">
        <v>6</v>
      </c>
      <c r="BH11" s="1717"/>
      <c r="BI11" s="1702">
        <v>42917</v>
      </c>
      <c r="BJ11" s="1711" t="s">
        <v>859</v>
      </c>
      <c r="BK11" s="1716">
        <v>45</v>
      </c>
      <c r="BL11" s="1705"/>
      <c r="BM11" s="1702">
        <v>42917</v>
      </c>
      <c r="BN11" s="1711" t="s">
        <v>5029</v>
      </c>
      <c r="BO11" s="1716">
        <v>19</v>
      </c>
      <c r="BP11" s="1705"/>
      <c r="BQ11" s="1702">
        <v>43649</v>
      </c>
      <c r="BR11" s="1711" t="s">
        <v>786</v>
      </c>
      <c r="BS11" s="1716">
        <v>5</v>
      </c>
      <c r="BT11" s="1710" t="s">
        <v>280</v>
      </c>
      <c r="BU11" s="1702">
        <v>44013</v>
      </c>
      <c r="BV11" s="1711" t="s">
        <v>5030</v>
      </c>
      <c r="BW11" s="1704">
        <v>8</v>
      </c>
      <c r="BX11" s="1710" t="s">
        <v>414</v>
      </c>
      <c r="BY11" s="1702">
        <v>44379</v>
      </c>
      <c r="BZ11" s="1711" t="s">
        <v>5031</v>
      </c>
      <c r="CA11" s="1704">
        <v>36</v>
      </c>
      <c r="CB11" s="1710" t="s">
        <v>278</v>
      </c>
      <c r="CC11" s="1702">
        <v>44013</v>
      </c>
      <c r="CD11" s="1711" t="s">
        <v>5032</v>
      </c>
      <c r="CE11" s="1704">
        <v>7</v>
      </c>
      <c r="CF11" s="1710" t="s">
        <v>414</v>
      </c>
      <c r="CG11" s="1702">
        <v>44013</v>
      </c>
      <c r="CH11" s="1711" t="s">
        <v>845</v>
      </c>
      <c r="CI11" s="1704">
        <v>43</v>
      </c>
      <c r="CJ11" s="1788" t="s">
        <v>414</v>
      </c>
      <c r="CK11" s="1818">
        <v>45474</v>
      </c>
      <c r="CL11" s="1727" t="s">
        <v>5033</v>
      </c>
      <c r="CM11" s="1728">
        <f>SUM(CM12:CM13)</f>
        <v>1119</v>
      </c>
      <c r="CN11" s="1821">
        <f>CM11/$CM$9</f>
        <v>0.18251508726145815</v>
      </c>
      <c r="CO11" s="2148">
        <v>45843</v>
      </c>
      <c r="CP11" s="2152" t="s">
        <v>5034</v>
      </c>
      <c r="CQ11" s="2149">
        <v>7.98</v>
      </c>
      <c r="CR11" s="1821"/>
    </row>
    <row r="12" spans="1:96" ht="13.5">
      <c r="A12" s="1769">
        <v>37450</v>
      </c>
      <c r="B12" s="1711" t="s">
        <v>5035</v>
      </c>
      <c r="C12" s="1716">
        <v>6</v>
      </c>
      <c r="D12" s="1717"/>
      <c r="E12" s="1702">
        <v>37803</v>
      </c>
      <c r="F12" s="1703" t="s">
        <v>864</v>
      </c>
      <c r="G12" s="1704">
        <v>30</v>
      </c>
      <c r="H12" s="1705">
        <v>50</v>
      </c>
      <c r="I12" s="1702">
        <v>37803</v>
      </c>
      <c r="J12" s="1703" t="s">
        <v>864</v>
      </c>
      <c r="K12" s="1704">
        <v>30</v>
      </c>
      <c r="L12" s="1705">
        <v>50</v>
      </c>
      <c r="M12" s="1702">
        <v>38535</v>
      </c>
      <c r="N12" s="1703" t="s">
        <v>5036</v>
      </c>
      <c r="O12" s="1704">
        <v>25</v>
      </c>
      <c r="P12" s="1705"/>
      <c r="Q12" s="1702">
        <v>38902</v>
      </c>
      <c r="R12" s="1703" t="s">
        <v>802</v>
      </c>
      <c r="S12" s="1704">
        <v>38</v>
      </c>
      <c r="T12" s="1705"/>
      <c r="U12" s="1702">
        <v>39265</v>
      </c>
      <c r="V12" s="1703" t="s">
        <v>5037</v>
      </c>
      <c r="W12" s="1704">
        <v>17</v>
      </c>
      <c r="X12" s="1705"/>
      <c r="Y12" s="1702">
        <v>39633</v>
      </c>
      <c r="Z12" s="1703" t="s">
        <v>5038</v>
      </c>
      <c r="AA12" s="1704">
        <v>21</v>
      </c>
      <c r="AB12" s="1705"/>
      <c r="AC12" s="1702">
        <v>39997</v>
      </c>
      <c r="AD12" s="1703" t="s">
        <v>5039</v>
      </c>
      <c r="AE12" s="1716">
        <v>39</v>
      </c>
      <c r="AF12" s="1717"/>
      <c r="AG12" s="1702">
        <v>40364</v>
      </c>
      <c r="AH12" s="1711" t="s">
        <v>5040</v>
      </c>
      <c r="AI12" s="1716">
        <v>27</v>
      </c>
      <c r="AJ12" s="1717"/>
      <c r="AK12" s="1702">
        <v>40727</v>
      </c>
      <c r="AL12" s="1711" t="s">
        <v>5041</v>
      </c>
      <c r="AM12" s="1716">
        <v>10</v>
      </c>
      <c r="AN12" s="1717"/>
      <c r="AO12" s="1702">
        <v>41091</v>
      </c>
      <c r="AP12" s="1703" t="s">
        <v>5042</v>
      </c>
      <c r="AQ12" s="1716">
        <v>8</v>
      </c>
      <c r="AR12" s="1717"/>
      <c r="AS12" s="1702">
        <v>41459</v>
      </c>
      <c r="AT12" s="1703" t="s">
        <v>5043</v>
      </c>
      <c r="AU12" s="1716">
        <v>15</v>
      </c>
      <c r="AV12" s="1717"/>
      <c r="AW12" s="1702">
        <v>41823</v>
      </c>
      <c r="AX12" s="1711" t="s">
        <v>5044</v>
      </c>
      <c r="AY12" s="1716">
        <v>30</v>
      </c>
      <c r="AZ12" s="1717"/>
      <c r="BA12" s="1702">
        <v>42188</v>
      </c>
      <c r="BB12" s="1711" t="s">
        <v>5045</v>
      </c>
      <c r="BC12" s="1716">
        <v>7</v>
      </c>
      <c r="BD12" s="1717"/>
      <c r="BE12" s="1702">
        <v>42553</v>
      </c>
      <c r="BF12" s="1711" t="s">
        <v>5046</v>
      </c>
      <c r="BG12" s="1716">
        <v>8</v>
      </c>
      <c r="BH12" s="1717"/>
      <c r="BI12" s="1702">
        <v>42917</v>
      </c>
      <c r="BJ12" s="1711" t="s">
        <v>823</v>
      </c>
      <c r="BK12" s="1716">
        <v>68</v>
      </c>
      <c r="BL12" s="1705"/>
      <c r="BM12" s="1702">
        <v>42917</v>
      </c>
      <c r="BN12" s="1711" t="s">
        <v>5047</v>
      </c>
      <c r="BO12" s="1716">
        <v>19</v>
      </c>
      <c r="BP12" s="1705"/>
      <c r="BQ12" s="1702">
        <v>43650</v>
      </c>
      <c r="BR12" s="1711" t="s">
        <v>5048</v>
      </c>
      <c r="BS12" s="1716">
        <v>9</v>
      </c>
      <c r="BT12" s="1710" t="s">
        <v>280</v>
      </c>
      <c r="BU12" s="1702">
        <v>44013</v>
      </c>
      <c r="BV12" s="1711" t="s">
        <v>5049</v>
      </c>
      <c r="BW12" s="1704">
        <v>0</v>
      </c>
      <c r="BX12" s="1710" t="s">
        <v>414</v>
      </c>
      <c r="BY12" s="1702">
        <v>44379</v>
      </c>
      <c r="BZ12" s="1711" t="s">
        <v>845</v>
      </c>
      <c r="CA12" s="1704">
        <v>21</v>
      </c>
      <c r="CB12" s="1710" t="s">
        <v>414</v>
      </c>
      <c r="CC12" s="1702">
        <v>44013</v>
      </c>
      <c r="CD12" s="1711" t="s">
        <v>5050</v>
      </c>
      <c r="CE12" s="1704">
        <v>19</v>
      </c>
      <c r="CF12" s="1710" t="s">
        <v>414</v>
      </c>
      <c r="CG12" s="1702">
        <v>44013</v>
      </c>
      <c r="CH12" s="1711" t="s">
        <v>5051</v>
      </c>
      <c r="CI12" s="1704">
        <v>29</v>
      </c>
      <c r="CJ12" s="1788" t="s">
        <v>414</v>
      </c>
      <c r="CK12" s="1818">
        <v>45474</v>
      </c>
      <c r="CL12" s="1729" t="s">
        <v>5052</v>
      </c>
      <c r="CM12" s="1725">
        <f>735 + 85 + 299</f>
        <v>1119</v>
      </c>
      <c r="CN12" s="1821">
        <f>CM12/$CM$9</f>
        <v>0.18251508726145815</v>
      </c>
      <c r="CO12" s="2146">
        <v>45844</v>
      </c>
      <c r="CP12" s="2151" t="s">
        <v>5053</v>
      </c>
      <c r="CQ12" s="2147">
        <v>27.38</v>
      </c>
      <c r="CR12" s="1821"/>
    </row>
    <row r="13" spans="1:96" ht="35.25">
      <c r="A13" s="1769">
        <v>37450</v>
      </c>
      <c r="B13" s="1711" t="s">
        <v>5054</v>
      </c>
      <c r="C13" s="1716">
        <v>26</v>
      </c>
      <c r="D13" s="1717"/>
      <c r="E13" s="1702">
        <v>37803</v>
      </c>
      <c r="F13" s="1703" t="s">
        <v>419</v>
      </c>
      <c r="G13" s="1704">
        <v>207</v>
      </c>
      <c r="H13" s="1705">
        <v>0</v>
      </c>
      <c r="I13" s="1702">
        <v>37803</v>
      </c>
      <c r="J13" s="1703" t="s">
        <v>419</v>
      </c>
      <c r="K13" s="1704">
        <v>207</v>
      </c>
      <c r="L13" s="1705">
        <v>0</v>
      </c>
      <c r="M13" s="1702">
        <v>38535</v>
      </c>
      <c r="N13" s="1703" t="s">
        <v>5055</v>
      </c>
      <c r="O13" s="1704">
        <v>18</v>
      </c>
      <c r="P13" s="1705"/>
      <c r="Q13" s="1702">
        <v>38903</v>
      </c>
      <c r="R13" s="1703" t="s">
        <v>5056</v>
      </c>
      <c r="S13" s="1704">
        <v>3</v>
      </c>
      <c r="T13" s="1705"/>
      <c r="U13" s="1702">
        <v>39265</v>
      </c>
      <c r="V13" s="1703" t="s">
        <v>802</v>
      </c>
      <c r="W13" s="1704">
        <v>45</v>
      </c>
      <c r="X13" s="1705"/>
      <c r="Y13" s="1702">
        <v>39633</v>
      </c>
      <c r="Z13" s="1703" t="s">
        <v>783</v>
      </c>
      <c r="AA13" s="1704">
        <v>4</v>
      </c>
      <c r="AB13" s="1705"/>
      <c r="AC13" s="1702">
        <v>39998</v>
      </c>
      <c r="AD13" s="1703" t="s">
        <v>5057</v>
      </c>
      <c r="AE13" s="1704">
        <v>3</v>
      </c>
      <c r="AF13" s="1705"/>
      <c r="AG13" s="1702">
        <v>40364</v>
      </c>
      <c r="AH13" s="1703" t="s">
        <v>781</v>
      </c>
      <c r="AI13" s="1716">
        <v>71</v>
      </c>
      <c r="AJ13" s="1717"/>
      <c r="AK13" s="1702">
        <v>40728</v>
      </c>
      <c r="AL13" s="1703" t="s">
        <v>772</v>
      </c>
      <c r="AM13" s="1716">
        <v>45</v>
      </c>
      <c r="AN13" s="1717"/>
      <c r="AO13" s="1702">
        <v>41093</v>
      </c>
      <c r="AP13" s="1703" t="s">
        <v>797</v>
      </c>
      <c r="AQ13" s="1716">
        <v>58</v>
      </c>
      <c r="AR13" s="1717"/>
      <c r="AS13" s="1702">
        <v>41459</v>
      </c>
      <c r="AT13" s="1703" t="s">
        <v>5058</v>
      </c>
      <c r="AU13" s="1716">
        <v>19</v>
      </c>
      <c r="AV13" s="1717"/>
      <c r="AW13" s="1702">
        <v>41823</v>
      </c>
      <c r="AX13" s="1703" t="s">
        <v>886</v>
      </c>
      <c r="AY13" s="1716">
        <v>15</v>
      </c>
      <c r="AZ13" s="1717"/>
      <c r="BA13" s="1702">
        <v>42189</v>
      </c>
      <c r="BB13" s="1703" t="s">
        <v>5059</v>
      </c>
      <c r="BC13" s="1716"/>
      <c r="BD13" s="1717"/>
      <c r="BE13" s="1702">
        <v>42553</v>
      </c>
      <c r="BF13" s="1711" t="s">
        <v>5060</v>
      </c>
      <c r="BG13" s="1716">
        <v>11</v>
      </c>
      <c r="BH13" s="1717"/>
      <c r="BI13" s="1702">
        <v>42917</v>
      </c>
      <c r="BJ13" s="1711" t="s">
        <v>872</v>
      </c>
      <c r="BK13" s="1716">
        <v>34</v>
      </c>
      <c r="BL13" s="1705"/>
      <c r="BM13" s="1702">
        <v>43283</v>
      </c>
      <c r="BN13" s="1711" t="s">
        <v>823</v>
      </c>
      <c r="BO13" s="1716">
        <v>63</v>
      </c>
      <c r="BP13" s="1705"/>
      <c r="BQ13" s="1702">
        <v>43650</v>
      </c>
      <c r="BR13" s="1711" t="s">
        <v>5061</v>
      </c>
      <c r="BS13" s="1716">
        <v>48</v>
      </c>
      <c r="BT13" s="1710" t="s">
        <v>381</v>
      </c>
      <c r="BU13" s="1702">
        <v>44013</v>
      </c>
      <c r="BV13" s="1711" t="s">
        <v>5062</v>
      </c>
      <c r="BW13" s="1704">
        <v>13</v>
      </c>
      <c r="BX13" s="1710" t="s">
        <v>414</v>
      </c>
      <c r="BY13" s="1702">
        <v>44380</v>
      </c>
      <c r="BZ13" s="1711" t="s">
        <v>843</v>
      </c>
      <c r="CA13" s="1704">
        <v>25</v>
      </c>
      <c r="CB13" s="1710" t="s">
        <v>414</v>
      </c>
      <c r="CC13" s="1702">
        <v>44013</v>
      </c>
      <c r="CD13" s="1711" t="s">
        <v>5063</v>
      </c>
      <c r="CE13" s="1704">
        <v>25</v>
      </c>
      <c r="CF13" s="1710" t="s">
        <v>414</v>
      </c>
      <c r="CG13" s="1702">
        <v>44013</v>
      </c>
      <c r="CH13" s="1711" t="s">
        <v>5064</v>
      </c>
      <c r="CI13" s="1704">
        <v>0</v>
      </c>
      <c r="CJ13" s="1788" t="s">
        <v>414</v>
      </c>
      <c r="CK13" s="1818">
        <v>45474</v>
      </c>
      <c r="CL13" s="1729"/>
      <c r="CM13" s="1725"/>
      <c r="CN13" s="1821">
        <f>CM13/$CM$9</f>
        <v>0</v>
      </c>
      <c r="CO13" s="2148">
        <v>45844</v>
      </c>
      <c r="CP13" s="2152" t="s">
        <v>5065</v>
      </c>
      <c r="CQ13" s="2149">
        <v>0</v>
      </c>
      <c r="CR13" s="1821"/>
    </row>
    <row r="14" spans="1:96" ht="35.25">
      <c r="A14" s="1769">
        <v>37450</v>
      </c>
      <c r="B14" s="1711" t="s">
        <v>410</v>
      </c>
      <c r="C14" s="1716"/>
      <c r="D14" s="1717">
        <v>25</v>
      </c>
      <c r="E14" s="1702">
        <v>37803</v>
      </c>
      <c r="F14" s="1703" t="s">
        <v>2447</v>
      </c>
      <c r="G14" s="1704">
        <v>500</v>
      </c>
      <c r="H14" s="1705">
        <v>260</v>
      </c>
      <c r="I14" s="1702">
        <v>37803</v>
      </c>
      <c r="J14" s="1703" t="s">
        <v>2447</v>
      </c>
      <c r="K14" s="1704">
        <v>500</v>
      </c>
      <c r="L14" s="1705">
        <v>260</v>
      </c>
      <c r="M14" s="1702">
        <v>38535</v>
      </c>
      <c r="N14" s="1703" t="s">
        <v>5066</v>
      </c>
      <c r="O14" s="1704">
        <v>15</v>
      </c>
      <c r="P14" s="1705"/>
      <c r="Q14" s="1702">
        <v>38903</v>
      </c>
      <c r="R14" s="1703" t="s">
        <v>5067</v>
      </c>
      <c r="S14" s="1704">
        <v>22</v>
      </c>
      <c r="T14" s="1705"/>
      <c r="U14" s="1702">
        <v>39266</v>
      </c>
      <c r="V14" s="1703" t="s">
        <v>5068</v>
      </c>
      <c r="W14" s="1704">
        <v>23</v>
      </c>
      <c r="X14" s="1705"/>
      <c r="Y14" s="1702">
        <v>39633</v>
      </c>
      <c r="Z14" s="1703" t="s">
        <v>2054</v>
      </c>
      <c r="AA14" s="1704">
        <v>10</v>
      </c>
      <c r="AB14" s="1705"/>
      <c r="AC14" s="1702">
        <v>39998</v>
      </c>
      <c r="AD14" s="1703" t="s">
        <v>5069</v>
      </c>
      <c r="AE14" s="1704">
        <v>63</v>
      </c>
      <c r="AF14" s="1705"/>
      <c r="AG14" s="1702">
        <v>40365</v>
      </c>
      <c r="AH14" s="1703" t="s">
        <v>5070</v>
      </c>
      <c r="AI14" s="1716">
        <v>16</v>
      </c>
      <c r="AJ14" s="1717"/>
      <c r="AK14" s="1702">
        <v>40728</v>
      </c>
      <c r="AL14" s="1703" t="s">
        <v>783</v>
      </c>
      <c r="AM14" s="1716">
        <v>20</v>
      </c>
      <c r="AN14" s="1717"/>
      <c r="AO14" s="1702">
        <v>41093</v>
      </c>
      <c r="AP14" s="1703" t="s">
        <v>1052</v>
      </c>
      <c r="AQ14" s="1704">
        <v>34</v>
      </c>
      <c r="AR14" s="1705"/>
      <c r="AS14" s="1702">
        <v>41459</v>
      </c>
      <c r="AT14" s="1703" t="s">
        <v>4649</v>
      </c>
      <c r="AU14" s="1704">
        <v>50</v>
      </c>
      <c r="AV14" s="1705"/>
      <c r="AW14" s="1702">
        <v>41823</v>
      </c>
      <c r="AX14" s="1703" t="s">
        <v>922</v>
      </c>
      <c r="AY14" s="1716">
        <v>10</v>
      </c>
      <c r="AZ14" s="1717"/>
      <c r="BA14" s="1702">
        <v>42189</v>
      </c>
      <c r="BB14" s="1703" t="s">
        <v>5071</v>
      </c>
      <c r="BC14" s="1716">
        <v>8</v>
      </c>
      <c r="BD14" s="1717"/>
      <c r="BE14" s="1702">
        <v>42553</v>
      </c>
      <c r="BF14" s="1711" t="s">
        <v>5072</v>
      </c>
      <c r="BG14" s="1716">
        <v>13</v>
      </c>
      <c r="BH14" s="1717"/>
      <c r="BI14" s="1702">
        <v>42917</v>
      </c>
      <c r="BJ14" s="1711" t="s">
        <v>2162</v>
      </c>
      <c r="BK14" s="1716">
        <v>27</v>
      </c>
      <c r="BL14" s="1705"/>
      <c r="BM14" s="1702">
        <v>43283</v>
      </c>
      <c r="BN14" s="1711" t="s">
        <v>873</v>
      </c>
      <c r="BO14" s="1716">
        <v>28</v>
      </c>
      <c r="BP14" s="1705"/>
      <c r="BQ14" s="1702">
        <v>43651</v>
      </c>
      <c r="BR14" s="1711" t="s">
        <v>3449</v>
      </c>
      <c r="BS14" s="1716">
        <v>10</v>
      </c>
      <c r="BT14" s="1710" t="s">
        <v>414</v>
      </c>
      <c r="BU14" s="1702">
        <v>44013</v>
      </c>
      <c r="BV14" s="1711" t="s">
        <v>1124</v>
      </c>
      <c r="BW14" s="1704">
        <v>0</v>
      </c>
      <c r="BX14" s="1710" t="s">
        <v>414</v>
      </c>
      <c r="BY14" s="1702">
        <v>44380</v>
      </c>
      <c r="BZ14" s="1711" t="s">
        <v>5073</v>
      </c>
      <c r="CA14" s="1704">
        <v>153</v>
      </c>
      <c r="CB14" s="1710" t="s">
        <v>702</v>
      </c>
      <c r="CC14" s="1702">
        <v>44013</v>
      </c>
      <c r="CD14" s="1711" t="s">
        <v>2025</v>
      </c>
      <c r="CE14" s="1704">
        <v>0</v>
      </c>
      <c r="CF14" s="1710" t="s">
        <v>414</v>
      </c>
      <c r="CG14" s="1702">
        <v>44013</v>
      </c>
      <c r="CH14" s="1711" t="s">
        <v>5074</v>
      </c>
      <c r="CI14" s="1704">
        <v>16</v>
      </c>
      <c r="CJ14" s="1788" t="s">
        <v>414</v>
      </c>
      <c r="CK14" s="1818">
        <v>45474</v>
      </c>
      <c r="CL14" s="1734" t="s">
        <v>278</v>
      </c>
      <c r="CM14" s="1728">
        <f>CM25+CM29+CM30+CM32+CM33+CM34+CM35+CM38+CM39+CM40</f>
        <v>478</v>
      </c>
      <c r="CN14" s="1821">
        <f>CM14/$CM$9</f>
        <v>7.7964442994617522E-2</v>
      </c>
      <c r="CO14" s="2146">
        <v>45844</v>
      </c>
      <c r="CP14" s="2151" t="s">
        <v>5075</v>
      </c>
      <c r="CQ14" s="2147">
        <v>8.2799999999999994</v>
      </c>
      <c r="CR14" s="1821"/>
    </row>
    <row r="15" spans="1:96" ht="23.25">
      <c r="A15" s="1769">
        <v>37450</v>
      </c>
      <c r="B15" s="1711" t="s">
        <v>5076</v>
      </c>
      <c r="C15" s="1716"/>
      <c r="D15" s="1717">
        <v>60</v>
      </c>
      <c r="E15" s="1702">
        <v>37803</v>
      </c>
      <c r="F15" s="1703" t="s">
        <v>5077</v>
      </c>
      <c r="G15" s="1704"/>
      <c r="H15" s="1705">
        <v>38</v>
      </c>
      <c r="I15" s="1702">
        <v>38169</v>
      </c>
      <c r="J15" s="1703" t="s">
        <v>2284</v>
      </c>
      <c r="K15" s="1704">
        <v>34</v>
      </c>
      <c r="L15" s="1705"/>
      <c r="M15" s="1702">
        <v>38535</v>
      </c>
      <c r="N15" s="1703" t="s">
        <v>5078</v>
      </c>
      <c r="O15" s="1704">
        <v>28</v>
      </c>
      <c r="P15" s="1705"/>
      <c r="Q15" s="1702">
        <v>38903</v>
      </c>
      <c r="R15" s="1703" t="s">
        <v>4513</v>
      </c>
      <c r="S15" s="1704">
        <v>48</v>
      </c>
      <c r="T15" s="1705"/>
      <c r="U15" s="1702">
        <v>39267</v>
      </c>
      <c r="V15" s="1703" t="s">
        <v>5079</v>
      </c>
      <c r="W15" s="1704">
        <v>2</v>
      </c>
      <c r="X15" s="1705"/>
      <c r="Y15" s="1702">
        <v>39633</v>
      </c>
      <c r="Z15" s="1703" t="s">
        <v>5080</v>
      </c>
      <c r="AA15" s="1704">
        <v>25</v>
      </c>
      <c r="AB15" s="1705"/>
      <c r="AC15" s="1702">
        <v>39998</v>
      </c>
      <c r="AD15" s="1703" t="s">
        <v>797</v>
      </c>
      <c r="AE15" s="1704">
        <v>20</v>
      </c>
      <c r="AF15" s="1705"/>
      <c r="AG15" s="1702">
        <v>40365</v>
      </c>
      <c r="AH15" s="1703" t="s">
        <v>5081</v>
      </c>
      <c r="AI15" s="1704">
        <v>1</v>
      </c>
      <c r="AJ15" s="1705"/>
      <c r="AK15" s="1702">
        <v>40728</v>
      </c>
      <c r="AL15" s="1703" t="s">
        <v>5082</v>
      </c>
      <c r="AM15" s="1704">
        <v>10</v>
      </c>
      <c r="AN15" s="1705"/>
      <c r="AO15" s="1702">
        <v>41094</v>
      </c>
      <c r="AP15" s="1703" t="s">
        <v>754</v>
      </c>
      <c r="AQ15" s="1704">
        <v>14</v>
      </c>
      <c r="AR15" s="1705"/>
      <c r="AS15" s="1702">
        <v>41459</v>
      </c>
      <c r="AT15" s="1703" t="s">
        <v>5083</v>
      </c>
      <c r="AU15" s="1704"/>
      <c r="AV15" s="1705"/>
      <c r="AW15" s="1702">
        <v>41824</v>
      </c>
      <c r="AX15" s="1703" t="s">
        <v>3695</v>
      </c>
      <c r="AY15" s="1704">
        <v>32</v>
      </c>
      <c r="AZ15" s="1705"/>
      <c r="BA15" s="1702">
        <v>42189</v>
      </c>
      <c r="BB15" s="1703" t="s">
        <v>5084</v>
      </c>
      <c r="BC15" s="1704">
        <v>27</v>
      </c>
      <c r="BD15" s="1705"/>
      <c r="BE15" s="1702">
        <v>42553</v>
      </c>
      <c r="BF15" s="1711" t="s">
        <v>5085</v>
      </c>
      <c r="BG15" s="1716">
        <v>14</v>
      </c>
      <c r="BH15" s="1705"/>
      <c r="BI15" s="1702">
        <v>42917</v>
      </c>
      <c r="BJ15" s="1711" t="s">
        <v>5086</v>
      </c>
      <c r="BK15" s="1716">
        <v>26</v>
      </c>
      <c r="BL15" s="1705"/>
      <c r="BM15" s="1702">
        <v>43283</v>
      </c>
      <c r="BN15" s="1711" t="s">
        <v>5087</v>
      </c>
      <c r="BO15" s="1716"/>
      <c r="BP15" s="1705"/>
      <c r="BQ15" s="1702">
        <v>43651</v>
      </c>
      <c r="BR15" s="1711" t="s">
        <v>843</v>
      </c>
      <c r="BS15" s="1716">
        <v>10</v>
      </c>
      <c r="BT15" s="1710" t="s">
        <v>414</v>
      </c>
      <c r="BU15" s="1702">
        <v>44013</v>
      </c>
      <c r="BV15" s="1711" t="s">
        <v>5088</v>
      </c>
      <c r="BW15" s="1704">
        <v>0</v>
      </c>
      <c r="BX15" s="1710" t="s">
        <v>280</v>
      </c>
      <c r="BY15" s="1702">
        <v>44380</v>
      </c>
      <c r="BZ15" s="1711" t="s">
        <v>5089</v>
      </c>
      <c r="CA15" s="1704">
        <v>0</v>
      </c>
      <c r="CB15" s="1710" t="s">
        <v>700</v>
      </c>
      <c r="CC15" s="1702">
        <v>44013</v>
      </c>
      <c r="CD15" s="1711" t="s">
        <v>5090</v>
      </c>
      <c r="CE15" s="1704">
        <v>25</v>
      </c>
      <c r="CF15" s="1710" t="s">
        <v>414</v>
      </c>
      <c r="CG15" s="1702">
        <v>44013</v>
      </c>
      <c r="CH15" s="1711" t="s">
        <v>5091</v>
      </c>
      <c r="CI15" s="1704">
        <v>40</v>
      </c>
      <c r="CJ15" s="1788" t="s">
        <v>414</v>
      </c>
      <c r="CK15" s="1818">
        <v>45474</v>
      </c>
      <c r="CL15" s="1734" t="s">
        <v>277</v>
      </c>
      <c r="CM15" s="1728">
        <f>SUM(CM16:CM19)</f>
        <v>288</v>
      </c>
      <c r="CN15" s="1821">
        <f>CM15/$CM$9</f>
        <v>4.697439243190344E-2</v>
      </c>
      <c r="CO15" s="2148">
        <v>45844</v>
      </c>
      <c r="CP15" s="2152" t="s">
        <v>5092</v>
      </c>
      <c r="CQ15" s="2149">
        <v>7.63</v>
      </c>
      <c r="CR15" s="1821"/>
    </row>
    <row r="16" spans="1:96" ht="35.25">
      <c r="A16" s="1769">
        <v>37450</v>
      </c>
      <c r="B16" s="1711" t="s">
        <v>5093</v>
      </c>
      <c r="C16" s="1716"/>
      <c r="D16" s="1717">
        <v>4</v>
      </c>
      <c r="E16" s="1702">
        <v>37804</v>
      </c>
      <c r="F16" s="1703" t="s">
        <v>5094</v>
      </c>
      <c r="G16" s="1704">
        <v>12</v>
      </c>
      <c r="H16" s="1705"/>
      <c r="I16" s="1702">
        <v>38169</v>
      </c>
      <c r="J16" s="1703" t="s">
        <v>5095</v>
      </c>
      <c r="K16" s="1704">
        <v>12</v>
      </c>
      <c r="L16" s="1705"/>
      <c r="M16" s="1702">
        <v>38536</v>
      </c>
      <c r="N16" s="1703" t="s">
        <v>5096</v>
      </c>
      <c r="O16" s="1704">
        <v>15</v>
      </c>
      <c r="P16" s="1705"/>
      <c r="Q16" s="1702">
        <v>38904</v>
      </c>
      <c r="R16" s="1703" t="s">
        <v>5097</v>
      </c>
      <c r="S16" s="1704">
        <v>5</v>
      </c>
      <c r="T16" s="1705"/>
      <c r="U16" s="1702">
        <v>39267</v>
      </c>
      <c r="V16" s="1703" t="s">
        <v>5098</v>
      </c>
      <c r="W16" s="1704">
        <v>34</v>
      </c>
      <c r="X16" s="1705"/>
      <c r="Y16" s="1702">
        <v>39633</v>
      </c>
      <c r="Z16" s="1703" t="s">
        <v>2005</v>
      </c>
      <c r="AA16" s="1704">
        <v>10</v>
      </c>
      <c r="AB16" s="1705"/>
      <c r="AC16" s="1702">
        <v>40000</v>
      </c>
      <c r="AD16" s="1703" t="s">
        <v>5099</v>
      </c>
      <c r="AE16" s="1704">
        <v>12</v>
      </c>
      <c r="AF16" s="1705"/>
      <c r="AG16" s="1702">
        <v>40365</v>
      </c>
      <c r="AH16" s="1703" t="s">
        <v>5100</v>
      </c>
      <c r="AI16" s="1704">
        <v>6</v>
      </c>
      <c r="AJ16" s="1705"/>
      <c r="AK16" s="1702">
        <v>40733</v>
      </c>
      <c r="AL16" s="1703" t="s">
        <v>781</v>
      </c>
      <c r="AM16" s="1704">
        <v>75</v>
      </c>
      <c r="AN16" s="1705"/>
      <c r="AO16" s="1702">
        <v>41096</v>
      </c>
      <c r="AP16" s="1703" t="s">
        <v>5101</v>
      </c>
      <c r="AQ16" s="1704">
        <v>21</v>
      </c>
      <c r="AR16" s="1705"/>
      <c r="AS16" s="1702">
        <v>41460</v>
      </c>
      <c r="AT16" s="1703" t="s">
        <v>5102</v>
      </c>
      <c r="AU16" s="1704"/>
      <c r="AV16" s="1705"/>
      <c r="AW16" s="1702">
        <v>41824</v>
      </c>
      <c r="AX16" s="1703" t="s">
        <v>2005</v>
      </c>
      <c r="AY16" s="1704">
        <v>33</v>
      </c>
      <c r="AZ16" s="1705"/>
      <c r="BA16" s="1702">
        <v>42189</v>
      </c>
      <c r="BB16" s="1703" t="s">
        <v>797</v>
      </c>
      <c r="BC16" s="1704">
        <v>44</v>
      </c>
      <c r="BD16" s="1705"/>
      <c r="BE16" s="1702">
        <v>42553</v>
      </c>
      <c r="BF16" s="1711" t="s">
        <v>797</v>
      </c>
      <c r="BG16" s="1716">
        <v>31</v>
      </c>
      <c r="BH16" s="1705"/>
      <c r="BI16" s="1702">
        <v>42918</v>
      </c>
      <c r="BJ16" s="1711" t="s">
        <v>5103</v>
      </c>
      <c r="BK16" s="1716">
        <v>16</v>
      </c>
      <c r="BL16" s="1705"/>
      <c r="BM16" s="1702">
        <v>43283</v>
      </c>
      <c r="BN16" s="1711" t="s">
        <v>5104</v>
      </c>
      <c r="BO16" s="1716">
        <v>20</v>
      </c>
      <c r="BP16" s="1705"/>
      <c r="BQ16" s="1702">
        <v>43651</v>
      </c>
      <c r="BR16" s="1711" t="s">
        <v>5105</v>
      </c>
      <c r="BS16" s="1716">
        <v>90</v>
      </c>
      <c r="BT16" s="1710" t="s">
        <v>280</v>
      </c>
      <c r="BU16" s="1702">
        <v>44013</v>
      </c>
      <c r="BV16" s="1711" t="s">
        <v>5106</v>
      </c>
      <c r="BW16" s="1716">
        <v>0</v>
      </c>
      <c r="BX16" s="1710" t="s">
        <v>280</v>
      </c>
      <c r="BY16" s="1702">
        <v>44380</v>
      </c>
      <c r="BZ16" s="1711" t="s">
        <v>5107</v>
      </c>
      <c r="CA16" s="1704">
        <v>7</v>
      </c>
      <c r="CB16" s="1710" t="s">
        <v>700</v>
      </c>
      <c r="CC16" s="1702">
        <v>44013</v>
      </c>
      <c r="CD16" s="1711" t="s">
        <v>2469</v>
      </c>
      <c r="CE16" s="1716">
        <v>2</v>
      </c>
      <c r="CF16" s="1710" t="s">
        <v>414</v>
      </c>
      <c r="CG16" s="1702">
        <v>45109</v>
      </c>
      <c r="CH16" s="1711" t="s">
        <v>5108</v>
      </c>
      <c r="CI16" s="1716">
        <v>49</v>
      </c>
      <c r="CJ16" s="1788" t="s">
        <v>414</v>
      </c>
      <c r="CK16" s="1818">
        <v>45474</v>
      </c>
      <c r="CL16" s="1729" t="s">
        <v>2288</v>
      </c>
      <c r="CM16" s="1725">
        <f>CM52</f>
        <v>76</v>
      </c>
      <c r="CN16" s="1821">
        <f>CM16/$CM$9</f>
        <v>1.239602022508563E-2</v>
      </c>
      <c r="CO16" s="2146">
        <v>45844</v>
      </c>
      <c r="CP16" s="2151" t="s">
        <v>5109</v>
      </c>
      <c r="CQ16" s="2147">
        <v>4.6100000000000003</v>
      </c>
      <c r="CR16" s="1821"/>
    </row>
    <row r="17" spans="1:96" ht="35.25">
      <c r="A17" s="1769">
        <v>37451</v>
      </c>
      <c r="B17" s="1711" t="s">
        <v>5110</v>
      </c>
      <c r="C17" s="1716"/>
      <c r="D17" s="1717">
        <v>48</v>
      </c>
      <c r="E17" s="1702">
        <v>37805</v>
      </c>
      <c r="F17" s="1703" t="s">
        <v>410</v>
      </c>
      <c r="G17" s="1704"/>
      <c r="H17" s="1705">
        <v>33</v>
      </c>
      <c r="I17" s="1702">
        <v>38171</v>
      </c>
      <c r="J17" s="1703" t="s">
        <v>5111</v>
      </c>
      <c r="K17" s="1704">
        <v>5</v>
      </c>
      <c r="L17" s="1705"/>
      <c r="M17" s="1702">
        <v>38536</v>
      </c>
      <c r="N17" s="1703" t="s">
        <v>797</v>
      </c>
      <c r="O17" s="1704">
        <v>28</v>
      </c>
      <c r="P17" s="1705"/>
      <c r="Q17" s="1702">
        <v>38905</v>
      </c>
      <c r="R17" s="1703" t="s">
        <v>5112</v>
      </c>
      <c r="S17" s="1704">
        <v>6</v>
      </c>
      <c r="T17" s="1705"/>
      <c r="U17" s="1702">
        <v>39268</v>
      </c>
      <c r="V17" s="1703" t="s">
        <v>5113</v>
      </c>
      <c r="W17" s="1704">
        <v>115</v>
      </c>
      <c r="X17" s="1705"/>
      <c r="Y17" s="1702">
        <v>39633</v>
      </c>
      <c r="Z17" s="1703" t="s">
        <v>5114</v>
      </c>
      <c r="AA17" s="1704">
        <v>16</v>
      </c>
      <c r="AB17" s="1705"/>
      <c r="AC17" s="1702">
        <v>40000</v>
      </c>
      <c r="AD17" s="1703" t="s">
        <v>797</v>
      </c>
      <c r="AE17" s="1704">
        <v>42</v>
      </c>
      <c r="AF17" s="1705"/>
      <c r="AG17" s="1702">
        <v>40365</v>
      </c>
      <c r="AH17" s="1703" t="s">
        <v>2626</v>
      </c>
      <c r="AI17" s="1704">
        <v>15</v>
      </c>
      <c r="AJ17" s="1705"/>
      <c r="AK17" s="1702">
        <v>40733</v>
      </c>
      <c r="AL17" s="1703" t="s">
        <v>5115</v>
      </c>
      <c r="AM17" s="1704">
        <v>4</v>
      </c>
      <c r="AN17" s="1705"/>
      <c r="AO17" s="1702">
        <v>41097</v>
      </c>
      <c r="AP17" s="1703" t="s">
        <v>802</v>
      </c>
      <c r="AQ17" s="1704">
        <v>52</v>
      </c>
      <c r="AR17" s="1705"/>
      <c r="AS17" s="1702">
        <v>41460</v>
      </c>
      <c r="AT17" s="1703" t="s">
        <v>5116</v>
      </c>
      <c r="AU17" s="1704">
        <v>6</v>
      </c>
      <c r="AV17" s="1705"/>
      <c r="AW17" s="1702">
        <v>41824</v>
      </c>
      <c r="AX17" s="1703" t="s">
        <v>1944</v>
      </c>
      <c r="AY17" s="1704">
        <v>14</v>
      </c>
      <c r="AZ17" s="1705"/>
      <c r="BA17" s="1702">
        <v>42190</v>
      </c>
      <c r="BB17" s="1703" t="s">
        <v>5117</v>
      </c>
      <c r="BC17" s="1704"/>
      <c r="BD17" s="1705"/>
      <c r="BE17" s="1702">
        <v>42553</v>
      </c>
      <c r="BF17" s="1711" t="s">
        <v>754</v>
      </c>
      <c r="BG17" s="1716">
        <v>13</v>
      </c>
      <c r="BH17" s="1705"/>
      <c r="BI17" s="1702">
        <v>42918</v>
      </c>
      <c r="BJ17" s="1711" t="s">
        <v>5118</v>
      </c>
      <c r="BK17" s="1716">
        <v>45</v>
      </c>
      <c r="BL17" s="1717"/>
      <c r="BM17" s="1702">
        <v>43283</v>
      </c>
      <c r="BN17" s="1711" t="s">
        <v>5119</v>
      </c>
      <c r="BO17" s="1716">
        <v>6</v>
      </c>
      <c r="BP17" s="1705"/>
      <c r="BQ17" s="1702">
        <v>43651</v>
      </c>
      <c r="BR17" s="1711" t="s">
        <v>5120</v>
      </c>
      <c r="BS17" s="1716">
        <v>0</v>
      </c>
      <c r="BT17" s="1710" t="s">
        <v>700</v>
      </c>
      <c r="BU17" s="1702">
        <v>44013</v>
      </c>
      <c r="BV17" s="1711" t="s">
        <v>5121</v>
      </c>
      <c r="BW17" s="1716">
        <v>0</v>
      </c>
      <c r="BX17" s="1710" t="s">
        <v>280</v>
      </c>
      <c r="BY17" s="1702">
        <v>44380</v>
      </c>
      <c r="BZ17" s="1711" t="s">
        <v>5122</v>
      </c>
      <c r="CA17" s="1716">
        <v>0</v>
      </c>
      <c r="CB17" s="1710" t="s">
        <v>700</v>
      </c>
      <c r="CC17" s="1702">
        <v>44013</v>
      </c>
      <c r="CD17" s="1711" t="s">
        <v>1391</v>
      </c>
      <c r="CE17" s="1716">
        <v>12</v>
      </c>
      <c r="CF17" s="1710" t="s">
        <v>414</v>
      </c>
      <c r="CG17" s="1702">
        <v>45109</v>
      </c>
      <c r="CH17" s="1711" t="s">
        <v>2570</v>
      </c>
      <c r="CI17" s="1716">
        <v>35</v>
      </c>
      <c r="CJ17" s="1788" t="s">
        <v>280</v>
      </c>
      <c r="CK17" s="1818">
        <v>45474</v>
      </c>
      <c r="CL17" s="1729" t="s">
        <v>5123</v>
      </c>
      <c r="CM17" s="1725" t="s">
        <v>37</v>
      </c>
      <c r="CN17" s="1821" t="s">
        <v>37</v>
      </c>
      <c r="CO17" s="2148">
        <v>45844</v>
      </c>
      <c r="CP17" s="2152" t="s">
        <v>5124</v>
      </c>
      <c r="CQ17" s="2149">
        <v>6.86</v>
      </c>
      <c r="CR17" s="1821"/>
    </row>
    <row r="18" spans="1:96" ht="46.5">
      <c r="A18" s="1769">
        <v>37452</v>
      </c>
      <c r="B18" s="1711" t="s">
        <v>410</v>
      </c>
      <c r="C18" s="1716">
        <v>23.95</v>
      </c>
      <c r="D18" s="1717"/>
      <c r="E18" s="1702">
        <v>37805</v>
      </c>
      <c r="F18" s="1703" t="s">
        <v>5125</v>
      </c>
      <c r="G18" s="1704">
        <v>40</v>
      </c>
      <c r="H18" s="1705"/>
      <c r="I18" s="1702">
        <v>38171</v>
      </c>
      <c r="J18" s="1703" t="s">
        <v>5126</v>
      </c>
      <c r="K18" s="1704">
        <v>674</v>
      </c>
      <c r="L18" s="1705"/>
      <c r="M18" s="1702">
        <v>38537</v>
      </c>
      <c r="N18" s="1703" t="s">
        <v>5127</v>
      </c>
      <c r="O18" s="1704">
        <v>15</v>
      </c>
      <c r="P18" s="1705"/>
      <c r="Q18" s="1702">
        <v>38906</v>
      </c>
      <c r="R18" s="1703" t="s">
        <v>5128</v>
      </c>
      <c r="S18" s="1704">
        <v>10</v>
      </c>
      <c r="T18" s="1705"/>
      <c r="U18" s="1702">
        <v>39268</v>
      </c>
      <c r="V18" s="1703" t="s">
        <v>5129</v>
      </c>
      <c r="W18" s="1704">
        <v>5</v>
      </c>
      <c r="X18" s="1705"/>
      <c r="Y18" s="1702">
        <v>39633</v>
      </c>
      <c r="Z18" s="1703" t="s">
        <v>867</v>
      </c>
      <c r="AA18" s="1704">
        <v>10</v>
      </c>
      <c r="AB18" s="1705"/>
      <c r="AC18" s="1702">
        <v>40000</v>
      </c>
      <c r="AD18" s="1703" t="s">
        <v>5130</v>
      </c>
      <c r="AE18" s="1704">
        <v>48</v>
      </c>
      <c r="AF18" s="1705"/>
      <c r="AG18" s="1702">
        <v>40365</v>
      </c>
      <c r="AH18" s="1703" t="s">
        <v>960</v>
      </c>
      <c r="AI18" s="1704">
        <v>3</v>
      </c>
      <c r="AJ18" s="1705"/>
      <c r="AK18" s="1702">
        <v>40734</v>
      </c>
      <c r="AL18" s="1703" t="s">
        <v>1157</v>
      </c>
      <c r="AM18" s="1704">
        <v>51</v>
      </c>
      <c r="AN18" s="1705"/>
      <c r="AO18" s="1702">
        <v>41097</v>
      </c>
      <c r="AP18" s="1703" t="s">
        <v>772</v>
      </c>
      <c r="AQ18" s="1704">
        <v>65</v>
      </c>
      <c r="AR18" s="1705"/>
      <c r="AS18" s="1702">
        <v>41460</v>
      </c>
      <c r="AT18" s="1703" t="s">
        <v>5131</v>
      </c>
      <c r="AU18" s="1704">
        <v>4</v>
      </c>
      <c r="AV18" s="1705"/>
      <c r="AW18" s="1702">
        <v>41825</v>
      </c>
      <c r="AX18" s="1703" t="s">
        <v>5132</v>
      </c>
      <c r="AY18" s="1704">
        <v>44</v>
      </c>
      <c r="AZ18" s="1705"/>
      <c r="BA18" s="1702">
        <v>42190</v>
      </c>
      <c r="BB18" s="1703" t="s">
        <v>781</v>
      </c>
      <c r="BC18" s="1704">
        <v>60</v>
      </c>
      <c r="BD18" s="1705"/>
      <c r="BE18" s="1702">
        <v>42553</v>
      </c>
      <c r="BF18" s="1711" t="s">
        <v>4405</v>
      </c>
      <c r="BG18" s="1716">
        <v>10</v>
      </c>
      <c r="BH18" s="1705"/>
      <c r="BI18" s="1702">
        <v>42918</v>
      </c>
      <c r="BJ18" s="1711" t="s">
        <v>5133</v>
      </c>
      <c r="BK18" s="1716">
        <v>11</v>
      </c>
      <c r="BL18" s="1717"/>
      <c r="BM18" s="1702">
        <v>43283</v>
      </c>
      <c r="BN18" s="1711" t="s">
        <v>5134</v>
      </c>
      <c r="BO18" s="1716">
        <v>8</v>
      </c>
      <c r="BP18" s="1705"/>
      <c r="BQ18" s="1702">
        <v>43651</v>
      </c>
      <c r="BR18" s="1711" t="s">
        <v>5135</v>
      </c>
      <c r="BS18" s="1716">
        <v>7</v>
      </c>
      <c r="BT18" s="1710" t="s">
        <v>278</v>
      </c>
      <c r="BU18" s="1702">
        <v>44013</v>
      </c>
      <c r="BV18" s="1711" t="s">
        <v>5136</v>
      </c>
      <c r="BW18" s="1716">
        <v>4</v>
      </c>
      <c r="BX18" s="1710" t="s">
        <v>414</v>
      </c>
      <c r="BY18" s="1702">
        <v>44380</v>
      </c>
      <c r="BZ18" s="1711" t="s">
        <v>5137</v>
      </c>
      <c r="CA18" s="1716">
        <v>225</v>
      </c>
      <c r="CB18" s="1710" t="s">
        <v>381</v>
      </c>
      <c r="CC18" s="1702">
        <v>44013</v>
      </c>
      <c r="CD18" s="1711" t="s">
        <v>5138</v>
      </c>
      <c r="CE18" s="1716">
        <v>0</v>
      </c>
      <c r="CF18" s="1710" t="s">
        <v>414</v>
      </c>
      <c r="CG18" s="1702">
        <v>45109</v>
      </c>
      <c r="CH18" s="1711" t="s">
        <v>5139</v>
      </c>
      <c r="CI18" s="1716">
        <v>16</v>
      </c>
      <c r="CJ18" s="1788" t="s">
        <v>414</v>
      </c>
      <c r="CK18" s="1818">
        <v>45474</v>
      </c>
      <c r="CL18" s="1729" t="s">
        <v>410</v>
      </c>
      <c r="CM18" s="1725">
        <f>CM23+CM37</f>
        <v>212</v>
      </c>
      <c r="CN18" s="1821">
        <f>CM18/$CM$9</f>
        <v>3.4578372206817809E-2</v>
      </c>
      <c r="CO18" s="2146">
        <v>45844</v>
      </c>
      <c r="CP18" s="2151" t="s">
        <v>5140</v>
      </c>
      <c r="CQ18" s="2147">
        <v>15.99</v>
      </c>
      <c r="CR18" s="1821"/>
    </row>
    <row r="19" spans="1:96" ht="35.25">
      <c r="A19" s="1769">
        <v>37452</v>
      </c>
      <c r="B19" s="1711" t="s">
        <v>5141</v>
      </c>
      <c r="C19" s="1716">
        <v>100</v>
      </c>
      <c r="D19" s="1717"/>
      <c r="E19" s="1702">
        <v>37805</v>
      </c>
      <c r="F19" s="1703" t="s">
        <v>5142</v>
      </c>
      <c r="G19" s="1704">
        <v>105</v>
      </c>
      <c r="H19" s="1705"/>
      <c r="I19" s="1702">
        <v>38171</v>
      </c>
      <c r="J19" s="1703" t="s">
        <v>5143</v>
      </c>
      <c r="K19" s="1704">
        <v>17</v>
      </c>
      <c r="L19" s="1705"/>
      <c r="M19" s="1702">
        <v>38535</v>
      </c>
      <c r="N19" s="1703" t="s">
        <v>5144</v>
      </c>
      <c r="O19" s="1704">
        <v>15</v>
      </c>
      <c r="P19" s="1705"/>
      <c r="Q19" s="1702">
        <v>38906</v>
      </c>
      <c r="R19" s="1703" t="s">
        <v>5145</v>
      </c>
      <c r="S19" s="1704">
        <v>2</v>
      </c>
      <c r="T19" s="1705"/>
      <c r="U19" s="1702">
        <v>39268</v>
      </c>
      <c r="V19" s="1703" t="s">
        <v>5146</v>
      </c>
      <c r="W19" s="1704">
        <v>26</v>
      </c>
      <c r="X19" s="1705"/>
      <c r="Y19" s="1702">
        <v>39633</v>
      </c>
      <c r="Z19" s="1703" t="s">
        <v>781</v>
      </c>
      <c r="AA19" s="1704">
        <v>8</v>
      </c>
      <c r="AB19" s="1705"/>
      <c r="AC19" s="1702">
        <v>40001</v>
      </c>
      <c r="AD19" s="1703" t="s">
        <v>781</v>
      </c>
      <c r="AE19" s="1704">
        <v>81</v>
      </c>
      <c r="AF19" s="1705"/>
      <c r="AG19" s="1702">
        <v>40365</v>
      </c>
      <c r="AH19" s="1703" t="s">
        <v>5147</v>
      </c>
      <c r="AI19" s="1704">
        <v>15</v>
      </c>
      <c r="AJ19" s="1705"/>
      <c r="AK19" s="1702">
        <v>40734</v>
      </c>
      <c r="AL19" s="1703" t="s">
        <v>797</v>
      </c>
      <c r="AM19" s="1704">
        <v>45</v>
      </c>
      <c r="AN19" s="1705"/>
      <c r="AO19" s="1702">
        <v>41097</v>
      </c>
      <c r="AP19" s="1703" t="s">
        <v>754</v>
      </c>
      <c r="AQ19" s="1704">
        <v>72</v>
      </c>
      <c r="AR19" s="1705"/>
      <c r="AS19" s="1702">
        <v>41460</v>
      </c>
      <c r="AT19" s="1703" t="s">
        <v>5148</v>
      </c>
      <c r="AU19" s="1704">
        <v>3</v>
      </c>
      <c r="AV19" s="1705"/>
      <c r="AW19" s="1702">
        <v>41825</v>
      </c>
      <c r="AX19" s="1703" t="s">
        <v>5149</v>
      </c>
      <c r="AY19" s="1704">
        <v>7</v>
      </c>
      <c r="AZ19" s="1705"/>
      <c r="BA19" s="1702">
        <v>42190</v>
      </c>
      <c r="BB19" s="1703" t="s">
        <v>954</v>
      </c>
      <c r="BC19" s="1704">
        <v>94</v>
      </c>
      <c r="BD19" s="1705"/>
      <c r="BE19" s="1702">
        <v>42553</v>
      </c>
      <c r="BF19" s="1711" t="s">
        <v>5150</v>
      </c>
      <c r="BG19" s="1716">
        <v>30</v>
      </c>
      <c r="BH19" s="1705"/>
      <c r="BI19" s="1702">
        <v>42918</v>
      </c>
      <c r="BJ19" s="1711" t="s">
        <v>781</v>
      </c>
      <c r="BK19" s="1716">
        <v>24</v>
      </c>
      <c r="BL19" s="1717"/>
      <c r="BM19" s="1702">
        <v>43284</v>
      </c>
      <c r="BN19" s="1711" t="s">
        <v>3740</v>
      </c>
      <c r="BO19" s="1716"/>
      <c r="BP19" s="1705"/>
      <c r="BQ19" s="1702">
        <v>43651</v>
      </c>
      <c r="BR19" s="1711" t="s">
        <v>5151</v>
      </c>
      <c r="BS19" s="1716">
        <v>7</v>
      </c>
      <c r="BT19" s="1710" t="s">
        <v>278</v>
      </c>
      <c r="BU19" s="1702">
        <v>44013</v>
      </c>
      <c r="BV19" s="1711" t="s">
        <v>5152</v>
      </c>
      <c r="BW19" s="1716">
        <v>9</v>
      </c>
      <c r="BX19" s="1710" t="s">
        <v>414</v>
      </c>
      <c r="BY19" s="1702">
        <v>44381</v>
      </c>
      <c r="BZ19" s="1711" t="s">
        <v>5153</v>
      </c>
      <c r="CA19" s="1716">
        <v>10</v>
      </c>
      <c r="CB19" s="1710" t="s">
        <v>381</v>
      </c>
      <c r="CC19" s="1702">
        <v>44013</v>
      </c>
      <c r="CD19" s="1711" t="s">
        <v>5154</v>
      </c>
      <c r="CE19" s="1716">
        <v>12</v>
      </c>
      <c r="CF19" s="1710" t="s">
        <v>414</v>
      </c>
      <c r="CG19" s="1702">
        <v>45109</v>
      </c>
      <c r="CH19" s="1711" t="s">
        <v>5155</v>
      </c>
      <c r="CI19" s="1716">
        <v>11</v>
      </c>
      <c r="CJ19" s="1788" t="s">
        <v>414</v>
      </c>
      <c r="CK19" s="1818">
        <v>45474</v>
      </c>
      <c r="CL19" s="1729" t="s">
        <v>698</v>
      </c>
      <c r="CM19" s="1725">
        <v>0</v>
      </c>
      <c r="CN19" s="1821">
        <f>CM19/$CM$9</f>
        <v>0</v>
      </c>
      <c r="CO19" s="2148">
        <v>45844</v>
      </c>
      <c r="CP19" s="2152" t="s">
        <v>5156</v>
      </c>
      <c r="CQ19" s="2149">
        <v>18.579999999999998</v>
      </c>
      <c r="CR19" s="1821"/>
    </row>
    <row r="20" spans="1:96" ht="13.5">
      <c r="A20" s="1769">
        <v>37453</v>
      </c>
      <c r="B20" s="1711" t="s">
        <v>410</v>
      </c>
      <c r="C20" s="1716"/>
      <c r="D20" s="1717">
        <v>26</v>
      </c>
      <c r="E20" s="1702">
        <v>37806</v>
      </c>
      <c r="F20" s="1703" t="s">
        <v>5157</v>
      </c>
      <c r="G20" s="1704">
        <v>50</v>
      </c>
      <c r="H20" s="1705"/>
      <c r="I20" s="1702">
        <v>38171</v>
      </c>
      <c r="J20" s="1703" t="s">
        <v>5158</v>
      </c>
      <c r="K20" s="1704">
        <v>13</v>
      </c>
      <c r="L20" s="1705"/>
      <c r="M20" s="1702">
        <v>38540</v>
      </c>
      <c r="N20" s="1703" t="s">
        <v>802</v>
      </c>
      <c r="O20" s="1704">
        <v>28</v>
      </c>
      <c r="P20" s="1705"/>
      <c r="Q20" s="1702">
        <v>38907</v>
      </c>
      <c r="R20" s="1703" t="s">
        <v>797</v>
      </c>
      <c r="S20" s="1704">
        <v>31</v>
      </c>
      <c r="T20" s="1705"/>
      <c r="U20" s="1702">
        <v>39268</v>
      </c>
      <c r="V20" s="1703" t="s">
        <v>5159</v>
      </c>
      <c r="W20" s="1704">
        <v>6</v>
      </c>
      <c r="X20" s="1705"/>
      <c r="Y20" s="1702">
        <v>39633</v>
      </c>
      <c r="Z20" s="1703" t="s">
        <v>5160</v>
      </c>
      <c r="AA20" s="1704">
        <v>30</v>
      </c>
      <c r="AB20" s="1705"/>
      <c r="AC20" s="1702">
        <v>40001</v>
      </c>
      <c r="AD20" s="1703" t="s">
        <v>5161</v>
      </c>
      <c r="AE20" s="1704">
        <v>8</v>
      </c>
      <c r="AF20" s="1705"/>
      <c r="AG20" s="1702">
        <v>40365</v>
      </c>
      <c r="AH20" s="1703" t="s">
        <v>797</v>
      </c>
      <c r="AI20" s="1704">
        <v>37</v>
      </c>
      <c r="AJ20" s="1705"/>
      <c r="AK20" s="1702">
        <v>40734</v>
      </c>
      <c r="AL20" s="1703" t="s">
        <v>5162</v>
      </c>
      <c r="AM20" s="1704">
        <v>10</v>
      </c>
      <c r="AN20" s="1705"/>
      <c r="AO20" s="1702">
        <v>41098</v>
      </c>
      <c r="AP20" s="1703" t="s">
        <v>5163</v>
      </c>
      <c r="AQ20" s="1704">
        <v>45</v>
      </c>
      <c r="AR20" s="1705"/>
      <c r="AS20" s="1702">
        <v>41460</v>
      </c>
      <c r="AT20" s="1703" t="s">
        <v>869</v>
      </c>
      <c r="AU20" s="1704">
        <v>3</v>
      </c>
      <c r="AV20" s="1705"/>
      <c r="AW20" s="1702">
        <v>41825</v>
      </c>
      <c r="AX20" s="1703" t="s">
        <v>5164</v>
      </c>
      <c r="AY20" s="1704">
        <v>26</v>
      </c>
      <c r="AZ20" s="1705"/>
      <c r="BA20" s="1702">
        <v>42191</v>
      </c>
      <c r="BB20" s="1703" t="s">
        <v>5165</v>
      </c>
      <c r="BC20" s="1704">
        <v>30</v>
      </c>
      <c r="BD20" s="1705"/>
      <c r="BE20" s="1702">
        <v>42554</v>
      </c>
      <c r="BF20" s="1711" t="s">
        <v>954</v>
      </c>
      <c r="BG20" s="1716">
        <v>15</v>
      </c>
      <c r="BH20" s="1705"/>
      <c r="BI20" s="1702">
        <v>42920</v>
      </c>
      <c r="BJ20" s="1711" t="s">
        <v>5166</v>
      </c>
      <c r="BK20" s="1716">
        <v>48</v>
      </c>
      <c r="BL20" s="1717"/>
      <c r="BM20" s="1702">
        <v>43284</v>
      </c>
      <c r="BN20" s="1711" t="s">
        <v>5167</v>
      </c>
      <c r="BO20" s="1716">
        <v>20</v>
      </c>
      <c r="BP20" s="1705"/>
      <c r="BQ20" s="1702">
        <v>43652</v>
      </c>
      <c r="BR20" s="1711" t="s">
        <v>5168</v>
      </c>
      <c r="BS20" s="1716">
        <v>8</v>
      </c>
      <c r="BT20" s="1710" t="s">
        <v>280</v>
      </c>
      <c r="BU20" s="1702">
        <v>44013</v>
      </c>
      <c r="BV20" s="1711" t="s">
        <v>5169</v>
      </c>
      <c r="BW20" s="1716">
        <v>14</v>
      </c>
      <c r="BX20" s="1710" t="s">
        <v>414</v>
      </c>
      <c r="BY20" s="1702">
        <v>44381</v>
      </c>
      <c r="BZ20" s="1711" t="s">
        <v>2888</v>
      </c>
      <c r="CA20" s="1716">
        <v>68</v>
      </c>
      <c r="CB20" s="1710" t="s">
        <v>414</v>
      </c>
      <c r="CC20" s="1702">
        <v>44013</v>
      </c>
      <c r="CD20" s="1711" t="s">
        <v>5170</v>
      </c>
      <c r="CE20" s="1716">
        <v>15</v>
      </c>
      <c r="CF20" s="1710" t="s">
        <v>414</v>
      </c>
      <c r="CG20" s="1702">
        <v>45109</v>
      </c>
      <c r="CH20" s="1711" t="s">
        <v>5171</v>
      </c>
      <c r="CI20" s="1716">
        <v>15</v>
      </c>
      <c r="CJ20" s="1788" t="s">
        <v>280</v>
      </c>
      <c r="CK20" s="1818">
        <v>45474</v>
      </c>
      <c r="CL20" s="1735" t="s">
        <v>381</v>
      </c>
      <c r="CM20" s="1725">
        <f>CM28+CM31</f>
        <v>596</v>
      </c>
      <c r="CN20" s="1821">
        <f>CM20/$CM$9</f>
        <v>9.7210895449355739E-2</v>
      </c>
      <c r="CO20" s="2146">
        <v>45844</v>
      </c>
      <c r="CP20" s="2151" t="s">
        <v>5172</v>
      </c>
      <c r="CQ20" s="2147">
        <v>12.99</v>
      </c>
      <c r="CR20" s="1821"/>
    </row>
    <row r="21" spans="1:96" ht="23.25">
      <c r="A21" s="1769">
        <v>37453</v>
      </c>
      <c r="B21" s="1711" t="s">
        <v>5173</v>
      </c>
      <c r="C21" s="1716"/>
      <c r="D21" s="1717">
        <v>15</v>
      </c>
      <c r="E21" s="1702">
        <v>37806</v>
      </c>
      <c r="F21" s="1703" t="s">
        <v>5174</v>
      </c>
      <c r="G21" s="1704">
        <v>15</v>
      </c>
      <c r="H21" s="1705"/>
      <c r="I21" s="1702">
        <v>38173</v>
      </c>
      <c r="J21" s="1703" t="s">
        <v>5175</v>
      </c>
      <c r="K21" s="1704">
        <v>47</v>
      </c>
      <c r="L21" s="1705"/>
      <c r="M21" s="1702">
        <v>38540</v>
      </c>
      <c r="N21" s="1703" t="s">
        <v>2284</v>
      </c>
      <c r="O21" s="1704">
        <v>11</v>
      </c>
      <c r="P21" s="1705"/>
      <c r="Q21" s="1702">
        <v>38908</v>
      </c>
      <c r="R21" s="1703" t="s">
        <v>5176</v>
      </c>
      <c r="S21" s="1704">
        <v>23</v>
      </c>
      <c r="T21" s="1705"/>
      <c r="U21" s="1702">
        <v>39269</v>
      </c>
      <c r="V21" s="1703" t="s">
        <v>5177</v>
      </c>
      <c r="W21" s="1704">
        <v>102</v>
      </c>
      <c r="X21" s="1705"/>
      <c r="Y21" s="1702">
        <v>39634</v>
      </c>
      <c r="Z21" s="1703" t="s">
        <v>772</v>
      </c>
      <c r="AA21" s="1704">
        <v>115</v>
      </c>
      <c r="AB21" s="1705"/>
      <c r="AC21" s="1702">
        <v>40003</v>
      </c>
      <c r="AD21" s="1703" t="s">
        <v>5178</v>
      </c>
      <c r="AE21" s="1704">
        <v>20</v>
      </c>
      <c r="AF21" s="1705"/>
      <c r="AG21" s="1702">
        <v>40366</v>
      </c>
      <c r="AH21" s="1703" t="s">
        <v>797</v>
      </c>
      <c r="AI21" s="1704">
        <v>42</v>
      </c>
      <c r="AJ21" s="1705"/>
      <c r="AK21" s="1702">
        <v>40741</v>
      </c>
      <c r="AL21" s="1703" t="s">
        <v>772</v>
      </c>
      <c r="AM21" s="1704">
        <v>75</v>
      </c>
      <c r="AN21" s="1705"/>
      <c r="AO21" s="1702">
        <v>41098</v>
      </c>
      <c r="AP21" s="1703" t="s">
        <v>5179</v>
      </c>
      <c r="AQ21" s="1704">
        <v>55</v>
      </c>
      <c r="AR21" s="1705"/>
      <c r="AS21" s="1702">
        <v>41461</v>
      </c>
      <c r="AT21" s="1703" t="s">
        <v>5180</v>
      </c>
      <c r="AU21" s="1704"/>
      <c r="AV21" s="1705"/>
      <c r="AW21" s="1702">
        <v>41825</v>
      </c>
      <c r="AX21" s="1703" t="s">
        <v>5181</v>
      </c>
      <c r="AY21" s="1704">
        <v>15</v>
      </c>
      <c r="AZ21" s="1705"/>
      <c r="BA21" s="1702">
        <v>42192</v>
      </c>
      <c r="BB21" s="1703" t="s">
        <v>998</v>
      </c>
      <c r="BC21" s="1704">
        <v>50</v>
      </c>
      <c r="BD21" s="1705"/>
      <c r="BE21" s="1702">
        <v>42554</v>
      </c>
      <c r="BF21" s="1711" t="s">
        <v>954</v>
      </c>
      <c r="BG21" s="1716">
        <v>25</v>
      </c>
      <c r="BH21" s="1705"/>
      <c r="BI21" s="1702">
        <v>42922</v>
      </c>
      <c r="BJ21" s="1711" t="s">
        <v>5182</v>
      </c>
      <c r="BK21" s="1716">
        <v>190</v>
      </c>
      <c r="BL21" s="1705"/>
      <c r="BM21" s="1702">
        <v>43284</v>
      </c>
      <c r="BN21" s="1711" t="s">
        <v>872</v>
      </c>
      <c r="BO21" s="1716">
        <v>15</v>
      </c>
      <c r="BP21" s="1705"/>
      <c r="BQ21" s="1702">
        <v>43652</v>
      </c>
      <c r="BR21" s="1711" t="s">
        <v>5183</v>
      </c>
      <c r="BS21" s="1716">
        <v>30</v>
      </c>
      <c r="BT21" s="1710" t="s">
        <v>381</v>
      </c>
      <c r="BU21" s="1702">
        <v>44015</v>
      </c>
      <c r="BV21" s="1711" t="s">
        <v>5184</v>
      </c>
      <c r="BW21" s="1716">
        <v>12</v>
      </c>
      <c r="BX21" s="1710" t="s">
        <v>280</v>
      </c>
      <c r="BY21" s="1702">
        <v>44382</v>
      </c>
      <c r="BZ21" s="1711" t="s">
        <v>5185</v>
      </c>
      <c r="CA21" s="1716">
        <v>58</v>
      </c>
      <c r="CB21" s="1710" t="s">
        <v>700</v>
      </c>
      <c r="CC21" s="1702">
        <v>44013</v>
      </c>
      <c r="CD21" s="1711" t="s">
        <v>1722</v>
      </c>
      <c r="CE21" s="1716">
        <v>12</v>
      </c>
      <c r="CF21" s="1710" t="s">
        <v>414</v>
      </c>
      <c r="CG21" s="1702">
        <v>45109</v>
      </c>
      <c r="CH21" s="1711" t="s">
        <v>843</v>
      </c>
      <c r="CI21" s="1716">
        <v>27</v>
      </c>
      <c r="CJ21" s="1788" t="s">
        <v>414</v>
      </c>
      <c r="CK21" s="1818">
        <v>45474</v>
      </c>
      <c r="CL21" s="1735" t="s">
        <v>5186</v>
      </c>
      <c r="CM21" s="1725">
        <v>450</v>
      </c>
      <c r="CN21" s="1821">
        <f>CM21/$CM$9</f>
        <v>7.3397488174849132E-2</v>
      </c>
      <c r="CO21" s="2148">
        <v>45846</v>
      </c>
      <c r="CP21" s="2152" t="s">
        <v>5187</v>
      </c>
      <c r="CQ21" s="2149">
        <v>13.19</v>
      </c>
      <c r="CR21" s="1821"/>
    </row>
    <row r="22" spans="1:96" ht="23.25">
      <c r="A22" s="1769">
        <v>37453</v>
      </c>
      <c r="B22" s="1711" t="s">
        <v>5188</v>
      </c>
      <c r="C22" s="1716"/>
      <c r="D22" s="1717">
        <v>16</v>
      </c>
      <c r="E22" s="1702">
        <v>37806</v>
      </c>
      <c r="F22" s="1703" t="s">
        <v>410</v>
      </c>
      <c r="G22" s="1704">
        <v>22</v>
      </c>
      <c r="H22" s="1705"/>
      <c r="I22" s="1702">
        <v>38173</v>
      </c>
      <c r="J22" s="1703" t="s">
        <v>5189</v>
      </c>
      <c r="K22" s="1704">
        <v>21</v>
      </c>
      <c r="L22" s="1705"/>
      <c r="M22" s="1702">
        <v>38541</v>
      </c>
      <c r="N22" s="1703" t="s">
        <v>5190</v>
      </c>
      <c r="O22" s="1704">
        <v>13</v>
      </c>
      <c r="P22" s="1705"/>
      <c r="Q22" s="1702">
        <v>38908</v>
      </c>
      <c r="R22" s="1703" t="s">
        <v>767</v>
      </c>
      <c r="S22" s="1704">
        <v>23</v>
      </c>
      <c r="T22" s="1705"/>
      <c r="U22" s="1702">
        <v>39269</v>
      </c>
      <c r="V22" s="1703" t="s">
        <v>5191</v>
      </c>
      <c r="W22" s="1704">
        <v>0</v>
      </c>
      <c r="X22" s="1705"/>
      <c r="Y22" s="1702">
        <v>39635</v>
      </c>
      <c r="Z22" s="1703" t="s">
        <v>937</v>
      </c>
      <c r="AA22" s="1704">
        <v>37</v>
      </c>
      <c r="AB22" s="1705"/>
      <c r="AC22" s="1702">
        <v>40005</v>
      </c>
      <c r="AD22" s="1703" t="s">
        <v>5192</v>
      </c>
      <c r="AE22" s="1704">
        <v>19</v>
      </c>
      <c r="AF22" s="1705"/>
      <c r="AG22" s="1702">
        <v>40369</v>
      </c>
      <c r="AH22" s="1703" t="s">
        <v>5193</v>
      </c>
      <c r="AI22" s="1704">
        <v>0</v>
      </c>
      <c r="AJ22" s="1705"/>
      <c r="AK22" s="1702">
        <v>40741</v>
      </c>
      <c r="AL22" s="1703" t="s">
        <v>5194</v>
      </c>
      <c r="AM22" s="1704">
        <v>42</v>
      </c>
      <c r="AN22" s="1705"/>
      <c r="AO22" s="1702">
        <v>41098</v>
      </c>
      <c r="AP22" s="1703" t="s">
        <v>5195</v>
      </c>
      <c r="AQ22" s="1704">
        <v>10</v>
      </c>
      <c r="AR22" s="1705"/>
      <c r="AS22" s="1702">
        <v>41461</v>
      </c>
      <c r="AT22" s="1703" t="s">
        <v>5196</v>
      </c>
      <c r="AU22" s="1704"/>
      <c r="AV22" s="1705"/>
      <c r="AW22" s="1702">
        <v>41825</v>
      </c>
      <c r="AX22" s="1703" t="s">
        <v>954</v>
      </c>
      <c r="AY22" s="1704">
        <v>60</v>
      </c>
      <c r="AZ22" s="1705"/>
      <c r="BA22" s="1702">
        <v>42192</v>
      </c>
      <c r="BB22" s="1703" t="s">
        <v>925</v>
      </c>
      <c r="BC22" s="1704">
        <v>7</v>
      </c>
      <c r="BD22" s="1705"/>
      <c r="BE22" s="1702">
        <v>42556</v>
      </c>
      <c r="BF22" s="1711" t="s">
        <v>5197</v>
      </c>
      <c r="BG22" s="1716"/>
      <c r="BH22" s="1705"/>
      <c r="BI22" s="1702">
        <v>42923</v>
      </c>
      <c r="BJ22" s="1711" t="s">
        <v>1052</v>
      </c>
      <c r="BK22" s="1716">
        <v>21</v>
      </c>
      <c r="BL22" s="1705"/>
      <c r="BM22" s="1702">
        <v>43284</v>
      </c>
      <c r="BN22" s="1711" t="s">
        <v>5198</v>
      </c>
      <c r="BO22" s="1716">
        <v>13</v>
      </c>
      <c r="BP22" s="1705"/>
      <c r="BQ22" s="1702">
        <v>43652</v>
      </c>
      <c r="BR22" s="1711" t="s">
        <v>845</v>
      </c>
      <c r="BS22" s="1716">
        <v>48</v>
      </c>
      <c r="BT22" s="1710" t="s">
        <v>414</v>
      </c>
      <c r="BU22" s="1702">
        <v>44015</v>
      </c>
      <c r="BV22" s="1711" t="s">
        <v>5199</v>
      </c>
      <c r="BW22" s="1716">
        <v>0</v>
      </c>
      <c r="BX22" s="1710" t="s">
        <v>280</v>
      </c>
      <c r="BY22" s="1702">
        <v>44382</v>
      </c>
      <c r="BZ22" s="1711" t="s">
        <v>5200</v>
      </c>
      <c r="CA22" s="1716">
        <v>46</v>
      </c>
      <c r="CB22" s="1710" t="s">
        <v>700</v>
      </c>
      <c r="CC22" s="1702">
        <v>44013</v>
      </c>
      <c r="CD22" s="1711" t="s">
        <v>5201</v>
      </c>
      <c r="CE22" s="1716">
        <v>4</v>
      </c>
      <c r="CF22" s="1710" t="s">
        <v>414</v>
      </c>
      <c r="CG22" s="1702">
        <v>45115</v>
      </c>
      <c r="CH22" s="1711" t="s">
        <v>872</v>
      </c>
      <c r="CI22" s="1716">
        <v>13</v>
      </c>
      <c r="CJ22" s="1788" t="s">
        <v>414</v>
      </c>
      <c r="CK22" s="1818">
        <v>45474</v>
      </c>
      <c r="CL22" s="1727" t="s">
        <v>280</v>
      </c>
      <c r="CM22" s="1737">
        <f>CM46</f>
        <v>3200</v>
      </c>
      <c r="CN22" s="1821">
        <f>CM22/$CM$9</f>
        <v>0.52193769368781606</v>
      </c>
      <c r="CO22" s="2146">
        <v>45846</v>
      </c>
      <c r="CP22" s="2151" t="s">
        <v>5202</v>
      </c>
      <c r="CQ22" s="2147">
        <v>15.74</v>
      </c>
      <c r="CR22" s="1821"/>
    </row>
    <row r="23" spans="1:96" ht="35.25">
      <c r="A23" s="1769">
        <v>37453</v>
      </c>
      <c r="B23" s="1711" t="s">
        <v>5203</v>
      </c>
      <c r="C23" s="1716"/>
      <c r="D23" s="1717">
        <v>64</v>
      </c>
      <c r="E23" s="1702">
        <v>37806</v>
      </c>
      <c r="F23" s="1703" t="s">
        <v>5204</v>
      </c>
      <c r="G23" s="1704">
        <v>41</v>
      </c>
      <c r="H23" s="1705"/>
      <c r="I23" s="1702">
        <v>38173</v>
      </c>
      <c r="J23" s="1703" t="s">
        <v>5205</v>
      </c>
      <c r="K23" s="1704">
        <v>3</v>
      </c>
      <c r="L23" s="1705"/>
      <c r="M23" s="1702">
        <v>38541</v>
      </c>
      <c r="N23" s="1703" t="s">
        <v>5206</v>
      </c>
      <c r="O23" s="1704">
        <v>20</v>
      </c>
      <c r="P23" s="1705"/>
      <c r="Q23" s="1702">
        <v>38912</v>
      </c>
      <c r="R23" s="1703" t="s">
        <v>767</v>
      </c>
      <c r="S23" s="1704">
        <v>8</v>
      </c>
      <c r="T23" s="1705"/>
      <c r="U23" s="1702">
        <v>39270</v>
      </c>
      <c r="V23" s="1703" t="s">
        <v>5207</v>
      </c>
      <c r="W23" s="1704">
        <v>46</v>
      </c>
      <c r="X23" s="1705"/>
      <c r="Y23" s="1702">
        <v>39635</v>
      </c>
      <c r="Z23" s="1703" t="s">
        <v>797</v>
      </c>
      <c r="AA23" s="1704">
        <v>60</v>
      </c>
      <c r="AB23" s="1705"/>
      <c r="AC23" s="1702">
        <v>40005</v>
      </c>
      <c r="AD23" s="1703" t="s">
        <v>1189</v>
      </c>
      <c r="AE23" s="1704">
        <v>6</v>
      </c>
      <c r="AF23" s="1705"/>
      <c r="AG23" s="1702">
        <v>40369</v>
      </c>
      <c r="AH23" s="1703" t="s">
        <v>5208</v>
      </c>
      <c r="AI23" s="1704">
        <v>8</v>
      </c>
      <c r="AJ23" s="1705"/>
      <c r="AK23" s="1702">
        <v>40741</v>
      </c>
      <c r="AL23" s="1703" t="s">
        <v>797</v>
      </c>
      <c r="AM23" s="1704">
        <v>75</v>
      </c>
      <c r="AN23" s="1705"/>
      <c r="AO23" s="1702">
        <v>41098</v>
      </c>
      <c r="AP23" s="1703" t="s">
        <v>5209</v>
      </c>
      <c r="AQ23" s="1704">
        <v>21</v>
      </c>
      <c r="AR23" s="1705"/>
      <c r="AS23" s="1702">
        <v>41461</v>
      </c>
      <c r="AT23" s="1703" t="s">
        <v>5210</v>
      </c>
      <c r="AU23" s="1704">
        <v>12</v>
      </c>
      <c r="AV23" s="1705"/>
      <c r="AW23" s="1702">
        <v>41825</v>
      </c>
      <c r="AX23" s="1703" t="s">
        <v>979</v>
      </c>
      <c r="AY23" s="1704">
        <v>55</v>
      </c>
      <c r="AZ23" s="1705"/>
      <c r="BA23" s="1702">
        <v>42194</v>
      </c>
      <c r="BB23" s="1703" t="s">
        <v>5211</v>
      </c>
      <c r="BC23" s="1704">
        <v>20</v>
      </c>
      <c r="BD23" s="1705"/>
      <c r="BE23" s="1702">
        <v>42557</v>
      </c>
      <c r="BF23" s="1711" t="s">
        <v>5212</v>
      </c>
      <c r="BG23" s="1716">
        <v>17</v>
      </c>
      <c r="BH23" s="1705"/>
      <c r="BI23" s="1702">
        <v>42923</v>
      </c>
      <c r="BJ23" s="1711" t="s">
        <v>5213</v>
      </c>
      <c r="BK23" s="1716">
        <v>18</v>
      </c>
      <c r="BL23" s="1705"/>
      <c r="BM23" s="1702">
        <v>43284</v>
      </c>
      <c r="BN23" s="1711" t="s">
        <v>859</v>
      </c>
      <c r="BO23" s="1716">
        <v>21</v>
      </c>
      <c r="BP23" s="1717"/>
      <c r="BQ23" s="1702">
        <v>43652</v>
      </c>
      <c r="BR23" s="1711" t="s">
        <v>797</v>
      </c>
      <c r="BS23" s="1716">
        <v>65</v>
      </c>
      <c r="BT23" s="1710" t="s">
        <v>410</v>
      </c>
      <c r="BU23" s="1702">
        <v>44015</v>
      </c>
      <c r="BV23" s="1711" t="s">
        <v>845</v>
      </c>
      <c r="BW23" s="1716">
        <v>50</v>
      </c>
      <c r="BX23" s="1710" t="s">
        <v>414</v>
      </c>
      <c r="BY23" s="1702">
        <v>44382</v>
      </c>
      <c r="BZ23" s="1711" t="s">
        <v>1235</v>
      </c>
      <c r="CA23" s="1716">
        <v>12</v>
      </c>
      <c r="CB23" s="1710" t="s">
        <v>278</v>
      </c>
      <c r="CC23" s="1702">
        <v>44013</v>
      </c>
      <c r="CD23" s="1711" t="s">
        <v>3276</v>
      </c>
      <c r="CE23" s="1716">
        <v>0</v>
      </c>
      <c r="CF23" s="1710" t="s">
        <v>414</v>
      </c>
      <c r="CG23" s="1702">
        <v>45115</v>
      </c>
      <c r="CH23" s="1711" t="s">
        <v>5214</v>
      </c>
      <c r="CI23" s="1716">
        <v>105</v>
      </c>
      <c r="CJ23" s="1788" t="s">
        <v>280</v>
      </c>
      <c r="CK23" s="1818">
        <v>45476</v>
      </c>
      <c r="CL23" s="1835" t="s">
        <v>1180</v>
      </c>
      <c r="CM23" s="1836">
        <v>97</v>
      </c>
      <c r="CN23" s="1837" t="s">
        <v>410</v>
      </c>
      <c r="CO23" s="2148">
        <v>45846</v>
      </c>
      <c r="CP23" s="2152" t="s">
        <v>5215</v>
      </c>
      <c r="CQ23" s="2149">
        <v>12.74</v>
      </c>
      <c r="CR23" s="1837"/>
    </row>
    <row r="24" spans="1:96" ht="35.25">
      <c r="A24" s="1769">
        <v>37453</v>
      </c>
      <c r="B24" s="1711" t="s">
        <v>556</v>
      </c>
      <c r="C24" s="1716">
        <v>1075</v>
      </c>
      <c r="D24" s="1717"/>
      <c r="E24" s="1702">
        <v>37806</v>
      </c>
      <c r="F24" s="1703" t="s">
        <v>5216</v>
      </c>
      <c r="G24" s="1704">
        <v>86</v>
      </c>
      <c r="H24" s="1705"/>
      <c r="I24" s="1702">
        <v>38173</v>
      </c>
      <c r="J24" s="1703" t="s">
        <v>2284</v>
      </c>
      <c r="K24" s="1704">
        <v>79</v>
      </c>
      <c r="L24" s="1705"/>
      <c r="M24" s="1702">
        <v>38542</v>
      </c>
      <c r="N24" s="1703" t="s">
        <v>5217</v>
      </c>
      <c r="O24" s="1704">
        <v>28</v>
      </c>
      <c r="P24" s="1705"/>
      <c r="Q24" s="1702">
        <v>38913</v>
      </c>
      <c r="R24" s="1703" t="s">
        <v>5218</v>
      </c>
      <c r="S24" s="1704">
        <v>5</v>
      </c>
      <c r="T24" s="1705"/>
      <c r="U24" s="1702">
        <v>39270</v>
      </c>
      <c r="V24" s="1703" t="s">
        <v>5219</v>
      </c>
      <c r="W24" s="1704">
        <v>3</v>
      </c>
      <c r="X24" s="1705"/>
      <c r="Y24" s="1702">
        <v>39635</v>
      </c>
      <c r="Z24" s="1703" t="s">
        <v>5220</v>
      </c>
      <c r="AA24" s="1704">
        <v>10</v>
      </c>
      <c r="AB24" s="1705"/>
      <c r="AC24" s="1702">
        <v>40006</v>
      </c>
      <c r="AD24" s="1703" t="s">
        <v>797</v>
      </c>
      <c r="AE24" s="1704">
        <v>35</v>
      </c>
      <c r="AF24" s="1705"/>
      <c r="AG24" s="1702">
        <v>40369</v>
      </c>
      <c r="AH24" s="1703" t="s">
        <v>781</v>
      </c>
      <c r="AI24" s="1704">
        <v>75</v>
      </c>
      <c r="AJ24" s="1705"/>
      <c r="AK24" s="1702">
        <v>40745</v>
      </c>
      <c r="AL24" s="1703" t="s">
        <v>1052</v>
      </c>
      <c r="AM24" s="1704">
        <v>20</v>
      </c>
      <c r="AN24" s="1705"/>
      <c r="AO24" s="1702">
        <v>41104</v>
      </c>
      <c r="AP24" s="1703" t="s">
        <v>797</v>
      </c>
      <c r="AQ24" s="1704">
        <v>60</v>
      </c>
      <c r="AR24" s="1705"/>
      <c r="AS24" s="1702">
        <v>41461</v>
      </c>
      <c r="AT24" s="1703" t="s">
        <v>5221</v>
      </c>
      <c r="AU24" s="1704">
        <v>10</v>
      </c>
      <c r="AV24" s="1705"/>
      <c r="AW24" s="1702">
        <v>41825</v>
      </c>
      <c r="AX24" s="1703" t="s">
        <v>781</v>
      </c>
      <c r="AY24" s="1704">
        <v>32</v>
      </c>
      <c r="AZ24" s="1705"/>
      <c r="BA24" s="1702">
        <v>42196</v>
      </c>
      <c r="BB24" s="1703" t="s">
        <v>772</v>
      </c>
      <c r="BC24" s="1704">
        <v>60</v>
      </c>
      <c r="BD24" s="1705"/>
      <c r="BE24" s="1702">
        <v>42557</v>
      </c>
      <c r="BF24" s="1711" t="s">
        <v>5222</v>
      </c>
      <c r="BG24" s="1716">
        <v>1</v>
      </c>
      <c r="BH24" s="1705"/>
      <c r="BI24" s="1702">
        <v>42923</v>
      </c>
      <c r="BJ24" s="1711" t="s">
        <v>5223</v>
      </c>
      <c r="BK24" s="1716">
        <v>17</v>
      </c>
      <c r="BL24" s="1705"/>
      <c r="BM24" s="1702">
        <v>43286</v>
      </c>
      <c r="BN24" s="1711" t="s">
        <v>1055</v>
      </c>
      <c r="BO24" s="1716">
        <v>36</v>
      </c>
      <c r="BP24" s="1717"/>
      <c r="BQ24" s="1702">
        <v>43653</v>
      </c>
      <c r="BR24" s="1711" t="s">
        <v>772</v>
      </c>
      <c r="BS24" s="1716">
        <v>39</v>
      </c>
      <c r="BT24" s="1710" t="s">
        <v>414</v>
      </c>
      <c r="BU24" s="1702">
        <v>44015</v>
      </c>
      <c r="BV24" s="1711" t="s">
        <v>4513</v>
      </c>
      <c r="BW24" s="1716">
        <v>90</v>
      </c>
      <c r="BX24" s="1710" t="s">
        <v>280</v>
      </c>
      <c r="BY24" s="1702">
        <v>44385</v>
      </c>
      <c r="BZ24" s="1711" t="s">
        <v>2050</v>
      </c>
      <c r="CA24" s="1716">
        <v>8</v>
      </c>
      <c r="CB24" s="1710" t="s">
        <v>414</v>
      </c>
      <c r="CC24" s="1702">
        <v>44013</v>
      </c>
      <c r="CD24" s="1711" t="s">
        <v>5224</v>
      </c>
      <c r="CE24" s="1716">
        <v>60</v>
      </c>
      <c r="CF24" s="1710" t="s">
        <v>692</v>
      </c>
      <c r="CG24" s="1702">
        <v>45115</v>
      </c>
      <c r="CH24" s="1711" t="s">
        <v>845</v>
      </c>
      <c r="CI24" s="1716">
        <v>55</v>
      </c>
      <c r="CJ24" s="1788" t="s">
        <v>414</v>
      </c>
      <c r="CK24" s="1818">
        <v>45476</v>
      </c>
      <c r="CL24" s="1711" t="s">
        <v>5225</v>
      </c>
      <c r="CM24" s="1716">
        <v>49</v>
      </c>
      <c r="CN24" s="1819" t="s">
        <v>700</v>
      </c>
      <c r="CO24" s="2146">
        <v>45846</v>
      </c>
      <c r="CP24" s="2151" t="s">
        <v>5226</v>
      </c>
      <c r="CQ24" s="2147">
        <v>11.41</v>
      </c>
      <c r="CR24" s="1819"/>
    </row>
    <row r="25" spans="1:96" ht="35.25">
      <c r="A25" s="1769">
        <v>37455</v>
      </c>
      <c r="B25" s="1711" t="s">
        <v>5227</v>
      </c>
      <c r="C25" s="1716"/>
      <c r="D25" s="1717">
        <v>35</v>
      </c>
      <c r="E25" s="1702">
        <v>37806</v>
      </c>
      <c r="F25" s="1703" t="s">
        <v>5228</v>
      </c>
      <c r="G25" s="1704">
        <v>20</v>
      </c>
      <c r="H25" s="1705"/>
      <c r="I25" s="1702">
        <v>38174</v>
      </c>
      <c r="J25" s="1703" t="s">
        <v>5229</v>
      </c>
      <c r="K25" s="1704">
        <v>16</v>
      </c>
      <c r="L25" s="1705"/>
      <c r="M25" s="1702">
        <v>38542</v>
      </c>
      <c r="N25" s="1703" t="s">
        <v>2580</v>
      </c>
      <c r="O25" s="1704">
        <v>25</v>
      </c>
      <c r="P25" s="1705"/>
      <c r="Q25" s="1702">
        <v>38913</v>
      </c>
      <c r="R25" s="1703" t="s">
        <v>5230</v>
      </c>
      <c r="S25" s="1704">
        <v>51</v>
      </c>
      <c r="T25" s="1705"/>
      <c r="U25" s="1702">
        <v>39270</v>
      </c>
      <c r="V25" s="1703" t="s">
        <v>5231</v>
      </c>
      <c r="W25" s="1704">
        <v>0</v>
      </c>
      <c r="X25" s="1705"/>
      <c r="Y25" s="1702">
        <v>39635</v>
      </c>
      <c r="Z25" s="1703" t="s">
        <v>5232</v>
      </c>
      <c r="AA25" s="1704">
        <v>32</v>
      </c>
      <c r="AB25" s="1705"/>
      <c r="AC25" s="1702">
        <v>40006</v>
      </c>
      <c r="AD25" s="1703" t="s">
        <v>786</v>
      </c>
      <c r="AE25" s="1704">
        <v>19</v>
      </c>
      <c r="AF25" s="1705"/>
      <c r="AG25" s="1702">
        <v>40369</v>
      </c>
      <c r="AH25" s="1703" t="s">
        <v>5233</v>
      </c>
      <c r="AI25" s="1704">
        <v>0</v>
      </c>
      <c r="AJ25" s="1705"/>
      <c r="AK25" s="1702">
        <v>40747</v>
      </c>
      <c r="AL25" s="1703" t="s">
        <v>3012</v>
      </c>
      <c r="AM25" s="1704">
        <v>50</v>
      </c>
      <c r="AN25" s="1705"/>
      <c r="AO25" s="1702">
        <v>41104</v>
      </c>
      <c r="AP25" s="1703" t="s">
        <v>802</v>
      </c>
      <c r="AQ25" s="1704">
        <v>15</v>
      </c>
      <c r="AR25" s="1705"/>
      <c r="AS25" s="1702">
        <v>41461</v>
      </c>
      <c r="AT25" s="1703" t="s">
        <v>797</v>
      </c>
      <c r="AU25" s="1704">
        <v>52</v>
      </c>
      <c r="AV25" s="1705"/>
      <c r="AW25" s="1702">
        <v>41826</v>
      </c>
      <c r="AX25" s="1703" t="s">
        <v>1573</v>
      </c>
      <c r="AY25" s="1704">
        <v>21</v>
      </c>
      <c r="AZ25" s="1705"/>
      <c r="BA25" s="1702">
        <v>42196</v>
      </c>
      <c r="BB25" s="1703" t="s">
        <v>754</v>
      </c>
      <c r="BC25" s="1704">
        <v>50</v>
      </c>
      <c r="BD25" s="1705"/>
      <c r="BE25" s="1702">
        <v>42559</v>
      </c>
      <c r="BF25" s="1711" t="s">
        <v>754</v>
      </c>
      <c r="BG25" s="1716">
        <v>46</v>
      </c>
      <c r="BH25" s="1705"/>
      <c r="BI25" s="1702">
        <v>42923</v>
      </c>
      <c r="BJ25" s="1711" t="s">
        <v>5234</v>
      </c>
      <c r="BK25" s="1716">
        <v>35</v>
      </c>
      <c r="BL25" s="1705"/>
      <c r="BM25" s="1702">
        <v>43286</v>
      </c>
      <c r="BN25" s="1711" t="s">
        <v>873</v>
      </c>
      <c r="BO25" s="1716">
        <v>17</v>
      </c>
      <c r="BP25" s="1717"/>
      <c r="BQ25" s="1702">
        <v>43653</v>
      </c>
      <c r="BR25" s="1711" t="s">
        <v>843</v>
      </c>
      <c r="BS25" s="1716">
        <v>6</v>
      </c>
      <c r="BT25" s="1710" t="s">
        <v>414</v>
      </c>
      <c r="BU25" s="1702">
        <v>44015</v>
      </c>
      <c r="BV25" s="1711" t="s">
        <v>5235</v>
      </c>
      <c r="BW25" s="1716">
        <v>99</v>
      </c>
      <c r="BX25" s="1710" t="s">
        <v>689</v>
      </c>
      <c r="BY25" s="1702">
        <v>44385</v>
      </c>
      <c r="BZ25" s="1711" t="s">
        <v>1903</v>
      </c>
      <c r="CA25" s="1716">
        <v>110</v>
      </c>
      <c r="CB25" s="1710" t="s">
        <v>700</v>
      </c>
      <c r="CC25" s="1702">
        <v>44013</v>
      </c>
      <c r="CD25" s="1711" t="s">
        <v>5236</v>
      </c>
      <c r="CE25" s="1716">
        <v>5</v>
      </c>
      <c r="CF25" s="1710" t="s">
        <v>692</v>
      </c>
      <c r="CG25" s="1702">
        <v>45115</v>
      </c>
      <c r="CH25" s="1711" t="s">
        <v>5051</v>
      </c>
      <c r="CI25" s="1716">
        <v>34</v>
      </c>
      <c r="CJ25" s="1788" t="s">
        <v>414</v>
      </c>
      <c r="CK25" s="1818">
        <v>45476</v>
      </c>
      <c r="CL25" s="1711" t="s">
        <v>5237</v>
      </c>
      <c r="CM25" s="1716">
        <v>87</v>
      </c>
      <c r="CN25" s="1819" t="s">
        <v>278</v>
      </c>
      <c r="CO25" s="2148">
        <v>45847</v>
      </c>
      <c r="CP25" s="2152" t="s">
        <v>5238</v>
      </c>
      <c r="CQ25" s="2149">
        <v>40.99</v>
      </c>
      <c r="CR25" s="1819"/>
    </row>
    <row r="26" spans="1:96" ht="35.25">
      <c r="A26" s="1769">
        <v>37455</v>
      </c>
      <c r="B26" s="1711" t="s">
        <v>5239</v>
      </c>
      <c r="C26" s="1716"/>
      <c r="D26" s="1717">
        <v>325</v>
      </c>
      <c r="E26" s="1702">
        <v>37806</v>
      </c>
      <c r="F26" s="1703" t="s">
        <v>5240</v>
      </c>
      <c r="G26" s="1704">
        <v>48</v>
      </c>
      <c r="H26" s="1705"/>
      <c r="I26" s="1702">
        <v>38176</v>
      </c>
      <c r="J26" s="1703" t="s">
        <v>802</v>
      </c>
      <c r="K26" s="1704">
        <v>29</v>
      </c>
      <c r="L26" s="1705"/>
      <c r="M26" s="1702">
        <v>38543</v>
      </c>
      <c r="N26" s="1703" t="s">
        <v>1157</v>
      </c>
      <c r="O26" s="1704">
        <v>50</v>
      </c>
      <c r="P26" s="1705"/>
      <c r="Q26" s="1702">
        <v>38913</v>
      </c>
      <c r="R26" s="1703" t="s">
        <v>5241</v>
      </c>
      <c r="S26" s="1704">
        <v>4</v>
      </c>
      <c r="T26" s="1705"/>
      <c r="U26" s="1702">
        <v>39271</v>
      </c>
      <c r="V26" s="1703" t="s">
        <v>5242</v>
      </c>
      <c r="W26" s="1704">
        <v>3</v>
      </c>
      <c r="X26" s="1705"/>
      <c r="Y26" s="1702">
        <v>39635</v>
      </c>
      <c r="Z26" s="1703" t="s">
        <v>5243</v>
      </c>
      <c r="AA26" s="1704">
        <v>12</v>
      </c>
      <c r="AB26" s="1705"/>
      <c r="AC26" s="1702">
        <v>40006</v>
      </c>
      <c r="AD26" s="1703" t="s">
        <v>965</v>
      </c>
      <c r="AE26" s="1704">
        <v>3</v>
      </c>
      <c r="AF26" s="1705"/>
      <c r="AG26" s="1702">
        <v>40373</v>
      </c>
      <c r="AH26" s="1703" t="s">
        <v>5244</v>
      </c>
      <c r="AI26" s="1704">
        <v>15</v>
      </c>
      <c r="AJ26" s="1705"/>
      <c r="AK26" s="1702">
        <v>40747</v>
      </c>
      <c r="AL26" s="1703" t="s">
        <v>1157</v>
      </c>
      <c r="AM26" s="1704">
        <v>57</v>
      </c>
      <c r="AN26" s="1705"/>
      <c r="AO26" s="1702">
        <v>41104</v>
      </c>
      <c r="AP26" s="1703" t="s">
        <v>5245</v>
      </c>
      <c r="AQ26" s="1704">
        <v>16</v>
      </c>
      <c r="AR26" s="1705"/>
      <c r="AS26" s="1702">
        <v>41462</v>
      </c>
      <c r="AT26" s="1703" t="s">
        <v>754</v>
      </c>
      <c r="AU26" s="1704">
        <v>144</v>
      </c>
      <c r="AV26" s="1705"/>
      <c r="AW26" s="1702">
        <v>41826</v>
      </c>
      <c r="AX26" s="1703" t="s">
        <v>2005</v>
      </c>
      <c r="AY26" s="1704">
        <v>63</v>
      </c>
      <c r="AZ26" s="1705"/>
      <c r="BA26" s="1702">
        <v>42197</v>
      </c>
      <c r="BB26" s="1703" t="s">
        <v>781</v>
      </c>
      <c r="BC26" s="1704">
        <v>51</v>
      </c>
      <c r="BD26" s="1705"/>
      <c r="BE26" s="1702">
        <v>42559</v>
      </c>
      <c r="BF26" s="1711" t="s">
        <v>5246</v>
      </c>
      <c r="BG26" s="1716">
        <v>100</v>
      </c>
      <c r="BH26" s="1705"/>
      <c r="BI26" s="1702">
        <v>42923</v>
      </c>
      <c r="BJ26" s="1711" t="s">
        <v>5247</v>
      </c>
      <c r="BK26" s="1716">
        <v>8</v>
      </c>
      <c r="BL26" s="1705"/>
      <c r="BM26" s="1702">
        <v>43286</v>
      </c>
      <c r="BN26" s="1711" t="s">
        <v>2502</v>
      </c>
      <c r="BO26" s="1716">
        <v>86</v>
      </c>
      <c r="BP26" s="1717"/>
      <c r="BQ26" s="1702">
        <v>43653</v>
      </c>
      <c r="BR26" s="1711" t="s">
        <v>872</v>
      </c>
      <c r="BS26" s="1716">
        <v>15</v>
      </c>
      <c r="BT26" s="1710" t="s">
        <v>414</v>
      </c>
      <c r="BU26" s="1702">
        <v>44016</v>
      </c>
      <c r="BV26" s="1711" t="s">
        <v>1231</v>
      </c>
      <c r="BW26" s="1716">
        <v>54</v>
      </c>
      <c r="BX26" s="1710" t="s">
        <v>414</v>
      </c>
      <c r="BY26" s="1702">
        <v>44385</v>
      </c>
      <c r="BZ26" s="1711" t="s">
        <v>5248</v>
      </c>
      <c r="CA26" s="1716">
        <v>65</v>
      </c>
      <c r="CB26" s="1710" t="s">
        <v>700</v>
      </c>
      <c r="CC26" s="1702">
        <v>44743</v>
      </c>
      <c r="CD26" s="1711" t="s">
        <v>2162</v>
      </c>
      <c r="CE26" s="1716">
        <v>7</v>
      </c>
      <c r="CF26" s="1710" t="s">
        <v>414</v>
      </c>
      <c r="CG26" s="1702">
        <v>45115</v>
      </c>
      <c r="CH26" s="1711" t="s">
        <v>5249</v>
      </c>
      <c r="CI26" s="1716">
        <v>15</v>
      </c>
      <c r="CJ26" s="1788" t="s">
        <v>280</v>
      </c>
      <c r="CK26" s="1818">
        <v>45476</v>
      </c>
      <c r="CL26" s="1711" t="s">
        <v>5250</v>
      </c>
      <c r="CM26" s="1716">
        <v>88</v>
      </c>
      <c r="CN26" s="1819" t="s">
        <v>692</v>
      </c>
      <c r="CO26" s="2146">
        <v>45847</v>
      </c>
      <c r="CP26" s="2151" t="s">
        <v>5251</v>
      </c>
      <c r="CQ26" s="2147">
        <v>13.25</v>
      </c>
      <c r="CR26" s="1819"/>
    </row>
    <row r="27" spans="1:96" ht="13.5">
      <c r="A27" s="1769">
        <v>37455</v>
      </c>
      <c r="B27" s="1711" t="s">
        <v>864</v>
      </c>
      <c r="C27" s="1716">
        <v>30</v>
      </c>
      <c r="D27" s="1717">
        <v>60</v>
      </c>
      <c r="E27" s="1702">
        <v>37806</v>
      </c>
      <c r="F27" s="1703" t="s">
        <v>5252</v>
      </c>
      <c r="G27" s="1704">
        <v>13</v>
      </c>
      <c r="H27" s="1705"/>
      <c r="I27" s="1702">
        <v>38176</v>
      </c>
      <c r="J27" s="1703" t="s">
        <v>5253</v>
      </c>
      <c r="K27" s="1704">
        <v>16</v>
      </c>
      <c r="L27" s="1705"/>
      <c r="M27" s="1702">
        <v>38543</v>
      </c>
      <c r="N27" s="1703" t="s">
        <v>2778</v>
      </c>
      <c r="O27" s="1704">
        <v>16</v>
      </c>
      <c r="P27" s="1705"/>
      <c r="Q27" s="1702">
        <v>38913</v>
      </c>
      <c r="R27" s="1703" t="s">
        <v>5254</v>
      </c>
      <c r="S27" s="1704">
        <v>4</v>
      </c>
      <c r="T27" s="1705"/>
      <c r="U27" s="1702">
        <v>39271</v>
      </c>
      <c r="V27" s="1703" t="s">
        <v>5255</v>
      </c>
      <c r="W27" s="1704">
        <v>24</v>
      </c>
      <c r="X27" s="1705"/>
      <c r="Y27" s="1702">
        <v>39636</v>
      </c>
      <c r="Z27" s="1703" t="s">
        <v>5256</v>
      </c>
      <c r="AA27" s="1704">
        <v>12</v>
      </c>
      <c r="AB27" s="1705"/>
      <c r="AC27" s="1702">
        <v>40010</v>
      </c>
      <c r="AD27" s="1703" t="s">
        <v>772</v>
      </c>
      <c r="AE27" s="1704">
        <v>91</v>
      </c>
      <c r="AF27" s="1705"/>
      <c r="AG27" s="1702">
        <v>40374</v>
      </c>
      <c r="AH27" s="1703" t="s">
        <v>5257</v>
      </c>
      <c r="AI27" s="1704">
        <v>8</v>
      </c>
      <c r="AJ27" s="1705"/>
      <c r="AK27" s="1702">
        <v>40748</v>
      </c>
      <c r="AL27" s="1703" t="s">
        <v>5258</v>
      </c>
      <c r="AM27" s="1704">
        <v>80</v>
      </c>
      <c r="AN27" s="1705"/>
      <c r="AO27" s="1702">
        <v>41104</v>
      </c>
      <c r="AP27" s="1703" t="s">
        <v>5259</v>
      </c>
      <c r="AQ27" s="1704">
        <v>48</v>
      </c>
      <c r="AR27" s="1705"/>
      <c r="AS27" s="1702">
        <v>41462</v>
      </c>
      <c r="AT27" s="1703" t="s">
        <v>797</v>
      </c>
      <c r="AU27" s="1704">
        <v>19</v>
      </c>
      <c r="AV27" s="1705"/>
      <c r="AW27" s="1702">
        <v>41828</v>
      </c>
      <c r="AX27" s="1703" t="s">
        <v>802</v>
      </c>
      <c r="AY27" s="1704">
        <v>45</v>
      </c>
      <c r="AZ27" s="1705"/>
      <c r="BA27" s="1702">
        <v>42197</v>
      </c>
      <c r="BB27" s="1703" t="s">
        <v>954</v>
      </c>
      <c r="BC27" s="1704">
        <v>30</v>
      </c>
      <c r="BD27" s="1705"/>
      <c r="BE27" s="1702">
        <v>42559</v>
      </c>
      <c r="BF27" s="1711" t="s">
        <v>5260</v>
      </c>
      <c r="BG27" s="1716">
        <v>30</v>
      </c>
      <c r="BH27" s="1705"/>
      <c r="BI27" s="1702">
        <v>42923</v>
      </c>
      <c r="BJ27" s="1711" t="s">
        <v>5261</v>
      </c>
      <c r="BK27" s="1716">
        <v>6</v>
      </c>
      <c r="BL27" s="1705"/>
      <c r="BM27" s="1702">
        <v>43286</v>
      </c>
      <c r="BN27" s="1711" t="s">
        <v>890</v>
      </c>
      <c r="BO27" s="1716">
        <v>15</v>
      </c>
      <c r="BP27" s="1705"/>
      <c r="BQ27" s="1702">
        <v>43653</v>
      </c>
      <c r="BR27" s="1711" t="s">
        <v>1427</v>
      </c>
      <c r="BS27" s="1716">
        <v>12</v>
      </c>
      <c r="BT27" s="1710" t="s">
        <v>414</v>
      </c>
      <c r="BU27" s="1702">
        <v>44016</v>
      </c>
      <c r="BV27" s="1711" t="s">
        <v>5262</v>
      </c>
      <c r="BW27" s="1716">
        <v>0</v>
      </c>
      <c r="BX27" s="1710" t="s">
        <v>414</v>
      </c>
      <c r="BY27" s="1702">
        <v>44385</v>
      </c>
      <c r="BZ27" s="1711" t="s">
        <v>4543</v>
      </c>
      <c r="CA27" s="1716">
        <v>8</v>
      </c>
      <c r="CB27" s="1710" t="s">
        <v>414</v>
      </c>
      <c r="CC27" s="1702">
        <v>44743</v>
      </c>
      <c r="CD27" s="1711" t="s">
        <v>948</v>
      </c>
      <c r="CE27" s="1716">
        <v>13</v>
      </c>
      <c r="CF27" s="1710" t="s">
        <v>414</v>
      </c>
      <c r="CG27" s="1702">
        <v>45115</v>
      </c>
      <c r="CH27" s="1711" t="s">
        <v>5263</v>
      </c>
      <c r="CI27" s="1716">
        <v>0</v>
      </c>
      <c r="CJ27" s="1788" t="s">
        <v>700</v>
      </c>
      <c r="CK27" s="1818">
        <v>45476</v>
      </c>
      <c r="CL27" s="1711" t="s">
        <v>5264</v>
      </c>
      <c r="CM27" s="1716">
        <v>27</v>
      </c>
      <c r="CN27" s="1819" t="s">
        <v>692</v>
      </c>
      <c r="CO27" s="2148">
        <v>45847</v>
      </c>
      <c r="CP27" s="2152" t="s">
        <v>5265</v>
      </c>
      <c r="CQ27" s="2149">
        <v>1.61</v>
      </c>
      <c r="CR27" s="1819"/>
    </row>
    <row r="28" spans="1:96" ht="13.5">
      <c r="A28" s="1769">
        <v>37456</v>
      </c>
      <c r="B28" s="1711" t="s">
        <v>5266</v>
      </c>
      <c r="C28" s="1716"/>
      <c r="D28" s="1717">
        <v>35</v>
      </c>
      <c r="E28" s="1702">
        <v>37806</v>
      </c>
      <c r="F28" s="1703" t="s">
        <v>2226</v>
      </c>
      <c r="G28" s="1704">
        <v>74</v>
      </c>
      <c r="H28" s="1705"/>
      <c r="I28" s="1702">
        <v>38176</v>
      </c>
      <c r="J28" s="1703" t="s">
        <v>772</v>
      </c>
      <c r="K28" s="1704">
        <v>38</v>
      </c>
      <c r="L28" s="1705"/>
      <c r="M28" s="1702">
        <v>38543</v>
      </c>
      <c r="N28" s="1703" t="s">
        <v>937</v>
      </c>
      <c r="O28" s="1704">
        <v>13</v>
      </c>
      <c r="P28" s="1705"/>
      <c r="Q28" s="1702">
        <v>38913</v>
      </c>
      <c r="R28" s="1703" t="s">
        <v>767</v>
      </c>
      <c r="S28" s="1704">
        <v>33</v>
      </c>
      <c r="T28" s="1705"/>
      <c r="U28" s="1702">
        <v>39271</v>
      </c>
      <c r="V28" s="1703" t="s">
        <v>5267</v>
      </c>
      <c r="W28" s="1704">
        <v>10</v>
      </c>
      <c r="X28" s="1705"/>
      <c r="Y28" s="1702">
        <v>39636</v>
      </c>
      <c r="Z28" s="1703" t="s">
        <v>5268</v>
      </c>
      <c r="AA28" s="1704">
        <v>6</v>
      </c>
      <c r="AB28" s="1705"/>
      <c r="AC28" s="1702">
        <v>40010</v>
      </c>
      <c r="AD28" s="1703" t="s">
        <v>937</v>
      </c>
      <c r="AE28" s="1704">
        <v>3</v>
      </c>
      <c r="AF28" s="1705"/>
      <c r="AG28" s="1702">
        <v>40374</v>
      </c>
      <c r="AH28" s="1703" t="s">
        <v>5269</v>
      </c>
      <c r="AI28" s="1704">
        <v>15</v>
      </c>
      <c r="AJ28" s="1705"/>
      <c r="AK28" s="1702">
        <v>40749</v>
      </c>
      <c r="AL28" s="1703" t="s">
        <v>797</v>
      </c>
      <c r="AM28" s="1704">
        <v>57</v>
      </c>
      <c r="AN28" s="1705"/>
      <c r="AO28" s="1702">
        <v>41105</v>
      </c>
      <c r="AP28" s="1703" t="s">
        <v>5270</v>
      </c>
      <c r="AQ28" s="1704">
        <v>32</v>
      </c>
      <c r="AR28" s="1705"/>
      <c r="AS28" s="1702">
        <v>41463</v>
      </c>
      <c r="AT28" s="1703" t="s">
        <v>5271</v>
      </c>
      <c r="AU28" s="1704">
        <v>30</v>
      </c>
      <c r="AV28" s="1705"/>
      <c r="AW28" s="1702">
        <v>41828</v>
      </c>
      <c r="AX28" s="1703" t="s">
        <v>5272</v>
      </c>
      <c r="AY28" s="1704">
        <v>35</v>
      </c>
      <c r="AZ28" s="1705"/>
      <c r="BA28" s="1702">
        <v>42197</v>
      </c>
      <c r="BB28" s="1703" t="s">
        <v>797</v>
      </c>
      <c r="BC28" s="1704">
        <v>50</v>
      </c>
      <c r="BD28" s="1705"/>
      <c r="BE28" s="1702">
        <v>42559</v>
      </c>
      <c r="BF28" s="1711" t="s">
        <v>5273</v>
      </c>
      <c r="BG28" s="1716">
        <v>15</v>
      </c>
      <c r="BH28" s="1705"/>
      <c r="BI28" s="1702">
        <v>42923</v>
      </c>
      <c r="BJ28" s="1711" t="s">
        <v>5274</v>
      </c>
      <c r="BK28" s="1716">
        <v>19</v>
      </c>
      <c r="BL28" s="1705"/>
      <c r="BM28" s="1702">
        <v>43286</v>
      </c>
      <c r="BN28" s="1711" t="s">
        <v>5275</v>
      </c>
      <c r="BO28" s="1716">
        <v>19</v>
      </c>
      <c r="BP28" s="1705"/>
      <c r="BQ28" s="1702">
        <v>43654</v>
      </c>
      <c r="BR28" s="1711" t="s">
        <v>5276</v>
      </c>
      <c r="BS28" s="1716">
        <f>2375/2</f>
        <v>1187.5</v>
      </c>
      <c r="BT28" s="1710" t="s">
        <v>706</v>
      </c>
      <c r="BU28" s="1702">
        <v>44017</v>
      </c>
      <c r="BV28" s="1711" t="s">
        <v>5277</v>
      </c>
      <c r="BW28" s="1716">
        <v>16</v>
      </c>
      <c r="BX28" s="1710" t="s">
        <v>280</v>
      </c>
      <c r="BY28" s="1702">
        <v>44385</v>
      </c>
      <c r="BZ28" s="1711" t="s">
        <v>890</v>
      </c>
      <c r="CA28" s="1716">
        <v>56</v>
      </c>
      <c r="CB28" s="1710" t="s">
        <v>414</v>
      </c>
      <c r="CC28" s="1702">
        <v>44744</v>
      </c>
      <c r="CD28" s="1711" t="s">
        <v>1180</v>
      </c>
      <c r="CE28" s="1716">
        <v>126</v>
      </c>
      <c r="CF28" s="1710" t="s">
        <v>410</v>
      </c>
      <c r="CG28" s="1702">
        <v>45119</v>
      </c>
      <c r="CH28" s="1711" t="s">
        <v>797</v>
      </c>
      <c r="CI28" s="1716">
        <v>81</v>
      </c>
      <c r="CJ28" s="1788" t="s">
        <v>410</v>
      </c>
      <c r="CK28" s="1818">
        <v>45477</v>
      </c>
      <c r="CL28" s="1711" t="s">
        <v>5278</v>
      </c>
      <c r="CM28" s="1716">
        <v>96</v>
      </c>
      <c r="CN28" s="1819" t="s">
        <v>381</v>
      </c>
      <c r="CO28" s="2146">
        <v>45847</v>
      </c>
      <c r="CP28" s="2151" t="s">
        <v>5279</v>
      </c>
      <c r="CQ28" s="2147">
        <v>2.76</v>
      </c>
      <c r="CR28" s="1819"/>
    </row>
    <row r="29" spans="1:96" ht="35.25">
      <c r="A29" s="1769">
        <v>37456</v>
      </c>
      <c r="B29" s="1711" t="s">
        <v>5280</v>
      </c>
      <c r="C29" s="1716"/>
      <c r="D29" s="1717">
        <v>25</v>
      </c>
      <c r="E29" s="1702">
        <v>37806</v>
      </c>
      <c r="F29" s="1703" t="s">
        <v>2149</v>
      </c>
      <c r="G29" s="1704">
        <v>63</v>
      </c>
      <c r="H29" s="1705"/>
      <c r="I29" s="1702">
        <v>38177</v>
      </c>
      <c r="J29" s="1703" t="s">
        <v>5281</v>
      </c>
      <c r="K29" s="1704">
        <v>10</v>
      </c>
      <c r="L29" s="1705"/>
      <c r="M29" s="1702">
        <v>38543</v>
      </c>
      <c r="N29" s="1703" t="s">
        <v>797</v>
      </c>
      <c r="O29" s="1704">
        <v>35</v>
      </c>
      <c r="P29" s="1705"/>
      <c r="Q29" s="1702">
        <v>38913</v>
      </c>
      <c r="R29" s="1703" t="s">
        <v>5282</v>
      </c>
      <c r="S29" s="1704">
        <v>30</v>
      </c>
      <c r="T29" s="1705"/>
      <c r="U29" s="1702">
        <v>39271</v>
      </c>
      <c r="V29" s="1703" t="s">
        <v>5283</v>
      </c>
      <c r="W29" s="1704">
        <v>25</v>
      </c>
      <c r="X29" s="1705"/>
      <c r="Y29" s="1702">
        <v>39636</v>
      </c>
      <c r="Z29" s="1703" t="s">
        <v>5284</v>
      </c>
      <c r="AA29" s="1704">
        <v>6</v>
      </c>
      <c r="AB29" s="1705"/>
      <c r="AC29" s="1702">
        <v>40010</v>
      </c>
      <c r="AD29" s="1703" t="s">
        <v>802</v>
      </c>
      <c r="AE29" s="1704">
        <v>14</v>
      </c>
      <c r="AF29" s="1705"/>
      <c r="AG29" s="1702">
        <v>40376</v>
      </c>
      <c r="AH29" s="1703" t="s">
        <v>781</v>
      </c>
      <c r="AI29" s="1704">
        <v>92</v>
      </c>
      <c r="AJ29" s="1705"/>
      <c r="AK29" s="1702">
        <v>40749</v>
      </c>
      <c r="AL29" s="1703" t="s">
        <v>5285</v>
      </c>
      <c r="AM29" s="1704">
        <v>10</v>
      </c>
      <c r="AN29" s="1705"/>
      <c r="AO29" s="1702">
        <v>41105</v>
      </c>
      <c r="AP29" s="1703" t="s">
        <v>5286</v>
      </c>
      <c r="AQ29" s="1704">
        <v>0</v>
      </c>
      <c r="AR29" s="1705"/>
      <c r="AS29" s="1702">
        <v>41463</v>
      </c>
      <c r="AT29" s="1703" t="s">
        <v>5287</v>
      </c>
      <c r="AU29" s="1704">
        <v>6</v>
      </c>
      <c r="AV29" s="1705"/>
      <c r="AW29" s="1702">
        <v>41828</v>
      </c>
      <c r="AX29" s="1703" t="s">
        <v>5288</v>
      </c>
      <c r="AY29" s="1704">
        <v>19</v>
      </c>
      <c r="AZ29" s="1705"/>
      <c r="BA29" s="1702">
        <v>42198</v>
      </c>
      <c r="BB29" s="1703" t="s">
        <v>754</v>
      </c>
      <c r="BC29" s="1704">
        <v>33</v>
      </c>
      <c r="BD29" s="1705"/>
      <c r="BE29" s="1702">
        <v>42560</v>
      </c>
      <c r="BF29" s="1711" t="s">
        <v>5289</v>
      </c>
      <c r="BG29" s="1716">
        <v>84</v>
      </c>
      <c r="BH29" s="1705"/>
      <c r="BI29" s="1702">
        <v>42923</v>
      </c>
      <c r="BJ29" s="1711" t="s">
        <v>5290</v>
      </c>
      <c r="BK29" s="1716">
        <v>20</v>
      </c>
      <c r="BL29" s="1705"/>
      <c r="BM29" s="1702">
        <v>43286</v>
      </c>
      <c r="BN29" s="1711" t="s">
        <v>5291</v>
      </c>
      <c r="BO29" s="1716">
        <v>27</v>
      </c>
      <c r="BP29" s="1705"/>
      <c r="BQ29" s="1702">
        <v>43654</v>
      </c>
      <c r="BR29" s="1711" t="s">
        <v>5292</v>
      </c>
      <c r="BS29" s="1716">
        <v>664</v>
      </c>
      <c r="BT29" s="1710" t="s">
        <v>706</v>
      </c>
      <c r="BU29" s="1702">
        <v>44020</v>
      </c>
      <c r="BV29" s="1711" t="s">
        <v>5293</v>
      </c>
      <c r="BW29" s="1716">
        <v>69</v>
      </c>
      <c r="BX29" s="1710" t="s">
        <v>280</v>
      </c>
      <c r="BY29" s="1702">
        <v>44387</v>
      </c>
      <c r="BZ29" s="1711" t="s">
        <v>845</v>
      </c>
      <c r="CA29" s="1716">
        <v>20</v>
      </c>
      <c r="CB29" s="1710" t="s">
        <v>414</v>
      </c>
      <c r="CC29" s="1702">
        <v>44744</v>
      </c>
      <c r="CD29" s="1711" t="s">
        <v>5294</v>
      </c>
      <c r="CE29" s="1716">
        <v>20</v>
      </c>
      <c r="CF29" s="1710" t="s">
        <v>698</v>
      </c>
      <c r="CG29" s="1702">
        <v>45120</v>
      </c>
      <c r="CH29" s="1711" t="s">
        <v>5295</v>
      </c>
      <c r="CI29" s="1716">
        <v>0</v>
      </c>
      <c r="CJ29" s="1788" t="s">
        <v>700</v>
      </c>
      <c r="CK29" s="1818">
        <v>45477</v>
      </c>
      <c r="CL29" s="1711" t="s">
        <v>5296</v>
      </c>
      <c r="CM29" s="1716">
        <v>11</v>
      </c>
      <c r="CN29" s="1819" t="s">
        <v>278</v>
      </c>
      <c r="CO29" s="2148">
        <v>45848</v>
      </c>
      <c r="CP29" s="2152" t="s">
        <v>5297</v>
      </c>
      <c r="CQ29" s="2149">
        <v>6.85</v>
      </c>
      <c r="CR29" s="1819"/>
    </row>
    <row r="30" spans="1:96" ht="23.25">
      <c r="A30" s="1769">
        <v>37456</v>
      </c>
      <c r="B30" s="1711" t="s">
        <v>5298</v>
      </c>
      <c r="C30" s="1716">
        <v>15</v>
      </c>
      <c r="D30" s="1717"/>
      <c r="E30" s="1702">
        <v>37806</v>
      </c>
      <c r="F30" s="1703" t="s">
        <v>5299</v>
      </c>
      <c r="G30" s="1704">
        <v>23</v>
      </c>
      <c r="H30" s="1705"/>
      <c r="I30" s="1702">
        <v>38177</v>
      </c>
      <c r="J30" s="1703" t="s">
        <v>5300</v>
      </c>
      <c r="K30" s="1704">
        <v>10</v>
      </c>
      <c r="L30" s="1705"/>
      <c r="M30" s="1702">
        <v>38544</v>
      </c>
      <c r="N30" s="1703" t="s">
        <v>5301</v>
      </c>
      <c r="O30" s="1704">
        <v>20</v>
      </c>
      <c r="P30" s="1705"/>
      <c r="Q30" s="1702">
        <v>38914</v>
      </c>
      <c r="R30" s="1703" t="s">
        <v>5302</v>
      </c>
      <c r="S30" s="1704">
        <v>5</v>
      </c>
      <c r="T30" s="1705"/>
      <c r="U30" s="1702"/>
      <c r="V30" s="1703"/>
      <c r="W30" s="1704"/>
      <c r="X30" s="1705"/>
      <c r="Y30" s="1702">
        <v>39636</v>
      </c>
      <c r="Z30" s="1703" t="s">
        <v>5303</v>
      </c>
      <c r="AA30" s="1704">
        <v>28</v>
      </c>
      <c r="AB30" s="1705"/>
      <c r="AC30" s="1702">
        <v>40012</v>
      </c>
      <c r="AD30" s="1703" t="s">
        <v>781</v>
      </c>
      <c r="AE30" s="1704">
        <v>80</v>
      </c>
      <c r="AF30" s="1705"/>
      <c r="AG30" s="1702">
        <v>40376</v>
      </c>
      <c r="AH30" s="1703" t="s">
        <v>5304</v>
      </c>
      <c r="AI30" s="1704">
        <v>38</v>
      </c>
      <c r="AJ30" s="1705"/>
      <c r="AK30" s="1702">
        <v>40753</v>
      </c>
      <c r="AL30" s="1703" t="s">
        <v>5305</v>
      </c>
      <c r="AM30" s="1704">
        <v>14</v>
      </c>
      <c r="AN30" s="1705"/>
      <c r="AO30" s="1702">
        <v>41105</v>
      </c>
      <c r="AP30" s="1703" t="s">
        <v>772</v>
      </c>
      <c r="AQ30" s="1704">
        <v>96</v>
      </c>
      <c r="AR30" s="1705"/>
      <c r="AS30" s="1702">
        <v>41463</v>
      </c>
      <c r="AT30" s="1703" t="s">
        <v>5306</v>
      </c>
      <c r="AU30" s="1704">
        <v>45</v>
      </c>
      <c r="AV30" s="1705"/>
      <c r="AW30" s="1702">
        <v>41828</v>
      </c>
      <c r="AX30" s="1703" t="s">
        <v>5307</v>
      </c>
      <c r="AY30" s="1704">
        <v>30</v>
      </c>
      <c r="AZ30" s="1705"/>
      <c r="BA30" s="1702">
        <v>42198</v>
      </c>
      <c r="BB30" s="1703" t="s">
        <v>2754</v>
      </c>
      <c r="BC30" s="1704">
        <v>51</v>
      </c>
      <c r="BD30" s="1705"/>
      <c r="BE30" s="1702">
        <v>42560</v>
      </c>
      <c r="BF30" s="1711" t="s">
        <v>5308</v>
      </c>
      <c r="BG30" s="1716">
        <v>51</v>
      </c>
      <c r="BH30" s="1705"/>
      <c r="BI30" s="1702">
        <v>42923</v>
      </c>
      <c r="BJ30" s="1711" t="s">
        <v>5309</v>
      </c>
      <c r="BK30" s="1716">
        <v>8</v>
      </c>
      <c r="BL30" s="1705"/>
      <c r="BM30" s="1702">
        <v>43287</v>
      </c>
      <c r="BN30" s="1711" t="s">
        <v>5310</v>
      </c>
      <c r="BO30" s="1716">
        <v>5</v>
      </c>
      <c r="BP30" s="1705"/>
      <c r="BQ30" s="1702">
        <v>43655</v>
      </c>
      <c r="BR30" s="1711" t="s">
        <v>5311</v>
      </c>
      <c r="BS30" s="1716">
        <v>10</v>
      </c>
      <c r="BT30" s="1710" t="s">
        <v>414</v>
      </c>
      <c r="BU30" s="1702">
        <v>44020</v>
      </c>
      <c r="BV30" s="1711" t="s">
        <v>3599</v>
      </c>
      <c r="BW30" s="1716">
        <v>40</v>
      </c>
      <c r="BX30" s="1710" t="s">
        <v>414</v>
      </c>
      <c r="BY30" s="1702">
        <v>44387</v>
      </c>
      <c r="BZ30" s="1711" t="s">
        <v>1427</v>
      </c>
      <c r="CA30" s="1716">
        <v>9</v>
      </c>
      <c r="CB30" s="1710" t="s">
        <v>414</v>
      </c>
      <c r="CC30" s="1702">
        <v>44744</v>
      </c>
      <c r="CD30" s="1711" t="s">
        <v>5312</v>
      </c>
      <c r="CE30" s="1716">
        <v>25</v>
      </c>
      <c r="CF30" s="1710" t="s">
        <v>278</v>
      </c>
      <c r="CG30" s="1702">
        <v>45120</v>
      </c>
      <c r="CH30" s="1711" t="s">
        <v>5313</v>
      </c>
      <c r="CI30" s="1716">
        <v>80</v>
      </c>
      <c r="CJ30" s="1788" t="s">
        <v>414</v>
      </c>
      <c r="CK30" s="1818">
        <v>45477</v>
      </c>
      <c r="CL30" s="1711" t="s">
        <v>5314</v>
      </c>
      <c r="CM30" s="1716">
        <v>165</v>
      </c>
      <c r="CN30" s="1819" t="s">
        <v>278</v>
      </c>
      <c r="CO30" s="2146">
        <v>45848</v>
      </c>
      <c r="CP30" s="2151" t="s">
        <v>5315</v>
      </c>
      <c r="CQ30" s="2147">
        <v>4.37</v>
      </c>
      <c r="CR30" s="1819"/>
    </row>
    <row r="31" spans="1:96" ht="35.25">
      <c r="A31" s="1769">
        <v>37456</v>
      </c>
      <c r="B31" s="1711" t="s">
        <v>5316</v>
      </c>
      <c r="C31" s="1716">
        <v>30</v>
      </c>
      <c r="D31" s="1717"/>
      <c r="E31" s="1702">
        <v>37806</v>
      </c>
      <c r="F31" s="1703" t="s">
        <v>5317</v>
      </c>
      <c r="G31" s="1704">
        <v>28</v>
      </c>
      <c r="H31" s="1705"/>
      <c r="I31" s="1702">
        <v>38178</v>
      </c>
      <c r="J31" s="1703" t="s">
        <v>797</v>
      </c>
      <c r="K31" s="1704">
        <v>34</v>
      </c>
      <c r="L31" s="1705"/>
      <c r="M31" s="1702">
        <v>38547</v>
      </c>
      <c r="N31" s="1703" t="s">
        <v>5318</v>
      </c>
      <c r="O31" s="1704">
        <v>6</v>
      </c>
      <c r="P31" s="1705"/>
      <c r="Q31" s="1702">
        <v>38914</v>
      </c>
      <c r="R31" s="1703" t="s">
        <v>5319</v>
      </c>
      <c r="S31" s="1704">
        <v>15</v>
      </c>
      <c r="T31" s="1705"/>
      <c r="U31" s="1696"/>
      <c r="V31" s="1697" t="s">
        <v>2450</v>
      </c>
      <c r="W31" s="1698">
        <v>90</v>
      </c>
      <c r="X31" s="1699"/>
      <c r="Y31" s="1702">
        <v>39636</v>
      </c>
      <c r="Z31" s="1703" t="s">
        <v>5320</v>
      </c>
      <c r="AA31" s="1704">
        <v>14</v>
      </c>
      <c r="AB31" s="1705"/>
      <c r="AC31" s="1702">
        <v>40012</v>
      </c>
      <c r="AD31" s="1703" t="s">
        <v>772</v>
      </c>
      <c r="AE31" s="1704">
        <v>12</v>
      </c>
      <c r="AF31" s="1705"/>
      <c r="AG31" s="1702">
        <v>40376</v>
      </c>
      <c r="AH31" s="1703" t="s">
        <v>5321</v>
      </c>
      <c r="AI31" s="1704">
        <v>15</v>
      </c>
      <c r="AJ31" s="1705"/>
      <c r="AK31" s="1702">
        <v>40753</v>
      </c>
      <c r="AL31" s="1703" t="s">
        <v>5322</v>
      </c>
      <c r="AM31" s="1704">
        <v>6</v>
      </c>
      <c r="AN31" s="1705"/>
      <c r="AO31" s="1702">
        <v>41105</v>
      </c>
      <c r="AP31" s="1703" t="s">
        <v>754</v>
      </c>
      <c r="AQ31" s="1704">
        <v>124</v>
      </c>
      <c r="AR31" s="1705"/>
      <c r="AS31" s="1702">
        <v>41465</v>
      </c>
      <c r="AT31" s="1703" t="s">
        <v>925</v>
      </c>
      <c r="AU31" s="1704">
        <v>5</v>
      </c>
      <c r="AV31" s="1705"/>
      <c r="AW31" s="1702">
        <v>41831</v>
      </c>
      <c r="AX31" s="1703" t="s">
        <v>925</v>
      </c>
      <c r="AY31" s="1704">
        <v>10</v>
      </c>
      <c r="AZ31" s="1705"/>
      <c r="BA31" s="1702">
        <v>42198</v>
      </c>
      <c r="BB31" s="1703" t="s">
        <v>5323</v>
      </c>
      <c r="BC31" s="1704">
        <v>23</v>
      </c>
      <c r="BD31" s="1705"/>
      <c r="BE31" s="1702">
        <v>42560</v>
      </c>
      <c r="BF31" s="1711" t="s">
        <v>5324</v>
      </c>
      <c r="BG31" s="1716">
        <v>32</v>
      </c>
      <c r="BH31" s="1705"/>
      <c r="BI31" s="1702">
        <v>42923</v>
      </c>
      <c r="BJ31" s="1711" t="s">
        <v>5325</v>
      </c>
      <c r="BK31" s="1716">
        <v>23</v>
      </c>
      <c r="BL31" s="1705"/>
      <c r="BM31" s="1702">
        <v>43288</v>
      </c>
      <c r="BN31" s="1711" t="s">
        <v>1180</v>
      </c>
      <c r="BO31" s="1716">
        <v>87</v>
      </c>
      <c r="BP31" s="1705"/>
      <c r="BQ31" s="1702">
        <v>43656</v>
      </c>
      <c r="BR31" s="1711" t="s">
        <v>5326</v>
      </c>
      <c r="BS31" s="1716">
        <v>48</v>
      </c>
      <c r="BT31" s="1710" t="s">
        <v>381</v>
      </c>
      <c r="BU31" s="1702">
        <v>44023</v>
      </c>
      <c r="BV31" s="1711" t="s">
        <v>872</v>
      </c>
      <c r="BW31" s="1716">
        <v>46</v>
      </c>
      <c r="BX31" s="1710" t="s">
        <v>414</v>
      </c>
      <c r="BY31" s="1702">
        <v>44387</v>
      </c>
      <c r="BZ31" s="1711" t="s">
        <v>872</v>
      </c>
      <c r="CA31" s="1716">
        <v>25</v>
      </c>
      <c r="CB31" s="1710" t="s">
        <v>414</v>
      </c>
      <c r="CC31" s="1702">
        <v>44744</v>
      </c>
      <c r="CD31" s="1711" t="s">
        <v>5327</v>
      </c>
      <c r="CE31" s="1716">
        <v>40</v>
      </c>
      <c r="CF31" s="1710" t="s">
        <v>426</v>
      </c>
      <c r="CG31" s="1702">
        <v>45120</v>
      </c>
      <c r="CH31" s="1711" t="s">
        <v>5328</v>
      </c>
      <c r="CI31" s="1716">
        <v>25</v>
      </c>
      <c r="CJ31" s="1788" t="s">
        <v>414</v>
      </c>
      <c r="CK31" s="1818">
        <v>45478</v>
      </c>
      <c r="CL31" s="1711" t="s">
        <v>5329</v>
      </c>
      <c r="CM31" s="1716">
        <v>500</v>
      </c>
      <c r="CN31" s="1819" t="s">
        <v>381</v>
      </c>
      <c r="CO31" s="2148">
        <v>45848</v>
      </c>
      <c r="CP31" s="2152" t="s">
        <v>5330</v>
      </c>
      <c r="CQ31" s="2149">
        <v>80.95</v>
      </c>
      <c r="CR31" s="1819"/>
    </row>
    <row r="32" spans="1:96" ht="35.25">
      <c r="A32" s="1769">
        <v>37457</v>
      </c>
      <c r="B32" s="1711" t="s">
        <v>410</v>
      </c>
      <c r="C32" s="1716"/>
      <c r="D32" s="1717">
        <v>26</v>
      </c>
      <c r="E32" s="1702">
        <v>37806</v>
      </c>
      <c r="F32" s="1703" t="s">
        <v>5331</v>
      </c>
      <c r="G32" s="1704">
        <v>48</v>
      </c>
      <c r="H32" s="1705"/>
      <c r="I32" s="1702">
        <v>38178</v>
      </c>
      <c r="J32" s="1703" t="s">
        <v>5332</v>
      </c>
      <c r="K32" s="1704">
        <v>6</v>
      </c>
      <c r="L32" s="1705"/>
      <c r="M32" s="1702">
        <v>38548</v>
      </c>
      <c r="N32" s="1703" t="s">
        <v>5333</v>
      </c>
      <c r="O32" s="1704">
        <v>15</v>
      </c>
      <c r="P32" s="1705"/>
      <c r="Q32" s="1702">
        <v>38914</v>
      </c>
      <c r="R32" s="1703" t="s">
        <v>5334</v>
      </c>
      <c r="S32" s="1704">
        <v>14</v>
      </c>
      <c r="T32" s="1705"/>
      <c r="U32" s="1702"/>
      <c r="V32" s="1711" t="s">
        <v>2460</v>
      </c>
      <c r="W32" s="1704">
        <v>372</v>
      </c>
      <c r="X32" s="1705"/>
      <c r="Y32" s="1702">
        <v>39637</v>
      </c>
      <c r="Z32" s="1703" t="s">
        <v>767</v>
      </c>
      <c r="AA32" s="1704">
        <v>18</v>
      </c>
      <c r="AB32" s="1705"/>
      <c r="AC32" s="1702">
        <v>40013</v>
      </c>
      <c r="AD32" s="1703" t="s">
        <v>797</v>
      </c>
      <c r="AE32" s="1704">
        <v>35</v>
      </c>
      <c r="AF32" s="1705"/>
      <c r="AG32" s="1702">
        <v>40376</v>
      </c>
      <c r="AH32" s="1703" t="s">
        <v>5335</v>
      </c>
      <c r="AI32" s="1704">
        <v>0</v>
      </c>
      <c r="AJ32" s="1705"/>
      <c r="AK32" s="1702">
        <v>40753</v>
      </c>
      <c r="AL32" s="1703" t="s">
        <v>5336</v>
      </c>
      <c r="AM32" s="1704">
        <v>8</v>
      </c>
      <c r="AN32" s="1705"/>
      <c r="AO32" s="1702">
        <v>41111</v>
      </c>
      <c r="AP32" s="1703" t="s">
        <v>772</v>
      </c>
      <c r="AQ32" s="1704">
        <v>65</v>
      </c>
      <c r="AR32" s="1705"/>
      <c r="AS32" s="1702">
        <v>41465</v>
      </c>
      <c r="AT32" s="1703" t="s">
        <v>797</v>
      </c>
      <c r="AU32" s="1704">
        <v>14</v>
      </c>
      <c r="AV32" s="1705"/>
      <c r="AW32" s="1702">
        <v>41831</v>
      </c>
      <c r="AX32" s="1703" t="s">
        <v>5337</v>
      </c>
      <c r="AY32" s="1704">
        <v>15</v>
      </c>
      <c r="AZ32" s="1705"/>
      <c r="BA32" s="1702">
        <v>42200</v>
      </c>
      <c r="BB32" s="1703" t="s">
        <v>5338</v>
      </c>
      <c r="BC32" s="1704">
        <v>40</v>
      </c>
      <c r="BD32" s="1705"/>
      <c r="BE32" s="1702">
        <v>42560</v>
      </c>
      <c r="BF32" s="1711" t="s">
        <v>797</v>
      </c>
      <c r="BG32" s="1716">
        <v>24</v>
      </c>
      <c r="BH32" s="1705"/>
      <c r="BI32" s="1702">
        <v>42923</v>
      </c>
      <c r="BJ32" s="1711" t="s">
        <v>5339</v>
      </c>
      <c r="BK32" s="1716">
        <v>14</v>
      </c>
      <c r="BL32" s="1705"/>
      <c r="BM32" s="1702">
        <v>43288</v>
      </c>
      <c r="BN32" s="1711" t="s">
        <v>772</v>
      </c>
      <c r="BO32" s="1716">
        <v>114</v>
      </c>
      <c r="BP32" s="1705"/>
      <c r="BQ32" s="1702">
        <v>43656</v>
      </c>
      <c r="BR32" s="1711" t="s">
        <v>1903</v>
      </c>
      <c r="BS32" s="1716">
        <v>48</v>
      </c>
      <c r="BT32" s="1710" t="s">
        <v>700</v>
      </c>
      <c r="BU32" s="1702">
        <v>44023</v>
      </c>
      <c r="BV32" s="1711" t="s">
        <v>845</v>
      </c>
      <c r="BW32" s="1716">
        <v>49</v>
      </c>
      <c r="BX32" s="1710" t="s">
        <v>414</v>
      </c>
      <c r="BY32" s="1702">
        <v>44387</v>
      </c>
      <c r="BZ32" s="1711" t="s">
        <v>772</v>
      </c>
      <c r="CA32" s="1716">
        <v>2</v>
      </c>
      <c r="CB32" s="1710" t="s">
        <v>414</v>
      </c>
      <c r="CC32" s="1702">
        <v>44744</v>
      </c>
      <c r="CD32" s="1711" t="s">
        <v>5340</v>
      </c>
      <c r="CE32" s="1716">
        <v>6</v>
      </c>
      <c r="CF32" s="1710" t="s">
        <v>693</v>
      </c>
      <c r="CG32" s="1702">
        <v>45120</v>
      </c>
      <c r="CH32" s="1711" t="s">
        <v>5341</v>
      </c>
      <c r="CI32" s="1716">
        <v>0</v>
      </c>
      <c r="CJ32" s="1788" t="s">
        <v>414</v>
      </c>
      <c r="CK32" s="1818">
        <v>45478</v>
      </c>
      <c r="CL32" s="1711" t="s">
        <v>1130</v>
      </c>
      <c r="CM32" s="1716">
        <v>41</v>
      </c>
      <c r="CN32" s="1819" t="s">
        <v>278</v>
      </c>
      <c r="CO32" s="2146">
        <v>45848</v>
      </c>
      <c r="CP32" s="2151" t="s">
        <v>5342</v>
      </c>
      <c r="CQ32" s="2147">
        <v>18.88</v>
      </c>
      <c r="CR32" s="1819"/>
    </row>
    <row r="33" spans="1:96" ht="35.25">
      <c r="A33" s="1769">
        <v>37457</v>
      </c>
      <c r="B33" s="1711" t="s">
        <v>5280</v>
      </c>
      <c r="C33" s="1716">
        <v>25</v>
      </c>
      <c r="D33" s="1717"/>
      <c r="E33" s="1702">
        <v>37806</v>
      </c>
      <c r="F33" s="1703" t="s">
        <v>5343</v>
      </c>
      <c r="G33" s="1704">
        <v>22</v>
      </c>
      <c r="H33" s="1705"/>
      <c r="I33" s="1702">
        <v>38180</v>
      </c>
      <c r="J33" s="1703" t="s">
        <v>5344</v>
      </c>
      <c r="K33" s="1704">
        <v>10</v>
      </c>
      <c r="L33" s="1705"/>
      <c r="M33" s="1702">
        <v>38548</v>
      </c>
      <c r="N33" s="1703" t="s">
        <v>5345</v>
      </c>
      <c r="O33" s="1704">
        <v>14</v>
      </c>
      <c r="P33" s="1705"/>
      <c r="Q33" s="1702">
        <v>38914</v>
      </c>
      <c r="R33" s="1703" t="s">
        <v>797</v>
      </c>
      <c r="S33" s="1704">
        <v>44</v>
      </c>
      <c r="T33" s="1705"/>
      <c r="U33" s="1702"/>
      <c r="V33" s="1711" t="s">
        <v>5346</v>
      </c>
      <c r="W33" s="1704">
        <v>131</v>
      </c>
      <c r="X33" s="1705"/>
      <c r="Y33" s="1702">
        <v>39637</v>
      </c>
      <c r="Z33" s="1703" t="s">
        <v>5347</v>
      </c>
      <c r="AA33" s="1704">
        <v>25</v>
      </c>
      <c r="AB33" s="1705"/>
      <c r="AC33" s="1702">
        <v>40013</v>
      </c>
      <c r="AD33" s="1703" t="s">
        <v>802</v>
      </c>
      <c r="AE33" s="1704">
        <v>39</v>
      </c>
      <c r="AF33" s="1705"/>
      <c r="AG33" s="1702">
        <v>40376</v>
      </c>
      <c r="AH33" s="1703" t="s">
        <v>5348</v>
      </c>
      <c r="AI33" s="1704">
        <v>30</v>
      </c>
      <c r="AJ33" s="1705"/>
      <c r="AK33" s="1702">
        <v>40754</v>
      </c>
      <c r="AL33" s="1703" t="s">
        <v>5349</v>
      </c>
      <c r="AM33" s="1704">
        <v>60</v>
      </c>
      <c r="AN33" s="1705"/>
      <c r="AO33" s="1702">
        <v>41111</v>
      </c>
      <c r="AP33" s="1703" t="s">
        <v>754</v>
      </c>
      <c r="AQ33" s="1704">
        <v>62</v>
      </c>
      <c r="AR33" s="1705"/>
      <c r="AS33" s="1702">
        <v>41466</v>
      </c>
      <c r="AT33" s="1703" t="s">
        <v>5350</v>
      </c>
      <c r="AU33" s="1704">
        <v>300</v>
      </c>
      <c r="AV33" s="1705"/>
      <c r="AW33" s="1702">
        <v>41831</v>
      </c>
      <c r="AX33" s="1703" t="s">
        <v>5351</v>
      </c>
      <c r="AY33" s="1704">
        <v>100</v>
      </c>
      <c r="AZ33" s="1705"/>
      <c r="BA33" s="1702">
        <v>42200</v>
      </c>
      <c r="BB33" s="1703" t="s">
        <v>802</v>
      </c>
      <c r="BC33" s="1704">
        <v>38</v>
      </c>
      <c r="BD33" s="1705"/>
      <c r="BE33" s="1702">
        <v>42561</v>
      </c>
      <c r="BF33" s="1711" t="s">
        <v>781</v>
      </c>
      <c r="BG33" s="1716">
        <v>42</v>
      </c>
      <c r="BH33" s="1705"/>
      <c r="BI33" s="1702">
        <v>42923</v>
      </c>
      <c r="BJ33" s="1711" t="s">
        <v>5352</v>
      </c>
      <c r="BK33" s="1716">
        <v>17</v>
      </c>
      <c r="BL33" s="1705"/>
      <c r="BM33" s="1702">
        <v>43288</v>
      </c>
      <c r="BN33" s="1711" t="s">
        <v>872</v>
      </c>
      <c r="BO33" s="1716">
        <v>23</v>
      </c>
      <c r="BP33" s="1705"/>
      <c r="BQ33" s="1702">
        <v>43658</v>
      </c>
      <c r="BR33" s="1711" t="s">
        <v>5353</v>
      </c>
      <c r="BS33" s="1716">
        <v>15</v>
      </c>
      <c r="BT33" s="1710" t="s">
        <v>426</v>
      </c>
      <c r="BU33" s="1702">
        <v>44023</v>
      </c>
      <c r="BV33" s="1711" t="s">
        <v>772</v>
      </c>
      <c r="BW33" s="1716">
        <v>53</v>
      </c>
      <c r="BX33" s="1710" t="s">
        <v>414</v>
      </c>
      <c r="BY33" s="1702">
        <v>44387</v>
      </c>
      <c r="BZ33" s="1711" t="s">
        <v>5354</v>
      </c>
      <c r="CA33" s="1716">
        <v>778</v>
      </c>
      <c r="CB33" s="1710" t="s">
        <v>702</v>
      </c>
      <c r="CC33" s="1702">
        <v>44744</v>
      </c>
      <c r="CD33" s="1711" t="s">
        <v>5355</v>
      </c>
      <c r="CE33" s="1716">
        <v>0</v>
      </c>
      <c r="CF33" s="1710" t="s">
        <v>700</v>
      </c>
      <c r="CG33" s="1702">
        <v>45120</v>
      </c>
      <c r="CH33" s="1711" t="s">
        <v>862</v>
      </c>
      <c r="CI33" s="1716">
        <v>20</v>
      </c>
      <c r="CJ33" s="1788" t="s">
        <v>414</v>
      </c>
      <c r="CK33" s="1818">
        <v>45478</v>
      </c>
      <c r="CL33" s="1711" t="s">
        <v>5356</v>
      </c>
      <c r="CM33" s="1716">
        <v>72</v>
      </c>
      <c r="CN33" s="1819" t="s">
        <v>278</v>
      </c>
      <c r="CO33" s="2148">
        <v>45848</v>
      </c>
      <c r="CP33" s="2152" t="s">
        <v>5357</v>
      </c>
      <c r="CQ33" s="2149">
        <v>25.13</v>
      </c>
      <c r="CR33" s="1819"/>
    </row>
    <row r="34" spans="1:96" ht="23.25">
      <c r="A34" s="1769">
        <v>37457</v>
      </c>
      <c r="B34" s="1711" t="s">
        <v>5358</v>
      </c>
      <c r="C34" s="1716">
        <v>25</v>
      </c>
      <c r="D34" s="1717"/>
      <c r="E34" s="1702">
        <v>37806</v>
      </c>
      <c r="F34" s="1703" t="s">
        <v>5359</v>
      </c>
      <c r="G34" s="1704">
        <v>20</v>
      </c>
      <c r="H34" s="1705"/>
      <c r="I34" s="1702">
        <v>38180</v>
      </c>
      <c r="J34" s="1703" t="s">
        <v>5360</v>
      </c>
      <c r="K34" s="1704">
        <v>8</v>
      </c>
      <c r="L34" s="1705"/>
      <c r="M34" s="1702">
        <v>38549</v>
      </c>
      <c r="N34" s="1703" t="s">
        <v>5361</v>
      </c>
      <c r="O34" s="1704">
        <v>16</v>
      </c>
      <c r="P34" s="1705"/>
      <c r="Q34" s="1702">
        <v>38917</v>
      </c>
      <c r="R34" s="1703" t="s">
        <v>802</v>
      </c>
      <c r="S34" s="1704">
        <v>13</v>
      </c>
      <c r="T34" s="1705"/>
      <c r="U34" s="1702"/>
      <c r="V34" s="1711" t="s">
        <v>2484</v>
      </c>
      <c r="W34" s="1704">
        <v>158</v>
      </c>
      <c r="X34" s="1705"/>
      <c r="Y34" s="1702">
        <v>39638</v>
      </c>
      <c r="Z34" s="1703" t="s">
        <v>5362</v>
      </c>
      <c r="AA34" s="1704">
        <v>8</v>
      </c>
      <c r="AB34" s="1705"/>
      <c r="AC34" s="1702">
        <v>40013</v>
      </c>
      <c r="AD34" s="1703" t="s">
        <v>5363</v>
      </c>
      <c r="AE34" s="1704">
        <v>10</v>
      </c>
      <c r="AF34" s="1705"/>
      <c r="AG34" s="1702">
        <v>40376</v>
      </c>
      <c r="AH34" s="1703" t="s">
        <v>5364</v>
      </c>
      <c r="AI34" s="1704">
        <v>20</v>
      </c>
      <c r="AJ34" s="1705"/>
      <c r="AK34" s="1702">
        <v>40754</v>
      </c>
      <c r="AL34" s="1703" t="s">
        <v>5365</v>
      </c>
      <c r="AM34" s="1704">
        <v>34</v>
      </c>
      <c r="AN34" s="1705"/>
      <c r="AO34" s="1702">
        <v>41111</v>
      </c>
      <c r="AP34" s="1703" t="s">
        <v>5366</v>
      </c>
      <c r="AQ34" s="1704">
        <v>25</v>
      </c>
      <c r="AR34" s="1705"/>
      <c r="AS34" s="1702">
        <v>41466</v>
      </c>
      <c r="AT34" s="1703" t="s">
        <v>5367</v>
      </c>
      <c r="AU34" s="1704">
        <v>12</v>
      </c>
      <c r="AV34" s="1705"/>
      <c r="AW34" s="1702">
        <v>41832</v>
      </c>
      <c r="AX34" s="1703" t="s">
        <v>5368</v>
      </c>
      <c r="AY34" s="1704">
        <v>800</v>
      </c>
      <c r="AZ34" s="1705"/>
      <c r="BA34" s="1702">
        <v>42200</v>
      </c>
      <c r="BB34" s="1703" t="s">
        <v>5369</v>
      </c>
      <c r="BC34" s="1704">
        <v>41</v>
      </c>
      <c r="BD34" s="1705"/>
      <c r="BE34" s="1702">
        <v>42561</v>
      </c>
      <c r="BF34" s="1711" t="s">
        <v>5370</v>
      </c>
      <c r="BG34" s="1716">
        <v>45</v>
      </c>
      <c r="BH34" s="1705"/>
      <c r="BI34" s="1702">
        <v>42923</v>
      </c>
      <c r="BJ34" s="1711" t="s">
        <v>5371</v>
      </c>
      <c r="BK34" s="1716">
        <v>15</v>
      </c>
      <c r="BL34" s="1705"/>
      <c r="BM34" s="1702">
        <v>43289</v>
      </c>
      <c r="BN34" s="1711" t="s">
        <v>873</v>
      </c>
      <c r="BO34" s="1716">
        <v>15</v>
      </c>
      <c r="BP34" s="1705"/>
      <c r="BQ34" s="1702">
        <v>43659</v>
      </c>
      <c r="BR34" s="1711" t="s">
        <v>843</v>
      </c>
      <c r="BS34" s="1716">
        <v>17</v>
      </c>
      <c r="BT34" s="1710" t="s">
        <v>414</v>
      </c>
      <c r="BU34" s="1702">
        <v>44024</v>
      </c>
      <c r="BV34" s="1711" t="s">
        <v>843</v>
      </c>
      <c r="BW34" s="1716">
        <v>93</v>
      </c>
      <c r="BX34" s="1710" t="s">
        <v>414</v>
      </c>
      <c r="BY34" s="1702">
        <v>44387</v>
      </c>
      <c r="BZ34" s="1711" t="s">
        <v>5372</v>
      </c>
      <c r="CA34" s="1716">
        <v>33</v>
      </c>
      <c r="CB34" s="1710" t="s">
        <v>701</v>
      </c>
      <c r="CC34" s="1702">
        <v>44745</v>
      </c>
      <c r="CD34" s="1711" t="s">
        <v>5373</v>
      </c>
      <c r="CE34" s="1716">
        <v>15</v>
      </c>
      <c r="CF34" s="1710" t="s">
        <v>278</v>
      </c>
      <c r="CG34" s="1702">
        <v>45120</v>
      </c>
      <c r="CH34" s="1711" t="s">
        <v>5374</v>
      </c>
      <c r="CI34" s="1716">
        <v>0</v>
      </c>
      <c r="CJ34" s="1788" t="s">
        <v>414</v>
      </c>
      <c r="CK34" s="1818">
        <v>45478</v>
      </c>
      <c r="CL34" s="1711" t="s">
        <v>5375</v>
      </c>
      <c r="CM34" s="1716">
        <v>20</v>
      </c>
      <c r="CN34" s="1819" t="s">
        <v>278</v>
      </c>
      <c r="CO34" s="2146">
        <v>45848</v>
      </c>
      <c r="CP34" s="2151" t="s">
        <v>5376</v>
      </c>
      <c r="CQ34" s="2147">
        <v>13.9</v>
      </c>
      <c r="CR34" s="1819"/>
    </row>
    <row r="35" spans="1:96" ht="35.25">
      <c r="A35" s="1769">
        <v>37457</v>
      </c>
      <c r="B35" s="1711" t="s">
        <v>5377</v>
      </c>
      <c r="C35" s="1716"/>
      <c r="D35" s="1717">
        <v>42</v>
      </c>
      <c r="E35" s="1702">
        <v>37807</v>
      </c>
      <c r="F35" s="1703" t="s">
        <v>5378</v>
      </c>
      <c r="G35" s="1704">
        <v>9</v>
      </c>
      <c r="H35" s="1705"/>
      <c r="I35" s="1702">
        <v>38180</v>
      </c>
      <c r="J35" s="1703" t="s">
        <v>5379</v>
      </c>
      <c r="K35" s="1704">
        <v>38</v>
      </c>
      <c r="L35" s="1705"/>
      <c r="M35" s="1702">
        <v>38550</v>
      </c>
      <c r="N35" s="1703" t="s">
        <v>5380</v>
      </c>
      <c r="O35" s="1704">
        <v>30</v>
      </c>
      <c r="P35" s="1705"/>
      <c r="Q35" s="1702">
        <v>38917</v>
      </c>
      <c r="R35" s="1703" t="s">
        <v>5381</v>
      </c>
      <c r="S35" s="1704">
        <v>4</v>
      </c>
      <c r="T35" s="1705"/>
      <c r="U35" s="1702"/>
      <c r="V35" s="1711" t="s">
        <v>5382</v>
      </c>
      <c r="W35" s="1704">
        <v>135</v>
      </c>
      <c r="X35" s="1705"/>
      <c r="Y35" s="1702">
        <v>39639</v>
      </c>
      <c r="Z35" s="1703" t="s">
        <v>797</v>
      </c>
      <c r="AA35" s="1704">
        <v>70</v>
      </c>
      <c r="AB35" s="1705"/>
      <c r="AC35" s="1702">
        <v>40015</v>
      </c>
      <c r="AD35" s="1703" t="s">
        <v>767</v>
      </c>
      <c r="AE35" s="1704">
        <v>3</v>
      </c>
      <c r="AF35" s="1705"/>
      <c r="AG35" s="1702">
        <v>40376</v>
      </c>
      <c r="AH35" s="1703" t="s">
        <v>772</v>
      </c>
      <c r="AI35" s="1704">
        <v>3</v>
      </c>
      <c r="AJ35" s="1705"/>
      <c r="AK35" s="1702">
        <v>40754</v>
      </c>
      <c r="AL35" s="1703" t="s">
        <v>5383</v>
      </c>
      <c r="AM35" s="1704">
        <v>20</v>
      </c>
      <c r="AN35" s="1705"/>
      <c r="AO35" s="1702">
        <v>41111</v>
      </c>
      <c r="AP35" s="1703" t="s">
        <v>5384</v>
      </c>
      <c r="AQ35" s="1704">
        <v>78</v>
      </c>
      <c r="AR35" s="1705"/>
      <c r="AS35" s="1702">
        <v>41467</v>
      </c>
      <c r="AT35" s="1703" t="s">
        <v>5385</v>
      </c>
      <c r="AU35" s="1704">
        <v>27</v>
      </c>
      <c r="AV35" s="1705"/>
      <c r="AW35" s="1702">
        <v>41832</v>
      </c>
      <c r="AX35" s="1703" t="s">
        <v>5386</v>
      </c>
      <c r="AY35" s="1704">
        <v>250</v>
      </c>
      <c r="AZ35" s="1705"/>
      <c r="BA35" s="1702">
        <v>42202</v>
      </c>
      <c r="BB35" s="1703" t="s">
        <v>5387</v>
      </c>
      <c r="BC35" s="1704">
        <v>7</v>
      </c>
      <c r="BD35" s="1705"/>
      <c r="BE35" s="1702">
        <v>42561</v>
      </c>
      <c r="BF35" s="1711" t="s">
        <v>5388</v>
      </c>
      <c r="BG35" s="1716">
        <v>55</v>
      </c>
      <c r="BH35" s="1705"/>
      <c r="BI35" s="1702">
        <v>42923</v>
      </c>
      <c r="BJ35" s="1711" t="s">
        <v>5389</v>
      </c>
      <c r="BK35" s="1716">
        <v>42</v>
      </c>
      <c r="BL35" s="1705"/>
      <c r="BM35" s="1702">
        <v>43289</v>
      </c>
      <c r="BN35" s="1711" t="s">
        <v>1427</v>
      </c>
      <c r="BO35" s="1716">
        <v>8</v>
      </c>
      <c r="BP35" s="1705"/>
      <c r="BQ35" s="1702">
        <v>43659</v>
      </c>
      <c r="BR35" s="1711" t="s">
        <v>5390</v>
      </c>
      <c r="BS35" s="1716">
        <v>56</v>
      </c>
      <c r="BT35" s="1710" t="s">
        <v>414</v>
      </c>
      <c r="BU35" s="1702">
        <v>44024</v>
      </c>
      <c r="BV35" s="1711" t="s">
        <v>5391</v>
      </c>
      <c r="BW35" s="1716">
        <v>67</v>
      </c>
      <c r="BX35" s="1710" t="s">
        <v>414</v>
      </c>
      <c r="BY35" s="1702">
        <v>44388</v>
      </c>
      <c r="BZ35" s="1711" t="s">
        <v>5392</v>
      </c>
      <c r="CA35" s="1716">
        <v>33</v>
      </c>
      <c r="CB35" s="1710" t="s">
        <v>280</v>
      </c>
      <c r="CC35" s="1702">
        <v>44746</v>
      </c>
      <c r="CD35" s="1711" t="s">
        <v>5393</v>
      </c>
      <c r="CE35" s="1716">
        <v>56</v>
      </c>
      <c r="CF35" s="1710" t="s">
        <v>426</v>
      </c>
      <c r="CG35" s="1702">
        <v>45120</v>
      </c>
      <c r="CH35" s="1711" t="s">
        <v>2253</v>
      </c>
      <c r="CI35" s="1716">
        <v>90</v>
      </c>
      <c r="CJ35" s="1788" t="s">
        <v>414</v>
      </c>
      <c r="CK35" s="1818">
        <v>45478</v>
      </c>
      <c r="CL35" s="1711" t="s">
        <v>5394</v>
      </c>
      <c r="CM35" s="1716">
        <v>12</v>
      </c>
      <c r="CN35" s="1819" t="s">
        <v>278</v>
      </c>
      <c r="CO35" s="2148">
        <v>45848</v>
      </c>
      <c r="CP35" s="2152" t="s">
        <v>5395</v>
      </c>
      <c r="CQ35" s="2149">
        <v>31.09</v>
      </c>
      <c r="CR35" s="1819"/>
    </row>
    <row r="36" spans="1:96" ht="35.25">
      <c r="A36" s="1769">
        <v>37457</v>
      </c>
      <c r="B36" s="1711" t="s">
        <v>5396</v>
      </c>
      <c r="C36" s="1716"/>
      <c r="D36" s="1717">
        <v>20</v>
      </c>
      <c r="E36" s="1702">
        <v>37808</v>
      </c>
      <c r="F36" s="1703" t="s">
        <v>5397</v>
      </c>
      <c r="G36" s="1704">
        <v>30</v>
      </c>
      <c r="H36" s="1705"/>
      <c r="I36" s="1702">
        <v>38180</v>
      </c>
      <c r="J36" s="1703" t="s">
        <v>960</v>
      </c>
      <c r="K36" s="1704">
        <v>10</v>
      </c>
      <c r="L36" s="1705"/>
      <c r="M36" s="1702">
        <v>38550</v>
      </c>
      <c r="N36" s="1703" t="s">
        <v>1052</v>
      </c>
      <c r="O36" s="1704">
        <v>15</v>
      </c>
      <c r="P36" s="1705"/>
      <c r="Q36" s="1702">
        <v>38917</v>
      </c>
      <c r="R36" s="1703" t="s">
        <v>5398</v>
      </c>
      <c r="S36" s="1704">
        <v>5</v>
      </c>
      <c r="T36" s="1705"/>
      <c r="U36" s="1702"/>
      <c r="V36" s="1711" t="s">
        <v>5399</v>
      </c>
      <c r="W36" s="1704">
        <v>59</v>
      </c>
      <c r="X36" s="1705"/>
      <c r="Y36" s="1702">
        <v>39640</v>
      </c>
      <c r="Z36" s="1703" t="s">
        <v>5400</v>
      </c>
      <c r="AA36" s="1704">
        <v>36</v>
      </c>
      <c r="AB36" s="1705"/>
      <c r="AC36" s="1702">
        <v>40019</v>
      </c>
      <c r="AD36" s="1703" t="s">
        <v>781</v>
      </c>
      <c r="AE36" s="1704">
        <v>71</v>
      </c>
      <c r="AF36" s="1705"/>
      <c r="AG36" s="1702">
        <v>40376</v>
      </c>
      <c r="AH36" s="1703" t="s">
        <v>2170</v>
      </c>
      <c r="AI36" s="1704">
        <v>32</v>
      </c>
      <c r="AJ36" s="1705"/>
      <c r="AK36" s="1702">
        <v>40754</v>
      </c>
      <c r="AL36" s="1703" t="s">
        <v>5401</v>
      </c>
      <c r="AM36" s="1704">
        <v>10</v>
      </c>
      <c r="AN36" s="1705"/>
      <c r="AO36" s="1702">
        <v>41111</v>
      </c>
      <c r="AP36" s="1703" t="s">
        <v>5402</v>
      </c>
      <c r="AQ36" s="1704">
        <v>6</v>
      </c>
      <c r="AR36" s="1705"/>
      <c r="AS36" s="1702">
        <v>41467</v>
      </c>
      <c r="AT36" s="1703" t="s">
        <v>5403</v>
      </c>
      <c r="AU36" s="1704">
        <v>217</v>
      </c>
      <c r="AV36" s="1705"/>
      <c r="AW36" s="1702">
        <v>41832</v>
      </c>
      <c r="AX36" s="1703" t="s">
        <v>781</v>
      </c>
      <c r="AY36" s="1704">
        <v>42</v>
      </c>
      <c r="AZ36" s="1705"/>
      <c r="BA36" s="1702">
        <v>42203</v>
      </c>
      <c r="BB36" s="1703" t="s">
        <v>797</v>
      </c>
      <c r="BC36" s="1704">
        <v>49</v>
      </c>
      <c r="BD36" s="1705"/>
      <c r="BE36" s="1702">
        <v>42563</v>
      </c>
      <c r="BF36" s="1711" t="s">
        <v>797</v>
      </c>
      <c r="BG36" s="1716">
        <v>13</v>
      </c>
      <c r="BH36" s="1705"/>
      <c r="BI36" s="1702">
        <v>42923</v>
      </c>
      <c r="BJ36" s="1711" t="s">
        <v>5404</v>
      </c>
      <c r="BK36" s="1716">
        <v>6</v>
      </c>
      <c r="BL36" s="1705"/>
      <c r="BM36" s="1702">
        <v>43289</v>
      </c>
      <c r="BN36" s="1711" t="s">
        <v>5405</v>
      </c>
      <c r="BO36" s="1716">
        <v>10</v>
      </c>
      <c r="BP36" s="1705"/>
      <c r="BQ36" s="1702">
        <v>43659</v>
      </c>
      <c r="BR36" s="1711" t="s">
        <v>5406</v>
      </c>
      <c r="BS36" s="1716">
        <v>26</v>
      </c>
      <c r="BT36" s="1710" t="s">
        <v>280</v>
      </c>
      <c r="BU36" s="1702">
        <v>44024</v>
      </c>
      <c r="BV36" s="1711" t="s">
        <v>5407</v>
      </c>
      <c r="BW36" s="1716">
        <v>28</v>
      </c>
      <c r="BX36" s="1710" t="s">
        <v>414</v>
      </c>
      <c r="BY36" s="1702">
        <v>44388</v>
      </c>
      <c r="BZ36" s="1711" t="s">
        <v>5408</v>
      </c>
      <c r="CA36" s="1716">
        <v>14</v>
      </c>
      <c r="CB36" s="1710" t="s">
        <v>700</v>
      </c>
      <c r="CC36" s="1702">
        <v>44748</v>
      </c>
      <c r="CD36" s="1711" t="s">
        <v>5409</v>
      </c>
      <c r="CE36" s="1716">
        <v>9</v>
      </c>
      <c r="CF36" s="1710" t="s">
        <v>693</v>
      </c>
      <c r="CG36" s="1702">
        <v>45120</v>
      </c>
      <c r="CH36" s="1711" t="s">
        <v>5410</v>
      </c>
      <c r="CI36" s="1716">
        <v>12</v>
      </c>
      <c r="CJ36" s="1788" t="s">
        <v>414</v>
      </c>
      <c r="CK36" s="1818">
        <v>45478</v>
      </c>
      <c r="CL36" s="1711" t="s">
        <v>5411</v>
      </c>
      <c r="CM36" s="1716">
        <v>0</v>
      </c>
      <c r="CN36" s="1819" t="s">
        <v>381</v>
      </c>
      <c r="CO36" s="2146">
        <v>45849</v>
      </c>
      <c r="CP36" s="2151" t="s">
        <v>5412</v>
      </c>
      <c r="CQ36" s="2147">
        <v>18.52</v>
      </c>
      <c r="CR36" s="1819"/>
    </row>
    <row r="37" spans="1:96" ht="35.25">
      <c r="A37" s="1769">
        <v>37457</v>
      </c>
      <c r="B37" s="1711" t="s">
        <v>5413</v>
      </c>
      <c r="C37" s="1716">
        <v>10</v>
      </c>
      <c r="D37" s="1717"/>
      <c r="E37" s="1702">
        <v>37808</v>
      </c>
      <c r="F37" s="1703" t="s">
        <v>772</v>
      </c>
      <c r="G37" s="1704">
        <v>38</v>
      </c>
      <c r="H37" s="1705"/>
      <c r="I37" s="1702">
        <v>38180</v>
      </c>
      <c r="J37" s="1703" t="s">
        <v>957</v>
      </c>
      <c r="K37" s="1704">
        <v>20</v>
      </c>
      <c r="L37" s="1705"/>
      <c r="M37" s="1702">
        <v>38551</v>
      </c>
      <c r="N37" s="1703" t="s">
        <v>5414</v>
      </c>
      <c r="O37" s="1704">
        <v>130</v>
      </c>
      <c r="P37" s="1705"/>
      <c r="Q37" s="1702">
        <v>38920</v>
      </c>
      <c r="R37" s="1703" t="s">
        <v>802</v>
      </c>
      <c r="S37" s="1704">
        <v>42</v>
      </c>
      <c r="T37" s="1705"/>
      <c r="U37" s="1702"/>
      <c r="V37" s="1711" t="s">
        <v>5415</v>
      </c>
      <c r="W37" s="1704">
        <v>115</v>
      </c>
      <c r="X37" s="1705"/>
      <c r="Y37" s="1702">
        <v>39640</v>
      </c>
      <c r="Z37" s="1703" t="s">
        <v>5416</v>
      </c>
      <c r="AA37" s="1704">
        <v>10</v>
      </c>
      <c r="AB37" s="1705"/>
      <c r="AC37" s="1702">
        <v>40019</v>
      </c>
      <c r="AD37" s="1703" t="s">
        <v>797</v>
      </c>
      <c r="AE37" s="1704">
        <v>35</v>
      </c>
      <c r="AF37" s="1705"/>
      <c r="AG37" s="1702">
        <v>40377</v>
      </c>
      <c r="AH37" s="1703" t="s">
        <v>797</v>
      </c>
      <c r="AI37" s="1704">
        <v>46</v>
      </c>
      <c r="AJ37" s="1705"/>
      <c r="AK37" s="1702">
        <v>40755</v>
      </c>
      <c r="AL37" s="1703" t="s">
        <v>781</v>
      </c>
      <c r="AM37" s="1704">
        <v>67</v>
      </c>
      <c r="AN37" s="1705"/>
      <c r="AO37" s="1702">
        <v>41111</v>
      </c>
      <c r="AP37" s="1703" t="s">
        <v>5417</v>
      </c>
      <c r="AQ37" s="1704">
        <v>39</v>
      </c>
      <c r="AR37" s="1705"/>
      <c r="AS37" s="1702">
        <v>41467</v>
      </c>
      <c r="AT37" s="1703" t="s">
        <v>5418</v>
      </c>
      <c r="AU37" s="1704">
        <v>6</v>
      </c>
      <c r="AV37" s="1705"/>
      <c r="AW37" s="1702">
        <v>41832</v>
      </c>
      <c r="AX37" s="1703" t="s">
        <v>5419</v>
      </c>
      <c r="AY37" s="1704">
        <v>38</v>
      </c>
      <c r="AZ37" s="1705"/>
      <c r="BA37" s="1702">
        <v>42203</v>
      </c>
      <c r="BB37" s="1703" t="s">
        <v>754</v>
      </c>
      <c r="BC37" s="1704">
        <v>74</v>
      </c>
      <c r="BD37" s="1705"/>
      <c r="BE37" s="1702">
        <v>42563</v>
      </c>
      <c r="BF37" s="1711" t="s">
        <v>954</v>
      </c>
      <c r="BG37" s="1716">
        <v>19</v>
      </c>
      <c r="BH37" s="1705"/>
      <c r="BI37" s="1702">
        <v>42923</v>
      </c>
      <c r="BJ37" s="1711" t="s">
        <v>5420</v>
      </c>
      <c r="BK37" s="1716">
        <v>31</v>
      </c>
      <c r="BL37" s="1705"/>
      <c r="BM37" s="1702">
        <v>43289</v>
      </c>
      <c r="BN37" s="1711" t="s">
        <v>890</v>
      </c>
      <c r="BO37" s="1716">
        <v>12</v>
      </c>
      <c r="BP37" s="1705"/>
      <c r="BQ37" s="1702">
        <v>43659</v>
      </c>
      <c r="BR37" s="1711" t="s">
        <v>2050</v>
      </c>
      <c r="BS37" s="1716">
        <v>10</v>
      </c>
      <c r="BT37" s="1710" t="s">
        <v>414</v>
      </c>
      <c r="BU37" s="1702">
        <v>44024</v>
      </c>
      <c r="BV37" s="1711" t="s">
        <v>5421</v>
      </c>
      <c r="BW37" s="1716">
        <v>19</v>
      </c>
      <c r="BX37" s="1710" t="s">
        <v>414</v>
      </c>
      <c r="BY37" s="1702">
        <v>44388</v>
      </c>
      <c r="BZ37" s="1711" t="s">
        <v>5422</v>
      </c>
      <c r="CA37" s="1716">
        <v>56</v>
      </c>
      <c r="CB37" s="1710" t="s">
        <v>700</v>
      </c>
      <c r="CC37" s="1702">
        <v>44748</v>
      </c>
      <c r="CD37" s="1711" t="s">
        <v>5423</v>
      </c>
      <c r="CE37" s="1716">
        <v>12</v>
      </c>
      <c r="CF37" s="1710" t="s">
        <v>693</v>
      </c>
      <c r="CG37" s="1702">
        <v>45120</v>
      </c>
      <c r="CH37" s="1711" t="s">
        <v>5424</v>
      </c>
      <c r="CI37" s="1716">
        <v>4</v>
      </c>
      <c r="CJ37" s="1788" t="s">
        <v>414</v>
      </c>
      <c r="CK37" s="1818">
        <v>45479</v>
      </c>
      <c r="CL37" s="1711" t="s">
        <v>1180</v>
      </c>
      <c r="CM37" s="1716">
        <v>115</v>
      </c>
      <c r="CN37" s="1819" t="s">
        <v>410</v>
      </c>
      <c r="CO37" s="2148">
        <v>45849</v>
      </c>
      <c r="CP37" s="2152" t="s">
        <v>5425</v>
      </c>
      <c r="CQ37" s="2149">
        <v>15.71</v>
      </c>
      <c r="CR37" s="1819"/>
    </row>
    <row r="38" spans="1:96" ht="23.25">
      <c r="A38" s="1769">
        <v>37458</v>
      </c>
      <c r="B38" s="1711" t="s">
        <v>5426</v>
      </c>
      <c r="C38" s="1716">
        <v>10</v>
      </c>
      <c r="D38" s="1717"/>
      <c r="E38" s="1702">
        <v>37809</v>
      </c>
      <c r="F38" s="1703" t="s">
        <v>5427</v>
      </c>
      <c r="G38" s="1704"/>
      <c r="H38" s="1705">
        <v>12</v>
      </c>
      <c r="I38" s="1702">
        <v>38180</v>
      </c>
      <c r="J38" s="1703" t="s">
        <v>867</v>
      </c>
      <c r="K38" s="1704">
        <v>30</v>
      </c>
      <c r="L38" s="1705"/>
      <c r="M38" s="1702">
        <v>38551</v>
      </c>
      <c r="N38" s="1703" t="s">
        <v>5428</v>
      </c>
      <c r="O38" s="1704">
        <v>10</v>
      </c>
      <c r="P38" s="1705"/>
      <c r="Q38" s="1702">
        <v>38920</v>
      </c>
      <c r="R38" s="1703" t="s">
        <v>767</v>
      </c>
      <c r="S38" s="1704">
        <v>37</v>
      </c>
      <c r="T38" s="1705"/>
      <c r="U38" s="1702"/>
      <c r="V38" s="1711" t="s">
        <v>5429</v>
      </c>
      <c r="W38" s="1704">
        <v>102</v>
      </c>
      <c r="X38" s="1705"/>
      <c r="Y38" s="1702">
        <v>39640</v>
      </c>
      <c r="Z38" s="1703" t="s">
        <v>5430</v>
      </c>
      <c r="AA38" s="1704">
        <v>20</v>
      </c>
      <c r="AB38" s="1705"/>
      <c r="AC38" s="1702">
        <v>40019</v>
      </c>
      <c r="AD38" s="1703" t="s">
        <v>5431</v>
      </c>
      <c r="AE38" s="1704">
        <v>12</v>
      </c>
      <c r="AF38" s="1705"/>
      <c r="AG38" s="1702">
        <v>40380</v>
      </c>
      <c r="AH38" s="1703" t="s">
        <v>867</v>
      </c>
      <c r="AI38" s="1704">
        <v>10</v>
      </c>
      <c r="AJ38" s="1705"/>
      <c r="AK38" s="1702">
        <v>40755</v>
      </c>
      <c r="AL38" s="1703" t="s">
        <v>5432</v>
      </c>
      <c r="AM38" s="1704">
        <v>20</v>
      </c>
      <c r="AN38" s="1705"/>
      <c r="AO38" s="1702">
        <v>41111</v>
      </c>
      <c r="AP38" s="1703" t="s">
        <v>5433</v>
      </c>
      <c r="AQ38" s="1704">
        <v>15</v>
      </c>
      <c r="AR38" s="1705"/>
      <c r="AS38" s="1702">
        <v>41467</v>
      </c>
      <c r="AT38" s="1703" t="s">
        <v>3426</v>
      </c>
      <c r="AU38" s="1704">
        <v>26</v>
      </c>
      <c r="AV38" s="1705"/>
      <c r="AW38" s="1702">
        <v>41832</v>
      </c>
      <c r="AX38" s="1703" t="s">
        <v>5434</v>
      </c>
      <c r="AY38" s="1704">
        <v>8</v>
      </c>
      <c r="AZ38" s="1705"/>
      <c r="BA38" s="1702">
        <v>42203</v>
      </c>
      <c r="BB38" s="1703" t="s">
        <v>954</v>
      </c>
      <c r="BC38" s="1704">
        <v>29</v>
      </c>
      <c r="BD38" s="1705"/>
      <c r="BE38" s="1702">
        <v>42564</v>
      </c>
      <c r="BF38" s="1711" t="s">
        <v>5435</v>
      </c>
      <c r="BG38" s="1716">
        <v>10</v>
      </c>
      <c r="BH38" s="1705"/>
      <c r="BI38" s="1702">
        <v>42923</v>
      </c>
      <c r="BJ38" s="1711" t="s">
        <v>5436</v>
      </c>
      <c r="BK38" s="1716">
        <v>9</v>
      </c>
      <c r="BL38" s="1705"/>
      <c r="BM38" s="1702">
        <v>43291</v>
      </c>
      <c r="BN38" s="1711" t="s">
        <v>5437</v>
      </c>
      <c r="BO38" s="1716">
        <v>550</v>
      </c>
      <c r="BP38" s="1705"/>
      <c r="BQ38" s="1702">
        <v>43659</v>
      </c>
      <c r="BR38" s="1711" t="s">
        <v>5438</v>
      </c>
      <c r="BS38" s="1716">
        <v>17</v>
      </c>
      <c r="BT38" s="1710" t="s">
        <v>278</v>
      </c>
      <c r="BU38" s="1702">
        <v>44027</v>
      </c>
      <c r="BV38" s="1711" t="s">
        <v>5439</v>
      </c>
      <c r="BW38" s="1716">
        <v>20</v>
      </c>
      <c r="BX38" s="1710" t="s">
        <v>700</v>
      </c>
      <c r="BY38" s="1702">
        <v>44389</v>
      </c>
      <c r="BZ38" s="1711" t="s">
        <v>5440</v>
      </c>
      <c r="CA38" s="1716">
        <v>27</v>
      </c>
      <c r="CB38" s="1710" t="s">
        <v>414</v>
      </c>
      <c r="CC38" s="1702">
        <v>44749</v>
      </c>
      <c r="CD38" s="1711" t="s">
        <v>2282</v>
      </c>
      <c r="CE38" s="1716">
        <v>125</v>
      </c>
      <c r="CF38" s="1710" t="s">
        <v>700</v>
      </c>
      <c r="CG38" s="1702">
        <v>45120</v>
      </c>
      <c r="CH38" s="1711" t="s">
        <v>1198</v>
      </c>
      <c r="CI38" s="1716">
        <v>5</v>
      </c>
      <c r="CJ38" s="1788" t="s">
        <v>414</v>
      </c>
      <c r="CK38" s="1818">
        <v>45479</v>
      </c>
      <c r="CL38" s="1711" t="s">
        <v>5441</v>
      </c>
      <c r="CM38" s="1716">
        <v>22</v>
      </c>
      <c r="CN38" s="1819" t="s">
        <v>278</v>
      </c>
      <c r="CO38" s="2146">
        <v>45849</v>
      </c>
      <c r="CP38" s="2151" t="s">
        <v>5442</v>
      </c>
      <c r="CQ38" s="2147">
        <v>6.65</v>
      </c>
      <c r="CR38" s="1819"/>
    </row>
    <row r="39" spans="1:96" ht="46.5">
      <c r="A39" s="1769">
        <v>37458</v>
      </c>
      <c r="B39" s="1711" t="s">
        <v>5443</v>
      </c>
      <c r="C39" s="1716">
        <v>5</v>
      </c>
      <c r="D39" s="1717"/>
      <c r="E39" s="1702">
        <v>37810</v>
      </c>
      <c r="F39" s="1703" t="s">
        <v>5444</v>
      </c>
      <c r="G39" s="1704">
        <v>12</v>
      </c>
      <c r="H39" s="1705"/>
      <c r="I39" s="1702">
        <v>38180</v>
      </c>
      <c r="J39" s="1703" t="s">
        <v>5445</v>
      </c>
      <c r="K39" s="1704">
        <v>19</v>
      </c>
      <c r="L39" s="1705"/>
      <c r="M39" s="1702">
        <v>38551</v>
      </c>
      <c r="N39" s="1703" t="s">
        <v>5446</v>
      </c>
      <c r="O39" s="1704">
        <v>28</v>
      </c>
      <c r="P39" s="1705"/>
      <c r="Q39" s="1702">
        <v>38920</v>
      </c>
      <c r="R39" s="1703" t="s">
        <v>772</v>
      </c>
      <c r="S39" s="1704">
        <v>115</v>
      </c>
      <c r="T39" s="1705"/>
      <c r="U39" s="1771"/>
      <c r="V39" s="1751" t="s">
        <v>5447</v>
      </c>
      <c r="W39" s="1752">
        <f>SUM(W31:W38)</f>
        <v>1162</v>
      </c>
      <c r="X39" s="1772"/>
      <c r="Y39" s="1702">
        <v>39641</v>
      </c>
      <c r="Z39" s="1703" t="s">
        <v>937</v>
      </c>
      <c r="AA39" s="1704">
        <v>57</v>
      </c>
      <c r="AB39" s="1705"/>
      <c r="AC39" s="1702">
        <v>40021</v>
      </c>
      <c r="AD39" s="1703" t="s">
        <v>5448</v>
      </c>
      <c r="AE39" s="1704">
        <v>60</v>
      </c>
      <c r="AF39" s="1705"/>
      <c r="AG39" s="1702">
        <v>40380</v>
      </c>
      <c r="AH39" s="1703" t="s">
        <v>797</v>
      </c>
      <c r="AI39" s="1704">
        <v>30</v>
      </c>
      <c r="AJ39" s="1705"/>
      <c r="AK39" s="1702">
        <v>40755</v>
      </c>
      <c r="AL39" s="1703" t="s">
        <v>2367</v>
      </c>
      <c r="AM39" s="1704">
        <v>21</v>
      </c>
      <c r="AN39" s="1705"/>
      <c r="AO39" s="1702">
        <v>41111</v>
      </c>
      <c r="AP39" s="1703" t="s">
        <v>5449</v>
      </c>
      <c r="AQ39" s="1704">
        <v>22</v>
      </c>
      <c r="AR39" s="1705"/>
      <c r="AS39" s="1702">
        <v>41467</v>
      </c>
      <c r="AT39" s="1703" t="s">
        <v>5450</v>
      </c>
      <c r="AU39" s="1704">
        <v>9</v>
      </c>
      <c r="AV39" s="1705"/>
      <c r="AW39" s="1702">
        <v>41832</v>
      </c>
      <c r="AX39" s="1703" t="s">
        <v>954</v>
      </c>
      <c r="AY39" s="1704">
        <v>52</v>
      </c>
      <c r="AZ39" s="1705"/>
      <c r="BA39" s="1702">
        <v>42203</v>
      </c>
      <c r="BB39" s="1703" t="s">
        <v>5451</v>
      </c>
      <c r="BC39" s="1704">
        <v>0</v>
      </c>
      <c r="BD39" s="1705"/>
      <c r="BE39" s="1702">
        <v>42565</v>
      </c>
      <c r="BF39" s="1711" t="s">
        <v>5452</v>
      </c>
      <c r="BG39" s="1716"/>
      <c r="BH39" s="1705"/>
      <c r="BI39" s="1702">
        <v>42923</v>
      </c>
      <c r="BJ39" s="1711" t="s">
        <v>5453</v>
      </c>
      <c r="BK39" s="1716">
        <v>9</v>
      </c>
      <c r="BL39" s="1705"/>
      <c r="BM39" s="1702">
        <v>43291</v>
      </c>
      <c r="BN39" s="1711" t="s">
        <v>5454</v>
      </c>
      <c r="BO39" s="1716">
        <v>9</v>
      </c>
      <c r="BP39" s="1705"/>
      <c r="BQ39" s="1702">
        <v>43659</v>
      </c>
      <c r="BR39" s="1711" t="s">
        <v>5455</v>
      </c>
      <c r="BS39" s="1716">
        <v>11</v>
      </c>
      <c r="BT39" s="1710" t="s">
        <v>278</v>
      </c>
      <c r="BU39" s="1702">
        <v>44030</v>
      </c>
      <c r="BV39" s="1711" t="s">
        <v>5456</v>
      </c>
      <c r="BW39" s="1716">
        <v>35</v>
      </c>
      <c r="BX39" s="1710" t="s">
        <v>689</v>
      </c>
      <c r="BY39" s="1702">
        <v>44389</v>
      </c>
      <c r="BZ39" s="1711" t="s">
        <v>5457</v>
      </c>
      <c r="CA39" s="1716">
        <v>50</v>
      </c>
      <c r="CB39" s="1710" t="s">
        <v>700</v>
      </c>
      <c r="CC39" s="1702">
        <v>44749</v>
      </c>
      <c r="CD39" s="1711" t="s">
        <v>5458</v>
      </c>
      <c r="CE39" s="1716">
        <v>16</v>
      </c>
      <c r="CF39" s="1710" t="s">
        <v>414</v>
      </c>
      <c r="CG39" s="1702">
        <v>45120</v>
      </c>
      <c r="CH39" s="1711" t="s">
        <v>5459</v>
      </c>
      <c r="CI39" s="1716">
        <v>64</v>
      </c>
      <c r="CJ39" s="1788" t="s">
        <v>414</v>
      </c>
      <c r="CK39" s="1818">
        <v>45479</v>
      </c>
      <c r="CL39" s="1711" t="s">
        <v>1130</v>
      </c>
      <c r="CM39" s="1716">
        <v>33</v>
      </c>
      <c r="CN39" s="1819" t="s">
        <v>278</v>
      </c>
      <c r="CO39" s="2148">
        <v>45849</v>
      </c>
      <c r="CP39" s="2152" t="s">
        <v>5460</v>
      </c>
      <c r="CQ39" s="2149">
        <v>16.47</v>
      </c>
      <c r="CR39" s="1819"/>
    </row>
    <row r="40" spans="1:96" ht="23.25">
      <c r="A40" s="1769">
        <v>37458</v>
      </c>
      <c r="B40" s="1711" t="s">
        <v>1189</v>
      </c>
      <c r="C40" s="1716"/>
      <c r="D40" s="1717">
        <v>54</v>
      </c>
      <c r="E40" s="1702">
        <v>37813</v>
      </c>
      <c r="F40" s="1703" t="s">
        <v>410</v>
      </c>
      <c r="G40" s="1704"/>
      <c r="H40" s="1705">
        <v>28</v>
      </c>
      <c r="I40" s="1702">
        <v>38181</v>
      </c>
      <c r="J40" s="1703" t="s">
        <v>5461</v>
      </c>
      <c r="K40" s="1704">
        <v>80</v>
      </c>
      <c r="L40" s="1705"/>
      <c r="M40" s="1702">
        <v>38551</v>
      </c>
      <c r="N40" s="1703" t="s">
        <v>5462</v>
      </c>
      <c r="O40" s="1704">
        <v>5</v>
      </c>
      <c r="P40" s="1705"/>
      <c r="Q40" s="1702">
        <v>38920</v>
      </c>
      <c r="R40" s="1703" t="s">
        <v>5463</v>
      </c>
      <c r="S40" s="1704">
        <v>8</v>
      </c>
      <c r="T40" s="1705"/>
      <c r="U40" s="1702"/>
      <c r="V40" s="1703"/>
      <c r="W40" s="1704"/>
      <c r="X40" s="1705"/>
      <c r="Y40" s="1702">
        <v>39641</v>
      </c>
      <c r="Z40" s="1703" t="s">
        <v>5464</v>
      </c>
      <c r="AA40" s="1704">
        <v>2</v>
      </c>
      <c r="AB40" s="1705"/>
      <c r="AC40" s="1702">
        <v>40021</v>
      </c>
      <c r="AD40" s="1703" t="s">
        <v>5465</v>
      </c>
      <c r="AE40" s="1704">
        <v>10</v>
      </c>
      <c r="AF40" s="1705"/>
      <c r="AG40" s="1702">
        <v>40381</v>
      </c>
      <c r="AH40" s="1703" t="s">
        <v>5466</v>
      </c>
      <c r="AI40" s="1704">
        <v>1</v>
      </c>
      <c r="AJ40" s="1705"/>
      <c r="AK40" s="1702">
        <v>40755</v>
      </c>
      <c r="AL40" s="1703" t="s">
        <v>1157</v>
      </c>
      <c r="AM40" s="1704">
        <v>27</v>
      </c>
      <c r="AN40" s="1705"/>
      <c r="AO40" s="1702">
        <v>41115</v>
      </c>
      <c r="AP40" s="1703" t="s">
        <v>5467</v>
      </c>
      <c r="AQ40" s="1704">
        <v>15</v>
      </c>
      <c r="AR40" s="1705"/>
      <c r="AS40" s="1702">
        <v>41467</v>
      </c>
      <c r="AT40" s="1703" t="s">
        <v>802</v>
      </c>
      <c r="AU40" s="1704">
        <v>48</v>
      </c>
      <c r="AV40" s="1705"/>
      <c r="AW40" s="1702">
        <v>41833</v>
      </c>
      <c r="AX40" s="1703" t="s">
        <v>772</v>
      </c>
      <c r="AY40" s="1704">
        <v>32</v>
      </c>
      <c r="AZ40" s="1705"/>
      <c r="BA40" s="1702">
        <v>42204</v>
      </c>
      <c r="BB40" s="1703" t="s">
        <v>781</v>
      </c>
      <c r="BC40" s="1704">
        <v>30</v>
      </c>
      <c r="BD40" s="1705"/>
      <c r="BE40" s="1702">
        <v>42565</v>
      </c>
      <c r="BF40" s="1711" t="s">
        <v>5468</v>
      </c>
      <c r="BG40" s="1716">
        <v>0</v>
      </c>
      <c r="BH40" s="1705"/>
      <c r="BI40" s="1702">
        <v>42923</v>
      </c>
      <c r="BJ40" s="1711" t="s">
        <v>5469</v>
      </c>
      <c r="BK40" s="1716">
        <v>15</v>
      </c>
      <c r="BL40" s="1705"/>
      <c r="BM40" s="1702">
        <v>43291</v>
      </c>
      <c r="BN40" s="1711" t="s">
        <v>998</v>
      </c>
      <c r="BO40" s="1716">
        <v>12</v>
      </c>
      <c r="BP40" s="1705"/>
      <c r="BQ40" s="1702">
        <v>43659</v>
      </c>
      <c r="BR40" s="1711" t="s">
        <v>5470</v>
      </c>
      <c r="BS40" s="1716">
        <v>6</v>
      </c>
      <c r="BT40" s="1710" t="s">
        <v>702</v>
      </c>
      <c r="BU40" s="1702">
        <v>44033</v>
      </c>
      <c r="BV40" s="1711" t="s">
        <v>5471</v>
      </c>
      <c r="BW40" s="1716">
        <v>28</v>
      </c>
      <c r="BX40" s="1710" t="s">
        <v>280</v>
      </c>
      <c r="BY40" s="1702">
        <v>44389</v>
      </c>
      <c r="BZ40" s="1711" t="s">
        <v>5472</v>
      </c>
      <c r="CA40" s="1716">
        <v>0</v>
      </c>
      <c r="CB40" s="1710" t="s">
        <v>700</v>
      </c>
      <c r="CC40" s="1702">
        <v>44750</v>
      </c>
      <c r="CD40" s="1711" t="s">
        <v>5473</v>
      </c>
      <c r="CE40" s="1716">
        <v>30</v>
      </c>
      <c r="CF40" s="1710" t="s">
        <v>414</v>
      </c>
      <c r="CG40" s="1702">
        <v>45120</v>
      </c>
      <c r="CH40" s="1711" t="s">
        <v>5474</v>
      </c>
      <c r="CI40" s="1716">
        <v>60</v>
      </c>
      <c r="CJ40" s="1788" t="s">
        <v>414</v>
      </c>
      <c r="CK40" s="1818">
        <v>45479</v>
      </c>
      <c r="CL40" s="1711" t="s">
        <v>5475</v>
      </c>
      <c r="CM40" s="1716">
        <v>15</v>
      </c>
      <c r="CN40" s="1819" t="s">
        <v>278</v>
      </c>
      <c r="CO40" s="2146">
        <v>45850</v>
      </c>
      <c r="CP40" s="2151" t="s">
        <v>5476</v>
      </c>
      <c r="CQ40" s="2147">
        <v>4.17</v>
      </c>
      <c r="CR40" s="1819"/>
    </row>
    <row r="41" spans="1:96" ht="35.25">
      <c r="A41" s="1769">
        <v>37458</v>
      </c>
      <c r="B41" s="1711" t="s">
        <v>410</v>
      </c>
      <c r="C41" s="1716"/>
      <c r="D41" s="1717">
        <v>25</v>
      </c>
      <c r="E41" s="1702">
        <v>37813</v>
      </c>
      <c r="F41" s="1703" t="s">
        <v>2226</v>
      </c>
      <c r="G41" s="1704"/>
      <c r="H41" s="1705">
        <v>24</v>
      </c>
      <c r="I41" s="1702">
        <v>38181</v>
      </c>
      <c r="J41" s="1703" t="s">
        <v>5143</v>
      </c>
      <c r="K41" s="1704">
        <v>12</v>
      </c>
      <c r="L41" s="1705"/>
      <c r="M41" s="1702">
        <v>38553</v>
      </c>
      <c r="N41" s="1703" t="s">
        <v>802</v>
      </c>
      <c r="O41" s="1704">
        <v>30</v>
      </c>
      <c r="P41" s="1705"/>
      <c r="Q41" s="1702">
        <v>38923</v>
      </c>
      <c r="R41" s="1703" t="s">
        <v>797</v>
      </c>
      <c r="S41" s="1704">
        <v>48</v>
      </c>
      <c r="T41" s="1705"/>
      <c r="U41" s="1702">
        <v>39271</v>
      </c>
      <c r="V41" s="1703" t="s">
        <v>772</v>
      </c>
      <c r="W41" s="1704">
        <v>34</v>
      </c>
      <c r="X41" s="1705"/>
      <c r="Y41" s="1702">
        <v>39642</v>
      </c>
      <c r="Z41" s="1703" t="s">
        <v>772</v>
      </c>
      <c r="AA41" s="1704">
        <v>30</v>
      </c>
      <c r="AB41" s="1705"/>
      <c r="AC41" s="1702">
        <v>40024</v>
      </c>
      <c r="AD41" s="1703" t="s">
        <v>937</v>
      </c>
      <c r="AE41" s="1704">
        <v>5</v>
      </c>
      <c r="AF41" s="1705"/>
      <c r="AG41" s="1702">
        <v>40382</v>
      </c>
      <c r="AH41" s="1703" t="s">
        <v>5477</v>
      </c>
      <c r="AI41" s="1704">
        <v>8</v>
      </c>
      <c r="AJ41" s="1705"/>
      <c r="AK41" s="1702">
        <v>40755</v>
      </c>
      <c r="AL41" s="1703" t="s">
        <v>802</v>
      </c>
      <c r="AM41" s="1704">
        <v>20</v>
      </c>
      <c r="AN41" s="1705"/>
      <c r="AO41" s="1702">
        <v>41115</v>
      </c>
      <c r="AP41" s="1703" t="s">
        <v>5478</v>
      </c>
      <c r="AQ41" s="1704">
        <v>15</v>
      </c>
      <c r="AR41" s="1705"/>
      <c r="AS41" s="1702">
        <v>41468</v>
      </c>
      <c r="AT41" s="1703" t="s">
        <v>5479</v>
      </c>
      <c r="AU41" s="1704">
        <v>14</v>
      </c>
      <c r="AV41" s="1705"/>
      <c r="AW41" s="1702">
        <v>41833</v>
      </c>
      <c r="AX41" s="1703" t="s">
        <v>954</v>
      </c>
      <c r="AY41" s="1704">
        <v>32</v>
      </c>
      <c r="AZ41" s="1705"/>
      <c r="BA41" s="1702">
        <v>42204</v>
      </c>
      <c r="BB41" s="1703" t="s">
        <v>873</v>
      </c>
      <c r="BC41" s="1704">
        <v>14</v>
      </c>
      <c r="BD41" s="1705"/>
      <c r="BE41" s="1702">
        <v>42565</v>
      </c>
      <c r="BF41" s="1711" t="s">
        <v>5480</v>
      </c>
      <c r="BG41" s="1716">
        <v>400</v>
      </c>
      <c r="BH41" s="1705"/>
      <c r="BI41" s="1702">
        <v>42923</v>
      </c>
      <c r="BJ41" s="1711" t="s">
        <v>5481</v>
      </c>
      <c r="BK41" s="1716">
        <v>8</v>
      </c>
      <c r="BL41" s="1705"/>
      <c r="BM41" s="1702">
        <v>43293</v>
      </c>
      <c r="BN41" s="1711" t="s">
        <v>5482</v>
      </c>
      <c r="BO41" s="1716">
        <v>10</v>
      </c>
      <c r="BP41" s="1705"/>
      <c r="BQ41" s="1702">
        <v>43659</v>
      </c>
      <c r="BR41" s="1711" t="s">
        <v>797</v>
      </c>
      <c r="BS41" s="1716">
        <v>54</v>
      </c>
      <c r="BT41" s="1710" t="s">
        <v>410</v>
      </c>
      <c r="BU41" s="1702">
        <v>44036</v>
      </c>
      <c r="BV41" s="1711" t="s">
        <v>5483</v>
      </c>
      <c r="BW41" s="1716">
        <v>82</v>
      </c>
      <c r="BX41" s="1710" t="s">
        <v>5484</v>
      </c>
      <c r="BY41" s="1702">
        <v>44389</v>
      </c>
      <c r="BZ41" s="1711" t="s">
        <v>5485</v>
      </c>
      <c r="CA41" s="1716">
        <v>0</v>
      </c>
      <c r="CB41" s="1710" t="s">
        <v>700</v>
      </c>
      <c r="CC41" s="1702">
        <v>44750</v>
      </c>
      <c r="CD41" s="1711" t="s">
        <v>5486</v>
      </c>
      <c r="CE41" s="1716">
        <v>38</v>
      </c>
      <c r="CF41" s="1710" t="s">
        <v>381</v>
      </c>
      <c r="CG41" s="1702">
        <v>45120</v>
      </c>
      <c r="CH41" s="1711" t="s">
        <v>5487</v>
      </c>
      <c r="CI41" s="1716">
        <v>10</v>
      </c>
      <c r="CJ41" s="1788" t="s">
        <v>414</v>
      </c>
      <c r="CK41" s="1818">
        <v>45480</v>
      </c>
      <c r="CL41" s="1711" t="s">
        <v>5488</v>
      </c>
      <c r="CM41" s="1716">
        <v>80</v>
      </c>
      <c r="CN41" s="1819" t="s">
        <v>700</v>
      </c>
      <c r="CO41" s="2148">
        <v>45850</v>
      </c>
      <c r="CP41" s="2152" t="s">
        <v>5489</v>
      </c>
      <c r="CQ41" s="2149">
        <v>7.1</v>
      </c>
      <c r="CR41" s="1819"/>
    </row>
    <row r="42" spans="1:96" ht="35.25">
      <c r="A42" s="1769">
        <v>37458</v>
      </c>
      <c r="B42" s="1711" t="s">
        <v>5490</v>
      </c>
      <c r="C42" s="1716">
        <v>5</v>
      </c>
      <c r="D42" s="1717"/>
      <c r="E42" s="1702">
        <v>37813</v>
      </c>
      <c r="F42" s="1703" t="s">
        <v>5491</v>
      </c>
      <c r="G42" s="1704">
        <v>12</v>
      </c>
      <c r="H42" s="1705"/>
      <c r="I42" s="1702">
        <v>38181</v>
      </c>
      <c r="J42" s="1703" t="s">
        <v>5492</v>
      </c>
      <c r="K42" s="1704">
        <v>8</v>
      </c>
      <c r="L42" s="1705"/>
      <c r="M42" s="1702">
        <v>38553</v>
      </c>
      <c r="N42" s="1703" t="s">
        <v>5493</v>
      </c>
      <c r="O42" s="1704">
        <v>10</v>
      </c>
      <c r="P42" s="1705"/>
      <c r="Q42" s="1702">
        <v>38924</v>
      </c>
      <c r="R42" s="1703" t="s">
        <v>5494</v>
      </c>
      <c r="S42" s="1704">
        <v>23</v>
      </c>
      <c r="T42" s="1705"/>
      <c r="U42" s="1702">
        <v>39272</v>
      </c>
      <c r="V42" s="1703" t="s">
        <v>5495</v>
      </c>
      <c r="W42" s="1704">
        <v>11</v>
      </c>
      <c r="X42" s="1705"/>
      <c r="Y42" s="1702">
        <v>39644</v>
      </c>
      <c r="Z42" s="1703" t="s">
        <v>5496</v>
      </c>
      <c r="AA42" s="1704">
        <v>8</v>
      </c>
      <c r="AB42" s="1705"/>
      <c r="AC42" s="1702"/>
      <c r="AD42" s="1703"/>
      <c r="AE42" s="1704"/>
      <c r="AF42" s="1705"/>
      <c r="AG42" s="1702">
        <v>40382</v>
      </c>
      <c r="AH42" s="1703" t="s">
        <v>5497</v>
      </c>
      <c r="AI42" s="1704">
        <v>8</v>
      </c>
      <c r="AJ42" s="1705"/>
      <c r="AK42" s="1702">
        <v>40755</v>
      </c>
      <c r="AL42" s="1703" t="s">
        <v>797</v>
      </c>
      <c r="AM42" s="1704">
        <v>56</v>
      </c>
      <c r="AN42" s="1705"/>
      <c r="AO42" s="1702">
        <v>41118</v>
      </c>
      <c r="AP42" s="1703" t="s">
        <v>772</v>
      </c>
      <c r="AQ42" s="1704">
        <v>60</v>
      </c>
      <c r="AR42" s="1705"/>
      <c r="AS42" s="1702">
        <v>41468</v>
      </c>
      <c r="AT42" s="1703" t="s">
        <v>5498</v>
      </c>
      <c r="AU42" s="1704">
        <v>27</v>
      </c>
      <c r="AV42" s="1705"/>
      <c r="AW42" s="1702">
        <v>41835</v>
      </c>
      <c r="AX42" s="1703" t="s">
        <v>5499</v>
      </c>
      <c r="AY42" s="1704">
        <v>43</v>
      </c>
      <c r="AZ42" s="1705"/>
      <c r="BA42" s="1702">
        <v>42204</v>
      </c>
      <c r="BB42" s="1703" t="s">
        <v>5500</v>
      </c>
      <c r="BC42" s="1704">
        <v>232</v>
      </c>
      <c r="BD42" s="1705"/>
      <c r="BE42" s="1702">
        <v>42566</v>
      </c>
      <c r="BF42" s="1711" t="s">
        <v>781</v>
      </c>
      <c r="BG42" s="1716">
        <v>20</v>
      </c>
      <c r="BH42" s="1705"/>
      <c r="BI42" s="1702">
        <v>42924</v>
      </c>
      <c r="BJ42" s="1711" t="s">
        <v>5501</v>
      </c>
      <c r="BK42" s="1716">
        <v>39</v>
      </c>
      <c r="BL42" s="1705"/>
      <c r="BM42" s="1702">
        <v>43293</v>
      </c>
      <c r="BN42" s="1711" t="s">
        <v>5502</v>
      </c>
      <c r="BO42" s="1716">
        <v>13</v>
      </c>
      <c r="BP42" s="1705"/>
      <c r="BQ42" s="1702">
        <v>43659</v>
      </c>
      <c r="BR42" s="1711" t="s">
        <v>5503</v>
      </c>
      <c r="BS42" s="1716">
        <v>120</v>
      </c>
      <c r="BT42" s="1710" t="s">
        <v>689</v>
      </c>
      <c r="BU42" s="1702">
        <v>44037</v>
      </c>
      <c r="BV42" s="1711" t="s">
        <v>5391</v>
      </c>
      <c r="BW42" s="1716">
        <v>87</v>
      </c>
      <c r="BX42" s="1710" t="s">
        <v>414</v>
      </c>
      <c r="BY42" s="1702">
        <v>44389</v>
      </c>
      <c r="BZ42" s="1711" t="s">
        <v>5504</v>
      </c>
      <c r="CA42" s="1716">
        <v>0</v>
      </c>
      <c r="CB42" s="1710" t="s">
        <v>700</v>
      </c>
      <c r="CC42" s="1702">
        <v>44751</v>
      </c>
      <c r="CD42" s="1711" t="s">
        <v>843</v>
      </c>
      <c r="CE42" s="1716">
        <v>48</v>
      </c>
      <c r="CF42" s="1710" t="s">
        <v>414</v>
      </c>
      <c r="CG42" s="1702">
        <v>45120</v>
      </c>
      <c r="CH42" s="1711" t="s">
        <v>5505</v>
      </c>
      <c r="CI42" s="1716">
        <v>10</v>
      </c>
      <c r="CJ42" s="1788" t="s">
        <v>414</v>
      </c>
      <c r="CK42" s="1818">
        <v>45486</v>
      </c>
      <c r="CL42" s="1711" t="s">
        <v>797</v>
      </c>
      <c r="CM42" s="1716">
        <v>76</v>
      </c>
      <c r="CN42" s="1819" t="s">
        <v>410</v>
      </c>
      <c r="CO42" s="2146">
        <v>45852</v>
      </c>
      <c r="CP42" s="2151" t="s">
        <v>5506</v>
      </c>
      <c r="CQ42" s="2147">
        <v>36.72</v>
      </c>
      <c r="CR42" s="1819"/>
    </row>
    <row r="43" spans="1:96" ht="35.25">
      <c r="A43" s="1769">
        <v>37459</v>
      </c>
      <c r="B43" s="1711" t="s">
        <v>5507</v>
      </c>
      <c r="C43" s="1716">
        <v>500</v>
      </c>
      <c r="D43" s="1717">
        <v>350</v>
      </c>
      <c r="E43" s="1702">
        <v>37814</v>
      </c>
      <c r="F43" s="1703" t="s">
        <v>772</v>
      </c>
      <c r="G43" s="1704">
        <v>43</v>
      </c>
      <c r="H43" s="1705"/>
      <c r="I43" s="1702">
        <v>38183</v>
      </c>
      <c r="J43" s="1703" t="s">
        <v>5508</v>
      </c>
      <c r="K43" s="1704">
        <v>7</v>
      </c>
      <c r="L43" s="1705"/>
      <c r="M43" s="1702">
        <v>38553</v>
      </c>
      <c r="N43" s="1703" t="s">
        <v>5509</v>
      </c>
      <c r="O43" s="1704">
        <v>10</v>
      </c>
      <c r="P43" s="1705"/>
      <c r="Q43" s="1702">
        <v>38924</v>
      </c>
      <c r="R43" s="1703" t="s">
        <v>5510</v>
      </c>
      <c r="S43" s="1704">
        <v>20</v>
      </c>
      <c r="T43" s="1705"/>
      <c r="U43" s="1702">
        <v>39272</v>
      </c>
      <c r="V43" s="1703" t="s">
        <v>5511</v>
      </c>
      <c r="W43" s="1704">
        <v>13</v>
      </c>
      <c r="X43" s="1705"/>
      <c r="Y43" s="1702">
        <v>39645</v>
      </c>
      <c r="Z43" s="1703" t="s">
        <v>797</v>
      </c>
      <c r="AA43" s="1704">
        <v>67</v>
      </c>
      <c r="AB43" s="1705"/>
      <c r="AC43" s="1702"/>
      <c r="AD43" s="1703"/>
      <c r="AE43" s="1704"/>
      <c r="AF43" s="1705"/>
      <c r="AG43" s="1702">
        <v>40382</v>
      </c>
      <c r="AH43" s="1703" t="s">
        <v>5512</v>
      </c>
      <c r="AI43" s="1704">
        <v>10</v>
      </c>
      <c r="AJ43" s="1705"/>
      <c r="AK43" s="1702">
        <v>40755</v>
      </c>
      <c r="AL43" s="1703" t="s">
        <v>5513</v>
      </c>
      <c r="AM43" s="1704">
        <v>15</v>
      </c>
      <c r="AN43" s="1705"/>
      <c r="AO43" s="1702">
        <v>41118</v>
      </c>
      <c r="AP43" s="1703" t="s">
        <v>754</v>
      </c>
      <c r="AQ43" s="1704">
        <v>105</v>
      </c>
      <c r="AR43" s="1705"/>
      <c r="AS43" s="1702">
        <v>41469</v>
      </c>
      <c r="AT43" s="1703" t="s">
        <v>772</v>
      </c>
      <c r="AU43" s="1704">
        <v>61</v>
      </c>
      <c r="AV43" s="1705"/>
      <c r="AW43" s="1702">
        <v>41836</v>
      </c>
      <c r="AX43" s="1703" t="s">
        <v>1927</v>
      </c>
      <c r="AY43" s="1704">
        <v>5</v>
      </c>
      <c r="AZ43" s="1705"/>
      <c r="BA43" s="1702">
        <v>42204</v>
      </c>
      <c r="BB43" s="1703" t="s">
        <v>5514</v>
      </c>
      <c r="BC43" s="1704">
        <v>30</v>
      </c>
      <c r="BD43" s="1705"/>
      <c r="BE43" s="1702">
        <v>42566</v>
      </c>
      <c r="BF43" s="1711" t="s">
        <v>781</v>
      </c>
      <c r="BG43" s="1716">
        <v>133</v>
      </c>
      <c r="BH43" s="1705"/>
      <c r="BI43" s="1702">
        <v>42924</v>
      </c>
      <c r="BJ43" s="1711" t="s">
        <v>772</v>
      </c>
      <c r="BK43" s="1716">
        <v>56</v>
      </c>
      <c r="BL43" s="1705"/>
      <c r="BM43" s="1702">
        <v>43293</v>
      </c>
      <c r="BN43" s="1711" t="s">
        <v>890</v>
      </c>
      <c r="BO43" s="1716">
        <v>5</v>
      </c>
      <c r="BP43" s="1705"/>
      <c r="BQ43" s="1702">
        <v>43660</v>
      </c>
      <c r="BR43" s="1711" t="s">
        <v>5515</v>
      </c>
      <c r="BS43" s="1716">
        <v>18</v>
      </c>
      <c r="BT43" s="1710" t="s">
        <v>702</v>
      </c>
      <c r="BU43" s="1702">
        <v>44037</v>
      </c>
      <c r="BV43" s="1711" t="s">
        <v>845</v>
      </c>
      <c r="BW43" s="1716">
        <v>52</v>
      </c>
      <c r="BX43" s="1710" t="s">
        <v>414</v>
      </c>
      <c r="BY43" s="1702">
        <v>44392</v>
      </c>
      <c r="BZ43" s="1711" t="s">
        <v>5516</v>
      </c>
      <c r="CA43" s="1716">
        <v>39</v>
      </c>
      <c r="CB43" s="1710" t="s">
        <v>414</v>
      </c>
      <c r="CC43" s="1702">
        <v>44751</v>
      </c>
      <c r="CD43" s="1711" t="s">
        <v>859</v>
      </c>
      <c r="CE43" s="1716">
        <v>14</v>
      </c>
      <c r="CF43" s="1710" t="s">
        <v>414</v>
      </c>
      <c r="CG43" s="1702">
        <v>45120</v>
      </c>
      <c r="CH43" s="1711" t="s">
        <v>5517</v>
      </c>
      <c r="CI43" s="1716">
        <v>25</v>
      </c>
      <c r="CJ43" s="1788" t="s">
        <v>414</v>
      </c>
      <c r="CK43" s="1818">
        <v>45486</v>
      </c>
      <c r="CL43" s="1711" t="s">
        <v>772</v>
      </c>
      <c r="CM43" s="1716">
        <v>25</v>
      </c>
      <c r="CN43" s="1819" t="s">
        <v>414</v>
      </c>
      <c r="CO43" s="2148">
        <v>45853</v>
      </c>
      <c r="CP43" s="2152" t="s">
        <v>5518</v>
      </c>
      <c r="CQ43" s="2149">
        <v>15</v>
      </c>
      <c r="CR43" s="1819"/>
    </row>
    <row r="44" spans="1:96" ht="23.25">
      <c r="A44" s="1769">
        <v>37460</v>
      </c>
      <c r="B44" s="1711" t="s">
        <v>915</v>
      </c>
      <c r="C44" s="1716">
        <v>16.37</v>
      </c>
      <c r="D44" s="1717"/>
      <c r="E44" s="1702">
        <v>37814</v>
      </c>
      <c r="F44" s="1703" t="s">
        <v>5519</v>
      </c>
      <c r="G44" s="1704">
        <v>9</v>
      </c>
      <c r="H44" s="1705"/>
      <c r="I44" s="1702">
        <v>38183</v>
      </c>
      <c r="J44" s="1703" t="s">
        <v>5520</v>
      </c>
      <c r="K44" s="1704">
        <v>20</v>
      </c>
      <c r="L44" s="1705"/>
      <c r="M44" s="1702">
        <v>38554</v>
      </c>
      <c r="N44" s="1703" t="s">
        <v>937</v>
      </c>
      <c r="O44" s="1704">
        <v>11</v>
      </c>
      <c r="P44" s="1705"/>
      <c r="Q44" s="1702">
        <v>38924</v>
      </c>
      <c r="R44" s="1703" t="s">
        <v>767</v>
      </c>
      <c r="S44" s="1704">
        <v>5</v>
      </c>
      <c r="T44" s="1705"/>
      <c r="U44" s="1702">
        <v>39272</v>
      </c>
      <c r="V44" s="1703" t="s">
        <v>5521</v>
      </c>
      <c r="W44" s="1704">
        <v>11</v>
      </c>
      <c r="X44" s="1705"/>
      <c r="Y44" s="1702">
        <v>39646</v>
      </c>
      <c r="Z44" s="1703" t="s">
        <v>802</v>
      </c>
      <c r="AA44" s="1704">
        <v>30</v>
      </c>
      <c r="AB44" s="1705"/>
      <c r="AC44" s="1702"/>
      <c r="AD44" s="1703"/>
      <c r="AE44" s="1704"/>
      <c r="AF44" s="1705"/>
      <c r="AG44" s="1702">
        <v>40383</v>
      </c>
      <c r="AH44" s="1703" t="s">
        <v>5522</v>
      </c>
      <c r="AI44" s="1704">
        <v>27</v>
      </c>
      <c r="AJ44" s="1705"/>
      <c r="AK44" s="1702">
        <v>40755</v>
      </c>
      <c r="AL44" s="1703" t="s">
        <v>5523</v>
      </c>
      <c r="AM44" s="1704">
        <v>24</v>
      </c>
      <c r="AN44" s="1705"/>
      <c r="AO44" s="1702">
        <v>41119</v>
      </c>
      <c r="AP44" s="1703" t="s">
        <v>5524</v>
      </c>
      <c r="AQ44" s="1704">
        <v>28</v>
      </c>
      <c r="AR44" s="1705"/>
      <c r="AS44" s="1702">
        <v>41469</v>
      </c>
      <c r="AT44" s="1703" t="s">
        <v>754</v>
      </c>
      <c r="AU44" s="1704">
        <v>63</v>
      </c>
      <c r="AV44" s="1705"/>
      <c r="AW44" s="1702">
        <v>41836</v>
      </c>
      <c r="AX44" s="1703" t="s">
        <v>5525</v>
      </c>
      <c r="AY44" s="1704">
        <v>19</v>
      </c>
      <c r="AZ44" s="1705"/>
      <c r="BA44" s="1702">
        <v>42204</v>
      </c>
      <c r="BB44" s="1703" t="s">
        <v>5526</v>
      </c>
      <c r="BC44" s="1704">
        <v>60</v>
      </c>
      <c r="BD44" s="1705"/>
      <c r="BE44" s="1702">
        <v>42566</v>
      </c>
      <c r="BF44" s="1711" t="s">
        <v>5527</v>
      </c>
      <c r="BG44" s="1716">
        <v>61</v>
      </c>
      <c r="BH44" s="1705"/>
      <c r="BI44" s="1702">
        <v>42924</v>
      </c>
      <c r="BJ44" s="1711" t="s">
        <v>823</v>
      </c>
      <c r="BK44" s="1716">
        <v>75</v>
      </c>
      <c r="BL44" s="1705"/>
      <c r="BM44" s="1702">
        <v>43294</v>
      </c>
      <c r="BN44" s="1711" t="s">
        <v>873</v>
      </c>
      <c r="BO44" s="1716">
        <v>24</v>
      </c>
      <c r="BP44" s="1705"/>
      <c r="BQ44" s="1702">
        <v>43660</v>
      </c>
      <c r="BR44" s="1711" t="s">
        <v>843</v>
      </c>
      <c r="BS44" s="1716">
        <v>7</v>
      </c>
      <c r="BT44" s="1710" t="s">
        <v>414</v>
      </c>
      <c r="BU44" s="1702">
        <v>44037</v>
      </c>
      <c r="BV44" s="1711" t="s">
        <v>843</v>
      </c>
      <c r="BW44" s="1716">
        <v>20</v>
      </c>
      <c r="BX44" s="1710" t="s">
        <v>414</v>
      </c>
      <c r="BY44" s="1702">
        <v>44392</v>
      </c>
      <c r="BZ44" s="1711" t="s">
        <v>845</v>
      </c>
      <c r="CA44" s="1716">
        <v>31</v>
      </c>
      <c r="CB44" s="1710" t="s">
        <v>414</v>
      </c>
      <c r="CC44" s="1702">
        <v>44751</v>
      </c>
      <c r="CD44" s="1711" t="s">
        <v>828</v>
      </c>
      <c r="CE44" s="1716">
        <v>17</v>
      </c>
      <c r="CF44" s="1710" t="s">
        <v>414</v>
      </c>
      <c r="CG44" s="1702">
        <v>45120</v>
      </c>
      <c r="CH44" s="1711" t="s">
        <v>5528</v>
      </c>
      <c r="CI44" s="1716">
        <v>20</v>
      </c>
      <c r="CJ44" s="1788" t="s">
        <v>414</v>
      </c>
      <c r="CK44" s="1818">
        <v>45486</v>
      </c>
      <c r="CL44" s="1711" t="s">
        <v>948</v>
      </c>
      <c r="CM44" s="1716">
        <v>28</v>
      </c>
      <c r="CN44" s="1819" t="s">
        <v>414</v>
      </c>
      <c r="CO44" s="2146">
        <v>45853</v>
      </c>
      <c r="CP44" s="2151" t="s">
        <v>5529</v>
      </c>
      <c r="CQ44" s="2147">
        <v>30</v>
      </c>
      <c r="CR44" s="1819"/>
    </row>
    <row r="45" spans="1:96" ht="13.5">
      <c r="A45" s="1769">
        <v>37461</v>
      </c>
      <c r="B45" s="1711" t="s">
        <v>5530</v>
      </c>
      <c r="C45" s="1716"/>
      <c r="D45" s="1717"/>
      <c r="E45" s="1702">
        <v>37814</v>
      </c>
      <c r="F45" s="1703" t="s">
        <v>1810</v>
      </c>
      <c r="G45" s="1704">
        <v>43</v>
      </c>
      <c r="H45" s="1705"/>
      <c r="I45" s="1702">
        <v>38184</v>
      </c>
      <c r="J45" s="1703" t="s">
        <v>802</v>
      </c>
      <c r="K45" s="1704">
        <v>27</v>
      </c>
      <c r="L45" s="1705"/>
      <c r="M45" s="1702">
        <v>38555</v>
      </c>
      <c r="N45" s="1703" t="s">
        <v>5531</v>
      </c>
      <c r="O45" s="1704">
        <v>74</v>
      </c>
      <c r="P45" s="1705"/>
      <c r="Q45" s="1702">
        <v>38924</v>
      </c>
      <c r="R45" s="1703" t="s">
        <v>5532</v>
      </c>
      <c r="S45" s="1704">
        <v>13</v>
      </c>
      <c r="T45" s="1705"/>
      <c r="U45" s="1702">
        <v>39276</v>
      </c>
      <c r="V45" s="1703" t="s">
        <v>797</v>
      </c>
      <c r="W45" s="1704">
        <v>48</v>
      </c>
      <c r="X45" s="1705"/>
      <c r="Y45" s="1702">
        <v>39646</v>
      </c>
      <c r="Z45" s="1703" t="s">
        <v>767</v>
      </c>
      <c r="AA45" s="1704">
        <v>10</v>
      </c>
      <c r="AB45" s="1705"/>
      <c r="AC45" s="1702"/>
      <c r="AD45" s="1703"/>
      <c r="AE45" s="1704"/>
      <c r="AF45" s="1705"/>
      <c r="AG45" s="1702">
        <v>40383</v>
      </c>
      <c r="AH45" s="1703" t="s">
        <v>5533</v>
      </c>
      <c r="AI45" s="1704">
        <v>15</v>
      </c>
      <c r="AJ45" s="1705"/>
      <c r="AK45" s="1702"/>
      <c r="AL45" s="1703"/>
      <c r="AM45" s="1704"/>
      <c r="AN45" s="1705"/>
      <c r="AO45" s="1702"/>
      <c r="AP45" s="1703"/>
      <c r="AQ45" s="1704"/>
      <c r="AR45" s="1705"/>
      <c r="AS45" s="1702">
        <v>41469</v>
      </c>
      <c r="AT45" s="1703" t="s">
        <v>5418</v>
      </c>
      <c r="AU45" s="1704">
        <v>5</v>
      </c>
      <c r="AV45" s="1705"/>
      <c r="AW45" s="1702">
        <v>41836</v>
      </c>
      <c r="AX45" s="1703" t="s">
        <v>797</v>
      </c>
      <c r="AY45" s="1704">
        <v>41</v>
      </c>
      <c r="AZ45" s="1705"/>
      <c r="BA45" s="1702">
        <v>42205</v>
      </c>
      <c r="BB45" s="1703" t="s">
        <v>1052</v>
      </c>
      <c r="BC45" s="1704">
        <v>19</v>
      </c>
      <c r="BD45" s="1705"/>
      <c r="BE45" s="1702">
        <v>42566</v>
      </c>
      <c r="BF45" s="1711" t="s">
        <v>5534</v>
      </c>
      <c r="BG45" s="1716">
        <v>85</v>
      </c>
      <c r="BH45" s="1705"/>
      <c r="BI45" s="1702">
        <v>42924</v>
      </c>
      <c r="BJ45" s="1711" t="s">
        <v>873</v>
      </c>
      <c r="BK45" s="1716">
        <v>24</v>
      </c>
      <c r="BL45" s="1705"/>
      <c r="BM45" s="1702">
        <v>43294</v>
      </c>
      <c r="BN45" s="1711" t="s">
        <v>859</v>
      </c>
      <c r="BO45" s="1716">
        <v>6</v>
      </c>
      <c r="BP45" s="1705"/>
      <c r="BQ45" s="1702">
        <v>43660</v>
      </c>
      <c r="BR45" s="1711" t="s">
        <v>772</v>
      </c>
      <c r="BS45" s="1716">
        <v>10</v>
      </c>
      <c r="BT45" s="1710" t="s">
        <v>414</v>
      </c>
      <c r="BU45" s="1702">
        <v>44037</v>
      </c>
      <c r="BV45" s="1711" t="s">
        <v>872</v>
      </c>
      <c r="BW45" s="1716">
        <v>15</v>
      </c>
      <c r="BX45" s="1710" t="s">
        <v>414</v>
      </c>
      <c r="BY45" s="1702">
        <v>44392</v>
      </c>
      <c r="BZ45" s="1711" t="s">
        <v>5535</v>
      </c>
      <c r="CA45" s="1716">
        <v>15</v>
      </c>
      <c r="CB45" s="1710" t="s">
        <v>414</v>
      </c>
      <c r="CC45" s="1702">
        <v>44751</v>
      </c>
      <c r="CD45" s="1711" t="s">
        <v>772</v>
      </c>
      <c r="CE45" s="1716">
        <v>51</v>
      </c>
      <c r="CF45" s="1710" t="s">
        <v>414</v>
      </c>
      <c r="CG45" s="1702">
        <v>45120</v>
      </c>
      <c r="CH45" s="1711" t="s">
        <v>2205</v>
      </c>
      <c r="CI45" s="1716">
        <v>0</v>
      </c>
      <c r="CJ45" s="1788" t="s">
        <v>414</v>
      </c>
      <c r="CK45" s="1818">
        <v>45486</v>
      </c>
      <c r="CL45" s="1711" t="s">
        <v>845</v>
      </c>
      <c r="CM45" s="1716">
        <v>18</v>
      </c>
      <c r="CN45" s="1819" t="s">
        <v>414</v>
      </c>
      <c r="CO45" s="1818"/>
      <c r="CP45" s="1711"/>
      <c r="CQ45" s="1716"/>
      <c r="CR45" s="1819"/>
    </row>
    <row r="46" spans="1:96" ht="13.5">
      <c r="A46" s="1769">
        <v>37461</v>
      </c>
      <c r="B46" s="1711" t="s">
        <v>915</v>
      </c>
      <c r="C46" s="1716"/>
      <c r="D46" s="1717">
        <v>16.43</v>
      </c>
      <c r="E46" s="1702">
        <v>37814</v>
      </c>
      <c r="F46" s="1703" t="s">
        <v>5536</v>
      </c>
      <c r="G46" s="1704">
        <v>10</v>
      </c>
      <c r="H46" s="1705"/>
      <c r="I46" s="1702">
        <v>38185</v>
      </c>
      <c r="J46" s="1703" t="s">
        <v>3984</v>
      </c>
      <c r="K46" s="1704">
        <v>11</v>
      </c>
      <c r="L46" s="1705"/>
      <c r="M46" s="1702">
        <v>38555</v>
      </c>
      <c r="N46" s="1703" t="s">
        <v>3250</v>
      </c>
      <c r="O46" s="1704">
        <v>40</v>
      </c>
      <c r="P46" s="1705"/>
      <c r="Q46" s="1702">
        <v>38925</v>
      </c>
      <c r="R46" s="1703" t="s">
        <v>5537</v>
      </c>
      <c r="S46" s="1704">
        <v>63</v>
      </c>
      <c r="T46" s="1705"/>
      <c r="U46" s="1702">
        <v>39277</v>
      </c>
      <c r="V46" s="1703" t="s">
        <v>5538</v>
      </c>
      <c r="W46" s="1704">
        <v>22</v>
      </c>
      <c r="X46" s="1705"/>
      <c r="Y46" s="1702">
        <v>39647</v>
      </c>
      <c r="Z46" s="1703" t="s">
        <v>781</v>
      </c>
      <c r="AA46" s="1704">
        <v>62</v>
      </c>
      <c r="AB46" s="1705"/>
      <c r="AC46" s="1702"/>
      <c r="AD46" s="1703"/>
      <c r="AE46" s="1704"/>
      <c r="AF46" s="1705"/>
      <c r="AG46" s="1702">
        <v>40383</v>
      </c>
      <c r="AH46" s="1703" t="s">
        <v>1427</v>
      </c>
      <c r="AI46" s="1704">
        <v>15</v>
      </c>
      <c r="AJ46" s="1705"/>
      <c r="AK46" s="1702"/>
      <c r="AL46" s="1703"/>
      <c r="AM46" s="1704"/>
      <c r="AN46" s="1705"/>
      <c r="AO46" s="1702"/>
      <c r="AP46" s="1703"/>
      <c r="AQ46" s="1704"/>
      <c r="AR46" s="1705"/>
      <c r="AS46" s="1702">
        <v>41469</v>
      </c>
      <c r="AT46" s="1703" t="s">
        <v>3426</v>
      </c>
      <c r="AU46" s="1704">
        <v>32</v>
      </c>
      <c r="AV46" s="1705"/>
      <c r="AW46" s="1702">
        <v>41837</v>
      </c>
      <c r="AX46" s="1703" t="s">
        <v>5539</v>
      </c>
      <c r="AY46" s="1704">
        <v>20</v>
      </c>
      <c r="AZ46" s="1705"/>
      <c r="BA46" s="1702">
        <v>42207</v>
      </c>
      <c r="BB46" s="1703" t="s">
        <v>797</v>
      </c>
      <c r="BC46" s="1704">
        <v>44</v>
      </c>
      <c r="BD46" s="1705"/>
      <c r="BE46" s="1702">
        <v>42566</v>
      </c>
      <c r="BF46" s="1711" t="s">
        <v>5540</v>
      </c>
      <c r="BG46" s="1716">
        <v>28</v>
      </c>
      <c r="BH46" s="1705"/>
      <c r="BI46" s="1702">
        <v>42924</v>
      </c>
      <c r="BJ46" s="1711" t="s">
        <v>5541</v>
      </c>
      <c r="BK46" s="1716">
        <v>10</v>
      </c>
      <c r="BL46" s="1705"/>
      <c r="BM46" s="1702">
        <v>43294</v>
      </c>
      <c r="BN46" s="1711" t="s">
        <v>823</v>
      </c>
      <c r="BO46" s="1716">
        <v>32</v>
      </c>
      <c r="BP46" s="1705"/>
      <c r="BQ46" s="1702">
        <v>43661</v>
      </c>
      <c r="BR46" s="1711" t="s">
        <v>5542</v>
      </c>
      <c r="BS46" s="1716">
        <v>43</v>
      </c>
      <c r="BT46" s="1710" t="s">
        <v>700</v>
      </c>
      <c r="BU46" s="1702">
        <v>44037</v>
      </c>
      <c r="BV46" s="1711" t="s">
        <v>772</v>
      </c>
      <c r="BW46" s="1716">
        <v>36</v>
      </c>
      <c r="BX46" s="1710" t="s">
        <v>414</v>
      </c>
      <c r="BY46" s="1702">
        <v>44392</v>
      </c>
      <c r="BZ46" s="1711" t="s">
        <v>5543</v>
      </c>
      <c r="CA46" s="1716">
        <v>10</v>
      </c>
      <c r="CB46" s="1710" t="s">
        <v>414</v>
      </c>
      <c r="CC46" s="1702">
        <v>44751</v>
      </c>
      <c r="CD46" s="1711" t="s">
        <v>845</v>
      </c>
      <c r="CE46" s="1716">
        <v>19</v>
      </c>
      <c r="CF46" s="1710" t="s">
        <v>414</v>
      </c>
      <c r="CG46" s="1702">
        <v>45120</v>
      </c>
      <c r="CH46" s="1711" t="s">
        <v>5544</v>
      </c>
      <c r="CI46" s="1716">
        <v>25</v>
      </c>
      <c r="CJ46" s="1788" t="s">
        <v>414</v>
      </c>
      <c r="CK46" s="1818">
        <v>45486</v>
      </c>
      <c r="CL46" s="1711" t="s">
        <v>5545</v>
      </c>
      <c r="CM46" s="1716">
        <v>3200</v>
      </c>
      <c r="CN46" s="1819" t="s">
        <v>689</v>
      </c>
      <c r="CO46" s="1818"/>
      <c r="CP46" s="1711"/>
      <c r="CQ46" s="1716"/>
      <c r="CR46" s="1819"/>
    </row>
    <row r="47" spans="1:96" ht="13.5">
      <c r="A47" s="1769">
        <v>37464</v>
      </c>
      <c r="B47" s="1711" t="s">
        <v>1189</v>
      </c>
      <c r="C47" s="1716">
        <v>4.58</v>
      </c>
      <c r="D47" s="1717"/>
      <c r="E47" s="1702">
        <v>37818</v>
      </c>
      <c r="F47" s="1703" t="s">
        <v>5546</v>
      </c>
      <c r="G47" s="1704"/>
      <c r="H47" s="1705">
        <v>188</v>
      </c>
      <c r="I47" s="1702">
        <v>38185</v>
      </c>
      <c r="J47" s="1703" t="s">
        <v>797</v>
      </c>
      <c r="K47" s="1704">
        <v>24</v>
      </c>
      <c r="L47" s="1705"/>
      <c r="M47" s="1702">
        <v>38555</v>
      </c>
      <c r="N47" s="1703" t="s">
        <v>5547</v>
      </c>
      <c r="O47" s="1704">
        <v>18</v>
      </c>
      <c r="P47" s="1705"/>
      <c r="Q47" s="1702">
        <v>38928</v>
      </c>
      <c r="R47" s="1703" t="s">
        <v>797</v>
      </c>
      <c r="S47" s="1704">
        <v>38</v>
      </c>
      <c r="T47" s="1705"/>
      <c r="U47" s="1702">
        <v>39277</v>
      </c>
      <c r="V47" s="1703" t="s">
        <v>5548</v>
      </c>
      <c r="W47" s="1704">
        <v>1</v>
      </c>
      <c r="X47" s="1705"/>
      <c r="Y47" s="1702">
        <v>39648</v>
      </c>
      <c r="Z47" s="1703" t="s">
        <v>5549</v>
      </c>
      <c r="AA47" s="1704">
        <v>60</v>
      </c>
      <c r="AB47" s="1705"/>
      <c r="AC47" s="1702"/>
      <c r="AD47" s="1703"/>
      <c r="AE47" s="1704"/>
      <c r="AF47" s="1705"/>
      <c r="AG47" s="1702">
        <v>40384</v>
      </c>
      <c r="AH47" s="1703" t="s">
        <v>781</v>
      </c>
      <c r="AI47" s="1704">
        <v>73</v>
      </c>
      <c r="AJ47" s="1705"/>
      <c r="AK47" s="1702"/>
      <c r="AL47" s="1703"/>
      <c r="AM47" s="1704"/>
      <c r="AN47" s="1705"/>
      <c r="AO47" s="1702"/>
      <c r="AP47" s="1703"/>
      <c r="AQ47" s="1704"/>
      <c r="AR47" s="1705"/>
      <c r="AS47" s="1702">
        <v>41470</v>
      </c>
      <c r="AT47" s="1703" t="s">
        <v>5550</v>
      </c>
      <c r="AU47" s="1704"/>
      <c r="AV47" s="1705"/>
      <c r="AW47" s="1702">
        <v>41837</v>
      </c>
      <c r="AX47" s="1703" t="s">
        <v>5551</v>
      </c>
      <c r="AY47" s="1704">
        <v>61</v>
      </c>
      <c r="AZ47" s="1705"/>
      <c r="BA47" s="1702">
        <v>42209</v>
      </c>
      <c r="BB47" s="1703" t="s">
        <v>5552</v>
      </c>
      <c r="BC47" s="1704">
        <v>14</v>
      </c>
      <c r="BD47" s="1705"/>
      <c r="BE47" s="1702">
        <v>42566</v>
      </c>
      <c r="BF47" s="1711" t="s">
        <v>5553</v>
      </c>
      <c r="BG47" s="1716">
        <v>19</v>
      </c>
      <c r="BH47" s="1705"/>
      <c r="BI47" s="1702">
        <v>42924</v>
      </c>
      <c r="BJ47" s="1711" t="s">
        <v>5554</v>
      </c>
      <c r="BK47" s="1716">
        <v>39</v>
      </c>
      <c r="BL47" s="1705"/>
      <c r="BM47" s="1702">
        <v>43294</v>
      </c>
      <c r="BN47" s="1711" t="s">
        <v>5555</v>
      </c>
      <c r="BO47" s="1716">
        <v>25</v>
      </c>
      <c r="BP47" s="1705"/>
      <c r="BQ47" s="1702">
        <v>43661</v>
      </c>
      <c r="BR47" s="1711" t="s">
        <v>5556</v>
      </c>
      <c r="BS47" s="1716">
        <v>0</v>
      </c>
      <c r="BT47" s="1710" t="s">
        <v>700</v>
      </c>
      <c r="BU47" s="1702">
        <v>44037</v>
      </c>
      <c r="BV47" s="1711" t="s">
        <v>5557</v>
      </c>
      <c r="BW47" s="1716">
        <v>42</v>
      </c>
      <c r="BX47" s="1710" t="s">
        <v>280</v>
      </c>
      <c r="BY47" s="1702">
        <v>44392</v>
      </c>
      <c r="BZ47" s="1711" t="s">
        <v>5558</v>
      </c>
      <c r="CA47" s="1716">
        <v>15</v>
      </c>
      <c r="CB47" s="1710" t="s">
        <v>414</v>
      </c>
      <c r="CC47" s="1702">
        <v>44751</v>
      </c>
      <c r="CD47" s="1711" t="s">
        <v>979</v>
      </c>
      <c r="CE47" s="1716">
        <v>191</v>
      </c>
      <c r="CF47" s="1710" t="s">
        <v>700</v>
      </c>
      <c r="CG47" s="1702">
        <v>45120</v>
      </c>
      <c r="CH47" s="1711" t="s">
        <v>5559</v>
      </c>
      <c r="CI47" s="1716">
        <v>10</v>
      </c>
      <c r="CJ47" s="1788" t="s">
        <v>692</v>
      </c>
      <c r="CK47" s="1818">
        <v>45486</v>
      </c>
      <c r="CL47" s="1711" t="s">
        <v>5560</v>
      </c>
      <c r="CM47" s="1716">
        <v>17</v>
      </c>
      <c r="CN47" s="1819" t="s">
        <v>414</v>
      </c>
      <c r="CO47" s="1818"/>
      <c r="CP47" s="1711"/>
      <c r="CQ47" s="1716"/>
      <c r="CR47" s="1819"/>
    </row>
    <row r="48" spans="1:96" ht="13.5">
      <c r="A48" s="1769">
        <v>37464</v>
      </c>
      <c r="B48" s="1711" t="s">
        <v>915</v>
      </c>
      <c r="C48" s="1716"/>
      <c r="D48" s="1717">
        <v>7</v>
      </c>
      <c r="E48" s="1702">
        <v>37821</v>
      </c>
      <c r="F48" s="1703" t="s">
        <v>5157</v>
      </c>
      <c r="G48" s="1704">
        <v>87</v>
      </c>
      <c r="H48" s="1705"/>
      <c r="I48" s="1702">
        <v>38185</v>
      </c>
      <c r="J48" s="1703" t="s">
        <v>989</v>
      </c>
      <c r="K48" s="1704">
        <v>10</v>
      </c>
      <c r="L48" s="1705"/>
      <c r="M48" s="1702">
        <v>38555</v>
      </c>
      <c r="N48" s="1703" t="s">
        <v>5561</v>
      </c>
      <c r="O48" s="1704">
        <v>10</v>
      </c>
      <c r="P48" s="1705"/>
      <c r="Q48" s="1702">
        <v>38929</v>
      </c>
      <c r="R48" s="1703" t="s">
        <v>802</v>
      </c>
      <c r="S48" s="1704">
        <v>45</v>
      </c>
      <c r="T48" s="1705"/>
      <c r="U48" s="1702">
        <v>39277</v>
      </c>
      <c r="V48" s="1703" t="s">
        <v>5562</v>
      </c>
      <c r="W48" s="1704">
        <v>7</v>
      </c>
      <c r="X48" s="1705"/>
      <c r="Y48" s="1702">
        <v>39648</v>
      </c>
      <c r="Z48" s="1703" t="s">
        <v>767</v>
      </c>
      <c r="AA48" s="1704">
        <v>6</v>
      </c>
      <c r="AB48" s="1705"/>
      <c r="AC48" s="1702"/>
      <c r="AD48" s="1703"/>
      <c r="AE48" s="1704"/>
      <c r="AF48" s="1705"/>
      <c r="AG48" s="1702">
        <v>40384</v>
      </c>
      <c r="AH48" s="1703" t="s">
        <v>5563</v>
      </c>
      <c r="AI48" s="1704">
        <v>38</v>
      </c>
      <c r="AJ48" s="1705"/>
      <c r="AK48" s="1702"/>
      <c r="AL48" s="1703"/>
      <c r="AM48" s="1704"/>
      <c r="AN48" s="1705"/>
      <c r="AO48" s="1702"/>
      <c r="AP48" s="1703"/>
      <c r="AQ48" s="1704"/>
      <c r="AR48" s="1705"/>
      <c r="AS48" s="1702">
        <v>41470</v>
      </c>
      <c r="AT48" s="1703" t="s">
        <v>5564</v>
      </c>
      <c r="AU48" s="1704">
        <v>8</v>
      </c>
      <c r="AV48" s="1705"/>
      <c r="AW48" s="1702">
        <v>41837</v>
      </c>
      <c r="AX48" s="1703" t="s">
        <v>5565</v>
      </c>
      <c r="AY48" s="1704">
        <v>35</v>
      </c>
      <c r="AZ48" s="1705"/>
      <c r="BA48" s="1702">
        <v>42210</v>
      </c>
      <c r="BB48" s="1703" t="s">
        <v>5566</v>
      </c>
      <c r="BC48" s="1704">
        <v>39</v>
      </c>
      <c r="BD48" s="1705"/>
      <c r="BE48" s="1702">
        <v>42566</v>
      </c>
      <c r="BF48" s="1711" t="s">
        <v>5567</v>
      </c>
      <c r="BG48" s="1716">
        <v>19</v>
      </c>
      <c r="BH48" s="1705"/>
      <c r="BI48" s="1702">
        <v>42925</v>
      </c>
      <c r="BJ48" s="1711" t="s">
        <v>872</v>
      </c>
      <c r="BK48" s="1716">
        <v>39</v>
      </c>
      <c r="BL48" s="1705"/>
      <c r="BM48" s="1702">
        <v>43295</v>
      </c>
      <c r="BN48" s="1711" t="s">
        <v>5568</v>
      </c>
      <c r="BO48" s="1716">
        <v>130</v>
      </c>
      <c r="BP48" s="1705"/>
      <c r="BQ48" s="1702">
        <v>43661</v>
      </c>
      <c r="BR48" s="1711" t="s">
        <v>5569</v>
      </c>
      <c r="BS48" s="1716">
        <v>15</v>
      </c>
      <c r="BT48" s="1710" t="s">
        <v>702</v>
      </c>
      <c r="BU48" s="1702">
        <v>44037</v>
      </c>
      <c r="BV48" s="1711" t="s">
        <v>5570</v>
      </c>
      <c r="BW48" s="1716">
        <v>23</v>
      </c>
      <c r="BX48" s="1710" t="s">
        <v>280</v>
      </c>
      <c r="BY48" s="1702">
        <v>44392</v>
      </c>
      <c r="BZ48" s="1711" t="s">
        <v>3127</v>
      </c>
      <c r="CA48" s="1716">
        <v>18</v>
      </c>
      <c r="CB48" s="1710" t="s">
        <v>414</v>
      </c>
      <c r="CC48" s="1702">
        <v>44751</v>
      </c>
      <c r="CD48" s="1711" t="s">
        <v>5571</v>
      </c>
      <c r="CE48" s="1716">
        <v>9</v>
      </c>
      <c r="CF48" s="1710" t="s">
        <v>280</v>
      </c>
      <c r="CG48" s="1702">
        <v>45120</v>
      </c>
      <c r="CH48" s="1711" t="s">
        <v>5572</v>
      </c>
      <c r="CI48" s="1716">
        <v>69</v>
      </c>
      <c r="CJ48" s="1788" t="s">
        <v>692</v>
      </c>
      <c r="CK48" s="1818">
        <v>45486</v>
      </c>
      <c r="CL48" s="1711" t="s">
        <v>5573</v>
      </c>
      <c r="CM48" s="1716">
        <v>120</v>
      </c>
      <c r="CN48" s="1819" t="s">
        <v>689</v>
      </c>
      <c r="CO48" s="1818"/>
      <c r="CP48" s="1711"/>
      <c r="CQ48" s="1716"/>
      <c r="CR48" s="1819"/>
    </row>
    <row r="49" spans="1:96" ht="13.5">
      <c r="A49" s="1769">
        <v>37464</v>
      </c>
      <c r="B49" s="1711" t="s">
        <v>410</v>
      </c>
      <c r="C49" s="1716">
        <v>21</v>
      </c>
      <c r="D49" s="1717"/>
      <c r="E49" s="1702">
        <v>37821</v>
      </c>
      <c r="F49" s="1703" t="s">
        <v>5574</v>
      </c>
      <c r="G49" s="1704">
        <v>60</v>
      </c>
      <c r="H49" s="1705"/>
      <c r="I49" s="1702">
        <v>38186</v>
      </c>
      <c r="J49" s="1703" t="s">
        <v>990</v>
      </c>
      <c r="K49" s="1704">
        <v>70</v>
      </c>
      <c r="L49" s="1705"/>
      <c r="M49" s="1702">
        <v>38555</v>
      </c>
      <c r="N49" s="1703" t="s">
        <v>5575</v>
      </c>
      <c r="O49" s="1704">
        <v>17</v>
      </c>
      <c r="P49" s="1705"/>
      <c r="Q49" s="1702">
        <v>38929</v>
      </c>
      <c r="R49" s="1703" t="s">
        <v>5576</v>
      </c>
      <c r="S49" s="1704">
        <v>35</v>
      </c>
      <c r="T49" s="1705"/>
      <c r="U49" s="1702">
        <v>39277</v>
      </c>
      <c r="V49" s="1703" t="s">
        <v>772</v>
      </c>
      <c r="W49" s="1704">
        <v>31</v>
      </c>
      <c r="X49" s="1705"/>
      <c r="Y49" s="1702">
        <v>39649</v>
      </c>
      <c r="Z49" s="1703" t="s">
        <v>797</v>
      </c>
      <c r="AA49" s="1704">
        <v>67</v>
      </c>
      <c r="AB49" s="1705"/>
      <c r="AC49" s="1702"/>
      <c r="AD49" s="1703"/>
      <c r="AE49" s="1704"/>
      <c r="AF49" s="1705"/>
      <c r="AG49" s="1702">
        <v>40384</v>
      </c>
      <c r="AH49" s="1703" t="s">
        <v>855</v>
      </c>
      <c r="AI49" s="1704">
        <v>8</v>
      </c>
      <c r="AJ49" s="1705"/>
      <c r="AK49" s="1702"/>
      <c r="AL49" s="1703"/>
      <c r="AM49" s="1704"/>
      <c r="AN49" s="1705"/>
      <c r="AO49" s="1702"/>
      <c r="AP49" s="1703"/>
      <c r="AQ49" s="1704"/>
      <c r="AR49" s="1705"/>
      <c r="AS49" s="1702">
        <v>41470</v>
      </c>
      <c r="AT49" s="1703" t="s">
        <v>5577</v>
      </c>
      <c r="AU49" s="1704">
        <v>9</v>
      </c>
      <c r="AV49" s="1705"/>
      <c r="AW49" s="1702">
        <v>41838</v>
      </c>
      <c r="AX49" s="1703" t="s">
        <v>925</v>
      </c>
      <c r="AY49" s="1704">
        <v>5</v>
      </c>
      <c r="AZ49" s="1705"/>
      <c r="BA49" s="1702">
        <v>42210</v>
      </c>
      <c r="BB49" s="1703" t="s">
        <v>781</v>
      </c>
      <c r="BC49" s="1704">
        <v>72</v>
      </c>
      <c r="BD49" s="1705"/>
      <c r="BE49" s="1702">
        <v>42566</v>
      </c>
      <c r="BF49" s="1711" t="s">
        <v>859</v>
      </c>
      <c r="BG49" s="1716">
        <v>37</v>
      </c>
      <c r="BH49" s="1705"/>
      <c r="BI49" s="1702">
        <v>42925</v>
      </c>
      <c r="BJ49" s="1711" t="s">
        <v>5578</v>
      </c>
      <c r="BK49" s="1716">
        <v>32</v>
      </c>
      <c r="BL49" s="1705"/>
      <c r="BM49" s="1702">
        <v>43295</v>
      </c>
      <c r="BN49" s="1711" t="s">
        <v>5579</v>
      </c>
      <c r="BO49" s="1716">
        <v>30</v>
      </c>
      <c r="BP49" s="1705"/>
      <c r="BQ49" s="1702">
        <v>43661</v>
      </c>
      <c r="BR49" s="1711" t="s">
        <v>5580</v>
      </c>
      <c r="BS49" s="1716">
        <v>3</v>
      </c>
      <c r="BT49" s="1710" t="s">
        <v>702</v>
      </c>
      <c r="BU49" s="1702">
        <v>44037</v>
      </c>
      <c r="BV49" s="1711" t="s">
        <v>3276</v>
      </c>
      <c r="BW49" s="1716">
        <v>11</v>
      </c>
      <c r="BX49" s="1710" t="s">
        <v>414</v>
      </c>
      <c r="BY49" s="1702">
        <v>44392</v>
      </c>
      <c r="BZ49" s="1711" t="s">
        <v>3503</v>
      </c>
      <c r="CA49" s="1716">
        <v>10</v>
      </c>
      <c r="CB49" s="1710" t="s">
        <v>414</v>
      </c>
      <c r="CC49" s="1702">
        <v>44751</v>
      </c>
      <c r="CD49" s="1711" t="s">
        <v>1429</v>
      </c>
      <c r="CE49" s="1716">
        <v>23</v>
      </c>
      <c r="CF49" s="1710" t="s">
        <v>414</v>
      </c>
      <c r="CG49" s="1702">
        <v>45121</v>
      </c>
      <c r="CH49" s="1711" t="s">
        <v>5581</v>
      </c>
      <c r="CI49" s="1716">
        <v>69</v>
      </c>
      <c r="CJ49" s="1788" t="s">
        <v>414</v>
      </c>
      <c r="CK49" s="1818">
        <v>45487</v>
      </c>
      <c r="CL49" s="1711" t="s">
        <v>5582</v>
      </c>
      <c r="CM49" s="1716">
        <v>40</v>
      </c>
      <c r="CN49" s="1819" t="s">
        <v>280</v>
      </c>
      <c r="CO49" s="1818"/>
      <c r="CP49" s="1711"/>
      <c r="CQ49" s="1716"/>
      <c r="CR49" s="1819"/>
    </row>
    <row r="50" spans="1:96" ht="13.5">
      <c r="A50" s="1769">
        <v>37464</v>
      </c>
      <c r="B50" s="1711" t="s">
        <v>5583</v>
      </c>
      <c r="C50" s="1716">
        <v>13</v>
      </c>
      <c r="D50" s="1717"/>
      <c r="E50" s="1702">
        <v>37821</v>
      </c>
      <c r="F50" s="1703" t="s">
        <v>802</v>
      </c>
      <c r="G50" s="1704">
        <v>24</v>
      </c>
      <c r="H50" s="1705"/>
      <c r="I50" s="1702">
        <v>38186</v>
      </c>
      <c r="J50" s="1703" t="s">
        <v>890</v>
      </c>
      <c r="K50" s="1704">
        <v>3</v>
      </c>
      <c r="L50" s="1705"/>
      <c r="M50" s="1702">
        <v>38555</v>
      </c>
      <c r="N50" s="1703" t="s">
        <v>797</v>
      </c>
      <c r="O50" s="1704">
        <v>40</v>
      </c>
      <c r="P50" s="1705"/>
      <c r="Q50" s="1702"/>
      <c r="R50" s="1703"/>
      <c r="S50" s="1704"/>
      <c r="T50" s="1705"/>
      <c r="U50" s="1702">
        <v>39278</v>
      </c>
      <c r="V50" s="1703" t="s">
        <v>954</v>
      </c>
      <c r="W50" s="1704">
        <v>53</v>
      </c>
      <c r="X50" s="1705"/>
      <c r="Y50" s="1702">
        <v>39649</v>
      </c>
      <c r="Z50" s="1703" t="s">
        <v>5584</v>
      </c>
      <c r="AA50" s="1704">
        <v>6</v>
      </c>
      <c r="AB50" s="1705"/>
      <c r="AC50" s="1702"/>
      <c r="AD50" s="1703"/>
      <c r="AE50" s="1704"/>
      <c r="AF50" s="1705"/>
      <c r="AG50" s="1702">
        <v>40386</v>
      </c>
      <c r="AH50" s="1703" t="s">
        <v>5585</v>
      </c>
      <c r="AI50" s="1704">
        <v>90</v>
      </c>
      <c r="AJ50" s="1705"/>
      <c r="AK50" s="1702"/>
      <c r="AL50" s="1703"/>
      <c r="AM50" s="1704"/>
      <c r="AN50" s="1705"/>
      <c r="AO50" s="1702"/>
      <c r="AP50" s="1703"/>
      <c r="AQ50" s="1704"/>
      <c r="AR50" s="1705"/>
      <c r="AS50" s="1702">
        <v>41470</v>
      </c>
      <c r="AT50" s="1703" t="s">
        <v>5586</v>
      </c>
      <c r="AU50" s="1704">
        <v>3</v>
      </c>
      <c r="AV50" s="1705"/>
      <c r="AW50" s="1702">
        <v>41838</v>
      </c>
      <c r="AX50" s="1703" t="s">
        <v>954</v>
      </c>
      <c r="AY50" s="1704">
        <v>55</v>
      </c>
      <c r="AZ50" s="1705"/>
      <c r="BA50" s="1702">
        <v>42210</v>
      </c>
      <c r="BB50" s="1703" t="s">
        <v>754</v>
      </c>
      <c r="BC50" s="1704">
        <v>51</v>
      </c>
      <c r="BD50" s="1705"/>
      <c r="BE50" s="1702">
        <v>42566</v>
      </c>
      <c r="BF50" s="1711" t="s">
        <v>772</v>
      </c>
      <c r="BG50" s="1716">
        <v>23</v>
      </c>
      <c r="BH50" s="1705"/>
      <c r="BI50" s="1702">
        <v>42925</v>
      </c>
      <c r="BJ50" s="1711" t="s">
        <v>5587</v>
      </c>
      <c r="BK50" s="1716">
        <v>44</v>
      </c>
      <c r="BL50" s="1705"/>
      <c r="BM50" s="1702">
        <v>43295</v>
      </c>
      <c r="BN50" s="1711" t="s">
        <v>1245</v>
      </c>
      <c r="BO50" s="1716">
        <v>38</v>
      </c>
      <c r="BP50" s="1705"/>
      <c r="BQ50" s="1702">
        <v>43663</v>
      </c>
      <c r="BR50" s="1711" t="s">
        <v>4059</v>
      </c>
      <c r="BS50" s="1716">
        <v>15</v>
      </c>
      <c r="BT50" s="1710" t="s">
        <v>414</v>
      </c>
      <c r="BU50" s="1702">
        <v>44037</v>
      </c>
      <c r="BV50" s="1711" t="s">
        <v>5588</v>
      </c>
      <c r="BW50" s="1716">
        <v>12</v>
      </c>
      <c r="BX50" s="1710" t="s">
        <v>280</v>
      </c>
      <c r="BY50" s="1702">
        <v>44392</v>
      </c>
      <c r="BZ50" s="1711" t="s">
        <v>5589</v>
      </c>
      <c r="CA50" s="1716">
        <v>26</v>
      </c>
      <c r="CB50" s="1710" t="s">
        <v>700</v>
      </c>
      <c r="CC50" s="1702">
        <v>44752</v>
      </c>
      <c r="CD50" s="1711" t="s">
        <v>2845</v>
      </c>
      <c r="CE50" s="1716">
        <v>111</v>
      </c>
      <c r="CF50" s="1710" t="s">
        <v>280</v>
      </c>
      <c r="CG50" s="1702">
        <v>45121</v>
      </c>
      <c r="CH50" s="1711" t="s">
        <v>797</v>
      </c>
      <c r="CI50" s="1716">
        <v>80</v>
      </c>
      <c r="CJ50" s="1788" t="s">
        <v>410</v>
      </c>
      <c r="CK50" s="1818">
        <v>45493</v>
      </c>
      <c r="CL50" s="1711" t="s">
        <v>5590</v>
      </c>
      <c r="CM50" s="1716">
        <v>35</v>
      </c>
      <c r="CN50" s="1819" t="s">
        <v>700</v>
      </c>
      <c r="CO50" s="1818"/>
      <c r="CP50" s="1711"/>
      <c r="CQ50" s="1716"/>
      <c r="CR50" s="1819"/>
    </row>
    <row r="51" spans="1:96" ht="13.5">
      <c r="A51" s="1769">
        <v>37465</v>
      </c>
      <c r="B51" s="1711" t="s">
        <v>410</v>
      </c>
      <c r="C51" s="1716">
        <v>21</v>
      </c>
      <c r="D51" s="1717"/>
      <c r="E51" s="1702">
        <v>37821</v>
      </c>
      <c r="F51" s="1703" t="s">
        <v>797</v>
      </c>
      <c r="G51" s="1704">
        <v>29</v>
      </c>
      <c r="H51" s="1705"/>
      <c r="I51" s="1702">
        <v>38186</v>
      </c>
      <c r="J51" s="1703" t="s">
        <v>5591</v>
      </c>
      <c r="K51" s="1704">
        <v>23</v>
      </c>
      <c r="L51" s="1705"/>
      <c r="M51" s="1702">
        <v>38555</v>
      </c>
      <c r="N51" s="1703" t="s">
        <v>5592</v>
      </c>
      <c r="O51" s="1704">
        <v>18</v>
      </c>
      <c r="P51" s="1705"/>
      <c r="Q51" s="1702"/>
      <c r="R51" s="1703"/>
      <c r="S51" s="1704"/>
      <c r="T51" s="1705"/>
      <c r="U51" s="1702">
        <v>39278</v>
      </c>
      <c r="V51" s="1703" t="s">
        <v>5593</v>
      </c>
      <c r="W51" s="1704">
        <v>10</v>
      </c>
      <c r="X51" s="1705"/>
      <c r="Y51" s="1702">
        <v>39649</v>
      </c>
      <c r="Z51" s="1703" t="s">
        <v>802</v>
      </c>
      <c r="AA51" s="1704">
        <v>67</v>
      </c>
      <c r="AB51" s="1705"/>
      <c r="AC51" s="1702"/>
      <c r="AD51" s="1703"/>
      <c r="AE51" s="1704"/>
      <c r="AF51" s="1705"/>
      <c r="AG51" s="1702">
        <v>40386</v>
      </c>
      <c r="AH51" s="1703" t="s">
        <v>1052</v>
      </c>
      <c r="AI51" s="1704">
        <v>18</v>
      </c>
      <c r="AJ51" s="1705"/>
      <c r="AK51" s="1702"/>
      <c r="AL51" s="1703"/>
      <c r="AM51" s="1704"/>
      <c r="AN51" s="1705"/>
      <c r="AO51" s="1702"/>
      <c r="AP51" s="1703"/>
      <c r="AQ51" s="1704"/>
      <c r="AR51" s="1705"/>
      <c r="AS51" s="1702">
        <v>41470</v>
      </c>
      <c r="AT51" s="1703" t="s">
        <v>5594</v>
      </c>
      <c r="AU51" s="1704">
        <v>8</v>
      </c>
      <c r="AV51" s="1705"/>
      <c r="AW51" s="1702">
        <v>41838</v>
      </c>
      <c r="AX51" s="1703" t="s">
        <v>5595</v>
      </c>
      <c r="AY51" s="1704">
        <v>2</v>
      </c>
      <c r="AZ51" s="1705"/>
      <c r="BA51" s="1702">
        <v>42210</v>
      </c>
      <c r="BB51" s="1703" t="s">
        <v>5596</v>
      </c>
      <c r="BC51" s="1704">
        <v>32</v>
      </c>
      <c r="BD51" s="1705"/>
      <c r="BE51" s="1702">
        <v>42567</v>
      </c>
      <c r="BF51" s="1711" t="s">
        <v>5597</v>
      </c>
      <c r="BG51" s="1716">
        <v>27</v>
      </c>
      <c r="BH51" s="1705"/>
      <c r="BI51" s="1702">
        <v>42925</v>
      </c>
      <c r="BJ51" s="1711" t="s">
        <v>5598</v>
      </c>
      <c r="BK51" s="1716">
        <v>11</v>
      </c>
      <c r="BL51" s="1705"/>
      <c r="BM51" s="1702">
        <v>43295</v>
      </c>
      <c r="BN51" s="1711" t="s">
        <v>998</v>
      </c>
      <c r="BO51" s="1716">
        <v>11</v>
      </c>
      <c r="BP51" s="1705"/>
      <c r="BQ51" s="1702">
        <v>43663</v>
      </c>
      <c r="BR51" s="1711" t="s">
        <v>5599</v>
      </c>
      <c r="BS51" s="1716">
        <v>21</v>
      </c>
      <c r="BT51" s="1710" t="s">
        <v>280</v>
      </c>
      <c r="BU51" s="1702">
        <v>44037</v>
      </c>
      <c r="BV51" s="1711" t="s">
        <v>5600</v>
      </c>
      <c r="BW51" s="1716">
        <v>12</v>
      </c>
      <c r="BX51" s="1710" t="s">
        <v>280</v>
      </c>
      <c r="BY51" s="1702">
        <v>44392</v>
      </c>
      <c r="BZ51" s="1711" t="s">
        <v>5601</v>
      </c>
      <c r="CA51" s="1716">
        <v>16</v>
      </c>
      <c r="CB51" s="1710" t="s">
        <v>280</v>
      </c>
      <c r="CC51" s="1702">
        <v>44752</v>
      </c>
      <c r="CD51" s="1711" t="s">
        <v>4088</v>
      </c>
      <c r="CE51" s="1716">
        <v>59</v>
      </c>
      <c r="CF51" s="1710" t="s">
        <v>700</v>
      </c>
      <c r="CG51" s="1702">
        <v>45121</v>
      </c>
      <c r="CH51" s="1711" t="s">
        <v>5602</v>
      </c>
      <c r="CI51" s="1716">
        <v>1300</v>
      </c>
      <c r="CJ51" s="1788" t="s">
        <v>280</v>
      </c>
      <c r="CK51" s="1818">
        <v>45493</v>
      </c>
      <c r="CL51" s="1711" t="s">
        <v>971</v>
      </c>
      <c r="CM51" s="1716">
        <v>80</v>
      </c>
      <c r="CN51" s="1819" t="s">
        <v>414</v>
      </c>
      <c r="CO51" s="1818"/>
      <c r="CP51" s="1711"/>
      <c r="CQ51" s="1716"/>
      <c r="CR51" s="1819"/>
    </row>
    <row r="52" spans="1:96" ht="13.5">
      <c r="A52" s="1769">
        <v>37465</v>
      </c>
      <c r="B52" s="1711" t="s">
        <v>2085</v>
      </c>
      <c r="C52" s="1716"/>
      <c r="D52" s="1717">
        <v>50</v>
      </c>
      <c r="E52" s="1702">
        <v>37821</v>
      </c>
      <c r="F52" s="1703" t="s">
        <v>1502</v>
      </c>
      <c r="G52" s="1704">
        <v>70</v>
      </c>
      <c r="H52" s="1705"/>
      <c r="I52" s="1702">
        <v>38188</v>
      </c>
      <c r="J52" s="1703" t="s">
        <v>5603</v>
      </c>
      <c r="K52" s="1704">
        <v>4</v>
      </c>
      <c r="L52" s="1705"/>
      <c r="M52" s="1702">
        <v>38555</v>
      </c>
      <c r="N52" s="1703" t="s">
        <v>5604</v>
      </c>
      <c r="O52" s="1704">
        <v>10</v>
      </c>
      <c r="P52" s="1705"/>
      <c r="Q52" s="1702"/>
      <c r="R52" s="1703"/>
      <c r="S52" s="1704"/>
      <c r="T52" s="1705"/>
      <c r="U52" s="1702">
        <v>39278</v>
      </c>
      <c r="V52" s="1703" t="s">
        <v>5605</v>
      </c>
      <c r="W52" s="1704">
        <v>10</v>
      </c>
      <c r="X52" s="1705"/>
      <c r="Y52" s="1702">
        <v>39650</v>
      </c>
      <c r="Z52" s="1703" t="s">
        <v>5606</v>
      </c>
      <c r="AA52" s="1704">
        <v>10</v>
      </c>
      <c r="AB52" s="1705"/>
      <c r="AC52" s="1702"/>
      <c r="AD52" s="1703"/>
      <c r="AE52" s="1704"/>
      <c r="AF52" s="1705"/>
      <c r="AG52" s="1702">
        <v>40387</v>
      </c>
      <c r="AH52" s="1703" t="s">
        <v>797</v>
      </c>
      <c r="AI52" s="1704">
        <v>44</v>
      </c>
      <c r="AJ52" s="1705"/>
      <c r="AK52" s="1702"/>
      <c r="AL52" s="1703"/>
      <c r="AM52" s="1704"/>
      <c r="AN52" s="1705"/>
      <c r="AO52" s="1702"/>
      <c r="AP52" s="1703"/>
      <c r="AQ52" s="1704"/>
      <c r="AR52" s="1705"/>
      <c r="AS52" s="1702">
        <v>41470</v>
      </c>
      <c r="AT52" s="1703" t="s">
        <v>5607</v>
      </c>
      <c r="AU52" s="1704">
        <v>4</v>
      </c>
      <c r="AV52" s="1705"/>
      <c r="AW52" s="1702">
        <v>41839</v>
      </c>
      <c r="AX52" s="1703" t="s">
        <v>5608</v>
      </c>
      <c r="AY52" s="1704">
        <v>32</v>
      </c>
      <c r="AZ52" s="1705"/>
      <c r="BA52" s="1702">
        <v>42211</v>
      </c>
      <c r="BB52" s="1703" t="s">
        <v>797</v>
      </c>
      <c r="BC52" s="1704">
        <v>46</v>
      </c>
      <c r="BD52" s="1705"/>
      <c r="BE52" s="1702">
        <v>42567</v>
      </c>
      <c r="BF52" s="1711" t="s">
        <v>873</v>
      </c>
      <c r="BG52" s="1716">
        <v>3</v>
      </c>
      <c r="BH52" s="1705"/>
      <c r="BI52" s="1702">
        <v>42926</v>
      </c>
      <c r="BJ52" s="1711" t="s">
        <v>5609</v>
      </c>
      <c r="BK52" s="1716">
        <v>25</v>
      </c>
      <c r="BL52" s="1705"/>
      <c r="BM52" s="1702">
        <v>43296</v>
      </c>
      <c r="BN52" s="1711" t="s">
        <v>872</v>
      </c>
      <c r="BO52" s="1716">
        <v>26</v>
      </c>
      <c r="BP52" s="1705"/>
      <c r="BQ52" s="1702">
        <v>43663</v>
      </c>
      <c r="BR52" s="1711" t="s">
        <v>5610</v>
      </c>
      <c r="BS52" s="1716">
        <v>11</v>
      </c>
      <c r="BT52" s="1710" t="s">
        <v>702</v>
      </c>
      <c r="BU52" s="1702">
        <v>44038</v>
      </c>
      <c r="BV52" s="1711" t="s">
        <v>5611</v>
      </c>
      <c r="BW52" s="1716">
        <v>9</v>
      </c>
      <c r="BX52" s="1710" t="s">
        <v>280</v>
      </c>
      <c r="BY52" s="1702">
        <v>44392</v>
      </c>
      <c r="BZ52" s="1711" t="s">
        <v>1722</v>
      </c>
      <c r="CA52" s="1716">
        <v>6</v>
      </c>
      <c r="CB52" s="1710" t="s">
        <v>414</v>
      </c>
      <c r="CC52" s="1702">
        <v>44752</v>
      </c>
      <c r="CD52" s="1711" t="s">
        <v>5612</v>
      </c>
      <c r="CE52" s="1716">
        <v>15</v>
      </c>
      <c r="CF52" s="1710" t="s">
        <v>280</v>
      </c>
      <c r="CG52" s="1702">
        <v>45121</v>
      </c>
      <c r="CH52" s="1711" t="s">
        <v>5613</v>
      </c>
      <c r="CI52" s="1716">
        <v>42</v>
      </c>
      <c r="CJ52" s="1788" t="s">
        <v>280</v>
      </c>
      <c r="CK52" s="1818">
        <v>45493</v>
      </c>
      <c r="CL52" s="1711" t="s">
        <v>5614</v>
      </c>
      <c r="CM52" s="1716">
        <v>76</v>
      </c>
      <c r="CN52" s="1819" t="s">
        <v>414</v>
      </c>
      <c r="CO52" s="1818"/>
      <c r="CP52" s="1711"/>
      <c r="CQ52" s="1716"/>
      <c r="CR52" s="1819"/>
    </row>
    <row r="53" spans="1:96" ht="13.5">
      <c r="A53" s="1769">
        <v>37465</v>
      </c>
      <c r="B53" s="1711" t="s">
        <v>5615</v>
      </c>
      <c r="C53" s="1716"/>
      <c r="D53" s="1717"/>
      <c r="E53" s="1702">
        <v>37821</v>
      </c>
      <c r="F53" s="1703" t="s">
        <v>2226</v>
      </c>
      <c r="G53" s="1704">
        <v>31</v>
      </c>
      <c r="H53" s="1705"/>
      <c r="I53" s="1702">
        <v>38192</v>
      </c>
      <c r="J53" s="1703" t="s">
        <v>5616</v>
      </c>
      <c r="K53" s="1704">
        <v>15</v>
      </c>
      <c r="L53" s="1705"/>
      <c r="M53" s="1702">
        <v>38555</v>
      </c>
      <c r="N53" s="1703" t="s">
        <v>5617</v>
      </c>
      <c r="O53" s="1704">
        <v>6</v>
      </c>
      <c r="P53" s="1705"/>
      <c r="Q53" s="1702"/>
      <c r="R53" s="1703"/>
      <c r="S53" s="1704"/>
      <c r="T53" s="1705"/>
      <c r="U53" s="1702">
        <v>39278</v>
      </c>
      <c r="V53" s="1703" t="s">
        <v>5618</v>
      </c>
      <c r="W53" s="1704">
        <v>6</v>
      </c>
      <c r="X53" s="1705"/>
      <c r="Y53" s="1702">
        <v>39650</v>
      </c>
      <c r="Z53" s="1703" t="s">
        <v>4044</v>
      </c>
      <c r="AA53" s="1704">
        <v>4</v>
      </c>
      <c r="AB53" s="1705"/>
      <c r="AC53" s="1702"/>
      <c r="AD53" s="1703"/>
      <c r="AE53" s="1704"/>
      <c r="AF53" s="1705"/>
      <c r="AG53" s="1702">
        <v>40390</v>
      </c>
      <c r="AH53" s="1703" t="s">
        <v>772</v>
      </c>
      <c r="AI53" s="1704">
        <v>39</v>
      </c>
      <c r="AJ53" s="1705"/>
      <c r="AK53" s="1702"/>
      <c r="AL53" s="1703"/>
      <c r="AM53" s="1704"/>
      <c r="AN53" s="1705"/>
      <c r="AO53" s="1702"/>
      <c r="AP53" s="1703"/>
      <c r="AQ53" s="1704"/>
      <c r="AR53" s="1705"/>
      <c r="AS53" s="1702">
        <v>41470</v>
      </c>
      <c r="AT53" s="1703" t="s">
        <v>5619</v>
      </c>
      <c r="AU53" s="1704">
        <v>18</v>
      </c>
      <c r="AV53" s="1705"/>
      <c r="AW53" s="1702">
        <v>41839</v>
      </c>
      <c r="AX53" s="1703" t="s">
        <v>840</v>
      </c>
      <c r="AY53" s="1704">
        <v>29</v>
      </c>
      <c r="AZ53" s="1705"/>
      <c r="BA53" s="1702">
        <v>42211</v>
      </c>
      <c r="BB53" s="1703" t="s">
        <v>5620</v>
      </c>
      <c r="BC53" s="1704">
        <v>15</v>
      </c>
      <c r="BD53" s="1705"/>
      <c r="BE53" s="1702">
        <v>42568</v>
      </c>
      <c r="BF53" s="1711" t="s">
        <v>5621</v>
      </c>
      <c r="BG53" s="1716">
        <v>46700</v>
      </c>
      <c r="BH53" s="1705"/>
      <c r="BI53" s="1702">
        <v>42926</v>
      </c>
      <c r="BJ53" s="1711" t="s">
        <v>5622</v>
      </c>
      <c r="BK53" s="1716">
        <v>0</v>
      </c>
      <c r="BL53" s="1705"/>
      <c r="BM53" s="1702">
        <v>43296</v>
      </c>
      <c r="BN53" s="1711" t="s">
        <v>797</v>
      </c>
      <c r="BO53" s="1716">
        <v>65</v>
      </c>
      <c r="BP53" s="1705"/>
      <c r="BQ53" s="1702">
        <v>43663</v>
      </c>
      <c r="BR53" s="1711" t="s">
        <v>2888</v>
      </c>
      <c r="BS53" s="1716">
        <v>55</v>
      </c>
      <c r="BT53" s="1710" t="s">
        <v>414</v>
      </c>
      <c r="BU53" s="1702">
        <v>44038</v>
      </c>
      <c r="BV53" s="1711" t="s">
        <v>5623</v>
      </c>
      <c r="BW53" s="1716">
        <v>11</v>
      </c>
      <c r="BX53" s="1710" t="s">
        <v>700</v>
      </c>
      <c r="BY53" s="1702">
        <v>44392</v>
      </c>
      <c r="BZ53" s="1711" t="s">
        <v>3276</v>
      </c>
      <c r="CA53" s="1716">
        <v>11</v>
      </c>
      <c r="CB53" s="1710" t="s">
        <v>414</v>
      </c>
      <c r="CC53" s="1702">
        <v>44752</v>
      </c>
      <c r="CD53" s="1711" t="s">
        <v>5624</v>
      </c>
      <c r="CE53" s="1716">
        <v>16</v>
      </c>
      <c r="CF53" s="1710" t="s">
        <v>280</v>
      </c>
      <c r="CG53" s="1702">
        <v>45121</v>
      </c>
      <c r="CH53" s="1711" t="s">
        <v>5328</v>
      </c>
      <c r="CI53" s="1716">
        <v>45</v>
      </c>
      <c r="CJ53" s="1788" t="s">
        <v>414</v>
      </c>
      <c r="CK53" s="1818">
        <v>45493</v>
      </c>
      <c r="CL53" s="1711" t="s">
        <v>772</v>
      </c>
      <c r="CM53" s="1716">
        <v>45</v>
      </c>
      <c r="CN53" s="1819" t="s">
        <v>414</v>
      </c>
      <c r="CO53" s="1818"/>
      <c r="CP53" s="1711"/>
      <c r="CQ53" s="1716"/>
      <c r="CR53" s="1819"/>
    </row>
    <row r="54" spans="1:96" ht="13.5">
      <c r="A54" s="1769">
        <v>37465</v>
      </c>
      <c r="B54" s="1711" t="s">
        <v>5625</v>
      </c>
      <c r="C54" s="1716"/>
      <c r="D54" s="1717">
        <v>7</v>
      </c>
      <c r="E54" s="1702">
        <v>37821</v>
      </c>
      <c r="F54" s="1703" t="s">
        <v>5626</v>
      </c>
      <c r="G54" s="1704">
        <v>31</v>
      </c>
      <c r="H54" s="1705"/>
      <c r="I54" s="1702">
        <v>38192</v>
      </c>
      <c r="J54" s="1703" t="s">
        <v>5627</v>
      </c>
      <c r="K54" s="1704">
        <v>12</v>
      </c>
      <c r="L54" s="1705"/>
      <c r="M54" s="1702">
        <v>38560</v>
      </c>
      <c r="N54" s="1703" t="s">
        <v>797</v>
      </c>
      <c r="O54" s="1704">
        <v>38</v>
      </c>
      <c r="P54" s="1705"/>
      <c r="Q54" s="1702"/>
      <c r="R54" s="1703"/>
      <c r="S54" s="1704"/>
      <c r="T54" s="1705"/>
      <c r="U54" s="1702">
        <v>39279</v>
      </c>
      <c r="V54" s="1703" t="s">
        <v>5628</v>
      </c>
      <c r="W54" s="1704">
        <v>207</v>
      </c>
      <c r="X54" s="1705"/>
      <c r="Y54" s="1702">
        <v>39650</v>
      </c>
      <c r="Z54" s="1703" t="s">
        <v>5629</v>
      </c>
      <c r="AA54" s="1704">
        <v>38</v>
      </c>
      <c r="AB54" s="1705"/>
      <c r="AC54" s="1702"/>
      <c r="AD54" s="1703"/>
      <c r="AE54" s="1704"/>
      <c r="AF54" s="1705"/>
      <c r="AG54" s="1702">
        <v>40390</v>
      </c>
      <c r="AH54" s="1703" t="s">
        <v>5630</v>
      </c>
      <c r="AI54" s="1704">
        <v>12</v>
      </c>
      <c r="AJ54" s="1705"/>
      <c r="AK54" s="1702"/>
      <c r="AL54" s="1703"/>
      <c r="AM54" s="1704"/>
      <c r="AN54" s="1705"/>
      <c r="AO54" s="1702"/>
      <c r="AP54" s="1703"/>
      <c r="AQ54" s="1704"/>
      <c r="AR54" s="1705"/>
      <c r="AS54" s="1702">
        <v>41470</v>
      </c>
      <c r="AT54" s="1703" t="s">
        <v>5631</v>
      </c>
      <c r="AU54" s="1704">
        <v>18</v>
      </c>
      <c r="AV54" s="1705"/>
      <c r="AW54" s="1702">
        <v>41839</v>
      </c>
      <c r="AX54" s="1703" t="s">
        <v>5632</v>
      </c>
      <c r="AY54" s="1704">
        <v>60</v>
      </c>
      <c r="AZ54" s="1705"/>
      <c r="BA54" s="1702">
        <v>42211</v>
      </c>
      <c r="BB54" s="1703" t="s">
        <v>954</v>
      </c>
      <c r="BC54" s="1704">
        <v>32</v>
      </c>
      <c r="BD54" s="1705"/>
      <c r="BE54" s="1702">
        <v>42568</v>
      </c>
      <c r="BF54" s="1711" t="s">
        <v>5633</v>
      </c>
      <c r="BG54" s="1716">
        <v>1500</v>
      </c>
      <c r="BH54" s="1705"/>
      <c r="BI54" s="1702">
        <v>42927</v>
      </c>
      <c r="BJ54" s="1711" t="s">
        <v>5634</v>
      </c>
      <c r="BK54" s="1716">
        <v>0</v>
      </c>
      <c r="BL54" s="1705"/>
      <c r="BM54" s="1702">
        <v>43297</v>
      </c>
      <c r="BN54" s="1711" t="s">
        <v>5635</v>
      </c>
      <c r="BO54" s="1716">
        <v>75</v>
      </c>
      <c r="BP54" s="1705"/>
      <c r="BQ54" s="1702">
        <v>43663</v>
      </c>
      <c r="BR54" s="1711" t="s">
        <v>1903</v>
      </c>
      <c r="BS54" s="1716">
        <v>57</v>
      </c>
      <c r="BT54" s="1710" t="s">
        <v>700</v>
      </c>
      <c r="BU54" s="1702">
        <v>44038</v>
      </c>
      <c r="BV54" s="1711" t="s">
        <v>5636</v>
      </c>
      <c r="BW54" s="1716">
        <v>28</v>
      </c>
      <c r="BX54" s="1710" t="s">
        <v>700</v>
      </c>
      <c r="BY54" s="1702">
        <v>44392</v>
      </c>
      <c r="BZ54" s="1711" t="s">
        <v>5637</v>
      </c>
      <c r="CA54" s="1716">
        <v>8</v>
      </c>
      <c r="CB54" s="1710" t="s">
        <v>414</v>
      </c>
      <c r="CC54" s="1702">
        <v>44755</v>
      </c>
      <c r="CD54" s="1711" t="s">
        <v>5638</v>
      </c>
      <c r="CE54" s="1716">
        <v>0</v>
      </c>
      <c r="CF54" s="1710" t="s">
        <v>700</v>
      </c>
      <c r="CG54" s="1702">
        <v>45121</v>
      </c>
      <c r="CH54" s="1711" t="s">
        <v>2747</v>
      </c>
      <c r="CI54" s="1716">
        <v>35</v>
      </c>
      <c r="CJ54" s="1788" t="s">
        <v>414</v>
      </c>
      <c r="CK54" s="1818">
        <v>45493</v>
      </c>
      <c r="CL54" s="1711" t="s">
        <v>828</v>
      </c>
      <c r="CM54" s="1716">
        <v>9</v>
      </c>
      <c r="CN54" s="1819" t="s">
        <v>414</v>
      </c>
      <c r="CO54" s="1818"/>
      <c r="CP54" s="1711"/>
      <c r="CQ54" s="1716"/>
      <c r="CR54" s="1819"/>
    </row>
    <row r="55" spans="1:96" ht="13.5">
      <c r="A55" s="1769">
        <v>37465</v>
      </c>
      <c r="B55" s="1711" t="s">
        <v>410</v>
      </c>
      <c r="C55" s="1716"/>
      <c r="D55" s="1717">
        <v>21</v>
      </c>
      <c r="E55" s="1702">
        <v>37822</v>
      </c>
      <c r="F55" s="1703" t="s">
        <v>5639</v>
      </c>
      <c r="G55" s="1704">
        <v>18</v>
      </c>
      <c r="H55" s="1705"/>
      <c r="I55" s="1702">
        <v>38194</v>
      </c>
      <c r="J55" s="1703" t="s">
        <v>802</v>
      </c>
      <c r="K55" s="1704">
        <v>26</v>
      </c>
      <c r="L55" s="1705"/>
      <c r="M55" s="1702">
        <v>38562</v>
      </c>
      <c r="N55" s="1703" t="s">
        <v>802</v>
      </c>
      <c r="O55" s="1704">
        <v>31</v>
      </c>
      <c r="P55" s="1705"/>
      <c r="Q55" s="1702"/>
      <c r="R55" s="1703"/>
      <c r="S55" s="1704"/>
      <c r="T55" s="1705"/>
      <c r="U55" s="1702">
        <v>39280</v>
      </c>
      <c r="V55" s="1703" t="s">
        <v>5640</v>
      </c>
      <c r="W55" s="1704">
        <v>180</v>
      </c>
      <c r="X55" s="1705"/>
      <c r="Y55" s="1702">
        <v>39650</v>
      </c>
      <c r="Z55" s="1703" t="s">
        <v>5641</v>
      </c>
      <c r="AA55" s="1704">
        <v>7</v>
      </c>
      <c r="AB55" s="1705"/>
      <c r="AC55" s="1702"/>
      <c r="AD55" s="1703"/>
      <c r="AE55" s="1704"/>
      <c r="AF55" s="1705"/>
      <c r="AG55" s="1702">
        <v>40390</v>
      </c>
      <c r="AH55" s="1703" t="s">
        <v>5642</v>
      </c>
      <c r="AI55" s="1704">
        <v>21</v>
      </c>
      <c r="AJ55" s="1705"/>
      <c r="AK55" s="1702"/>
      <c r="AL55" s="1703"/>
      <c r="AM55" s="1704"/>
      <c r="AN55" s="1705"/>
      <c r="AO55" s="1702"/>
      <c r="AP55" s="1703"/>
      <c r="AQ55" s="1704"/>
      <c r="AR55" s="1705"/>
      <c r="AS55" s="1702">
        <v>41473</v>
      </c>
      <c r="AT55" s="1703" t="s">
        <v>1052</v>
      </c>
      <c r="AU55" s="1704">
        <v>19</v>
      </c>
      <c r="AV55" s="1705"/>
      <c r="AW55" s="1702">
        <v>41839</v>
      </c>
      <c r="AX55" s="1703" t="s">
        <v>5643</v>
      </c>
      <c r="AY55" s="1704">
        <v>28</v>
      </c>
      <c r="AZ55" s="1705"/>
      <c r="BA55" s="1702">
        <v>42212</v>
      </c>
      <c r="BB55" s="1703" t="s">
        <v>5644</v>
      </c>
      <c r="BC55" s="1704">
        <v>45</v>
      </c>
      <c r="BD55" s="1705"/>
      <c r="BE55" s="1702">
        <v>42568</v>
      </c>
      <c r="BF55" s="1711" t="s">
        <v>5645</v>
      </c>
      <c r="BG55" s="1716">
        <v>3270</v>
      </c>
      <c r="BH55" s="1705"/>
      <c r="BI55" s="1702">
        <v>42927</v>
      </c>
      <c r="BJ55" s="1711" t="s">
        <v>781</v>
      </c>
      <c r="BK55" s="1716">
        <v>7</v>
      </c>
      <c r="BL55" s="1705"/>
      <c r="BM55" s="1702">
        <v>43297</v>
      </c>
      <c r="BN55" s="1711" t="s">
        <v>5646</v>
      </c>
      <c r="BO55" s="1716">
        <v>7</v>
      </c>
      <c r="BP55" s="1705"/>
      <c r="BQ55" s="1702">
        <v>43666</v>
      </c>
      <c r="BR55" s="1711" t="s">
        <v>845</v>
      </c>
      <c r="BS55" s="1716">
        <v>57</v>
      </c>
      <c r="BT55" s="1710" t="s">
        <v>414</v>
      </c>
      <c r="BU55" s="1702">
        <v>44043</v>
      </c>
      <c r="BV55" s="1711" t="s">
        <v>1180</v>
      </c>
      <c r="BW55" s="1716">
        <v>85</v>
      </c>
      <c r="BX55" s="1710" t="s">
        <v>410</v>
      </c>
      <c r="BY55" s="1702">
        <v>44392</v>
      </c>
      <c r="BZ55" s="1711" t="s">
        <v>2562</v>
      </c>
      <c r="CA55" s="1716">
        <v>15</v>
      </c>
      <c r="CB55" s="1710" t="s">
        <v>414</v>
      </c>
      <c r="CC55" s="1702">
        <v>44755</v>
      </c>
      <c r="CD55" s="1711" t="s">
        <v>5647</v>
      </c>
      <c r="CE55" s="1716">
        <v>7</v>
      </c>
      <c r="CF55" s="1710" t="s">
        <v>700</v>
      </c>
      <c r="CG55" s="1702">
        <v>45128</v>
      </c>
      <c r="CH55" s="1711" t="s">
        <v>5581</v>
      </c>
      <c r="CI55" s="1716">
        <v>46</v>
      </c>
      <c r="CJ55" s="1788" t="s">
        <v>414</v>
      </c>
      <c r="CK55" s="1818">
        <v>45493</v>
      </c>
      <c r="CL55" s="1711" t="s">
        <v>948</v>
      </c>
      <c r="CM55" s="1716">
        <v>40</v>
      </c>
      <c r="CN55" s="1819" t="s">
        <v>414</v>
      </c>
      <c r="CO55" s="1818"/>
      <c r="CP55" s="1711"/>
      <c r="CQ55" s="1716"/>
      <c r="CR55" s="1819"/>
    </row>
    <row r="56" spans="1:96" ht="13.5">
      <c r="A56" s="1769">
        <v>37466</v>
      </c>
      <c r="B56" s="1711" t="s">
        <v>847</v>
      </c>
      <c r="C56" s="1716">
        <v>62</v>
      </c>
      <c r="D56" s="1717"/>
      <c r="E56" s="1702">
        <v>37822</v>
      </c>
      <c r="F56" s="1703" t="s">
        <v>5648</v>
      </c>
      <c r="G56" s="1704">
        <v>10</v>
      </c>
      <c r="H56" s="1705"/>
      <c r="I56" s="1702">
        <v>38194</v>
      </c>
      <c r="J56" s="1703" t="s">
        <v>5649</v>
      </c>
      <c r="K56" s="1704">
        <v>1222</v>
      </c>
      <c r="L56" s="1705"/>
      <c r="M56" s="1702">
        <v>38563</v>
      </c>
      <c r="N56" s="1703" t="s">
        <v>1157</v>
      </c>
      <c r="O56" s="1704">
        <v>37</v>
      </c>
      <c r="P56" s="1705"/>
      <c r="Q56" s="1702"/>
      <c r="R56" s="1703"/>
      <c r="S56" s="1704"/>
      <c r="T56" s="1705"/>
      <c r="U56" s="1702">
        <v>39280</v>
      </c>
      <c r="V56" s="1703" t="s">
        <v>5650</v>
      </c>
      <c r="W56" s="1704">
        <v>170</v>
      </c>
      <c r="X56" s="1705"/>
      <c r="Y56" s="1702">
        <v>39650</v>
      </c>
      <c r="Z56" s="1703" t="s">
        <v>5651</v>
      </c>
      <c r="AA56" s="1704">
        <v>10</v>
      </c>
      <c r="AB56" s="1705"/>
      <c r="AC56" s="1702"/>
      <c r="AD56" s="1703"/>
      <c r="AE56" s="1704"/>
      <c r="AF56" s="1705"/>
      <c r="AG56" s="1702">
        <v>40390</v>
      </c>
      <c r="AH56" s="1703" t="s">
        <v>5652</v>
      </c>
      <c r="AI56" s="1704">
        <v>136</v>
      </c>
      <c r="AJ56" s="1705"/>
      <c r="AK56" s="1702"/>
      <c r="AL56" s="1703"/>
      <c r="AM56" s="1704"/>
      <c r="AN56" s="1705"/>
      <c r="AO56" s="1702"/>
      <c r="AP56" s="1703"/>
      <c r="AQ56" s="1704"/>
      <c r="AR56" s="1705"/>
      <c r="AS56" s="1702">
        <v>41474</v>
      </c>
      <c r="AT56" s="1703" t="s">
        <v>802</v>
      </c>
      <c r="AU56" s="1704">
        <v>45</v>
      </c>
      <c r="AV56" s="1705"/>
      <c r="AW56" s="1702">
        <v>41839</v>
      </c>
      <c r="AX56" s="1703" t="s">
        <v>5653</v>
      </c>
      <c r="AY56" s="1704">
        <v>10</v>
      </c>
      <c r="AZ56" s="1705"/>
      <c r="BA56" s="1702">
        <v>42212</v>
      </c>
      <c r="BB56" s="1703" t="s">
        <v>1289</v>
      </c>
      <c r="BC56" s="1704">
        <v>4</v>
      </c>
      <c r="BD56" s="1705"/>
      <c r="BE56" s="1702">
        <v>42568</v>
      </c>
      <c r="BF56" s="1711" t="s">
        <v>5654</v>
      </c>
      <c r="BG56" s="1716">
        <v>699</v>
      </c>
      <c r="BH56" s="1705"/>
      <c r="BI56" s="1702">
        <v>42927</v>
      </c>
      <c r="BJ56" s="1711" t="s">
        <v>5655</v>
      </c>
      <c r="BK56" s="1716">
        <v>4</v>
      </c>
      <c r="BL56" s="1705"/>
      <c r="BM56" s="1702">
        <v>43298</v>
      </c>
      <c r="BN56" s="1711" t="s">
        <v>1688</v>
      </c>
      <c r="BO56" s="1716">
        <v>66</v>
      </c>
      <c r="BP56" s="1705"/>
      <c r="BQ56" s="1702">
        <v>43666</v>
      </c>
      <c r="BR56" s="1711" t="s">
        <v>3274</v>
      </c>
      <c r="BS56" s="1716">
        <v>6</v>
      </c>
      <c r="BT56" s="1710" t="s">
        <v>414</v>
      </c>
      <c r="BU56" s="1702"/>
      <c r="BV56" s="1711"/>
      <c r="BW56" s="1716"/>
      <c r="BX56" s="1710"/>
      <c r="BY56" s="1702">
        <v>44393</v>
      </c>
      <c r="BZ56" s="1711" t="s">
        <v>5504</v>
      </c>
      <c r="CA56" s="1716">
        <v>65</v>
      </c>
      <c r="CB56" s="1710" t="s">
        <v>700</v>
      </c>
      <c r="CC56" s="1702">
        <v>44755</v>
      </c>
      <c r="CD56" s="1711" t="s">
        <v>5656</v>
      </c>
      <c r="CE56" s="1716">
        <v>0</v>
      </c>
      <c r="CF56" s="1710" t="s">
        <v>280</v>
      </c>
      <c r="CG56" s="1702">
        <v>45128</v>
      </c>
      <c r="CH56" s="1711" t="s">
        <v>5657</v>
      </c>
      <c r="CI56" s="1716">
        <v>20</v>
      </c>
      <c r="CJ56" s="1788" t="s">
        <v>278</v>
      </c>
      <c r="CK56" s="1818">
        <v>45493</v>
      </c>
      <c r="CL56" s="1711" t="s">
        <v>5658</v>
      </c>
      <c r="CM56" s="1716">
        <v>9</v>
      </c>
      <c r="CN56" s="1819" t="s">
        <v>280</v>
      </c>
      <c r="CO56" s="1818"/>
      <c r="CP56" s="1711"/>
      <c r="CQ56" s="1716"/>
      <c r="CR56" s="1819"/>
    </row>
    <row r="57" spans="1:96" ht="13.5">
      <c r="A57" s="1769">
        <v>37466</v>
      </c>
      <c r="B57" s="1711" t="s">
        <v>5659</v>
      </c>
      <c r="C57" s="1716">
        <v>212</v>
      </c>
      <c r="D57" s="1717"/>
      <c r="E57" s="1702">
        <v>37823</v>
      </c>
      <c r="F57" s="1703" t="s">
        <v>5660</v>
      </c>
      <c r="G57" s="1704">
        <v>42</v>
      </c>
      <c r="H57" s="1705"/>
      <c r="I57" s="1702">
        <v>38199</v>
      </c>
      <c r="J57" s="1703" t="s">
        <v>5661</v>
      </c>
      <c r="K57" s="1704">
        <v>43</v>
      </c>
      <c r="L57" s="1705"/>
      <c r="M57" s="1702">
        <v>38563</v>
      </c>
      <c r="N57" s="1703" t="s">
        <v>937</v>
      </c>
      <c r="O57" s="1704">
        <v>30</v>
      </c>
      <c r="P57" s="1705"/>
      <c r="Q57" s="1702"/>
      <c r="R57" s="1703"/>
      <c r="S57" s="1704"/>
      <c r="T57" s="1705"/>
      <c r="U57" s="1702">
        <v>39282</v>
      </c>
      <c r="V57" s="1703" t="s">
        <v>797</v>
      </c>
      <c r="W57" s="1704">
        <v>40</v>
      </c>
      <c r="X57" s="1705"/>
      <c r="Y57" s="1702">
        <v>39651</v>
      </c>
      <c r="Z57" s="1703" t="s">
        <v>965</v>
      </c>
      <c r="AA57" s="1704">
        <v>4</v>
      </c>
      <c r="AB57" s="1705"/>
      <c r="AC57" s="1702"/>
      <c r="AD57" s="1703"/>
      <c r="AE57" s="1704"/>
      <c r="AF57" s="1705"/>
      <c r="AG57" s="1702"/>
      <c r="AH57" s="1703"/>
      <c r="AI57" s="1704"/>
      <c r="AJ57" s="1705"/>
      <c r="AK57" s="1702"/>
      <c r="AL57" s="1703"/>
      <c r="AM57" s="1704"/>
      <c r="AN57" s="1705"/>
      <c r="AO57" s="1702"/>
      <c r="AP57" s="1703"/>
      <c r="AQ57" s="1704"/>
      <c r="AR57" s="1705"/>
      <c r="AS57" s="1702">
        <v>41475</v>
      </c>
      <c r="AT57" s="1703" t="s">
        <v>5662</v>
      </c>
      <c r="AU57" s="1704">
        <v>0</v>
      </c>
      <c r="AV57" s="1705"/>
      <c r="AW57" s="1702">
        <v>41839</v>
      </c>
      <c r="AX57" s="1703" t="s">
        <v>5663</v>
      </c>
      <c r="AY57" s="1704">
        <v>1</v>
      </c>
      <c r="AZ57" s="1705"/>
      <c r="BA57" s="1702">
        <v>42214</v>
      </c>
      <c r="BB57" s="1703" t="s">
        <v>5664</v>
      </c>
      <c r="BC57" s="1704">
        <v>0</v>
      </c>
      <c r="BD57" s="1705"/>
      <c r="BE57" s="1702">
        <v>42568</v>
      </c>
      <c r="BF57" s="1711" t="s">
        <v>5665</v>
      </c>
      <c r="BG57" s="1716">
        <v>549</v>
      </c>
      <c r="BH57" s="1705"/>
      <c r="BI57" s="1702">
        <v>42927</v>
      </c>
      <c r="BJ57" s="1711" t="s">
        <v>5666</v>
      </c>
      <c r="BK57" s="1716">
        <v>10</v>
      </c>
      <c r="BL57" s="1705"/>
      <c r="BM57" s="1702">
        <v>43298</v>
      </c>
      <c r="BN57" s="1711" t="s">
        <v>5310</v>
      </c>
      <c r="BO57" s="1716">
        <v>5</v>
      </c>
      <c r="BP57" s="1705"/>
      <c r="BQ57" s="1702">
        <v>43666</v>
      </c>
      <c r="BR57" s="1711" t="s">
        <v>4058</v>
      </c>
      <c r="BS57" s="1716">
        <v>28</v>
      </c>
      <c r="BT57" s="1710" t="s">
        <v>414</v>
      </c>
      <c r="BU57" s="1702"/>
      <c r="BV57" s="1711"/>
      <c r="BW57" s="1716"/>
      <c r="BX57" s="1710"/>
      <c r="BY57" s="1702">
        <v>44393</v>
      </c>
      <c r="BZ57" s="1711" t="s">
        <v>843</v>
      </c>
      <c r="CA57" s="1716">
        <v>10</v>
      </c>
      <c r="CB57" s="1710" t="s">
        <v>414</v>
      </c>
      <c r="CC57" s="1702">
        <v>44755</v>
      </c>
      <c r="CD57" s="1711" t="s">
        <v>2291</v>
      </c>
      <c r="CE57" s="1716">
        <v>0</v>
      </c>
      <c r="CF57" s="1710" t="s">
        <v>280</v>
      </c>
      <c r="CG57" s="1702">
        <v>45129</v>
      </c>
      <c r="CH57" s="1711" t="s">
        <v>5667</v>
      </c>
      <c r="CI57" s="1716">
        <v>21</v>
      </c>
      <c r="CJ57" s="1788" t="s">
        <v>414</v>
      </c>
      <c r="CK57" s="1818">
        <v>45493</v>
      </c>
      <c r="CL57" s="1711" t="s">
        <v>5668</v>
      </c>
      <c r="CM57" s="1716">
        <v>50</v>
      </c>
      <c r="CN57" s="1819" t="s">
        <v>700</v>
      </c>
      <c r="CO57" s="1818"/>
      <c r="CP57" s="1711"/>
      <c r="CQ57" s="1716"/>
      <c r="CR57" s="1819"/>
    </row>
    <row r="58" spans="1:96" ht="13.5">
      <c r="A58" s="1769">
        <v>37468</v>
      </c>
      <c r="B58" s="1711" t="s">
        <v>1537</v>
      </c>
      <c r="C58" s="1716">
        <v>2520</v>
      </c>
      <c r="D58" s="1717"/>
      <c r="E58" s="1702">
        <v>37824</v>
      </c>
      <c r="F58" s="1703" t="s">
        <v>5639</v>
      </c>
      <c r="G58" s="1704">
        <v>40</v>
      </c>
      <c r="H58" s="1705"/>
      <c r="I58" s="1702">
        <v>38199</v>
      </c>
      <c r="J58" s="1703" t="s">
        <v>772</v>
      </c>
      <c r="K58" s="1704">
        <v>67</v>
      </c>
      <c r="L58" s="1705"/>
      <c r="M58" s="1702">
        <v>38563</v>
      </c>
      <c r="N58" s="1703" t="s">
        <v>5669</v>
      </c>
      <c r="O58" s="1704">
        <v>8</v>
      </c>
      <c r="P58" s="1705"/>
      <c r="Q58" s="1702"/>
      <c r="R58" s="1703"/>
      <c r="S58" s="1704"/>
      <c r="T58" s="1705"/>
      <c r="U58" s="1702">
        <v>39283</v>
      </c>
      <c r="V58" s="1703" t="s">
        <v>5670</v>
      </c>
      <c r="W58" s="1704">
        <v>11</v>
      </c>
      <c r="X58" s="1705"/>
      <c r="Y58" s="1702">
        <v>39651</v>
      </c>
      <c r="Z58" s="1703" t="s">
        <v>783</v>
      </c>
      <c r="AA58" s="1704">
        <v>11</v>
      </c>
      <c r="AB58" s="1705"/>
      <c r="AC58" s="1702"/>
      <c r="AD58" s="1703"/>
      <c r="AE58" s="1704"/>
      <c r="AF58" s="1705"/>
      <c r="AG58" s="1702"/>
      <c r="AH58" s="1703"/>
      <c r="AI58" s="1704"/>
      <c r="AJ58" s="1705"/>
      <c r="AK58" s="1702"/>
      <c r="AL58" s="1703"/>
      <c r="AM58" s="1704"/>
      <c r="AN58" s="1705"/>
      <c r="AO58" s="1702"/>
      <c r="AP58" s="1703"/>
      <c r="AQ58" s="1704"/>
      <c r="AR58" s="1705"/>
      <c r="AS58" s="1702">
        <v>41475</v>
      </c>
      <c r="AT58" s="1703" t="s">
        <v>5671</v>
      </c>
      <c r="AU58" s="1704">
        <v>30</v>
      </c>
      <c r="AV58" s="1705"/>
      <c r="AW58" s="1702">
        <v>41839</v>
      </c>
      <c r="AX58" s="1703" t="s">
        <v>5672</v>
      </c>
      <c r="AY58" s="1704">
        <v>2</v>
      </c>
      <c r="AZ58" s="1705"/>
      <c r="BA58" s="1702">
        <v>42214</v>
      </c>
      <c r="BB58" s="1703" t="s">
        <v>5673</v>
      </c>
      <c r="BC58" s="1704">
        <v>190</v>
      </c>
      <c r="BD58" s="1705"/>
      <c r="BE58" s="1702">
        <v>42568</v>
      </c>
      <c r="BF58" s="1711" t="s">
        <v>5674</v>
      </c>
      <c r="BG58" s="1716"/>
      <c r="BH58" s="1705"/>
      <c r="BI58" s="1702">
        <v>42928</v>
      </c>
      <c r="BJ58" s="1711" t="s">
        <v>5675</v>
      </c>
      <c r="BK58" s="1716">
        <v>6</v>
      </c>
      <c r="BL58" s="1705"/>
      <c r="BM58" s="1702">
        <v>43298</v>
      </c>
      <c r="BN58" s="1711" t="s">
        <v>5676</v>
      </c>
      <c r="BO58" s="1716">
        <v>25</v>
      </c>
      <c r="BP58" s="1705"/>
      <c r="BQ58" s="1702">
        <v>43666</v>
      </c>
      <c r="BR58" s="1711" t="s">
        <v>5677</v>
      </c>
      <c r="BS58" s="1716">
        <v>16</v>
      </c>
      <c r="BT58" s="1710" t="s">
        <v>414</v>
      </c>
      <c r="BU58" s="1702"/>
      <c r="BV58" s="1711"/>
      <c r="BW58" s="1716"/>
      <c r="BX58" s="1710"/>
      <c r="BY58" s="1702">
        <v>44393</v>
      </c>
      <c r="BZ58" s="1711" t="s">
        <v>872</v>
      </c>
      <c r="CA58" s="1716">
        <v>20</v>
      </c>
      <c r="CB58" s="1710" t="s">
        <v>414</v>
      </c>
      <c r="CC58" s="1702">
        <v>44755</v>
      </c>
      <c r="CD58" s="1711" t="s">
        <v>1087</v>
      </c>
      <c r="CE58" s="1716">
        <v>100</v>
      </c>
      <c r="CF58" s="1710" t="s">
        <v>414</v>
      </c>
      <c r="CG58" s="1702">
        <v>45129</v>
      </c>
      <c r="CH58" s="1711" t="s">
        <v>828</v>
      </c>
      <c r="CI58" s="1716">
        <v>37</v>
      </c>
      <c r="CJ58" s="1788" t="s">
        <v>414</v>
      </c>
      <c r="CK58" s="1818">
        <v>45493</v>
      </c>
      <c r="CL58" s="1711" t="s">
        <v>5678</v>
      </c>
      <c r="CM58" s="1716">
        <v>100</v>
      </c>
      <c r="CN58" s="1819" t="s">
        <v>280</v>
      </c>
      <c r="CO58" s="1818"/>
      <c r="CP58" s="1711"/>
      <c r="CQ58" s="1716"/>
      <c r="CR58" s="1819"/>
    </row>
    <row r="59" spans="1:96" ht="13.5">
      <c r="A59" s="1769"/>
      <c r="B59" s="1711"/>
      <c r="C59" s="1716"/>
      <c r="D59" s="1717"/>
      <c r="E59" s="1702">
        <v>37824</v>
      </c>
      <c r="F59" s="1703" t="s">
        <v>772</v>
      </c>
      <c r="G59" s="1704">
        <v>33</v>
      </c>
      <c r="H59" s="1705"/>
      <c r="I59" s="1702">
        <v>38199</v>
      </c>
      <c r="J59" s="1703" t="s">
        <v>5679</v>
      </c>
      <c r="K59" s="1704">
        <v>67</v>
      </c>
      <c r="L59" s="1705"/>
      <c r="M59" s="1702"/>
      <c r="N59" s="1703"/>
      <c r="O59" s="1704"/>
      <c r="P59" s="1705"/>
      <c r="Q59" s="1702"/>
      <c r="R59" s="1703"/>
      <c r="S59" s="1704"/>
      <c r="T59" s="1705"/>
      <c r="U59" s="1702">
        <v>39283</v>
      </c>
      <c r="V59" s="1703" t="s">
        <v>5680</v>
      </c>
      <c r="W59" s="1704">
        <v>10</v>
      </c>
      <c r="X59" s="1705"/>
      <c r="Y59" s="1702">
        <v>39652</v>
      </c>
      <c r="Z59" s="1703" t="s">
        <v>5681</v>
      </c>
      <c r="AA59" s="1704">
        <v>3</v>
      </c>
      <c r="AB59" s="1705"/>
      <c r="AC59" s="1702"/>
      <c r="AD59" s="1703"/>
      <c r="AE59" s="1704"/>
      <c r="AF59" s="1705"/>
      <c r="AG59" s="1702"/>
      <c r="AH59" s="1703"/>
      <c r="AI59" s="1704"/>
      <c r="AJ59" s="1705"/>
      <c r="AK59" s="1702"/>
      <c r="AL59" s="1703"/>
      <c r="AM59" s="1704"/>
      <c r="AN59" s="1705"/>
      <c r="AO59" s="1702"/>
      <c r="AP59" s="1703"/>
      <c r="AQ59" s="1704"/>
      <c r="AR59" s="1705"/>
      <c r="AS59" s="1702">
        <v>41475</v>
      </c>
      <c r="AT59" s="1703" t="s">
        <v>5682</v>
      </c>
      <c r="AU59" s="1704">
        <v>28</v>
      </c>
      <c r="AV59" s="1705"/>
      <c r="AW59" s="1702">
        <v>41840</v>
      </c>
      <c r="AX59" s="1703" t="s">
        <v>5683</v>
      </c>
      <c r="AY59" s="1704">
        <v>20</v>
      </c>
      <c r="AZ59" s="1705"/>
      <c r="BA59" s="1702">
        <v>42215</v>
      </c>
      <c r="BB59" s="1703" t="s">
        <v>5684</v>
      </c>
      <c r="BC59" s="1704">
        <v>435</v>
      </c>
      <c r="BD59" s="1705"/>
      <c r="BE59" s="1702">
        <v>42568</v>
      </c>
      <c r="BF59" s="1711" t="s">
        <v>3012</v>
      </c>
      <c r="BG59" s="1716"/>
      <c r="BH59" s="1705"/>
      <c r="BI59" s="1702">
        <v>42928</v>
      </c>
      <c r="BJ59" s="1711" t="s">
        <v>797</v>
      </c>
      <c r="BK59" s="1716">
        <v>50</v>
      </c>
      <c r="BL59" s="1705"/>
      <c r="BM59" s="1702">
        <v>43298</v>
      </c>
      <c r="BN59" s="1711" t="s">
        <v>1033</v>
      </c>
      <c r="BO59" s="1716">
        <v>9</v>
      </c>
      <c r="BP59" s="1705"/>
      <c r="BQ59" s="1702">
        <v>43666</v>
      </c>
      <c r="BR59" s="1711" t="s">
        <v>5685</v>
      </c>
      <c r="BS59" s="1716">
        <v>22</v>
      </c>
      <c r="BT59" s="1710" t="s">
        <v>414</v>
      </c>
      <c r="BU59" s="1702"/>
      <c r="BV59" s="1711"/>
      <c r="BW59" s="1716"/>
      <c r="BX59" s="1710"/>
      <c r="BY59" s="1702">
        <v>44393</v>
      </c>
      <c r="BZ59" s="1711" t="s">
        <v>772</v>
      </c>
      <c r="CA59" s="1716">
        <v>45</v>
      </c>
      <c r="CB59" s="1710" t="s">
        <v>414</v>
      </c>
      <c r="CC59" s="1702">
        <v>44755</v>
      </c>
      <c r="CD59" s="1711" t="s">
        <v>3368</v>
      </c>
      <c r="CE59" s="1716">
        <v>27</v>
      </c>
      <c r="CF59" s="1710" t="s">
        <v>414</v>
      </c>
      <c r="CG59" s="1702">
        <v>45129</v>
      </c>
      <c r="CH59" s="1711" t="s">
        <v>797</v>
      </c>
      <c r="CI59" s="1716">
        <v>45</v>
      </c>
      <c r="CJ59" s="1788" t="s">
        <v>410</v>
      </c>
      <c r="CK59" s="1818">
        <v>45495</v>
      </c>
      <c r="CL59" s="1711" t="s">
        <v>5686</v>
      </c>
      <c r="CM59" s="1716">
        <v>48</v>
      </c>
      <c r="CN59" s="1819" t="s">
        <v>414</v>
      </c>
      <c r="CO59" s="1818"/>
      <c r="CP59" s="1711"/>
      <c r="CQ59" s="1716"/>
      <c r="CR59" s="1819"/>
    </row>
    <row r="60" spans="1:96" ht="13.5">
      <c r="A60" s="1769"/>
      <c r="B60" s="1711"/>
      <c r="C60" s="1716"/>
      <c r="D60" s="1717"/>
      <c r="E60" s="1702">
        <v>37825</v>
      </c>
      <c r="F60" s="1703" t="s">
        <v>820</v>
      </c>
      <c r="G60" s="1704">
        <v>15</v>
      </c>
      <c r="H60" s="1705"/>
      <c r="I60" s="1702">
        <v>38199</v>
      </c>
      <c r="J60" s="1703" t="s">
        <v>802</v>
      </c>
      <c r="K60" s="1704">
        <v>10</v>
      </c>
      <c r="L60" s="1705"/>
      <c r="M60" s="1702"/>
      <c r="N60" s="1703"/>
      <c r="O60" s="1704"/>
      <c r="P60" s="1705"/>
      <c r="Q60" s="1702"/>
      <c r="R60" s="1703"/>
      <c r="S60" s="1704"/>
      <c r="T60" s="1705"/>
      <c r="U60" s="1702">
        <v>39283</v>
      </c>
      <c r="V60" s="1703" t="s">
        <v>5687</v>
      </c>
      <c r="W60" s="1704">
        <v>4</v>
      </c>
      <c r="X60" s="1705"/>
      <c r="Y60" s="1702">
        <v>39653</v>
      </c>
      <c r="Z60" s="1703" t="s">
        <v>772</v>
      </c>
      <c r="AA60" s="1704">
        <v>35</v>
      </c>
      <c r="AB60" s="1705"/>
      <c r="AC60" s="1702"/>
      <c r="AD60" s="1703"/>
      <c r="AE60" s="1704"/>
      <c r="AF60" s="1705"/>
      <c r="AG60" s="1702"/>
      <c r="AH60" s="1703"/>
      <c r="AI60" s="1704"/>
      <c r="AJ60" s="1705"/>
      <c r="AK60" s="1702"/>
      <c r="AL60" s="1703"/>
      <c r="AM60" s="1704"/>
      <c r="AN60" s="1705"/>
      <c r="AO60" s="1702"/>
      <c r="AP60" s="1703"/>
      <c r="AQ60" s="1704"/>
      <c r="AR60" s="1705"/>
      <c r="AS60" s="1702">
        <v>41475</v>
      </c>
      <c r="AT60" s="1703" t="s">
        <v>5688</v>
      </c>
      <c r="AU60" s="1704">
        <v>3</v>
      </c>
      <c r="AV60" s="1705"/>
      <c r="AW60" s="1702">
        <v>41840</v>
      </c>
      <c r="AX60" s="1703" t="s">
        <v>5689</v>
      </c>
      <c r="AY60" s="1704">
        <v>20</v>
      </c>
      <c r="AZ60" s="1705"/>
      <c r="BA60" s="1702">
        <v>42216</v>
      </c>
      <c r="BB60" s="1703" t="s">
        <v>5690</v>
      </c>
      <c r="BC60" s="1704">
        <v>375</v>
      </c>
      <c r="BD60" s="1705"/>
      <c r="BE60" s="1702">
        <v>42568</v>
      </c>
      <c r="BF60" s="1711" t="s">
        <v>5691</v>
      </c>
      <c r="BG60" s="1716">
        <v>25</v>
      </c>
      <c r="BH60" s="1705"/>
      <c r="BI60" s="1702">
        <v>42929</v>
      </c>
      <c r="BJ60" s="1711" t="s">
        <v>823</v>
      </c>
      <c r="BK60" s="1716">
        <v>22</v>
      </c>
      <c r="BL60" s="1705"/>
      <c r="BM60" s="1702">
        <v>43298</v>
      </c>
      <c r="BN60" s="1711" t="s">
        <v>5692</v>
      </c>
      <c r="BO60" s="1716">
        <v>4</v>
      </c>
      <c r="BP60" s="1705"/>
      <c r="BQ60" s="1702">
        <v>43666</v>
      </c>
      <c r="BR60" s="1711" t="s">
        <v>5693</v>
      </c>
      <c r="BS60" s="1716">
        <v>20</v>
      </c>
      <c r="BT60" s="1710" t="s">
        <v>414</v>
      </c>
      <c r="BU60" s="1702"/>
      <c r="BV60" s="1711"/>
      <c r="BW60" s="1716"/>
      <c r="BX60" s="1710"/>
      <c r="BY60" s="1702">
        <v>44393</v>
      </c>
      <c r="BZ60" s="1711" t="s">
        <v>5485</v>
      </c>
      <c r="CA60" s="1716">
        <v>0</v>
      </c>
      <c r="CB60" s="1710" t="s">
        <v>700</v>
      </c>
      <c r="CC60" s="1702">
        <v>44755</v>
      </c>
      <c r="CD60" s="1711" t="s">
        <v>5694</v>
      </c>
      <c r="CE60" s="1716">
        <v>16</v>
      </c>
      <c r="CF60" s="1710" t="s">
        <v>693</v>
      </c>
      <c r="CG60" s="1702">
        <v>45129</v>
      </c>
      <c r="CH60" s="1711" t="s">
        <v>5695</v>
      </c>
      <c r="CI60" s="1716">
        <v>70</v>
      </c>
      <c r="CJ60" s="1788" t="s">
        <v>712</v>
      </c>
      <c r="CK60" s="1818">
        <v>45498</v>
      </c>
      <c r="CL60" s="1711" t="s">
        <v>2246</v>
      </c>
      <c r="CM60" s="1716">
        <v>24</v>
      </c>
      <c r="CN60" s="1819" t="s">
        <v>414</v>
      </c>
      <c r="CO60" s="1818"/>
      <c r="CP60" s="1711"/>
      <c r="CQ60" s="1716"/>
      <c r="CR60" s="1819"/>
    </row>
    <row r="61" spans="1:96" ht="13.5">
      <c r="A61" s="1769"/>
      <c r="B61" s="1711"/>
      <c r="C61" s="1716"/>
      <c r="D61" s="1717"/>
      <c r="E61" s="1702">
        <v>37826</v>
      </c>
      <c r="F61" s="1703" t="s">
        <v>960</v>
      </c>
      <c r="G61" s="1704">
        <v>10</v>
      </c>
      <c r="H61" s="1705"/>
      <c r="I61" s="1702">
        <v>38199</v>
      </c>
      <c r="J61" s="1703" t="s">
        <v>5696</v>
      </c>
      <c r="K61" s="1704">
        <v>20</v>
      </c>
      <c r="L61" s="1705"/>
      <c r="M61" s="1702"/>
      <c r="N61" s="1703"/>
      <c r="O61" s="1704"/>
      <c r="P61" s="1705"/>
      <c r="Q61" s="1702"/>
      <c r="R61" s="1703"/>
      <c r="S61" s="1704"/>
      <c r="T61" s="1705"/>
      <c r="U61" s="1702">
        <v>39283</v>
      </c>
      <c r="V61" s="1703" t="s">
        <v>5697</v>
      </c>
      <c r="W61" s="1704">
        <v>20</v>
      </c>
      <c r="X61" s="1705"/>
      <c r="Y61" s="1702">
        <v>39653</v>
      </c>
      <c r="Z61" s="1703" t="s">
        <v>937</v>
      </c>
      <c r="AA61" s="1704">
        <v>20</v>
      </c>
      <c r="AB61" s="1705"/>
      <c r="AC61" s="1702"/>
      <c r="AD61" s="1703"/>
      <c r="AE61" s="1704"/>
      <c r="AF61" s="1705"/>
      <c r="AG61" s="1702"/>
      <c r="AH61" s="1703"/>
      <c r="AI61" s="1704"/>
      <c r="AJ61" s="1705"/>
      <c r="AK61" s="1702"/>
      <c r="AL61" s="1703"/>
      <c r="AM61" s="1704"/>
      <c r="AN61" s="1705"/>
      <c r="AO61" s="1702"/>
      <c r="AP61" s="1703"/>
      <c r="AQ61" s="1704"/>
      <c r="AR61" s="1705"/>
      <c r="AS61" s="1702">
        <v>41475</v>
      </c>
      <c r="AT61" s="1703" t="s">
        <v>5698</v>
      </c>
      <c r="AU61" s="1704">
        <v>3</v>
      </c>
      <c r="AV61" s="1705"/>
      <c r="AW61" s="1702">
        <v>41840</v>
      </c>
      <c r="AX61" s="1703" t="s">
        <v>781</v>
      </c>
      <c r="AY61" s="1704">
        <v>11</v>
      </c>
      <c r="AZ61" s="1705"/>
      <c r="BA61" s="1702">
        <v>42216</v>
      </c>
      <c r="BB61" s="1703" t="s">
        <v>4943</v>
      </c>
      <c r="BC61" s="1704">
        <v>385</v>
      </c>
      <c r="BD61" s="1705"/>
      <c r="BE61" s="1702">
        <v>42568</v>
      </c>
      <c r="BF61" s="1711" t="s">
        <v>5699</v>
      </c>
      <c r="BG61" s="1716">
        <v>8</v>
      </c>
      <c r="BH61" s="1705"/>
      <c r="BI61" s="1702">
        <v>42930</v>
      </c>
      <c r="BJ61" s="1711" t="s">
        <v>5700</v>
      </c>
      <c r="BK61" s="1716">
        <v>20</v>
      </c>
      <c r="BL61" s="1705"/>
      <c r="BM61" s="1702">
        <v>43298</v>
      </c>
      <c r="BN61" s="1711" t="s">
        <v>5701</v>
      </c>
      <c r="BO61" s="1716">
        <v>55</v>
      </c>
      <c r="BP61" s="1705"/>
      <c r="BQ61" s="1702">
        <v>43666</v>
      </c>
      <c r="BR61" s="1711" t="s">
        <v>5702</v>
      </c>
      <c r="BS61" s="1716">
        <v>7</v>
      </c>
      <c r="BT61" s="1710" t="s">
        <v>414</v>
      </c>
      <c r="BU61" s="1702"/>
      <c r="BV61" s="1711"/>
      <c r="BW61" s="1716"/>
      <c r="BX61" s="1710"/>
      <c r="BY61" s="1702">
        <v>44393</v>
      </c>
      <c r="BZ61" s="1711" t="s">
        <v>5485</v>
      </c>
      <c r="CA61" s="1716">
        <v>30</v>
      </c>
      <c r="CB61" s="1710" t="s">
        <v>700</v>
      </c>
      <c r="CC61" s="1702">
        <v>44755</v>
      </c>
      <c r="CD61" s="1711" t="s">
        <v>5703</v>
      </c>
      <c r="CE61" s="1716">
        <v>42</v>
      </c>
      <c r="CF61" s="1710" t="s">
        <v>692</v>
      </c>
      <c r="CG61" s="1702">
        <v>45129</v>
      </c>
      <c r="CH61" s="1711" t="s">
        <v>5704</v>
      </c>
      <c r="CI61" s="1716">
        <v>15</v>
      </c>
      <c r="CJ61" s="1788" t="s">
        <v>280</v>
      </c>
      <c r="CK61" s="1818">
        <v>45498</v>
      </c>
      <c r="CL61" s="1711" t="s">
        <v>5705</v>
      </c>
      <c r="CM61" s="1716">
        <v>27</v>
      </c>
      <c r="CN61" s="1819" t="s">
        <v>414</v>
      </c>
      <c r="CO61" s="1818"/>
      <c r="CP61" s="1711"/>
      <c r="CQ61" s="1716"/>
      <c r="CR61" s="1819"/>
    </row>
    <row r="62" spans="1:96" ht="13.5">
      <c r="A62" s="1769"/>
      <c r="B62" s="1711"/>
      <c r="C62" s="1716"/>
      <c r="D62" s="1717"/>
      <c r="E62" s="1702">
        <v>37826</v>
      </c>
      <c r="F62" s="1703" t="s">
        <v>5706</v>
      </c>
      <c r="G62" s="1704">
        <v>8</v>
      </c>
      <c r="H62" s="1705"/>
      <c r="I62" s="1702"/>
      <c r="J62" s="1703"/>
      <c r="K62" s="1704"/>
      <c r="L62" s="1705"/>
      <c r="M62" s="1702"/>
      <c r="N62" s="1703"/>
      <c r="O62" s="1704"/>
      <c r="P62" s="1705"/>
      <c r="Q62" s="1702"/>
      <c r="R62" s="1703"/>
      <c r="S62" s="1704"/>
      <c r="T62" s="1705"/>
      <c r="U62" s="1702">
        <v>39284</v>
      </c>
      <c r="V62" s="1703" t="s">
        <v>5707</v>
      </c>
      <c r="W62" s="1704">
        <v>3</v>
      </c>
      <c r="X62" s="1705"/>
      <c r="Y62" s="1702">
        <v>39654</v>
      </c>
      <c r="Z62" s="1703" t="s">
        <v>937</v>
      </c>
      <c r="AA62" s="1704">
        <v>26</v>
      </c>
      <c r="AB62" s="1705"/>
      <c r="AC62" s="1702"/>
      <c r="AD62" s="1703"/>
      <c r="AE62" s="1704"/>
      <c r="AF62" s="1705"/>
      <c r="AG62" s="1702"/>
      <c r="AH62" s="1703"/>
      <c r="AI62" s="1704"/>
      <c r="AJ62" s="1705"/>
      <c r="AK62" s="1702"/>
      <c r="AL62" s="1703"/>
      <c r="AM62" s="1704"/>
      <c r="AN62" s="1705"/>
      <c r="AO62" s="1702"/>
      <c r="AP62" s="1703"/>
      <c r="AQ62" s="1704"/>
      <c r="AR62" s="1705"/>
      <c r="AS62" s="1702">
        <v>41476</v>
      </c>
      <c r="AT62" s="1703" t="s">
        <v>3638</v>
      </c>
      <c r="AU62" s="1704">
        <v>109</v>
      </c>
      <c r="AV62" s="1705"/>
      <c r="AW62" s="1702">
        <v>41841</v>
      </c>
      <c r="AX62" s="1703" t="s">
        <v>5708</v>
      </c>
      <c r="AY62" s="1704">
        <v>99</v>
      </c>
      <c r="AZ62" s="1705"/>
      <c r="BA62" s="1702">
        <v>42216</v>
      </c>
      <c r="BB62" s="1703" t="s">
        <v>4959</v>
      </c>
      <c r="BC62" s="1704">
        <v>704</v>
      </c>
      <c r="BD62" s="1705"/>
      <c r="BE62" s="1702">
        <v>42568</v>
      </c>
      <c r="BF62" s="1711" t="s">
        <v>5709</v>
      </c>
      <c r="BG62" s="1716">
        <v>31</v>
      </c>
      <c r="BH62" s="1705"/>
      <c r="BI62" s="1702">
        <v>42931</v>
      </c>
      <c r="BJ62" s="1711" t="s">
        <v>5710</v>
      </c>
      <c r="BK62" s="1716">
        <v>11</v>
      </c>
      <c r="BL62" s="1705"/>
      <c r="BM62" s="1702">
        <v>43298</v>
      </c>
      <c r="BN62" s="1711" t="s">
        <v>5711</v>
      </c>
      <c r="BO62" s="1716">
        <v>38</v>
      </c>
      <c r="BP62" s="1705"/>
      <c r="BQ62" s="1702">
        <v>43666</v>
      </c>
      <c r="BR62" s="1711" t="s">
        <v>843</v>
      </c>
      <c r="BS62" s="1716">
        <v>20</v>
      </c>
      <c r="BT62" s="1710" t="s">
        <v>414</v>
      </c>
      <c r="BU62" s="1702"/>
      <c r="BV62" s="1711"/>
      <c r="BW62" s="1716"/>
      <c r="BX62" s="1710"/>
      <c r="BY62" s="1702">
        <v>44393</v>
      </c>
      <c r="BZ62" s="1711" t="s">
        <v>5712</v>
      </c>
      <c r="CA62" s="1716">
        <v>0</v>
      </c>
      <c r="CB62" s="1710" t="s">
        <v>700</v>
      </c>
      <c r="CC62" s="1702">
        <v>44755</v>
      </c>
      <c r="CD62" s="1711" t="s">
        <v>5713</v>
      </c>
      <c r="CE62" s="1716">
        <v>0</v>
      </c>
      <c r="CF62" s="1710" t="s">
        <v>414</v>
      </c>
      <c r="CG62" s="1702">
        <v>45129</v>
      </c>
      <c r="CH62" s="1711" t="s">
        <v>5714</v>
      </c>
      <c r="CI62" s="1716">
        <v>27</v>
      </c>
      <c r="CJ62" s="1788" t="s">
        <v>284</v>
      </c>
      <c r="CK62" s="1818">
        <v>45498</v>
      </c>
      <c r="CL62" s="1711" t="s">
        <v>2445</v>
      </c>
      <c r="CM62" s="1716">
        <v>35</v>
      </c>
      <c r="CN62" s="1819" t="s">
        <v>414</v>
      </c>
      <c r="CO62" s="1818"/>
      <c r="CP62" s="1711"/>
      <c r="CQ62" s="1716"/>
      <c r="CR62" s="1819"/>
    </row>
    <row r="63" spans="1:96" ht="13.5">
      <c r="A63" s="1769"/>
      <c r="B63" s="1711"/>
      <c r="C63" s="1716"/>
      <c r="D63" s="1717"/>
      <c r="E63" s="1702">
        <v>37827</v>
      </c>
      <c r="F63" s="1703" t="s">
        <v>772</v>
      </c>
      <c r="G63" s="1704">
        <v>26</v>
      </c>
      <c r="H63" s="1705"/>
      <c r="I63" s="1702"/>
      <c r="J63" s="1703"/>
      <c r="K63" s="1704"/>
      <c r="L63" s="1705"/>
      <c r="M63" s="1702"/>
      <c r="N63" s="1703"/>
      <c r="O63" s="1704"/>
      <c r="P63" s="1705"/>
      <c r="Q63" s="1702"/>
      <c r="R63" s="1703"/>
      <c r="S63" s="1704"/>
      <c r="T63" s="1705"/>
      <c r="U63" s="1702">
        <v>39285</v>
      </c>
      <c r="V63" s="1703" t="s">
        <v>5715</v>
      </c>
      <c r="W63" s="1704">
        <v>42</v>
      </c>
      <c r="X63" s="1705"/>
      <c r="Y63" s="1702">
        <v>39654</v>
      </c>
      <c r="Z63" s="1703" t="s">
        <v>772</v>
      </c>
      <c r="AA63" s="1704">
        <v>12</v>
      </c>
      <c r="AB63" s="1705"/>
      <c r="AC63" s="1702"/>
      <c r="AD63" s="1703"/>
      <c r="AE63" s="1704"/>
      <c r="AF63" s="1705"/>
      <c r="AG63" s="1702"/>
      <c r="AH63" s="1703"/>
      <c r="AI63" s="1704"/>
      <c r="AJ63" s="1705"/>
      <c r="AK63" s="1702"/>
      <c r="AL63" s="1703"/>
      <c r="AM63" s="1704"/>
      <c r="AN63" s="1705"/>
      <c r="AO63" s="1702"/>
      <c r="AP63" s="1703"/>
      <c r="AQ63" s="1704"/>
      <c r="AR63" s="1705"/>
      <c r="AS63" s="1702">
        <v>41476</v>
      </c>
      <c r="AT63" s="1703" t="s">
        <v>954</v>
      </c>
      <c r="AU63" s="1704">
        <v>7</v>
      </c>
      <c r="AV63" s="1705"/>
      <c r="AW63" s="1702">
        <v>41842</v>
      </c>
      <c r="AX63" s="1703" t="s">
        <v>5716</v>
      </c>
      <c r="AY63" s="1704">
        <v>600</v>
      </c>
      <c r="AZ63" s="1705"/>
      <c r="BA63" s="1702">
        <v>42216</v>
      </c>
      <c r="BB63" s="1703" t="s">
        <v>4973</v>
      </c>
      <c r="BC63" s="1704">
        <v>465</v>
      </c>
      <c r="BD63" s="1705"/>
      <c r="BE63" s="1702">
        <v>42568</v>
      </c>
      <c r="BF63" s="1711" t="s">
        <v>5717</v>
      </c>
      <c r="BG63" s="1716">
        <v>6</v>
      </c>
      <c r="BH63" s="1705"/>
      <c r="BI63" s="1702">
        <v>42931</v>
      </c>
      <c r="BJ63" s="1711" t="s">
        <v>872</v>
      </c>
      <c r="BK63" s="1716">
        <v>41</v>
      </c>
      <c r="BL63" s="1705"/>
      <c r="BM63" s="1702">
        <v>43298</v>
      </c>
      <c r="BN63" s="1711" t="s">
        <v>5718</v>
      </c>
      <c r="BO63" s="1716">
        <v>12</v>
      </c>
      <c r="BP63" s="1705"/>
      <c r="BQ63" s="1702">
        <v>43667</v>
      </c>
      <c r="BR63" s="1711" t="s">
        <v>845</v>
      </c>
      <c r="BS63" s="1716">
        <v>28</v>
      </c>
      <c r="BT63" s="1710" t="s">
        <v>414</v>
      </c>
      <c r="BU63" s="1702"/>
      <c r="BV63" s="1711"/>
      <c r="BW63" s="1716"/>
      <c r="BX63" s="1710"/>
      <c r="BY63" s="1702">
        <v>44393</v>
      </c>
      <c r="BZ63" s="1711" t="s">
        <v>2570</v>
      </c>
      <c r="CA63" s="1716">
        <v>27</v>
      </c>
      <c r="CB63" s="1710" t="s">
        <v>280</v>
      </c>
      <c r="CC63" s="1702">
        <v>44755</v>
      </c>
      <c r="CD63" s="1711" t="s">
        <v>5719</v>
      </c>
      <c r="CE63" s="1716">
        <v>0</v>
      </c>
      <c r="CF63" s="1710" t="s">
        <v>414</v>
      </c>
      <c r="CG63" s="1702">
        <v>45129</v>
      </c>
      <c r="CH63" s="1711" t="s">
        <v>5720</v>
      </c>
      <c r="CI63" s="1716">
        <v>99</v>
      </c>
      <c r="CJ63" s="1788" t="s">
        <v>280</v>
      </c>
      <c r="CK63" s="1818">
        <v>45498</v>
      </c>
      <c r="CL63" s="1711" t="s">
        <v>2253</v>
      </c>
      <c r="CM63" s="1716">
        <v>60</v>
      </c>
      <c r="CN63" s="1819" t="s">
        <v>414</v>
      </c>
      <c r="CO63" s="1818"/>
      <c r="CP63" s="1711"/>
      <c r="CQ63" s="1716"/>
      <c r="CR63" s="1819"/>
    </row>
    <row r="64" spans="1:96" ht="13.5">
      <c r="A64" s="1769"/>
      <c r="B64" s="1711"/>
      <c r="C64" s="1716"/>
      <c r="D64" s="1717"/>
      <c r="E64" s="1702">
        <v>37827</v>
      </c>
      <c r="F64" s="1703" t="s">
        <v>937</v>
      </c>
      <c r="G64" s="1704">
        <v>46</v>
      </c>
      <c r="H64" s="1705"/>
      <c r="I64" s="1702"/>
      <c r="J64" s="1703"/>
      <c r="K64" s="1704"/>
      <c r="L64" s="1705"/>
      <c r="M64" s="1702"/>
      <c r="N64" s="1703"/>
      <c r="O64" s="1704"/>
      <c r="P64" s="1705"/>
      <c r="Q64" s="1702"/>
      <c r="R64" s="1703"/>
      <c r="S64" s="1704"/>
      <c r="T64" s="1705"/>
      <c r="U64" s="1702">
        <v>39286</v>
      </c>
      <c r="V64" s="1703" t="s">
        <v>802</v>
      </c>
      <c r="W64" s="1704">
        <v>17</v>
      </c>
      <c r="X64" s="1705"/>
      <c r="Y64" s="1702">
        <v>39655</v>
      </c>
      <c r="Z64" s="1703" t="s">
        <v>5721</v>
      </c>
      <c r="AA64" s="1704">
        <v>4</v>
      </c>
      <c r="AB64" s="1705"/>
      <c r="AC64" s="1702"/>
      <c r="AD64" s="1703"/>
      <c r="AE64" s="1704"/>
      <c r="AF64" s="1705"/>
      <c r="AG64" s="1702"/>
      <c r="AH64" s="1703"/>
      <c r="AI64" s="1704"/>
      <c r="AJ64" s="1705"/>
      <c r="AK64" s="1702"/>
      <c r="AL64" s="1703"/>
      <c r="AM64" s="1704"/>
      <c r="AN64" s="1705"/>
      <c r="AO64" s="1702"/>
      <c r="AP64" s="1703"/>
      <c r="AQ64" s="1704"/>
      <c r="AR64" s="1705"/>
      <c r="AS64" s="1702">
        <v>41480</v>
      </c>
      <c r="AT64" s="1703" t="s">
        <v>5417</v>
      </c>
      <c r="AU64" s="1704">
        <v>79</v>
      </c>
      <c r="AV64" s="1705"/>
      <c r="AW64" s="1702">
        <v>41845</v>
      </c>
      <c r="AX64" s="1703" t="s">
        <v>925</v>
      </c>
      <c r="AY64" s="1704">
        <v>6</v>
      </c>
      <c r="AZ64" s="1705"/>
      <c r="BA64" s="1702">
        <v>42216</v>
      </c>
      <c r="BB64" s="1703" t="s">
        <v>4984</v>
      </c>
      <c r="BC64" s="1704">
        <v>876</v>
      </c>
      <c r="BD64" s="1705"/>
      <c r="BE64" s="1702">
        <v>42569</v>
      </c>
      <c r="BF64" s="1711" t="s">
        <v>5722</v>
      </c>
      <c r="BG64" s="1716">
        <v>37</v>
      </c>
      <c r="BH64" s="1705"/>
      <c r="BI64" s="1702">
        <v>42931</v>
      </c>
      <c r="BJ64" s="1711" t="s">
        <v>859</v>
      </c>
      <c r="BK64" s="1716">
        <v>14</v>
      </c>
      <c r="BL64" s="1705"/>
      <c r="BM64" s="1702">
        <v>43298</v>
      </c>
      <c r="BN64" s="1711" t="s">
        <v>5152</v>
      </c>
      <c r="BO64" s="1716">
        <v>12</v>
      </c>
      <c r="BP64" s="1705"/>
      <c r="BQ64" s="1702">
        <v>43667</v>
      </c>
      <c r="BR64" s="1711" t="s">
        <v>5723</v>
      </c>
      <c r="BS64" s="1716">
        <v>43</v>
      </c>
      <c r="BT64" s="1710" t="s">
        <v>700</v>
      </c>
      <c r="BU64" s="1702"/>
      <c r="BV64" s="1711"/>
      <c r="BW64" s="1716"/>
      <c r="BX64" s="1710"/>
      <c r="BY64" s="1702">
        <v>44395</v>
      </c>
      <c r="BZ64" s="1711" t="s">
        <v>5724</v>
      </c>
      <c r="CA64" s="1716">
        <v>0</v>
      </c>
      <c r="CB64" s="1710" t="s">
        <v>280</v>
      </c>
      <c r="CC64" s="1702">
        <v>44755</v>
      </c>
      <c r="CD64" s="1711" t="s">
        <v>2253</v>
      </c>
      <c r="CE64" s="1716">
        <v>57</v>
      </c>
      <c r="CF64" s="1710" t="s">
        <v>414</v>
      </c>
      <c r="CG64" s="1702">
        <v>45129</v>
      </c>
      <c r="CH64" s="1711" t="s">
        <v>5725</v>
      </c>
      <c r="CI64" s="1716">
        <v>20</v>
      </c>
      <c r="CJ64" s="1788" t="s">
        <v>700</v>
      </c>
      <c r="CK64" s="1818">
        <v>45498</v>
      </c>
      <c r="CL64" s="1711" t="s">
        <v>5726</v>
      </c>
      <c r="CM64" s="1716">
        <v>6</v>
      </c>
      <c r="CN64" s="1819" t="s">
        <v>414</v>
      </c>
      <c r="CO64" s="1818"/>
      <c r="CP64" s="1711"/>
      <c r="CQ64" s="1716"/>
      <c r="CR64" s="1819"/>
    </row>
    <row r="65" spans="1:96" ht="13.5">
      <c r="A65" s="1769"/>
      <c r="B65" s="1711"/>
      <c r="C65" s="1716"/>
      <c r="D65" s="1717"/>
      <c r="E65" s="1702">
        <v>37827</v>
      </c>
      <c r="F65" s="1703" t="s">
        <v>5727</v>
      </c>
      <c r="G65" s="1704">
        <v>28</v>
      </c>
      <c r="H65" s="1705"/>
      <c r="I65" s="1702"/>
      <c r="J65" s="1703"/>
      <c r="K65" s="1704"/>
      <c r="L65" s="1705"/>
      <c r="M65" s="1702"/>
      <c r="N65" s="1703"/>
      <c r="O65" s="1704"/>
      <c r="P65" s="1705"/>
      <c r="Q65" s="1702"/>
      <c r="R65" s="1703"/>
      <c r="S65" s="1704"/>
      <c r="T65" s="1705"/>
      <c r="U65" s="1702">
        <v>39286</v>
      </c>
      <c r="V65" s="1703" t="s">
        <v>783</v>
      </c>
      <c r="W65" s="1704">
        <v>32</v>
      </c>
      <c r="X65" s="1705"/>
      <c r="Y65" s="1702">
        <v>39656</v>
      </c>
      <c r="Z65" s="1703" t="s">
        <v>781</v>
      </c>
      <c r="AA65" s="1704">
        <v>50</v>
      </c>
      <c r="AB65" s="1705"/>
      <c r="AC65" s="1702"/>
      <c r="AD65" s="1703"/>
      <c r="AE65" s="1704"/>
      <c r="AF65" s="1705"/>
      <c r="AG65" s="1702"/>
      <c r="AH65" s="1703"/>
      <c r="AI65" s="1704"/>
      <c r="AJ65" s="1705"/>
      <c r="AK65" s="1702"/>
      <c r="AL65" s="1703"/>
      <c r="AM65" s="1704"/>
      <c r="AN65" s="1705"/>
      <c r="AO65" s="1702"/>
      <c r="AP65" s="1703"/>
      <c r="AQ65" s="1704"/>
      <c r="AR65" s="1705"/>
      <c r="AS65" s="1702">
        <v>41480</v>
      </c>
      <c r="AT65" s="1703" t="s">
        <v>797</v>
      </c>
      <c r="AU65" s="1704">
        <v>10</v>
      </c>
      <c r="AV65" s="1705"/>
      <c r="AW65" s="1702">
        <v>41845</v>
      </c>
      <c r="AX65" s="1703" t="s">
        <v>5728</v>
      </c>
      <c r="AY65" s="1704">
        <v>1005</v>
      </c>
      <c r="AZ65" s="1705"/>
      <c r="BA65" s="1702"/>
      <c r="BB65" s="1703"/>
      <c r="BC65" s="1704"/>
      <c r="BD65" s="1705"/>
      <c r="BE65" s="1702">
        <v>42570</v>
      </c>
      <c r="BF65" s="1711" t="s">
        <v>867</v>
      </c>
      <c r="BG65" s="1716">
        <v>54</v>
      </c>
      <c r="BH65" s="1705"/>
      <c r="BI65" s="1702">
        <v>42931</v>
      </c>
      <c r="BJ65" s="1711" t="s">
        <v>873</v>
      </c>
      <c r="BK65" s="1716">
        <v>28</v>
      </c>
      <c r="BL65" s="1705"/>
      <c r="BM65" s="1702">
        <v>43298</v>
      </c>
      <c r="BN65" s="1711" t="s">
        <v>1183</v>
      </c>
      <c r="BO65" s="1716">
        <v>18</v>
      </c>
      <c r="BP65" s="1705"/>
      <c r="BQ65" s="1702">
        <v>43667</v>
      </c>
      <c r="BR65" s="1711" t="s">
        <v>5729</v>
      </c>
      <c r="BS65" s="1716">
        <v>48</v>
      </c>
      <c r="BT65" s="1710" t="s">
        <v>700</v>
      </c>
      <c r="BU65" s="1702"/>
      <c r="BV65" s="1711"/>
      <c r="BW65" s="1716"/>
      <c r="BX65" s="1710"/>
      <c r="BY65" s="1702">
        <v>44395</v>
      </c>
      <c r="BZ65" s="1711" t="s">
        <v>5730</v>
      </c>
      <c r="CA65" s="1716">
        <v>0</v>
      </c>
      <c r="CB65" s="1710" t="s">
        <v>280</v>
      </c>
      <c r="CC65" s="1702">
        <v>44755</v>
      </c>
      <c r="CD65" s="1711" t="s">
        <v>4441</v>
      </c>
      <c r="CE65" s="1716">
        <v>17</v>
      </c>
      <c r="CF65" s="1710" t="s">
        <v>414</v>
      </c>
      <c r="CG65" s="1702">
        <v>45129</v>
      </c>
      <c r="CH65" s="1711" t="s">
        <v>5731</v>
      </c>
      <c r="CI65" s="1716">
        <v>0</v>
      </c>
      <c r="CJ65" s="1788" t="s">
        <v>414</v>
      </c>
      <c r="CK65" s="1818">
        <v>45498</v>
      </c>
      <c r="CL65" s="1711" t="s">
        <v>1768</v>
      </c>
      <c r="CM65" s="1716">
        <v>25</v>
      </c>
      <c r="CN65" s="1819" t="s">
        <v>414</v>
      </c>
      <c r="CO65" s="1818"/>
      <c r="CP65" s="1711"/>
      <c r="CQ65" s="1716"/>
      <c r="CR65" s="1819"/>
    </row>
    <row r="66" spans="1:96" ht="13.5">
      <c r="A66" s="1769"/>
      <c r="B66" s="1711"/>
      <c r="C66" s="1716"/>
      <c r="D66" s="1717"/>
      <c r="E66" s="1702">
        <v>37828</v>
      </c>
      <c r="F66" s="1703" t="s">
        <v>5732</v>
      </c>
      <c r="G66" s="1704">
        <v>50</v>
      </c>
      <c r="H66" s="1705"/>
      <c r="I66" s="1702"/>
      <c r="J66" s="1703"/>
      <c r="K66" s="1704"/>
      <c r="L66" s="1705"/>
      <c r="M66" s="1702"/>
      <c r="N66" s="1703"/>
      <c r="O66" s="1704"/>
      <c r="P66" s="1705"/>
      <c r="Q66" s="1702"/>
      <c r="R66" s="1703"/>
      <c r="S66" s="1704"/>
      <c r="T66" s="1705"/>
      <c r="U66" s="1702">
        <v>39286</v>
      </c>
      <c r="V66" s="1703" t="s">
        <v>937</v>
      </c>
      <c r="W66" s="1704">
        <v>32</v>
      </c>
      <c r="X66" s="1705"/>
      <c r="Y66" s="1702">
        <v>39656</v>
      </c>
      <c r="Z66" s="1703" t="s">
        <v>797</v>
      </c>
      <c r="AA66" s="1704">
        <v>41</v>
      </c>
      <c r="AB66" s="1705"/>
      <c r="AC66" s="1702"/>
      <c r="AD66" s="1703"/>
      <c r="AE66" s="1704"/>
      <c r="AF66" s="1705"/>
      <c r="AG66" s="1702"/>
      <c r="AH66" s="1703"/>
      <c r="AI66" s="1704"/>
      <c r="AJ66" s="1705"/>
      <c r="AK66" s="1702"/>
      <c r="AL66" s="1703"/>
      <c r="AM66" s="1704"/>
      <c r="AN66" s="1705"/>
      <c r="AO66" s="1702"/>
      <c r="AP66" s="1703"/>
      <c r="AQ66" s="1704"/>
      <c r="AR66" s="1705"/>
      <c r="AS66" s="1702">
        <v>41480</v>
      </c>
      <c r="AT66" s="1703" t="s">
        <v>5733</v>
      </c>
      <c r="AU66" s="1704">
        <v>50</v>
      </c>
      <c r="AV66" s="1705"/>
      <c r="AW66" s="1702">
        <v>41845</v>
      </c>
      <c r="AX66" s="1703" t="s">
        <v>5734</v>
      </c>
      <c r="AY66" s="1704">
        <v>3</v>
      </c>
      <c r="AZ66" s="1705"/>
      <c r="BA66" s="1702"/>
      <c r="BB66" s="1703"/>
      <c r="BC66" s="1704"/>
      <c r="BD66" s="1705"/>
      <c r="BE66" s="1702">
        <v>42570</v>
      </c>
      <c r="BF66" s="1711" t="s">
        <v>781</v>
      </c>
      <c r="BG66" s="1716">
        <v>54</v>
      </c>
      <c r="BH66" s="1705"/>
      <c r="BI66" s="1702">
        <v>42931</v>
      </c>
      <c r="BJ66" s="1711" t="s">
        <v>890</v>
      </c>
      <c r="BK66" s="1716">
        <v>4</v>
      </c>
      <c r="BL66" s="1705"/>
      <c r="BM66" s="1702">
        <v>43298</v>
      </c>
      <c r="BN66" s="1711" t="s">
        <v>2144</v>
      </c>
      <c r="BO66" s="1716">
        <v>15</v>
      </c>
      <c r="BP66" s="1705"/>
      <c r="BQ66" s="1702">
        <v>43667</v>
      </c>
      <c r="BR66" s="1711" t="s">
        <v>797</v>
      </c>
      <c r="BS66" s="1716">
        <v>59</v>
      </c>
      <c r="BT66" s="1710" t="s">
        <v>410</v>
      </c>
      <c r="BU66" s="1702"/>
      <c r="BV66" s="1711"/>
      <c r="BW66" s="1716"/>
      <c r="BX66" s="1710"/>
      <c r="BY66" s="1702">
        <v>44398</v>
      </c>
      <c r="BZ66" s="1711" t="s">
        <v>5735</v>
      </c>
      <c r="CA66" s="1716">
        <v>15</v>
      </c>
      <c r="CB66" s="1710" t="s">
        <v>280</v>
      </c>
      <c r="CC66" s="1702">
        <v>44755</v>
      </c>
      <c r="CD66" s="1711" t="s">
        <v>5736</v>
      </c>
      <c r="CE66" s="1716">
        <v>0</v>
      </c>
      <c r="CF66" s="1710" t="s">
        <v>414</v>
      </c>
      <c r="CG66" s="1702">
        <v>45135</v>
      </c>
      <c r="CH66" s="1711" t="s">
        <v>5737</v>
      </c>
      <c r="CI66" s="1716">
        <v>50</v>
      </c>
      <c r="CJ66" s="1788" t="s">
        <v>284</v>
      </c>
      <c r="CK66" s="1818">
        <v>45498</v>
      </c>
      <c r="CL66" s="1711" t="s">
        <v>5738</v>
      </c>
      <c r="CM66" s="1716">
        <v>70</v>
      </c>
      <c r="CN66" s="1819" t="s">
        <v>414</v>
      </c>
      <c r="CO66" s="1818"/>
      <c r="CP66" s="1711"/>
      <c r="CQ66" s="1716"/>
      <c r="CR66" s="1819"/>
    </row>
    <row r="67" spans="1:96" ht="13.5">
      <c r="A67" s="1769"/>
      <c r="B67" s="1711"/>
      <c r="C67" s="1716"/>
      <c r="D67" s="1717"/>
      <c r="E67" s="1702">
        <v>37828</v>
      </c>
      <c r="F67" s="1703" t="s">
        <v>2226</v>
      </c>
      <c r="G67" s="1704">
        <v>37</v>
      </c>
      <c r="H67" s="1705"/>
      <c r="I67" s="1702"/>
      <c r="J67" s="1703"/>
      <c r="K67" s="1704"/>
      <c r="L67" s="1705"/>
      <c r="M67" s="1702"/>
      <c r="N67" s="1703"/>
      <c r="O67" s="1704"/>
      <c r="P67" s="1705"/>
      <c r="Q67" s="1702"/>
      <c r="R67" s="1703"/>
      <c r="S67" s="1704"/>
      <c r="T67" s="1705"/>
      <c r="U67" s="1702">
        <v>39286</v>
      </c>
      <c r="V67" s="1703" t="s">
        <v>802</v>
      </c>
      <c r="W67" s="1704">
        <v>34</v>
      </c>
      <c r="X67" s="1705"/>
      <c r="Y67" s="1702">
        <v>39656</v>
      </c>
      <c r="Z67" s="1703" t="s">
        <v>802</v>
      </c>
      <c r="AA67" s="1704">
        <v>32</v>
      </c>
      <c r="AB67" s="1705"/>
      <c r="AC67" s="1702"/>
      <c r="AD67" s="1703"/>
      <c r="AE67" s="1704"/>
      <c r="AF67" s="1705"/>
      <c r="AG67" s="1702"/>
      <c r="AH67" s="1703"/>
      <c r="AI67" s="1704"/>
      <c r="AJ67" s="1705"/>
      <c r="AK67" s="1702"/>
      <c r="AL67" s="1703"/>
      <c r="AM67" s="1704"/>
      <c r="AN67" s="1705"/>
      <c r="AO67" s="1702"/>
      <c r="AP67" s="1703"/>
      <c r="AQ67" s="1704"/>
      <c r="AR67" s="1705"/>
      <c r="AS67" s="1702">
        <v>41480</v>
      </c>
      <c r="AT67" s="1703" t="s">
        <v>5739</v>
      </c>
      <c r="AU67" s="1704">
        <v>10</v>
      </c>
      <c r="AV67" s="1705"/>
      <c r="AW67" s="1702">
        <v>41845</v>
      </c>
      <c r="AX67" s="1703" t="s">
        <v>5740</v>
      </c>
      <c r="AY67" s="1704">
        <v>4</v>
      </c>
      <c r="AZ67" s="1705"/>
      <c r="BA67" s="1702"/>
      <c r="BB67" s="1703"/>
      <c r="BC67" s="1704"/>
      <c r="BD67" s="1705"/>
      <c r="BE67" s="1702">
        <v>42570</v>
      </c>
      <c r="BF67" s="1711" t="s">
        <v>859</v>
      </c>
      <c r="BG67" s="1716">
        <v>90</v>
      </c>
      <c r="BH67" s="1705"/>
      <c r="BI67" s="1702">
        <v>42931</v>
      </c>
      <c r="BJ67" s="1711" t="s">
        <v>5741</v>
      </c>
      <c r="BK67" s="1716">
        <v>55</v>
      </c>
      <c r="BL67" s="1705"/>
      <c r="BM67" s="1702">
        <v>43298</v>
      </c>
      <c r="BN67" s="1711" t="s">
        <v>5742</v>
      </c>
      <c r="BO67" s="1716">
        <v>9</v>
      </c>
      <c r="BP67" s="1705"/>
      <c r="BQ67" s="1702">
        <v>43668</v>
      </c>
      <c r="BR67" s="1711" t="s">
        <v>5743</v>
      </c>
      <c r="BS67" s="1716"/>
      <c r="BT67" s="1710"/>
      <c r="BU67" s="1702"/>
      <c r="BV67" s="1711"/>
      <c r="BW67" s="1716"/>
      <c r="BX67" s="1710"/>
      <c r="BY67" s="1702">
        <v>44401</v>
      </c>
      <c r="BZ67" s="1711" t="s">
        <v>890</v>
      </c>
      <c r="CA67" s="1716"/>
      <c r="CB67" s="1710"/>
      <c r="CC67" s="1702">
        <v>44755</v>
      </c>
      <c r="CD67" s="1711" t="s">
        <v>5744</v>
      </c>
      <c r="CE67" s="1716">
        <v>20</v>
      </c>
      <c r="CF67" s="1710" t="s">
        <v>414</v>
      </c>
      <c r="CG67" s="1702">
        <v>45135</v>
      </c>
      <c r="CH67" s="1711" t="s">
        <v>1710</v>
      </c>
      <c r="CI67" s="1716">
        <v>90</v>
      </c>
      <c r="CJ67" s="1788" t="s">
        <v>414</v>
      </c>
      <c r="CK67" s="1818">
        <v>45498</v>
      </c>
      <c r="CL67" s="1711" t="s">
        <v>1750</v>
      </c>
      <c r="CM67" s="1716">
        <v>16</v>
      </c>
      <c r="CN67" s="1819" t="s">
        <v>414</v>
      </c>
      <c r="CO67" s="1818"/>
      <c r="CP67" s="1711"/>
      <c r="CQ67" s="1716"/>
      <c r="CR67" s="1819"/>
    </row>
    <row r="68" spans="1:96" ht="13.5">
      <c r="A68" s="1769"/>
      <c r="B68" s="1711"/>
      <c r="C68" s="1716"/>
      <c r="D68" s="1717"/>
      <c r="E68" s="1702">
        <v>37828</v>
      </c>
      <c r="F68" s="1703" t="s">
        <v>5745</v>
      </c>
      <c r="G68" s="1704">
        <v>5</v>
      </c>
      <c r="H68" s="1705"/>
      <c r="I68" s="1702"/>
      <c r="J68" s="1703"/>
      <c r="K68" s="1704"/>
      <c r="L68" s="1705"/>
      <c r="M68" s="1702"/>
      <c r="N68" s="1703"/>
      <c r="O68" s="1704"/>
      <c r="P68" s="1705"/>
      <c r="Q68" s="1702"/>
      <c r="R68" s="1703"/>
      <c r="S68" s="1704"/>
      <c r="T68" s="1705"/>
      <c r="U68" s="1702">
        <v>39287</v>
      </c>
      <c r="V68" s="1703" t="s">
        <v>797</v>
      </c>
      <c r="W68" s="1704">
        <v>46</v>
      </c>
      <c r="X68" s="1705"/>
      <c r="Y68" s="1702">
        <v>39656</v>
      </c>
      <c r="Z68" s="1703" t="s">
        <v>767</v>
      </c>
      <c r="AA68" s="1704">
        <v>19</v>
      </c>
      <c r="AB68" s="1705"/>
      <c r="AC68" s="1702"/>
      <c r="AD68" s="1703"/>
      <c r="AE68" s="1704"/>
      <c r="AF68" s="1705"/>
      <c r="AG68" s="1702"/>
      <c r="AH68" s="1703"/>
      <c r="AI68" s="1704"/>
      <c r="AJ68" s="1705"/>
      <c r="AK68" s="1702"/>
      <c r="AL68" s="1703"/>
      <c r="AM68" s="1704"/>
      <c r="AN68" s="1705"/>
      <c r="AO68" s="1702"/>
      <c r="AP68" s="1703"/>
      <c r="AQ68" s="1704"/>
      <c r="AR68" s="1705"/>
      <c r="AS68" s="1702">
        <v>41480</v>
      </c>
      <c r="AT68" s="1703" t="s">
        <v>5746</v>
      </c>
      <c r="AU68" s="1704">
        <v>15</v>
      </c>
      <c r="AV68" s="1705"/>
      <c r="AW68" s="1702">
        <v>41845</v>
      </c>
      <c r="AX68" s="1703" t="s">
        <v>797</v>
      </c>
      <c r="AY68" s="1704">
        <v>51</v>
      </c>
      <c r="AZ68" s="1705"/>
      <c r="BA68" s="1702"/>
      <c r="BB68" s="1703"/>
      <c r="BC68" s="1704"/>
      <c r="BD68" s="1705"/>
      <c r="BE68" s="1702">
        <v>42570</v>
      </c>
      <c r="BF68" s="1711" t="s">
        <v>5747</v>
      </c>
      <c r="BG68" s="1716">
        <v>5</v>
      </c>
      <c r="BH68" s="1705"/>
      <c r="BI68" s="1702">
        <v>42931</v>
      </c>
      <c r="BJ68" s="1711" t="s">
        <v>5748</v>
      </c>
      <c r="BK68" s="1716">
        <v>3</v>
      </c>
      <c r="BL68" s="1705"/>
      <c r="BM68" s="1702">
        <v>43298</v>
      </c>
      <c r="BN68" s="1711" t="s">
        <v>5749</v>
      </c>
      <c r="BO68" s="1716">
        <v>9</v>
      </c>
      <c r="BP68" s="1705"/>
      <c r="BQ68" s="1702">
        <v>43668</v>
      </c>
      <c r="BR68" s="1711" t="s">
        <v>5750</v>
      </c>
      <c r="BS68" s="1716">
        <v>361</v>
      </c>
      <c r="BT68" s="1710" t="s">
        <v>381</v>
      </c>
      <c r="BU68" s="1702"/>
      <c r="BV68" s="1711"/>
      <c r="BW68" s="1716"/>
      <c r="BX68" s="1710"/>
      <c r="BY68" s="1702">
        <v>44401</v>
      </c>
      <c r="BZ68" s="1711" t="s">
        <v>845</v>
      </c>
      <c r="CA68" s="1716">
        <v>27</v>
      </c>
      <c r="CB68" s="1710" t="s">
        <v>414</v>
      </c>
      <c r="CC68" s="1702">
        <v>44755</v>
      </c>
      <c r="CD68" s="1711" t="s">
        <v>5751</v>
      </c>
      <c r="CE68" s="1716">
        <v>35</v>
      </c>
      <c r="CF68" s="1710" t="s">
        <v>414</v>
      </c>
      <c r="CG68" s="1702">
        <v>45135</v>
      </c>
      <c r="CH68" s="1711" t="s">
        <v>5752</v>
      </c>
      <c r="CI68" s="1716">
        <v>65</v>
      </c>
      <c r="CJ68" s="1788" t="s">
        <v>278</v>
      </c>
      <c r="CK68" s="1818">
        <v>45498</v>
      </c>
      <c r="CL68" s="1711" t="s">
        <v>5753</v>
      </c>
      <c r="CM68" s="1716">
        <v>40</v>
      </c>
      <c r="CN68" s="1819" t="s">
        <v>414</v>
      </c>
      <c r="CO68" s="1818"/>
      <c r="CP68" s="1711"/>
      <c r="CQ68" s="1716"/>
      <c r="CR68" s="1819"/>
    </row>
    <row r="69" spans="1:96" ht="13.5">
      <c r="A69" s="1769"/>
      <c r="B69" s="1711"/>
      <c r="C69" s="1716"/>
      <c r="D69" s="1717"/>
      <c r="E69" s="1702">
        <v>37828</v>
      </c>
      <c r="F69" s="1703" t="s">
        <v>410</v>
      </c>
      <c r="G69" s="1704">
        <v>27</v>
      </c>
      <c r="H69" s="1705"/>
      <c r="I69" s="1702"/>
      <c r="J69" s="1703"/>
      <c r="K69" s="1704"/>
      <c r="L69" s="1705"/>
      <c r="M69" s="1702"/>
      <c r="N69" s="1703"/>
      <c r="O69" s="1704"/>
      <c r="P69" s="1705"/>
      <c r="Q69" s="1702"/>
      <c r="R69" s="1703"/>
      <c r="S69" s="1704"/>
      <c r="T69" s="1705"/>
      <c r="U69" s="1702">
        <v>39290</v>
      </c>
      <c r="V69" s="1703" t="s">
        <v>937</v>
      </c>
      <c r="W69" s="1704">
        <v>48</v>
      </c>
      <c r="X69" s="1705"/>
      <c r="Y69" s="1702">
        <v>39659</v>
      </c>
      <c r="Z69" s="1703" t="s">
        <v>5754</v>
      </c>
      <c r="AA69" s="1704">
        <v>10</v>
      </c>
      <c r="AB69" s="1705"/>
      <c r="AC69" s="1702"/>
      <c r="AD69" s="1703"/>
      <c r="AE69" s="1704"/>
      <c r="AF69" s="1705"/>
      <c r="AG69" s="1702"/>
      <c r="AH69" s="1703"/>
      <c r="AI69" s="1704"/>
      <c r="AJ69" s="1705"/>
      <c r="AK69" s="1702"/>
      <c r="AL69" s="1703"/>
      <c r="AM69" s="1704"/>
      <c r="AN69" s="1705"/>
      <c r="AO69" s="1702"/>
      <c r="AP69" s="1703"/>
      <c r="AQ69" s="1704"/>
      <c r="AR69" s="1705"/>
      <c r="AS69" s="1702">
        <v>41481</v>
      </c>
      <c r="AT69" s="1703" t="s">
        <v>797</v>
      </c>
      <c r="AU69" s="1704">
        <v>61</v>
      </c>
      <c r="AV69" s="1705"/>
      <c r="AW69" s="1702">
        <v>41845</v>
      </c>
      <c r="AX69" s="1703" t="s">
        <v>5755</v>
      </c>
      <c r="AY69" s="1704">
        <v>11</v>
      </c>
      <c r="AZ69" s="1705"/>
      <c r="BA69" s="1702"/>
      <c r="BB69" s="1703"/>
      <c r="BC69" s="1704"/>
      <c r="BD69" s="1705"/>
      <c r="BE69" s="1702">
        <v>42571</v>
      </c>
      <c r="BF69" s="1711" t="s">
        <v>781</v>
      </c>
      <c r="BG69" s="1716">
        <v>12</v>
      </c>
      <c r="BH69" s="1705"/>
      <c r="BI69" s="1702">
        <v>42931</v>
      </c>
      <c r="BJ69" s="1711" t="s">
        <v>5756</v>
      </c>
      <c r="BK69" s="1716">
        <v>20</v>
      </c>
      <c r="BL69" s="1705"/>
      <c r="BM69" s="1702">
        <v>43298</v>
      </c>
      <c r="BN69" s="1711" t="s">
        <v>5757</v>
      </c>
      <c r="BO69" s="1716">
        <v>40</v>
      </c>
      <c r="BP69" s="1705"/>
      <c r="BQ69" s="1702">
        <v>43668</v>
      </c>
      <c r="BR69" s="1711" t="s">
        <v>5758</v>
      </c>
      <c r="BS69" s="1716">
        <f>BS63+BS55+BS62</f>
        <v>105</v>
      </c>
      <c r="BT69" s="1710"/>
      <c r="BU69" s="1702"/>
      <c r="BV69" s="1711"/>
      <c r="BW69" s="1716"/>
      <c r="BX69" s="1710"/>
      <c r="BY69" s="1702">
        <v>44401</v>
      </c>
      <c r="BZ69" s="1711" t="s">
        <v>843</v>
      </c>
      <c r="CA69" s="1716">
        <v>19</v>
      </c>
      <c r="CB69" s="1710" t="s">
        <v>414</v>
      </c>
      <c r="CC69" s="1702">
        <v>44755</v>
      </c>
      <c r="CD69" s="1711" t="s">
        <v>5759</v>
      </c>
      <c r="CE69" s="1716">
        <v>16</v>
      </c>
      <c r="CF69" s="1710" t="s">
        <v>414</v>
      </c>
      <c r="CG69" s="1702">
        <v>45135</v>
      </c>
      <c r="CH69" s="1711" t="s">
        <v>5760</v>
      </c>
      <c r="CI69" s="1716">
        <v>18</v>
      </c>
      <c r="CJ69" s="1788" t="s">
        <v>381</v>
      </c>
      <c r="CK69" s="1818">
        <v>45498</v>
      </c>
      <c r="CL69" s="1711" t="s">
        <v>5761</v>
      </c>
      <c r="CM69" s="1716">
        <v>15</v>
      </c>
      <c r="CN69" s="1819" t="s">
        <v>414</v>
      </c>
      <c r="CO69" s="1818"/>
      <c r="CP69" s="1711"/>
      <c r="CQ69" s="1716"/>
      <c r="CR69" s="1819"/>
    </row>
    <row r="70" spans="1:96" ht="13.5">
      <c r="A70" s="1769"/>
      <c r="B70" s="1711"/>
      <c r="C70" s="1716"/>
      <c r="D70" s="1717"/>
      <c r="E70" s="1702">
        <v>37829</v>
      </c>
      <c r="F70" s="1703" t="s">
        <v>5762</v>
      </c>
      <c r="G70" s="1704">
        <v>65</v>
      </c>
      <c r="H70" s="1705"/>
      <c r="I70" s="1702"/>
      <c r="J70" s="1703"/>
      <c r="K70" s="1704"/>
      <c r="L70" s="1705"/>
      <c r="M70" s="1702"/>
      <c r="N70" s="1703"/>
      <c r="O70" s="1704"/>
      <c r="P70" s="1705"/>
      <c r="Q70" s="1702"/>
      <c r="R70" s="1703"/>
      <c r="S70" s="1704"/>
      <c r="T70" s="1705"/>
      <c r="U70" s="1702">
        <v>39291</v>
      </c>
      <c r="V70" s="1703" t="s">
        <v>5763</v>
      </c>
      <c r="W70" s="1704">
        <v>16</v>
      </c>
      <c r="X70" s="1705"/>
      <c r="Y70" s="1702"/>
      <c r="Z70" s="1703"/>
      <c r="AA70" s="1704"/>
      <c r="AB70" s="1705"/>
      <c r="AC70" s="1702"/>
      <c r="AD70" s="1703"/>
      <c r="AE70" s="1704"/>
      <c r="AF70" s="1705"/>
      <c r="AG70" s="1702"/>
      <c r="AH70" s="1703"/>
      <c r="AI70" s="1704"/>
      <c r="AJ70" s="1705"/>
      <c r="AK70" s="1702"/>
      <c r="AL70" s="1703"/>
      <c r="AM70" s="1704"/>
      <c r="AN70" s="1705"/>
      <c r="AO70" s="1702"/>
      <c r="AP70" s="1703"/>
      <c r="AQ70" s="1704"/>
      <c r="AR70" s="1705"/>
      <c r="AS70" s="1702">
        <v>41482</v>
      </c>
      <c r="AT70" s="1703" t="s">
        <v>5764</v>
      </c>
      <c r="AU70" s="1704">
        <v>26</v>
      </c>
      <c r="AV70" s="1705"/>
      <c r="AW70" s="1702">
        <v>41846</v>
      </c>
      <c r="AX70" s="1703" t="s">
        <v>5765</v>
      </c>
      <c r="AY70" s="1704">
        <v>251</v>
      </c>
      <c r="AZ70" s="1705"/>
      <c r="BA70" s="1702"/>
      <c r="BB70" s="1703"/>
      <c r="BC70" s="1704"/>
      <c r="BD70" s="1705"/>
      <c r="BE70" s="1702">
        <v>42571</v>
      </c>
      <c r="BF70" s="1711" t="s">
        <v>1245</v>
      </c>
      <c r="BG70" s="1716">
        <v>15</v>
      </c>
      <c r="BH70" s="1705"/>
      <c r="BI70" s="1702">
        <v>42931</v>
      </c>
      <c r="BJ70" s="1711" t="s">
        <v>5766</v>
      </c>
      <c r="BK70" s="1716"/>
      <c r="BL70" s="1705"/>
      <c r="BM70" s="1702">
        <v>43298</v>
      </c>
      <c r="BN70" s="1711" t="s">
        <v>5767</v>
      </c>
      <c r="BO70" s="1716">
        <v>15</v>
      </c>
      <c r="BP70" s="1705"/>
      <c r="BQ70" s="1702">
        <v>43668</v>
      </c>
      <c r="BR70" s="1711" t="s">
        <v>3997</v>
      </c>
      <c r="BS70" s="1716">
        <v>6</v>
      </c>
      <c r="BT70" s="1710" t="s">
        <v>280</v>
      </c>
      <c r="BU70" s="1702"/>
      <c r="BV70" s="1711"/>
      <c r="BW70" s="1716"/>
      <c r="BX70" s="1710"/>
      <c r="BY70" s="1702">
        <v>44401</v>
      </c>
      <c r="BZ70" s="1711" t="s">
        <v>872</v>
      </c>
      <c r="CA70" s="1716">
        <v>19</v>
      </c>
      <c r="CB70" s="1710" t="s">
        <v>414</v>
      </c>
      <c r="CC70" s="1702">
        <v>44755</v>
      </c>
      <c r="CD70" s="1711" t="s">
        <v>3143</v>
      </c>
      <c r="CE70" s="1716">
        <v>16</v>
      </c>
      <c r="CF70" s="1710" t="s">
        <v>280</v>
      </c>
      <c r="CG70" s="1702">
        <v>45136</v>
      </c>
      <c r="CH70" s="1711" t="s">
        <v>845</v>
      </c>
      <c r="CI70" s="1716">
        <v>36</v>
      </c>
      <c r="CJ70" s="1788" t="s">
        <v>414</v>
      </c>
      <c r="CK70" s="1818">
        <v>45498</v>
      </c>
      <c r="CL70" s="1711" t="s">
        <v>5768</v>
      </c>
      <c r="CM70" s="1716">
        <v>10</v>
      </c>
      <c r="CN70" s="1819" t="s">
        <v>414</v>
      </c>
      <c r="CO70" s="1818"/>
      <c r="CP70" s="1711"/>
      <c r="CQ70" s="1716"/>
      <c r="CR70" s="1819"/>
    </row>
    <row r="71" spans="1:96" ht="13.5">
      <c r="A71" s="1769"/>
      <c r="B71" s="1711"/>
      <c r="C71" s="1716"/>
      <c r="D71" s="1717"/>
      <c r="E71" s="1702">
        <v>37829</v>
      </c>
      <c r="F71" s="1703" t="s">
        <v>5769</v>
      </c>
      <c r="G71" s="1704">
        <v>5</v>
      </c>
      <c r="H71" s="1705"/>
      <c r="I71" s="1702"/>
      <c r="J71" s="1703"/>
      <c r="K71" s="1704"/>
      <c r="L71" s="1705"/>
      <c r="M71" s="1702"/>
      <c r="N71" s="1703"/>
      <c r="O71" s="1704"/>
      <c r="P71" s="1705"/>
      <c r="Q71" s="1702"/>
      <c r="R71" s="1703"/>
      <c r="S71" s="1704"/>
      <c r="T71" s="1705"/>
      <c r="U71" s="1702">
        <v>39291</v>
      </c>
      <c r="V71" s="1703" t="s">
        <v>786</v>
      </c>
      <c r="W71" s="1704">
        <v>10</v>
      </c>
      <c r="X71" s="1705"/>
      <c r="Y71" s="1702"/>
      <c r="Z71" s="1703"/>
      <c r="AA71" s="1704"/>
      <c r="AB71" s="1705"/>
      <c r="AC71" s="1702"/>
      <c r="AD71" s="1703"/>
      <c r="AE71" s="1704"/>
      <c r="AF71" s="1705"/>
      <c r="AG71" s="1702"/>
      <c r="AH71" s="1703"/>
      <c r="AI71" s="1704"/>
      <c r="AJ71" s="1705"/>
      <c r="AK71" s="1702"/>
      <c r="AL71" s="1703"/>
      <c r="AM71" s="1704"/>
      <c r="AN71" s="1705"/>
      <c r="AO71" s="1702"/>
      <c r="AP71" s="1703"/>
      <c r="AQ71" s="1704"/>
      <c r="AR71" s="1705"/>
      <c r="AS71" s="1702">
        <v>41482</v>
      </c>
      <c r="AT71" s="1703" t="s">
        <v>2549</v>
      </c>
      <c r="AU71" s="1704">
        <v>13</v>
      </c>
      <c r="AV71" s="1705"/>
      <c r="AW71" s="1702">
        <v>41847</v>
      </c>
      <c r="AX71" s="1703" t="s">
        <v>5770</v>
      </c>
      <c r="AY71" s="1704">
        <v>41</v>
      </c>
      <c r="AZ71" s="1705"/>
      <c r="BA71" s="1702"/>
      <c r="BB71" s="1703"/>
      <c r="BC71" s="1704"/>
      <c r="BD71" s="1705"/>
      <c r="BE71" s="1702">
        <v>42571</v>
      </c>
      <c r="BF71" s="1711" t="s">
        <v>786</v>
      </c>
      <c r="BG71" s="1716">
        <v>55</v>
      </c>
      <c r="BH71" s="1705"/>
      <c r="BI71" s="1702">
        <v>42933</v>
      </c>
      <c r="BJ71" s="1711" t="s">
        <v>5771</v>
      </c>
      <c r="BK71" s="1716">
        <v>14</v>
      </c>
      <c r="BL71" s="1705"/>
      <c r="BM71" s="1702">
        <v>43301</v>
      </c>
      <c r="BN71" s="1711" t="s">
        <v>823</v>
      </c>
      <c r="BO71" s="1716">
        <v>24</v>
      </c>
      <c r="BP71" s="1705"/>
      <c r="BQ71" s="1702">
        <v>43668</v>
      </c>
      <c r="BR71" s="1711" t="s">
        <v>5772</v>
      </c>
      <c r="BS71" s="1716">
        <v>10</v>
      </c>
      <c r="BT71" s="1710" t="s">
        <v>414</v>
      </c>
      <c r="BU71" s="1702"/>
      <c r="BV71" s="1711"/>
      <c r="BW71" s="1716"/>
      <c r="BX71" s="1710"/>
      <c r="BY71" s="1702">
        <v>44401</v>
      </c>
      <c r="BZ71" s="1711" t="s">
        <v>772</v>
      </c>
      <c r="CA71" s="1716">
        <v>19</v>
      </c>
      <c r="CB71" s="1710" t="s">
        <v>414</v>
      </c>
      <c r="CC71" s="1702">
        <v>44756</v>
      </c>
      <c r="CD71" s="1711" t="s">
        <v>5473</v>
      </c>
      <c r="CE71" s="1716">
        <v>27</v>
      </c>
      <c r="CF71" s="1710" t="s">
        <v>414</v>
      </c>
      <c r="CG71" s="1702">
        <v>45136</v>
      </c>
      <c r="CH71" s="1711" t="s">
        <v>5051</v>
      </c>
      <c r="CI71" s="1716">
        <v>22</v>
      </c>
      <c r="CJ71" s="1788" t="s">
        <v>414</v>
      </c>
      <c r="CK71" s="1818">
        <v>45498</v>
      </c>
      <c r="CL71" s="1711" t="s">
        <v>5773</v>
      </c>
      <c r="CM71" s="1716">
        <v>50</v>
      </c>
      <c r="CN71" s="1819" t="s">
        <v>414</v>
      </c>
      <c r="CO71" s="1818"/>
      <c r="CP71" s="1711"/>
      <c r="CQ71" s="1716"/>
      <c r="CR71" s="1819"/>
    </row>
    <row r="72" spans="1:96" ht="13.5">
      <c r="A72" s="1769"/>
      <c r="B72" s="1711"/>
      <c r="C72" s="1716"/>
      <c r="D72" s="1717"/>
      <c r="E72" s="1702">
        <v>37829</v>
      </c>
      <c r="F72" s="1703" t="s">
        <v>5774</v>
      </c>
      <c r="G72" s="1704">
        <v>3</v>
      </c>
      <c r="H72" s="1705"/>
      <c r="I72" s="1702"/>
      <c r="J72" s="1703"/>
      <c r="K72" s="1704"/>
      <c r="L72" s="1705"/>
      <c r="M72" s="1702"/>
      <c r="N72" s="1703"/>
      <c r="O72" s="1704"/>
      <c r="P72" s="1705"/>
      <c r="Q72" s="1702"/>
      <c r="R72" s="1703"/>
      <c r="S72" s="1704"/>
      <c r="T72" s="1705"/>
      <c r="U72" s="1702">
        <v>39291</v>
      </c>
      <c r="V72" s="1703" t="s">
        <v>5775</v>
      </c>
      <c r="W72" s="1704">
        <v>15</v>
      </c>
      <c r="X72" s="1705"/>
      <c r="Y72" s="1702"/>
      <c r="Z72" s="1703"/>
      <c r="AA72" s="1704"/>
      <c r="AB72" s="1705"/>
      <c r="AC72" s="1702"/>
      <c r="AD72" s="1703"/>
      <c r="AE72" s="1704"/>
      <c r="AF72" s="1705"/>
      <c r="AG72" s="1702"/>
      <c r="AH72" s="1703"/>
      <c r="AI72" s="1704"/>
      <c r="AJ72" s="1705"/>
      <c r="AK72" s="1702"/>
      <c r="AL72" s="1703"/>
      <c r="AM72" s="1704"/>
      <c r="AN72" s="1705"/>
      <c r="AO72" s="1702"/>
      <c r="AP72" s="1703"/>
      <c r="AQ72" s="1704"/>
      <c r="AR72" s="1705"/>
      <c r="AS72" s="1702">
        <v>41482</v>
      </c>
      <c r="AT72" s="1703" t="s">
        <v>754</v>
      </c>
      <c r="AU72" s="1704">
        <v>99</v>
      </c>
      <c r="AV72" s="1705"/>
      <c r="AW72" s="1702">
        <v>41847</v>
      </c>
      <c r="AX72" s="1703" t="s">
        <v>5776</v>
      </c>
      <c r="AY72" s="1704">
        <v>20</v>
      </c>
      <c r="AZ72" s="1705"/>
      <c r="BA72" s="1702"/>
      <c r="BB72" s="1703"/>
      <c r="BC72" s="1704"/>
      <c r="BD72" s="1705"/>
      <c r="BE72" s="1702">
        <v>42571</v>
      </c>
      <c r="BF72" s="1711" t="s">
        <v>965</v>
      </c>
      <c r="BG72" s="1716">
        <v>5</v>
      </c>
      <c r="BH72" s="1705"/>
      <c r="BI72" s="1702">
        <v>42933</v>
      </c>
      <c r="BJ72" s="1711" t="s">
        <v>872</v>
      </c>
      <c r="BK72" s="1716">
        <v>4</v>
      </c>
      <c r="BL72" s="1705"/>
      <c r="BM72" s="1702">
        <v>43301</v>
      </c>
      <c r="BN72" s="1711" t="s">
        <v>873</v>
      </c>
      <c r="BO72" s="1716">
        <v>12</v>
      </c>
      <c r="BP72" s="1705"/>
      <c r="BQ72" s="1702">
        <v>43668</v>
      </c>
      <c r="BR72" s="1711" t="s">
        <v>5777</v>
      </c>
      <c r="BS72" s="1716">
        <v>8</v>
      </c>
      <c r="BT72" s="1710" t="s">
        <v>414</v>
      </c>
      <c r="BU72" s="1702"/>
      <c r="BV72" s="1711"/>
      <c r="BW72" s="1716"/>
      <c r="BX72" s="1710"/>
      <c r="BY72" s="1702">
        <v>44401</v>
      </c>
      <c r="BZ72" s="1711" t="s">
        <v>5778</v>
      </c>
      <c r="CA72" s="1716">
        <v>30</v>
      </c>
      <c r="CB72" s="1710" t="s">
        <v>700</v>
      </c>
      <c r="CC72" s="1702">
        <v>44757</v>
      </c>
      <c r="CD72" s="1711" t="s">
        <v>5473</v>
      </c>
      <c r="CE72" s="1716">
        <v>45</v>
      </c>
      <c r="CF72" s="1710" t="s">
        <v>414</v>
      </c>
      <c r="CG72" s="1702">
        <v>45136</v>
      </c>
      <c r="CH72" s="1711" t="s">
        <v>2397</v>
      </c>
      <c r="CI72" s="1716">
        <v>65</v>
      </c>
      <c r="CJ72" s="1788" t="s">
        <v>700</v>
      </c>
      <c r="CK72" s="1818">
        <v>45498</v>
      </c>
      <c r="CL72" s="1711" t="s">
        <v>5779</v>
      </c>
      <c r="CM72" s="1716">
        <v>15</v>
      </c>
      <c r="CN72" s="1819" t="s">
        <v>414</v>
      </c>
      <c r="CO72" s="1818"/>
      <c r="CP72" s="1711"/>
      <c r="CQ72" s="1716"/>
      <c r="CR72" s="1819"/>
    </row>
    <row r="73" spans="1:96" ht="13.5">
      <c r="A73" s="1769"/>
      <c r="B73" s="1711"/>
      <c r="C73" s="1716"/>
      <c r="D73" s="1717"/>
      <c r="E73" s="1702">
        <v>37829</v>
      </c>
      <c r="F73" s="1703" t="s">
        <v>5780</v>
      </c>
      <c r="G73" s="1704">
        <v>5</v>
      </c>
      <c r="H73" s="1705"/>
      <c r="I73" s="1702"/>
      <c r="J73" s="1703"/>
      <c r="K73" s="1704"/>
      <c r="L73" s="1705"/>
      <c r="M73" s="1702"/>
      <c r="N73" s="1703"/>
      <c r="O73" s="1704"/>
      <c r="P73" s="1705"/>
      <c r="Q73" s="1702"/>
      <c r="R73" s="1703"/>
      <c r="S73" s="1704"/>
      <c r="T73" s="1705"/>
      <c r="U73" s="1702">
        <v>39292</v>
      </c>
      <c r="V73" s="1703" t="s">
        <v>5670</v>
      </c>
      <c r="W73" s="1704">
        <v>4</v>
      </c>
      <c r="X73" s="1705"/>
      <c r="Y73" s="1702"/>
      <c r="Z73" s="1703"/>
      <c r="AA73" s="1704"/>
      <c r="AB73" s="1705"/>
      <c r="AC73" s="1702"/>
      <c r="AD73" s="1703"/>
      <c r="AE73" s="1704"/>
      <c r="AF73" s="1705"/>
      <c r="AG73" s="1702"/>
      <c r="AH73" s="1703"/>
      <c r="AI73" s="1704"/>
      <c r="AJ73" s="1705"/>
      <c r="AK73" s="1702"/>
      <c r="AL73" s="1703"/>
      <c r="AM73" s="1704"/>
      <c r="AN73" s="1705"/>
      <c r="AO73" s="1702"/>
      <c r="AP73" s="1703"/>
      <c r="AQ73" s="1704"/>
      <c r="AR73" s="1705"/>
      <c r="AS73" s="1702">
        <v>41483</v>
      </c>
      <c r="AT73" s="1703" t="s">
        <v>805</v>
      </c>
      <c r="AU73" s="1704">
        <v>12</v>
      </c>
      <c r="AV73" s="1705"/>
      <c r="AW73" s="1702">
        <v>41847</v>
      </c>
      <c r="AX73" s="1703" t="s">
        <v>5781</v>
      </c>
      <c r="AY73" s="1704">
        <v>3</v>
      </c>
      <c r="AZ73" s="1705"/>
      <c r="BA73" s="1702"/>
      <c r="BB73" s="1703"/>
      <c r="BC73" s="1704"/>
      <c r="BD73" s="1705"/>
      <c r="BE73" s="1702">
        <v>42572</v>
      </c>
      <c r="BF73" s="1711" t="s">
        <v>5782</v>
      </c>
      <c r="BG73" s="1716">
        <v>10</v>
      </c>
      <c r="BH73" s="1705"/>
      <c r="BI73" s="1702">
        <v>42934</v>
      </c>
      <c r="BJ73" s="1711" t="s">
        <v>772</v>
      </c>
      <c r="BK73" s="1716">
        <v>28</v>
      </c>
      <c r="BL73" s="1705"/>
      <c r="BM73" s="1702">
        <v>43302</v>
      </c>
      <c r="BN73" s="1711" t="s">
        <v>5783</v>
      </c>
      <c r="BO73" s="1716"/>
      <c r="BP73" s="1705"/>
      <c r="BQ73" s="1702">
        <v>43668</v>
      </c>
      <c r="BR73" s="1711" t="s">
        <v>1180</v>
      </c>
      <c r="BS73" s="1716">
        <v>75</v>
      </c>
      <c r="BT73" s="1710" t="s">
        <v>410</v>
      </c>
      <c r="BU73" s="1702"/>
      <c r="BV73" s="1711"/>
      <c r="BW73" s="1716"/>
      <c r="BX73" s="1710"/>
      <c r="BY73" s="1702">
        <v>44401</v>
      </c>
      <c r="BZ73" s="1711" t="s">
        <v>5784</v>
      </c>
      <c r="CA73" s="1716">
        <v>15</v>
      </c>
      <c r="CB73" s="1710" t="s">
        <v>700</v>
      </c>
      <c r="CC73" s="1702">
        <v>44757</v>
      </c>
      <c r="CD73" s="1711" t="s">
        <v>5785</v>
      </c>
      <c r="CE73" s="1716">
        <v>53</v>
      </c>
      <c r="CF73" s="1710" t="s">
        <v>700</v>
      </c>
      <c r="CG73" s="1702">
        <v>45136</v>
      </c>
      <c r="CH73" s="1711" t="s">
        <v>5786</v>
      </c>
      <c r="CI73" s="1716">
        <v>30</v>
      </c>
      <c r="CJ73" s="1788" t="s">
        <v>280</v>
      </c>
      <c r="CK73" s="1818">
        <v>45498</v>
      </c>
      <c r="CL73" s="1711" t="s">
        <v>5787</v>
      </c>
      <c r="CM73" s="1716">
        <v>6</v>
      </c>
      <c r="CN73" s="1819" t="s">
        <v>414</v>
      </c>
      <c r="CO73" s="1818"/>
      <c r="CP73" s="1711"/>
      <c r="CQ73" s="1716"/>
      <c r="CR73" s="1819"/>
    </row>
    <row r="74" spans="1:96" ht="13.5">
      <c r="A74" s="1769"/>
      <c r="B74" s="1711"/>
      <c r="C74" s="1716"/>
      <c r="D74" s="1717"/>
      <c r="E74" s="1702">
        <v>37830</v>
      </c>
      <c r="F74" s="1703" t="s">
        <v>1810</v>
      </c>
      <c r="G74" s="1704">
        <v>36</v>
      </c>
      <c r="H74" s="1705"/>
      <c r="I74" s="1702"/>
      <c r="J74" s="1703"/>
      <c r="K74" s="1704"/>
      <c r="L74" s="1705"/>
      <c r="M74" s="1702"/>
      <c r="N74" s="1703"/>
      <c r="O74" s="1704"/>
      <c r="P74" s="1705"/>
      <c r="Q74" s="1702"/>
      <c r="R74" s="1703"/>
      <c r="S74" s="1704"/>
      <c r="T74" s="1705"/>
      <c r="U74" s="1702"/>
      <c r="V74" s="1703"/>
      <c r="W74" s="1704"/>
      <c r="X74" s="1705"/>
      <c r="Y74" s="1702"/>
      <c r="Z74" s="1703"/>
      <c r="AA74" s="1704"/>
      <c r="AB74" s="1705"/>
      <c r="AC74" s="1702"/>
      <c r="AD74" s="1703"/>
      <c r="AE74" s="1704"/>
      <c r="AF74" s="1705"/>
      <c r="AG74" s="1702"/>
      <c r="AH74" s="1703"/>
      <c r="AI74" s="1704"/>
      <c r="AJ74" s="1705"/>
      <c r="AK74" s="1702"/>
      <c r="AL74" s="1703"/>
      <c r="AM74" s="1704"/>
      <c r="AN74" s="1705"/>
      <c r="AO74" s="1702"/>
      <c r="AP74" s="1703"/>
      <c r="AQ74" s="1704"/>
      <c r="AR74" s="1705"/>
      <c r="AS74" s="1702">
        <v>41483</v>
      </c>
      <c r="AT74" s="1703" t="s">
        <v>802</v>
      </c>
      <c r="AU74" s="1704">
        <v>53</v>
      </c>
      <c r="AV74" s="1705"/>
      <c r="AW74" s="1702">
        <v>41847</v>
      </c>
      <c r="AX74" s="1703" t="s">
        <v>754</v>
      </c>
      <c r="AY74" s="1704">
        <v>99</v>
      </c>
      <c r="AZ74" s="1705"/>
      <c r="BA74" s="1702"/>
      <c r="BB74" s="1703"/>
      <c r="BC74" s="1704"/>
      <c r="BD74" s="1705"/>
      <c r="BE74" s="1702">
        <v>42572</v>
      </c>
      <c r="BF74" s="1711" t="s">
        <v>823</v>
      </c>
      <c r="BG74" s="1716">
        <v>109</v>
      </c>
      <c r="BH74" s="1705"/>
      <c r="BI74" s="1702">
        <v>42937</v>
      </c>
      <c r="BJ74" s="1711" t="s">
        <v>5788</v>
      </c>
      <c r="BK74" s="1716">
        <v>8</v>
      </c>
      <c r="BL74" s="1705"/>
      <c r="BM74" s="1702">
        <v>43302</v>
      </c>
      <c r="BN74" s="1711" t="s">
        <v>5789</v>
      </c>
      <c r="BO74" s="1716">
        <v>2</v>
      </c>
      <c r="BP74" s="1705"/>
      <c r="BQ74" s="1702">
        <v>43669</v>
      </c>
      <c r="BR74" s="1711" t="s">
        <v>5790</v>
      </c>
      <c r="BS74" s="1716">
        <v>24</v>
      </c>
      <c r="BT74" s="1710" t="s">
        <v>278</v>
      </c>
      <c r="BU74" s="1702"/>
      <c r="BV74" s="1711"/>
      <c r="BW74" s="1716"/>
      <c r="BX74" s="1710"/>
      <c r="BY74" s="1702">
        <v>44401</v>
      </c>
      <c r="BZ74" s="1711" t="s">
        <v>5791</v>
      </c>
      <c r="CA74" s="1716">
        <v>20</v>
      </c>
      <c r="CB74" s="1710" t="s">
        <v>700</v>
      </c>
      <c r="CC74" s="1702">
        <v>44758</v>
      </c>
      <c r="CD74" s="1711" t="s">
        <v>845</v>
      </c>
      <c r="CE74" s="1716">
        <v>58</v>
      </c>
      <c r="CF74" s="1710" t="s">
        <v>414</v>
      </c>
      <c r="CG74" s="1702">
        <v>45138</v>
      </c>
      <c r="CH74" s="1711" t="s">
        <v>2282</v>
      </c>
      <c r="CI74" s="1716">
        <v>135</v>
      </c>
      <c r="CJ74" s="1788" t="s">
        <v>700</v>
      </c>
      <c r="CK74" s="1818">
        <v>45498</v>
      </c>
      <c r="CL74" s="1711" t="s">
        <v>5792</v>
      </c>
      <c r="CM74" s="1716">
        <v>6</v>
      </c>
      <c r="CN74" s="1819" t="s">
        <v>414</v>
      </c>
      <c r="CO74" s="1818"/>
      <c r="CP74" s="1711"/>
      <c r="CQ74" s="1716"/>
      <c r="CR74" s="1819"/>
    </row>
    <row r="75" spans="1:96" ht="13.5">
      <c r="A75" s="1769"/>
      <c r="B75" s="1711"/>
      <c r="C75" s="1716"/>
      <c r="D75" s="1717"/>
      <c r="E75" s="1702">
        <v>37830</v>
      </c>
      <c r="F75" s="1703" t="s">
        <v>772</v>
      </c>
      <c r="G75" s="1704">
        <v>3</v>
      </c>
      <c r="H75" s="1705"/>
      <c r="I75" s="1702"/>
      <c r="J75" s="1703"/>
      <c r="K75" s="1704"/>
      <c r="L75" s="1705"/>
      <c r="M75" s="1702"/>
      <c r="N75" s="1703"/>
      <c r="O75" s="1704"/>
      <c r="P75" s="1705"/>
      <c r="Q75" s="1702"/>
      <c r="R75" s="1703"/>
      <c r="S75" s="1704"/>
      <c r="T75" s="1705"/>
      <c r="U75" s="1702"/>
      <c r="V75" s="1703"/>
      <c r="W75" s="1704"/>
      <c r="X75" s="1705"/>
      <c r="Y75" s="1702"/>
      <c r="Z75" s="1703"/>
      <c r="AA75" s="1704"/>
      <c r="AB75" s="1705"/>
      <c r="AC75" s="1702"/>
      <c r="AD75" s="1703"/>
      <c r="AE75" s="1704"/>
      <c r="AF75" s="1705"/>
      <c r="AG75" s="1702"/>
      <c r="AH75" s="1703"/>
      <c r="AI75" s="1704"/>
      <c r="AJ75" s="1705"/>
      <c r="AK75" s="1702"/>
      <c r="AL75" s="1703"/>
      <c r="AM75" s="1704"/>
      <c r="AN75" s="1705"/>
      <c r="AO75" s="1702"/>
      <c r="AP75" s="1703"/>
      <c r="AQ75" s="1704"/>
      <c r="AR75" s="1705"/>
      <c r="AS75" s="1702">
        <v>41484</v>
      </c>
      <c r="AT75" s="1703" t="s">
        <v>925</v>
      </c>
      <c r="AU75" s="1704">
        <v>5</v>
      </c>
      <c r="AV75" s="1705"/>
      <c r="AW75" s="1702">
        <v>41847</v>
      </c>
      <c r="AX75" s="1703" t="s">
        <v>867</v>
      </c>
      <c r="AY75" s="1704">
        <v>30</v>
      </c>
      <c r="AZ75" s="1705"/>
      <c r="BA75" s="1702"/>
      <c r="BB75" s="1703"/>
      <c r="BC75" s="1704"/>
      <c r="BD75" s="1705"/>
      <c r="BE75" s="1702">
        <v>42572</v>
      </c>
      <c r="BF75" s="1711" t="s">
        <v>5793</v>
      </c>
      <c r="BG75" s="1716">
        <v>42</v>
      </c>
      <c r="BH75" s="1705"/>
      <c r="BI75" s="1702">
        <v>42938</v>
      </c>
      <c r="BJ75" s="1711" t="s">
        <v>772</v>
      </c>
      <c r="BK75" s="1716">
        <v>47</v>
      </c>
      <c r="BL75" s="1705"/>
      <c r="BM75" s="1702">
        <v>43303</v>
      </c>
      <c r="BN75" s="1711" t="s">
        <v>823</v>
      </c>
      <c r="BO75" s="1716">
        <v>27</v>
      </c>
      <c r="BP75" s="1705"/>
      <c r="BQ75" s="1702">
        <v>43669</v>
      </c>
      <c r="BR75" s="1711" t="s">
        <v>5794</v>
      </c>
      <c r="BS75" s="1716">
        <v>14</v>
      </c>
      <c r="BT75" s="1710" t="s">
        <v>700</v>
      </c>
      <c r="BU75" s="1702"/>
      <c r="BV75" s="1711"/>
      <c r="BW75" s="1716"/>
      <c r="BX75" s="1710"/>
      <c r="BY75" s="1702">
        <v>44401</v>
      </c>
      <c r="BZ75" s="1711" t="s">
        <v>5516</v>
      </c>
      <c r="CA75" s="1716">
        <v>19</v>
      </c>
      <c r="CB75" s="1710" t="s">
        <v>700</v>
      </c>
      <c r="CC75" s="1702">
        <v>44758</v>
      </c>
      <c r="CD75" s="1711" t="s">
        <v>1180</v>
      </c>
      <c r="CE75" s="1716">
        <v>69</v>
      </c>
      <c r="CF75" s="1710" t="s">
        <v>410</v>
      </c>
      <c r="CG75" s="1702">
        <v>45138</v>
      </c>
      <c r="CH75" s="1711" t="s">
        <v>5795</v>
      </c>
      <c r="CI75" s="1716">
        <v>15</v>
      </c>
      <c r="CJ75" s="1788" t="s">
        <v>280</v>
      </c>
      <c r="CK75" s="1818">
        <v>45498</v>
      </c>
      <c r="CL75" s="1711" t="s">
        <v>5796</v>
      </c>
      <c r="CM75" s="1716">
        <v>20</v>
      </c>
      <c r="CN75" s="1819" t="s">
        <v>414</v>
      </c>
      <c r="CO75" s="1818"/>
      <c r="CP75" s="1711"/>
      <c r="CQ75" s="1716"/>
      <c r="CR75" s="1819"/>
    </row>
    <row r="76" spans="1:96" ht="13.5">
      <c r="A76" s="1769"/>
      <c r="B76" s="1711"/>
      <c r="C76" s="1716"/>
      <c r="D76" s="1717"/>
      <c r="E76" s="1702">
        <v>37831</v>
      </c>
      <c r="F76" s="1703" t="s">
        <v>772</v>
      </c>
      <c r="G76" s="1704">
        <v>8</v>
      </c>
      <c r="H76" s="1705"/>
      <c r="I76" s="1702"/>
      <c r="J76" s="1703"/>
      <c r="K76" s="1704"/>
      <c r="L76" s="1705"/>
      <c r="M76" s="1702"/>
      <c r="N76" s="1703"/>
      <c r="O76" s="1704"/>
      <c r="P76" s="1705"/>
      <c r="Q76" s="1702"/>
      <c r="R76" s="1703"/>
      <c r="S76" s="1704"/>
      <c r="T76" s="1705"/>
      <c r="U76" s="1702"/>
      <c r="V76" s="1703"/>
      <c r="W76" s="1704"/>
      <c r="X76" s="1705"/>
      <c r="Y76" s="1702"/>
      <c r="Z76" s="1703"/>
      <c r="AA76" s="1704"/>
      <c r="AB76" s="1705"/>
      <c r="AC76" s="1702"/>
      <c r="AD76" s="1703"/>
      <c r="AE76" s="1704"/>
      <c r="AF76" s="1705"/>
      <c r="AG76" s="1702"/>
      <c r="AH76" s="1703"/>
      <c r="AI76" s="1704"/>
      <c r="AJ76" s="1705"/>
      <c r="AK76" s="1702"/>
      <c r="AL76" s="1703"/>
      <c r="AM76" s="1704"/>
      <c r="AN76" s="1705"/>
      <c r="AO76" s="1702"/>
      <c r="AP76" s="1703"/>
      <c r="AQ76" s="1704"/>
      <c r="AR76" s="1705"/>
      <c r="AS76" s="1702"/>
      <c r="AT76" s="1703"/>
      <c r="AU76" s="1704"/>
      <c r="AV76" s="1705"/>
      <c r="AW76" s="1702">
        <v>41848</v>
      </c>
      <c r="AX76" s="1703" t="s">
        <v>5797</v>
      </c>
      <c r="AY76" s="1704">
        <v>11</v>
      </c>
      <c r="AZ76" s="1705"/>
      <c r="BA76" s="1702"/>
      <c r="BB76" s="1703"/>
      <c r="BC76" s="1704"/>
      <c r="BD76" s="1705"/>
      <c r="BE76" s="1702">
        <v>42572</v>
      </c>
      <c r="BF76" s="1711" t="s">
        <v>5798</v>
      </c>
      <c r="BG76" s="1716">
        <v>8</v>
      </c>
      <c r="BH76" s="1705"/>
      <c r="BI76" s="1702">
        <v>42938</v>
      </c>
      <c r="BJ76" s="1711" t="s">
        <v>872</v>
      </c>
      <c r="BK76" s="1716">
        <v>35</v>
      </c>
      <c r="BL76" s="1705"/>
      <c r="BM76" s="1702">
        <v>43303</v>
      </c>
      <c r="BN76" s="1711" t="s">
        <v>872</v>
      </c>
      <c r="BO76" s="1716">
        <v>27</v>
      </c>
      <c r="BP76" s="1705"/>
      <c r="BQ76" s="1702">
        <v>43670</v>
      </c>
      <c r="BR76" s="1711" t="s">
        <v>5799</v>
      </c>
      <c r="BS76" s="1716">
        <v>13</v>
      </c>
      <c r="BT76" s="1710" t="s">
        <v>278</v>
      </c>
      <c r="BU76" s="1702"/>
      <c r="BV76" s="1711"/>
      <c r="BW76" s="1716"/>
      <c r="BX76" s="1710"/>
      <c r="BY76" s="1702">
        <v>44401</v>
      </c>
      <c r="BZ76" s="1711" t="s">
        <v>5516</v>
      </c>
      <c r="CA76" s="1716">
        <v>37</v>
      </c>
      <c r="CB76" s="1710" t="s">
        <v>414</v>
      </c>
      <c r="CC76" s="1702">
        <v>44758</v>
      </c>
      <c r="CD76" s="1711" t="s">
        <v>797</v>
      </c>
      <c r="CE76" s="1716">
        <v>89</v>
      </c>
      <c r="CF76" s="1710" t="s">
        <v>410</v>
      </c>
      <c r="CG76" s="1702">
        <v>45138</v>
      </c>
      <c r="CH76" s="1711" t="s">
        <v>5800</v>
      </c>
      <c r="CI76" s="1716">
        <v>21</v>
      </c>
      <c r="CJ76" s="1788" t="s">
        <v>280</v>
      </c>
      <c r="CK76" s="1818">
        <v>45498</v>
      </c>
      <c r="CL76" s="1711" t="s">
        <v>5801</v>
      </c>
      <c r="CM76" s="1716">
        <v>28</v>
      </c>
      <c r="CN76" s="1819" t="s">
        <v>414</v>
      </c>
      <c r="CO76" s="1818"/>
      <c r="CP76" s="1711"/>
      <c r="CQ76" s="1716"/>
      <c r="CR76" s="1819"/>
    </row>
    <row r="77" spans="1:96" ht="13.5">
      <c r="A77" s="1769"/>
      <c r="B77" s="1711"/>
      <c r="C77" s="1716"/>
      <c r="D77" s="1717"/>
      <c r="E77" s="1702">
        <v>37831</v>
      </c>
      <c r="F77" s="1703" t="s">
        <v>802</v>
      </c>
      <c r="G77" s="1704">
        <v>24</v>
      </c>
      <c r="H77" s="1705"/>
      <c r="I77" s="1702"/>
      <c r="J77" s="1703"/>
      <c r="K77" s="1704"/>
      <c r="L77" s="1705"/>
      <c r="M77" s="1702"/>
      <c r="N77" s="1703"/>
      <c r="O77" s="1704"/>
      <c r="P77" s="1705"/>
      <c r="Q77" s="1702"/>
      <c r="R77" s="1703"/>
      <c r="S77" s="1704"/>
      <c r="T77" s="1705"/>
      <c r="U77" s="1702"/>
      <c r="V77" s="1703"/>
      <c r="W77" s="1704"/>
      <c r="X77" s="1705"/>
      <c r="Y77" s="1702"/>
      <c r="Z77" s="1703"/>
      <c r="AA77" s="1704"/>
      <c r="AB77" s="1705"/>
      <c r="AC77" s="1702"/>
      <c r="AD77" s="1703"/>
      <c r="AE77" s="1704"/>
      <c r="AF77" s="1705"/>
      <c r="AG77" s="1702"/>
      <c r="AH77" s="1703"/>
      <c r="AI77" s="1704"/>
      <c r="AJ77" s="1705"/>
      <c r="AK77" s="1702"/>
      <c r="AL77" s="1703"/>
      <c r="AM77" s="1704"/>
      <c r="AN77" s="1705"/>
      <c r="AO77" s="1702"/>
      <c r="AP77" s="1703"/>
      <c r="AQ77" s="1704"/>
      <c r="AR77" s="1705"/>
      <c r="AS77" s="1702"/>
      <c r="AT77" s="1703"/>
      <c r="AU77" s="1704"/>
      <c r="AV77" s="1705"/>
      <c r="AW77" s="1702">
        <v>41848</v>
      </c>
      <c r="AX77" s="1703" t="s">
        <v>5802</v>
      </c>
      <c r="AY77" s="1704">
        <v>845</v>
      </c>
      <c r="AZ77" s="1705"/>
      <c r="BA77" s="1702"/>
      <c r="BB77" s="1703"/>
      <c r="BC77" s="1704"/>
      <c r="BD77" s="1705"/>
      <c r="BE77" s="1702">
        <v>42573</v>
      </c>
      <c r="BF77" s="1711" t="s">
        <v>5803</v>
      </c>
      <c r="BG77" s="1716"/>
      <c r="BH77" s="1705"/>
      <c r="BI77" s="1702">
        <v>42938</v>
      </c>
      <c r="BJ77" s="1711" t="s">
        <v>1180</v>
      </c>
      <c r="BK77" s="1716">
        <v>70</v>
      </c>
      <c r="BL77" s="1705"/>
      <c r="BM77" s="1702">
        <v>43303</v>
      </c>
      <c r="BN77" s="1711" t="s">
        <v>859</v>
      </c>
      <c r="BO77" s="1716">
        <v>6</v>
      </c>
      <c r="BP77" s="1705"/>
      <c r="BQ77" s="1702">
        <v>43670</v>
      </c>
      <c r="BR77" s="1711" t="s">
        <v>5804</v>
      </c>
      <c r="BS77" s="1716">
        <v>108</v>
      </c>
      <c r="BT77" s="1710" t="s">
        <v>381</v>
      </c>
      <c r="BU77" s="1702"/>
      <c r="BV77" s="1711"/>
      <c r="BW77" s="1716"/>
      <c r="BX77" s="1710"/>
      <c r="BY77" s="1702">
        <v>44402</v>
      </c>
      <c r="BZ77" s="1711" t="s">
        <v>5805</v>
      </c>
      <c r="CA77" s="1716">
        <v>40</v>
      </c>
      <c r="CB77" s="1710" t="s">
        <v>414</v>
      </c>
      <c r="CC77" s="1702">
        <v>44759</v>
      </c>
      <c r="CD77" s="1711" t="s">
        <v>2061</v>
      </c>
      <c r="CE77" s="1716">
        <v>7</v>
      </c>
      <c r="CF77" s="1710" t="s">
        <v>414</v>
      </c>
      <c r="CG77" s="1702"/>
      <c r="CH77" s="1711"/>
      <c r="CI77" s="1716"/>
      <c r="CJ77" s="1788"/>
      <c r="CK77" s="1818">
        <v>45498</v>
      </c>
      <c r="CL77" s="1711" t="s">
        <v>5779</v>
      </c>
      <c r="CM77" s="1716">
        <v>15</v>
      </c>
      <c r="CN77" s="1819" t="s">
        <v>414</v>
      </c>
      <c r="CO77" s="1818"/>
      <c r="CP77" s="1711"/>
      <c r="CQ77" s="1716"/>
      <c r="CR77" s="1819"/>
    </row>
    <row r="78" spans="1:96" ht="13.5">
      <c r="A78" s="1769"/>
      <c r="B78" s="1711"/>
      <c r="C78" s="1716"/>
      <c r="D78" s="1717"/>
      <c r="E78" s="1702">
        <v>37832</v>
      </c>
      <c r="F78" s="1703" t="s">
        <v>5806</v>
      </c>
      <c r="G78" s="1704">
        <v>17</v>
      </c>
      <c r="H78" s="1705"/>
      <c r="I78" s="1702"/>
      <c r="J78" s="1703"/>
      <c r="K78" s="1704"/>
      <c r="L78" s="1705"/>
      <c r="M78" s="1702"/>
      <c r="N78" s="1703"/>
      <c r="O78" s="1704"/>
      <c r="P78" s="1705"/>
      <c r="Q78" s="1702"/>
      <c r="R78" s="1703"/>
      <c r="S78" s="1704"/>
      <c r="T78" s="1705"/>
      <c r="U78" s="1702"/>
      <c r="V78" s="1703"/>
      <c r="W78" s="1704"/>
      <c r="X78" s="1705"/>
      <c r="Y78" s="1702"/>
      <c r="Z78" s="1703"/>
      <c r="AA78" s="1704"/>
      <c r="AB78" s="1705"/>
      <c r="AC78" s="1702"/>
      <c r="AD78" s="1703"/>
      <c r="AE78" s="1704"/>
      <c r="AF78" s="1705"/>
      <c r="AG78" s="1702"/>
      <c r="AH78" s="1703"/>
      <c r="AI78" s="1704"/>
      <c r="AJ78" s="1705"/>
      <c r="AK78" s="1702"/>
      <c r="AL78" s="1703"/>
      <c r="AM78" s="1704"/>
      <c r="AN78" s="1705"/>
      <c r="AO78" s="1702"/>
      <c r="AP78" s="1703"/>
      <c r="AQ78" s="1704"/>
      <c r="AR78" s="1705"/>
      <c r="AS78" s="1702"/>
      <c r="AT78" s="1703"/>
      <c r="AU78" s="1704"/>
      <c r="AV78" s="1705"/>
      <c r="AW78" s="1702">
        <v>41848</v>
      </c>
      <c r="AX78" s="1703" t="s">
        <v>5807</v>
      </c>
      <c r="AY78" s="1704">
        <v>704</v>
      </c>
      <c r="AZ78" s="1705"/>
      <c r="BA78" s="1702"/>
      <c r="BB78" s="1703"/>
      <c r="BC78" s="1704"/>
      <c r="BD78" s="1705"/>
      <c r="BE78" s="1702">
        <v>42573</v>
      </c>
      <c r="BF78" s="1711" t="s">
        <v>5808</v>
      </c>
      <c r="BG78" s="1716">
        <v>37</v>
      </c>
      <c r="BH78" s="1705"/>
      <c r="BI78" s="1702">
        <v>42938</v>
      </c>
      <c r="BJ78" s="1711" t="s">
        <v>873</v>
      </c>
      <c r="BK78" s="1716">
        <v>16</v>
      </c>
      <c r="BL78" s="1705"/>
      <c r="BM78" s="1702">
        <v>43303</v>
      </c>
      <c r="BN78" s="1711" t="s">
        <v>5809</v>
      </c>
      <c r="BO78" s="1716">
        <v>1395</v>
      </c>
      <c r="BP78" s="1705"/>
      <c r="BQ78" s="1702">
        <v>43670</v>
      </c>
      <c r="BR78" s="1711" t="s">
        <v>5790</v>
      </c>
      <c r="BS78" s="1716">
        <v>9</v>
      </c>
      <c r="BT78" s="1710" t="s">
        <v>278</v>
      </c>
      <c r="BU78" s="1702"/>
      <c r="BV78" s="1711"/>
      <c r="BW78" s="1716"/>
      <c r="BX78" s="1710"/>
      <c r="BY78" s="1702">
        <v>44402</v>
      </c>
      <c r="BZ78" s="1711" t="s">
        <v>5810</v>
      </c>
      <c r="CA78" s="1716">
        <v>21</v>
      </c>
      <c r="CB78" s="1710" t="s">
        <v>280</v>
      </c>
      <c r="CC78" s="1702">
        <v>44759</v>
      </c>
      <c r="CD78" s="1711" t="s">
        <v>5811</v>
      </c>
      <c r="CE78" s="1716">
        <v>42</v>
      </c>
      <c r="CF78" s="1710" t="s">
        <v>414</v>
      </c>
      <c r="CG78" s="1702"/>
      <c r="CH78" s="1711"/>
      <c r="CI78" s="1716"/>
      <c r="CJ78" s="1788"/>
      <c r="CK78" s="1818">
        <v>45498</v>
      </c>
      <c r="CL78" s="1711" t="s">
        <v>5812</v>
      </c>
      <c r="CM78" s="1716">
        <v>30</v>
      </c>
      <c r="CN78" s="1819" t="s">
        <v>414</v>
      </c>
      <c r="CO78" s="1818"/>
      <c r="CP78" s="1711"/>
      <c r="CQ78" s="1716"/>
      <c r="CR78" s="1819"/>
    </row>
    <row r="79" spans="1:96" ht="13.5">
      <c r="A79" s="1769"/>
      <c r="B79" s="1711"/>
      <c r="C79" s="1716"/>
      <c r="D79" s="1717"/>
      <c r="E79" s="1702">
        <v>37832</v>
      </c>
      <c r="F79" s="1703" t="s">
        <v>1810</v>
      </c>
      <c r="G79" s="1704">
        <v>15</v>
      </c>
      <c r="H79" s="1705"/>
      <c r="I79" s="1702"/>
      <c r="J79" s="1703"/>
      <c r="K79" s="1704"/>
      <c r="L79" s="1705"/>
      <c r="M79" s="1702"/>
      <c r="N79" s="1703"/>
      <c r="O79" s="1704"/>
      <c r="P79" s="1705"/>
      <c r="Q79" s="1702"/>
      <c r="R79" s="1703"/>
      <c r="S79" s="1704"/>
      <c r="T79" s="1705"/>
      <c r="U79" s="1702"/>
      <c r="V79" s="1703"/>
      <c r="W79" s="1704"/>
      <c r="X79" s="1705"/>
      <c r="Y79" s="1702"/>
      <c r="Z79" s="1703"/>
      <c r="AA79" s="1704"/>
      <c r="AB79" s="1705"/>
      <c r="AC79" s="1702"/>
      <c r="AD79" s="1703"/>
      <c r="AE79" s="1704"/>
      <c r="AF79" s="1705"/>
      <c r="AG79" s="1702"/>
      <c r="AH79" s="1703"/>
      <c r="AI79" s="1704"/>
      <c r="AJ79" s="1705"/>
      <c r="AK79" s="1702"/>
      <c r="AL79" s="1703"/>
      <c r="AM79" s="1704"/>
      <c r="AN79" s="1705"/>
      <c r="AO79" s="1702"/>
      <c r="AP79" s="1703"/>
      <c r="AQ79" s="1704"/>
      <c r="AR79" s="1705"/>
      <c r="AS79" s="1702"/>
      <c r="AT79" s="1703"/>
      <c r="AU79" s="1704"/>
      <c r="AV79" s="1705"/>
      <c r="AW79" s="1702">
        <v>41848</v>
      </c>
      <c r="AX79" s="1703" t="s">
        <v>5807</v>
      </c>
      <c r="AY79" s="1704">
        <v>875</v>
      </c>
      <c r="AZ79" s="1705"/>
      <c r="BA79" s="1702"/>
      <c r="BB79" s="1703"/>
      <c r="BC79" s="1704"/>
      <c r="BD79" s="1705"/>
      <c r="BE79" s="1702">
        <v>42573</v>
      </c>
      <c r="BF79" s="1711" t="s">
        <v>797</v>
      </c>
      <c r="BG79" s="1716">
        <v>48</v>
      </c>
      <c r="BH79" s="1705"/>
      <c r="BI79" s="1702">
        <v>42938</v>
      </c>
      <c r="BJ79" s="1711" t="s">
        <v>5813</v>
      </c>
      <c r="BK79" s="1716">
        <v>18</v>
      </c>
      <c r="BL79" s="1705"/>
      <c r="BM79" s="1702">
        <v>43304</v>
      </c>
      <c r="BN79" s="1711" t="s">
        <v>797</v>
      </c>
      <c r="BO79" s="1716">
        <v>34</v>
      </c>
      <c r="BP79" s="1705"/>
      <c r="BQ79" s="1702">
        <v>43670</v>
      </c>
      <c r="BR79" s="1711" t="s">
        <v>5814</v>
      </c>
      <c r="BS79" s="1716">
        <v>130</v>
      </c>
      <c r="BT79" s="1710" t="s">
        <v>700</v>
      </c>
      <c r="BU79" s="1702"/>
      <c r="BV79" s="1711"/>
      <c r="BW79" s="1716"/>
      <c r="BX79" s="1710"/>
      <c r="BY79" s="1702">
        <v>44407</v>
      </c>
      <c r="BZ79" s="1711" t="s">
        <v>5815</v>
      </c>
      <c r="CA79" s="1716">
        <v>25</v>
      </c>
      <c r="CB79" s="1710" t="s">
        <v>280</v>
      </c>
      <c r="CC79" s="1702">
        <v>44759</v>
      </c>
      <c r="CD79" s="1711" t="s">
        <v>5816</v>
      </c>
      <c r="CE79" s="1716">
        <v>27</v>
      </c>
      <c r="CF79" s="1710" t="s">
        <v>414</v>
      </c>
      <c r="CG79" s="1702"/>
      <c r="CH79" s="1711"/>
      <c r="CI79" s="1716"/>
      <c r="CJ79" s="1788"/>
      <c r="CK79" s="1818">
        <v>45498</v>
      </c>
      <c r="CL79" s="1711" t="s">
        <v>4115</v>
      </c>
      <c r="CM79" s="1716">
        <v>6</v>
      </c>
      <c r="CN79" s="1819" t="s">
        <v>414</v>
      </c>
      <c r="CO79" s="1818"/>
      <c r="CP79" s="1711"/>
      <c r="CQ79" s="1716"/>
      <c r="CR79" s="1819"/>
    </row>
    <row r="80" spans="1:96" ht="13.5">
      <c r="A80" s="1769"/>
      <c r="B80" s="1711"/>
      <c r="C80" s="1716"/>
      <c r="D80" s="1717"/>
      <c r="E80" s="1702">
        <v>37833</v>
      </c>
      <c r="F80" s="1703" t="s">
        <v>5817</v>
      </c>
      <c r="G80" s="1704"/>
      <c r="H80" s="1705">
        <v>4</v>
      </c>
      <c r="I80" s="1702"/>
      <c r="J80" s="1703"/>
      <c r="K80" s="1704"/>
      <c r="L80" s="1705"/>
      <c r="M80" s="1702"/>
      <c r="N80" s="1703"/>
      <c r="O80" s="1704"/>
      <c r="P80" s="1705"/>
      <c r="Q80" s="1702"/>
      <c r="R80" s="1703"/>
      <c r="S80" s="1704"/>
      <c r="T80" s="1705"/>
      <c r="U80" s="1702"/>
      <c r="V80" s="1703"/>
      <c r="W80" s="1704"/>
      <c r="X80" s="1705"/>
      <c r="Y80" s="1702"/>
      <c r="Z80" s="1703"/>
      <c r="AA80" s="1704"/>
      <c r="AB80" s="1705"/>
      <c r="AC80" s="1702"/>
      <c r="AD80" s="1703"/>
      <c r="AE80" s="1704"/>
      <c r="AF80" s="1705"/>
      <c r="AG80" s="1702"/>
      <c r="AH80" s="1703"/>
      <c r="AI80" s="1704"/>
      <c r="AJ80" s="1705"/>
      <c r="AK80" s="1702"/>
      <c r="AL80" s="1703"/>
      <c r="AM80" s="1704"/>
      <c r="AN80" s="1705"/>
      <c r="AO80" s="1702"/>
      <c r="AP80" s="1703"/>
      <c r="AQ80" s="1704"/>
      <c r="AR80" s="1705"/>
      <c r="AS80" s="1702"/>
      <c r="AT80" s="1703"/>
      <c r="AU80" s="1704"/>
      <c r="AV80" s="1705"/>
      <c r="AW80" s="1702">
        <v>41849</v>
      </c>
      <c r="AX80" s="1703" t="s">
        <v>5818</v>
      </c>
      <c r="AY80" s="1704">
        <v>27</v>
      </c>
      <c r="AZ80" s="1705"/>
      <c r="BA80" s="1702"/>
      <c r="BB80" s="1703"/>
      <c r="BC80" s="1704"/>
      <c r="BD80" s="1705"/>
      <c r="BE80" s="1702">
        <v>42573</v>
      </c>
      <c r="BF80" s="1711" t="s">
        <v>5819</v>
      </c>
      <c r="BG80" s="1716">
        <v>10</v>
      </c>
      <c r="BH80" s="1705"/>
      <c r="BI80" s="1702">
        <v>42938</v>
      </c>
      <c r="BJ80" s="1711" t="s">
        <v>823</v>
      </c>
      <c r="BK80" s="1716">
        <v>30</v>
      </c>
      <c r="BL80" s="1705"/>
      <c r="BM80" s="1702">
        <v>43304</v>
      </c>
      <c r="BN80" s="1711" t="s">
        <v>5820</v>
      </c>
      <c r="BO80" s="1716">
        <v>33</v>
      </c>
      <c r="BP80" s="1705"/>
      <c r="BQ80" s="1702">
        <v>43671</v>
      </c>
      <c r="BR80" s="1711" t="s">
        <v>1180</v>
      </c>
      <c r="BS80" s="1716">
        <v>67</v>
      </c>
      <c r="BT80" s="1710" t="s">
        <v>410</v>
      </c>
      <c r="BU80" s="1702"/>
      <c r="BV80" s="1711"/>
      <c r="BW80" s="1716"/>
      <c r="BX80" s="1710"/>
      <c r="BY80" s="1702">
        <v>44407</v>
      </c>
      <c r="BZ80" s="1711" t="s">
        <v>5821</v>
      </c>
      <c r="CA80" s="1716">
        <v>113</v>
      </c>
      <c r="CB80" s="1710"/>
      <c r="CC80" s="1702">
        <v>44759</v>
      </c>
      <c r="CD80" s="1711" t="s">
        <v>5822</v>
      </c>
      <c r="CE80" s="1716">
        <v>21</v>
      </c>
      <c r="CF80" s="1710" t="s">
        <v>414</v>
      </c>
      <c r="CG80" s="1702"/>
      <c r="CH80" s="1711"/>
      <c r="CI80" s="1716"/>
      <c r="CJ80" s="1788"/>
      <c r="CK80" s="1818">
        <v>45498</v>
      </c>
      <c r="CL80" s="1711" t="s">
        <v>5823</v>
      </c>
      <c r="CM80" s="1716">
        <v>15</v>
      </c>
      <c r="CN80" s="1819" t="s">
        <v>414</v>
      </c>
      <c r="CO80" s="1818"/>
      <c r="CP80" s="1711"/>
      <c r="CQ80" s="1716"/>
      <c r="CR80" s="1819"/>
    </row>
    <row r="81" spans="1:96" ht="13.5">
      <c r="A81" s="1769"/>
      <c r="B81" s="1711"/>
      <c r="C81" s="1716"/>
      <c r="D81" s="1717"/>
      <c r="E81" s="1702">
        <v>37833</v>
      </c>
      <c r="F81" s="1703" t="s">
        <v>5824</v>
      </c>
      <c r="G81" s="1704">
        <v>0</v>
      </c>
      <c r="H81" s="1705"/>
      <c r="I81" s="1702"/>
      <c r="J81" s="1703"/>
      <c r="K81" s="1704"/>
      <c r="L81" s="1705"/>
      <c r="M81" s="1702"/>
      <c r="N81" s="1703"/>
      <c r="O81" s="1704"/>
      <c r="P81" s="1705"/>
      <c r="Q81" s="1702"/>
      <c r="R81" s="1703"/>
      <c r="S81" s="1704"/>
      <c r="T81" s="1705"/>
      <c r="U81" s="1702"/>
      <c r="V81" s="1703"/>
      <c r="W81" s="1704"/>
      <c r="X81" s="1705"/>
      <c r="Y81" s="1702"/>
      <c r="Z81" s="1703"/>
      <c r="AA81" s="1704"/>
      <c r="AB81" s="1705"/>
      <c r="AC81" s="1702"/>
      <c r="AD81" s="1703"/>
      <c r="AE81" s="1704"/>
      <c r="AF81" s="1705"/>
      <c r="AG81" s="1702"/>
      <c r="AH81" s="1703"/>
      <c r="AI81" s="1704"/>
      <c r="AJ81" s="1705"/>
      <c r="AK81" s="1702"/>
      <c r="AL81" s="1703"/>
      <c r="AM81" s="1704"/>
      <c r="AN81" s="1705"/>
      <c r="AO81" s="1702"/>
      <c r="AP81" s="1703"/>
      <c r="AQ81" s="1704"/>
      <c r="AR81" s="1705"/>
      <c r="AS81" s="1702"/>
      <c r="AT81" s="1703"/>
      <c r="AU81" s="1704"/>
      <c r="AV81" s="1705"/>
      <c r="AW81" s="1702">
        <v>41849</v>
      </c>
      <c r="AX81" s="1703" t="s">
        <v>5825</v>
      </c>
      <c r="AY81" s="1704">
        <v>205</v>
      </c>
      <c r="AZ81" s="1705"/>
      <c r="BA81" s="1702"/>
      <c r="BB81" s="1703"/>
      <c r="BC81" s="1704"/>
      <c r="BD81" s="1705"/>
      <c r="BE81" s="1702">
        <v>42574</v>
      </c>
      <c r="BF81" s="1711" t="s">
        <v>5826</v>
      </c>
      <c r="BG81" s="1716"/>
      <c r="BH81" s="1705"/>
      <c r="BI81" s="1702">
        <v>42939</v>
      </c>
      <c r="BJ81" s="1711" t="s">
        <v>5827</v>
      </c>
      <c r="BK81" s="1716">
        <v>33</v>
      </c>
      <c r="BL81" s="1705"/>
      <c r="BM81" s="1702">
        <v>43304</v>
      </c>
      <c r="BN81" s="1711" t="s">
        <v>890</v>
      </c>
      <c r="BO81" s="1716">
        <v>6</v>
      </c>
      <c r="BP81" s="1705"/>
      <c r="BQ81" s="1702">
        <v>43671</v>
      </c>
      <c r="BR81" s="1711" t="s">
        <v>5828</v>
      </c>
      <c r="BS81" s="1716">
        <v>38</v>
      </c>
      <c r="BT81" s="1710" t="s">
        <v>381</v>
      </c>
      <c r="BU81" s="1702"/>
      <c r="BV81" s="1711"/>
      <c r="BW81" s="1716"/>
      <c r="BX81" s="1710"/>
      <c r="BY81" s="1702">
        <v>44408</v>
      </c>
      <c r="BZ81" s="1711" t="s">
        <v>845</v>
      </c>
      <c r="CA81" s="1716">
        <v>69</v>
      </c>
      <c r="CB81" s="1710" t="s">
        <v>414</v>
      </c>
      <c r="CC81" s="1702">
        <v>44759</v>
      </c>
      <c r="CD81" s="1711" t="s">
        <v>5829</v>
      </c>
      <c r="CE81" s="1716">
        <v>35</v>
      </c>
      <c r="CF81" s="1710" t="s">
        <v>280</v>
      </c>
      <c r="CG81" s="1702"/>
      <c r="CH81" s="1711"/>
      <c r="CI81" s="1716"/>
      <c r="CJ81" s="1788"/>
      <c r="CK81" s="1818">
        <v>45498</v>
      </c>
      <c r="CL81" s="1711" t="s">
        <v>5830</v>
      </c>
      <c r="CM81" s="1716">
        <v>150</v>
      </c>
      <c r="CN81" s="1819" t="s">
        <v>692</v>
      </c>
      <c r="CO81" s="1818"/>
      <c r="CP81" s="1711"/>
      <c r="CQ81" s="1716"/>
      <c r="CR81" s="1819"/>
    </row>
    <row r="82" spans="1:96" ht="13.5">
      <c r="A82" s="1769"/>
      <c r="B82" s="1711"/>
      <c r="C82" s="1716"/>
      <c r="D82" s="1717"/>
      <c r="E82" s="1702">
        <v>37833</v>
      </c>
      <c r="F82" s="1703" t="s">
        <v>5831</v>
      </c>
      <c r="G82" s="1704">
        <v>1.5</v>
      </c>
      <c r="H82" s="1705"/>
      <c r="I82" s="1702"/>
      <c r="J82" s="1703"/>
      <c r="K82" s="1704"/>
      <c r="L82" s="1705"/>
      <c r="M82" s="1702"/>
      <c r="N82" s="1703"/>
      <c r="O82" s="1704"/>
      <c r="P82" s="1705"/>
      <c r="Q82" s="1702"/>
      <c r="R82" s="1703"/>
      <c r="S82" s="1704"/>
      <c r="T82" s="1705"/>
      <c r="U82" s="1702"/>
      <c r="V82" s="1703"/>
      <c r="W82" s="1704"/>
      <c r="X82" s="1705"/>
      <c r="Y82" s="1702"/>
      <c r="Z82" s="1703"/>
      <c r="AA82" s="1704"/>
      <c r="AB82" s="1705"/>
      <c r="AC82" s="1702"/>
      <c r="AD82" s="1703"/>
      <c r="AE82" s="1704"/>
      <c r="AF82" s="1705"/>
      <c r="AG82" s="1702"/>
      <c r="AH82" s="1703"/>
      <c r="AI82" s="1704"/>
      <c r="AJ82" s="1705"/>
      <c r="AK82" s="1702"/>
      <c r="AL82" s="1703"/>
      <c r="AM82" s="1704"/>
      <c r="AN82" s="1705"/>
      <c r="AO82" s="1702"/>
      <c r="AP82" s="1703"/>
      <c r="AQ82" s="1704"/>
      <c r="AR82" s="1705"/>
      <c r="AS82" s="1702"/>
      <c r="AT82" s="1703"/>
      <c r="AU82" s="1704"/>
      <c r="AV82" s="1705"/>
      <c r="AW82" s="1702">
        <v>41849</v>
      </c>
      <c r="AX82" s="1703" t="s">
        <v>5832</v>
      </c>
      <c r="AY82" s="1704">
        <v>13</v>
      </c>
      <c r="AZ82" s="1705"/>
      <c r="BA82" s="1702"/>
      <c r="BB82" s="1703"/>
      <c r="BC82" s="1704"/>
      <c r="BD82" s="1705"/>
      <c r="BE82" s="1702">
        <v>42574</v>
      </c>
      <c r="BF82" s="1711" t="s">
        <v>859</v>
      </c>
      <c r="BG82" s="1716">
        <v>61</v>
      </c>
      <c r="BH82" s="1705"/>
      <c r="BI82" s="1702">
        <v>42939</v>
      </c>
      <c r="BJ82" s="1711" t="s">
        <v>5833</v>
      </c>
      <c r="BK82" s="1716">
        <v>17</v>
      </c>
      <c r="BL82" s="1705"/>
      <c r="BM82" s="1702">
        <v>43304</v>
      </c>
      <c r="BN82" s="1711" t="s">
        <v>3205</v>
      </c>
      <c r="BO82" s="1716">
        <v>23</v>
      </c>
      <c r="BP82" s="1705"/>
      <c r="BQ82" s="1702">
        <v>43671</v>
      </c>
      <c r="BR82" s="1711" t="s">
        <v>5834</v>
      </c>
      <c r="BS82" s="1716">
        <v>37</v>
      </c>
      <c r="BT82" s="1710" t="s">
        <v>278</v>
      </c>
      <c r="BU82" s="1702"/>
      <c r="BV82" s="1711"/>
      <c r="BW82" s="1716"/>
      <c r="BX82" s="1710"/>
      <c r="BY82" s="1702">
        <v>44408</v>
      </c>
      <c r="BZ82" s="1711" t="s">
        <v>872</v>
      </c>
      <c r="CA82" s="1716">
        <v>26</v>
      </c>
      <c r="CB82" s="1710" t="s">
        <v>414</v>
      </c>
      <c r="CC82" s="1702">
        <v>44765</v>
      </c>
      <c r="CD82" s="1711" t="s">
        <v>843</v>
      </c>
      <c r="CE82" s="1716">
        <v>35</v>
      </c>
      <c r="CF82" s="1710" t="s">
        <v>414</v>
      </c>
      <c r="CG82" s="1702"/>
      <c r="CH82" s="1711"/>
      <c r="CI82" s="1716"/>
      <c r="CJ82" s="1788"/>
      <c r="CK82" s="1818">
        <v>45498</v>
      </c>
      <c r="CL82" s="1711" t="s">
        <v>5835</v>
      </c>
      <c r="CM82" s="1716">
        <v>150</v>
      </c>
      <c r="CN82" s="1819" t="s">
        <v>700</v>
      </c>
      <c r="CO82" s="1818"/>
      <c r="CP82" s="1711"/>
      <c r="CQ82" s="1716"/>
      <c r="CR82" s="1819"/>
    </row>
    <row r="83" spans="1:96" ht="13.5">
      <c r="A83" s="1769"/>
      <c r="B83" s="1711"/>
      <c r="C83" s="1716"/>
      <c r="D83" s="1717"/>
      <c r="E83" s="1702"/>
      <c r="F83" s="1703"/>
      <c r="G83" s="1704"/>
      <c r="H83" s="1705"/>
      <c r="I83" s="1702"/>
      <c r="J83" s="1703"/>
      <c r="K83" s="1704"/>
      <c r="L83" s="1705"/>
      <c r="M83" s="1702"/>
      <c r="N83" s="1703"/>
      <c r="O83" s="1704"/>
      <c r="P83" s="1705"/>
      <c r="Q83" s="1702"/>
      <c r="R83" s="1703"/>
      <c r="S83" s="1704"/>
      <c r="T83" s="1705"/>
      <c r="U83" s="1702"/>
      <c r="V83" s="1703"/>
      <c r="W83" s="1704"/>
      <c r="X83" s="1705"/>
      <c r="Y83" s="1702"/>
      <c r="Z83" s="1703"/>
      <c r="AA83" s="1704"/>
      <c r="AB83" s="1705"/>
      <c r="AC83" s="1702"/>
      <c r="AD83" s="1703"/>
      <c r="AE83" s="1704"/>
      <c r="AF83" s="1705"/>
      <c r="AG83" s="1702"/>
      <c r="AH83" s="1703"/>
      <c r="AI83" s="1704"/>
      <c r="AJ83" s="1705"/>
      <c r="AK83" s="1702"/>
      <c r="AL83" s="1703"/>
      <c r="AM83" s="1704"/>
      <c r="AN83" s="1705"/>
      <c r="AO83" s="1702"/>
      <c r="AP83" s="1703"/>
      <c r="AQ83" s="1704"/>
      <c r="AR83" s="1705"/>
      <c r="AS83" s="1702"/>
      <c r="AT83" s="1703"/>
      <c r="AU83" s="1704"/>
      <c r="AV83" s="1705"/>
      <c r="AW83" s="1702">
        <v>41850</v>
      </c>
      <c r="AX83" s="1703" t="s">
        <v>5836</v>
      </c>
      <c r="AY83" s="1704">
        <v>38</v>
      </c>
      <c r="AZ83" s="1705"/>
      <c r="BA83" s="1702"/>
      <c r="BB83" s="1703"/>
      <c r="BC83" s="1704"/>
      <c r="BD83" s="1705"/>
      <c r="BE83" s="1702">
        <v>42574</v>
      </c>
      <c r="BF83" s="1711" t="s">
        <v>1427</v>
      </c>
      <c r="BG83" s="1716">
        <v>10</v>
      </c>
      <c r="BH83" s="1705"/>
      <c r="BI83" s="1702">
        <v>42939</v>
      </c>
      <c r="BJ83" s="1711" t="s">
        <v>5837</v>
      </c>
      <c r="BK83" s="1716">
        <v>6</v>
      </c>
      <c r="BL83" s="1705"/>
      <c r="BM83" s="1702">
        <v>43307</v>
      </c>
      <c r="BN83" s="1711" t="s">
        <v>5838</v>
      </c>
      <c r="BO83" s="1716">
        <v>12</v>
      </c>
      <c r="BP83" s="1705"/>
      <c r="BQ83" s="1702">
        <v>43671</v>
      </c>
      <c r="BR83" s="1711" t="s">
        <v>5839</v>
      </c>
      <c r="BS83" s="1716">
        <v>18</v>
      </c>
      <c r="BT83" s="1710" t="s">
        <v>280</v>
      </c>
      <c r="BU83" s="1702"/>
      <c r="BV83" s="1711"/>
      <c r="BW83" s="1716"/>
      <c r="BX83" s="1710"/>
      <c r="BY83" s="1702">
        <v>44408</v>
      </c>
      <c r="BZ83" s="1711" t="s">
        <v>772</v>
      </c>
      <c r="CA83" s="1716">
        <v>12</v>
      </c>
      <c r="CB83" s="1710" t="s">
        <v>414</v>
      </c>
      <c r="CC83" s="1702">
        <v>44765</v>
      </c>
      <c r="CD83" s="1711" t="s">
        <v>872</v>
      </c>
      <c r="CE83" s="1716">
        <v>8</v>
      </c>
      <c r="CF83" s="1710" t="s">
        <v>414</v>
      </c>
      <c r="CG83" s="1702"/>
      <c r="CH83" s="1711"/>
      <c r="CI83" s="1716"/>
      <c r="CJ83" s="1788"/>
      <c r="CK83" s="1818"/>
      <c r="CL83" s="1738" t="s">
        <v>1689</v>
      </c>
      <c r="CM83" s="1839">
        <v>100</v>
      </c>
      <c r="CN83" s="1787" t="s">
        <v>674</v>
      </c>
      <c r="CO83" s="1818"/>
      <c r="CP83" s="1738"/>
      <c r="CQ83" s="1839"/>
      <c r="CR83" s="1787"/>
    </row>
    <row r="84" spans="1:96" ht="13.5">
      <c r="A84" s="1773" t="s">
        <v>477</v>
      </c>
      <c r="B84" s="1774"/>
      <c r="C84" s="1775">
        <f>SUM(C4:C58)</f>
        <v>5360.9</v>
      </c>
      <c r="D84" s="1755">
        <f>SUM(D4:D58)</f>
        <v>2065.9700000000003</v>
      </c>
      <c r="E84" s="1773" t="s">
        <v>477</v>
      </c>
      <c r="F84" s="1774"/>
      <c r="G84" s="1775">
        <f>SUM(G4:G58)</f>
        <v>4139</v>
      </c>
      <c r="H84" s="1755">
        <f>SUM(H4:H58)</f>
        <v>1343</v>
      </c>
      <c r="I84" s="1753" t="s">
        <v>477</v>
      </c>
      <c r="J84" s="1754"/>
      <c r="K84" s="1755">
        <f>SUM(K4:K83)</f>
        <v>4430</v>
      </c>
      <c r="L84" s="1755">
        <f>SUM(L4:L83)</f>
        <v>944</v>
      </c>
      <c r="M84" s="1753" t="s">
        <v>477</v>
      </c>
      <c r="N84" s="1754"/>
      <c r="O84" s="1755">
        <f>SUM(O4:O83)</f>
        <v>1295</v>
      </c>
      <c r="P84" s="1755">
        <f>SUM(P4:P83)</f>
        <v>0</v>
      </c>
      <c r="Q84" s="1753" t="s">
        <v>477</v>
      </c>
      <c r="R84" s="1754"/>
      <c r="S84" s="1755">
        <f>SUM(S4:S83)</f>
        <v>1116</v>
      </c>
      <c r="T84" s="1755">
        <f>SUM(T4:T83)</f>
        <v>0</v>
      </c>
      <c r="U84" s="1753" t="s">
        <v>477</v>
      </c>
      <c r="V84" s="1754"/>
      <c r="W84" s="1755">
        <f>SUM(W4:W83)</f>
        <v>4688</v>
      </c>
      <c r="X84" s="1755">
        <f>SUM(X4:X83)</f>
        <v>0</v>
      </c>
      <c r="Y84" s="1753" t="s">
        <v>477</v>
      </c>
      <c r="Z84" s="1754"/>
      <c r="AA84" s="1755">
        <f>SUM(AA4:AA83)</f>
        <v>1606</v>
      </c>
      <c r="AB84" s="1755">
        <f>SUM(AB4:AB83)</f>
        <v>0</v>
      </c>
      <c r="AC84" s="1753" t="s">
        <v>477</v>
      </c>
      <c r="AD84" s="1754"/>
      <c r="AE84" s="1755">
        <f>SUM(AE4:AE83)</f>
        <v>1207</v>
      </c>
      <c r="AF84" s="1755">
        <f>SUM(AF4:AF83)</f>
        <v>0</v>
      </c>
      <c r="AG84" s="1753" t="s">
        <v>477</v>
      </c>
      <c r="AH84" s="1754"/>
      <c r="AI84" s="1755">
        <f>SUM(AI4:AI83)</f>
        <v>1758</v>
      </c>
      <c r="AJ84" s="1755">
        <f>SUM(AJ4:AJ83)</f>
        <v>0</v>
      </c>
      <c r="AK84" s="1753" t="s">
        <v>477</v>
      </c>
      <c r="AL84" s="1754"/>
      <c r="AM84" s="1755">
        <f>SUM(AM4:AM83)</f>
        <v>1411</v>
      </c>
      <c r="AN84" s="1755">
        <f>SUM(AN4:AN83)</f>
        <v>0</v>
      </c>
      <c r="AO84" s="1753" t="s">
        <v>477</v>
      </c>
      <c r="AP84" s="1754"/>
      <c r="AQ84" s="1755">
        <f>SUM(AQ4:AQ83)</f>
        <v>1620</v>
      </c>
      <c r="AR84" s="1755">
        <f>SUM(AR4:AR83)</f>
        <v>0</v>
      </c>
      <c r="AS84" s="1753" t="s">
        <v>477</v>
      </c>
      <c r="AT84" s="1754"/>
      <c r="AU84" s="1755">
        <f>SUM(AU4:AU83)</f>
        <v>2300</v>
      </c>
      <c r="AV84" s="1755">
        <f>SUM(AV4:AV83)</f>
        <v>0</v>
      </c>
      <c r="AW84" s="1702">
        <v>41850</v>
      </c>
      <c r="AX84" s="1703" t="s">
        <v>925</v>
      </c>
      <c r="AY84" s="1704">
        <v>10</v>
      </c>
      <c r="AZ84" s="1705"/>
      <c r="BA84" s="1702"/>
      <c r="BB84" s="1703"/>
      <c r="BC84" s="1704"/>
      <c r="BD84" s="1705"/>
      <c r="BE84" s="1702">
        <v>42574</v>
      </c>
      <c r="BF84" s="1711" t="s">
        <v>781</v>
      </c>
      <c r="BG84" s="1716">
        <v>27</v>
      </c>
      <c r="BH84" s="1705"/>
      <c r="BI84" s="1702">
        <v>42941</v>
      </c>
      <c r="BJ84" s="1711" t="s">
        <v>5840</v>
      </c>
      <c r="BK84" s="1716">
        <v>28</v>
      </c>
      <c r="BL84" s="1705"/>
      <c r="BM84" s="1702">
        <v>43308</v>
      </c>
      <c r="BN84" s="1711" t="s">
        <v>823</v>
      </c>
      <c r="BO84" s="1716">
        <v>21</v>
      </c>
      <c r="BP84" s="1705"/>
      <c r="BQ84" s="1702">
        <v>43672</v>
      </c>
      <c r="BR84" s="1711" t="s">
        <v>843</v>
      </c>
      <c r="BS84" s="1716">
        <v>18</v>
      </c>
      <c r="BT84" s="1710" t="s">
        <v>414</v>
      </c>
      <c r="BU84" s="1702"/>
      <c r="BV84" s="1711"/>
      <c r="BW84" s="1716"/>
      <c r="BX84" s="1710"/>
      <c r="BY84" s="1702"/>
      <c r="BZ84" s="1711"/>
      <c r="CA84" s="1716"/>
      <c r="CB84" s="1710"/>
      <c r="CC84" s="1702">
        <v>44765</v>
      </c>
      <c r="CD84" s="1711" t="s">
        <v>4236</v>
      </c>
      <c r="CE84" s="1716">
        <v>5</v>
      </c>
      <c r="CF84" s="1710" t="s">
        <v>278</v>
      </c>
      <c r="CG84" s="1702"/>
      <c r="CH84" s="1711"/>
      <c r="CI84" s="1716"/>
      <c r="CJ84" s="1788"/>
      <c r="CK84" s="1818"/>
      <c r="CL84" s="1711"/>
      <c r="CM84" s="1716"/>
      <c r="CN84" s="1819"/>
      <c r="CO84" s="1818"/>
      <c r="CP84" s="1711"/>
      <c r="CQ84" s="1716"/>
      <c r="CR84" s="1819"/>
    </row>
    <row r="85" spans="1:96" ht="13.5">
      <c r="A85" s="1776" t="s">
        <v>1672</v>
      </c>
      <c r="B85" s="1761"/>
      <c r="C85" s="1759"/>
      <c r="D85" s="1760"/>
      <c r="E85" s="1776" t="s">
        <v>1672</v>
      </c>
      <c r="F85" s="1761"/>
      <c r="G85" s="1759"/>
      <c r="H85" s="1760"/>
      <c r="I85" s="1757" t="s">
        <v>1672</v>
      </c>
      <c r="J85" s="1758"/>
      <c r="K85" s="1759"/>
      <c r="L85" s="1760"/>
      <c r="M85" s="1757" t="s">
        <v>1672</v>
      </c>
      <c r="N85" s="1758"/>
      <c r="O85" s="1759"/>
      <c r="P85" s="1760"/>
      <c r="Q85" s="1757" t="s">
        <v>1672</v>
      </c>
      <c r="R85" s="1758"/>
      <c r="S85" s="1759"/>
      <c r="T85" s="1760"/>
      <c r="U85" s="1757" t="s">
        <v>1672</v>
      </c>
      <c r="V85" s="1758"/>
      <c r="W85" s="1759"/>
      <c r="X85" s="1760"/>
      <c r="Y85" s="1757" t="s">
        <v>1672</v>
      </c>
      <c r="Z85" s="1758"/>
      <c r="AA85" s="1759"/>
      <c r="AB85" s="1760"/>
      <c r="AC85" s="1757" t="s">
        <v>1672</v>
      </c>
      <c r="AD85" s="1758"/>
      <c r="AE85" s="1759"/>
      <c r="AF85" s="1760"/>
      <c r="AG85" s="1757" t="s">
        <v>1672</v>
      </c>
      <c r="AH85" s="1758"/>
      <c r="AI85" s="1759"/>
      <c r="AJ85" s="1760"/>
      <c r="AK85" s="1757" t="s">
        <v>1672</v>
      </c>
      <c r="AL85" s="1758"/>
      <c r="AM85" s="1759"/>
      <c r="AN85" s="1760"/>
      <c r="AO85" s="1757" t="s">
        <v>1672</v>
      </c>
      <c r="AP85" s="1758"/>
      <c r="AQ85" s="1759"/>
      <c r="AR85" s="1760"/>
      <c r="AS85" s="1757" t="s">
        <v>1672</v>
      </c>
      <c r="AT85" s="1758"/>
      <c r="AU85" s="1759"/>
      <c r="AV85" s="1760"/>
      <c r="AW85" s="1702">
        <v>41850</v>
      </c>
      <c r="AX85" s="1703" t="s">
        <v>797</v>
      </c>
      <c r="AY85" s="1704">
        <v>57</v>
      </c>
      <c r="AZ85" s="1705"/>
      <c r="BA85" s="1702"/>
      <c r="BB85" s="1703"/>
      <c r="BC85" s="1704"/>
      <c r="BD85" s="1705"/>
      <c r="BE85" s="1702">
        <v>42574</v>
      </c>
      <c r="BF85" s="1711" t="s">
        <v>5841</v>
      </c>
      <c r="BG85" s="1716">
        <v>31</v>
      </c>
      <c r="BH85" s="1705"/>
      <c r="BI85" s="1702">
        <v>42942</v>
      </c>
      <c r="BJ85" s="1711" t="s">
        <v>823</v>
      </c>
      <c r="BK85" s="1716">
        <v>10</v>
      </c>
      <c r="BL85" s="1705"/>
      <c r="BM85" s="1702">
        <v>43309</v>
      </c>
      <c r="BN85" s="1711" t="s">
        <v>872</v>
      </c>
      <c r="BO85" s="1716">
        <v>30</v>
      </c>
      <c r="BP85" s="1705"/>
      <c r="BQ85" s="1702">
        <v>43672</v>
      </c>
      <c r="BR85" s="1711" t="s">
        <v>845</v>
      </c>
      <c r="BS85" s="1716">
        <v>31</v>
      </c>
      <c r="BT85" s="1710" t="s">
        <v>414</v>
      </c>
      <c r="BU85" s="1702"/>
      <c r="BV85" s="1711"/>
      <c r="BW85" s="1716"/>
      <c r="BX85" s="1710"/>
      <c r="BY85" s="1702"/>
      <c r="BZ85" s="1711"/>
      <c r="CA85" s="1716"/>
      <c r="CB85" s="1710"/>
      <c r="CC85" s="1702">
        <v>44765</v>
      </c>
      <c r="CD85" s="1711" t="s">
        <v>4574</v>
      </c>
      <c r="CE85" s="1716">
        <v>4</v>
      </c>
      <c r="CF85" s="1710" t="s">
        <v>278</v>
      </c>
      <c r="CG85" s="1702"/>
      <c r="CH85" s="1711"/>
      <c r="CI85" s="1716"/>
      <c r="CJ85" s="1788"/>
      <c r="CK85" s="1818"/>
      <c r="CL85" s="1711"/>
      <c r="CM85" s="1716"/>
      <c r="CN85" s="1819"/>
      <c r="CO85" s="1818"/>
      <c r="CP85" s="1711"/>
      <c r="CQ85" s="1716"/>
      <c r="CR85" s="1819"/>
    </row>
    <row r="86" spans="1:96" ht="13.5">
      <c r="A86" s="1762" t="s">
        <v>138</v>
      </c>
      <c r="B86" s="1763"/>
      <c r="C86" s="1777">
        <f>SUM(C84,D84)</f>
        <v>7426.87</v>
      </c>
      <c r="D86" s="1765"/>
      <c r="E86" s="1762" t="s">
        <v>138</v>
      </c>
      <c r="F86" s="1763"/>
      <c r="G86" s="1777">
        <f>SUM(G84,H84)</f>
        <v>5482</v>
      </c>
      <c r="H86" s="1765"/>
      <c r="I86" s="1762" t="s">
        <v>138</v>
      </c>
      <c r="J86" s="1763"/>
      <c r="K86" s="1764">
        <f>SUM(K84,L84)</f>
        <v>5374</v>
      </c>
      <c r="L86" s="1765"/>
      <c r="M86" s="1762" t="s">
        <v>138</v>
      </c>
      <c r="N86" s="1763"/>
      <c r="O86" s="1764">
        <f>SUM(O84,P84)</f>
        <v>1295</v>
      </c>
      <c r="P86" s="1765"/>
      <c r="Q86" s="1762" t="s">
        <v>138</v>
      </c>
      <c r="R86" s="1763"/>
      <c r="S86" s="1764">
        <f>SUM(S84,T84)</f>
        <v>1116</v>
      </c>
      <c r="T86" s="1765"/>
      <c r="U86" s="1762" t="s">
        <v>138</v>
      </c>
      <c r="V86" s="1763"/>
      <c r="W86" s="1764">
        <f>SUM(W84,X84)</f>
        <v>4688</v>
      </c>
      <c r="X86" s="1765"/>
      <c r="Y86" s="1762" t="s">
        <v>138</v>
      </c>
      <c r="Z86" s="1763"/>
      <c r="AA86" s="1764">
        <f>SUM(AA84,AB84)</f>
        <v>1606</v>
      </c>
      <c r="AB86" s="1765"/>
      <c r="AC86" s="1762" t="s">
        <v>138</v>
      </c>
      <c r="AD86" s="1763"/>
      <c r="AE86" s="1764">
        <f>SUM(AE84,AF84)</f>
        <v>1207</v>
      </c>
      <c r="AF86" s="1765"/>
      <c r="AG86" s="1762" t="s">
        <v>138</v>
      </c>
      <c r="AH86" s="1763"/>
      <c r="AI86" s="1764">
        <f>SUM(AI84,AJ84)</f>
        <v>1758</v>
      </c>
      <c r="AJ86" s="1765"/>
      <c r="AK86" s="1762" t="s">
        <v>138</v>
      </c>
      <c r="AL86" s="1763"/>
      <c r="AM86" s="1764">
        <f>SUM(AM84,AN84)</f>
        <v>1411</v>
      </c>
      <c r="AN86" s="1765"/>
      <c r="AO86" s="1762" t="s">
        <v>138</v>
      </c>
      <c r="AP86" s="1763"/>
      <c r="AQ86" s="1764">
        <f>SUM(AQ84,AR84)</f>
        <v>1620</v>
      </c>
      <c r="AR86" s="1765"/>
      <c r="AS86" s="1762" t="s">
        <v>138</v>
      </c>
      <c r="AT86" s="1763"/>
      <c r="AU86" s="1764">
        <f>SUM(AU84,AV84)</f>
        <v>2300</v>
      </c>
      <c r="AV86" s="1765"/>
      <c r="AW86" s="1702"/>
      <c r="AX86" s="1703"/>
      <c r="AY86" s="1704"/>
      <c r="AZ86" s="1705"/>
      <c r="BA86" s="1702"/>
      <c r="BB86" s="1703"/>
      <c r="BC86" s="1704"/>
      <c r="BD86" s="1705"/>
      <c r="BE86" s="1702">
        <v>42574</v>
      </c>
      <c r="BF86" s="1711" t="s">
        <v>1180</v>
      </c>
      <c r="BG86" s="1716">
        <v>35</v>
      </c>
      <c r="BH86" s="1705"/>
      <c r="BI86" s="1702">
        <v>42942</v>
      </c>
      <c r="BJ86" s="1711" t="s">
        <v>859</v>
      </c>
      <c r="BK86" s="1716">
        <v>22</v>
      </c>
      <c r="BL86" s="1705"/>
      <c r="BM86" s="1702">
        <v>43309</v>
      </c>
      <c r="BN86" s="1711" t="s">
        <v>5842</v>
      </c>
      <c r="BO86" s="1716">
        <v>29</v>
      </c>
      <c r="BP86" s="1705"/>
      <c r="BQ86" s="1702">
        <v>43672</v>
      </c>
      <c r="BR86" s="1711" t="s">
        <v>872</v>
      </c>
      <c r="BS86" s="1716">
        <v>13</v>
      </c>
      <c r="BT86" s="1710" t="s">
        <v>414</v>
      </c>
      <c r="BU86" s="1702"/>
      <c r="BV86" s="1711"/>
      <c r="BW86" s="1716"/>
      <c r="BX86" s="1710"/>
      <c r="BY86" s="1702"/>
      <c r="BZ86" s="1711"/>
      <c r="CA86" s="1716"/>
      <c r="CB86" s="1710"/>
      <c r="CC86" s="1702">
        <v>44765</v>
      </c>
      <c r="CD86" s="1711" t="s">
        <v>5843</v>
      </c>
      <c r="CE86" s="1716">
        <v>26</v>
      </c>
      <c r="CF86" s="1710" t="s">
        <v>278</v>
      </c>
      <c r="CG86" s="1702"/>
      <c r="CH86" s="1711"/>
      <c r="CI86" s="1716"/>
      <c r="CJ86" s="1788"/>
      <c r="CK86" s="1818"/>
      <c r="CL86" s="1711"/>
      <c r="CM86" s="1716"/>
      <c r="CN86" s="1819"/>
      <c r="CO86" s="1818"/>
      <c r="CP86" s="1711"/>
      <c r="CQ86" s="1716"/>
      <c r="CR86" s="1819"/>
    </row>
    <row r="87" spans="1:96" ht="13.5">
      <c r="A87" s="1683"/>
      <c r="B87" s="1683"/>
      <c r="C87" s="1683"/>
      <c r="D87" s="1683"/>
      <c r="E87" s="1683"/>
      <c r="F87" s="1683"/>
      <c r="G87" s="1683"/>
      <c r="H87" s="1683"/>
      <c r="I87" s="1683"/>
      <c r="J87" s="1683"/>
      <c r="K87" s="1683"/>
      <c r="L87" s="1683"/>
      <c r="M87" s="1683"/>
      <c r="N87" s="1683"/>
      <c r="O87" s="1683"/>
      <c r="P87" s="1683"/>
      <c r="Q87" s="1683"/>
      <c r="R87" s="1683"/>
      <c r="S87" s="1683"/>
      <c r="T87" s="1683"/>
      <c r="U87" s="1683"/>
      <c r="V87" s="1683"/>
      <c r="W87" s="1683"/>
      <c r="X87" s="1683"/>
      <c r="Y87" s="1683"/>
      <c r="Z87" s="1683"/>
      <c r="AA87" s="1683"/>
      <c r="AB87" s="1683"/>
      <c r="AC87" s="1683"/>
      <c r="AD87" s="1683"/>
      <c r="AE87" s="1683"/>
      <c r="AF87" s="1683"/>
      <c r="AG87" s="1683"/>
      <c r="AH87" s="1683"/>
      <c r="AI87" s="1683"/>
      <c r="AJ87" s="1683"/>
      <c r="AK87" s="1683"/>
      <c r="AL87" s="1683"/>
      <c r="AM87" s="1683"/>
      <c r="AN87" s="1683"/>
      <c r="AO87" s="1683"/>
      <c r="AP87" s="1683"/>
      <c r="AQ87" s="1683"/>
      <c r="AR87" s="1683"/>
      <c r="AS87" s="1683"/>
      <c r="AT87" s="1683"/>
      <c r="AU87" s="1683"/>
      <c r="AV87" s="1683"/>
      <c r="AW87" s="1753" t="s">
        <v>477</v>
      </c>
      <c r="AX87" s="1754"/>
      <c r="AY87" s="1755">
        <f>SUM(AY4:AY86)</f>
        <v>9046</v>
      </c>
      <c r="AZ87" s="1755">
        <f>SUM(AZ4:AZ86)</f>
        <v>0</v>
      </c>
      <c r="BA87" s="1753" t="s">
        <v>477</v>
      </c>
      <c r="BB87" s="1754"/>
      <c r="BC87" s="1755">
        <f>SUM(BC4:BC86)</f>
        <v>5424</v>
      </c>
      <c r="BD87" s="1755">
        <f>SUM(BD4:BD86)</f>
        <v>0</v>
      </c>
      <c r="BE87" s="1702">
        <v>42575</v>
      </c>
      <c r="BF87" s="1711" t="s">
        <v>5844</v>
      </c>
      <c r="BG87" s="1716">
        <v>3</v>
      </c>
      <c r="BH87" s="1705"/>
      <c r="BI87" s="1702">
        <v>42943</v>
      </c>
      <c r="BJ87" s="1711" t="s">
        <v>5845</v>
      </c>
      <c r="BK87" s="1716">
        <v>18</v>
      </c>
      <c r="BL87" s="1705"/>
      <c r="BM87" s="1702">
        <v>43309</v>
      </c>
      <c r="BN87" s="1711" t="s">
        <v>823</v>
      </c>
      <c r="BO87" s="1716">
        <v>6</v>
      </c>
      <c r="BP87" s="1705"/>
      <c r="BQ87" s="1702">
        <v>43673</v>
      </c>
      <c r="BR87" s="1711" t="s">
        <v>772</v>
      </c>
      <c r="BS87" s="1716">
        <v>46</v>
      </c>
      <c r="BT87" s="1710" t="s">
        <v>414</v>
      </c>
      <c r="BU87" s="1702"/>
      <c r="BV87" s="1711"/>
      <c r="BW87" s="1716"/>
      <c r="BX87" s="1710"/>
      <c r="BY87" s="1702"/>
      <c r="BZ87" s="1711"/>
      <c r="CA87" s="1716"/>
      <c r="CB87" s="1710"/>
      <c r="CC87" s="1702">
        <v>44765</v>
      </c>
      <c r="CD87" s="1711" t="s">
        <v>5846</v>
      </c>
      <c r="CE87" s="1716">
        <v>25</v>
      </c>
      <c r="CF87" s="1710" t="s">
        <v>278</v>
      </c>
      <c r="CG87" s="1702"/>
      <c r="CH87" s="1711"/>
      <c r="CI87" s="1716"/>
      <c r="CJ87" s="1788"/>
      <c r="CK87" s="1818"/>
      <c r="CL87" s="1711"/>
      <c r="CM87" s="1716"/>
      <c r="CN87" s="1819"/>
      <c r="CO87" s="1818"/>
      <c r="CP87" s="1711"/>
      <c r="CQ87" s="1716"/>
      <c r="CR87" s="1819"/>
    </row>
    <row r="88" spans="1:96" ht="13.5">
      <c r="A88" s="1683"/>
      <c r="B88" s="1683"/>
      <c r="C88" s="1683"/>
      <c r="D88" s="1683"/>
      <c r="E88" s="1683"/>
      <c r="F88" s="1683"/>
      <c r="G88" s="1683"/>
      <c r="H88" s="1683"/>
      <c r="I88" s="1683"/>
      <c r="J88" s="1683"/>
      <c r="K88" s="1683"/>
      <c r="L88" s="1683"/>
      <c r="M88" s="1683"/>
      <c r="N88" s="1683"/>
      <c r="O88" s="1683"/>
      <c r="P88" s="1683"/>
      <c r="Q88" s="1683"/>
      <c r="R88" s="1683"/>
      <c r="S88" s="1683"/>
      <c r="T88" s="1683"/>
      <c r="U88" s="1683"/>
      <c r="V88" s="1683"/>
      <c r="W88" s="1683"/>
      <c r="X88" s="1683"/>
      <c r="Y88" s="1683"/>
      <c r="Z88" s="1683"/>
      <c r="AA88" s="1683"/>
      <c r="AB88" s="1683"/>
      <c r="AC88" s="1683"/>
      <c r="AD88" s="1683"/>
      <c r="AE88" s="1683"/>
      <c r="AF88" s="1683"/>
      <c r="AG88" s="1683"/>
      <c r="AH88" s="1683"/>
      <c r="AI88" s="1683"/>
      <c r="AJ88" s="1683"/>
      <c r="AK88" s="1683"/>
      <c r="AL88" s="1683"/>
      <c r="AM88" s="1683"/>
      <c r="AN88" s="1683"/>
      <c r="AO88" s="1683"/>
      <c r="AP88" s="1683"/>
      <c r="AQ88" s="1683"/>
      <c r="AR88" s="1683"/>
      <c r="AS88" s="1683"/>
      <c r="AT88" s="1683"/>
      <c r="AU88" s="1683"/>
      <c r="AV88" s="1683"/>
      <c r="AW88" s="1757" t="s">
        <v>1672</v>
      </c>
      <c r="AX88" s="1758"/>
      <c r="AY88" s="1759"/>
      <c r="AZ88" s="1760"/>
      <c r="BA88" s="1757" t="s">
        <v>1672</v>
      </c>
      <c r="BB88" s="1758"/>
      <c r="BC88" s="1759"/>
      <c r="BD88" s="1760"/>
      <c r="BE88" s="1702">
        <v>42575</v>
      </c>
      <c r="BF88" s="1711" t="s">
        <v>5782</v>
      </c>
      <c r="BG88" s="1716">
        <v>13</v>
      </c>
      <c r="BH88" s="1705"/>
      <c r="BI88" s="1702">
        <v>42943</v>
      </c>
      <c r="BJ88" s="1711" t="s">
        <v>5847</v>
      </c>
      <c r="BK88" s="1716">
        <v>5</v>
      </c>
      <c r="BL88" s="1705"/>
      <c r="BM88" s="1702">
        <v>43309</v>
      </c>
      <c r="BN88" s="1711" t="s">
        <v>890</v>
      </c>
      <c r="BO88" s="1716">
        <v>16</v>
      </c>
      <c r="BP88" s="1705"/>
      <c r="BQ88" s="1702">
        <v>43673</v>
      </c>
      <c r="BR88" s="1711" t="s">
        <v>845</v>
      </c>
      <c r="BS88" s="1716">
        <v>11</v>
      </c>
      <c r="BT88" s="1710" t="s">
        <v>414</v>
      </c>
      <c r="BU88" s="1702"/>
      <c r="BV88" s="1711"/>
      <c r="BW88" s="1716"/>
      <c r="BX88" s="1710"/>
      <c r="BY88" s="1702"/>
      <c r="BZ88" s="1711"/>
      <c r="CA88" s="1716"/>
      <c r="CB88" s="1710"/>
      <c r="CC88" s="1702">
        <v>44766</v>
      </c>
      <c r="CD88" s="1711" t="s">
        <v>5848</v>
      </c>
      <c r="CE88" s="1716">
        <v>0</v>
      </c>
      <c r="CF88" s="1710" t="s">
        <v>700</v>
      </c>
      <c r="CG88" s="1702"/>
      <c r="CH88" s="1711"/>
      <c r="CI88" s="1716"/>
      <c r="CJ88" s="1788"/>
      <c r="CK88" s="1818"/>
      <c r="CL88" s="1711"/>
      <c r="CM88" s="1716"/>
      <c r="CN88" s="1819"/>
      <c r="CO88" s="1818"/>
      <c r="CP88" s="1711"/>
      <c r="CQ88" s="1716"/>
      <c r="CR88" s="1819"/>
    </row>
    <row r="89" spans="1:96" ht="13.5">
      <c r="A89" s="1683"/>
      <c r="B89" s="1683"/>
      <c r="C89" s="1683"/>
      <c r="D89" s="1683"/>
      <c r="E89" s="1683"/>
      <c r="F89" s="1683"/>
      <c r="G89" s="1683"/>
      <c r="H89" s="1683"/>
      <c r="I89" s="1683"/>
      <c r="J89" s="1683"/>
      <c r="K89" s="1683"/>
      <c r="L89" s="1683"/>
      <c r="M89" s="1683"/>
      <c r="N89" s="1683"/>
      <c r="O89" s="1683"/>
      <c r="P89" s="1683"/>
      <c r="Q89" s="1683"/>
      <c r="R89" s="1683"/>
      <c r="S89" s="1683"/>
      <c r="T89" s="1683"/>
      <c r="U89" s="1683"/>
      <c r="V89" s="1683"/>
      <c r="W89" s="1683"/>
      <c r="X89" s="1683"/>
      <c r="Y89" s="1683"/>
      <c r="Z89" s="1683"/>
      <c r="AA89" s="1683"/>
      <c r="AB89" s="1683"/>
      <c r="AC89" s="1683"/>
      <c r="AD89" s="1683"/>
      <c r="AE89" s="1683"/>
      <c r="AF89" s="1683"/>
      <c r="AG89" s="1683"/>
      <c r="AH89" s="1683"/>
      <c r="AI89" s="1683"/>
      <c r="AJ89" s="1683"/>
      <c r="AK89" s="1683"/>
      <c r="AL89" s="1683"/>
      <c r="AM89" s="1683"/>
      <c r="AN89" s="1683"/>
      <c r="AO89" s="1683"/>
      <c r="AP89" s="1683"/>
      <c r="AQ89" s="1683"/>
      <c r="AR89" s="1683"/>
      <c r="AS89" s="1683"/>
      <c r="AT89" s="1683"/>
      <c r="AU89" s="1683"/>
      <c r="AV89" s="1683"/>
      <c r="AW89" s="1762" t="s">
        <v>138</v>
      </c>
      <c r="AX89" s="1763"/>
      <c r="AY89" s="1764">
        <f>SUM(AY87,AZ87)</f>
        <v>9046</v>
      </c>
      <c r="AZ89" s="1765"/>
      <c r="BA89" s="1762" t="s">
        <v>138</v>
      </c>
      <c r="BB89" s="1763"/>
      <c r="BC89" s="1764">
        <f>SUM(BC87,BD87)</f>
        <v>5424</v>
      </c>
      <c r="BD89" s="1765"/>
      <c r="BE89" s="1702">
        <v>42575</v>
      </c>
      <c r="BF89" s="1711" t="s">
        <v>823</v>
      </c>
      <c r="BG89" s="1716">
        <v>33</v>
      </c>
      <c r="BH89" s="1705"/>
      <c r="BI89" s="1702">
        <v>42943</v>
      </c>
      <c r="BJ89" s="1711" t="s">
        <v>5849</v>
      </c>
      <c r="BK89" s="1716">
        <v>120</v>
      </c>
      <c r="BL89" s="1705"/>
      <c r="BM89" s="1702">
        <v>43309</v>
      </c>
      <c r="BN89" s="1711" t="s">
        <v>2533</v>
      </c>
      <c r="BO89" s="1716">
        <v>10</v>
      </c>
      <c r="BP89" s="1705"/>
      <c r="BQ89" s="1702">
        <v>43674</v>
      </c>
      <c r="BR89" s="1711" t="s">
        <v>5850</v>
      </c>
      <c r="BS89" s="1716">
        <v>16</v>
      </c>
      <c r="BT89" s="1710" t="s">
        <v>702</v>
      </c>
      <c r="BU89" s="1702"/>
      <c r="BV89" s="1711"/>
      <c r="BW89" s="1716"/>
      <c r="BX89" s="1710"/>
      <c r="BY89" s="1702"/>
      <c r="BZ89" s="1711"/>
      <c r="CA89" s="1716"/>
      <c r="CB89" s="1710"/>
      <c r="CC89" s="1702">
        <v>44766</v>
      </c>
      <c r="CD89" s="1711" t="s">
        <v>5851</v>
      </c>
      <c r="CE89" s="1716">
        <v>0</v>
      </c>
      <c r="CF89" s="1710" t="s">
        <v>700</v>
      </c>
      <c r="CG89" s="1702"/>
      <c r="CH89" s="1711"/>
      <c r="CI89" s="1716"/>
      <c r="CJ89" s="1788"/>
      <c r="CK89" s="1818"/>
      <c r="CL89" s="1711"/>
      <c r="CM89" s="1716"/>
      <c r="CN89" s="1819"/>
      <c r="CO89" s="1818"/>
      <c r="CP89" s="1711"/>
      <c r="CQ89" s="1716"/>
      <c r="CR89" s="1819"/>
    </row>
    <row r="90" spans="1:96" ht="13.5">
      <c r="A90" s="1683"/>
      <c r="B90" s="1683"/>
      <c r="C90" s="1683"/>
      <c r="D90" s="1683"/>
      <c r="E90" s="1683"/>
      <c r="F90" s="1683"/>
      <c r="G90" s="1683"/>
      <c r="H90" s="1683"/>
      <c r="I90" s="1683"/>
      <c r="J90" s="1683"/>
      <c r="K90" s="1683"/>
      <c r="L90" s="1683"/>
      <c r="M90" s="1683"/>
      <c r="N90" s="1683"/>
      <c r="O90" s="1683"/>
      <c r="P90" s="1683"/>
      <c r="Q90" s="1683"/>
      <c r="R90" s="1683"/>
      <c r="S90" s="1683"/>
      <c r="T90" s="1683"/>
      <c r="U90" s="1683"/>
      <c r="V90" s="1683"/>
      <c r="W90" s="1683"/>
      <c r="X90" s="1683"/>
      <c r="Y90" s="1683"/>
      <c r="Z90" s="1683"/>
      <c r="AA90" s="1683"/>
      <c r="AB90" s="1683"/>
      <c r="AC90" s="1683"/>
      <c r="AD90" s="1683"/>
      <c r="AE90" s="1683"/>
      <c r="AF90" s="1683"/>
      <c r="AG90" s="1683"/>
      <c r="AH90" s="1683"/>
      <c r="AI90" s="1683"/>
      <c r="AJ90" s="1683"/>
      <c r="AK90" s="1683"/>
      <c r="AL90" s="1683"/>
      <c r="AM90" s="1683"/>
      <c r="AN90" s="1683"/>
      <c r="AO90" s="1683"/>
      <c r="AP90" s="1683"/>
      <c r="AQ90" s="1683"/>
      <c r="AR90" s="1683"/>
      <c r="AS90" s="1683"/>
      <c r="AT90" s="1683"/>
      <c r="AU90" s="1683"/>
      <c r="AV90" s="1683"/>
      <c r="AW90" s="1683"/>
      <c r="AX90" s="1683"/>
      <c r="AY90" s="1683"/>
      <c r="AZ90" s="1683"/>
      <c r="BA90" s="1683"/>
      <c r="BB90" s="1683"/>
      <c r="BC90" s="1683"/>
      <c r="BD90" s="1683"/>
      <c r="BE90" s="1702">
        <v>42575</v>
      </c>
      <c r="BF90" s="1711" t="s">
        <v>5852</v>
      </c>
      <c r="BG90" s="1716">
        <v>9</v>
      </c>
      <c r="BH90" s="1705"/>
      <c r="BI90" s="1702">
        <v>42944</v>
      </c>
      <c r="BJ90" s="1711" t="s">
        <v>890</v>
      </c>
      <c r="BK90" s="1716">
        <v>11</v>
      </c>
      <c r="BL90" s="1705"/>
      <c r="BM90" s="1702">
        <v>43310</v>
      </c>
      <c r="BN90" s="1711" t="s">
        <v>873</v>
      </c>
      <c r="BO90" s="1716">
        <v>46</v>
      </c>
      <c r="BP90" s="1705"/>
      <c r="BQ90" s="1702">
        <v>43674</v>
      </c>
      <c r="BR90" s="1711" t="s">
        <v>5853</v>
      </c>
      <c r="BS90" s="1716">
        <v>40</v>
      </c>
      <c r="BT90" s="1710" t="s">
        <v>700</v>
      </c>
      <c r="BU90" s="1702"/>
      <c r="BV90" s="1711"/>
      <c r="BW90" s="1716"/>
      <c r="BX90" s="1710"/>
      <c r="BY90" s="1702"/>
      <c r="BZ90" s="1711"/>
      <c r="CA90" s="1716"/>
      <c r="CB90" s="1710"/>
      <c r="CC90" s="1702">
        <v>44766</v>
      </c>
      <c r="CD90" s="1711" t="s">
        <v>5854</v>
      </c>
      <c r="CE90" s="1716">
        <v>9</v>
      </c>
      <c r="CF90" s="1710" t="s">
        <v>280</v>
      </c>
      <c r="CG90" s="1702"/>
      <c r="CH90" s="1711"/>
      <c r="CI90" s="1716"/>
      <c r="CJ90" s="1788"/>
      <c r="CK90" s="1818"/>
      <c r="CL90" s="1711"/>
      <c r="CM90" s="1716"/>
      <c r="CN90" s="1819"/>
      <c r="CO90" s="1818"/>
      <c r="CP90" s="1711"/>
      <c r="CQ90" s="1716"/>
      <c r="CR90" s="1819"/>
    </row>
    <row r="91" spans="1:96" ht="13.5">
      <c r="A91" s="1683"/>
      <c r="B91" s="1683"/>
      <c r="C91" s="1683"/>
      <c r="D91" s="1683"/>
      <c r="E91" s="1683"/>
      <c r="F91" s="1683"/>
      <c r="G91" s="1683"/>
      <c r="H91" s="1683"/>
      <c r="I91" s="1683"/>
      <c r="J91" s="1683"/>
      <c r="K91" s="1683"/>
      <c r="L91" s="1683"/>
      <c r="M91" s="1683"/>
      <c r="N91" s="1683"/>
      <c r="O91" s="1683"/>
      <c r="P91" s="1683"/>
      <c r="Q91" s="1683"/>
      <c r="R91" s="1683"/>
      <c r="S91" s="1683"/>
      <c r="T91" s="1683"/>
      <c r="U91" s="1683"/>
      <c r="V91" s="1683"/>
      <c r="W91" s="1683"/>
      <c r="X91" s="1683"/>
      <c r="Y91" s="1683"/>
      <c r="Z91" s="1683"/>
      <c r="AA91" s="1683"/>
      <c r="AB91" s="1683"/>
      <c r="AC91" s="1683"/>
      <c r="AD91" s="1683"/>
      <c r="AE91" s="1683"/>
      <c r="AF91" s="1683"/>
      <c r="AG91" s="1683"/>
      <c r="AH91" s="1683"/>
      <c r="AI91" s="1683"/>
      <c r="AJ91" s="1683"/>
      <c r="AK91" s="1683"/>
      <c r="AL91" s="1683"/>
      <c r="AM91" s="1683"/>
      <c r="AN91" s="1683"/>
      <c r="AO91" s="1683"/>
      <c r="AP91" s="1683"/>
      <c r="AQ91" s="1683"/>
      <c r="AR91" s="1683"/>
      <c r="AS91" s="1683"/>
      <c r="AT91" s="1683"/>
      <c r="AU91" s="1683"/>
      <c r="AV91" s="1683"/>
      <c r="AW91" s="1683"/>
      <c r="AX91" s="1683"/>
      <c r="AY91" s="1683"/>
      <c r="AZ91" s="1683"/>
      <c r="BA91" s="1683"/>
      <c r="BB91" s="1683"/>
      <c r="BC91" s="1683"/>
      <c r="BD91" s="1683"/>
      <c r="BE91" s="1702">
        <v>42575</v>
      </c>
      <c r="BF91" s="1711" t="s">
        <v>5798</v>
      </c>
      <c r="BG91" s="1716">
        <v>4</v>
      </c>
      <c r="BH91" s="1705"/>
      <c r="BI91" s="1702">
        <v>42945</v>
      </c>
      <c r="BJ91" s="1711" t="s">
        <v>5855</v>
      </c>
      <c r="BK91" s="1716"/>
      <c r="BL91" s="1705"/>
      <c r="BM91" s="1702">
        <v>43310</v>
      </c>
      <c r="BN91" s="1711" t="s">
        <v>1427</v>
      </c>
      <c r="BO91" s="1716">
        <v>11</v>
      </c>
      <c r="BP91" s="1705"/>
      <c r="BQ91" s="1702">
        <v>43674</v>
      </c>
      <c r="BR91" s="1711" t="s">
        <v>5856</v>
      </c>
      <c r="BS91" s="1716">
        <v>38</v>
      </c>
      <c r="BT91" s="1710" t="s">
        <v>280</v>
      </c>
      <c r="BU91" s="1702"/>
      <c r="BV91" s="1711"/>
      <c r="BW91" s="1716"/>
      <c r="BX91" s="1710"/>
      <c r="BY91" s="1702"/>
      <c r="BZ91" s="1711"/>
      <c r="CA91" s="1716"/>
      <c r="CB91" s="1710"/>
      <c r="CC91" s="1702">
        <v>44766</v>
      </c>
      <c r="CD91" s="1711" t="s">
        <v>5857</v>
      </c>
      <c r="CE91" s="1716">
        <v>12</v>
      </c>
      <c r="CF91" s="1710" t="s">
        <v>280</v>
      </c>
      <c r="CG91" s="1702"/>
      <c r="CH91" s="1711"/>
      <c r="CI91" s="1716"/>
      <c r="CJ91" s="1788"/>
      <c r="CK91" s="1818"/>
      <c r="CL91" s="1711"/>
      <c r="CM91" s="1716"/>
      <c r="CN91" s="1819"/>
      <c r="CO91" s="1818"/>
      <c r="CP91" s="1711"/>
      <c r="CQ91" s="1716"/>
      <c r="CR91" s="1819"/>
    </row>
    <row r="92" spans="1:96" ht="13.5">
      <c r="A92" s="1683"/>
      <c r="B92" s="1683"/>
      <c r="C92" s="1683"/>
      <c r="D92" s="1683"/>
      <c r="E92" s="1683"/>
      <c r="F92" s="1683"/>
      <c r="G92" s="1683"/>
      <c r="H92" s="1683"/>
      <c r="I92" s="1683"/>
      <c r="J92" s="1683"/>
      <c r="K92" s="1683"/>
      <c r="L92" s="1683"/>
      <c r="M92" s="1683"/>
      <c r="N92" s="1683"/>
      <c r="O92" s="1683"/>
      <c r="P92" s="1683"/>
      <c r="Q92" s="1683"/>
      <c r="R92" s="1683"/>
      <c r="S92" s="1683"/>
      <c r="T92" s="1683"/>
      <c r="U92" s="1683"/>
      <c r="V92" s="1683"/>
      <c r="W92" s="1683"/>
      <c r="X92" s="1683"/>
      <c r="Y92" s="1683"/>
      <c r="Z92" s="1683"/>
      <c r="AA92" s="1683"/>
      <c r="AB92" s="1683"/>
      <c r="AC92" s="1683"/>
      <c r="AD92" s="1683"/>
      <c r="AE92" s="1683"/>
      <c r="AF92" s="1683"/>
      <c r="AG92" s="1683"/>
      <c r="AH92" s="1683"/>
      <c r="AI92" s="1683"/>
      <c r="AJ92" s="1683"/>
      <c r="AK92" s="1683"/>
      <c r="AL92" s="1683"/>
      <c r="AM92" s="1683"/>
      <c r="AN92" s="1683"/>
      <c r="AO92" s="1683"/>
      <c r="AP92" s="1683"/>
      <c r="AQ92" s="1683"/>
      <c r="AR92" s="1683"/>
      <c r="AS92" s="1683"/>
      <c r="AT92" s="1683"/>
      <c r="AU92" s="1683"/>
      <c r="AV92" s="1683"/>
      <c r="AW92" s="1683"/>
      <c r="AX92" s="1683"/>
      <c r="AY92" s="1683"/>
      <c r="AZ92" s="1683"/>
      <c r="BA92" s="1683"/>
      <c r="BB92" s="1683"/>
      <c r="BC92" s="1683"/>
      <c r="BD92" s="1683"/>
      <c r="BE92" s="1702">
        <v>42580</v>
      </c>
      <c r="BF92" s="1711" t="s">
        <v>3586</v>
      </c>
      <c r="BG92" s="1716">
        <v>13</v>
      </c>
      <c r="BH92" s="1705"/>
      <c r="BI92" s="1702">
        <v>42945</v>
      </c>
      <c r="BJ92" s="1711" t="s">
        <v>5858</v>
      </c>
      <c r="BK92" s="1716">
        <v>31</v>
      </c>
      <c r="BL92" s="1705"/>
      <c r="BM92" s="1702">
        <v>43310</v>
      </c>
      <c r="BN92" s="1711" t="s">
        <v>859</v>
      </c>
      <c r="BO92" s="1716">
        <v>8</v>
      </c>
      <c r="BP92" s="1705"/>
      <c r="BQ92" s="1702">
        <v>43674</v>
      </c>
      <c r="BR92" s="1711" t="s">
        <v>5859</v>
      </c>
      <c r="BS92" s="1716">
        <v>25</v>
      </c>
      <c r="BT92" s="1710" t="s">
        <v>280</v>
      </c>
      <c r="BU92" s="1702"/>
      <c r="BV92" s="1711"/>
      <c r="BW92" s="1716"/>
      <c r="BX92" s="1710"/>
      <c r="BY92" s="1702"/>
      <c r="BZ92" s="1711"/>
      <c r="CA92" s="1716"/>
      <c r="CB92" s="1710"/>
      <c r="CC92" s="1702">
        <v>44766</v>
      </c>
      <c r="CD92" s="1711" t="s">
        <v>5860</v>
      </c>
      <c r="CE92" s="1716">
        <v>17</v>
      </c>
      <c r="CF92" s="1710" t="s">
        <v>700</v>
      </c>
      <c r="CG92" s="1702"/>
      <c r="CH92" s="1711"/>
      <c r="CI92" s="1716"/>
      <c r="CJ92" s="1788"/>
      <c r="CK92" s="1818"/>
      <c r="CL92" s="1711"/>
      <c r="CM92" s="1716"/>
      <c r="CN92" s="1819"/>
      <c r="CO92" s="1818"/>
      <c r="CP92" s="1711"/>
      <c r="CQ92" s="1716"/>
      <c r="CR92" s="1819"/>
    </row>
    <row r="93" spans="1:96" ht="13.5">
      <c r="A93" s="1683"/>
      <c r="B93" s="1683"/>
      <c r="C93" s="1683"/>
      <c r="D93" s="1683"/>
      <c r="E93" s="1683"/>
      <c r="F93" s="1683"/>
      <c r="G93" s="1683"/>
      <c r="H93" s="1683"/>
      <c r="I93" s="1683"/>
      <c r="J93" s="1683"/>
      <c r="K93" s="1683"/>
      <c r="L93" s="1683"/>
      <c r="M93" s="1683"/>
      <c r="N93" s="1683"/>
      <c r="O93" s="1683"/>
      <c r="P93" s="1683"/>
      <c r="Q93" s="1683"/>
      <c r="R93" s="1683"/>
      <c r="S93" s="1683"/>
      <c r="T93" s="1683"/>
      <c r="U93" s="1683"/>
      <c r="V93" s="1683"/>
      <c r="W93" s="1683"/>
      <c r="X93" s="1683"/>
      <c r="Y93" s="1683"/>
      <c r="Z93" s="1683"/>
      <c r="AA93" s="1683"/>
      <c r="AB93" s="1683"/>
      <c r="AC93" s="1683"/>
      <c r="AD93" s="1683"/>
      <c r="AE93" s="1683"/>
      <c r="AF93" s="1683"/>
      <c r="AG93" s="1683"/>
      <c r="AH93" s="1683"/>
      <c r="AI93" s="1683"/>
      <c r="AJ93" s="1683"/>
      <c r="AK93" s="1683"/>
      <c r="AL93" s="1683"/>
      <c r="AM93" s="1683"/>
      <c r="AN93" s="1683"/>
      <c r="AO93" s="1683"/>
      <c r="AP93" s="1683"/>
      <c r="AQ93" s="1683"/>
      <c r="AR93" s="1683"/>
      <c r="AS93" s="1683"/>
      <c r="AT93" s="1683"/>
      <c r="AU93" s="1683"/>
      <c r="AV93" s="1683"/>
      <c r="AW93" s="1683"/>
      <c r="AX93" s="1683"/>
      <c r="AY93" s="1683"/>
      <c r="AZ93" s="1683"/>
      <c r="BA93" s="1683"/>
      <c r="BB93" s="1683"/>
      <c r="BC93" s="1683"/>
      <c r="BD93" s="1683"/>
      <c r="BE93" s="1702">
        <v>42580</v>
      </c>
      <c r="BF93" s="1711" t="s">
        <v>5861</v>
      </c>
      <c r="BG93" s="1716">
        <v>13</v>
      </c>
      <c r="BH93" s="1705"/>
      <c r="BI93" s="1702">
        <v>42945</v>
      </c>
      <c r="BJ93" s="1711" t="s">
        <v>5862</v>
      </c>
      <c r="BK93" s="1716">
        <v>16</v>
      </c>
      <c r="BL93" s="1705"/>
      <c r="BM93" s="1702">
        <v>43310</v>
      </c>
      <c r="BN93" s="1711" t="s">
        <v>1180</v>
      </c>
      <c r="BO93" s="1716">
        <v>46</v>
      </c>
      <c r="BP93" s="1705"/>
      <c r="BQ93" s="1702">
        <v>43676</v>
      </c>
      <c r="BR93" s="1711" t="s">
        <v>772</v>
      </c>
      <c r="BS93" s="1716">
        <v>8</v>
      </c>
      <c r="BT93" s="1710" t="s">
        <v>414</v>
      </c>
      <c r="BU93" s="1702"/>
      <c r="BV93" s="1711"/>
      <c r="BW93" s="1716"/>
      <c r="BX93" s="1710"/>
      <c r="BY93" s="1702"/>
      <c r="BZ93" s="1711"/>
      <c r="CA93" s="1716"/>
      <c r="CB93" s="1710"/>
      <c r="CC93" s="1702">
        <v>44772</v>
      </c>
      <c r="CD93" s="1711" t="s">
        <v>5863</v>
      </c>
      <c r="CE93" s="1716">
        <v>0</v>
      </c>
      <c r="CF93" s="1710" t="s">
        <v>700</v>
      </c>
      <c r="CG93" s="1702"/>
      <c r="CH93" s="1711"/>
      <c r="CI93" s="1716"/>
      <c r="CJ93" s="1788"/>
      <c r="CK93" s="1818"/>
      <c r="CL93" s="1711"/>
      <c r="CM93" s="1716"/>
      <c r="CN93" s="1819"/>
      <c r="CO93" s="1818"/>
      <c r="CP93" s="1711"/>
      <c r="CQ93" s="1716"/>
      <c r="CR93" s="1819"/>
    </row>
    <row r="94" spans="1:96" ht="13.5">
      <c r="A94" s="1683"/>
      <c r="B94" s="1683"/>
      <c r="C94" s="1683"/>
      <c r="D94" s="1683"/>
      <c r="E94" s="1683"/>
      <c r="F94" s="1683"/>
      <c r="G94" s="1683"/>
      <c r="H94" s="1683"/>
      <c r="I94" s="1683"/>
      <c r="J94" s="1683"/>
      <c r="K94" s="1683"/>
      <c r="L94" s="1683"/>
      <c r="M94" s="1683"/>
      <c r="N94" s="1683"/>
      <c r="O94" s="1683"/>
      <c r="P94" s="1683"/>
      <c r="Q94" s="1683"/>
      <c r="R94" s="1683"/>
      <c r="S94" s="1683"/>
      <c r="T94" s="1683"/>
      <c r="U94" s="1683"/>
      <c r="V94" s="1683"/>
      <c r="W94" s="1683"/>
      <c r="X94" s="1683"/>
      <c r="Y94" s="1683"/>
      <c r="Z94" s="1683"/>
      <c r="AA94" s="1683"/>
      <c r="AB94" s="1683"/>
      <c r="AC94" s="1683"/>
      <c r="AD94" s="1683"/>
      <c r="AE94" s="1683"/>
      <c r="AF94" s="1683"/>
      <c r="AG94" s="1683"/>
      <c r="AH94" s="1683"/>
      <c r="AI94" s="1683"/>
      <c r="AJ94" s="1683"/>
      <c r="AK94" s="1683"/>
      <c r="AL94" s="1683"/>
      <c r="AM94" s="1683"/>
      <c r="AN94" s="1683"/>
      <c r="AO94" s="1683"/>
      <c r="AP94" s="1683"/>
      <c r="AQ94" s="1683"/>
      <c r="AR94" s="1683"/>
      <c r="AS94" s="1683"/>
      <c r="AT94" s="1683"/>
      <c r="AU94" s="1683"/>
      <c r="AV94" s="1683"/>
      <c r="AW94" s="1683"/>
      <c r="AX94" s="1683"/>
      <c r="AY94" s="1683"/>
      <c r="AZ94" s="1683"/>
      <c r="BA94" s="1683"/>
      <c r="BB94" s="1683"/>
      <c r="BC94" s="1683"/>
      <c r="BD94" s="1683"/>
      <c r="BE94" s="1702">
        <v>42581</v>
      </c>
      <c r="BF94" s="1711" t="s">
        <v>5864</v>
      </c>
      <c r="BG94" s="1716">
        <v>15</v>
      </c>
      <c r="BH94" s="1705"/>
      <c r="BI94" s="1702">
        <v>42945</v>
      </c>
      <c r="BJ94" s="1711" t="s">
        <v>5865</v>
      </c>
      <c r="BK94" s="1716">
        <v>11</v>
      </c>
      <c r="BL94" s="1705"/>
      <c r="BM94" s="1702">
        <v>43310</v>
      </c>
      <c r="BN94" s="1711" t="s">
        <v>5866</v>
      </c>
      <c r="BO94" s="1716">
        <v>38</v>
      </c>
      <c r="BP94" s="1705"/>
      <c r="BQ94" s="1702">
        <v>43676</v>
      </c>
      <c r="BR94" s="1711" t="s">
        <v>948</v>
      </c>
      <c r="BS94" s="1716">
        <v>9</v>
      </c>
      <c r="BT94" s="1710" t="s">
        <v>414</v>
      </c>
      <c r="BU94" s="1702"/>
      <c r="BV94" s="1711"/>
      <c r="BW94" s="1747"/>
      <c r="BX94" s="1710"/>
      <c r="BY94" s="1702"/>
      <c r="BZ94" s="1711"/>
      <c r="CA94" s="1716"/>
      <c r="CB94" s="1710"/>
      <c r="CC94" s="1702">
        <v>44772</v>
      </c>
      <c r="CD94" s="1711" t="s">
        <v>5867</v>
      </c>
      <c r="CE94" s="1747">
        <v>125</v>
      </c>
      <c r="CF94" s="1710" t="s">
        <v>700</v>
      </c>
      <c r="CG94" s="1702"/>
      <c r="CH94" s="1711"/>
      <c r="CI94" s="1716"/>
      <c r="CJ94" s="1788"/>
      <c r="CK94" s="1818"/>
      <c r="CL94" s="1711"/>
      <c r="CM94" s="1716"/>
      <c r="CN94" s="1819"/>
      <c r="CO94" s="1818"/>
      <c r="CP94" s="1711"/>
      <c r="CQ94" s="1716"/>
      <c r="CR94" s="1819"/>
    </row>
    <row r="95" spans="1:96" ht="13.5">
      <c r="A95" s="1683"/>
      <c r="B95" s="1683"/>
      <c r="C95" s="1683"/>
      <c r="D95" s="1683"/>
      <c r="E95" s="1683"/>
      <c r="F95" s="1683"/>
      <c r="G95" s="1683"/>
      <c r="H95" s="1683"/>
      <c r="I95" s="1683"/>
      <c r="J95" s="1683"/>
      <c r="K95" s="1683"/>
      <c r="L95" s="1683"/>
      <c r="M95" s="1683"/>
      <c r="N95" s="1683"/>
      <c r="O95" s="1683"/>
      <c r="P95" s="1683"/>
      <c r="Q95" s="1683"/>
      <c r="R95" s="1683"/>
      <c r="S95" s="1683"/>
      <c r="T95" s="1683"/>
      <c r="U95" s="1683"/>
      <c r="V95" s="1683"/>
      <c r="W95" s="1683"/>
      <c r="X95" s="1683"/>
      <c r="Y95" s="1683"/>
      <c r="Z95" s="1683"/>
      <c r="AA95" s="1683"/>
      <c r="AB95" s="1683"/>
      <c r="AC95" s="1683"/>
      <c r="AD95" s="1683"/>
      <c r="AE95" s="1683"/>
      <c r="AF95" s="1683"/>
      <c r="AG95" s="1683"/>
      <c r="AH95" s="1683"/>
      <c r="AI95" s="1683"/>
      <c r="AJ95" s="1683"/>
      <c r="AK95" s="1683"/>
      <c r="AL95" s="1683"/>
      <c r="AM95" s="1683"/>
      <c r="AN95" s="1683"/>
      <c r="AO95" s="1683"/>
      <c r="AP95" s="1683"/>
      <c r="AQ95" s="1683"/>
      <c r="AR95" s="1683"/>
      <c r="AS95" s="1683"/>
      <c r="AT95" s="1683"/>
      <c r="AU95" s="1683"/>
      <c r="AV95" s="1683"/>
      <c r="AW95" s="1683"/>
      <c r="AX95" s="1683"/>
      <c r="AY95" s="1683"/>
      <c r="AZ95" s="1683"/>
      <c r="BA95" s="1683"/>
      <c r="BB95" s="1683"/>
      <c r="BC95" s="1683"/>
      <c r="BD95" s="1683"/>
      <c r="BE95" s="1702">
        <v>42581</v>
      </c>
      <c r="BF95" s="1711" t="s">
        <v>823</v>
      </c>
      <c r="BG95" s="1716">
        <v>46</v>
      </c>
      <c r="BH95" s="1705"/>
      <c r="BI95" s="1702">
        <v>42945</v>
      </c>
      <c r="BJ95" s="1711" t="s">
        <v>5868</v>
      </c>
      <c r="BK95" s="1716">
        <v>21</v>
      </c>
      <c r="BL95" s="1705"/>
      <c r="BM95" s="1702">
        <v>43311</v>
      </c>
      <c r="BN95" s="1711" t="s">
        <v>5869</v>
      </c>
      <c r="BO95" s="1716">
        <v>11</v>
      </c>
      <c r="BP95" s="1705"/>
      <c r="BQ95" s="1702">
        <v>43676</v>
      </c>
      <c r="BR95" s="1711" t="s">
        <v>5870</v>
      </c>
      <c r="BS95" s="1716">
        <v>120</v>
      </c>
      <c r="BT95" s="1710" t="s">
        <v>381</v>
      </c>
      <c r="BU95" s="1702"/>
      <c r="BV95" s="1711"/>
      <c r="BW95" s="1716"/>
      <c r="BX95" s="1710"/>
      <c r="BY95" s="1702"/>
      <c r="BZ95" s="1711"/>
      <c r="CA95" s="1747"/>
      <c r="CB95" s="1710"/>
      <c r="CC95" s="1702">
        <v>44772</v>
      </c>
      <c r="CD95" s="1711" t="s">
        <v>5871</v>
      </c>
      <c r="CE95" s="1716">
        <v>0</v>
      </c>
      <c r="CF95" s="1710" t="s">
        <v>700</v>
      </c>
      <c r="CG95" s="1702"/>
      <c r="CH95" s="1711"/>
      <c r="CI95" s="1716"/>
      <c r="CJ95" s="1788"/>
      <c r="CK95" s="1818"/>
      <c r="CL95" s="1711"/>
      <c r="CM95" s="1716"/>
      <c r="CN95" s="1819"/>
      <c r="CO95" s="1818"/>
      <c r="CP95" s="1711"/>
      <c r="CQ95" s="1716"/>
      <c r="CR95" s="1819"/>
    </row>
    <row r="96" spans="1:96" ht="13.5">
      <c r="A96" s="1683"/>
      <c r="B96" s="1683"/>
      <c r="C96" s="1683"/>
      <c r="D96" s="1683"/>
      <c r="E96" s="1683"/>
      <c r="F96" s="1683"/>
      <c r="G96" s="1683"/>
      <c r="H96" s="1683"/>
      <c r="I96" s="1683"/>
      <c r="J96" s="1683"/>
      <c r="K96" s="1683"/>
      <c r="L96" s="1683"/>
      <c r="M96" s="1683"/>
      <c r="N96" s="1683"/>
      <c r="O96" s="1683"/>
      <c r="P96" s="1683"/>
      <c r="Q96" s="1683"/>
      <c r="R96" s="1683"/>
      <c r="S96" s="1683"/>
      <c r="T96" s="1683"/>
      <c r="U96" s="1683"/>
      <c r="V96" s="1683"/>
      <c r="W96" s="1683"/>
      <c r="X96" s="1683"/>
      <c r="Y96" s="1683"/>
      <c r="Z96" s="1683"/>
      <c r="AA96" s="1683"/>
      <c r="AB96" s="1683"/>
      <c r="AC96" s="1683"/>
      <c r="AD96" s="1683"/>
      <c r="AE96" s="1683"/>
      <c r="AF96" s="1683"/>
      <c r="AG96" s="1683"/>
      <c r="AH96" s="1683"/>
      <c r="AI96" s="1683"/>
      <c r="AJ96" s="1683"/>
      <c r="AK96" s="1683"/>
      <c r="AL96" s="1683"/>
      <c r="AM96" s="1683"/>
      <c r="AN96" s="1683"/>
      <c r="AO96" s="1683"/>
      <c r="AP96" s="1683"/>
      <c r="AQ96" s="1683"/>
      <c r="AR96" s="1683"/>
      <c r="AS96" s="1683"/>
      <c r="AT96" s="1683"/>
      <c r="AU96" s="1683"/>
      <c r="AV96" s="1683"/>
      <c r="AW96" s="1683"/>
      <c r="AX96" s="1683"/>
      <c r="AY96" s="1683"/>
      <c r="AZ96" s="1683"/>
      <c r="BA96" s="1683"/>
      <c r="BB96" s="1683"/>
      <c r="BC96" s="1683"/>
      <c r="BD96" s="1683"/>
      <c r="BE96" s="1702">
        <v>42581</v>
      </c>
      <c r="BF96" s="1711" t="s">
        <v>859</v>
      </c>
      <c r="BG96" s="1716">
        <v>82</v>
      </c>
      <c r="BH96" s="1705"/>
      <c r="BI96" s="1702">
        <v>42945</v>
      </c>
      <c r="BJ96" s="1711" t="s">
        <v>5872</v>
      </c>
      <c r="BK96" s="1716">
        <v>40</v>
      </c>
      <c r="BL96" s="1705"/>
      <c r="BM96" s="1702">
        <v>43312</v>
      </c>
      <c r="BN96" s="1711" t="s">
        <v>772</v>
      </c>
      <c r="BO96" s="1716">
        <v>2</v>
      </c>
      <c r="BP96" s="1705"/>
      <c r="BQ96" s="1702">
        <v>43676</v>
      </c>
      <c r="BR96" s="1711" t="s">
        <v>5873</v>
      </c>
      <c r="BS96" s="1716">
        <v>1</v>
      </c>
      <c r="BT96" s="1710" t="s">
        <v>414</v>
      </c>
      <c r="BU96" s="1702"/>
      <c r="BV96" s="1711"/>
      <c r="BW96" s="1716"/>
      <c r="BX96" s="1710"/>
      <c r="BY96" s="1702"/>
      <c r="BZ96" s="1711"/>
      <c r="CA96" s="1716"/>
      <c r="CB96" s="1710"/>
      <c r="CC96" s="1702">
        <v>44772</v>
      </c>
      <c r="CD96" s="1711" t="s">
        <v>5874</v>
      </c>
      <c r="CE96" s="1716">
        <v>0</v>
      </c>
      <c r="CF96" s="1710" t="s">
        <v>700</v>
      </c>
      <c r="CG96" s="1702"/>
      <c r="CH96" s="1711"/>
      <c r="CI96" s="1747"/>
      <c r="CJ96" s="1788"/>
      <c r="CK96" s="1818"/>
      <c r="CL96" s="1711"/>
      <c r="CM96" s="1716"/>
      <c r="CN96" s="1819"/>
      <c r="CO96" s="1818"/>
      <c r="CP96" s="1711"/>
      <c r="CQ96" s="1716"/>
      <c r="CR96" s="1819"/>
    </row>
    <row r="97" spans="1:96" ht="13.5">
      <c r="A97" s="1683"/>
      <c r="B97" s="1683"/>
      <c r="C97" s="1683"/>
      <c r="D97" s="1683"/>
      <c r="E97" s="1683"/>
      <c r="F97" s="1683"/>
      <c r="G97" s="1683"/>
      <c r="H97" s="1683"/>
      <c r="I97" s="1683"/>
      <c r="J97" s="1683"/>
      <c r="K97" s="1683"/>
      <c r="L97" s="1683"/>
      <c r="M97" s="1683"/>
      <c r="N97" s="1683"/>
      <c r="O97" s="1683"/>
      <c r="P97" s="1683"/>
      <c r="Q97" s="1683"/>
      <c r="R97" s="1683"/>
      <c r="S97" s="1683"/>
      <c r="T97" s="1683"/>
      <c r="U97" s="1683"/>
      <c r="V97" s="1683"/>
      <c r="W97" s="1683"/>
      <c r="X97" s="1683"/>
      <c r="Y97" s="1683"/>
      <c r="Z97" s="1683"/>
      <c r="AA97" s="1683"/>
      <c r="AB97" s="1683"/>
      <c r="AC97" s="1683"/>
      <c r="AD97" s="1683"/>
      <c r="AE97" s="1683"/>
      <c r="AF97" s="1683"/>
      <c r="AG97" s="1683"/>
      <c r="AH97" s="1683"/>
      <c r="AI97" s="1683"/>
      <c r="AJ97" s="1683"/>
      <c r="AK97" s="1683"/>
      <c r="AL97" s="1683"/>
      <c r="AM97" s="1683"/>
      <c r="AN97" s="1683"/>
      <c r="AO97" s="1683"/>
      <c r="AP97" s="1683"/>
      <c r="AQ97" s="1683"/>
      <c r="AR97" s="1683"/>
      <c r="AS97" s="1683"/>
      <c r="AT97" s="1683"/>
      <c r="AU97" s="1683"/>
      <c r="AV97" s="1683"/>
      <c r="AW97" s="1683"/>
      <c r="AX97" s="1683"/>
      <c r="AY97" s="1683"/>
      <c r="AZ97" s="1683"/>
      <c r="BA97" s="1683"/>
      <c r="BB97" s="1683"/>
      <c r="BC97" s="1683"/>
      <c r="BD97" s="1683"/>
      <c r="BE97" s="1702">
        <v>42581</v>
      </c>
      <c r="BF97" s="1711" t="s">
        <v>5553</v>
      </c>
      <c r="BG97" s="1716">
        <v>14</v>
      </c>
      <c r="BH97" s="1705"/>
      <c r="BI97" s="1702">
        <v>42946</v>
      </c>
      <c r="BJ97" s="1711" t="s">
        <v>872</v>
      </c>
      <c r="BK97" s="1716">
        <v>39</v>
      </c>
      <c r="BL97" s="1705"/>
      <c r="BM97" s="1702">
        <v>43312</v>
      </c>
      <c r="BN97" s="1711" t="s">
        <v>1459</v>
      </c>
      <c r="BO97" s="1716">
        <v>6</v>
      </c>
      <c r="BP97" s="1705"/>
      <c r="BQ97" s="1702">
        <v>43677</v>
      </c>
      <c r="BR97" s="1711" t="s">
        <v>5875</v>
      </c>
      <c r="BS97" s="1716">
        <v>16</v>
      </c>
      <c r="BT97" s="1710" t="s">
        <v>280</v>
      </c>
      <c r="BU97" s="1702"/>
      <c r="BV97" s="1711"/>
      <c r="BW97" s="1716"/>
      <c r="BX97" s="1710"/>
      <c r="BY97" s="1702"/>
      <c r="BZ97" s="1711"/>
      <c r="CA97" s="1716"/>
      <c r="CB97" s="1710"/>
      <c r="CC97" s="1702">
        <v>44772</v>
      </c>
      <c r="CD97" s="1711" t="s">
        <v>845</v>
      </c>
      <c r="CE97" s="1716">
        <v>22</v>
      </c>
      <c r="CF97" s="1710" t="s">
        <v>414</v>
      </c>
      <c r="CG97" s="1702"/>
      <c r="CH97" s="1711"/>
      <c r="CI97" s="1716"/>
      <c r="CJ97" s="1788"/>
      <c r="CK97" s="1818"/>
      <c r="CL97" s="1711"/>
      <c r="CM97" s="1747"/>
      <c r="CN97" s="1819"/>
      <c r="CO97" s="1818"/>
      <c r="CP97" s="1711"/>
      <c r="CQ97" s="1747"/>
      <c r="CR97" s="1819"/>
    </row>
    <row r="98" spans="1:96" ht="13.5">
      <c r="A98" s="1683"/>
      <c r="B98" s="1683"/>
      <c r="C98" s="1683"/>
      <c r="D98" s="1683"/>
      <c r="E98" s="1683"/>
      <c r="F98" s="1683"/>
      <c r="G98" s="1683"/>
      <c r="H98" s="1683"/>
      <c r="I98" s="1683"/>
      <c r="J98" s="1683"/>
      <c r="K98" s="1683"/>
      <c r="L98" s="1683"/>
      <c r="M98" s="1683"/>
      <c r="N98" s="1683"/>
      <c r="O98" s="1683"/>
      <c r="P98" s="1683"/>
      <c r="Q98" s="1683"/>
      <c r="R98" s="1683"/>
      <c r="S98" s="1683"/>
      <c r="T98" s="1683"/>
      <c r="U98" s="1683"/>
      <c r="V98" s="1683"/>
      <c r="W98" s="1683"/>
      <c r="X98" s="1683"/>
      <c r="Y98" s="1683"/>
      <c r="Z98" s="1683"/>
      <c r="AA98" s="1683"/>
      <c r="AB98" s="1683"/>
      <c r="AC98" s="1683"/>
      <c r="AD98" s="1683"/>
      <c r="AE98" s="1683"/>
      <c r="AF98" s="1683"/>
      <c r="AG98" s="1683"/>
      <c r="AH98" s="1683"/>
      <c r="AI98" s="1683"/>
      <c r="AJ98" s="1683"/>
      <c r="AK98" s="1683"/>
      <c r="AL98" s="1683"/>
      <c r="AM98" s="1683"/>
      <c r="AN98" s="1683"/>
      <c r="AO98" s="1683"/>
      <c r="AP98" s="1683"/>
      <c r="AQ98" s="1683"/>
      <c r="AR98" s="1683"/>
      <c r="AS98" s="1683"/>
      <c r="AT98" s="1683"/>
      <c r="AU98" s="1683"/>
      <c r="AV98" s="1683"/>
      <c r="AW98" s="1683"/>
      <c r="AX98" s="1683"/>
      <c r="AY98" s="1683"/>
      <c r="AZ98" s="1683"/>
      <c r="BA98" s="1683"/>
      <c r="BB98" s="1683"/>
      <c r="BC98" s="1683"/>
      <c r="BD98" s="1683"/>
      <c r="BE98" s="1702">
        <v>42581</v>
      </c>
      <c r="BF98" s="1711" t="s">
        <v>5876</v>
      </c>
      <c r="BG98" s="1716">
        <v>30</v>
      </c>
      <c r="BH98" s="1705"/>
      <c r="BI98" s="1702">
        <v>42946</v>
      </c>
      <c r="BJ98" s="1711" t="s">
        <v>772</v>
      </c>
      <c r="BK98" s="1716">
        <v>32</v>
      </c>
      <c r="BL98" s="1705"/>
      <c r="BM98" s="1702"/>
      <c r="BN98" s="1711"/>
      <c r="BO98" s="1716"/>
      <c r="BP98" s="1705"/>
      <c r="BQ98" s="1702">
        <v>43677</v>
      </c>
      <c r="BR98" s="1711" t="s">
        <v>5877</v>
      </c>
      <c r="BS98" s="1716">
        <v>20</v>
      </c>
      <c r="BT98" s="1710" t="s">
        <v>410</v>
      </c>
      <c r="BU98" s="1702"/>
      <c r="BV98" s="1711"/>
      <c r="BW98" s="1716"/>
      <c r="BX98" s="1710"/>
      <c r="BY98" s="1702"/>
      <c r="BZ98" s="1711"/>
      <c r="CA98" s="1716"/>
      <c r="CB98" s="1710"/>
      <c r="CC98" s="1702">
        <v>44772</v>
      </c>
      <c r="CD98" s="1711" t="s">
        <v>843</v>
      </c>
      <c r="CE98" s="1716">
        <v>22</v>
      </c>
      <c r="CF98" s="1710" t="s">
        <v>414</v>
      </c>
      <c r="CG98" s="1702"/>
      <c r="CH98" s="1711"/>
      <c r="CI98" s="1716"/>
      <c r="CJ98" s="1788"/>
      <c r="CK98" s="1818"/>
      <c r="CL98" s="1711"/>
      <c r="CM98" s="1716"/>
      <c r="CN98" s="1819"/>
      <c r="CO98" s="1818"/>
      <c r="CP98" s="1711"/>
      <c r="CQ98" s="1716"/>
      <c r="CR98" s="1819"/>
    </row>
    <row r="99" spans="1:96" ht="13.5">
      <c r="A99" s="1683"/>
      <c r="B99" s="1683"/>
      <c r="C99" s="1683"/>
      <c r="D99" s="1683"/>
      <c r="E99" s="1683"/>
      <c r="F99" s="1683"/>
      <c r="G99" s="1683"/>
      <c r="H99" s="1683"/>
      <c r="I99" s="1683"/>
      <c r="J99" s="1683"/>
      <c r="K99" s="1683"/>
      <c r="L99" s="1683"/>
      <c r="M99" s="1683"/>
      <c r="N99" s="1683"/>
      <c r="O99" s="1683"/>
      <c r="P99" s="1683"/>
      <c r="Q99" s="1683"/>
      <c r="R99" s="1683"/>
      <c r="S99" s="1683"/>
      <c r="T99" s="1683"/>
      <c r="U99" s="1683"/>
      <c r="V99" s="1683"/>
      <c r="W99" s="1683"/>
      <c r="X99" s="1683"/>
      <c r="Y99" s="1683"/>
      <c r="Z99" s="1683"/>
      <c r="AA99" s="1683"/>
      <c r="AB99" s="1683"/>
      <c r="AC99" s="1683"/>
      <c r="AD99" s="1683"/>
      <c r="AE99" s="1683"/>
      <c r="AF99" s="1683"/>
      <c r="AG99" s="1683"/>
      <c r="AH99" s="1683"/>
      <c r="AI99" s="1683"/>
      <c r="AJ99" s="1683"/>
      <c r="AK99" s="1683"/>
      <c r="AL99" s="1683"/>
      <c r="AM99" s="1683"/>
      <c r="AN99" s="1683"/>
      <c r="AO99" s="1683"/>
      <c r="AP99" s="1683"/>
      <c r="AQ99" s="1683"/>
      <c r="AR99" s="1683"/>
      <c r="AS99" s="1683"/>
      <c r="AT99" s="1683"/>
      <c r="AU99" s="1683"/>
      <c r="AV99" s="1683"/>
      <c r="AW99" s="1683"/>
      <c r="AX99" s="1683"/>
      <c r="AY99" s="1683"/>
      <c r="AZ99" s="1683"/>
      <c r="BA99" s="1683"/>
      <c r="BB99" s="1683"/>
      <c r="BC99" s="1683"/>
      <c r="BD99" s="1683"/>
      <c r="BE99" s="1702">
        <v>42581</v>
      </c>
      <c r="BF99" s="1711" t="s">
        <v>998</v>
      </c>
      <c r="BG99" s="1716">
        <v>6</v>
      </c>
      <c r="BH99" s="1705"/>
      <c r="BI99" s="1702">
        <v>42946</v>
      </c>
      <c r="BJ99" s="1711" t="s">
        <v>823</v>
      </c>
      <c r="BK99" s="1716">
        <v>19</v>
      </c>
      <c r="BL99" s="1705"/>
      <c r="BM99" s="1702"/>
      <c r="BN99" s="1711"/>
      <c r="BO99" s="1716"/>
      <c r="BP99" s="1705"/>
      <c r="BQ99" s="1702">
        <v>43677</v>
      </c>
      <c r="BR99" s="1711" t="s">
        <v>5878</v>
      </c>
      <c r="BS99" s="1716">
        <v>3</v>
      </c>
      <c r="BT99" s="1710" t="s">
        <v>278</v>
      </c>
      <c r="BU99" s="1702"/>
      <c r="BV99" s="1711"/>
      <c r="BW99" s="1716"/>
      <c r="BX99" s="1710"/>
      <c r="BY99" s="1702"/>
      <c r="BZ99" s="1711"/>
      <c r="CA99" s="1716"/>
      <c r="CB99" s="1710"/>
      <c r="CC99" s="1702">
        <v>44772</v>
      </c>
      <c r="CD99" s="1711" t="s">
        <v>772</v>
      </c>
      <c r="CE99" s="1716">
        <v>29</v>
      </c>
      <c r="CF99" s="1710" t="s">
        <v>414</v>
      </c>
      <c r="CG99" s="1702"/>
      <c r="CH99" s="1711"/>
      <c r="CI99" s="1716"/>
      <c r="CJ99" s="1788"/>
      <c r="CK99" s="1818"/>
      <c r="CL99" s="1711"/>
      <c r="CM99" s="1716"/>
      <c r="CN99" s="1819"/>
      <c r="CO99" s="1818"/>
      <c r="CP99" s="1711"/>
      <c r="CQ99" s="1716"/>
      <c r="CR99" s="1819"/>
    </row>
    <row r="100" spans="1:96" ht="13.5">
      <c r="A100" s="1683"/>
      <c r="B100" s="1683"/>
      <c r="C100" s="1683"/>
      <c r="D100" s="1683"/>
      <c r="E100" s="1683"/>
      <c r="F100" s="1683"/>
      <c r="G100" s="1683"/>
      <c r="H100" s="1683"/>
      <c r="I100" s="1683"/>
      <c r="J100" s="1683"/>
      <c r="K100" s="1683"/>
      <c r="L100" s="1683"/>
      <c r="M100" s="1683"/>
      <c r="N100" s="1683"/>
      <c r="O100" s="1683"/>
      <c r="P100" s="1683"/>
      <c r="Q100" s="1683"/>
      <c r="R100" s="1683"/>
      <c r="S100" s="1683"/>
      <c r="T100" s="1683"/>
      <c r="U100" s="1683"/>
      <c r="V100" s="1683"/>
      <c r="W100" s="1683"/>
      <c r="X100" s="1683"/>
      <c r="Y100" s="1683"/>
      <c r="Z100" s="1683"/>
      <c r="AA100" s="1683"/>
      <c r="AB100" s="1683"/>
      <c r="AC100" s="1683"/>
      <c r="AD100" s="1683"/>
      <c r="AE100" s="1683"/>
      <c r="AF100" s="1683"/>
      <c r="AG100" s="1683"/>
      <c r="AH100" s="1683"/>
      <c r="AI100" s="1683"/>
      <c r="AJ100" s="1683"/>
      <c r="AK100" s="1683"/>
      <c r="AL100" s="1683"/>
      <c r="AM100" s="1683"/>
      <c r="AN100" s="1683"/>
      <c r="AO100" s="1683"/>
      <c r="AP100" s="1683"/>
      <c r="AQ100" s="1683"/>
      <c r="AR100" s="1683"/>
      <c r="AS100" s="1683"/>
      <c r="AT100" s="1683"/>
      <c r="AU100" s="1683"/>
      <c r="AV100" s="1683"/>
      <c r="AW100" s="1683"/>
      <c r="AX100" s="1683"/>
      <c r="AY100" s="1683"/>
      <c r="AZ100" s="1683"/>
      <c r="BA100" s="1683"/>
      <c r="BB100" s="1683"/>
      <c r="BC100" s="1683"/>
      <c r="BD100" s="1683"/>
      <c r="BE100" s="1702">
        <v>42581</v>
      </c>
      <c r="BF100" s="1711" t="s">
        <v>781</v>
      </c>
      <c r="BG100" s="1716">
        <v>19</v>
      </c>
      <c r="BH100" s="1705"/>
      <c r="BI100" s="1702">
        <v>42946</v>
      </c>
      <c r="BJ100" s="1711" t="s">
        <v>873</v>
      </c>
      <c r="BK100" s="1716">
        <v>15</v>
      </c>
      <c r="BL100" s="1705"/>
      <c r="BM100" s="1702"/>
      <c r="BN100" s="1711"/>
      <c r="BO100" s="1716"/>
      <c r="BP100" s="1705"/>
      <c r="BQ100" s="1702">
        <v>43677</v>
      </c>
      <c r="BR100" s="1711" t="s">
        <v>3806</v>
      </c>
      <c r="BS100" s="1747">
        <v>335</v>
      </c>
      <c r="BT100" s="1710" t="s">
        <v>707</v>
      </c>
      <c r="BU100" s="1702"/>
      <c r="BV100" s="1711"/>
      <c r="BW100" s="1716"/>
      <c r="BX100" s="1710"/>
      <c r="BY100" s="1702"/>
      <c r="BZ100" s="1711"/>
      <c r="CA100" s="1716"/>
      <c r="CB100" s="1710"/>
      <c r="CC100" s="1702">
        <v>44772</v>
      </c>
      <c r="CD100" s="1711" t="s">
        <v>872</v>
      </c>
      <c r="CE100" s="1716">
        <v>6</v>
      </c>
      <c r="CF100" s="1710" t="s">
        <v>414</v>
      </c>
      <c r="CG100" s="1702"/>
      <c r="CH100" s="1711"/>
      <c r="CI100" s="1716"/>
      <c r="CJ100" s="1788"/>
      <c r="CK100" s="1818"/>
      <c r="CL100" s="1711"/>
      <c r="CM100" s="1716"/>
      <c r="CN100" s="1819"/>
      <c r="CO100" s="1818"/>
      <c r="CP100" s="1711"/>
      <c r="CQ100" s="1716"/>
      <c r="CR100" s="1819"/>
    </row>
    <row r="101" spans="1:96" ht="13.5">
      <c r="A101" s="1683"/>
      <c r="B101" s="1683"/>
      <c r="C101" s="1683"/>
      <c r="D101" s="1683"/>
      <c r="E101" s="1683"/>
      <c r="F101" s="1683"/>
      <c r="G101" s="1683"/>
      <c r="H101" s="1683"/>
      <c r="I101" s="1683"/>
      <c r="J101" s="1683"/>
      <c r="K101" s="1683"/>
      <c r="L101" s="1683"/>
      <c r="M101" s="1683"/>
      <c r="N101" s="1683"/>
      <c r="O101" s="1683"/>
      <c r="P101" s="1683"/>
      <c r="Q101" s="1683"/>
      <c r="R101" s="1683"/>
      <c r="S101" s="1683"/>
      <c r="T101" s="1683"/>
      <c r="U101" s="1683"/>
      <c r="V101" s="1683"/>
      <c r="W101" s="1683"/>
      <c r="X101" s="1683"/>
      <c r="Y101" s="1683"/>
      <c r="Z101" s="1683"/>
      <c r="AA101" s="1683"/>
      <c r="AB101" s="1683"/>
      <c r="AC101" s="1683"/>
      <c r="AD101" s="1683"/>
      <c r="AE101" s="1683"/>
      <c r="AF101" s="1683"/>
      <c r="AG101" s="1683"/>
      <c r="AH101" s="1683"/>
      <c r="AI101" s="1683"/>
      <c r="AJ101" s="1683"/>
      <c r="AK101" s="1683"/>
      <c r="AL101" s="1683"/>
      <c r="AM101" s="1683"/>
      <c r="AN101" s="1683"/>
      <c r="AO101" s="1683"/>
      <c r="AP101" s="1683"/>
      <c r="AQ101" s="1683"/>
      <c r="AR101" s="1683"/>
      <c r="AS101" s="1683"/>
      <c r="AT101" s="1683"/>
      <c r="AU101" s="1683"/>
      <c r="AV101" s="1683"/>
      <c r="AW101" s="1683"/>
      <c r="AX101" s="1683"/>
      <c r="AY101" s="1683"/>
      <c r="AZ101" s="1683"/>
      <c r="BA101" s="1683"/>
      <c r="BB101" s="1683"/>
      <c r="BC101" s="1683"/>
      <c r="BD101" s="1683"/>
      <c r="BE101" s="1702">
        <v>42581</v>
      </c>
      <c r="BF101" s="1711" t="s">
        <v>5879</v>
      </c>
      <c r="BG101" s="1716">
        <v>12</v>
      </c>
      <c r="BH101" s="1705"/>
      <c r="BI101" s="1702">
        <v>42946</v>
      </c>
      <c r="BJ101" s="1711" t="s">
        <v>5880</v>
      </c>
      <c r="BK101" s="1716">
        <v>20</v>
      </c>
      <c r="BL101" s="1705"/>
      <c r="BM101" s="1702"/>
      <c r="BN101" s="1711"/>
      <c r="BO101" s="1716"/>
      <c r="BP101" s="1705"/>
      <c r="BQ101" s="1702"/>
      <c r="BR101" s="1711"/>
      <c r="BS101" s="1716"/>
      <c r="BT101" s="1710"/>
      <c r="BU101" s="1702"/>
      <c r="BV101" s="1711"/>
      <c r="BW101" s="1716"/>
      <c r="BX101" s="1710"/>
      <c r="BY101" s="1702"/>
      <c r="BZ101" s="1711"/>
      <c r="CA101" s="1716"/>
      <c r="CB101" s="1710"/>
      <c r="CC101" s="1702">
        <v>44772</v>
      </c>
      <c r="CD101" s="1711" t="s">
        <v>797</v>
      </c>
      <c r="CE101" s="1716">
        <v>89</v>
      </c>
      <c r="CF101" s="1710" t="s">
        <v>414</v>
      </c>
      <c r="CG101" s="1702"/>
      <c r="CH101" s="1711"/>
      <c r="CI101" s="1716"/>
      <c r="CJ101" s="1788"/>
      <c r="CK101" s="1818"/>
      <c r="CL101" s="1711"/>
      <c r="CM101" s="1716"/>
      <c r="CN101" s="1819"/>
      <c r="CO101" s="1818"/>
      <c r="CP101" s="1711"/>
      <c r="CQ101" s="1716"/>
      <c r="CR101" s="1819"/>
    </row>
    <row r="102" spans="1:96" ht="13.5">
      <c r="A102" s="1683"/>
      <c r="B102" s="1683"/>
      <c r="C102" s="1683"/>
      <c r="D102" s="1683"/>
      <c r="E102" s="1683"/>
      <c r="F102" s="1683"/>
      <c r="G102" s="1683"/>
      <c r="H102" s="1683"/>
      <c r="I102" s="1683"/>
      <c r="J102" s="1683"/>
      <c r="K102" s="1683"/>
      <c r="L102" s="1683"/>
      <c r="M102" s="1683"/>
      <c r="N102" s="1683"/>
      <c r="O102" s="1683"/>
      <c r="P102" s="1683"/>
      <c r="Q102" s="1683"/>
      <c r="R102" s="1683"/>
      <c r="S102" s="1683"/>
      <c r="T102" s="1683"/>
      <c r="U102" s="1683"/>
      <c r="V102" s="1683"/>
      <c r="W102" s="1683"/>
      <c r="X102" s="1683"/>
      <c r="Y102" s="1683"/>
      <c r="Z102" s="1683"/>
      <c r="AA102" s="1683"/>
      <c r="AB102" s="1683"/>
      <c r="AC102" s="1683"/>
      <c r="AD102" s="1683"/>
      <c r="AE102" s="1683"/>
      <c r="AF102" s="1683"/>
      <c r="AG102" s="1683"/>
      <c r="AH102" s="1683"/>
      <c r="AI102" s="1683"/>
      <c r="AJ102" s="1683"/>
      <c r="AK102" s="1683"/>
      <c r="AL102" s="1683"/>
      <c r="AM102" s="1683"/>
      <c r="AN102" s="1683"/>
      <c r="AO102" s="1683"/>
      <c r="AP102" s="1683"/>
      <c r="AQ102" s="1683"/>
      <c r="AR102" s="1683"/>
      <c r="AS102" s="1683"/>
      <c r="AT102" s="1683"/>
      <c r="AU102" s="1683"/>
      <c r="AV102" s="1683"/>
      <c r="AW102" s="1683"/>
      <c r="AX102" s="1683"/>
      <c r="AY102" s="1683"/>
      <c r="AZ102" s="1683"/>
      <c r="BA102" s="1683"/>
      <c r="BB102" s="1683"/>
      <c r="BC102" s="1683"/>
      <c r="BD102" s="1683"/>
      <c r="BE102" s="1702">
        <v>42582</v>
      </c>
      <c r="BF102" s="1711" t="s">
        <v>5881</v>
      </c>
      <c r="BG102" s="1716">
        <v>11</v>
      </c>
      <c r="BH102" s="1705"/>
      <c r="BI102" s="1702">
        <v>42946</v>
      </c>
      <c r="BJ102" s="1711" t="s">
        <v>5882</v>
      </c>
      <c r="BK102" s="1716">
        <v>33</v>
      </c>
      <c r="BL102" s="1705"/>
      <c r="BM102" s="1702"/>
      <c r="BN102" s="1711"/>
      <c r="BO102" s="1716"/>
      <c r="BP102" s="1705"/>
      <c r="BQ102" s="1702"/>
      <c r="BR102" s="1711"/>
      <c r="BS102" s="1716"/>
      <c r="BT102" s="1710"/>
      <c r="BU102" s="1702"/>
      <c r="BV102" s="1711"/>
      <c r="BW102" s="1716"/>
      <c r="BX102" s="1710"/>
      <c r="BY102" s="1702"/>
      <c r="BZ102" s="1711"/>
      <c r="CA102" s="1716"/>
      <c r="CB102" s="1710"/>
      <c r="CC102" s="1702">
        <v>44772</v>
      </c>
      <c r="CD102" s="1711" t="s">
        <v>5883</v>
      </c>
      <c r="CE102" s="1716">
        <v>0</v>
      </c>
      <c r="CF102" s="1710" t="s">
        <v>700</v>
      </c>
      <c r="CG102" s="1702"/>
      <c r="CH102" s="1711"/>
      <c r="CI102" s="1716"/>
      <c r="CJ102" s="1788"/>
      <c r="CK102" s="1818"/>
      <c r="CL102" s="1711"/>
      <c r="CM102" s="1716"/>
      <c r="CN102" s="1819"/>
      <c r="CO102" s="1818"/>
      <c r="CP102" s="1711"/>
      <c r="CQ102" s="1716"/>
      <c r="CR102" s="1819"/>
    </row>
    <row r="103" spans="1:96" ht="13.5">
      <c r="A103" s="1683"/>
      <c r="B103" s="1683"/>
      <c r="C103" s="1683"/>
      <c r="D103" s="1683"/>
      <c r="E103" s="1683"/>
      <c r="F103" s="1683"/>
      <c r="G103" s="1683"/>
      <c r="H103" s="1683"/>
      <c r="I103" s="1683"/>
      <c r="J103" s="1683"/>
      <c r="K103" s="1683"/>
      <c r="L103" s="1683"/>
      <c r="M103" s="1683"/>
      <c r="N103" s="1683"/>
      <c r="O103" s="1683"/>
      <c r="P103" s="1683"/>
      <c r="Q103" s="1683"/>
      <c r="R103" s="1683"/>
      <c r="S103" s="1683"/>
      <c r="T103" s="1683"/>
      <c r="U103" s="1683"/>
      <c r="V103" s="1683"/>
      <c r="W103" s="1683"/>
      <c r="X103" s="1683"/>
      <c r="Y103" s="1683"/>
      <c r="Z103" s="1683"/>
      <c r="AA103" s="1683"/>
      <c r="AB103" s="1683"/>
      <c r="AC103" s="1683"/>
      <c r="AD103" s="1683"/>
      <c r="AE103" s="1683"/>
      <c r="AF103" s="1683"/>
      <c r="AG103" s="1683"/>
      <c r="AH103" s="1683"/>
      <c r="AI103" s="1683"/>
      <c r="AJ103" s="1683"/>
      <c r="AK103" s="1683"/>
      <c r="AL103" s="1683"/>
      <c r="AM103" s="1683"/>
      <c r="AN103" s="1683"/>
      <c r="AO103" s="1683"/>
      <c r="AP103" s="1683"/>
      <c r="AQ103" s="1683"/>
      <c r="AR103" s="1683"/>
      <c r="AS103" s="1683"/>
      <c r="AT103" s="1683"/>
      <c r="AU103" s="1683"/>
      <c r="AV103" s="1683"/>
      <c r="AW103" s="1683"/>
      <c r="AX103" s="1683"/>
      <c r="AY103" s="1683"/>
      <c r="AZ103" s="1683"/>
      <c r="BA103" s="1683"/>
      <c r="BB103" s="1683"/>
      <c r="BC103" s="1683"/>
      <c r="BD103" s="1683"/>
      <c r="BE103" s="1702">
        <v>42579</v>
      </c>
      <c r="BF103" s="1711" t="s">
        <v>5884</v>
      </c>
      <c r="BG103" s="1716">
        <v>66</v>
      </c>
      <c r="BH103" s="1705"/>
      <c r="BI103" s="1702">
        <v>42947</v>
      </c>
      <c r="BJ103" s="1711" t="s">
        <v>5885</v>
      </c>
      <c r="BK103" s="1716">
        <v>45</v>
      </c>
      <c r="BL103" s="1705"/>
      <c r="BM103" s="1702"/>
      <c r="BN103" s="1711"/>
      <c r="BO103" s="1716"/>
      <c r="BP103" s="1705"/>
      <c r="BQ103" s="1702"/>
      <c r="BR103" s="1711"/>
      <c r="BS103" s="1716"/>
      <c r="BT103" s="1710"/>
      <c r="BU103" s="1758" t="s">
        <v>1672</v>
      </c>
      <c r="BV103" s="1758"/>
      <c r="BW103" s="1759"/>
      <c r="BX103" s="1760"/>
      <c r="BY103" s="1754" t="s">
        <v>477</v>
      </c>
      <c r="BZ103" s="1754"/>
      <c r="CA103" s="1755">
        <f>SUM(CA4:CA102)</f>
        <v>3604</v>
      </c>
      <c r="CB103" s="1755">
        <f>SUM(CB4:CB102)</f>
        <v>0</v>
      </c>
      <c r="CC103" s="1702">
        <v>44772</v>
      </c>
      <c r="CD103" s="1711" t="s">
        <v>5886</v>
      </c>
      <c r="CE103" s="1716">
        <v>0</v>
      </c>
      <c r="CF103" s="1710" t="s">
        <v>700</v>
      </c>
      <c r="CG103" s="1702"/>
      <c r="CH103" s="1711"/>
      <c r="CI103" s="1716"/>
      <c r="CJ103" s="1788"/>
      <c r="CK103" s="1818"/>
      <c r="CL103" s="1711"/>
      <c r="CM103" s="1716"/>
      <c r="CN103" s="1819"/>
      <c r="CO103" s="1818"/>
      <c r="CP103" s="1711"/>
      <c r="CQ103" s="1716"/>
      <c r="CR103" s="1819"/>
    </row>
    <row r="104" spans="1:96" ht="13.5">
      <c r="A104" s="1683"/>
      <c r="B104" s="1683"/>
      <c r="C104" s="1683"/>
      <c r="D104" s="1683"/>
      <c r="E104" s="1683"/>
      <c r="F104" s="1683"/>
      <c r="G104" s="1683"/>
      <c r="H104" s="1683"/>
      <c r="I104" s="1683"/>
      <c r="J104" s="1683"/>
      <c r="K104" s="1683"/>
      <c r="L104" s="1683"/>
      <c r="M104" s="1683"/>
      <c r="N104" s="1683"/>
      <c r="O104" s="1683"/>
      <c r="P104" s="1683"/>
      <c r="Q104" s="1683"/>
      <c r="R104" s="1683"/>
      <c r="S104" s="1683"/>
      <c r="T104" s="1683"/>
      <c r="U104" s="1683"/>
      <c r="V104" s="1683"/>
      <c r="W104" s="1683"/>
      <c r="X104" s="1683"/>
      <c r="Y104" s="1683"/>
      <c r="Z104" s="1683"/>
      <c r="AA104" s="1683"/>
      <c r="AB104" s="1683"/>
      <c r="AC104" s="1683"/>
      <c r="AD104" s="1683"/>
      <c r="AE104" s="1683"/>
      <c r="AF104" s="1683"/>
      <c r="AG104" s="1683"/>
      <c r="AH104" s="1683"/>
      <c r="AI104" s="1683"/>
      <c r="AJ104" s="1683"/>
      <c r="AK104" s="1683"/>
      <c r="AL104" s="1683"/>
      <c r="AM104" s="1683"/>
      <c r="AN104" s="1683"/>
      <c r="AO104" s="1683"/>
      <c r="AP104" s="1683"/>
      <c r="AQ104" s="1683"/>
      <c r="AR104" s="1683"/>
      <c r="AS104" s="1683"/>
      <c r="AT104" s="1683"/>
      <c r="AU104" s="1683"/>
      <c r="AV104" s="1683"/>
      <c r="AW104" s="1683"/>
      <c r="AX104" s="1683"/>
      <c r="AY104" s="1683"/>
      <c r="AZ104" s="1683"/>
      <c r="BA104" s="1683"/>
      <c r="BB104" s="1683"/>
      <c r="BC104" s="1683"/>
      <c r="BD104" s="1683"/>
      <c r="BE104" s="1702">
        <v>42579</v>
      </c>
      <c r="BF104" s="1711" t="s">
        <v>5887</v>
      </c>
      <c r="BG104" s="1716">
        <v>59</v>
      </c>
      <c r="BH104" s="1705"/>
      <c r="BI104" s="1702">
        <v>42947</v>
      </c>
      <c r="BJ104" s="1711" t="s">
        <v>5888</v>
      </c>
      <c r="BK104" s="1716">
        <v>13</v>
      </c>
      <c r="BL104" s="1705"/>
      <c r="BM104" s="1702"/>
      <c r="BN104" s="1711"/>
      <c r="BO104" s="1716"/>
      <c r="BP104" s="1705"/>
      <c r="BQ104" s="1702"/>
      <c r="BR104" s="1711"/>
      <c r="BS104" s="1716"/>
      <c r="BT104" s="1710"/>
      <c r="BU104" s="1778" t="s">
        <v>138</v>
      </c>
      <c r="BV104" s="1779"/>
      <c r="BW104" s="1764" t="e">
        <f>SUM(#REF!,#REF!)</f>
        <v>#REF!</v>
      </c>
      <c r="BX104" s="1765"/>
      <c r="BY104" s="1758" t="s">
        <v>1672</v>
      </c>
      <c r="BZ104" s="1758"/>
      <c r="CA104" s="1759"/>
      <c r="CB104" s="1760"/>
      <c r="CC104" s="1702">
        <v>44772</v>
      </c>
      <c r="CD104" s="1711" t="s">
        <v>5889</v>
      </c>
      <c r="CE104" s="1716">
        <v>15</v>
      </c>
      <c r="CF104" s="1710" t="s">
        <v>381</v>
      </c>
      <c r="CG104" s="1702"/>
      <c r="CH104" s="1711"/>
      <c r="CI104" s="1716"/>
      <c r="CJ104" s="1788"/>
      <c r="CK104" s="1818"/>
      <c r="CL104" s="1711"/>
      <c r="CM104" s="1716"/>
      <c r="CN104" s="1819"/>
      <c r="CO104" s="1818"/>
      <c r="CP104" s="1711"/>
      <c r="CQ104" s="1716"/>
      <c r="CR104" s="1819"/>
    </row>
    <row r="105" spans="1:96" ht="13.5">
      <c r="A105" s="1683"/>
      <c r="B105" s="1683"/>
      <c r="C105" s="1683"/>
      <c r="D105" s="1683"/>
      <c r="E105" s="1683"/>
      <c r="F105" s="1683"/>
      <c r="G105" s="1683"/>
      <c r="H105" s="1683"/>
      <c r="I105" s="1683"/>
      <c r="J105" s="1683"/>
      <c r="K105" s="1683"/>
      <c r="L105" s="1683"/>
      <c r="M105" s="1683"/>
      <c r="N105" s="1683"/>
      <c r="O105" s="1683"/>
      <c r="P105" s="1683"/>
      <c r="Q105" s="1683"/>
      <c r="R105" s="1683"/>
      <c r="S105" s="1683"/>
      <c r="T105" s="1683"/>
      <c r="U105" s="1683"/>
      <c r="V105" s="1683"/>
      <c r="W105" s="1683"/>
      <c r="X105" s="1683"/>
      <c r="Y105" s="1683"/>
      <c r="Z105" s="1683"/>
      <c r="AA105" s="1683"/>
      <c r="AB105" s="1683"/>
      <c r="AC105" s="1683"/>
      <c r="AD105" s="1683"/>
      <c r="AE105" s="1683"/>
      <c r="AF105" s="1683"/>
      <c r="AG105" s="1683"/>
      <c r="AH105" s="1683"/>
      <c r="AI105" s="1683"/>
      <c r="AJ105" s="1683"/>
      <c r="AK105" s="1683"/>
      <c r="AL105" s="1683"/>
      <c r="AM105" s="1683"/>
      <c r="AN105" s="1683"/>
      <c r="AO105" s="1683"/>
      <c r="AP105" s="1683"/>
      <c r="AQ105" s="1683"/>
      <c r="AR105" s="1683"/>
      <c r="AS105" s="1683"/>
      <c r="AT105" s="1683"/>
      <c r="AU105" s="1683"/>
      <c r="AV105" s="1683"/>
      <c r="AW105" s="1683"/>
      <c r="AX105" s="1683"/>
      <c r="AY105" s="1683"/>
      <c r="AZ105" s="1683"/>
      <c r="BA105" s="1683"/>
      <c r="BB105" s="1683"/>
      <c r="BC105" s="1683"/>
      <c r="BD105" s="1683"/>
      <c r="BE105" s="1702">
        <v>42579</v>
      </c>
      <c r="BF105" s="1711" t="s">
        <v>5890</v>
      </c>
      <c r="BG105" s="1716">
        <v>184</v>
      </c>
      <c r="BH105" s="1705"/>
      <c r="BI105" s="1702">
        <v>42947</v>
      </c>
      <c r="BJ105" s="1711" t="s">
        <v>5891</v>
      </c>
      <c r="BK105" s="1716">
        <v>41</v>
      </c>
      <c r="BL105" s="1705"/>
      <c r="BM105" s="1702"/>
      <c r="BN105" s="1711"/>
      <c r="BO105" s="1716"/>
      <c r="BP105" s="1705"/>
      <c r="BQ105" s="1702"/>
      <c r="BR105" s="1711"/>
      <c r="BS105" s="1716"/>
      <c r="BT105" s="1710"/>
      <c r="BU105" s="1683"/>
      <c r="BV105" s="1683"/>
      <c r="BW105" s="1683"/>
      <c r="BX105" s="1683"/>
      <c r="BY105" s="1778" t="s">
        <v>138</v>
      </c>
      <c r="BZ105" s="1779"/>
      <c r="CA105" s="1764">
        <f>SUM(CA103,CB103)</f>
        <v>3604</v>
      </c>
      <c r="CB105" s="1765"/>
      <c r="CC105" s="1702">
        <v>44772</v>
      </c>
      <c r="CD105" s="1711" t="s">
        <v>5892</v>
      </c>
      <c r="CE105" s="1716">
        <v>32</v>
      </c>
      <c r="CF105" s="1710" t="s">
        <v>700</v>
      </c>
      <c r="CG105" s="1702"/>
      <c r="CH105" s="1711"/>
      <c r="CI105" s="1716"/>
      <c r="CJ105" s="1788"/>
      <c r="CK105" s="1818"/>
      <c r="CL105" s="1711"/>
      <c r="CM105" s="1716"/>
      <c r="CN105" s="1819"/>
      <c r="CO105" s="1818"/>
      <c r="CP105" s="1711"/>
      <c r="CQ105" s="1716"/>
      <c r="CR105" s="1819"/>
    </row>
    <row r="106" spans="1:96" ht="13.5">
      <c r="A106" s="1683"/>
      <c r="B106" s="1683"/>
      <c r="C106" s="1683"/>
      <c r="D106" s="1683"/>
      <c r="E106" s="1683"/>
      <c r="F106" s="1683"/>
      <c r="G106" s="1683"/>
      <c r="H106" s="1683"/>
      <c r="I106" s="1683"/>
      <c r="J106" s="1683"/>
      <c r="K106" s="1683"/>
      <c r="L106" s="1683"/>
      <c r="M106" s="1683"/>
      <c r="N106" s="1683"/>
      <c r="O106" s="1683"/>
      <c r="P106" s="1683"/>
      <c r="Q106" s="1683"/>
      <c r="R106" s="1683"/>
      <c r="S106" s="1683"/>
      <c r="T106" s="1683"/>
      <c r="U106" s="1683"/>
      <c r="V106" s="1683"/>
      <c r="W106" s="1683"/>
      <c r="X106" s="1683"/>
      <c r="Y106" s="1683"/>
      <c r="Z106" s="1683"/>
      <c r="AA106" s="1683"/>
      <c r="AB106" s="1683"/>
      <c r="AC106" s="1683"/>
      <c r="AD106" s="1683"/>
      <c r="AE106" s="1683"/>
      <c r="AF106" s="1683"/>
      <c r="AG106" s="1683"/>
      <c r="AH106" s="1683"/>
      <c r="AI106" s="1683"/>
      <c r="AJ106" s="1683"/>
      <c r="AK106" s="1683"/>
      <c r="AL106" s="1683"/>
      <c r="AM106" s="1683"/>
      <c r="AN106" s="1683"/>
      <c r="AO106" s="1683"/>
      <c r="AP106" s="1683"/>
      <c r="AQ106" s="1683"/>
      <c r="AR106" s="1683"/>
      <c r="AS106" s="1683"/>
      <c r="AT106" s="1683"/>
      <c r="AU106" s="1683"/>
      <c r="AV106" s="1683"/>
      <c r="AW106" s="1683"/>
      <c r="AX106" s="1683"/>
      <c r="AY106" s="1683"/>
      <c r="AZ106" s="1683"/>
      <c r="BA106" s="1683"/>
      <c r="BB106" s="1683"/>
      <c r="BC106" s="1683"/>
      <c r="BD106" s="1683"/>
      <c r="BE106" s="1702"/>
      <c r="BF106" s="1711"/>
      <c r="BG106" s="1716"/>
      <c r="BH106" s="1705"/>
      <c r="BI106" s="1702"/>
      <c r="BJ106" s="1711"/>
      <c r="BK106" s="1716"/>
      <c r="BL106" s="1705"/>
      <c r="BM106" s="1702"/>
      <c r="BN106" s="1711"/>
      <c r="BO106" s="1716"/>
      <c r="BP106" s="1705"/>
      <c r="BQ106" s="1702"/>
      <c r="BR106" s="1711"/>
      <c r="BS106" s="1716"/>
      <c r="BT106" s="1710"/>
      <c r="BU106" s="1683"/>
      <c r="BV106" s="1683"/>
      <c r="BW106" s="1683"/>
      <c r="BX106" s="1683"/>
      <c r="BY106" s="1683"/>
      <c r="BZ106" s="1683"/>
      <c r="CA106" s="1683"/>
      <c r="CB106" s="1683"/>
      <c r="CC106" s="1702">
        <v>44772</v>
      </c>
      <c r="CD106" s="1711" t="s">
        <v>5893</v>
      </c>
      <c r="CE106" s="1716">
        <v>150</v>
      </c>
      <c r="CF106" s="1710" t="s">
        <v>700</v>
      </c>
      <c r="CG106" s="1702"/>
      <c r="CH106" s="1711"/>
      <c r="CI106" s="1716"/>
      <c r="CJ106" s="1788"/>
      <c r="CK106" s="1818"/>
      <c r="CL106" s="1711"/>
      <c r="CM106" s="1716"/>
      <c r="CN106" s="1819"/>
      <c r="CO106" s="1818"/>
      <c r="CP106" s="1711"/>
      <c r="CQ106" s="1716"/>
      <c r="CR106" s="1819"/>
    </row>
    <row r="107" spans="1:96" ht="13.5">
      <c r="A107" s="1683"/>
      <c r="B107" s="1683"/>
      <c r="C107" s="1683"/>
      <c r="D107" s="1683"/>
      <c r="E107" s="1683"/>
      <c r="F107" s="1683"/>
      <c r="G107" s="1683"/>
      <c r="H107" s="1683"/>
      <c r="I107" s="1683"/>
      <c r="J107" s="1683"/>
      <c r="K107" s="1683"/>
      <c r="L107" s="1683"/>
      <c r="M107" s="1683"/>
      <c r="N107" s="1683"/>
      <c r="O107" s="1683"/>
      <c r="P107" s="1683"/>
      <c r="Q107" s="1683"/>
      <c r="R107" s="1683"/>
      <c r="S107" s="1683"/>
      <c r="T107" s="1683"/>
      <c r="U107" s="1683"/>
      <c r="V107" s="1683"/>
      <c r="W107" s="1683"/>
      <c r="X107" s="1683"/>
      <c r="Y107" s="1683"/>
      <c r="Z107" s="1683"/>
      <c r="AA107" s="1683"/>
      <c r="AB107" s="1683"/>
      <c r="AC107" s="1683"/>
      <c r="AD107" s="1683"/>
      <c r="AE107" s="1683"/>
      <c r="AF107" s="1683"/>
      <c r="AG107" s="1683"/>
      <c r="AH107" s="1683"/>
      <c r="AI107" s="1683"/>
      <c r="AJ107" s="1683"/>
      <c r="AK107" s="1683"/>
      <c r="AL107" s="1683"/>
      <c r="AM107" s="1683"/>
      <c r="AN107" s="1683"/>
      <c r="AO107" s="1683"/>
      <c r="AP107" s="1683"/>
      <c r="AQ107" s="1683"/>
      <c r="AR107" s="1683"/>
      <c r="AS107" s="1683"/>
      <c r="AT107" s="1683"/>
      <c r="AU107" s="1683"/>
      <c r="AV107" s="1683"/>
      <c r="AW107" s="1683"/>
      <c r="AX107" s="1683"/>
      <c r="AY107" s="1683"/>
      <c r="AZ107" s="1683"/>
      <c r="BA107" s="1683"/>
      <c r="BB107" s="1683"/>
      <c r="BC107" s="1683"/>
      <c r="BD107" s="1683"/>
      <c r="BE107" s="1753" t="s">
        <v>477</v>
      </c>
      <c r="BF107" s="1754"/>
      <c r="BG107" s="1755">
        <f>SUM(BG4:BG106)</f>
        <v>58245</v>
      </c>
      <c r="BH107" s="1755">
        <f>SUM(BH4:BH106)</f>
        <v>0</v>
      </c>
      <c r="BI107" s="1753" t="s">
        <v>477</v>
      </c>
      <c r="BJ107" s="1754"/>
      <c r="BK107" s="1755">
        <f>SUM(BK4:BK106)</f>
        <v>4730</v>
      </c>
      <c r="BL107" s="1755">
        <f>SUM(BL4:BL106)</f>
        <v>0</v>
      </c>
      <c r="BM107" s="1753" t="s">
        <v>477</v>
      </c>
      <c r="BN107" s="1754"/>
      <c r="BO107" s="1755">
        <f>SUM(BO4:BO106)</f>
        <v>5921</v>
      </c>
      <c r="BP107" s="1755">
        <f>SUM(BP4:BP106)</f>
        <v>0</v>
      </c>
      <c r="BQ107" s="1753" t="s">
        <v>477</v>
      </c>
      <c r="BR107" s="1754"/>
      <c r="BS107" s="1755">
        <f>SUM(BS4:BS106)</f>
        <v>6952.5</v>
      </c>
      <c r="BT107" s="1755">
        <f>SUM(BT4:BT106)</f>
        <v>0</v>
      </c>
      <c r="BU107" s="1683"/>
      <c r="BV107" s="1683"/>
      <c r="BW107" s="1683"/>
      <c r="BX107" s="1683"/>
      <c r="BY107" s="1683"/>
      <c r="BZ107" s="1683"/>
      <c r="CA107" s="1683"/>
      <c r="CB107" s="1683"/>
      <c r="CC107" s="1702">
        <v>44772</v>
      </c>
      <c r="CD107" s="1711" t="s">
        <v>5894</v>
      </c>
      <c r="CE107" s="1716">
        <v>20</v>
      </c>
      <c r="CF107" s="1710" t="s">
        <v>426</v>
      </c>
      <c r="CG107" s="1702"/>
      <c r="CH107" s="1711"/>
      <c r="CI107" s="1716"/>
      <c r="CJ107" s="1788"/>
      <c r="CK107" s="1818"/>
      <c r="CL107" s="1711"/>
      <c r="CM107" s="1716"/>
      <c r="CN107" s="1819"/>
      <c r="CO107" s="1818"/>
      <c r="CP107" s="1711"/>
      <c r="CQ107" s="1716"/>
      <c r="CR107" s="1819"/>
    </row>
    <row r="108" spans="1:96" ht="13.5">
      <c r="A108" s="1683"/>
      <c r="B108" s="1683"/>
      <c r="C108" s="1683"/>
      <c r="D108" s="1683"/>
      <c r="E108" s="1683"/>
      <c r="F108" s="1683"/>
      <c r="G108" s="1683"/>
      <c r="H108" s="1683"/>
      <c r="I108" s="1683"/>
      <c r="J108" s="1683"/>
      <c r="K108" s="1683"/>
      <c r="L108" s="1683"/>
      <c r="M108" s="1683"/>
      <c r="N108" s="1683"/>
      <c r="O108" s="1683"/>
      <c r="P108" s="1683"/>
      <c r="Q108" s="1683"/>
      <c r="R108" s="1683"/>
      <c r="S108" s="1683"/>
      <c r="T108" s="1683"/>
      <c r="U108" s="1683"/>
      <c r="V108" s="1683"/>
      <c r="W108" s="1683"/>
      <c r="X108" s="1683"/>
      <c r="Y108" s="1683"/>
      <c r="Z108" s="1683"/>
      <c r="AA108" s="1683"/>
      <c r="AB108" s="1683"/>
      <c r="AC108" s="1683"/>
      <c r="AD108" s="1683"/>
      <c r="AE108" s="1683"/>
      <c r="AF108" s="1683"/>
      <c r="AG108" s="1683"/>
      <c r="AH108" s="1683"/>
      <c r="AI108" s="1683"/>
      <c r="AJ108" s="1683"/>
      <c r="AK108" s="1683"/>
      <c r="AL108" s="1683"/>
      <c r="AM108" s="1683"/>
      <c r="AN108" s="1683"/>
      <c r="AO108" s="1683"/>
      <c r="AP108" s="1683"/>
      <c r="AQ108" s="1683"/>
      <c r="AR108" s="1683"/>
      <c r="AS108" s="1683"/>
      <c r="AT108" s="1683"/>
      <c r="AU108" s="1683"/>
      <c r="AV108" s="1683"/>
      <c r="AW108" s="1683"/>
      <c r="AX108" s="1683"/>
      <c r="AY108" s="1683"/>
      <c r="AZ108" s="1683"/>
      <c r="BA108" s="1683"/>
      <c r="BB108" s="1683"/>
      <c r="BC108" s="1683"/>
      <c r="BD108" s="1683"/>
      <c r="BE108" s="1757" t="s">
        <v>1672</v>
      </c>
      <c r="BF108" s="1758"/>
      <c r="BG108" s="1759"/>
      <c r="BH108" s="1760"/>
      <c r="BI108" s="1757" t="s">
        <v>1672</v>
      </c>
      <c r="BJ108" s="1758"/>
      <c r="BK108" s="1759"/>
      <c r="BL108" s="1760"/>
      <c r="BM108" s="1757" t="s">
        <v>1672</v>
      </c>
      <c r="BN108" s="1758"/>
      <c r="BO108" s="1759"/>
      <c r="BP108" s="1760"/>
      <c r="BQ108" s="1757" t="s">
        <v>1672</v>
      </c>
      <c r="BR108" s="1758"/>
      <c r="BS108" s="1759"/>
      <c r="BT108" s="1760"/>
      <c r="BU108" s="1683"/>
      <c r="BV108" s="1683"/>
      <c r="BW108" s="1683"/>
      <c r="BX108" s="1683"/>
      <c r="BY108" s="1683"/>
      <c r="BZ108" s="1683"/>
      <c r="CA108" s="1683"/>
      <c r="CB108" s="1683"/>
      <c r="CC108" s="1702"/>
      <c r="CD108" s="1711"/>
      <c r="CE108" s="1716"/>
      <c r="CF108" s="1710"/>
      <c r="CG108" s="1702"/>
      <c r="CH108" s="1711"/>
      <c r="CI108" s="1716"/>
      <c r="CJ108" s="1788"/>
      <c r="CK108" s="1818"/>
      <c r="CL108" s="1711"/>
      <c r="CM108" s="1716"/>
      <c r="CN108" s="1819"/>
      <c r="CO108" s="1818"/>
      <c r="CP108" s="1711"/>
      <c r="CQ108" s="1716"/>
      <c r="CR108" s="1819"/>
    </row>
    <row r="109" spans="1:96" ht="13.5">
      <c r="A109" s="1683"/>
      <c r="B109" s="1683"/>
      <c r="C109" s="1683"/>
      <c r="D109" s="1683"/>
      <c r="E109" s="1683"/>
      <c r="F109" s="1683"/>
      <c r="G109" s="1683"/>
      <c r="H109" s="1683"/>
      <c r="I109" s="1683"/>
      <c r="J109" s="1683"/>
      <c r="K109" s="1683"/>
      <c r="L109" s="1683"/>
      <c r="M109" s="1683"/>
      <c r="N109" s="1683"/>
      <c r="O109" s="1683"/>
      <c r="P109" s="1683"/>
      <c r="Q109" s="1683"/>
      <c r="R109" s="1683"/>
      <c r="S109" s="1683"/>
      <c r="T109" s="1683"/>
      <c r="U109" s="1683"/>
      <c r="V109" s="1683"/>
      <c r="W109" s="1683"/>
      <c r="X109" s="1683"/>
      <c r="Y109" s="1683"/>
      <c r="Z109" s="1683"/>
      <c r="AA109" s="1683"/>
      <c r="AB109" s="1683"/>
      <c r="AC109" s="1683"/>
      <c r="AD109" s="1683"/>
      <c r="AE109" s="1683"/>
      <c r="AF109" s="1683"/>
      <c r="AG109" s="1683"/>
      <c r="AH109" s="1683"/>
      <c r="AI109" s="1683"/>
      <c r="AJ109" s="1683"/>
      <c r="AK109" s="1683"/>
      <c r="AL109" s="1683"/>
      <c r="AM109" s="1683"/>
      <c r="AN109" s="1683"/>
      <c r="AO109" s="1683"/>
      <c r="AP109" s="1683"/>
      <c r="AQ109" s="1683"/>
      <c r="AR109" s="1683"/>
      <c r="AS109" s="1683"/>
      <c r="AT109" s="1683"/>
      <c r="AU109" s="1683"/>
      <c r="AV109" s="1683"/>
      <c r="AW109" s="1683"/>
      <c r="AX109" s="1683"/>
      <c r="AY109" s="1683"/>
      <c r="AZ109" s="1683"/>
      <c r="BA109" s="1683"/>
      <c r="BB109" s="1683"/>
      <c r="BC109" s="1683"/>
      <c r="BD109" s="1683"/>
      <c r="BE109" s="1762" t="s">
        <v>138</v>
      </c>
      <c r="BF109" s="1763"/>
      <c r="BG109" s="1764">
        <f>SUM(BG107,BH107)</f>
        <v>58245</v>
      </c>
      <c r="BH109" s="1765"/>
      <c r="BI109" s="1762" t="s">
        <v>138</v>
      </c>
      <c r="BJ109" s="1763"/>
      <c r="BK109" s="1764">
        <f>SUM(BK107,BL107)</f>
        <v>4730</v>
      </c>
      <c r="BL109" s="1765"/>
      <c r="BM109" s="1762" t="s">
        <v>138</v>
      </c>
      <c r="BN109" s="1763"/>
      <c r="BO109" s="1764">
        <f>SUM(BO107,BP107)</f>
        <v>5921</v>
      </c>
      <c r="BP109" s="1765"/>
      <c r="BQ109" s="1762" t="s">
        <v>138</v>
      </c>
      <c r="BR109" s="1763"/>
      <c r="BS109" s="1764">
        <f>SUM(BS107,BT107)</f>
        <v>6952.5</v>
      </c>
      <c r="BT109" s="1765"/>
      <c r="BU109" s="1683"/>
      <c r="BV109" s="1683"/>
      <c r="BW109" s="1683"/>
      <c r="BX109" s="1683"/>
      <c r="BY109" s="1683"/>
      <c r="BZ109" s="1683"/>
      <c r="CA109" s="1683"/>
      <c r="CB109" s="1683"/>
      <c r="CC109" s="1702"/>
      <c r="CD109" s="1711"/>
      <c r="CE109" s="1716"/>
      <c r="CF109" s="1710"/>
      <c r="CG109" s="1702"/>
      <c r="CH109" s="1711"/>
      <c r="CI109" s="1716"/>
      <c r="CJ109" s="1788"/>
      <c r="CK109" s="1818"/>
      <c r="CL109" s="1711"/>
      <c r="CM109" s="1716"/>
      <c r="CN109" s="1819"/>
      <c r="CO109" s="1818"/>
      <c r="CP109" s="1711"/>
      <c r="CQ109" s="1716"/>
      <c r="CR109" s="1819"/>
    </row>
    <row r="110" spans="1:96" ht="13.5">
      <c r="A110" s="1683"/>
      <c r="B110" s="1683"/>
      <c r="C110" s="1683"/>
      <c r="D110" s="1683"/>
      <c r="E110" s="1683"/>
      <c r="F110" s="1683"/>
      <c r="G110" s="1683"/>
      <c r="H110" s="1683"/>
      <c r="I110" s="1683"/>
      <c r="J110" s="1683"/>
      <c r="K110" s="1683"/>
      <c r="L110" s="1683"/>
      <c r="M110" s="1683"/>
      <c r="N110" s="1683"/>
      <c r="O110" s="1683"/>
      <c r="P110" s="1683"/>
      <c r="Q110" s="1683"/>
      <c r="R110" s="1683"/>
      <c r="S110" s="1683"/>
      <c r="T110" s="1683"/>
      <c r="U110" s="1683"/>
      <c r="V110" s="1683"/>
      <c r="W110" s="1683"/>
      <c r="X110" s="1683"/>
      <c r="Y110" s="1683"/>
      <c r="Z110" s="1683"/>
      <c r="AA110" s="1683"/>
      <c r="AB110" s="1683"/>
      <c r="AC110" s="1683"/>
      <c r="AD110" s="1683"/>
      <c r="AE110" s="1683"/>
      <c r="AF110" s="1683"/>
      <c r="AG110" s="1683"/>
      <c r="AH110" s="1683"/>
      <c r="AI110" s="1683"/>
      <c r="AJ110" s="1683"/>
      <c r="AK110" s="1683"/>
      <c r="AL110" s="1683"/>
      <c r="AM110" s="1683"/>
      <c r="AN110" s="1683"/>
      <c r="AO110" s="1683"/>
      <c r="AP110" s="1683"/>
      <c r="AQ110" s="1683"/>
      <c r="AR110" s="1683"/>
      <c r="AS110" s="1683"/>
      <c r="AT110" s="1683"/>
      <c r="AU110" s="1683"/>
      <c r="AV110" s="1683"/>
      <c r="AW110" s="1683"/>
      <c r="AX110" s="1683"/>
      <c r="AY110" s="1683"/>
      <c r="AZ110" s="1683"/>
      <c r="BA110" s="1683"/>
      <c r="BB110" s="1683"/>
      <c r="BC110" s="1683"/>
      <c r="BD110" s="1683"/>
      <c r="BE110" s="1683"/>
      <c r="BF110" s="1683"/>
      <c r="BG110" s="1683"/>
      <c r="BH110" s="1683"/>
      <c r="BI110" s="1683"/>
      <c r="BJ110" s="1683"/>
      <c r="BK110" s="1683"/>
      <c r="BL110" s="1683"/>
      <c r="BM110" s="1683"/>
      <c r="BN110" s="1683"/>
      <c r="BO110" s="1683"/>
      <c r="BP110" s="1683"/>
      <c r="BQ110" s="1683"/>
      <c r="BR110" s="1683"/>
      <c r="BS110" s="1683"/>
      <c r="BT110" s="1683"/>
      <c r="BU110" s="1683"/>
      <c r="BV110" s="1683"/>
      <c r="BW110" s="1683"/>
      <c r="BX110" s="1683"/>
      <c r="BY110" s="1683"/>
      <c r="BZ110" s="1683"/>
      <c r="CA110" s="1683"/>
      <c r="CB110" s="1683"/>
      <c r="CC110" s="1754" t="s">
        <v>477</v>
      </c>
      <c r="CD110" s="1754"/>
      <c r="CE110" s="1755">
        <f>SUM(CE4:CE109)</f>
        <v>5849</v>
      </c>
      <c r="CF110" s="1755">
        <f>SUM(CF4:CF109)</f>
        <v>0</v>
      </c>
      <c r="CG110" s="1754" t="s">
        <v>477</v>
      </c>
      <c r="CH110" s="1754"/>
      <c r="CI110" s="1755">
        <f>SUM(CI4:CI109)</f>
        <v>5945</v>
      </c>
      <c r="CJ110" s="1832">
        <f>SUM(CJ4:CJ109)</f>
        <v>0</v>
      </c>
      <c r="CK110" s="1822" t="s">
        <v>477</v>
      </c>
      <c r="CL110" s="1754"/>
      <c r="CM110" s="1755">
        <f>SUM(CM4:CM109)</f>
        <v>25454</v>
      </c>
      <c r="CN110" s="1823">
        <f>SUM(CN4:CN109)</f>
        <v>1.2294894796933615</v>
      </c>
      <c r="CO110" s="1822" t="s">
        <v>477</v>
      </c>
      <c r="CP110" s="1754"/>
      <c r="CQ110" s="1755">
        <f>SUM(CQ4:CQ109)</f>
        <v>5931.2299999999977</v>
      </c>
      <c r="CR110" s="1823">
        <f>SUM(CR4:CR109)</f>
        <v>0</v>
      </c>
    </row>
    <row r="111" spans="1:96" ht="13.5">
      <c r="A111" s="1683"/>
      <c r="B111" s="1683"/>
      <c r="C111" s="1683"/>
      <c r="D111" s="1683"/>
      <c r="E111" s="1683"/>
      <c r="F111" s="1683"/>
      <c r="G111" s="1683"/>
      <c r="H111" s="1683"/>
      <c r="I111" s="1683"/>
      <c r="J111" s="1683"/>
      <c r="K111" s="1683"/>
      <c r="L111" s="1683"/>
      <c r="M111" s="1683"/>
      <c r="N111" s="1683"/>
      <c r="O111" s="1683"/>
      <c r="P111" s="1683"/>
      <c r="Q111" s="1683"/>
      <c r="R111" s="1683"/>
      <c r="S111" s="1683"/>
      <c r="T111" s="1683"/>
      <c r="U111" s="1683"/>
      <c r="V111" s="1683"/>
      <c r="W111" s="1683"/>
      <c r="X111" s="1683"/>
      <c r="Y111" s="1683"/>
      <c r="Z111" s="1683"/>
      <c r="AA111" s="1683"/>
      <c r="AB111" s="1683"/>
      <c r="AC111" s="1683"/>
      <c r="AD111" s="1683"/>
      <c r="AE111" s="1683"/>
      <c r="AF111" s="1683"/>
      <c r="AG111" s="1683"/>
      <c r="AH111" s="1683"/>
      <c r="AI111" s="1683"/>
      <c r="AJ111" s="1683"/>
      <c r="AK111" s="1683"/>
      <c r="AL111" s="1683"/>
      <c r="AM111" s="1683"/>
      <c r="AN111" s="1683"/>
      <c r="AO111" s="1683"/>
      <c r="AP111" s="1683"/>
      <c r="AQ111" s="1683"/>
      <c r="AR111" s="1683"/>
      <c r="AS111" s="1683"/>
      <c r="AT111" s="1683"/>
      <c r="AU111" s="1683"/>
      <c r="AV111" s="1683"/>
      <c r="AW111" s="1683"/>
      <c r="AX111" s="1683"/>
      <c r="AY111" s="1683"/>
      <c r="AZ111" s="1683"/>
      <c r="BA111" s="1683"/>
      <c r="BB111" s="1683"/>
      <c r="BC111" s="1683"/>
      <c r="BD111" s="1683"/>
      <c r="BE111" s="1683"/>
      <c r="BF111" s="1683"/>
      <c r="BG111" s="1683"/>
      <c r="BH111" s="1683"/>
      <c r="BI111" s="1683"/>
      <c r="BJ111" s="1683"/>
      <c r="BK111" s="1683"/>
      <c r="BL111" s="1683"/>
      <c r="BM111" s="1683"/>
      <c r="BN111" s="1683"/>
      <c r="BO111" s="1683"/>
      <c r="BP111" s="1683"/>
      <c r="BQ111" s="1683"/>
      <c r="BR111" s="1683"/>
      <c r="BS111" s="1683"/>
      <c r="BT111" s="1683"/>
      <c r="BU111" s="1683"/>
      <c r="BV111" s="1683"/>
      <c r="BW111" s="1683"/>
      <c r="BX111" s="1683"/>
      <c r="BY111" s="1683"/>
      <c r="BZ111" s="1683"/>
      <c r="CA111" s="1683"/>
      <c r="CB111" s="1683"/>
      <c r="CC111" s="1758" t="s">
        <v>1672</v>
      </c>
      <c r="CD111" s="1758"/>
      <c r="CE111" s="1759"/>
      <c r="CF111" s="1760"/>
      <c r="CG111" s="1758" t="s">
        <v>1672</v>
      </c>
      <c r="CH111" s="1758"/>
      <c r="CI111" s="1759"/>
      <c r="CJ111" s="1833"/>
      <c r="CK111" s="1824" t="s">
        <v>1672</v>
      </c>
      <c r="CL111" s="1758"/>
      <c r="CM111" s="1759"/>
      <c r="CN111" s="1825"/>
      <c r="CO111" s="1824" t="s">
        <v>1672</v>
      </c>
      <c r="CP111" s="1758"/>
      <c r="CQ111" s="1759"/>
      <c r="CR111" s="1825"/>
    </row>
    <row r="112" spans="1:96" ht="13.5">
      <c r="A112" s="1683"/>
      <c r="B112" s="1683"/>
      <c r="C112" s="1683"/>
      <c r="D112" s="1683"/>
      <c r="E112" s="1683"/>
      <c r="F112" s="1683"/>
      <c r="G112" s="1683"/>
      <c r="H112" s="1683"/>
      <c r="I112" s="1683"/>
      <c r="J112" s="1683"/>
      <c r="K112" s="1683"/>
      <c r="L112" s="1683"/>
      <c r="M112" s="1683"/>
      <c r="N112" s="1683"/>
      <c r="O112" s="1683"/>
      <c r="P112" s="1683"/>
      <c r="Q112" s="1683"/>
      <c r="R112" s="1683"/>
      <c r="S112" s="1683"/>
      <c r="T112" s="1683"/>
      <c r="U112" s="1683"/>
      <c r="V112" s="1683"/>
      <c r="W112" s="1683"/>
      <c r="X112" s="1683"/>
      <c r="Y112" s="1683"/>
      <c r="Z112" s="1683"/>
      <c r="AA112" s="1683"/>
      <c r="AB112" s="1683"/>
      <c r="AC112" s="1683"/>
      <c r="AD112" s="1683"/>
      <c r="AE112" s="1683"/>
      <c r="AF112" s="1683"/>
      <c r="AG112" s="1683"/>
      <c r="AH112" s="1683"/>
      <c r="AI112" s="1683"/>
      <c r="AJ112" s="1683"/>
      <c r="AK112" s="1683"/>
      <c r="AL112" s="1683"/>
      <c r="AM112" s="1683"/>
      <c r="AN112" s="1683"/>
      <c r="AO112" s="1683"/>
      <c r="AP112" s="1683"/>
      <c r="AQ112" s="1683"/>
      <c r="AR112" s="1683"/>
      <c r="AS112" s="1683"/>
      <c r="AT112" s="1683"/>
      <c r="AU112" s="1683"/>
      <c r="AV112" s="1683"/>
      <c r="AW112" s="1683"/>
      <c r="AX112" s="1683"/>
      <c r="AY112" s="1683"/>
      <c r="AZ112" s="1683"/>
      <c r="BA112" s="1683"/>
      <c r="BB112" s="1683"/>
      <c r="BC112" s="1683"/>
      <c r="BD112" s="1683"/>
      <c r="BE112" s="1683"/>
      <c r="BF112" s="1683"/>
      <c r="BG112" s="1683"/>
      <c r="BH112" s="1683"/>
      <c r="BI112" s="1683"/>
      <c r="BJ112" s="1683"/>
      <c r="BK112" s="1683"/>
      <c r="BL112" s="1683"/>
      <c r="BM112" s="1683"/>
      <c r="BN112" s="1683"/>
      <c r="BO112" s="1683"/>
      <c r="BP112" s="1683"/>
      <c r="BQ112" s="1683"/>
      <c r="BR112" s="1683"/>
      <c r="BS112" s="1683"/>
      <c r="BT112" s="1683"/>
      <c r="BU112" s="1683"/>
      <c r="BV112" s="1683"/>
      <c r="BW112" s="1683"/>
      <c r="BX112" s="1683"/>
      <c r="BY112" s="1683"/>
      <c r="BZ112" s="1683"/>
      <c r="CA112" s="1683"/>
      <c r="CB112" s="1683"/>
      <c r="CC112" s="1778" t="s">
        <v>138</v>
      </c>
      <c r="CD112" s="1779"/>
      <c r="CE112" s="1764">
        <f>SUM(CE110,CF110)</f>
        <v>5849</v>
      </c>
      <c r="CF112" s="1765"/>
      <c r="CG112" s="1778" t="s">
        <v>138</v>
      </c>
      <c r="CH112" s="1779"/>
      <c r="CI112" s="1764">
        <f>SUM(CI110,CJ110)</f>
        <v>5945</v>
      </c>
      <c r="CJ112" s="1834"/>
      <c r="CK112" s="1826" t="s">
        <v>138</v>
      </c>
      <c r="CL112" s="1827"/>
      <c r="CM112" s="1828">
        <f>SUM(CM110,CN110)</f>
        <v>25455.229489479694</v>
      </c>
      <c r="CN112" s="1829"/>
      <c r="CO112" s="1826" t="s">
        <v>138</v>
      </c>
      <c r="CP112" s="1827"/>
      <c r="CQ112" s="1828">
        <f>SUM(CQ110,CR110)</f>
        <v>5931.2299999999977</v>
      </c>
      <c r="CR112" s="1829"/>
    </row>
  </sheetData>
  <phoneticPr fontId="4" type="noConversion"/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Monthly!$V$556:$V$584</xm:f>
          </x14:formula1>
          <xm:sqref>BX5:BX102 CB5:CB102 BT5:BT106 CF5:CF109 CJ5:CJ109 CN4:CN8 CN24:CN109 CR4:CR8 CR24:CR109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tabColor indexed="45"/>
  </sheetPr>
  <dimension ref="A1:CT183"/>
  <sheetViews>
    <sheetView topLeftCell="CM100" zoomScale="161" zoomScaleNormal="161" workbookViewId="0">
      <selection activeCell="CO72" sqref="CO72:CS183"/>
    </sheetView>
  </sheetViews>
  <sheetFormatPr defaultColWidth="8.85546875" defaultRowHeight="13.5"/>
  <cols>
    <col min="1" max="1" width="9" style="1683" bestFit="1" customWidth="1"/>
    <col min="2" max="2" width="39.28515625" style="1683" customWidth="1"/>
    <col min="3" max="3" width="11.140625" style="1683" customWidth="1"/>
    <col min="4" max="4" width="11.85546875" style="1683" customWidth="1"/>
    <col min="5" max="5" width="10.140625" style="1683" customWidth="1"/>
    <col min="6" max="6" width="41.28515625" style="1683" customWidth="1"/>
    <col min="7" max="7" width="11.7109375" style="1683" customWidth="1"/>
    <col min="8" max="8" width="10.7109375" style="1683" customWidth="1"/>
    <col min="9" max="9" width="9" style="1683" bestFit="1" customWidth="1"/>
    <col min="10" max="10" width="30.42578125" style="1683" customWidth="1"/>
    <col min="11" max="11" width="13" style="1683" customWidth="1"/>
    <col min="12" max="12" width="11.7109375" style="1683" customWidth="1"/>
    <col min="13" max="13" width="10.140625" style="1683" customWidth="1"/>
    <col min="14" max="14" width="34.85546875" style="1683" customWidth="1"/>
    <col min="15" max="15" width="14.85546875" style="1683" customWidth="1"/>
    <col min="16" max="16" width="11.7109375" style="1683" bestFit="1" customWidth="1"/>
    <col min="17" max="17" width="10" style="1683" customWidth="1"/>
    <col min="18" max="18" width="39.140625" style="1683" customWidth="1"/>
    <col min="19" max="19" width="14" style="1683" customWidth="1"/>
    <col min="20" max="20" width="8.28515625" style="1683" customWidth="1"/>
    <col min="21" max="21" width="10.7109375" style="1683" customWidth="1"/>
    <col min="22" max="22" width="46.7109375" style="1683" customWidth="1"/>
    <col min="23" max="23" width="12.28515625" style="1683" customWidth="1"/>
    <col min="24" max="25" width="9" style="1683" bestFit="1" customWidth="1"/>
    <col min="26" max="26" width="41.85546875" style="1683" customWidth="1"/>
    <col min="27" max="27" width="10" style="1683" bestFit="1" customWidth="1"/>
    <col min="28" max="29" width="9" style="1683" bestFit="1" customWidth="1"/>
    <col min="30" max="30" width="45" style="1683" customWidth="1"/>
    <col min="31" max="31" width="12" style="1683" customWidth="1"/>
    <col min="32" max="32" width="9" style="1683" bestFit="1" customWidth="1"/>
    <col min="33" max="33" width="10.28515625" style="1683" customWidth="1"/>
    <col min="34" max="34" width="49.85546875" style="1683" customWidth="1"/>
    <col min="35" max="35" width="15.140625" style="1683" customWidth="1"/>
    <col min="36" max="37" width="9" style="1683" bestFit="1" customWidth="1"/>
    <col min="38" max="38" width="63.7109375" style="1683" customWidth="1"/>
    <col min="39" max="39" width="10" style="1683" bestFit="1" customWidth="1"/>
    <col min="40" max="41" width="9" style="1683" bestFit="1" customWidth="1"/>
    <col min="42" max="42" width="63.140625" style="1683" customWidth="1"/>
    <col min="43" max="43" width="14.28515625" style="1683" customWidth="1"/>
    <col min="44" max="45" width="9" style="1683" bestFit="1" customWidth="1"/>
    <col min="46" max="46" width="50.42578125" style="1683" customWidth="1"/>
    <col min="47" max="47" width="10.140625" style="1683" bestFit="1" customWidth="1"/>
    <col min="48" max="49" width="9" style="1683" bestFit="1" customWidth="1"/>
    <col min="50" max="50" width="50.42578125" style="1683" customWidth="1"/>
    <col min="51" max="51" width="10.140625" style="1683" bestFit="1" customWidth="1"/>
    <col min="52" max="53" width="9" style="1683" bestFit="1" customWidth="1"/>
    <col min="54" max="54" width="50.42578125" style="1683" customWidth="1"/>
    <col min="55" max="55" width="10.140625" style="1683" bestFit="1" customWidth="1"/>
    <col min="56" max="57" width="9" style="1683" bestFit="1" customWidth="1"/>
    <col min="58" max="58" width="50.42578125" style="1683" customWidth="1"/>
    <col min="59" max="59" width="10.140625" style="1683" bestFit="1" customWidth="1"/>
    <col min="60" max="61" width="9" style="1683" bestFit="1" customWidth="1"/>
    <col min="62" max="62" width="63" style="1683" customWidth="1"/>
    <col min="63" max="63" width="10.140625" style="1683" bestFit="1" customWidth="1"/>
    <col min="64" max="65" width="9" style="1683" bestFit="1" customWidth="1"/>
    <col min="66" max="66" width="63" style="1683" customWidth="1"/>
    <col min="67" max="67" width="10.140625" style="1683" bestFit="1" customWidth="1"/>
    <col min="68" max="69" width="9" style="1683" bestFit="1" customWidth="1"/>
    <col min="70" max="70" width="63" style="1683" customWidth="1"/>
    <col min="71" max="71" width="10.140625" style="1683" bestFit="1" customWidth="1"/>
    <col min="72" max="72" width="9" style="1802" bestFit="1" customWidth="1"/>
    <col min="73" max="73" width="9" style="1683" bestFit="1" customWidth="1"/>
    <col min="74" max="74" width="63" style="1683" customWidth="1"/>
    <col min="75" max="75" width="10.7109375" style="1683" bestFit="1" customWidth="1"/>
    <col min="76" max="76" width="9" style="1802" bestFit="1" customWidth="1"/>
    <col min="77" max="77" width="9" style="1683" bestFit="1" customWidth="1"/>
    <col min="78" max="78" width="63" style="1683" customWidth="1"/>
    <col min="79" max="79" width="10.140625" style="1683" bestFit="1" customWidth="1"/>
    <col min="80" max="80" width="9" style="1802" bestFit="1" customWidth="1"/>
    <col min="81" max="81" width="9" style="1683" bestFit="1" customWidth="1"/>
    <col min="82" max="82" width="63" style="1683" customWidth="1"/>
    <col min="83" max="83" width="12" style="1683" bestFit="1" customWidth="1"/>
    <col min="84" max="84" width="9" style="1802" bestFit="1" customWidth="1"/>
    <col min="85" max="85" width="9" style="1683" bestFit="1" customWidth="1"/>
    <col min="86" max="86" width="66.140625" style="1683" customWidth="1"/>
    <col min="87" max="87" width="11.28515625" style="1683" bestFit="1" customWidth="1"/>
    <col min="88" max="88" width="9" style="1802" bestFit="1" customWidth="1"/>
    <col min="89" max="89" width="9" style="1683" bestFit="1" customWidth="1"/>
    <col min="90" max="90" width="66.140625" style="1683" customWidth="1"/>
    <col min="91" max="91" width="12" style="1683" bestFit="1" customWidth="1"/>
    <col min="92" max="92" width="12.28515625" style="1802" customWidth="1"/>
    <col min="93" max="93" width="9.5703125" style="1683" customWidth="1"/>
    <col min="94" max="94" width="58.28515625" style="1683" customWidth="1"/>
    <col min="95" max="95" width="15.5703125" style="1683" customWidth="1"/>
    <col min="96" max="96" width="22" style="1683" customWidth="1"/>
    <col min="97" max="97" width="15.5703125" style="1683" customWidth="1"/>
    <col min="98" max="16384" width="8.85546875" style="1683"/>
  </cols>
  <sheetData>
    <row r="1" spans="1:96" s="1900" customFormat="1">
      <c r="A1" s="1890"/>
      <c r="B1" s="1891" t="s">
        <v>5895</v>
      </c>
      <c r="C1" s="1892"/>
      <c r="D1" s="1893"/>
      <c r="E1" s="1892"/>
      <c r="F1" s="1891" t="s">
        <v>5896</v>
      </c>
      <c r="G1" s="1892"/>
      <c r="H1" s="1893"/>
      <c r="I1" s="1892"/>
      <c r="J1" s="1891" t="s">
        <v>5897</v>
      </c>
      <c r="K1" s="1892"/>
      <c r="L1" s="1893"/>
      <c r="M1" s="1892"/>
      <c r="N1" s="1891" t="s">
        <v>5898</v>
      </c>
      <c r="O1" s="1892"/>
      <c r="P1" s="1893"/>
      <c r="Q1" s="1892"/>
      <c r="R1" s="1891" t="s">
        <v>5899</v>
      </c>
      <c r="S1" s="1892"/>
      <c r="T1" s="1893"/>
      <c r="U1" s="1892"/>
      <c r="V1" s="1891" t="s">
        <v>5900</v>
      </c>
      <c r="W1" s="1892"/>
      <c r="X1" s="1893"/>
      <c r="Y1" s="1892"/>
      <c r="Z1" s="1891" t="s">
        <v>5901</v>
      </c>
      <c r="AA1" s="1892"/>
      <c r="AB1" s="1893"/>
      <c r="AC1" s="1892"/>
      <c r="AD1" s="1891" t="s">
        <v>5902</v>
      </c>
      <c r="AE1" s="1892"/>
      <c r="AF1" s="1893"/>
      <c r="AG1" s="1892"/>
      <c r="AH1" s="1891" t="s">
        <v>5903</v>
      </c>
      <c r="AI1" s="1892"/>
      <c r="AJ1" s="1893"/>
      <c r="AK1" s="1892"/>
      <c r="AL1" s="1891" t="s">
        <v>5904</v>
      </c>
      <c r="AM1" s="1892"/>
      <c r="AN1" s="1893"/>
      <c r="AO1" s="1892"/>
      <c r="AP1" s="1891" t="s">
        <v>5905</v>
      </c>
      <c r="AQ1" s="1892"/>
      <c r="AR1" s="1893"/>
      <c r="AS1" s="1892"/>
      <c r="AT1" s="1891" t="s">
        <v>5906</v>
      </c>
      <c r="AU1" s="1892"/>
      <c r="AV1" s="1893"/>
      <c r="AW1" s="1892"/>
      <c r="AX1" s="1891" t="s">
        <v>5907</v>
      </c>
      <c r="AY1" s="1892"/>
      <c r="AZ1" s="1893"/>
      <c r="BA1" s="1892"/>
      <c r="BB1" s="1891" t="s">
        <v>5908</v>
      </c>
      <c r="BC1" s="1892"/>
      <c r="BD1" s="1893"/>
      <c r="BE1" s="1892"/>
      <c r="BF1" s="1891" t="s">
        <v>5909</v>
      </c>
      <c r="BG1" s="1892"/>
      <c r="BH1" s="1893"/>
      <c r="BI1" s="1892"/>
      <c r="BJ1" s="1891" t="s">
        <v>5910</v>
      </c>
      <c r="BK1" s="1892"/>
      <c r="BL1" s="1893"/>
      <c r="BM1" s="1892"/>
      <c r="BN1" s="1891" t="s">
        <v>5911</v>
      </c>
      <c r="BO1" s="1892"/>
      <c r="BP1" s="1893"/>
      <c r="BQ1" s="1892"/>
      <c r="BR1" s="1891" t="s">
        <v>5912</v>
      </c>
      <c r="BS1" s="1892"/>
      <c r="BT1" s="1894"/>
      <c r="BU1" s="1892"/>
      <c r="BV1" s="1891" t="s">
        <v>5913</v>
      </c>
      <c r="BW1" s="1892"/>
      <c r="BX1" s="1894"/>
      <c r="BY1" s="1895"/>
      <c r="BZ1" s="1896" t="s">
        <v>5914</v>
      </c>
      <c r="CA1" s="1895"/>
      <c r="CB1" s="1897"/>
      <c r="CC1" s="1898"/>
      <c r="CD1" s="1896" t="s">
        <v>5915</v>
      </c>
      <c r="CE1" s="1895"/>
      <c r="CF1" s="1897"/>
      <c r="CG1" s="1898"/>
      <c r="CH1" s="1896" t="s">
        <v>5916</v>
      </c>
      <c r="CI1" s="1895"/>
      <c r="CJ1" s="1897"/>
      <c r="CK1" s="1898"/>
      <c r="CL1" s="1896" t="s">
        <v>5917</v>
      </c>
      <c r="CM1" s="1895"/>
      <c r="CN1" s="1899"/>
      <c r="CO1" s="1898"/>
      <c r="CP1" s="1896" t="s">
        <v>5917</v>
      </c>
      <c r="CQ1" s="1895"/>
      <c r="CR1" s="1899"/>
    </row>
    <row r="2" spans="1:96" s="1900" customFormat="1">
      <c r="A2" s="1901" t="s">
        <v>740</v>
      </c>
      <c r="B2" s="1901" t="s">
        <v>138</v>
      </c>
      <c r="C2" s="1902" t="s">
        <v>741</v>
      </c>
      <c r="D2" s="1903" t="s">
        <v>742</v>
      </c>
      <c r="E2" s="1901" t="s">
        <v>740</v>
      </c>
      <c r="F2" s="1901" t="s">
        <v>138</v>
      </c>
      <c r="G2" s="1902" t="s">
        <v>741</v>
      </c>
      <c r="H2" s="1903" t="s">
        <v>742</v>
      </c>
      <c r="I2" s="1901" t="s">
        <v>740</v>
      </c>
      <c r="J2" s="1901" t="s">
        <v>138</v>
      </c>
      <c r="K2" s="1902" t="s">
        <v>741</v>
      </c>
      <c r="L2" s="1903" t="s">
        <v>742</v>
      </c>
      <c r="M2" s="1901" t="s">
        <v>740</v>
      </c>
      <c r="N2" s="1901" t="s">
        <v>138</v>
      </c>
      <c r="O2" s="1902" t="s">
        <v>741</v>
      </c>
      <c r="P2" s="1903" t="s">
        <v>742</v>
      </c>
      <c r="Q2" s="1901" t="s">
        <v>740</v>
      </c>
      <c r="R2" s="1901" t="s">
        <v>138</v>
      </c>
      <c r="S2" s="1902" t="s">
        <v>741</v>
      </c>
      <c r="T2" s="1903" t="s">
        <v>742</v>
      </c>
      <c r="U2" s="1901" t="s">
        <v>740</v>
      </c>
      <c r="V2" s="1901" t="s">
        <v>138</v>
      </c>
      <c r="W2" s="1902" t="s">
        <v>741</v>
      </c>
      <c r="X2" s="1903" t="s">
        <v>742</v>
      </c>
      <c r="Y2" s="1901" t="s">
        <v>740</v>
      </c>
      <c r="Z2" s="1901" t="s">
        <v>138</v>
      </c>
      <c r="AA2" s="1902" t="s">
        <v>741</v>
      </c>
      <c r="AB2" s="1903" t="s">
        <v>742</v>
      </c>
      <c r="AC2" s="1901" t="s">
        <v>740</v>
      </c>
      <c r="AD2" s="1901" t="s">
        <v>138</v>
      </c>
      <c r="AE2" s="1902" t="s">
        <v>741</v>
      </c>
      <c r="AF2" s="1903" t="s">
        <v>742</v>
      </c>
      <c r="AG2" s="1901" t="s">
        <v>740</v>
      </c>
      <c r="AH2" s="1901" t="s">
        <v>138</v>
      </c>
      <c r="AI2" s="1902" t="s">
        <v>741</v>
      </c>
      <c r="AJ2" s="1903" t="s">
        <v>742</v>
      </c>
      <c r="AK2" s="1901" t="s">
        <v>740</v>
      </c>
      <c r="AL2" s="1901" t="s">
        <v>138</v>
      </c>
      <c r="AM2" s="1902" t="s">
        <v>741</v>
      </c>
      <c r="AN2" s="1903" t="s">
        <v>742</v>
      </c>
      <c r="AO2" s="1901" t="s">
        <v>740</v>
      </c>
      <c r="AP2" s="1901" t="s">
        <v>138</v>
      </c>
      <c r="AQ2" s="1902" t="s">
        <v>741</v>
      </c>
      <c r="AR2" s="1903" t="s">
        <v>742</v>
      </c>
      <c r="AS2" s="1901" t="s">
        <v>740</v>
      </c>
      <c r="AT2" s="1901" t="s">
        <v>138</v>
      </c>
      <c r="AU2" s="1902" t="s">
        <v>741</v>
      </c>
      <c r="AV2" s="1903" t="s">
        <v>742</v>
      </c>
      <c r="AW2" s="1901" t="s">
        <v>740</v>
      </c>
      <c r="AX2" s="1901" t="s">
        <v>138</v>
      </c>
      <c r="AY2" s="1902" t="s">
        <v>741</v>
      </c>
      <c r="AZ2" s="1903" t="s">
        <v>742</v>
      </c>
      <c r="BA2" s="1901" t="s">
        <v>740</v>
      </c>
      <c r="BB2" s="1901" t="s">
        <v>138</v>
      </c>
      <c r="BC2" s="1902" t="s">
        <v>741</v>
      </c>
      <c r="BD2" s="1903" t="s">
        <v>742</v>
      </c>
      <c r="BE2" s="1901" t="s">
        <v>740</v>
      </c>
      <c r="BF2" s="1901" t="s">
        <v>138</v>
      </c>
      <c r="BG2" s="1902" t="s">
        <v>741</v>
      </c>
      <c r="BH2" s="1903" t="s">
        <v>742</v>
      </c>
      <c r="BI2" s="1901" t="s">
        <v>740</v>
      </c>
      <c r="BJ2" s="1901" t="s">
        <v>138</v>
      </c>
      <c r="BK2" s="1902" t="s">
        <v>741</v>
      </c>
      <c r="BL2" s="1903" t="s">
        <v>742</v>
      </c>
      <c r="BM2" s="1901" t="s">
        <v>740</v>
      </c>
      <c r="BN2" s="1901" t="s">
        <v>138</v>
      </c>
      <c r="BO2" s="1902" t="s">
        <v>741</v>
      </c>
      <c r="BP2" s="1903" t="s">
        <v>742</v>
      </c>
      <c r="BQ2" s="1901" t="s">
        <v>740</v>
      </c>
      <c r="BR2" s="1901" t="s">
        <v>138</v>
      </c>
      <c r="BS2" s="1902" t="s">
        <v>741</v>
      </c>
      <c r="BT2" s="1904" t="s">
        <v>742</v>
      </c>
      <c r="BU2" s="1901" t="s">
        <v>740</v>
      </c>
      <c r="BV2" s="1901" t="s">
        <v>138</v>
      </c>
      <c r="BW2" s="1902" t="s">
        <v>741</v>
      </c>
      <c r="BX2" s="1904" t="s">
        <v>742</v>
      </c>
      <c r="BY2" s="1901" t="s">
        <v>740</v>
      </c>
      <c r="BZ2" s="1901" t="s">
        <v>138</v>
      </c>
      <c r="CA2" s="1902" t="s">
        <v>741</v>
      </c>
      <c r="CB2" s="1904" t="s">
        <v>742</v>
      </c>
      <c r="CC2" s="1905" t="s">
        <v>740</v>
      </c>
      <c r="CD2" s="1901" t="s">
        <v>138</v>
      </c>
      <c r="CE2" s="1902" t="s">
        <v>741</v>
      </c>
      <c r="CF2" s="1904" t="s">
        <v>742</v>
      </c>
      <c r="CG2" s="1905" t="s">
        <v>740</v>
      </c>
      <c r="CH2" s="1901" t="s">
        <v>138</v>
      </c>
      <c r="CI2" s="1902" t="s">
        <v>741</v>
      </c>
      <c r="CJ2" s="1904" t="s">
        <v>742</v>
      </c>
      <c r="CK2" s="1905" t="s">
        <v>740</v>
      </c>
      <c r="CL2" s="1901" t="s">
        <v>138</v>
      </c>
      <c r="CM2" s="1902" t="s">
        <v>741</v>
      </c>
      <c r="CN2" s="1906" t="s">
        <v>742</v>
      </c>
      <c r="CO2" s="1905" t="s">
        <v>740</v>
      </c>
      <c r="CP2" s="1901" t="s">
        <v>138</v>
      </c>
      <c r="CQ2" s="1902" t="s">
        <v>741</v>
      </c>
      <c r="CR2" s="1906" t="s">
        <v>742</v>
      </c>
    </row>
    <row r="3" spans="1:96" s="1900" customFormat="1">
      <c r="A3" s="1901"/>
      <c r="B3" s="1901"/>
      <c r="C3" s="1902"/>
      <c r="D3" s="1903"/>
      <c r="E3" s="1903"/>
      <c r="F3" s="1901"/>
      <c r="G3" s="1902"/>
      <c r="H3" s="1903"/>
      <c r="I3" s="1903"/>
      <c r="J3" s="1901"/>
      <c r="K3" s="1902"/>
      <c r="L3" s="1903"/>
      <c r="M3" s="1903"/>
      <c r="N3" s="1901"/>
      <c r="O3" s="1902"/>
      <c r="P3" s="1903"/>
      <c r="Q3" s="1903"/>
      <c r="R3" s="1901"/>
      <c r="S3" s="1902"/>
      <c r="T3" s="1903"/>
      <c r="U3" s="1903"/>
      <c r="V3" s="1901"/>
      <c r="W3" s="1902"/>
      <c r="X3" s="1903"/>
      <c r="Y3" s="1903"/>
      <c r="Z3" s="1901"/>
      <c r="AA3" s="1902"/>
      <c r="AB3" s="1903"/>
      <c r="AC3" s="1903"/>
      <c r="AD3" s="1901"/>
      <c r="AE3" s="1902"/>
      <c r="AF3" s="1903"/>
      <c r="AG3" s="1903"/>
      <c r="AH3" s="1901"/>
      <c r="AI3" s="1902"/>
      <c r="AJ3" s="1903"/>
      <c r="AK3" s="1903"/>
      <c r="AL3" s="1901"/>
      <c r="AM3" s="1902"/>
      <c r="AN3" s="1903"/>
      <c r="AO3" s="1903"/>
      <c r="AP3" s="1901"/>
      <c r="AQ3" s="1902"/>
      <c r="AR3" s="1903"/>
      <c r="AS3" s="1903"/>
      <c r="AT3" s="1901"/>
      <c r="AU3" s="1902"/>
      <c r="AV3" s="1903"/>
      <c r="AW3" s="1903"/>
      <c r="AX3" s="1901"/>
      <c r="AY3" s="1902"/>
      <c r="AZ3" s="1903"/>
      <c r="BA3" s="1903"/>
      <c r="BB3" s="1901"/>
      <c r="BC3" s="1902"/>
      <c r="BD3" s="1903"/>
      <c r="BE3" s="1903"/>
      <c r="BF3" s="1901"/>
      <c r="BG3" s="1902"/>
      <c r="BH3" s="1903"/>
      <c r="BI3" s="1903"/>
      <c r="BJ3" s="1901"/>
      <c r="BK3" s="1902"/>
      <c r="BL3" s="1903"/>
      <c r="BM3" s="1903"/>
      <c r="BN3" s="1901"/>
      <c r="BO3" s="1902"/>
      <c r="BP3" s="1903"/>
      <c r="BQ3" s="1903"/>
      <c r="BR3" s="1901"/>
      <c r="BS3" s="1902"/>
      <c r="BT3" s="1904"/>
      <c r="BU3" s="1903"/>
      <c r="BV3" s="1901"/>
      <c r="BW3" s="1902"/>
      <c r="BX3" s="1904"/>
      <c r="BY3" s="1903"/>
      <c r="BZ3" s="1901"/>
      <c r="CA3" s="1902"/>
      <c r="CB3" s="1904"/>
      <c r="CC3" s="1907"/>
      <c r="CD3" s="1901"/>
      <c r="CE3" s="1902"/>
      <c r="CF3" s="1904"/>
      <c r="CG3" s="1907"/>
      <c r="CH3" s="1901"/>
      <c r="CI3" s="1902"/>
      <c r="CJ3" s="1904"/>
      <c r="CK3" s="1907"/>
      <c r="CL3" s="1901"/>
      <c r="CM3" s="1902"/>
      <c r="CN3" s="1906"/>
      <c r="CO3" s="1907"/>
      <c r="CP3" s="1901"/>
      <c r="CQ3" s="1902"/>
      <c r="CR3" s="1906"/>
    </row>
    <row r="4" spans="1:96">
      <c r="A4" s="1780">
        <v>37469</v>
      </c>
      <c r="B4" s="1711" t="s">
        <v>238</v>
      </c>
      <c r="C4" s="1716"/>
      <c r="D4" s="1717"/>
      <c r="E4" s="1781"/>
      <c r="F4" s="1711"/>
      <c r="G4" s="1704"/>
      <c r="H4" s="1705"/>
      <c r="I4" s="1781"/>
      <c r="J4" s="1711"/>
      <c r="K4" s="1704"/>
      <c r="L4" s="1705"/>
      <c r="M4" s="1781"/>
      <c r="N4" s="1711"/>
      <c r="O4" s="1704"/>
      <c r="P4" s="1705"/>
      <c r="Q4" s="1781"/>
      <c r="R4" s="1711"/>
      <c r="S4" s="1704"/>
      <c r="T4" s="1705"/>
      <c r="U4" s="1781"/>
      <c r="V4" s="1711"/>
      <c r="W4" s="1704"/>
      <c r="X4" s="1705"/>
      <c r="Y4" s="1781"/>
      <c r="Z4" s="1711"/>
      <c r="AA4" s="1704"/>
      <c r="AB4" s="1705"/>
      <c r="AC4" s="1781"/>
      <c r="AD4" s="1711"/>
      <c r="AE4" s="1704"/>
      <c r="AF4" s="1705"/>
      <c r="AG4" s="1781"/>
      <c r="AH4" s="1711"/>
      <c r="AI4" s="1704"/>
      <c r="AJ4" s="1705"/>
      <c r="AK4" s="1781"/>
      <c r="AL4" s="1711"/>
      <c r="AM4" s="1704"/>
      <c r="AN4" s="1705"/>
      <c r="AO4" s="1781"/>
      <c r="AP4" s="1711"/>
      <c r="AQ4" s="1704"/>
      <c r="AR4" s="1705"/>
      <c r="AS4" s="1781"/>
      <c r="AT4" s="1711"/>
      <c r="AU4" s="1704"/>
      <c r="AV4" s="1705"/>
      <c r="AW4" s="1781"/>
      <c r="AX4" s="1711"/>
      <c r="AY4" s="1704"/>
      <c r="AZ4" s="1705"/>
      <c r="BA4" s="1781"/>
      <c r="BB4" s="1711"/>
      <c r="BC4" s="1704"/>
      <c r="BD4" s="1705"/>
      <c r="BE4" s="1781"/>
      <c r="BF4" s="1711"/>
      <c r="BG4" s="1704"/>
      <c r="BH4" s="1705"/>
      <c r="BI4" s="1781"/>
      <c r="BJ4" s="1711"/>
      <c r="BK4" s="1704"/>
      <c r="BL4" s="1705"/>
      <c r="BM4" s="1781"/>
      <c r="BN4" s="1711"/>
      <c r="BO4" s="1704"/>
      <c r="BP4" s="1705"/>
      <c r="BQ4" s="1706">
        <v>43678</v>
      </c>
      <c r="BR4" s="1707" t="s">
        <v>759</v>
      </c>
      <c r="BS4" s="1708">
        <v>295</v>
      </c>
      <c r="BT4" s="1709" t="s">
        <v>689</v>
      </c>
      <c r="BU4" s="1706">
        <v>43678</v>
      </c>
      <c r="BV4" s="1707" t="s">
        <v>759</v>
      </c>
      <c r="BW4" s="1708">
        <v>295</v>
      </c>
      <c r="BX4" s="1710" t="s">
        <v>689</v>
      </c>
      <c r="BY4" s="1782">
        <v>43678</v>
      </c>
      <c r="BZ4" s="1783" t="s">
        <v>759</v>
      </c>
      <c r="CA4" s="1784">
        <v>0</v>
      </c>
      <c r="CB4" s="1785" t="s">
        <v>689</v>
      </c>
      <c r="CC4" s="1718">
        <v>43678</v>
      </c>
      <c r="CD4" s="1703" t="s">
        <v>5918</v>
      </c>
      <c r="CE4" s="1786">
        <v>319</v>
      </c>
      <c r="CF4" s="1787" t="s">
        <v>689</v>
      </c>
      <c r="CG4" s="1718">
        <v>43678</v>
      </c>
      <c r="CH4" s="1703" t="s">
        <v>5918</v>
      </c>
      <c r="CI4" s="1786">
        <v>319</v>
      </c>
      <c r="CJ4" s="1787" t="s">
        <v>689</v>
      </c>
      <c r="CK4" s="1847">
        <v>43678</v>
      </c>
      <c r="CL4" s="1738" t="s">
        <v>5918</v>
      </c>
      <c r="CM4" s="1839" t="s">
        <v>37</v>
      </c>
      <c r="CN4" s="1787" t="s">
        <v>689</v>
      </c>
      <c r="CO4" s="1847">
        <v>43678</v>
      </c>
      <c r="CP4" s="1738" t="s">
        <v>5919</v>
      </c>
      <c r="CQ4" s="1839">
        <v>2100</v>
      </c>
      <c r="CR4" s="1787" t="s">
        <v>689</v>
      </c>
    </row>
    <row r="5" spans="1:96">
      <c r="A5" s="1780">
        <v>37469</v>
      </c>
      <c r="B5" s="1711" t="s">
        <v>556</v>
      </c>
      <c r="C5" s="1716">
        <v>1075</v>
      </c>
      <c r="D5" s="1717"/>
      <c r="E5" s="1781">
        <v>37834</v>
      </c>
      <c r="F5" s="1711" t="s">
        <v>556</v>
      </c>
      <c r="G5" s="1704">
        <v>1075</v>
      </c>
      <c r="H5" s="1705"/>
      <c r="I5" s="1781">
        <v>37834</v>
      </c>
      <c r="J5" s="1711" t="s">
        <v>56</v>
      </c>
      <c r="K5" s="1704">
        <v>1605</v>
      </c>
      <c r="L5" s="1705">
        <v>800</v>
      </c>
      <c r="M5" s="1781">
        <v>38565</v>
      </c>
      <c r="N5" s="1711" t="s">
        <v>5920</v>
      </c>
      <c r="O5" s="1704">
        <v>54</v>
      </c>
      <c r="P5" s="1705"/>
      <c r="Q5" s="1781">
        <v>38930</v>
      </c>
      <c r="R5" s="1711" t="s">
        <v>2005</v>
      </c>
      <c r="S5" s="1704">
        <v>8</v>
      </c>
      <c r="T5" s="1705"/>
      <c r="U5" s="1781">
        <v>39295</v>
      </c>
      <c r="V5" s="1711" t="s">
        <v>797</v>
      </c>
      <c r="W5" s="1704">
        <v>48</v>
      </c>
      <c r="X5" s="1705"/>
      <c r="Y5" s="1781">
        <v>39661</v>
      </c>
      <c r="Z5" s="1711" t="s">
        <v>5921</v>
      </c>
      <c r="AA5" s="1704">
        <v>37</v>
      </c>
      <c r="AB5" s="1705"/>
      <c r="AC5" s="1781">
        <v>40026</v>
      </c>
      <c r="AD5" s="1711" t="s">
        <v>781</v>
      </c>
      <c r="AE5" s="1704">
        <v>76</v>
      </c>
      <c r="AF5" s="1705"/>
      <c r="AG5" s="1781">
        <v>40026</v>
      </c>
      <c r="AH5" s="1711" t="s">
        <v>781</v>
      </c>
      <c r="AI5" s="1704">
        <v>53</v>
      </c>
      <c r="AJ5" s="1705"/>
      <c r="AK5" s="1781">
        <v>40759</v>
      </c>
      <c r="AL5" s="1711" t="s">
        <v>1157</v>
      </c>
      <c r="AM5" s="1704">
        <v>15</v>
      </c>
      <c r="AN5" s="1705"/>
      <c r="AO5" s="1781">
        <v>41123</v>
      </c>
      <c r="AP5" s="1711" t="s">
        <v>5922</v>
      </c>
      <c r="AQ5" s="1704">
        <v>17</v>
      </c>
      <c r="AR5" s="1705"/>
      <c r="AS5" s="1781">
        <v>41487</v>
      </c>
      <c r="AT5" s="1711" t="s">
        <v>5923</v>
      </c>
      <c r="AU5" s="1704">
        <v>6</v>
      </c>
      <c r="AV5" s="1705"/>
      <c r="AW5" s="1781">
        <v>41852</v>
      </c>
      <c r="AX5" s="1711" t="s">
        <v>5924</v>
      </c>
      <c r="AY5" s="1704">
        <v>490</v>
      </c>
      <c r="AZ5" s="1705"/>
      <c r="BA5" s="1781">
        <v>42217</v>
      </c>
      <c r="BB5" s="1711" t="s">
        <v>5925</v>
      </c>
      <c r="BC5" s="1704">
        <v>41</v>
      </c>
      <c r="BD5" s="1705"/>
      <c r="BE5" s="1781">
        <v>42583</v>
      </c>
      <c r="BF5" s="1711" t="s">
        <v>5926</v>
      </c>
      <c r="BG5" s="1704">
        <v>375</v>
      </c>
      <c r="BH5" s="1705"/>
      <c r="BI5" s="1781">
        <v>42948</v>
      </c>
      <c r="BJ5" s="1711" t="s">
        <v>5927</v>
      </c>
      <c r="BK5" s="1704">
        <v>328</v>
      </c>
      <c r="BL5" s="1705"/>
      <c r="BM5" s="1781">
        <v>43315</v>
      </c>
      <c r="BN5" s="1711" t="s">
        <v>823</v>
      </c>
      <c r="BO5" s="1704">
        <v>28</v>
      </c>
      <c r="BP5" s="1705"/>
      <c r="BQ5" s="1781">
        <v>43678</v>
      </c>
      <c r="BR5" s="1711" t="s">
        <v>5928</v>
      </c>
      <c r="BS5" s="1704">
        <v>1492</v>
      </c>
      <c r="BT5" s="1710" t="s">
        <v>706</v>
      </c>
      <c r="BU5" s="1706">
        <v>43678</v>
      </c>
      <c r="BV5" s="1707" t="s">
        <v>5929</v>
      </c>
      <c r="BW5" s="1708">
        <v>30</v>
      </c>
      <c r="BX5" s="1710" t="s">
        <v>280</v>
      </c>
      <c r="BY5" s="1782">
        <v>43678</v>
      </c>
      <c r="BZ5" s="1703" t="s">
        <v>5930</v>
      </c>
      <c r="CA5" s="1704">
        <v>695</v>
      </c>
      <c r="CB5" s="1788" t="s">
        <v>689</v>
      </c>
      <c r="CC5" s="1718">
        <v>43678</v>
      </c>
      <c r="CD5" s="1703" t="s">
        <v>792</v>
      </c>
      <c r="CE5" s="1786">
        <v>75</v>
      </c>
      <c r="CF5" s="1787" t="s">
        <v>689</v>
      </c>
      <c r="CG5" s="1718">
        <v>43678</v>
      </c>
      <c r="CH5" s="1703" t="s">
        <v>792</v>
      </c>
      <c r="CI5" s="1786">
        <v>75</v>
      </c>
      <c r="CJ5" s="1787" t="s">
        <v>689</v>
      </c>
      <c r="CK5" s="1847">
        <v>43678</v>
      </c>
      <c r="CL5" s="1738" t="s">
        <v>792</v>
      </c>
      <c r="CM5" s="1839">
        <v>75</v>
      </c>
      <c r="CN5" s="1787" t="s">
        <v>689</v>
      </c>
      <c r="CO5" s="1847">
        <v>43678</v>
      </c>
      <c r="CP5" s="1738" t="s">
        <v>5931</v>
      </c>
      <c r="CQ5" s="1839">
        <v>1600</v>
      </c>
      <c r="CR5" s="1787" t="s">
        <v>689</v>
      </c>
    </row>
    <row r="6" spans="1:96">
      <c r="A6" s="1780">
        <v>37469</v>
      </c>
      <c r="B6" s="1711" t="s">
        <v>404</v>
      </c>
      <c r="C6" s="1716">
        <v>422</v>
      </c>
      <c r="D6" s="1717">
        <v>386</v>
      </c>
      <c r="E6" s="1781">
        <v>37834</v>
      </c>
      <c r="F6" s="1711" t="s">
        <v>276</v>
      </c>
      <c r="G6" s="1704">
        <v>421</v>
      </c>
      <c r="H6" s="1705">
        <v>600</v>
      </c>
      <c r="I6" s="1781">
        <v>37834</v>
      </c>
      <c r="J6" s="1711" t="s">
        <v>276</v>
      </c>
      <c r="K6" s="1704">
        <v>0</v>
      </c>
      <c r="L6" s="1705">
        <v>0</v>
      </c>
      <c r="M6" s="1781">
        <v>38569</v>
      </c>
      <c r="N6" s="1711" t="s">
        <v>5932</v>
      </c>
      <c r="O6" s="1704">
        <v>20</v>
      </c>
      <c r="P6" s="1705"/>
      <c r="Q6" s="1781">
        <v>38930</v>
      </c>
      <c r="R6" s="1711" t="s">
        <v>786</v>
      </c>
      <c r="S6" s="1704">
        <v>17</v>
      </c>
      <c r="T6" s="1705"/>
      <c r="U6" s="1781">
        <v>39297</v>
      </c>
      <c r="V6" s="1711" t="s">
        <v>5933</v>
      </c>
      <c r="W6" s="1704">
        <v>20</v>
      </c>
      <c r="X6" s="1705"/>
      <c r="Y6" s="1781">
        <v>39662</v>
      </c>
      <c r="Z6" s="1711" t="s">
        <v>5934</v>
      </c>
      <c r="AA6" s="1704">
        <v>48</v>
      </c>
      <c r="AB6" s="1705"/>
      <c r="AC6" s="1781">
        <v>40026</v>
      </c>
      <c r="AD6" s="1711" t="s">
        <v>5935</v>
      </c>
      <c r="AE6" s="1704">
        <v>10</v>
      </c>
      <c r="AF6" s="1705"/>
      <c r="AG6" s="1781">
        <v>40026</v>
      </c>
      <c r="AH6" s="1711" t="s">
        <v>937</v>
      </c>
      <c r="AI6" s="1704">
        <v>36</v>
      </c>
      <c r="AJ6" s="1705"/>
      <c r="AK6" s="1781">
        <v>40760</v>
      </c>
      <c r="AL6" s="1711" t="s">
        <v>5936</v>
      </c>
      <c r="AM6" s="1704">
        <v>30</v>
      </c>
      <c r="AN6" s="1705"/>
      <c r="AO6" s="1781">
        <v>41123</v>
      </c>
      <c r="AP6" s="1711" t="s">
        <v>5937</v>
      </c>
      <c r="AQ6" s="1704">
        <v>300</v>
      </c>
      <c r="AR6" s="1705"/>
      <c r="AS6" s="1781">
        <v>41488</v>
      </c>
      <c r="AT6" s="1711" t="s">
        <v>754</v>
      </c>
      <c r="AU6" s="1704">
        <v>95</v>
      </c>
      <c r="AV6" s="1705"/>
      <c r="AW6" s="1781">
        <v>41852</v>
      </c>
      <c r="AX6" s="1711" t="s">
        <v>5938</v>
      </c>
      <c r="AY6" s="1704">
        <v>1100</v>
      </c>
      <c r="AZ6" s="1705"/>
      <c r="BA6" s="1781">
        <v>42217</v>
      </c>
      <c r="BB6" s="1711" t="s">
        <v>5939</v>
      </c>
      <c r="BC6" s="1704">
        <v>3</v>
      </c>
      <c r="BD6" s="1705"/>
      <c r="BE6" s="1781">
        <v>42588</v>
      </c>
      <c r="BF6" s="1711" t="s">
        <v>5940</v>
      </c>
      <c r="BG6" s="1704">
        <v>41</v>
      </c>
      <c r="BH6" s="1705"/>
      <c r="BI6" s="1781">
        <v>42948</v>
      </c>
      <c r="BJ6" s="1711" t="s">
        <v>5941</v>
      </c>
      <c r="BK6" s="1704">
        <v>399</v>
      </c>
      <c r="BL6" s="1705"/>
      <c r="BM6" s="1781">
        <v>43316</v>
      </c>
      <c r="BN6" s="1711" t="s">
        <v>797</v>
      </c>
      <c r="BO6" s="1704">
        <v>56</v>
      </c>
      <c r="BP6" s="1705"/>
      <c r="BQ6" s="1781">
        <v>43679</v>
      </c>
      <c r="BR6" s="1711" t="s">
        <v>5942</v>
      </c>
      <c r="BS6" s="1704">
        <v>22</v>
      </c>
      <c r="BT6" s="1710" t="s">
        <v>426</v>
      </c>
      <c r="BU6" s="1706">
        <v>43678</v>
      </c>
      <c r="BV6" s="1707" t="s">
        <v>843</v>
      </c>
      <c r="BW6" s="1708">
        <v>56</v>
      </c>
      <c r="BX6" s="1710" t="s">
        <v>414</v>
      </c>
      <c r="BY6" s="1782">
        <v>43678</v>
      </c>
      <c r="BZ6" s="1703" t="s">
        <v>777</v>
      </c>
      <c r="CA6" s="1704">
        <v>308</v>
      </c>
      <c r="CB6" s="1788" t="s">
        <v>689</v>
      </c>
      <c r="CC6" s="1718">
        <v>43678</v>
      </c>
      <c r="CD6" s="1703" t="s">
        <v>5943</v>
      </c>
      <c r="CE6" s="1786">
        <v>750</v>
      </c>
      <c r="CF6" s="1787" t="s">
        <v>689</v>
      </c>
      <c r="CG6" s="1718">
        <v>43678</v>
      </c>
      <c r="CH6" s="1703" t="s">
        <v>5943</v>
      </c>
      <c r="CI6" s="1786">
        <v>750</v>
      </c>
      <c r="CJ6" s="1787" t="s">
        <v>689</v>
      </c>
      <c r="CK6" s="1847">
        <v>43678</v>
      </c>
      <c r="CL6" s="1738" t="s">
        <v>5944</v>
      </c>
      <c r="CM6" s="1839">
        <v>300</v>
      </c>
      <c r="CN6" s="1787" t="s">
        <v>689</v>
      </c>
      <c r="CO6" s="1847">
        <v>43678</v>
      </c>
      <c r="CP6" s="1738" t="s">
        <v>5944</v>
      </c>
      <c r="CQ6" s="1839">
        <v>300</v>
      </c>
      <c r="CR6" s="1787" t="s">
        <v>689</v>
      </c>
    </row>
    <row r="7" spans="1:96">
      <c r="A7" s="1780">
        <v>37469</v>
      </c>
      <c r="B7" s="1711" t="s">
        <v>400</v>
      </c>
      <c r="C7" s="1716">
        <v>200</v>
      </c>
      <c r="D7" s="1717">
        <v>154</v>
      </c>
      <c r="E7" s="1781">
        <v>37834</v>
      </c>
      <c r="F7" s="1711" t="s">
        <v>400</v>
      </c>
      <c r="G7" s="1704">
        <v>0</v>
      </c>
      <c r="H7" s="1705">
        <v>200</v>
      </c>
      <c r="I7" s="1781">
        <v>37834</v>
      </c>
      <c r="J7" s="1711" t="s">
        <v>400</v>
      </c>
      <c r="K7" s="1704">
        <v>0</v>
      </c>
      <c r="L7" s="1705">
        <v>297</v>
      </c>
      <c r="M7" s="1781">
        <v>38569</v>
      </c>
      <c r="N7" s="1711" t="s">
        <v>1157</v>
      </c>
      <c r="O7" s="1704">
        <v>6</v>
      </c>
      <c r="P7" s="1705"/>
      <c r="Q7" s="1781">
        <v>38930</v>
      </c>
      <c r="R7" s="1711" t="s">
        <v>5945</v>
      </c>
      <c r="S7" s="1704">
        <v>10</v>
      </c>
      <c r="T7" s="1705"/>
      <c r="U7" s="1781">
        <v>39297</v>
      </c>
      <c r="V7" s="1711" t="s">
        <v>5946</v>
      </c>
      <c r="W7" s="1704">
        <v>22</v>
      </c>
      <c r="X7" s="1705"/>
      <c r="Y7" s="1781">
        <v>39663</v>
      </c>
      <c r="Z7" s="1711" t="s">
        <v>5947</v>
      </c>
      <c r="AA7" s="1704">
        <v>14</v>
      </c>
      <c r="AB7" s="1705"/>
      <c r="AC7" s="1781">
        <v>40027</v>
      </c>
      <c r="AD7" s="1711" t="s">
        <v>797</v>
      </c>
      <c r="AE7" s="1704">
        <v>40</v>
      </c>
      <c r="AF7" s="1705"/>
      <c r="AG7" s="1781">
        <v>40026</v>
      </c>
      <c r="AH7" s="1711" t="s">
        <v>5948</v>
      </c>
      <c r="AI7" s="1704">
        <v>2</v>
      </c>
      <c r="AJ7" s="1705"/>
      <c r="AK7" s="1781">
        <v>40761</v>
      </c>
      <c r="AL7" s="1711" t="s">
        <v>2367</v>
      </c>
      <c r="AM7" s="1704">
        <v>15</v>
      </c>
      <c r="AN7" s="1705"/>
      <c r="AO7" s="1781">
        <v>41123</v>
      </c>
      <c r="AP7" s="1711" t="s">
        <v>5949</v>
      </c>
      <c r="AQ7" s="1704">
        <v>170</v>
      </c>
      <c r="AR7" s="1705"/>
      <c r="AS7" s="1781">
        <v>41489</v>
      </c>
      <c r="AT7" s="1711" t="s">
        <v>781</v>
      </c>
      <c r="AU7" s="1704">
        <v>114</v>
      </c>
      <c r="AV7" s="1705"/>
      <c r="AW7" s="1781">
        <v>41852</v>
      </c>
      <c r="AX7" s="1711" t="s">
        <v>5950</v>
      </c>
      <c r="AY7" s="1704">
        <v>30</v>
      </c>
      <c r="AZ7" s="1705"/>
      <c r="BA7" s="1781">
        <v>42218</v>
      </c>
      <c r="BB7" s="1711" t="s">
        <v>5951</v>
      </c>
      <c r="BC7" s="1704"/>
      <c r="BD7" s="1705"/>
      <c r="BE7" s="1781">
        <v>42588</v>
      </c>
      <c r="BF7" s="1711" t="s">
        <v>859</v>
      </c>
      <c r="BG7" s="1704">
        <v>51</v>
      </c>
      <c r="BH7" s="1705"/>
      <c r="BI7" s="1781">
        <v>42948</v>
      </c>
      <c r="BJ7" s="1711" t="s">
        <v>5952</v>
      </c>
      <c r="BK7" s="1704">
        <v>328</v>
      </c>
      <c r="BL7" s="1705"/>
      <c r="BM7" s="1781">
        <v>43316</v>
      </c>
      <c r="BN7" s="1711" t="s">
        <v>890</v>
      </c>
      <c r="BO7" s="1704">
        <v>6</v>
      </c>
      <c r="BP7" s="1705"/>
      <c r="BQ7" s="1781">
        <v>43679</v>
      </c>
      <c r="BR7" s="1711" t="s">
        <v>5953</v>
      </c>
      <c r="BS7" s="1704">
        <v>16</v>
      </c>
      <c r="BT7" s="1710" t="s">
        <v>426</v>
      </c>
      <c r="BU7" s="1706">
        <v>43678</v>
      </c>
      <c r="BV7" s="1707" t="s">
        <v>5954</v>
      </c>
      <c r="BW7" s="1708">
        <v>35</v>
      </c>
      <c r="BX7" s="1710" t="s">
        <v>414</v>
      </c>
      <c r="BY7" s="1782">
        <v>43678</v>
      </c>
      <c r="BZ7" s="1703" t="s">
        <v>792</v>
      </c>
      <c r="CA7" s="1704">
        <v>0</v>
      </c>
      <c r="CB7" s="1788" t="s">
        <v>689</v>
      </c>
      <c r="CC7" s="1718">
        <v>43678</v>
      </c>
      <c r="CD7" s="1703" t="s">
        <v>5955</v>
      </c>
      <c r="CE7" s="1786">
        <v>750</v>
      </c>
      <c r="CF7" s="1787" t="s">
        <v>689</v>
      </c>
      <c r="CG7" s="1718">
        <v>43678</v>
      </c>
      <c r="CH7" s="1703" t="s">
        <v>5956</v>
      </c>
      <c r="CI7" s="1786">
        <v>750</v>
      </c>
      <c r="CJ7" s="1787" t="s">
        <v>689</v>
      </c>
      <c r="CK7" s="1847">
        <v>43678</v>
      </c>
      <c r="CL7" s="1738" t="s">
        <v>759</v>
      </c>
      <c r="CM7" s="1839">
        <v>900</v>
      </c>
      <c r="CN7" s="1787" t="s">
        <v>689</v>
      </c>
      <c r="CO7" s="1847">
        <v>43678</v>
      </c>
      <c r="CP7" s="1738" t="s">
        <v>759</v>
      </c>
      <c r="CQ7" s="1839">
        <v>900</v>
      </c>
      <c r="CR7" s="1787" t="s">
        <v>689</v>
      </c>
    </row>
    <row r="8" spans="1:96">
      <c r="A8" s="1780">
        <v>37469</v>
      </c>
      <c r="B8" s="1711" t="s">
        <v>413</v>
      </c>
      <c r="C8" s="1716">
        <v>25</v>
      </c>
      <c r="D8" s="1717">
        <v>25</v>
      </c>
      <c r="E8" s="1781">
        <v>37834</v>
      </c>
      <c r="F8" s="1711" t="s">
        <v>413</v>
      </c>
      <c r="G8" s="1716">
        <v>25</v>
      </c>
      <c r="H8" s="1717">
        <v>5</v>
      </c>
      <c r="I8" s="1781">
        <v>37834</v>
      </c>
      <c r="J8" s="1711" t="s">
        <v>413</v>
      </c>
      <c r="K8" s="1716">
        <v>25</v>
      </c>
      <c r="L8" s="1717">
        <v>5</v>
      </c>
      <c r="M8" s="1781">
        <v>38569</v>
      </c>
      <c r="N8" s="1711" t="s">
        <v>2413</v>
      </c>
      <c r="O8" s="1716">
        <v>15</v>
      </c>
      <c r="P8" s="1717"/>
      <c r="Q8" s="1781">
        <v>38930</v>
      </c>
      <c r="R8" s="1711" t="s">
        <v>5957</v>
      </c>
      <c r="S8" s="1716">
        <v>10</v>
      </c>
      <c r="T8" s="1717"/>
      <c r="U8" s="1781">
        <v>39297</v>
      </c>
      <c r="V8" s="1711" t="s">
        <v>5958</v>
      </c>
      <c r="W8" s="1716">
        <v>10</v>
      </c>
      <c r="X8" s="1705"/>
      <c r="Y8" s="1781">
        <v>39663</v>
      </c>
      <c r="Z8" s="1711" t="s">
        <v>5959</v>
      </c>
      <c r="AA8" s="1716">
        <v>1</v>
      </c>
      <c r="AB8" s="1705"/>
      <c r="AC8" s="1781">
        <v>40029</v>
      </c>
      <c r="AD8" s="1711" t="s">
        <v>802</v>
      </c>
      <c r="AE8" s="1716">
        <v>24</v>
      </c>
      <c r="AF8" s="1705"/>
      <c r="AG8" s="1781">
        <v>40026</v>
      </c>
      <c r="AH8" s="1711" t="s">
        <v>5960</v>
      </c>
      <c r="AI8" s="1716">
        <v>25</v>
      </c>
      <c r="AJ8" s="1705"/>
      <c r="AK8" s="1781">
        <v>40761</v>
      </c>
      <c r="AL8" s="1711" t="s">
        <v>772</v>
      </c>
      <c r="AM8" s="1716">
        <v>65</v>
      </c>
      <c r="AN8" s="1705"/>
      <c r="AO8" s="1781">
        <v>41123</v>
      </c>
      <c r="AP8" s="1711" t="s">
        <v>797</v>
      </c>
      <c r="AQ8" s="1704">
        <v>22</v>
      </c>
      <c r="AR8" s="1705"/>
      <c r="AS8" s="1781">
        <v>41489</v>
      </c>
      <c r="AT8" s="1711" t="s">
        <v>5961</v>
      </c>
      <c r="AU8" s="1704">
        <v>27</v>
      </c>
      <c r="AV8" s="1705"/>
      <c r="AW8" s="1781">
        <v>41852</v>
      </c>
      <c r="AX8" s="1711" t="s">
        <v>754</v>
      </c>
      <c r="AY8" s="1704">
        <v>105</v>
      </c>
      <c r="AZ8" s="1705"/>
      <c r="BA8" s="1781">
        <v>42218</v>
      </c>
      <c r="BB8" s="1711" t="s">
        <v>954</v>
      </c>
      <c r="BC8" s="1704">
        <v>43</v>
      </c>
      <c r="BD8" s="1705"/>
      <c r="BE8" s="1781">
        <v>42589</v>
      </c>
      <c r="BF8" s="1711" t="s">
        <v>5962</v>
      </c>
      <c r="BG8" s="1704">
        <v>7</v>
      </c>
      <c r="BH8" s="1705"/>
      <c r="BI8" s="1781">
        <v>42948</v>
      </c>
      <c r="BJ8" s="1711" t="s">
        <v>5963</v>
      </c>
      <c r="BK8" s="1704">
        <v>328</v>
      </c>
      <c r="BL8" s="1705"/>
      <c r="BM8" s="1781">
        <v>43316</v>
      </c>
      <c r="BN8" s="1711" t="s">
        <v>873</v>
      </c>
      <c r="BO8" s="1704">
        <v>28</v>
      </c>
      <c r="BP8" s="1705"/>
      <c r="BQ8" s="1781">
        <v>43679</v>
      </c>
      <c r="BR8" s="1711" t="s">
        <v>5353</v>
      </c>
      <c r="BS8" s="1704">
        <v>19</v>
      </c>
      <c r="BT8" s="1710" t="s">
        <v>426</v>
      </c>
      <c r="BU8" s="1706">
        <v>43678</v>
      </c>
      <c r="BV8" s="1707" t="s">
        <v>872</v>
      </c>
      <c r="BW8" s="1708">
        <v>19</v>
      </c>
      <c r="BX8" s="1710" t="s">
        <v>414</v>
      </c>
      <c r="BY8" s="1782">
        <v>43678</v>
      </c>
      <c r="BZ8" s="1703" t="s">
        <v>4004</v>
      </c>
      <c r="CA8" s="1704">
        <f xml:space="preserve"> 398 + 130</f>
        <v>528</v>
      </c>
      <c r="CB8" s="1788" t="s">
        <v>689</v>
      </c>
      <c r="CC8" s="1718">
        <v>43678</v>
      </c>
      <c r="CD8" s="1703" t="s">
        <v>5964</v>
      </c>
      <c r="CE8" s="1786">
        <v>750</v>
      </c>
      <c r="CF8" s="1787" t="s">
        <v>689</v>
      </c>
      <c r="CG8" s="1718">
        <v>43678</v>
      </c>
      <c r="CH8" s="1703" t="s">
        <v>5965</v>
      </c>
      <c r="CI8" s="1786">
        <v>300</v>
      </c>
      <c r="CJ8" s="1787" t="s">
        <v>689</v>
      </c>
      <c r="CK8" s="1847">
        <v>43678</v>
      </c>
      <c r="CL8" s="1738" t="s">
        <v>5965</v>
      </c>
      <c r="CM8" s="1839">
        <v>300</v>
      </c>
      <c r="CN8" s="1787" t="s">
        <v>689</v>
      </c>
      <c r="CO8" s="1847">
        <v>43678</v>
      </c>
      <c r="CP8" s="1738" t="s">
        <v>5965</v>
      </c>
      <c r="CQ8" s="1839">
        <v>300</v>
      </c>
      <c r="CR8" s="1787" t="s">
        <v>689</v>
      </c>
    </row>
    <row r="9" spans="1:96">
      <c r="A9" s="1780"/>
      <c r="B9" s="1711"/>
      <c r="C9" s="1716"/>
      <c r="D9" s="1717"/>
      <c r="E9" s="1781"/>
      <c r="F9" s="1703"/>
      <c r="G9" s="1716"/>
      <c r="H9" s="1717"/>
      <c r="I9" s="1781"/>
      <c r="J9" s="1703"/>
      <c r="K9" s="1716"/>
      <c r="L9" s="1717"/>
      <c r="M9" s="1781"/>
      <c r="N9" s="1703"/>
      <c r="O9" s="1716"/>
      <c r="P9" s="1717"/>
      <c r="Q9" s="1781"/>
      <c r="R9" s="1703"/>
      <c r="S9" s="1716"/>
      <c r="T9" s="1717"/>
      <c r="U9" s="1781"/>
      <c r="V9" s="1711"/>
      <c r="W9" s="1716"/>
      <c r="X9" s="1705"/>
      <c r="Y9" s="1781"/>
      <c r="Z9" s="1711"/>
      <c r="AA9" s="1716"/>
      <c r="AB9" s="1705"/>
      <c r="AC9" s="1781"/>
      <c r="AD9" s="1711"/>
      <c r="AE9" s="1716"/>
      <c r="AF9" s="1705"/>
      <c r="AG9" s="1781"/>
      <c r="AH9" s="1711"/>
      <c r="AI9" s="1716"/>
      <c r="AJ9" s="1705"/>
      <c r="AK9" s="1781"/>
      <c r="AL9" s="1711"/>
      <c r="AM9" s="1716"/>
      <c r="AN9" s="1705"/>
      <c r="AO9" s="1781"/>
      <c r="AP9" s="1711"/>
      <c r="AQ9" s="1704"/>
      <c r="AR9" s="1705"/>
      <c r="AS9" s="1781"/>
      <c r="AT9" s="1711"/>
      <c r="AU9" s="1704"/>
      <c r="AV9" s="1705"/>
      <c r="AW9" s="1781"/>
      <c r="AX9" s="1711"/>
      <c r="AY9" s="1704"/>
      <c r="AZ9" s="1705"/>
      <c r="BA9" s="1781"/>
      <c r="BB9" s="1711"/>
      <c r="BC9" s="1704"/>
      <c r="BD9" s="1705"/>
      <c r="BE9" s="1781"/>
      <c r="BF9" s="1711"/>
      <c r="BG9" s="1704"/>
      <c r="BH9" s="1705"/>
      <c r="BI9" s="1781"/>
      <c r="BJ9" s="1711"/>
      <c r="BK9" s="1704"/>
      <c r="BL9" s="1705"/>
      <c r="BM9" s="1781"/>
      <c r="BN9" s="1711"/>
      <c r="BO9" s="1704"/>
      <c r="BP9" s="1705"/>
      <c r="BQ9" s="1781"/>
      <c r="BR9" s="1711"/>
      <c r="BS9" s="1704"/>
      <c r="BT9" s="1710"/>
      <c r="BU9" s="1706"/>
      <c r="BV9" s="1707"/>
      <c r="BW9" s="1708"/>
      <c r="BX9" s="1710"/>
      <c r="BY9" s="1782"/>
      <c r="BZ9" s="1703"/>
      <c r="CA9" s="1704"/>
      <c r="CB9" s="1788"/>
      <c r="CC9" s="1718"/>
      <c r="CD9" s="1703"/>
      <c r="CE9" s="1786"/>
      <c r="CF9" s="1787"/>
      <c r="CG9" s="1718"/>
      <c r="CH9" s="1703"/>
      <c r="CI9" s="1786"/>
      <c r="CJ9" s="1787"/>
      <c r="CK9" s="1847">
        <v>43678</v>
      </c>
      <c r="CL9" s="1738" t="s">
        <v>1689</v>
      </c>
      <c r="CM9" s="1839">
        <v>100</v>
      </c>
      <c r="CN9" s="1787" t="s">
        <v>674</v>
      </c>
      <c r="CO9" s="1847">
        <v>43678</v>
      </c>
      <c r="CP9" s="1738" t="s">
        <v>1689</v>
      </c>
      <c r="CQ9" s="1839">
        <v>240</v>
      </c>
      <c r="CR9" s="1787" t="s">
        <v>674</v>
      </c>
    </row>
    <row r="10" spans="1:96">
      <c r="A10" s="1780">
        <v>37469</v>
      </c>
      <c r="B10" s="1711" t="s">
        <v>811</v>
      </c>
      <c r="C10" s="1716"/>
      <c r="D10" s="1717">
        <v>200</v>
      </c>
      <c r="E10" s="1781">
        <v>37834</v>
      </c>
      <c r="F10" s="1703" t="s">
        <v>811</v>
      </c>
      <c r="G10" s="1704"/>
      <c r="H10" s="1705">
        <v>0</v>
      </c>
      <c r="I10" s="1781">
        <v>37834</v>
      </c>
      <c r="J10" s="1703" t="s">
        <v>811</v>
      </c>
      <c r="K10" s="1704"/>
      <c r="L10" s="1705">
        <v>0</v>
      </c>
      <c r="M10" s="1781">
        <v>38569</v>
      </c>
      <c r="N10" s="1703" t="s">
        <v>5966</v>
      </c>
      <c r="O10" s="1704">
        <v>22</v>
      </c>
      <c r="P10" s="1705"/>
      <c r="Q10" s="1781">
        <v>38930</v>
      </c>
      <c r="R10" s="1703" t="s">
        <v>960</v>
      </c>
      <c r="S10" s="1704">
        <v>24</v>
      </c>
      <c r="T10" s="1705"/>
      <c r="U10" s="1781">
        <v>39297</v>
      </c>
      <c r="V10" s="1711" t="s">
        <v>5967</v>
      </c>
      <c r="W10" s="1716">
        <v>28</v>
      </c>
      <c r="X10" s="1717"/>
      <c r="Y10" s="1781">
        <v>39663</v>
      </c>
      <c r="Z10" s="1711" t="s">
        <v>867</v>
      </c>
      <c r="AA10" s="1716">
        <v>18</v>
      </c>
      <c r="AB10" s="1717"/>
      <c r="AC10" s="1781">
        <v>40029</v>
      </c>
      <c r="AD10" s="1711" t="s">
        <v>849</v>
      </c>
      <c r="AE10" s="1716">
        <v>8</v>
      </c>
      <c r="AF10" s="1717"/>
      <c r="AG10" s="1781">
        <v>40393</v>
      </c>
      <c r="AH10" s="1711" t="s">
        <v>5968</v>
      </c>
      <c r="AI10" s="1716">
        <v>1</v>
      </c>
      <c r="AJ10" s="1717"/>
      <c r="AK10" s="1781">
        <v>40761</v>
      </c>
      <c r="AL10" s="1711" t="s">
        <v>1157</v>
      </c>
      <c r="AM10" s="1716">
        <v>100</v>
      </c>
      <c r="AN10" s="1717"/>
      <c r="AO10" s="1781">
        <v>41125</v>
      </c>
      <c r="AP10" s="1711" t="s">
        <v>754</v>
      </c>
      <c r="AQ10" s="1704">
        <v>83</v>
      </c>
      <c r="AR10" s="1705"/>
      <c r="AS10" s="1781">
        <v>41489</v>
      </c>
      <c r="AT10" s="1711" t="s">
        <v>5969</v>
      </c>
      <c r="AU10" s="1704">
        <v>15</v>
      </c>
      <c r="AV10" s="1705"/>
      <c r="AW10" s="1781">
        <v>41852</v>
      </c>
      <c r="AX10" s="1711" t="s">
        <v>5970</v>
      </c>
      <c r="AY10" s="1704">
        <v>31</v>
      </c>
      <c r="AZ10" s="1705"/>
      <c r="BA10" s="1781">
        <v>42218</v>
      </c>
      <c r="BB10" s="1711" t="s">
        <v>781</v>
      </c>
      <c r="BC10" s="1704">
        <v>66</v>
      </c>
      <c r="BD10" s="1705"/>
      <c r="BE10" s="1781">
        <v>42589</v>
      </c>
      <c r="BF10" s="1711" t="s">
        <v>859</v>
      </c>
      <c r="BG10" s="1704">
        <v>7</v>
      </c>
      <c r="BH10" s="1705"/>
      <c r="BI10" s="1781">
        <v>42948</v>
      </c>
      <c r="BJ10" s="1711" t="s">
        <v>5971</v>
      </c>
      <c r="BK10" s="1704">
        <v>55</v>
      </c>
      <c r="BL10" s="1705"/>
      <c r="BM10" s="1781">
        <v>43316</v>
      </c>
      <c r="BN10" s="1711" t="s">
        <v>872</v>
      </c>
      <c r="BO10" s="1704">
        <v>24</v>
      </c>
      <c r="BP10" s="1705"/>
      <c r="BQ10" s="1781">
        <v>43679</v>
      </c>
      <c r="BR10" s="1711" t="s">
        <v>5972</v>
      </c>
      <c r="BS10" s="1704">
        <v>14</v>
      </c>
      <c r="BT10" s="1710" t="s">
        <v>426</v>
      </c>
      <c r="BU10" s="1706">
        <v>43678</v>
      </c>
      <c r="BV10" s="1707" t="s">
        <v>772</v>
      </c>
      <c r="BW10" s="1708">
        <v>20</v>
      </c>
      <c r="BX10" s="1710" t="s">
        <v>414</v>
      </c>
      <c r="BY10" s="1782">
        <v>43678</v>
      </c>
      <c r="BZ10" s="1783" t="s">
        <v>5973</v>
      </c>
      <c r="CA10" s="1784">
        <v>47</v>
      </c>
      <c r="CB10" s="1788" t="s">
        <v>414</v>
      </c>
      <c r="CC10" s="1718">
        <v>43678</v>
      </c>
      <c r="CD10" s="1719" t="s">
        <v>5974</v>
      </c>
      <c r="CE10" s="1720">
        <f>SUM(CE12:CE14)+CE19+CE23+CE27+CE15+CE31+CE32</f>
        <v>8463</v>
      </c>
      <c r="CF10" s="1721"/>
      <c r="CG10" s="1718">
        <v>43678</v>
      </c>
      <c r="CH10" s="1719" t="s">
        <v>5975</v>
      </c>
      <c r="CI10" s="1720">
        <f>SUM(CI12:CI12)+CI16+CI17+CI22+CI13+CI23+CI24</f>
        <v>4055</v>
      </c>
      <c r="CJ10" s="1721"/>
      <c r="CK10" s="1847">
        <v>43678</v>
      </c>
      <c r="CL10" s="1852" t="s">
        <v>5976</v>
      </c>
      <c r="CM10" s="1840">
        <f>SUM(CM12:CM12)+CM18+CM19+CM24+CM13+CM26+CM27</f>
        <v>10111</v>
      </c>
      <c r="CN10" s="1721"/>
      <c r="CO10" s="1847">
        <v>43678</v>
      </c>
      <c r="CP10" s="1852" t="s">
        <v>5977</v>
      </c>
      <c r="CQ10" s="1840"/>
      <c r="CR10" s="1721"/>
    </row>
    <row r="11" spans="1:96">
      <c r="A11" s="1780">
        <v>37469</v>
      </c>
      <c r="B11" s="1711" t="s">
        <v>414</v>
      </c>
      <c r="C11" s="1716">
        <v>14</v>
      </c>
      <c r="D11" s="1717"/>
      <c r="E11" s="1781">
        <v>37834</v>
      </c>
      <c r="F11" s="1703" t="s">
        <v>415</v>
      </c>
      <c r="G11" s="1704">
        <v>104</v>
      </c>
      <c r="H11" s="1705"/>
      <c r="I11" s="1781">
        <v>37834</v>
      </c>
      <c r="J11" s="1703" t="s">
        <v>415</v>
      </c>
      <c r="K11" s="1704">
        <v>0</v>
      </c>
      <c r="L11" s="1705"/>
      <c r="M11" s="1781">
        <v>38569</v>
      </c>
      <c r="N11" s="1703" t="s">
        <v>5978</v>
      </c>
      <c r="O11" s="1704">
        <v>10</v>
      </c>
      <c r="P11" s="1705"/>
      <c r="Q11" s="1781">
        <v>38930</v>
      </c>
      <c r="R11" s="1703" t="s">
        <v>5979</v>
      </c>
      <c r="S11" s="1704">
        <v>15</v>
      </c>
      <c r="T11" s="1705"/>
      <c r="U11" s="1781">
        <v>39297</v>
      </c>
      <c r="V11" s="1703" t="s">
        <v>5980</v>
      </c>
      <c r="W11" s="1704">
        <v>20</v>
      </c>
      <c r="X11" s="1705"/>
      <c r="Y11" s="1781">
        <v>39663</v>
      </c>
      <c r="Z11" s="1703" t="s">
        <v>781</v>
      </c>
      <c r="AA11" s="1704">
        <v>60</v>
      </c>
      <c r="AB11" s="1705"/>
      <c r="AC11" s="1781">
        <v>40029</v>
      </c>
      <c r="AD11" s="1703" t="s">
        <v>767</v>
      </c>
      <c r="AE11" s="1704">
        <v>8</v>
      </c>
      <c r="AF11" s="1705"/>
      <c r="AG11" s="1781">
        <v>40393</v>
      </c>
      <c r="AH11" s="1703" t="s">
        <v>5981</v>
      </c>
      <c r="AI11" s="1704">
        <v>33</v>
      </c>
      <c r="AJ11" s="1705"/>
      <c r="AK11" s="1781">
        <v>40761</v>
      </c>
      <c r="AL11" s="1703" t="s">
        <v>5982</v>
      </c>
      <c r="AM11" s="1704">
        <v>50</v>
      </c>
      <c r="AN11" s="1705"/>
      <c r="AO11" s="1781">
        <v>41125</v>
      </c>
      <c r="AP11" s="1711" t="s">
        <v>772</v>
      </c>
      <c r="AQ11" s="1716">
        <v>36</v>
      </c>
      <c r="AR11" s="1705"/>
      <c r="AS11" s="1781">
        <v>41489</v>
      </c>
      <c r="AT11" s="1711" t="s">
        <v>5983</v>
      </c>
      <c r="AU11" s="1716">
        <v>75</v>
      </c>
      <c r="AV11" s="1705"/>
      <c r="AW11" s="1781">
        <v>41852</v>
      </c>
      <c r="AX11" s="1711" t="s">
        <v>5984</v>
      </c>
      <c r="AY11" s="1704">
        <v>25</v>
      </c>
      <c r="AZ11" s="1705"/>
      <c r="BA11" s="1781">
        <v>42218</v>
      </c>
      <c r="BB11" s="1711" t="s">
        <v>772</v>
      </c>
      <c r="BC11" s="1704">
        <v>62</v>
      </c>
      <c r="BD11" s="1705"/>
      <c r="BE11" s="1781">
        <v>42589</v>
      </c>
      <c r="BF11" s="1711" t="s">
        <v>5985</v>
      </c>
      <c r="BG11" s="1704">
        <v>24</v>
      </c>
      <c r="BH11" s="1705"/>
      <c r="BI11" s="1781">
        <v>42948</v>
      </c>
      <c r="BJ11" s="1711" t="s">
        <v>5986</v>
      </c>
      <c r="BK11" s="1704">
        <v>75</v>
      </c>
      <c r="BL11" s="1705"/>
      <c r="BM11" s="1781">
        <v>43316</v>
      </c>
      <c r="BN11" s="1711" t="s">
        <v>772</v>
      </c>
      <c r="BO11" s="1704">
        <v>25</v>
      </c>
      <c r="BP11" s="1705"/>
      <c r="BQ11" s="1781">
        <v>43679</v>
      </c>
      <c r="BR11" s="1711" t="s">
        <v>5987</v>
      </c>
      <c r="BS11" s="1704">
        <v>120</v>
      </c>
      <c r="BT11" s="1710" t="s">
        <v>426</v>
      </c>
      <c r="BU11" s="1706">
        <v>43678</v>
      </c>
      <c r="BV11" s="1707" t="s">
        <v>797</v>
      </c>
      <c r="BW11" s="1708">
        <v>57</v>
      </c>
      <c r="BX11" s="1710" t="s">
        <v>410</v>
      </c>
      <c r="BY11" s="1782">
        <v>44412</v>
      </c>
      <c r="BZ11" s="1783" t="s">
        <v>1180</v>
      </c>
      <c r="CA11" s="1784">
        <v>77</v>
      </c>
      <c r="CB11" s="1788" t="s">
        <v>410</v>
      </c>
      <c r="CC11" s="1718"/>
      <c r="CD11" s="1722" t="s">
        <v>5017</v>
      </c>
      <c r="CE11" s="1720">
        <f>SUM(CE12:CE14)</f>
        <v>4562</v>
      </c>
      <c r="CF11" s="1723">
        <f>CE11/CE10</f>
        <v>0.53905234550395842</v>
      </c>
      <c r="CG11" s="1718"/>
      <c r="CH11" s="1722" t="s">
        <v>5017</v>
      </c>
      <c r="CI11" s="1720">
        <f>SUM(CI12:CI12)</f>
        <v>1054</v>
      </c>
      <c r="CJ11" s="1723">
        <f>CI11/CI10</f>
        <v>0.2599260172626387</v>
      </c>
      <c r="CK11" s="1847"/>
      <c r="CL11" s="1853" t="s">
        <v>5017</v>
      </c>
      <c r="CM11" s="1840">
        <f>SUM(CM12:CM12) + CM34</f>
        <v>6100</v>
      </c>
      <c r="CN11" s="1723">
        <f>CM11/CM10</f>
        <v>0.60330333300365935</v>
      </c>
      <c r="CO11" s="1847"/>
      <c r="CP11" s="1853" t="s">
        <v>5017</v>
      </c>
      <c r="CQ11" s="1840"/>
      <c r="CR11" s="1723" t="e">
        <f>CQ11/CQ10</f>
        <v>#DIV/0!</v>
      </c>
    </row>
    <row r="12" spans="1:96">
      <c r="A12" s="1780">
        <v>37470</v>
      </c>
      <c r="B12" s="1711" t="s">
        <v>5988</v>
      </c>
      <c r="C12" s="1716"/>
      <c r="D12" s="1717">
        <v>10</v>
      </c>
      <c r="E12" s="1781">
        <v>37834</v>
      </c>
      <c r="F12" s="1703" t="s">
        <v>847</v>
      </c>
      <c r="G12" s="1704">
        <v>70</v>
      </c>
      <c r="H12" s="1705"/>
      <c r="I12" s="1781">
        <v>37834</v>
      </c>
      <c r="J12" s="1703" t="s">
        <v>847</v>
      </c>
      <c r="K12" s="1704">
        <v>125</v>
      </c>
      <c r="L12" s="1705"/>
      <c r="M12" s="1781">
        <v>38570</v>
      </c>
      <c r="N12" s="1703" t="s">
        <v>5989</v>
      </c>
      <c r="O12" s="1704">
        <v>16</v>
      </c>
      <c r="P12" s="1705"/>
      <c r="Q12" s="1781">
        <v>38930</v>
      </c>
      <c r="R12" s="1703" t="s">
        <v>5990</v>
      </c>
      <c r="S12" s="1704">
        <v>5</v>
      </c>
      <c r="T12" s="1705"/>
      <c r="U12" s="1781">
        <v>39298</v>
      </c>
      <c r="V12" s="1703" t="s">
        <v>5991</v>
      </c>
      <c r="W12" s="1704">
        <v>20</v>
      </c>
      <c r="X12" s="1705"/>
      <c r="Y12" s="1781">
        <v>39663</v>
      </c>
      <c r="Z12" s="1703" t="s">
        <v>5992</v>
      </c>
      <c r="AA12" s="1704">
        <v>13</v>
      </c>
      <c r="AB12" s="1705"/>
      <c r="AC12" s="1781">
        <v>40031</v>
      </c>
      <c r="AD12" s="1703" t="s">
        <v>772</v>
      </c>
      <c r="AE12" s="1704">
        <v>40</v>
      </c>
      <c r="AF12" s="1705"/>
      <c r="AG12" s="1781">
        <v>40393</v>
      </c>
      <c r="AH12" s="1703" t="s">
        <v>797</v>
      </c>
      <c r="AI12" s="1704">
        <v>15</v>
      </c>
      <c r="AJ12" s="1705"/>
      <c r="AK12" s="1781">
        <v>40761</v>
      </c>
      <c r="AL12" s="1703" t="s">
        <v>797</v>
      </c>
      <c r="AM12" s="1704">
        <v>62</v>
      </c>
      <c r="AN12" s="1705"/>
      <c r="AO12" s="1781">
        <v>41126</v>
      </c>
      <c r="AP12" s="1711" t="s">
        <v>797</v>
      </c>
      <c r="AQ12" s="1716">
        <v>59</v>
      </c>
      <c r="AR12" s="1705"/>
      <c r="AS12" s="1781">
        <v>41490</v>
      </c>
      <c r="AT12" s="1711" t="s">
        <v>925</v>
      </c>
      <c r="AU12" s="1716">
        <v>2</v>
      </c>
      <c r="AV12" s="1705"/>
      <c r="AW12" s="1781">
        <v>41852</v>
      </c>
      <c r="AX12" s="1711" t="s">
        <v>772</v>
      </c>
      <c r="AY12" s="1716">
        <v>48</v>
      </c>
      <c r="AZ12" s="1705"/>
      <c r="BA12" s="1781">
        <v>42218</v>
      </c>
      <c r="BB12" s="1711" t="s">
        <v>754</v>
      </c>
      <c r="BC12" s="1716">
        <v>81</v>
      </c>
      <c r="BD12" s="1705"/>
      <c r="BE12" s="1781">
        <v>42589</v>
      </c>
      <c r="BF12" s="1711" t="s">
        <v>797</v>
      </c>
      <c r="BG12" s="1716">
        <v>30</v>
      </c>
      <c r="BH12" s="1705"/>
      <c r="BI12" s="1781">
        <v>42948</v>
      </c>
      <c r="BJ12" s="1711" t="s">
        <v>5885</v>
      </c>
      <c r="BK12" s="1716">
        <v>45</v>
      </c>
      <c r="BL12" s="1705"/>
      <c r="BM12" s="1781">
        <v>43316</v>
      </c>
      <c r="BN12" s="1711" t="s">
        <v>5993</v>
      </c>
      <c r="BO12" s="1716">
        <v>10</v>
      </c>
      <c r="BP12" s="1705"/>
      <c r="BQ12" s="1781">
        <v>43679</v>
      </c>
      <c r="BR12" s="1711" t="s">
        <v>5994</v>
      </c>
      <c r="BS12" s="1716">
        <v>120</v>
      </c>
      <c r="BT12" s="1710" t="s">
        <v>707</v>
      </c>
      <c r="BU12" s="1706">
        <v>43678</v>
      </c>
      <c r="BV12" s="1711" t="s">
        <v>777</v>
      </c>
      <c r="BW12" s="1704">
        <v>288</v>
      </c>
      <c r="BX12" s="1710" t="s">
        <v>689</v>
      </c>
      <c r="BY12" s="1782">
        <v>44412</v>
      </c>
      <c r="BZ12" s="1783" t="s">
        <v>2483</v>
      </c>
      <c r="CA12" s="1784">
        <v>55</v>
      </c>
      <c r="CB12" s="1788" t="s">
        <v>410</v>
      </c>
      <c r="CC12" s="1718">
        <v>43678</v>
      </c>
      <c r="CD12" s="1789" t="s">
        <v>5995</v>
      </c>
      <c r="CE12" s="1725">
        <v>3988</v>
      </c>
      <c r="CF12" s="1726">
        <f>CE12/CE11</f>
        <v>0.87417799210872427</v>
      </c>
      <c r="CG12" s="1718">
        <v>43678</v>
      </c>
      <c r="CH12" s="1789" t="s">
        <v>5996</v>
      </c>
      <c r="CI12" s="1725">
        <v>1054</v>
      </c>
      <c r="CJ12" s="1726">
        <f>CI12/CI11</f>
        <v>1</v>
      </c>
      <c r="CK12" s="1847">
        <v>43678</v>
      </c>
      <c r="CL12" s="1854" t="s">
        <v>5997</v>
      </c>
      <c r="CM12" s="1841">
        <v>5800</v>
      </c>
      <c r="CN12" s="1726">
        <f>CM12/CM11</f>
        <v>0.95081967213114749</v>
      </c>
      <c r="CO12" s="1847">
        <v>43678</v>
      </c>
      <c r="CP12" s="1854" t="s">
        <v>5998</v>
      </c>
      <c r="CQ12" s="1841">
        <v>5800</v>
      </c>
      <c r="CR12" s="1726" t="e">
        <f>CQ12/CQ11</f>
        <v>#DIV/0!</v>
      </c>
    </row>
    <row r="13" spans="1:96">
      <c r="A13" s="1780">
        <v>37470</v>
      </c>
      <c r="B13" s="1711" t="s">
        <v>5999</v>
      </c>
      <c r="C13" s="1716">
        <v>72</v>
      </c>
      <c r="D13" s="1717"/>
      <c r="E13" s="1781">
        <v>37834</v>
      </c>
      <c r="F13" s="1703" t="s">
        <v>864</v>
      </c>
      <c r="G13" s="1704">
        <v>30</v>
      </c>
      <c r="H13" s="1705">
        <v>50</v>
      </c>
      <c r="I13" s="1781">
        <v>37834</v>
      </c>
      <c r="J13" s="1703" t="s">
        <v>864</v>
      </c>
      <c r="K13" s="1704">
        <v>30</v>
      </c>
      <c r="L13" s="1705">
        <v>50</v>
      </c>
      <c r="M13" s="1781">
        <v>38571</v>
      </c>
      <c r="N13" s="1703" t="s">
        <v>802</v>
      </c>
      <c r="O13" s="1704">
        <v>31</v>
      </c>
      <c r="P13" s="1705"/>
      <c r="Q13" s="1781">
        <v>38932</v>
      </c>
      <c r="R13" s="1703" t="s">
        <v>6000</v>
      </c>
      <c r="S13" s="1704">
        <v>163</v>
      </c>
      <c r="T13" s="1705"/>
      <c r="U13" s="1781">
        <v>39298</v>
      </c>
      <c r="V13" s="1703" t="s">
        <v>965</v>
      </c>
      <c r="W13" s="1704">
        <v>10</v>
      </c>
      <c r="X13" s="1705"/>
      <c r="Y13" s="1781">
        <v>39663</v>
      </c>
      <c r="Z13" s="1703" t="s">
        <v>797</v>
      </c>
      <c r="AA13" s="1704">
        <v>60</v>
      </c>
      <c r="AB13" s="1705"/>
      <c r="AC13" s="1781">
        <v>40031</v>
      </c>
      <c r="AD13" s="1703" t="s">
        <v>3810</v>
      </c>
      <c r="AE13" s="1704">
        <v>36</v>
      </c>
      <c r="AF13" s="1705"/>
      <c r="AG13" s="1781">
        <v>40396</v>
      </c>
      <c r="AH13" s="1703" t="s">
        <v>6001</v>
      </c>
      <c r="AI13" s="1704">
        <v>16</v>
      </c>
      <c r="AJ13" s="1705"/>
      <c r="AK13" s="1781">
        <v>40763</v>
      </c>
      <c r="AL13" s="1703" t="s">
        <v>998</v>
      </c>
      <c r="AM13" s="1704">
        <v>27</v>
      </c>
      <c r="AN13" s="1705"/>
      <c r="AO13" s="1781">
        <v>41128</v>
      </c>
      <c r="AP13" s="1711" t="s">
        <v>1052</v>
      </c>
      <c r="AQ13" s="1716">
        <v>21</v>
      </c>
      <c r="AR13" s="1717"/>
      <c r="AS13" s="1781">
        <v>41491</v>
      </c>
      <c r="AT13" s="1711" t="s">
        <v>797</v>
      </c>
      <c r="AU13" s="1716">
        <v>40</v>
      </c>
      <c r="AV13" s="1717"/>
      <c r="AW13" s="1781">
        <v>41853</v>
      </c>
      <c r="AX13" s="1711" t="s">
        <v>6002</v>
      </c>
      <c r="AY13" s="1716">
        <v>2</v>
      </c>
      <c r="AZ13" s="1705"/>
      <c r="BA13" s="1781">
        <v>42220</v>
      </c>
      <c r="BB13" s="1711" t="s">
        <v>802</v>
      </c>
      <c r="BC13" s="1716">
        <v>46</v>
      </c>
      <c r="BD13" s="1705"/>
      <c r="BE13" s="1781">
        <v>42591</v>
      </c>
      <c r="BF13" s="1711" t="s">
        <v>6003</v>
      </c>
      <c r="BG13" s="1716">
        <v>12</v>
      </c>
      <c r="BH13" s="1705"/>
      <c r="BI13" s="1781">
        <v>42948</v>
      </c>
      <c r="BJ13" s="1711" t="s">
        <v>5891</v>
      </c>
      <c r="BK13" s="1716">
        <v>38</v>
      </c>
      <c r="BL13" s="1705"/>
      <c r="BM13" s="1781">
        <v>43316</v>
      </c>
      <c r="BN13" s="1711" t="s">
        <v>6004</v>
      </c>
      <c r="BO13" s="1716">
        <v>20</v>
      </c>
      <c r="BP13" s="1705"/>
      <c r="BQ13" s="1781">
        <v>43680</v>
      </c>
      <c r="BR13" s="1711" t="s">
        <v>6005</v>
      </c>
      <c r="BS13" s="1716">
        <v>2</v>
      </c>
      <c r="BT13" s="1710" t="s">
        <v>280</v>
      </c>
      <c r="BU13" s="1706">
        <v>43678</v>
      </c>
      <c r="BV13" s="1711" t="s">
        <v>792</v>
      </c>
      <c r="BW13" s="1704">
        <v>30</v>
      </c>
      <c r="BX13" s="1710" t="s">
        <v>689</v>
      </c>
      <c r="BY13" s="1782">
        <v>44412</v>
      </c>
      <c r="BZ13" s="1783" t="s">
        <v>6006</v>
      </c>
      <c r="CA13" s="1784"/>
      <c r="CB13" s="1788"/>
      <c r="CC13" s="1718">
        <v>43678</v>
      </c>
      <c r="CD13" s="1789" t="s">
        <v>6007</v>
      </c>
      <c r="CE13" s="1725">
        <v>287</v>
      </c>
      <c r="CF13" s="1726">
        <f>CE13/CE11</f>
        <v>6.2911003945637881E-2</v>
      </c>
      <c r="CG13" s="1718">
        <v>43678</v>
      </c>
      <c r="CH13" s="1727" t="s">
        <v>5033</v>
      </c>
      <c r="CI13" s="1728">
        <f>SUM(CI14:CI15)</f>
        <v>905</v>
      </c>
      <c r="CJ13" s="1726">
        <f>CI13/$CE$10</f>
        <v>0.10693607467801017</v>
      </c>
      <c r="CK13" s="1847">
        <v>43678</v>
      </c>
      <c r="CL13" s="1855" t="s">
        <v>5033</v>
      </c>
      <c r="CM13" s="1842">
        <f>SUM(CM14:CM17)</f>
        <v>1254</v>
      </c>
      <c r="CN13" s="1726">
        <f>CM13/$CE$10</f>
        <v>0.14817440623892236</v>
      </c>
      <c r="CO13" s="1847">
        <v>43678</v>
      </c>
      <c r="CP13" s="1855" t="s">
        <v>5033</v>
      </c>
      <c r="CQ13" s="1842">
        <f>SUM(CQ14:CQ16)</f>
        <v>1931</v>
      </c>
      <c r="CR13" s="1726">
        <f>CQ13/$CE$10</f>
        <v>0.22816967978258301</v>
      </c>
    </row>
    <row r="14" spans="1:96">
      <c r="A14" s="1780">
        <v>37470</v>
      </c>
      <c r="B14" s="1711" t="s">
        <v>6008</v>
      </c>
      <c r="C14" s="1716"/>
      <c r="D14" s="1790">
        <v>5</v>
      </c>
      <c r="E14" s="1781">
        <v>37834</v>
      </c>
      <c r="F14" s="1703" t="s">
        <v>419</v>
      </c>
      <c r="G14" s="1704">
        <v>238</v>
      </c>
      <c r="H14" s="1705">
        <v>30</v>
      </c>
      <c r="I14" s="1781">
        <v>37834</v>
      </c>
      <c r="J14" s="1703" t="s">
        <v>419</v>
      </c>
      <c r="K14" s="1704">
        <v>100</v>
      </c>
      <c r="L14" s="1705">
        <v>0</v>
      </c>
      <c r="M14" s="1781">
        <v>38575</v>
      </c>
      <c r="N14" s="1703" t="s">
        <v>797</v>
      </c>
      <c r="O14" s="1704">
        <v>41</v>
      </c>
      <c r="P14" s="1705"/>
      <c r="Q14" s="1781">
        <v>38934</v>
      </c>
      <c r="R14" s="1703" t="s">
        <v>6009</v>
      </c>
      <c r="S14" s="1704">
        <v>3</v>
      </c>
      <c r="T14" s="1705"/>
      <c r="U14" s="1781">
        <v>39298</v>
      </c>
      <c r="V14" s="1703" t="s">
        <v>937</v>
      </c>
      <c r="W14" s="1704">
        <v>30</v>
      </c>
      <c r="X14" s="1705"/>
      <c r="Y14" s="1781">
        <v>39664</v>
      </c>
      <c r="Z14" s="1703" t="s">
        <v>802</v>
      </c>
      <c r="AA14" s="1704">
        <v>20</v>
      </c>
      <c r="AB14" s="1705"/>
      <c r="AC14" s="1781">
        <v>40031</v>
      </c>
      <c r="AD14" s="1703" t="s">
        <v>937</v>
      </c>
      <c r="AE14" s="1704">
        <v>6</v>
      </c>
      <c r="AF14" s="1705"/>
      <c r="AG14" s="1781">
        <v>40396</v>
      </c>
      <c r="AH14" s="1703" t="s">
        <v>6010</v>
      </c>
      <c r="AI14" s="1704">
        <v>74</v>
      </c>
      <c r="AJ14" s="1705"/>
      <c r="AK14" s="1781">
        <v>40763</v>
      </c>
      <c r="AL14" s="1703" t="s">
        <v>6011</v>
      </c>
      <c r="AM14" s="1704">
        <v>8</v>
      </c>
      <c r="AN14" s="1705"/>
      <c r="AO14" s="1781">
        <v>41131</v>
      </c>
      <c r="AP14" s="1703" t="s">
        <v>6012</v>
      </c>
      <c r="AQ14" s="1704">
        <v>25</v>
      </c>
      <c r="AR14" s="1705"/>
      <c r="AS14" s="1781">
        <v>41494</v>
      </c>
      <c r="AT14" s="1703" t="s">
        <v>802</v>
      </c>
      <c r="AU14" s="1704">
        <v>10</v>
      </c>
      <c r="AV14" s="1705"/>
      <c r="AW14" s="1781">
        <v>41853</v>
      </c>
      <c r="AX14" s="1703" t="s">
        <v>6013</v>
      </c>
      <c r="AY14" s="1704">
        <v>52</v>
      </c>
      <c r="AZ14" s="1705"/>
      <c r="BA14" s="1781">
        <v>42220</v>
      </c>
      <c r="BB14" s="1703" t="s">
        <v>797</v>
      </c>
      <c r="BC14" s="1704">
        <v>45</v>
      </c>
      <c r="BD14" s="1705"/>
      <c r="BE14" s="1781">
        <v>42591</v>
      </c>
      <c r="BF14" s="1703" t="s">
        <v>2874</v>
      </c>
      <c r="BG14" s="1704">
        <v>13</v>
      </c>
      <c r="BH14" s="1705"/>
      <c r="BI14" s="1781">
        <v>42948</v>
      </c>
      <c r="BJ14" s="1703" t="s">
        <v>6014</v>
      </c>
      <c r="BK14" s="1704">
        <v>55</v>
      </c>
      <c r="BL14" s="1705"/>
      <c r="BM14" s="1781">
        <v>43316</v>
      </c>
      <c r="BN14" s="1711" t="s">
        <v>6015</v>
      </c>
      <c r="BO14" s="1704">
        <v>25</v>
      </c>
      <c r="BP14" s="1705"/>
      <c r="BQ14" s="1781">
        <v>43681</v>
      </c>
      <c r="BR14" s="1711" t="s">
        <v>6016</v>
      </c>
      <c r="BS14" s="1704">
        <v>20</v>
      </c>
      <c r="BT14" s="1710" t="s">
        <v>700</v>
      </c>
      <c r="BU14" s="1706">
        <v>43678</v>
      </c>
      <c r="BV14" s="1711" t="s">
        <v>4004</v>
      </c>
      <c r="BW14" s="1704">
        <v>398</v>
      </c>
      <c r="BX14" s="1710" t="s">
        <v>689</v>
      </c>
      <c r="BY14" s="1782">
        <v>44412</v>
      </c>
      <c r="BZ14" s="1783" t="s">
        <v>6017</v>
      </c>
      <c r="CA14" s="1784">
        <v>500</v>
      </c>
      <c r="CB14" s="1788" t="s">
        <v>381</v>
      </c>
      <c r="CC14" s="1718">
        <v>43678</v>
      </c>
      <c r="CD14" s="1789" t="s">
        <v>6018</v>
      </c>
      <c r="CE14" s="1725">
        <v>287</v>
      </c>
      <c r="CF14" s="1726">
        <f>CE14/CE12</f>
        <v>7.1965897693079234E-2</v>
      </c>
      <c r="CG14" s="1718">
        <v>43678</v>
      </c>
      <c r="CH14" s="1729" t="s">
        <v>6019</v>
      </c>
      <c r="CI14" s="1725">
        <v>615</v>
      </c>
      <c r="CJ14" s="1726">
        <f>CI14/$CE$15</f>
        <v>0.42678695350451074</v>
      </c>
      <c r="CK14" s="1847">
        <v>43678</v>
      </c>
      <c r="CL14" s="1856" t="s">
        <v>6020</v>
      </c>
      <c r="CM14" s="1841">
        <f xml:space="preserve"> 184 * 2</f>
        <v>368</v>
      </c>
      <c r="CN14" s="1726">
        <f>CM14/$CE$15</f>
        <v>0.25537820957668284</v>
      </c>
      <c r="CO14" s="1847">
        <v>43678</v>
      </c>
      <c r="CP14" s="1856" t="s">
        <v>6021</v>
      </c>
      <c r="CQ14" s="1841">
        <v>1100</v>
      </c>
      <c r="CR14" s="1726">
        <f>CQ14/$CE$15</f>
        <v>0.76335877862595425</v>
      </c>
    </row>
    <row r="15" spans="1:96">
      <c r="A15" s="1780">
        <v>37471</v>
      </c>
      <c r="B15" s="1711" t="s">
        <v>410</v>
      </c>
      <c r="C15" s="1716"/>
      <c r="D15" s="1717">
        <v>25</v>
      </c>
      <c r="E15" s="1781">
        <v>37834</v>
      </c>
      <c r="F15" s="1703" t="s">
        <v>2447</v>
      </c>
      <c r="G15" s="1704">
        <v>0</v>
      </c>
      <c r="H15" s="1705">
        <v>260</v>
      </c>
      <c r="I15" s="1781">
        <v>37834</v>
      </c>
      <c r="J15" s="1703" t="s">
        <v>2447</v>
      </c>
      <c r="K15" s="1704">
        <v>0</v>
      </c>
      <c r="L15" s="1705">
        <v>0</v>
      </c>
      <c r="M15" s="1781">
        <v>38576</v>
      </c>
      <c r="N15" s="1703" t="s">
        <v>6022</v>
      </c>
      <c r="O15" s="1704">
        <v>20</v>
      </c>
      <c r="P15" s="1705"/>
      <c r="Q15" s="1781">
        <v>38935</v>
      </c>
      <c r="R15" s="1703" t="s">
        <v>6023</v>
      </c>
      <c r="S15" s="1704">
        <v>21</v>
      </c>
      <c r="T15" s="1705"/>
      <c r="U15" s="1781">
        <v>39298</v>
      </c>
      <c r="V15" s="1703" t="s">
        <v>6024</v>
      </c>
      <c r="W15" s="1704">
        <v>10</v>
      </c>
      <c r="X15" s="1705"/>
      <c r="Y15" s="1781">
        <v>39664</v>
      </c>
      <c r="Z15" s="1703" t="s">
        <v>767</v>
      </c>
      <c r="AA15" s="1704">
        <v>16</v>
      </c>
      <c r="AB15" s="1705"/>
      <c r="AC15" s="1781">
        <v>40033</v>
      </c>
      <c r="AD15" s="1703" t="s">
        <v>767</v>
      </c>
      <c r="AE15" s="1704">
        <v>10</v>
      </c>
      <c r="AF15" s="1705"/>
      <c r="AG15" s="1781">
        <v>40397</v>
      </c>
      <c r="AH15" s="1703" t="s">
        <v>6025</v>
      </c>
      <c r="AI15" s="1704">
        <v>50</v>
      </c>
      <c r="AJ15" s="1705"/>
      <c r="AK15" s="1781">
        <v>40767</v>
      </c>
      <c r="AL15" s="1703" t="s">
        <v>6026</v>
      </c>
      <c r="AM15" s="1704">
        <v>212</v>
      </c>
      <c r="AN15" s="1705"/>
      <c r="AO15" s="1781">
        <v>41132</v>
      </c>
      <c r="AP15" s="1703" t="s">
        <v>6027</v>
      </c>
      <c r="AQ15" s="1704">
        <v>12</v>
      </c>
      <c r="AR15" s="1705"/>
      <c r="AS15" s="1781">
        <v>41495</v>
      </c>
      <c r="AT15" s="1703" t="s">
        <v>6028</v>
      </c>
      <c r="AU15" s="1704">
        <v>10</v>
      </c>
      <c r="AV15" s="1705"/>
      <c r="AW15" s="1781">
        <v>41854</v>
      </c>
      <c r="AX15" s="1703" t="s">
        <v>797</v>
      </c>
      <c r="AY15" s="1704">
        <v>47</v>
      </c>
      <c r="AZ15" s="1705"/>
      <c r="BA15" s="1781">
        <v>42225</v>
      </c>
      <c r="BB15" s="1703" t="s">
        <v>6029</v>
      </c>
      <c r="BC15" s="1704">
        <v>0</v>
      </c>
      <c r="BD15" s="1705"/>
      <c r="BE15" s="1781">
        <v>42591</v>
      </c>
      <c r="BF15" s="1703" t="s">
        <v>6030</v>
      </c>
      <c r="BG15" s="1704">
        <v>42</v>
      </c>
      <c r="BH15" s="1705"/>
      <c r="BI15" s="1781">
        <v>42948</v>
      </c>
      <c r="BJ15" s="1703" t="s">
        <v>6031</v>
      </c>
      <c r="BK15" s="1704">
        <v>250</v>
      </c>
      <c r="BL15" s="1705"/>
      <c r="BM15" s="1781">
        <v>43316</v>
      </c>
      <c r="BN15" s="1703" t="s">
        <v>6032</v>
      </c>
      <c r="BO15" s="1704">
        <v>15</v>
      </c>
      <c r="BP15" s="1705"/>
      <c r="BQ15" s="1781">
        <v>43681</v>
      </c>
      <c r="BR15" s="1703" t="s">
        <v>2754</v>
      </c>
      <c r="BS15" s="1704">
        <v>24</v>
      </c>
      <c r="BT15" s="1710" t="s">
        <v>700</v>
      </c>
      <c r="BU15" s="1706">
        <v>44046</v>
      </c>
      <c r="BV15" s="1707" t="s">
        <v>6033</v>
      </c>
      <c r="BW15" s="1708">
        <v>39</v>
      </c>
      <c r="BX15" s="1710" t="s">
        <v>414</v>
      </c>
      <c r="BY15" s="1782">
        <v>44413</v>
      </c>
      <c r="BZ15" s="1783" t="s">
        <v>6034</v>
      </c>
      <c r="CA15" s="1784">
        <v>10</v>
      </c>
      <c r="CB15" s="1788" t="s">
        <v>278</v>
      </c>
      <c r="CC15" s="1718">
        <v>43678</v>
      </c>
      <c r="CD15" s="1727" t="s">
        <v>6035</v>
      </c>
      <c r="CE15" s="1728">
        <f>SUM(CE16:CE18)</f>
        <v>1441</v>
      </c>
      <c r="CF15" s="1726">
        <f>CE15/$CE$10</f>
        <v>0.17027058962542835</v>
      </c>
      <c r="CG15" s="1718">
        <v>43678</v>
      </c>
      <c r="CH15" s="1729" t="s">
        <v>6036</v>
      </c>
      <c r="CI15" s="1725">
        <v>290</v>
      </c>
      <c r="CJ15" s="1726">
        <f>CI15/$CE$15</f>
        <v>0.20124913254684246</v>
      </c>
      <c r="CK15" s="1847"/>
      <c r="CL15" s="1856" t="s">
        <v>6037</v>
      </c>
      <c r="CM15" s="1841">
        <v>630</v>
      </c>
      <c r="CN15" s="1726">
        <f>CM15/$CE$15</f>
        <v>0.43719639139486466</v>
      </c>
      <c r="CO15" s="1847"/>
      <c r="CP15" s="1856" t="s">
        <v>6038</v>
      </c>
      <c r="CQ15" s="1841">
        <v>280</v>
      </c>
      <c r="CR15" s="1726">
        <f>CQ15/$CE$15</f>
        <v>0.19430950728660654</v>
      </c>
    </row>
    <row r="16" spans="1:96">
      <c r="A16" s="1780">
        <v>37471</v>
      </c>
      <c r="B16" s="1711" t="s">
        <v>6039</v>
      </c>
      <c r="C16" s="1716"/>
      <c r="D16" s="1717">
        <v>20</v>
      </c>
      <c r="E16" s="1781">
        <v>37834</v>
      </c>
      <c r="F16" s="1703" t="s">
        <v>6040</v>
      </c>
      <c r="G16" s="1704"/>
      <c r="H16" s="1705">
        <v>8</v>
      </c>
      <c r="I16" s="1781">
        <v>38200</v>
      </c>
      <c r="J16" s="1703" t="s">
        <v>797</v>
      </c>
      <c r="K16" s="1704">
        <v>28</v>
      </c>
      <c r="L16" s="1705"/>
      <c r="M16" s="1781">
        <v>38577</v>
      </c>
      <c r="N16" s="1703" t="s">
        <v>6041</v>
      </c>
      <c r="O16" s="1704">
        <v>10</v>
      </c>
      <c r="P16" s="1705"/>
      <c r="Q16" s="1781">
        <v>38935</v>
      </c>
      <c r="R16" s="1703" t="s">
        <v>767</v>
      </c>
      <c r="S16" s="1704">
        <v>21</v>
      </c>
      <c r="T16" s="1705"/>
      <c r="U16" s="1781">
        <v>39301</v>
      </c>
      <c r="V16" s="1703" t="s">
        <v>6042</v>
      </c>
      <c r="W16" s="1704">
        <v>15</v>
      </c>
      <c r="X16" s="1705"/>
      <c r="Y16" s="1781">
        <v>39665</v>
      </c>
      <c r="Z16" s="1703" t="s">
        <v>6043</v>
      </c>
      <c r="AA16" s="1704">
        <v>15</v>
      </c>
      <c r="AB16" s="1705"/>
      <c r="AC16" s="1781">
        <v>40034</v>
      </c>
      <c r="AD16" s="1703" t="s">
        <v>767</v>
      </c>
      <c r="AE16" s="1704">
        <v>10</v>
      </c>
      <c r="AF16" s="1705"/>
      <c r="AG16" s="1781">
        <v>40397</v>
      </c>
      <c r="AH16" s="1703" t="s">
        <v>6044</v>
      </c>
      <c r="AI16" s="1704">
        <v>21</v>
      </c>
      <c r="AJ16" s="1705"/>
      <c r="AK16" s="1781">
        <v>40768</v>
      </c>
      <c r="AL16" s="1703" t="s">
        <v>6045</v>
      </c>
      <c r="AM16" s="1704">
        <v>6</v>
      </c>
      <c r="AN16" s="1705"/>
      <c r="AO16" s="1781">
        <v>41132</v>
      </c>
      <c r="AP16" s="1703" t="s">
        <v>6046</v>
      </c>
      <c r="AQ16" s="1704">
        <v>21</v>
      </c>
      <c r="AR16" s="1705"/>
      <c r="AS16" s="1781">
        <v>41495</v>
      </c>
      <c r="AT16" s="1703" t="s">
        <v>6047</v>
      </c>
      <c r="AU16" s="1704">
        <v>4</v>
      </c>
      <c r="AV16" s="1705"/>
      <c r="AW16" s="1781">
        <v>41857</v>
      </c>
      <c r="AX16" s="1703" t="s">
        <v>925</v>
      </c>
      <c r="AY16" s="1704">
        <v>15</v>
      </c>
      <c r="AZ16" s="1705"/>
      <c r="BA16" s="1781">
        <v>42225</v>
      </c>
      <c r="BB16" s="1703" t="s">
        <v>6048</v>
      </c>
      <c r="BC16" s="1704">
        <v>8</v>
      </c>
      <c r="BD16" s="1705"/>
      <c r="BE16" s="1781">
        <v>42595</v>
      </c>
      <c r="BF16" s="1703" t="s">
        <v>5940</v>
      </c>
      <c r="BG16" s="1704">
        <v>29</v>
      </c>
      <c r="BH16" s="1705"/>
      <c r="BI16" s="1781">
        <v>42948</v>
      </c>
      <c r="BJ16" s="1703" t="s">
        <v>6049</v>
      </c>
      <c r="BK16" s="1704">
        <v>4</v>
      </c>
      <c r="BL16" s="1705"/>
      <c r="BM16" s="1781">
        <v>43317</v>
      </c>
      <c r="BN16" s="1703" t="s">
        <v>1429</v>
      </c>
      <c r="BO16" s="1704">
        <v>8</v>
      </c>
      <c r="BP16" s="1705"/>
      <c r="BQ16" s="1781">
        <v>43684</v>
      </c>
      <c r="BR16" s="1703" t="s">
        <v>6050</v>
      </c>
      <c r="BS16" s="1704">
        <v>400</v>
      </c>
      <c r="BT16" s="1710" t="s">
        <v>280</v>
      </c>
      <c r="BU16" s="1706">
        <v>44046</v>
      </c>
      <c r="BV16" s="1707" t="s">
        <v>6051</v>
      </c>
      <c r="BW16" s="1708">
        <v>7</v>
      </c>
      <c r="BX16" s="1710" t="s">
        <v>414</v>
      </c>
      <c r="BY16" s="1782">
        <v>44413</v>
      </c>
      <c r="BZ16" s="1783" t="s">
        <v>6052</v>
      </c>
      <c r="CA16" s="1784">
        <v>25</v>
      </c>
      <c r="CB16" s="1788" t="s">
        <v>698</v>
      </c>
      <c r="CC16" s="1718">
        <v>43678</v>
      </c>
      <c r="CD16" s="1729" t="s">
        <v>6053</v>
      </c>
      <c r="CE16" s="1725">
        <v>390</v>
      </c>
      <c r="CF16" s="1726">
        <f>CE16/$CE$15</f>
        <v>0.27064538514920194</v>
      </c>
      <c r="CG16" s="1718">
        <v>43678</v>
      </c>
      <c r="CH16" s="1734" t="s">
        <v>278</v>
      </c>
      <c r="CI16" s="1728">
        <f>CI31+CI32+CI33+CI34+CI36+CI37+CI41+CI44+CI43+CI45+CI46+CI48+CI49+CI50+CI51+CI52+CI53+CI54</f>
        <v>605</v>
      </c>
      <c r="CJ16" s="1726">
        <f>CI16/$CE$10</f>
        <v>7.1487652132813426E-2</v>
      </c>
      <c r="CK16" s="1847"/>
      <c r="CL16" s="1856" t="s">
        <v>6020</v>
      </c>
      <c r="CM16" s="1841">
        <v>152</v>
      </c>
      <c r="CN16" s="1726">
        <f>CM16/$CE$15</f>
        <v>0.1054823039555864</v>
      </c>
      <c r="CO16" s="1847"/>
      <c r="CP16" s="1856" t="s">
        <v>6054</v>
      </c>
      <c r="CQ16" s="1841">
        <v>551</v>
      </c>
      <c r="CR16" s="1726">
        <f>CQ16/$CE$15</f>
        <v>0.38237335183900067</v>
      </c>
    </row>
    <row r="17" spans="1:96">
      <c r="A17" s="1780">
        <v>37471</v>
      </c>
      <c r="B17" s="1711" t="s">
        <v>6055</v>
      </c>
      <c r="C17" s="1716"/>
      <c r="D17" s="1717">
        <v>35</v>
      </c>
      <c r="E17" s="1781">
        <v>37834</v>
      </c>
      <c r="F17" s="1703" t="s">
        <v>6056</v>
      </c>
      <c r="G17" s="1704"/>
      <c r="H17" s="1705">
        <v>65</v>
      </c>
      <c r="I17" s="1781">
        <v>38200</v>
      </c>
      <c r="J17" s="1703" t="s">
        <v>6057</v>
      </c>
      <c r="K17" s="1704">
        <v>12</v>
      </c>
      <c r="L17" s="1705"/>
      <c r="M17" s="1781">
        <v>38577</v>
      </c>
      <c r="N17" s="1703" t="s">
        <v>6058</v>
      </c>
      <c r="O17" s="1704">
        <v>16</v>
      </c>
      <c r="P17" s="1705"/>
      <c r="Q17" s="1781">
        <v>38935</v>
      </c>
      <c r="R17" s="1703" t="s">
        <v>6059</v>
      </c>
      <c r="S17" s="1704">
        <v>7</v>
      </c>
      <c r="T17" s="1705"/>
      <c r="U17" s="1781">
        <v>39302</v>
      </c>
      <c r="V17" s="1703" t="s">
        <v>797</v>
      </c>
      <c r="W17" s="1704">
        <v>50</v>
      </c>
      <c r="X17" s="1705"/>
      <c r="Y17" s="1781">
        <v>39669</v>
      </c>
      <c r="Z17" s="1703" t="s">
        <v>772</v>
      </c>
      <c r="AA17" s="1704">
        <v>82</v>
      </c>
      <c r="AB17" s="1705"/>
      <c r="AC17" s="1781">
        <v>40034</v>
      </c>
      <c r="AD17" s="1703" t="s">
        <v>797</v>
      </c>
      <c r="AE17" s="1704">
        <v>40</v>
      </c>
      <c r="AF17" s="1705"/>
      <c r="AG17" s="1781">
        <v>40398</v>
      </c>
      <c r="AH17" s="1703" t="s">
        <v>962</v>
      </c>
      <c r="AI17" s="1704">
        <v>32</v>
      </c>
      <c r="AJ17" s="1705"/>
      <c r="AK17" s="1781">
        <v>40768</v>
      </c>
      <c r="AL17" s="1703" t="s">
        <v>6060</v>
      </c>
      <c r="AM17" s="1704">
        <v>242</v>
      </c>
      <c r="AN17" s="1705"/>
      <c r="AO17" s="1781">
        <v>41132</v>
      </c>
      <c r="AP17" s="1703" t="s">
        <v>6061</v>
      </c>
      <c r="AQ17" s="1704">
        <v>10</v>
      </c>
      <c r="AR17" s="1705"/>
      <c r="AS17" s="1781">
        <v>41495</v>
      </c>
      <c r="AT17" s="1703" t="s">
        <v>4994</v>
      </c>
      <c r="AU17" s="1704">
        <v>38</v>
      </c>
      <c r="AV17" s="1705"/>
      <c r="AW17" s="1781">
        <v>41857</v>
      </c>
      <c r="AX17" s="1703" t="s">
        <v>802</v>
      </c>
      <c r="AY17" s="1704">
        <v>54</v>
      </c>
      <c r="AZ17" s="1705"/>
      <c r="BA17" s="1781">
        <v>42225</v>
      </c>
      <c r="BB17" s="1703" t="s">
        <v>6062</v>
      </c>
      <c r="BC17" s="1704">
        <v>20</v>
      </c>
      <c r="BD17" s="1705"/>
      <c r="BE17" s="1781">
        <v>42595</v>
      </c>
      <c r="BF17" s="1703" t="s">
        <v>5985</v>
      </c>
      <c r="BG17" s="1704">
        <v>4</v>
      </c>
      <c r="BH17" s="1705"/>
      <c r="BI17" s="1781">
        <v>42948</v>
      </c>
      <c r="BJ17" s="1703" t="s">
        <v>6063</v>
      </c>
      <c r="BK17" s="1704">
        <v>8</v>
      </c>
      <c r="BL17" s="1705"/>
      <c r="BM17" s="1781">
        <v>43318</v>
      </c>
      <c r="BN17" s="1703" t="s">
        <v>872</v>
      </c>
      <c r="BO17" s="1704">
        <v>13</v>
      </c>
      <c r="BP17" s="1705"/>
      <c r="BQ17" s="1781">
        <v>43684</v>
      </c>
      <c r="BR17" s="1703" t="s">
        <v>6064</v>
      </c>
      <c r="BS17" s="1704">
        <v>35</v>
      </c>
      <c r="BT17" s="1710" t="s">
        <v>280</v>
      </c>
      <c r="BU17" s="1706">
        <v>44046</v>
      </c>
      <c r="BV17" s="1707" t="s">
        <v>3997</v>
      </c>
      <c r="BW17" s="1708">
        <v>13</v>
      </c>
      <c r="BX17" s="1710" t="s">
        <v>280</v>
      </c>
      <c r="BY17" s="1782">
        <v>44413</v>
      </c>
      <c r="BZ17" s="1783" t="s">
        <v>6065</v>
      </c>
      <c r="CA17" s="1784">
        <v>17</v>
      </c>
      <c r="CB17" s="1788" t="s">
        <v>278</v>
      </c>
      <c r="CC17" s="1718">
        <v>43678</v>
      </c>
      <c r="CD17" s="1729" t="s">
        <v>6066</v>
      </c>
      <c r="CE17" s="1725">
        <v>479</v>
      </c>
      <c r="CF17" s="1726">
        <f>CE17/$CE$15</f>
        <v>0.33240804996530188</v>
      </c>
      <c r="CG17" s="1718">
        <v>43678</v>
      </c>
      <c r="CH17" s="1734" t="s">
        <v>277</v>
      </c>
      <c r="CI17" s="1728">
        <f>SUM(CI18:CI21)</f>
        <v>1036</v>
      </c>
      <c r="CJ17" s="1726">
        <f>CI17/$CE$10</f>
        <v>0.12241521918941274</v>
      </c>
      <c r="CK17" s="1847"/>
      <c r="CL17" s="1856" t="s">
        <v>6067</v>
      </c>
      <c r="CM17" s="1841">
        <v>104</v>
      </c>
      <c r="CN17" s="1726">
        <f>CM17/$CE$15</f>
        <v>7.2172102706453856E-2</v>
      </c>
      <c r="CO17" s="1847">
        <v>43678</v>
      </c>
      <c r="CP17" s="1857" t="s">
        <v>278</v>
      </c>
      <c r="CQ17" s="1842">
        <v>1194</v>
      </c>
      <c r="CR17" s="1726">
        <f>CQ17/$CE$10</f>
        <v>0.14108472172988301</v>
      </c>
    </row>
    <row r="18" spans="1:96">
      <c r="A18" s="1780">
        <v>37471</v>
      </c>
      <c r="B18" s="1711" t="s">
        <v>6068</v>
      </c>
      <c r="C18" s="1716">
        <v>4</v>
      </c>
      <c r="D18" s="1717"/>
      <c r="E18" s="1781">
        <v>37835</v>
      </c>
      <c r="F18" s="1703" t="s">
        <v>6069</v>
      </c>
      <c r="G18" s="1704">
        <v>15</v>
      </c>
      <c r="H18" s="1705"/>
      <c r="I18" s="1781">
        <v>38206</v>
      </c>
      <c r="J18" s="1703" t="s">
        <v>6070</v>
      </c>
      <c r="K18" s="1704">
        <v>4</v>
      </c>
      <c r="L18" s="1705"/>
      <c r="M18" s="1781">
        <v>38577</v>
      </c>
      <c r="N18" s="1703" t="s">
        <v>6071</v>
      </c>
      <c r="O18" s="1704">
        <v>7</v>
      </c>
      <c r="P18" s="1705"/>
      <c r="Q18" s="1781">
        <v>38936</v>
      </c>
      <c r="R18" s="1703" t="s">
        <v>797</v>
      </c>
      <c r="S18" s="1704">
        <v>44</v>
      </c>
      <c r="T18" s="1705"/>
      <c r="U18" s="1781">
        <v>39304</v>
      </c>
      <c r="V18" s="1703" t="s">
        <v>6072</v>
      </c>
      <c r="W18" s="1704">
        <v>20</v>
      </c>
      <c r="X18" s="1705"/>
      <c r="Y18" s="1781">
        <v>39669</v>
      </c>
      <c r="Z18" s="1703" t="s">
        <v>772</v>
      </c>
      <c r="AA18" s="1704">
        <v>38</v>
      </c>
      <c r="AB18" s="1705"/>
      <c r="AC18" s="1781">
        <v>40037</v>
      </c>
      <c r="AD18" s="1703" t="s">
        <v>6073</v>
      </c>
      <c r="AE18" s="1704">
        <v>20</v>
      </c>
      <c r="AF18" s="1705"/>
      <c r="AG18" s="1781">
        <v>40398</v>
      </c>
      <c r="AH18" s="1703" t="s">
        <v>1244</v>
      </c>
      <c r="AI18" s="1704">
        <v>21</v>
      </c>
      <c r="AJ18" s="1705"/>
      <c r="AK18" s="1781">
        <v>40768</v>
      </c>
      <c r="AL18" s="1703" t="s">
        <v>6074</v>
      </c>
      <c r="AM18" s="1704">
        <v>3</v>
      </c>
      <c r="AN18" s="1705"/>
      <c r="AO18" s="1781">
        <v>41132</v>
      </c>
      <c r="AP18" s="1703" t="s">
        <v>772</v>
      </c>
      <c r="AQ18" s="1704">
        <v>40</v>
      </c>
      <c r="AR18" s="1705"/>
      <c r="AS18" s="1781">
        <v>41495</v>
      </c>
      <c r="AT18" s="1703" t="s">
        <v>754</v>
      </c>
      <c r="AU18" s="1704">
        <v>65</v>
      </c>
      <c r="AV18" s="1705"/>
      <c r="AW18" s="1781">
        <v>41858</v>
      </c>
      <c r="AX18" s="1703" t="s">
        <v>2691</v>
      </c>
      <c r="AY18" s="1704">
        <v>73</v>
      </c>
      <c r="AZ18" s="1705"/>
      <c r="BA18" s="1781">
        <v>42225</v>
      </c>
      <c r="BB18" s="1703" t="s">
        <v>6075</v>
      </c>
      <c r="BC18" s="1704">
        <v>4</v>
      </c>
      <c r="BD18" s="1705"/>
      <c r="BE18" s="1781">
        <v>42595</v>
      </c>
      <c r="BF18" s="1703" t="s">
        <v>859</v>
      </c>
      <c r="BG18" s="1704">
        <v>26</v>
      </c>
      <c r="BH18" s="1705"/>
      <c r="BI18" s="1781">
        <v>42948</v>
      </c>
      <c r="BJ18" s="1703" t="s">
        <v>6076</v>
      </c>
      <c r="BK18" s="1704">
        <v>16</v>
      </c>
      <c r="BL18" s="1705"/>
      <c r="BM18" s="1781">
        <v>43321</v>
      </c>
      <c r="BN18" s="1703" t="s">
        <v>2155</v>
      </c>
      <c r="BO18" s="1704">
        <v>5</v>
      </c>
      <c r="BP18" s="1705"/>
      <c r="BQ18" s="1781">
        <v>43684</v>
      </c>
      <c r="BR18" s="1703" t="s">
        <v>805</v>
      </c>
      <c r="BS18" s="1704">
        <v>9</v>
      </c>
      <c r="BT18" s="1710" t="s">
        <v>700</v>
      </c>
      <c r="BU18" s="1706">
        <v>44046</v>
      </c>
      <c r="BV18" s="1707" t="s">
        <v>3127</v>
      </c>
      <c r="BW18" s="1708">
        <v>9</v>
      </c>
      <c r="BX18" s="1710" t="s">
        <v>414</v>
      </c>
      <c r="BY18" s="1782">
        <v>44414</v>
      </c>
      <c r="BZ18" s="1783" t="s">
        <v>6077</v>
      </c>
      <c r="CA18" s="1784">
        <v>8</v>
      </c>
      <c r="CB18" s="1788" t="s">
        <v>698</v>
      </c>
      <c r="CC18" s="1718">
        <v>43678</v>
      </c>
      <c r="CD18" s="1729" t="s">
        <v>6078</v>
      </c>
      <c r="CE18" s="1725">
        <v>572</v>
      </c>
      <c r="CF18" s="1726">
        <f>CE18/$CE$15</f>
        <v>0.39694656488549618</v>
      </c>
      <c r="CG18" s="1718">
        <v>43678</v>
      </c>
      <c r="CH18" s="1729" t="s">
        <v>2288</v>
      </c>
      <c r="CI18" s="1725">
        <f>CI29</f>
        <v>710</v>
      </c>
      <c r="CJ18" s="1726">
        <f>CI18/$CE$23</f>
        <v>0.82654249126891732</v>
      </c>
      <c r="CK18" s="1847">
        <v>43678</v>
      </c>
      <c r="CL18" s="1857" t="s">
        <v>278</v>
      </c>
      <c r="CM18" s="1842">
        <f>CM36+CM37+CM38+CM40+CM41+CM45+CM46+CM47+CM48+CM49+CM52+CM54+CM55+CM56+CM57+CM58+CM59+CM60+CM61+CM62+CM64+CM65+CM66+CM67+CM68</f>
        <v>732</v>
      </c>
      <c r="CN18" s="1726">
        <f>CM18/$CE$10</f>
        <v>8.6494151010280046E-2</v>
      </c>
      <c r="CO18" s="1847">
        <v>43678</v>
      </c>
      <c r="CP18" s="1856" t="s">
        <v>2288</v>
      </c>
      <c r="CQ18" s="1841"/>
      <c r="CR18" s="1726"/>
    </row>
    <row r="19" spans="1:96">
      <c r="A19" s="1780">
        <v>37471</v>
      </c>
      <c r="B19" s="1711" t="s">
        <v>6079</v>
      </c>
      <c r="C19" s="1716">
        <v>8</v>
      </c>
      <c r="D19" s="1717"/>
      <c r="E19" s="1781">
        <v>37836</v>
      </c>
      <c r="F19" s="1703" t="s">
        <v>802</v>
      </c>
      <c r="G19" s="1704">
        <v>22</v>
      </c>
      <c r="H19" s="1705"/>
      <c r="I19" s="1781">
        <v>38206</v>
      </c>
      <c r="J19" s="1703" t="s">
        <v>6080</v>
      </c>
      <c r="K19" s="1704">
        <v>8</v>
      </c>
      <c r="L19" s="1705"/>
      <c r="M19" s="1781">
        <v>38578</v>
      </c>
      <c r="N19" s="1703" t="s">
        <v>6081</v>
      </c>
      <c r="O19" s="1704">
        <v>10</v>
      </c>
      <c r="P19" s="1705"/>
      <c r="Q19" s="1781">
        <v>38936</v>
      </c>
      <c r="R19" s="1703" t="s">
        <v>802</v>
      </c>
      <c r="S19" s="1704">
        <v>21</v>
      </c>
      <c r="T19" s="1705"/>
      <c r="U19" s="1781">
        <v>39305</v>
      </c>
      <c r="V19" s="1703" t="s">
        <v>772</v>
      </c>
      <c r="W19" s="1704">
        <v>123</v>
      </c>
      <c r="X19" s="1705"/>
      <c r="Y19" s="1781">
        <v>39669</v>
      </c>
      <c r="Z19" s="1703" t="s">
        <v>6082</v>
      </c>
      <c r="AA19" s="1704">
        <v>15</v>
      </c>
      <c r="AB19" s="1705"/>
      <c r="AC19" s="1781">
        <v>40037</v>
      </c>
      <c r="AD19" s="1703" t="s">
        <v>6083</v>
      </c>
      <c r="AE19" s="1704">
        <v>30</v>
      </c>
      <c r="AF19" s="1705"/>
      <c r="AG19" s="1781">
        <v>40398</v>
      </c>
      <c r="AH19" s="1703" t="s">
        <v>937</v>
      </c>
      <c r="AI19" s="1704">
        <v>38</v>
      </c>
      <c r="AJ19" s="1705"/>
      <c r="AK19" s="1781">
        <v>40769</v>
      </c>
      <c r="AL19" s="1703" t="s">
        <v>781</v>
      </c>
      <c r="AM19" s="1704">
        <v>79</v>
      </c>
      <c r="AN19" s="1705"/>
      <c r="AO19" s="1781">
        <v>41132</v>
      </c>
      <c r="AP19" s="1703" t="s">
        <v>754</v>
      </c>
      <c r="AQ19" s="1704">
        <v>80</v>
      </c>
      <c r="AR19" s="1705"/>
      <c r="AS19" s="1781">
        <v>41496</v>
      </c>
      <c r="AT19" s="1703" t="s">
        <v>6084</v>
      </c>
      <c r="AU19" s="1704">
        <v>36</v>
      </c>
      <c r="AV19" s="1705"/>
      <c r="AW19" s="1781">
        <v>41858</v>
      </c>
      <c r="AX19" s="1703" t="s">
        <v>1634</v>
      </c>
      <c r="AY19" s="1704">
        <v>21</v>
      </c>
      <c r="AZ19" s="1705"/>
      <c r="BA19" s="1781">
        <v>42225</v>
      </c>
      <c r="BB19" s="1703" t="s">
        <v>6085</v>
      </c>
      <c r="BC19" s="1704">
        <v>48</v>
      </c>
      <c r="BD19" s="1705"/>
      <c r="BE19" s="1781">
        <v>42595</v>
      </c>
      <c r="BF19" s="1703" t="s">
        <v>6086</v>
      </c>
      <c r="BG19" s="1704">
        <v>0</v>
      </c>
      <c r="BH19" s="1705"/>
      <c r="BI19" s="1781">
        <v>42948</v>
      </c>
      <c r="BJ19" s="1703" t="s">
        <v>6087</v>
      </c>
      <c r="BK19" s="1704">
        <v>6</v>
      </c>
      <c r="BL19" s="1705"/>
      <c r="BM19" s="1781">
        <v>43321</v>
      </c>
      <c r="BN19" s="1703" t="s">
        <v>859</v>
      </c>
      <c r="BO19" s="1704">
        <v>28</v>
      </c>
      <c r="BP19" s="1705"/>
      <c r="BQ19" s="1781">
        <v>43685</v>
      </c>
      <c r="BR19" s="1703" t="s">
        <v>797</v>
      </c>
      <c r="BS19" s="1704">
        <v>29</v>
      </c>
      <c r="BT19" s="1710" t="s">
        <v>278</v>
      </c>
      <c r="BU19" s="1706">
        <v>44048</v>
      </c>
      <c r="BV19" s="1707" t="s">
        <v>843</v>
      </c>
      <c r="BW19" s="1708">
        <v>30</v>
      </c>
      <c r="BX19" s="1710" t="s">
        <v>414</v>
      </c>
      <c r="BY19" s="1782">
        <v>44415</v>
      </c>
      <c r="BZ19" s="1783" t="s">
        <v>6088</v>
      </c>
      <c r="CA19" s="1784">
        <v>9</v>
      </c>
      <c r="CB19" s="1788" t="s">
        <v>278</v>
      </c>
      <c r="CC19" s="1718">
        <v>43678</v>
      </c>
      <c r="CD19" s="1734" t="s">
        <v>278</v>
      </c>
      <c r="CE19" s="1728">
        <f>SUM(CE20:CE22)</f>
        <v>677</v>
      </c>
      <c r="CF19" s="1726">
        <f>CE19/$CE$10</f>
        <v>7.9995273543660636E-2</v>
      </c>
      <c r="CG19" s="1718">
        <v>43678</v>
      </c>
      <c r="CH19" s="1729" t="s">
        <v>5123</v>
      </c>
      <c r="CI19" s="1725">
        <f>CI27+CI28</f>
        <v>126</v>
      </c>
      <c r="CJ19" s="1726">
        <f>CI19/$CE$23</f>
        <v>0.14668218859138532</v>
      </c>
      <c r="CK19" s="1847">
        <v>43678</v>
      </c>
      <c r="CL19" s="1857" t="s">
        <v>277</v>
      </c>
      <c r="CM19" s="1842">
        <f>SUM(CM20:CM23)+ CM30 + CM31</f>
        <v>1010</v>
      </c>
      <c r="CN19" s="1726">
        <f>CM19/$CE$10</f>
        <v>0.11934302256882902</v>
      </c>
      <c r="CO19" s="1847">
        <v>43678</v>
      </c>
      <c r="CP19" s="1856" t="s">
        <v>6089</v>
      </c>
      <c r="CQ19" s="1841">
        <v>554</v>
      </c>
      <c r="CR19" s="1726">
        <f>CQ19/$CE$23</f>
        <v>0.64493597206053555</v>
      </c>
    </row>
    <row r="20" spans="1:96">
      <c r="A20" s="1780">
        <v>37472</v>
      </c>
      <c r="B20" s="1711" t="s">
        <v>915</v>
      </c>
      <c r="C20" s="1716"/>
      <c r="D20" s="1717">
        <v>45</v>
      </c>
      <c r="E20" s="1781">
        <v>37836</v>
      </c>
      <c r="F20" s="1703" t="s">
        <v>6090</v>
      </c>
      <c r="G20" s="1704">
        <v>4</v>
      </c>
      <c r="H20" s="1705"/>
      <c r="I20" s="1781">
        <v>38206</v>
      </c>
      <c r="J20" s="1703" t="s">
        <v>6091</v>
      </c>
      <c r="K20" s="1704">
        <v>6</v>
      </c>
      <c r="L20" s="1705"/>
      <c r="M20" s="1781">
        <v>38578</v>
      </c>
      <c r="N20" s="1703" t="s">
        <v>797</v>
      </c>
      <c r="O20" s="1704">
        <v>31</v>
      </c>
      <c r="P20" s="1705"/>
      <c r="Q20" s="1781">
        <v>38937</v>
      </c>
      <c r="R20" s="1703" t="s">
        <v>5979</v>
      </c>
      <c r="S20" s="1704">
        <v>30</v>
      </c>
      <c r="T20" s="1705"/>
      <c r="U20" s="1781">
        <v>39305</v>
      </c>
      <c r="V20" s="1703" t="s">
        <v>6092</v>
      </c>
      <c r="W20" s="1704">
        <v>15</v>
      </c>
      <c r="X20" s="1705"/>
      <c r="Y20" s="1781">
        <v>39669</v>
      </c>
      <c r="Z20" s="1703" t="s">
        <v>5284</v>
      </c>
      <c r="AA20" s="1704">
        <v>3</v>
      </c>
      <c r="AB20" s="1705"/>
      <c r="AC20" s="1781">
        <v>40037</v>
      </c>
      <c r="AD20" s="1703" t="s">
        <v>6093</v>
      </c>
      <c r="AE20" s="1704">
        <v>10</v>
      </c>
      <c r="AF20" s="1705"/>
      <c r="AG20" s="1781">
        <v>40398</v>
      </c>
      <c r="AH20" s="1703" t="s">
        <v>6094</v>
      </c>
      <c r="AI20" s="1704">
        <v>106</v>
      </c>
      <c r="AJ20" s="1705"/>
      <c r="AK20" s="1781">
        <v>40769</v>
      </c>
      <c r="AL20" s="1703" t="s">
        <v>797</v>
      </c>
      <c r="AM20" s="1704">
        <v>40</v>
      </c>
      <c r="AN20" s="1705"/>
      <c r="AO20" s="1781">
        <v>41132</v>
      </c>
      <c r="AP20" s="1703" t="s">
        <v>6095</v>
      </c>
      <c r="AQ20" s="1704">
        <v>3</v>
      </c>
      <c r="AR20" s="1705"/>
      <c r="AS20" s="1781">
        <v>41496</v>
      </c>
      <c r="AT20" s="1703" t="s">
        <v>6096</v>
      </c>
      <c r="AU20" s="1704">
        <v>17</v>
      </c>
      <c r="AV20" s="1705"/>
      <c r="AW20" s="1781">
        <v>41858</v>
      </c>
      <c r="AX20" s="1703" t="s">
        <v>6097</v>
      </c>
      <c r="AY20" s="1704">
        <v>15</v>
      </c>
      <c r="AZ20" s="1705"/>
      <c r="BA20" s="1781">
        <v>42225</v>
      </c>
      <c r="BB20" s="1703" t="s">
        <v>6098</v>
      </c>
      <c r="BC20" s="1704">
        <v>55</v>
      </c>
      <c r="BD20" s="1705"/>
      <c r="BE20" s="1781">
        <v>42595</v>
      </c>
      <c r="BF20" s="1703" t="s">
        <v>6099</v>
      </c>
      <c r="BG20" s="1704">
        <v>0</v>
      </c>
      <c r="BH20" s="1705"/>
      <c r="BI20" s="1781">
        <v>42948</v>
      </c>
      <c r="BJ20" s="1703" t="s">
        <v>6100</v>
      </c>
      <c r="BK20" s="1704">
        <v>8</v>
      </c>
      <c r="BL20" s="1705" t="s">
        <v>448</v>
      </c>
      <c r="BM20" s="1781">
        <v>43322</v>
      </c>
      <c r="BN20" s="1703" t="s">
        <v>823</v>
      </c>
      <c r="BO20" s="1704">
        <v>21</v>
      </c>
      <c r="BP20" s="1705"/>
      <c r="BQ20" s="1781">
        <v>43685</v>
      </c>
      <c r="BR20" s="1703" t="s">
        <v>6101</v>
      </c>
      <c r="BS20" s="1704">
        <v>14</v>
      </c>
      <c r="BT20" s="1710" t="s">
        <v>280</v>
      </c>
      <c r="BU20" s="1706">
        <v>44048</v>
      </c>
      <c r="BV20" s="1707" t="s">
        <v>859</v>
      </c>
      <c r="BW20" s="1708">
        <v>16</v>
      </c>
      <c r="BX20" s="1710" t="s">
        <v>414</v>
      </c>
      <c r="BY20" s="1782">
        <v>44415</v>
      </c>
      <c r="BZ20" s="1783" t="s">
        <v>6102</v>
      </c>
      <c r="CA20" s="1784">
        <v>16</v>
      </c>
      <c r="CB20" s="1788" t="s">
        <v>278</v>
      </c>
      <c r="CC20" s="1718">
        <v>43678</v>
      </c>
      <c r="CD20" s="1729" t="s">
        <v>6103</v>
      </c>
      <c r="CE20" s="1725">
        <f>CE49</f>
        <v>165</v>
      </c>
      <c r="CF20" s="1726">
        <f>CE20/$CE$19</f>
        <v>0.24372230428360414</v>
      </c>
      <c r="CG20" s="1718">
        <v>43678</v>
      </c>
      <c r="CH20" s="1729" t="s">
        <v>410</v>
      </c>
      <c r="CI20" s="1725">
        <f>CI46+CI56+CI58</f>
        <v>194</v>
      </c>
      <c r="CJ20" s="1726">
        <f>CI20/$CE$23</f>
        <v>0.22584400465657742</v>
      </c>
      <c r="CK20" s="1847">
        <v>43678</v>
      </c>
      <c r="CL20" s="1856" t="s">
        <v>2288</v>
      </c>
      <c r="CM20" s="1841"/>
      <c r="CN20" s="1726"/>
      <c r="CO20" s="1847">
        <v>43678</v>
      </c>
      <c r="CP20" s="1856" t="s">
        <v>6104</v>
      </c>
      <c r="CQ20" s="1841">
        <v>0</v>
      </c>
      <c r="CR20" s="1726">
        <f>CQ20/$CE$23</f>
        <v>0</v>
      </c>
    </row>
    <row r="21" spans="1:96">
      <c r="A21" s="1780">
        <v>37472</v>
      </c>
      <c r="B21" s="1711" t="s">
        <v>1189</v>
      </c>
      <c r="C21" s="1716"/>
      <c r="D21" s="1717">
        <v>31</v>
      </c>
      <c r="E21" s="1781">
        <v>37836</v>
      </c>
      <c r="F21" s="1703" t="s">
        <v>772</v>
      </c>
      <c r="G21" s="1704"/>
      <c r="H21" s="1705">
        <v>13</v>
      </c>
      <c r="I21" s="1781">
        <v>38208</v>
      </c>
      <c r="J21" s="1703" t="s">
        <v>797</v>
      </c>
      <c r="K21" s="1704">
        <v>28</v>
      </c>
      <c r="L21" s="1705"/>
      <c r="M21" s="1781">
        <v>38578</v>
      </c>
      <c r="N21" s="1703" t="s">
        <v>6105</v>
      </c>
      <c r="O21" s="1704">
        <v>12</v>
      </c>
      <c r="P21" s="1705"/>
      <c r="Q21" s="1781">
        <v>38937</v>
      </c>
      <c r="R21" s="1703" t="s">
        <v>6106</v>
      </c>
      <c r="S21" s="1704">
        <v>14</v>
      </c>
      <c r="T21" s="1705"/>
      <c r="U21" s="1781">
        <v>39305</v>
      </c>
      <c r="V21" s="1703" t="s">
        <v>6107</v>
      </c>
      <c r="W21" s="1704">
        <v>23</v>
      </c>
      <c r="X21" s="1705"/>
      <c r="Y21" s="1781">
        <v>39670</v>
      </c>
      <c r="Z21" s="1703" t="s">
        <v>783</v>
      </c>
      <c r="AA21" s="1704">
        <v>15</v>
      </c>
      <c r="AB21" s="1705"/>
      <c r="AC21" s="1781">
        <v>40037</v>
      </c>
      <c r="AD21" s="1703" t="s">
        <v>6108</v>
      </c>
      <c r="AE21" s="1704">
        <v>4</v>
      </c>
      <c r="AF21" s="1705"/>
      <c r="AG21" s="1781">
        <v>40398</v>
      </c>
      <c r="AH21" s="1703" t="s">
        <v>867</v>
      </c>
      <c r="AI21" s="1704">
        <v>30</v>
      </c>
      <c r="AJ21" s="1705"/>
      <c r="AK21" s="1781">
        <v>40770</v>
      </c>
      <c r="AL21" s="1703" t="s">
        <v>6109</v>
      </c>
      <c r="AM21" s="1704">
        <v>15</v>
      </c>
      <c r="AN21" s="1705"/>
      <c r="AO21" s="1781">
        <v>41133</v>
      </c>
      <c r="AP21" s="1703" t="s">
        <v>6110</v>
      </c>
      <c r="AQ21" s="1704"/>
      <c r="AR21" s="1705"/>
      <c r="AS21" s="1781">
        <v>41496</v>
      </c>
      <c r="AT21" s="1703" t="s">
        <v>6111</v>
      </c>
      <c r="AU21" s="1704">
        <v>30</v>
      </c>
      <c r="AV21" s="1705"/>
      <c r="AW21" s="1781">
        <v>41858</v>
      </c>
      <c r="AX21" s="1703" t="s">
        <v>6112</v>
      </c>
      <c r="AY21" s="1704">
        <v>24</v>
      </c>
      <c r="AZ21" s="1705"/>
      <c r="BA21" s="1781">
        <v>42225</v>
      </c>
      <c r="BB21" s="1703" t="s">
        <v>954</v>
      </c>
      <c r="BC21" s="1704">
        <v>48</v>
      </c>
      <c r="BD21" s="1705"/>
      <c r="BE21" s="1781">
        <v>42596</v>
      </c>
      <c r="BF21" s="1703" t="s">
        <v>6113</v>
      </c>
      <c r="BG21" s="1704">
        <v>61</v>
      </c>
      <c r="BH21" s="1705"/>
      <c r="BI21" s="1781">
        <v>42949</v>
      </c>
      <c r="BJ21" s="1703" t="s">
        <v>6114</v>
      </c>
      <c r="BK21" s="1704">
        <v>17</v>
      </c>
      <c r="BL21" s="1705"/>
      <c r="BM21" s="1781">
        <v>43323</v>
      </c>
      <c r="BN21" s="1703" t="s">
        <v>872</v>
      </c>
      <c r="BO21" s="1704">
        <v>39</v>
      </c>
      <c r="BP21" s="1705"/>
      <c r="BQ21" s="1781">
        <v>43685</v>
      </c>
      <c r="BR21" s="1703" t="s">
        <v>6115</v>
      </c>
      <c r="BS21" s="1704">
        <v>25</v>
      </c>
      <c r="BT21" s="1710" t="s">
        <v>280</v>
      </c>
      <c r="BU21" s="1706">
        <v>44048</v>
      </c>
      <c r="BV21" s="1707" t="s">
        <v>845</v>
      </c>
      <c r="BW21" s="1708">
        <v>33</v>
      </c>
      <c r="BX21" s="1710" t="s">
        <v>414</v>
      </c>
      <c r="BY21" s="1782">
        <v>44415</v>
      </c>
      <c r="BZ21" s="1783" t="s">
        <v>6116</v>
      </c>
      <c r="CA21" s="1784">
        <v>12</v>
      </c>
      <c r="CB21" s="1788" t="s">
        <v>278</v>
      </c>
      <c r="CC21" s="1718">
        <v>43678</v>
      </c>
      <c r="CD21" s="1729" t="s">
        <v>6117</v>
      </c>
      <c r="CE21" s="1725">
        <f>CE50</f>
        <v>220</v>
      </c>
      <c r="CF21" s="1726">
        <f>CE21/$CE$19</f>
        <v>0.32496307237813887</v>
      </c>
      <c r="CG21" s="1718">
        <v>43678</v>
      </c>
      <c r="CH21" s="1729" t="s">
        <v>698</v>
      </c>
      <c r="CI21" s="1725">
        <v>6</v>
      </c>
      <c r="CJ21" s="1726">
        <f>CI21/$CE$23</f>
        <v>6.9848661233993014E-3</v>
      </c>
      <c r="CK21" s="1847">
        <v>43678</v>
      </c>
      <c r="CL21" s="1856" t="s">
        <v>6118</v>
      </c>
      <c r="CM21" s="1841">
        <v>700</v>
      </c>
      <c r="CN21" s="1726">
        <f>CM21/$CE$23</f>
        <v>0.81490104772991856</v>
      </c>
      <c r="CO21" s="1847">
        <v>43678</v>
      </c>
      <c r="CP21" s="1856" t="s">
        <v>698</v>
      </c>
      <c r="CQ21" s="1841">
        <v>0</v>
      </c>
      <c r="CR21" s="1726">
        <f>CQ21/$CE$23</f>
        <v>0</v>
      </c>
    </row>
    <row r="22" spans="1:96">
      <c r="A22" s="1780">
        <v>37472</v>
      </c>
      <c r="B22" s="1711" t="s">
        <v>6119</v>
      </c>
      <c r="C22" s="1716">
        <v>11</v>
      </c>
      <c r="D22" s="1717"/>
      <c r="E22" s="1781">
        <v>37837</v>
      </c>
      <c r="F22" s="1703" t="s">
        <v>1810</v>
      </c>
      <c r="G22" s="1704"/>
      <c r="H22" s="1705">
        <v>18</v>
      </c>
      <c r="I22" s="1781">
        <v>38208</v>
      </c>
      <c r="J22" s="1703" t="s">
        <v>6120</v>
      </c>
      <c r="K22" s="1704">
        <v>5</v>
      </c>
      <c r="L22" s="1705"/>
      <c r="M22" s="1781">
        <v>38578</v>
      </c>
      <c r="N22" s="1703" t="s">
        <v>6121</v>
      </c>
      <c r="O22" s="1704">
        <v>15</v>
      </c>
      <c r="P22" s="1705"/>
      <c r="Q22" s="1781">
        <v>38939</v>
      </c>
      <c r="R22" s="1703" t="s">
        <v>6122</v>
      </c>
      <c r="S22" s="1704">
        <v>104</v>
      </c>
      <c r="T22" s="1705"/>
      <c r="U22" s="1781">
        <v>39308</v>
      </c>
      <c r="V22" s="1703" t="s">
        <v>6123</v>
      </c>
      <c r="W22" s="1704">
        <v>10</v>
      </c>
      <c r="X22" s="1705"/>
      <c r="Y22" s="1781">
        <v>39670</v>
      </c>
      <c r="Z22" s="1703" t="s">
        <v>937</v>
      </c>
      <c r="AA22" s="1704">
        <v>19</v>
      </c>
      <c r="AB22" s="1705"/>
      <c r="AC22" s="1781">
        <v>40037</v>
      </c>
      <c r="AD22" s="1703" t="s">
        <v>1052</v>
      </c>
      <c r="AE22" s="1704">
        <v>18</v>
      </c>
      <c r="AF22" s="1705"/>
      <c r="AG22" s="1781">
        <v>40398</v>
      </c>
      <c r="AH22" s="1703" t="s">
        <v>797</v>
      </c>
      <c r="AI22" s="1704">
        <v>48</v>
      </c>
      <c r="AJ22" s="1705"/>
      <c r="AK22" s="1781">
        <v>40772</v>
      </c>
      <c r="AL22" s="1703" t="s">
        <v>6124</v>
      </c>
      <c r="AM22" s="1704">
        <v>426</v>
      </c>
      <c r="AN22" s="1705"/>
      <c r="AO22" s="1781">
        <v>41133</v>
      </c>
      <c r="AP22" s="1703" t="s">
        <v>1903</v>
      </c>
      <c r="AQ22" s="1704">
        <v>45</v>
      </c>
      <c r="AR22" s="1705"/>
      <c r="AS22" s="1781">
        <v>41496</v>
      </c>
      <c r="AT22" s="1703" t="s">
        <v>6125</v>
      </c>
      <c r="AU22" s="1704">
        <v>5</v>
      </c>
      <c r="AV22" s="1705"/>
      <c r="AW22" s="1781">
        <v>41858</v>
      </c>
      <c r="AX22" s="1703" t="s">
        <v>6126</v>
      </c>
      <c r="AY22" s="1704">
        <v>38</v>
      </c>
      <c r="AZ22" s="1705"/>
      <c r="BA22" s="1781">
        <v>42225</v>
      </c>
      <c r="BB22" s="1703" t="s">
        <v>781</v>
      </c>
      <c r="BC22" s="1704">
        <v>35</v>
      </c>
      <c r="BD22" s="1705"/>
      <c r="BE22" s="1781">
        <v>42596</v>
      </c>
      <c r="BF22" s="1703" t="s">
        <v>6127</v>
      </c>
      <c r="BG22" s="1704">
        <v>585</v>
      </c>
      <c r="BH22" s="1705"/>
      <c r="BI22" s="1781">
        <v>42949</v>
      </c>
      <c r="BJ22" s="1703" t="s">
        <v>859</v>
      </c>
      <c r="BK22" s="1704">
        <v>21</v>
      </c>
      <c r="BL22" s="1705"/>
      <c r="BM22" s="1781">
        <v>43324</v>
      </c>
      <c r="BN22" s="1703" t="s">
        <v>1237</v>
      </c>
      <c r="BO22" s="1704">
        <v>125</v>
      </c>
      <c r="BP22" s="1705"/>
      <c r="BQ22" s="1781">
        <v>43685</v>
      </c>
      <c r="BR22" s="1703" t="s">
        <v>6128</v>
      </c>
      <c r="BS22" s="1704">
        <v>21</v>
      </c>
      <c r="BT22" s="1710" t="s">
        <v>414</v>
      </c>
      <c r="BU22" s="1706">
        <v>44048</v>
      </c>
      <c r="BV22" s="1707" t="s">
        <v>1873</v>
      </c>
      <c r="BW22" s="1708">
        <v>84</v>
      </c>
      <c r="BX22" s="1710" t="s">
        <v>414</v>
      </c>
      <c r="BY22" s="1782">
        <v>44416</v>
      </c>
      <c r="BZ22" s="1783" t="s">
        <v>5483</v>
      </c>
      <c r="CA22" s="1784">
        <v>150</v>
      </c>
      <c r="CB22" s="1788" t="s">
        <v>426</v>
      </c>
      <c r="CC22" s="1718">
        <v>43678</v>
      </c>
      <c r="CD22" s="1729" t="s">
        <v>6129</v>
      </c>
      <c r="CE22" s="1725">
        <f>CE51</f>
        <v>292</v>
      </c>
      <c r="CF22" s="1726">
        <f>CE22/$CE$19</f>
        <v>0.43131462333825704</v>
      </c>
      <c r="CG22" s="1718">
        <v>43678</v>
      </c>
      <c r="CH22" s="1735" t="s">
        <v>381</v>
      </c>
      <c r="CI22" s="1725">
        <f>CI39</f>
        <v>65</v>
      </c>
      <c r="CJ22" s="1726">
        <f t="shared" ref="CJ22" si="0">CI22/$CE$10</f>
        <v>7.6804915514592934E-3</v>
      </c>
      <c r="CK22" s="1847">
        <v>43678</v>
      </c>
      <c r="CL22" s="1856" t="s">
        <v>410</v>
      </c>
      <c r="CM22" s="1841">
        <v>100</v>
      </c>
      <c r="CN22" s="1726">
        <f>CM22/$CE$23</f>
        <v>0.11641443538998836</v>
      </c>
      <c r="CO22" s="1847">
        <v>43678</v>
      </c>
      <c r="CP22" s="1858" t="s">
        <v>381</v>
      </c>
      <c r="CQ22" s="1841">
        <v>1756</v>
      </c>
      <c r="CR22" s="1726">
        <f t="shared" ref="CR22" si="1">CQ22/$CE$10</f>
        <v>0.20749143329788491</v>
      </c>
    </row>
    <row r="23" spans="1:96">
      <c r="A23" s="1780">
        <v>37472</v>
      </c>
      <c r="B23" s="1711" t="s">
        <v>6130</v>
      </c>
      <c r="C23" s="1716"/>
      <c r="D23" s="1717">
        <v>7</v>
      </c>
      <c r="E23" s="1781">
        <v>37837</v>
      </c>
      <c r="F23" s="1703" t="s">
        <v>797</v>
      </c>
      <c r="G23" s="1704">
        <v>28</v>
      </c>
      <c r="H23" s="1705"/>
      <c r="I23" s="1781">
        <v>38210</v>
      </c>
      <c r="J23" s="1703" t="s">
        <v>802</v>
      </c>
      <c r="K23" s="1704">
        <v>28</v>
      </c>
      <c r="L23" s="1705"/>
      <c r="M23" s="1781">
        <v>38579</v>
      </c>
      <c r="N23" s="1703" t="s">
        <v>6131</v>
      </c>
      <c r="O23" s="1704">
        <v>728</v>
      </c>
      <c r="P23" s="1705"/>
      <c r="Q23" s="1781">
        <v>38940</v>
      </c>
      <c r="R23" s="1703" t="s">
        <v>6132</v>
      </c>
      <c r="S23" s="1704">
        <v>22</v>
      </c>
      <c r="T23" s="1705"/>
      <c r="U23" s="1781">
        <v>39308</v>
      </c>
      <c r="V23" s="1703" t="s">
        <v>6133</v>
      </c>
      <c r="W23" s="1704">
        <v>39</v>
      </c>
      <c r="X23" s="1705"/>
      <c r="Y23" s="1781">
        <v>39670</v>
      </c>
      <c r="Z23" s="1703" t="s">
        <v>2439</v>
      </c>
      <c r="AA23" s="1704">
        <v>18</v>
      </c>
      <c r="AB23" s="1705"/>
      <c r="AC23" s="1781">
        <v>40038</v>
      </c>
      <c r="AD23" s="1703" t="s">
        <v>6134</v>
      </c>
      <c r="AE23" s="1704">
        <v>3</v>
      </c>
      <c r="AF23" s="1705"/>
      <c r="AG23" s="1781">
        <v>40399</v>
      </c>
      <c r="AH23" s="1703" t="s">
        <v>797</v>
      </c>
      <c r="AI23" s="1704">
        <v>15</v>
      </c>
      <c r="AJ23" s="1705"/>
      <c r="AK23" s="1781">
        <v>40772</v>
      </c>
      <c r="AL23" s="1703" t="s">
        <v>802</v>
      </c>
      <c r="AM23" s="1704">
        <v>30</v>
      </c>
      <c r="AN23" s="1705"/>
      <c r="AO23" s="1781">
        <v>41133</v>
      </c>
      <c r="AP23" s="1703" t="s">
        <v>6135</v>
      </c>
      <c r="AQ23" s="1704">
        <v>20</v>
      </c>
      <c r="AR23" s="1705"/>
      <c r="AS23" s="1781">
        <v>41497</v>
      </c>
      <c r="AT23" s="1703" t="s">
        <v>6136</v>
      </c>
      <c r="AU23" s="1704">
        <v>20</v>
      </c>
      <c r="AV23" s="1705"/>
      <c r="AW23" s="1781">
        <v>41858</v>
      </c>
      <c r="AX23" s="1703" t="s">
        <v>6137</v>
      </c>
      <c r="AY23" s="1704">
        <v>18</v>
      </c>
      <c r="AZ23" s="1705"/>
      <c r="BA23" s="1781">
        <v>42225</v>
      </c>
      <c r="BB23" s="1703" t="s">
        <v>6138</v>
      </c>
      <c r="BC23" s="1704">
        <v>32</v>
      </c>
      <c r="BD23" s="1705"/>
      <c r="BE23" s="1781">
        <v>42596</v>
      </c>
      <c r="BF23" s="1703" t="s">
        <v>6139</v>
      </c>
      <c r="BG23" s="1704">
        <v>13</v>
      </c>
      <c r="BH23" s="1705"/>
      <c r="BI23" s="1781">
        <v>42949</v>
      </c>
      <c r="BJ23" s="1703" t="s">
        <v>1180</v>
      </c>
      <c r="BK23" s="1704">
        <v>70</v>
      </c>
      <c r="BL23" s="1705"/>
      <c r="BM23" s="1781">
        <v>43324</v>
      </c>
      <c r="BN23" s="1703" t="s">
        <v>6140</v>
      </c>
      <c r="BO23" s="1704">
        <v>20</v>
      </c>
      <c r="BP23" s="1705"/>
      <c r="BQ23" s="1781">
        <v>43685</v>
      </c>
      <c r="BR23" s="1703" t="s">
        <v>6141</v>
      </c>
      <c r="BS23" s="1704">
        <v>4</v>
      </c>
      <c r="BT23" s="1710" t="s">
        <v>280</v>
      </c>
      <c r="BU23" s="1706">
        <v>44053</v>
      </c>
      <c r="BV23" s="1707" t="s">
        <v>5063</v>
      </c>
      <c r="BW23" s="1708">
        <v>16</v>
      </c>
      <c r="BX23" s="1710" t="s">
        <v>414</v>
      </c>
      <c r="BY23" s="1782">
        <v>44416</v>
      </c>
      <c r="BZ23" s="1783" t="s">
        <v>828</v>
      </c>
      <c r="CA23" s="1784">
        <v>22</v>
      </c>
      <c r="CB23" s="1788" t="s">
        <v>414</v>
      </c>
      <c r="CC23" s="1718">
        <v>43678</v>
      </c>
      <c r="CD23" s="1734" t="s">
        <v>277</v>
      </c>
      <c r="CE23" s="1728">
        <f>SUM(CE24:CE26)</f>
        <v>859</v>
      </c>
      <c r="CF23" s="1726">
        <f>CE23/$CE$10</f>
        <v>0.10150064988774667</v>
      </c>
      <c r="CG23" s="1718">
        <v>43678</v>
      </c>
      <c r="CH23" s="1735" t="s">
        <v>5186</v>
      </c>
      <c r="CI23" s="1725">
        <v>390</v>
      </c>
      <c r="CJ23" s="1726">
        <f>CI23/$CE$10</f>
        <v>4.6082949308755762E-2</v>
      </c>
      <c r="CK23" s="1847">
        <v>43678</v>
      </c>
      <c r="CL23" s="1856" t="s">
        <v>698</v>
      </c>
      <c r="CM23" s="1841">
        <v>50</v>
      </c>
      <c r="CN23" s="1726">
        <f>CM23/$CE$23</f>
        <v>5.8207217694994179E-2</v>
      </c>
      <c r="CO23" s="1847"/>
      <c r="CP23" s="1856" t="s">
        <v>6142</v>
      </c>
      <c r="CQ23" s="1841">
        <v>1150</v>
      </c>
      <c r="CR23" s="1726"/>
    </row>
    <row r="24" spans="1:96">
      <c r="A24" s="1780">
        <v>37475</v>
      </c>
      <c r="B24" s="1711" t="s">
        <v>6143</v>
      </c>
      <c r="C24" s="1716">
        <v>75</v>
      </c>
      <c r="D24" s="1717"/>
      <c r="E24" s="1781">
        <v>37838</v>
      </c>
      <c r="F24" s="1703" t="s">
        <v>6144</v>
      </c>
      <c r="G24" s="1704">
        <v>90</v>
      </c>
      <c r="H24" s="1705"/>
      <c r="I24" s="1781">
        <v>38210</v>
      </c>
      <c r="J24" s="1703" t="s">
        <v>3984</v>
      </c>
      <c r="K24" s="1704">
        <v>8</v>
      </c>
      <c r="L24" s="1705"/>
      <c r="M24" s="1781">
        <v>38580</v>
      </c>
      <c r="N24" s="1703" t="s">
        <v>6145</v>
      </c>
      <c r="O24" s="1704">
        <v>14</v>
      </c>
      <c r="P24" s="1705"/>
      <c r="Q24" s="1781">
        <v>38941</v>
      </c>
      <c r="R24" s="1703" t="s">
        <v>6146</v>
      </c>
      <c r="S24" s="1704">
        <v>0</v>
      </c>
      <c r="T24" s="1705"/>
      <c r="U24" s="1781">
        <v>39308</v>
      </c>
      <c r="V24" s="1703" t="s">
        <v>797</v>
      </c>
      <c r="W24" s="1704">
        <v>43</v>
      </c>
      <c r="X24" s="1705"/>
      <c r="Y24" s="1781">
        <v>39670</v>
      </c>
      <c r="Z24" s="1703" t="s">
        <v>781</v>
      </c>
      <c r="AA24" s="1704">
        <v>50</v>
      </c>
      <c r="AB24" s="1705"/>
      <c r="AC24" s="1781">
        <v>40038</v>
      </c>
      <c r="AD24" s="1703" t="s">
        <v>767</v>
      </c>
      <c r="AE24" s="1704">
        <v>20</v>
      </c>
      <c r="AF24" s="1705"/>
      <c r="AG24" s="1781">
        <v>40401</v>
      </c>
      <c r="AH24" s="1703" t="s">
        <v>797</v>
      </c>
      <c r="AI24" s="1704">
        <v>33</v>
      </c>
      <c r="AJ24" s="1705"/>
      <c r="AK24" s="1781">
        <v>40772</v>
      </c>
      <c r="AL24" s="1703" t="s">
        <v>6109</v>
      </c>
      <c r="AM24" s="1704">
        <v>13</v>
      </c>
      <c r="AN24" s="1705"/>
      <c r="AO24" s="1781">
        <v>41133</v>
      </c>
      <c r="AP24" s="1703" t="s">
        <v>6147</v>
      </c>
      <c r="AQ24" s="1704">
        <v>15</v>
      </c>
      <c r="AR24" s="1705"/>
      <c r="AS24" s="1781">
        <v>41497</v>
      </c>
      <c r="AT24" s="1703" t="s">
        <v>6148</v>
      </c>
      <c r="AU24" s="1704">
        <v>19</v>
      </c>
      <c r="AV24" s="1705"/>
      <c r="AW24" s="1781">
        <v>41858</v>
      </c>
      <c r="AX24" s="1703" t="s">
        <v>1977</v>
      </c>
      <c r="AY24" s="1704">
        <v>12</v>
      </c>
      <c r="AZ24" s="1705"/>
      <c r="BA24" s="1781">
        <v>42225</v>
      </c>
      <c r="BB24" s="1703" t="s">
        <v>754</v>
      </c>
      <c r="BC24" s="1704">
        <v>69</v>
      </c>
      <c r="BD24" s="1705"/>
      <c r="BE24" s="1781">
        <v>42596</v>
      </c>
      <c r="BF24" s="1703" t="s">
        <v>6149</v>
      </c>
      <c r="BG24" s="1704">
        <v>19</v>
      </c>
      <c r="BH24" s="1705"/>
      <c r="BI24" s="1781">
        <v>42950</v>
      </c>
      <c r="BJ24" s="1703" t="s">
        <v>6150</v>
      </c>
      <c r="BK24" s="1704">
        <v>4</v>
      </c>
      <c r="BL24" s="1705"/>
      <c r="BM24" s="1781">
        <v>43324</v>
      </c>
      <c r="BN24" s="1703" t="s">
        <v>873</v>
      </c>
      <c r="BO24" s="1704">
        <v>34</v>
      </c>
      <c r="BP24" s="1705"/>
      <c r="BQ24" s="1781">
        <v>43685</v>
      </c>
      <c r="BR24" s="1703" t="s">
        <v>6151</v>
      </c>
      <c r="BS24" s="1704">
        <v>5</v>
      </c>
      <c r="BT24" s="1710" t="s">
        <v>414</v>
      </c>
      <c r="BU24" s="1706">
        <v>44053</v>
      </c>
      <c r="BV24" s="1707" t="s">
        <v>6152</v>
      </c>
      <c r="BW24" s="1708">
        <v>17</v>
      </c>
      <c r="BX24" s="1710" t="s">
        <v>414</v>
      </c>
      <c r="BY24" s="1782">
        <v>44416</v>
      </c>
      <c r="BZ24" s="1783" t="s">
        <v>845</v>
      </c>
      <c r="CA24" s="1784">
        <v>30</v>
      </c>
      <c r="CB24" s="1788" t="s">
        <v>414</v>
      </c>
      <c r="CC24" s="1718">
        <v>43678</v>
      </c>
      <c r="CD24" s="1729" t="s">
        <v>6153</v>
      </c>
      <c r="CE24" s="1725">
        <f>CE34+CE33+35</f>
        <v>171</v>
      </c>
      <c r="CF24" s="1726">
        <f>CE24/$CE$23</f>
        <v>0.19906868451688009</v>
      </c>
      <c r="CG24" s="1718">
        <v>43678</v>
      </c>
      <c r="CH24" s="1727" t="s">
        <v>6154</v>
      </c>
      <c r="CI24" s="1737">
        <v>0</v>
      </c>
      <c r="CJ24" s="1726">
        <f>CI24/$CE$10</f>
        <v>0</v>
      </c>
      <c r="CK24" s="1847">
        <v>43678</v>
      </c>
      <c r="CL24" s="1858" t="s">
        <v>381</v>
      </c>
      <c r="CM24" s="1841">
        <f>SUM(CM25:CM26)</f>
        <v>1004</v>
      </c>
      <c r="CN24" s="1726">
        <f t="shared" ref="CN24" si="2">CM24/$CE$10</f>
        <v>0.11863405411792509</v>
      </c>
      <c r="CO24" s="1847">
        <v>43678</v>
      </c>
      <c r="CP24" s="1858" t="s">
        <v>5186</v>
      </c>
      <c r="CQ24" s="1841">
        <v>450</v>
      </c>
      <c r="CR24" s="1726">
        <f>CQ24/$CE$10</f>
        <v>5.3172633817795106E-2</v>
      </c>
    </row>
    <row r="25" spans="1:96">
      <c r="A25" s="1780">
        <v>37475</v>
      </c>
      <c r="B25" s="1711" t="s">
        <v>410</v>
      </c>
      <c r="C25" s="1716"/>
      <c r="D25" s="1717">
        <v>26</v>
      </c>
      <c r="E25" s="1781">
        <v>37839</v>
      </c>
      <c r="F25" s="1703" t="s">
        <v>1810</v>
      </c>
      <c r="G25" s="1704">
        <v>62</v>
      </c>
      <c r="H25" s="1705"/>
      <c r="I25" s="1781">
        <v>38212</v>
      </c>
      <c r="J25" s="1703" t="s">
        <v>6155</v>
      </c>
      <c r="K25" s="1704">
        <v>5</v>
      </c>
      <c r="L25" s="1705"/>
      <c r="M25" s="1781">
        <v>38580</v>
      </c>
      <c r="N25" s="1703" t="s">
        <v>6156</v>
      </c>
      <c r="O25" s="1704">
        <v>5</v>
      </c>
      <c r="P25" s="1705"/>
      <c r="Q25" s="1781">
        <v>38941</v>
      </c>
      <c r="R25" s="1703" t="s">
        <v>767</v>
      </c>
      <c r="S25" s="1704">
        <v>31</v>
      </c>
      <c r="T25" s="1705"/>
      <c r="U25" s="1781">
        <v>39309</v>
      </c>
      <c r="V25" s="1703" t="s">
        <v>802</v>
      </c>
      <c r="W25" s="1704">
        <v>45</v>
      </c>
      <c r="X25" s="1705"/>
      <c r="Y25" s="1781">
        <v>39670</v>
      </c>
      <c r="Z25" s="1703" t="s">
        <v>797</v>
      </c>
      <c r="AA25" s="1704">
        <v>61</v>
      </c>
      <c r="AB25" s="1705"/>
      <c r="AC25" s="1781">
        <v>40038</v>
      </c>
      <c r="AD25" s="1703" t="s">
        <v>802</v>
      </c>
      <c r="AE25" s="1704">
        <v>40</v>
      </c>
      <c r="AF25" s="1705"/>
      <c r="AG25" s="1781">
        <v>40402</v>
      </c>
      <c r="AH25" s="1703" t="s">
        <v>6157</v>
      </c>
      <c r="AI25" s="1704">
        <v>6</v>
      </c>
      <c r="AJ25" s="1705"/>
      <c r="AK25" s="1781">
        <v>40773</v>
      </c>
      <c r="AL25" s="1703" t="s">
        <v>5349</v>
      </c>
      <c r="AM25" s="1704">
        <v>31</v>
      </c>
      <c r="AN25" s="1705"/>
      <c r="AO25" s="1781">
        <v>41133</v>
      </c>
      <c r="AP25" s="1703" t="s">
        <v>6158</v>
      </c>
      <c r="AQ25" s="1704">
        <v>1</v>
      </c>
      <c r="AR25" s="1705"/>
      <c r="AS25" s="1781">
        <v>41497</v>
      </c>
      <c r="AT25" s="1703" t="s">
        <v>6159</v>
      </c>
      <c r="AU25" s="1704">
        <v>10</v>
      </c>
      <c r="AV25" s="1705"/>
      <c r="AW25" s="1781">
        <v>41858</v>
      </c>
      <c r="AX25" s="1703" t="s">
        <v>6160</v>
      </c>
      <c r="AY25" s="1704">
        <v>6</v>
      </c>
      <c r="AZ25" s="1705"/>
      <c r="BA25" s="1781">
        <v>42225</v>
      </c>
      <c r="BB25" s="1703" t="s">
        <v>979</v>
      </c>
      <c r="BC25" s="1704">
        <v>50</v>
      </c>
      <c r="BD25" s="1705"/>
      <c r="BE25" s="1781">
        <v>42597</v>
      </c>
      <c r="BF25" s="1703" t="s">
        <v>6161</v>
      </c>
      <c r="BG25" s="1704">
        <v>495</v>
      </c>
      <c r="BH25" s="1705"/>
      <c r="BI25" s="1781">
        <v>42951</v>
      </c>
      <c r="BJ25" s="1703" t="s">
        <v>6162</v>
      </c>
      <c r="BK25" s="1704">
        <v>18.809999999999999</v>
      </c>
      <c r="BL25" s="1705"/>
      <c r="BM25" s="1781">
        <v>43324</v>
      </c>
      <c r="BN25" s="1703" t="s">
        <v>1427</v>
      </c>
      <c r="BO25" s="1704">
        <v>3</v>
      </c>
      <c r="BP25" s="1705"/>
      <c r="BQ25" s="1781">
        <v>43685</v>
      </c>
      <c r="BR25" s="1703" t="s">
        <v>6163</v>
      </c>
      <c r="BS25" s="1704">
        <v>25</v>
      </c>
      <c r="BT25" s="1710" t="s">
        <v>280</v>
      </c>
      <c r="BU25" s="1706">
        <v>44053</v>
      </c>
      <c r="BV25" s="1707" t="s">
        <v>2663</v>
      </c>
      <c r="BW25" s="1708">
        <v>30</v>
      </c>
      <c r="BX25" s="1710" t="s">
        <v>414</v>
      </c>
      <c r="BY25" s="1782">
        <v>44416</v>
      </c>
      <c r="BZ25" s="1783" t="s">
        <v>843</v>
      </c>
      <c r="CA25" s="1784">
        <v>53</v>
      </c>
      <c r="CB25" s="1788" t="s">
        <v>414</v>
      </c>
      <c r="CC25" s="1718">
        <v>43678</v>
      </c>
      <c r="CD25" s="1729" t="s">
        <v>6164</v>
      </c>
      <c r="CE25" s="1725">
        <f>CE76+CE69+CE77+CE81+CE35+CE36</f>
        <v>251</v>
      </c>
      <c r="CF25" s="1726">
        <f>CE25/$CE$23</f>
        <v>0.29220023282887075</v>
      </c>
      <c r="CG25" s="1718">
        <v>43678</v>
      </c>
      <c r="CH25" s="1727" t="s">
        <v>6165</v>
      </c>
      <c r="CI25" s="1737">
        <v>3988</v>
      </c>
      <c r="CJ25" s="1726" t="s">
        <v>381</v>
      </c>
      <c r="CK25" s="1847"/>
      <c r="CL25" s="1856" t="s">
        <v>6166</v>
      </c>
      <c r="CM25" s="1841">
        <v>693</v>
      </c>
      <c r="CN25" s="1726"/>
      <c r="CO25" s="1847">
        <v>43678</v>
      </c>
      <c r="CP25" s="1855" t="s">
        <v>6154</v>
      </c>
      <c r="CQ25" s="1843">
        <v>0</v>
      </c>
      <c r="CR25" s="1726">
        <f>CQ25/$CE$10</f>
        <v>0</v>
      </c>
    </row>
    <row r="26" spans="1:96">
      <c r="A26" s="1780">
        <v>37475</v>
      </c>
      <c r="B26" s="1711" t="s">
        <v>5530</v>
      </c>
      <c r="C26" s="1716"/>
      <c r="D26" s="1717"/>
      <c r="E26" s="1781">
        <v>37839</v>
      </c>
      <c r="F26" s="1703" t="s">
        <v>6167</v>
      </c>
      <c r="G26" s="1704">
        <v>8</v>
      </c>
      <c r="H26" s="1705"/>
      <c r="I26" s="1781">
        <v>38212</v>
      </c>
      <c r="J26" s="1703" t="s">
        <v>6168</v>
      </c>
      <c r="K26" s="1704">
        <v>5</v>
      </c>
      <c r="L26" s="1705"/>
      <c r="M26" s="1781">
        <v>38581</v>
      </c>
      <c r="N26" s="1703" t="s">
        <v>802</v>
      </c>
      <c r="O26" s="1704">
        <v>33</v>
      </c>
      <c r="P26" s="1705"/>
      <c r="Q26" s="1781">
        <v>38941</v>
      </c>
      <c r="R26" s="1703" t="s">
        <v>6169</v>
      </c>
      <c r="S26" s="1704">
        <v>20</v>
      </c>
      <c r="T26" s="1705"/>
      <c r="U26" s="1781">
        <v>39311</v>
      </c>
      <c r="V26" s="1703" t="s">
        <v>867</v>
      </c>
      <c r="W26" s="1704">
        <v>26</v>
      </c>
      <c r="X26" s="1705"/>
      <c r="Y26" s="1781">
        <v>39670</v>
      </c>
      <c r="Z26" s="1703" t="s">
        <v>802</v>
      </c>
      <c r="AA26" s="1704">
        <v>54</v>
      </c>
      <c r="AB26" s="1705"/>
      <c r="AC26" s="1781">
        <v>40038</v>
      </c>
      <c r="AD26" s="1703" t="s">
        <v>6170</v>
      </c>
      <c r="AE26" s="1704">
        <v>3</v>
      </c>
      <c r="AF26" s="1705"/>
      <c r="AG26" s="1781">
        <v>40402</v>
      </c>
      <c r="AH26" s="1703" t="s">
        <v>6171</v>
      </c>
      <c r="AI26" s="1704">
        <v>15</v>
      </c>
      <c r="AJ26" s="1705"/>
      <c r="AK26" s="1781">
        <v>40775</v>
      </c>
      <c r="AL26" s="1703" t="s">
        <v>6172</v>
      </c>
      <c r="AM26" s="1704">
        <v>16</v>
      </c>
      <c r="AN26" s="1705"/>
      <c r="AO26" s="1781">
        <v>41133</v>
      </c>
      <c r="AP26" s="1703" t="s">
        <v>6173</v>
      </c>
      <c r="AQ26" s="1704">
        <v>85</v>
      </c>
      <c r="AR26" s="1705"/>
      <c r="AS26" s="1781">
        <v>41497</v>
      </c>
      <c r="AT26" s="1703" t="s">
        <v>6174</v>
      </c>
      <c r="AU26" s="1704">
        <v>198</v>
      </c>
      <c r="AV26" s="1705"/>
      <c r="AW26" s="1781">
        <v>41859</v>
      </c>
      <c r="AX26" s="1703" t="s">
        <v>754</v>
      </c>
      <c r="AY26" s="1704">
        <v>103</v>
      </c>
      <c r="AZ26" s="1705"/>
      <c r="BA26" s="1781">
        <v>42226</v>
      </c>
      <c r="BB26" s="1703" t="s">
        <v>1903</v>
      </c>
      <c r="BC26" s="1704">
        <v>50</v>
      </c>
      <c r="BD26" s="1705"/>
      <c r="BE26" s="1781">
        <v>42597</v>
      </c>
      <c r="BF26" s="1703" t="s">
        <v>1180</v>
      </c>
      <c r="BG26" s="1704">
        <v>52</v>
      </c>
      <c r="BH26" s="1705"/>
      <c r="BI26" s="1781">
        <v>42951</v>
      </c>
      <c r="BJ26" s="1703" t="s">
        <v>6175</v>
      </c>
      <c r="BK26" s="1704">
        <v>12</v>
      </c>
      <c r="BL26" s="1705"/>
      <c r="BM26" s="1781">
        <v>43324</v>
      </c>
      <c r="BN26" s="1703" t="s">
        <v>6176</v>
      </c>
      <c r="BO26" s="1704">
        <v>5</v>
      </c>
      <c r="BP26" s="1705"/>
      <c r="BQ26" s="1781">
        <v>43685</v>
      </c>
      <c r="BR26" s="1703" t="s">
        <v>6177</v>
      </c>
      <c r="BS26" s="1704">
        <v>18</v>
      </c>
      <c r="BT26" s="1710" t="s">
        <v>280</v>
      </c>
      <c r="BU26" s="1706">
        <v>44053</v>
      </c>
      <c r="BV26" s="1707" t="s">
        <v>6178</v>
      </c>
      <c r="BW26" s="1708">
        <v>27</v>
      </c>
      <c r="BX26" s="1710" t="s">
        <v>414</v>
      </c>
      <c r="BY26" s="1782">
        <v>44418</v>
      </c>
      <c r="BZ26" s="1783" t="s">
        <v>2562</v>
      </c>
      <c r="CA26" s="1784">
        <v>23</v>
      </c>
      <c r="CB26" s="1788" t="s">
        <v>414</v>
      </c>
      <c r="CC26" s="1718">
        <v>43678</v>
      </c>
      <c r="CD26" s="1729" t="s">
        <v>6179</v>
      </c>
      <c r="CE26" s="1725">
        <f>CE39+CE40+CE83+CE85+CE89+CE92+CE96+CE97+CE100+CE98</f>
        <v>437</v>
      </c>
      <c r="CF26" s="1726">
        <f>CE26/$CE$23</f>
        <v>0.50873108265424916</v>
      </c>
      <c r="CG26" s="1718">
        <v>45139</v>
      </c>
      <c r="CH26" s="1727" t="s">
        <v>6180</v>
      </c>
      <c r="CI26" s="1737">
        <f>CI13</f>
        <v>905</v>
      </c>
      <c r="CJ26" s="1726" t="s">
        <v>381</v>
      </c>
      <c r="CK26" s="1847">
        <v>43678</v>
      </c>
      <c r="CL26" s="1858" t="s">
        <v>5186</v>
      </c>
      <c r="CM26" s="1841">
        <v>311</v>
      </c>
      <c r="CN26" s="1726">
        <f>CM26/$CE$10</f>
        <v>3.674819803852062E-2</v>
      </c>
      <c r="CO26" s="1847">
        <v>43678</v>
      </c>
      <c r="CP26" s="1855" t="s">
        <v>6165</v>
      </c>
      <c r="CQ26" s="1843">
        <f>CQ11</f>
        <v>0</v>
      </c>
      <c r="CR26" s="1726" t="s">
        <v>381</v>
      </c>
    </row>
    <row r="27" spans="1:96">
      <c r="A27" s="1780">
        <v>37476</v>
      </c>
      <c r="B27" s="1711" t="s">
        <v>6008</v>
      </c>
      <c r="C27" s="1716"/>
      <c r="D27" s="1717">
        <v>15</v>
      </c>
      <c r="E27" s="1781">
        <v>37839</v>
      </c>
      <c r="F27" s="1703" t="s">
        <v>6181</v>
      </c>
      <c r="G27" s="1704">
        <v>7</v>
      </c>
      <c r="H27" s="1705"/>
      <c r="I27" s="1781">
        <v>38212</v>
      </c>
      <c r="J27" s="1703" t="s">
        <v>6182</v>
      </c>
      <c r="K27" s="1704">
        <v>32</v>
      </c>
      <c r="L27" s="1705"/>
      <c r="M27" s="1781">
        <v>38581</v>
      </c>
      <c r="N27" s="1703" t="s">
        <v>937</v>
      </c>
      <c r="O27" s="1704">
        <v>20</v>
      </c>
      <c r="P27" s="1705"/>
      <c r="Q27" s="1781">
        <v>38941</v>
      </c>
      <c r="R27" s="1703" t="s">
        <v>6183</v>
      </c>
      <c r="S27" s="1704">
        <v>9</v>
      </c>
      <c r="T27" s="1705"/>
      <c r="U27" s="1781">
        <v>39311</v>
      </c>
      <c r="V27" s="1703" t="s">
        <v>782</v>
      </c>
      <c r="W27" s="1704">
        <v>5</v>
      </c>
      <c r="X27" s="1705"/>
      <c r="Y27" s="1781">
        <v>39672</v>
      </c>
      <c r="Z27" s="1703" t="s">
        <v>6184</v>
      </c>
      <c r="AA27" s="1704">
        <v>9</v>
      </c>
      <c r="AB27" s="1705"/>
      <c r="AC27" s="1781">
        <v>40039</v>
      </c>
      <c r="AD27" s="1703" t="s">
        <v>772</v>
      </c>
      <c r="AE27" s="1704">
        <v>120</v>
      </c>
      <c r="AF27" s="1705"/>
      <c r="AG27" s="1781">
        <v>40405</v>
      </c>
      <c r="AH27" s="1703" t="s">
        <v>6185</v>
      </c>
      <c r="AI27" s="1704">
        <v>24</v>
      </c>
      <c r="AJ27" s="1705"/>
      <c r="AK27" s="1781">
        <v>40776</v>
      </c>
      <c r="AL27" s="1703" t="s">
        <v>781</v>
      </c>
      <c r="AM27" s="1704">
        <v>75</v>
      </c>
      <c r="AN27" s="1705"/>
      <c r="AO27" s="1781">
        <v>41133</v>
      </c>
      <c r="AP27" s="1703" t="s">
        <v>6186</v>
      </c>
      <c r="AQ27" s="1704">
        <v>8</v>
      </c>
      <c r="AR27" s="1705"/>
      <c r="AS27" s="1781">
        <v>41497</v>
      </c>
      <c r="AT27" s="1703" t="s">
        <v>6187</v>
      </c>
      <c r="AU27" s="1704">
        <v>50</v>
      </c>
      <c r="AV27" s="1705"/>
      <c r="AW27" s="1781">
        <v>41859</v>
      </c>
      <c r="AX27" s="1703" t="s">
        <v>6188</v>
      </c>
      <c r="AY27" s="1704">
        <v>36</v>
      </c>
      <c r="AZ27" s="1705"/>
      <c r="BA27" s="1781">
        <v>42226</v>
      </c>
      <c r="BB27" s="1703" t="s">
        <v>965</v>
      </c>
      <c r="BC27" s="1704">
        <v>12</v>
      </c>
      <c r="BD27" s="1705"/>
      <c r="BE27" s="1781">
        <v>42597</v>
      </c>
      <c r="BF27" s="1703" t="s">
        <v>6189</v>
      </c>
      <c r="BG27" s="1704">
        <v>40</v>
      </c>
      <c r="BH27" s="1705"/>
      <c r="BI27" s="1781">
        <v>42951</v>
      </c>
      <c r="BJ27" s="1703" t="s">
        <v>6190</v>
      </c>
      <c r="BK27" s="1704">
        <v>6</v>
      </c>
      <c r="BL27" s="1705"/>
      <c r="BM27" s="1781">
        <v>43325</v>
      </c>
      <c r="BN27" s="1703" t="s">
        <v>873</v>
      </c>
      <c r="BO27" s="1704">
        <v>3</v>
      </c>
      <c r="BP27" s="1705"/>
      <c r="BQ27" s="1781">
        <v>43686</v>
      </c>
      <c r="BR27" s="1703" t="s">
        <v>873</v>
      </c>
      <c r="BS27" s="1704">
        <v>27</v>
      </c>
      <c r="BT27" s="1710" t="s">
        <v>414</v>
      </c>
      <c r="BU27" s="1706">
        <v>44053</v>
      </c>
      <c r="BV27" s="1707" t="s">
        <v>6191</v>
      </c>
      <c r="BW27" s="1708">
        <v>20</v>
      </c>
      <c r="BX27" s="1710" t="s">
        <v>414</v>
      </c>
      <c r="BY27" s="1782">
        <v>44418</v>
      </c>
      <c r="BZ27" s="1783" t="s">
        <v>6192</v>
      </c>
      <c r="CA27" s="1784">
        <v>7</v>
      </c>
      <c r="CB27" s="1788" t="s">
        <v>414</v>
      </c>
      <c r="CC27" s="1718">
        <v>43678</v>
      </c>
      <c r="CD27" s="1735" t="s">
        <v>6193</v>
      </c>
      <c r="CE27" s="1725">
        <f>SUM(CE28:CE30)</f>
        <v>416</v>
      </c>
      <c r="CF27" s="1726">
        <f t="shared" ref="CF27" si="3">CE27/$CE$10</f>
        <v>4.9155145929339478E-2</v>
      </c>
      <c r="CG27" s="1718">
        <v>43678</v>
      </c>
      <c r="CH27" s="1783" t="s">
        <v>6194</v>
      </c>
      <c r="CI27" s="1791">
        <v>68</v>
      </c>
      <c r="CJ27" s="1787" t="s">
        <v>707</v>
      </c>
      <c r="CK27" s="1847">
        <v>43678</v>
      </c>
      <c r="CL27" s="1855" t="s">
        <v>6154</v>
      </c>
      <c r="CM27" s="1843">
        <v>0</v>
      </c>
      <c r="CN27" s="1726">
        <f>CM27/$CE$10</f>
        <v>0</v>
      </c>
      <c r="CO27" s="1847">
        <v>45139</v>
      </c>
      <c r="CP27" s="1855" t="s">
        <v>6180</v>
      </c>
      <c r="CQ27" s="1843">
        <f>CQ13</f>
        <v>1931</v>
      </c>
      <c r="CR27" s="1726" t="s">
        <v>381</v>
      </c>
    </row>
    <row r="28" spans="1:96">
      <c r="A28" s="1780">
        <v>37476</v>
      </c>
      <c r="B28" s="1711" t="s">
        <v>6195</v>
      </c>
      <c r="C28" s="1716">
        <v>75</v>
      </c>
      <c r="D28" s="1717"/>
      <c r="E28" s="1781">
        <v>37840</v>
      </c>
      <c r="F28" s="1703" t="s">
        <v>802</v>
      </c>
      <c r="G28" s="1704">
        <v>23</v>
      </c>
      <c r="H28" s="1705"/>
      <c r="I28" s="1781">
        <v>38213</v>
      </c>
      <c r="J28" s="1703" t="s">
        <v>6196</v>
      </c>
      <c r="K28" s="1704">
        <v>2</v>
      </c>
      <c r="L28" s="1705"/>
      <c r="M28" s="1781">
        <v>38582</v>
      </c>
      <c r="N28" s="1703" t="s">
        <v>6197</v>
      </c>
      <c r="O28" s="1704">
        <v>15</v>
      </c>
      <c r="P28" s="1705"/>
      <c r="Q28" s="1781">
        <v>38944</v>
      </c>
      <c r="R28" s="1703" t="s">
        <v>6198</v>
      </c>
      <c r="S28" s="1704">
        <v>2</v>
      </c>
      <c r="T28" s="1705"/>
      <c r="U28" s="1781">
        <v>39311</v>
      </c>
      <c r="V28" s="1703" t="s">
        <v>937</v>
      </c>
      <c r="W28" s="1704">
        <v>36</v>
      </c>
      <c r="X28" s="1705"/>
      <c r="Y28" s="1781">
        <v>39672</v>
      </c>
      <c r="Z28" s="1703" t="s">
        <v>781</v>
      </c>
      <c r="AA28" s="1704">
        <v>16</v>
      </c>
      <c r="AB28" s="1705"/>
      <c r="AC28" s="1781">
        <v>40040</v>
      </c>
      <c r="AD28" s="1703" t="s">
        <v>6199</v>
      </c>
      <c r="AE28" s="1704">
        <v>16</v>
      </c>
      <c r="AF28" s="1705"/>
      <c r="AG28" s="1781">
        <v>40405</v>
      </c>
      <c r="AH28" s="1703" t="s">
        <v>781</v>
      </c>
      <c r="AI28" s="1704">
        <v>60</v>
      </c>
      <c r="AJ28" s="1705"/>
      <c r="AK28" s="1781">
        <v>40776</v>
      </c>
      <c r="AL28" s="1703" t="s">
        <v>6200</v>
      </c>
      <c r="AM28" s="1704">
        <v>36</v>
      </c>
      <c r="AN28" s="1705"/>
      <c r="AO28" s="1781">
        <v>41133</v>
      </c>
      <c r="AP28" s="1703" t="s">
        <v>6201</v>
      </c>
      <c r="AQ28" s="1704">
        <v>16</v>
      </c>
      <c r="AR28" s="1705"/>
      <c r="AS28" s="1781">
        <v>41498</v>
      </c>
      <c r="AT28" s="1703" t="s">
        <v>6202</v>
      </c>
      <c r="AU28" s="1704"/>
      <c r="AV28" s="1705"/>
      <c r="AW28" s="1781">
        <v>41860</v>
      </c>
      <c r="AX28" s="1703" t="s">
        <v>6203</v>
      </c>
      <c r="AY28" s="1704">
        <v>114</v>
      </c>
      <c r="AZ28" s="1705"/>
      <c r="BA28" s="1781">
        <v>42226</v>
      </c>
      <c r="BB28" s="1703" t="s">
        <v>6204</v>
      </c>
      <c r="BC28" s="1704">
        <v>28</v>
      </c>
      <c r="BD28" s="1705"/>
      <c r="BE28" s="1781">
        <v>42597</v>
      </c>
      <c r="BF28" s="1703" t="s">
        <v>6205</v>
      </c>
      <c r="BG28" s="1704">
        <v>90</v>
      </c>
      <c r="BH28" s="1705"/>
      <c r="BI28" s="1781">
        <v>42951</v>
      </c>
      <c r="BJ28" s="1703" t="s">
        <v>6206</v>
      </c>
      <c r="BK28" s="1704">
        <v>17</v>
      </c>
      <c r="BL28" s="1705"/>
      <c r="BM28" s="1781">
        <v>43327</v>
      </c>
      <c r="BN28" s="1703" t="s">
        <v>6207</v>
      </c>
      <c r="BO28" s="1704">
        <v>32</v>
      </c>
      <c r="BP28" s="1705"/>
      <c r="BQ28" s="1781">
        <v>43686</v>
      </c>
      <c r="BR28" s="1703" t="s">
        <v>6208</v>
      </c>
      <c r="BS28" s="1704">
        <v>27</v>
      </c>
      <c r="BT28" s="1710" t="s">
        <v>414</v>
      </c>
      <c r="BU28" s="1706">
        <v>44053</v>
      </c>
      <c r="BV28" s="1707" t="s">
        <v>6209</v>
      </c>
      <c r="BW28" s="1708">
        <v>23</v>
      </c>
      <c r="BX28" s="1710" t="s">
        <v>414</v>
      </c>
      <c r="BY28" s="1782">
        <v>44418</v>
      </c>
      <c r="BZ28" s="1783" t="s">
        <v>3276</v>
      </c>
      <c r="CA28" s="1784">
        <v>9</v>
      </c>
      <c r="CB28" s="1788" t="s">
        <v>414</v>
      </c>
      <c r="CC28" s="1718">
        <v>43678</v>
      </c>
      <c r="CD28" s="1729" t="s">
        <v>6210</v>
      </c>
      <c r="CE28" s="1725">
        <f>CE43+CE44</f>
        <v>96</v>
      </c>
      <c r="CF28" s="1726">
        <f>CE28/$CE$27</f>
        <v>0.23076923076923078</v>
      </c>
      <c r="CG28" s="1718">
        <v>43678</v>
      </c>
      <c r="CH28" s="1783" t="s">
        <v>6211</v>
      </c>
      <c r="CI28" s="1791">
        <v>58</v>
      </c>
      <c r="CJ28" s="1787" t="s">
        <v>707</v>
      </c>
      <c r="CK28" s="1847">
        <v>43678</v>
      </c>
      <c r="CL28" s="1855" t="s">
        <v>6165</v>
      </c>
      <c r="CM28" s="1843">
        <f>CM11</f>
        <v>6100</v>
      </c>
      <c r="CN28" s="1726" t="s">
        <v>381</v>
      </c>
      <c r="CO28" s="1847">
        <v>45870</v>
      </c>
      <c r="CP28" s="1855" t="s">
        <v>6212</v>
      </c>
      <c r="CQ28" s="1843">
        <v>1300</v>
      </c>
      <c r="CR28" s="1726" t="s">
        <v>381</v>
      </c>
    </row>
    <row r="29" spans="1:96">
      <c r="A29" s="1780">
        <v>37476</v>
      </c>
      <c r="B29" s="1711" t="s">
        <v>6213</v>
      </c>
      <c r="C29" s="1716">
        <v>10</v>
      </c>
      <c r="D29" s="1717"/>
      <c r="E29" s="1781">
        <v>37841</v>
      </c>
      <c r="F29" s="1703" t="s">
        <v>772</v>
      </c>
      <c r="G29" s="1704">
        <v>16</v>
      </c>
      <c r="H29" s="1705"/>
      <c r="I29" s="1781">
        <v>38213</v>
      </c>
      <c r="J29" s="1703" t="s">
        <v>6214</v>
      </c>
      <c r="K29" s="1704">
        <v>10</v>
      </c>
      <c r="L29" s="1705"/>
      <c r="M29" s="1781">
        <v>38582</v>
      </c>
      <c r="N29" s="1703" t="s">
        <v>6105</v>
      </c>
      <c r="O29" s="1704">
        <v>4</v>
      </c>
      <c r="P29" s="1705"/>
      <c r="Q29" s="1781">
        <v>38944</v>
      </c>
      <c r="R29" s="1703" t="s">
        <v>6215</v>
      </c>
      <c r="S29" s="1704">
        <v>8</v>
      </c>
      <c r="T29" s="1705"/>
      <c r="U29" s="1781">
        <v>39312</v>
      </c>
      <c r="V29" s="1703" t="s">
        <v>783</v>
      </c>
      <c r="W29" s="1704">
        <v>25</v>
      </c>
      <c r="X29" s="1705"/>
      <c r="Y29" s="1781">
        <v>39673</v>
      </c>
      <c r="Z29" s="1703" t="s">
        <v>6216</v>
      </c>
      <c r="AA29" s="1704">
        <v>4</v>
      </c>
      <c r="AB29" s="1705"/>
      <c r="AC29" s="1781">
        <v>40041</v>
      </c>
      <c r="AD29" s="1703" t="s">
        <v>781</v>
      </c>
      <c r="AE29" s="1704">
        <v>104</v>
      </c>
      <c r="AF29" s="1705"/>
      <c r="AG29" s="1781">
        <v>40409</v>
      </c>
      <c r="AH29" s="1703" t="s">
        <v>6217</v>
      </c>
      <c r="AI29" s="1704">
        <v>20</v>
      </c>
      <c r="AJ29" s="1705"/>
      <c r="AK29" s="1781">
        <v>40778</v>
      </c>
      <c r="AL29" s="1703" t="s">
        <v>786</v>
      </c>
      <c r="AM29" s="1704">
        <v>1</v>
      </c>
      <c r="AN29" s="1705"/>
      <c r="AO29" s="1781">
        <v>41137</v>
      </c>
      <c r="AP29" s="1703" t="s">
        <v>781</v>
      </c>
      <c r="AQ29" s="1704">
        <v>30</v>
      </c>
      <c r="AR29" s="1705"/>
      <c r="AS29" s="1781">
        <v>41498</v>
      </c>
      <c r="AT29" s="1703" t="s">
        <v>802</v>
      </c>
      <c r="AU29" s="1704">
        <v>20</v>
      </c>
      <c r="AV29" s="1705"/>
      <c r="AW29" s="1781">
        <v>41860</v>
      </c>
      <c r="AX29" s="1703" t="s">
        <v>6218</v>
      </c>
      <c r="AY29" s="1704">
        <v>22</v>
      </c>
      <c r="AZ29" s="1705"/>
      <c r="BA29" s="1781">
        <v>42226</v>
      </c>
      <c r="BB29" s="1703" t="s">
        <v>802</v>
      </c>
      <c r="BC29" s="1704">
        <v>30</v>
      </c>
      <c r="BD29" s="1705"/>
      <c r="BE29" s="1781">
        <v>42597</v>
      </c>
      <c r="BF29" s="1703" t="s">
        <v>6219</v>
      </c>
      <c r="BG29" s="1704">
        <v>50</v>
      </c>
      <c r="BH29" s="1705"/>
      <c r="BI29" s="1781">
        <v>42951</v>
      </c>
      <c r="BJ29" s="1703" t="s">
        <v>6220</v>
      </c>
      <c r="BK29" s="1704">
        <v>4.6500000000000004</v>
      </c>
      <c r="BL29" s="1705"/>
      <c r="BM29" s="1781">
        <v>43327</v>
      </c>
      <c r="BN29" s="1703" t="s">
        <v>6221</v>
      </c>
      <c r="BO29" s="1704">
        <v>24</v>
      </c>
      <c r="BP29" s="1705"/>
      <c r="BQ29" s="1781">
        <v>43687</v>
      </c>
      <c r="BR29" s="1703" t="s">
        <v>872</v>
      </c>
      <c r="BS29" s="1704">
        <v>22</v>
      </c>
      <c r="BT29" s="1710" t="s">
        <v>414</v>
      </c>
      <c r="BU29" s="1706">
        <v>44053</v>
      </c>
      <c r="BV29" s="1707" t="s">
        <v>6222</v>
      </c>
      <c r="BW29" s="1708">
        <v>7</v>
      </c>
      <c r="BX29" s="1710" t="s">
        <v>414</v>
      </c>
      <c r="BY29" s="1782">
        <v>44418</v>
      </c>
      <c r="BZ29" s="1783" t="s">
        <v>3127</v>
      </c>
      <c r="CA29" s="1784">
        <v>16</v>
      </c>
      <c r="CB29" s="1788" t="s">
        <v>414</v>
      </c>
      <c r="CC29" s="1718">
        <v>43678</v>
      </c>
      <c r="CD29" s="1729" t="s">
        <v>6223</v>
      </c>
      <c r="CE29" s="1725">
        <f>CE45+CE46</f>
        <v>65</v>
      </c>
      <c r="CF29" s="1726">
        <f>CE29/$CE$27</f>
        <v>0.15625</v>
      </c>
      <c r="CG29" s="1718">
        <v>43678</v>
      </c>
      <c r="CH29" s="1783" t="s">
        <v>6224</v>
      </c>
      <c r="CI29" s="1791">
        <v>710</v>
      </c>
      <c r="CJ29" s="1787" t="s">
        <v>707</v>
      </c>
      <c r="CK29" s="1847">
        <v>45139</v>
      </c>
      <c r="CL29" s="1855" t="s">
        <v>6180</v>
      </c>
      <c r="CM29" s="1843">
        <f>CM13</f>
        <v>1254</v>
      </c>
      <c r="CN29" s="1726" t="s">
        <v>381</v>
      </c>
      <c r="CO29" s="1847">
        <v>45869</v>
      </c>
      <c r="CP29" s="1838" t="s">
        <v>6194</v>
      </c>
      <c r="CQ29" s="1844">
        <v>71</v>
      </c>
      <c r="CR29" s="1787" t="s">
        <v>707</v>
      </c>
    </row>
    <row r="30" spans="1:96">
      <c r="A30" s="1780">
        <v>37476</v>
      </c>
      <c r="B30" s="1711" t="s">
        <v>6225</v>
      </c>
      <c r="C30" s="1716">
        <v>53</v>
      </c>
      <c r="D30" s="1717"/>
      <c r="E30" s="1781">
        <v>37841</v>
      </c>
      <c r="F30" s="1703" t="s">
        <v>797</v>
      </c>
      <c r="G30" s="1704">
        <v>26</v>
      </c>
      <c r="H30" s="1705"/>
      <c r="I30" s="1781">
        <v>38213</v>
      </c>
      <c r="J30" s="1703" t="s">
        <v>867</v>
      </c>
      <c r="K30" s="1704">
        <v>9</v>
      </c>
      <c r="L30" s="1705"/>
      <c r="M30" s="1781">
        <v>38582</v>
      </c>
      <c r="N30" s="1703" t="s">
        <v>6226</v>
      </c>
      <c r="O30" s="1704">
        <v>5</v>
      </c>
      <c r="P30" s="1705"/>
      <c r="Q30" s="1781">
        <v>38946</v>
      </c>
      <c r="R30" s="1703" t="s">
        <v>767</v>
      </c>
      <c r="S30" s="1704">
        <v>17</v>
      </c>
      <c r="T30" s="1705"/>
      <c r="U30" s="1781">
        <v>39312</v>
      </c>
      <c r="V30" s="1703" t="s">
        <v>2054</v>
      </c>
      <c r="W30" s="1704">
        <v>5</v>
      </c>
      <c r="X30" s="1705"/>
      <c r="Y30" s="1781">
        <v>39675</v>
      </c>
      <c r="Z30" s="1703" t="s">
        <v>6227</v>
      </c>
      <c r="AA30" s="1704">
        <v>0</v>
      </c>
      <c r="AB30" s="1705"/>
      <c r="AC30" s="1781">
        <v>40041</v>
      </c>
      <c r="AD30" s="1703" t="s">
        <v>797</v>
      </c>
      <c r="AE30" s="1704">
        <v>37</v>
      </c>
      <c r="AF30" s="1705"/>
      <c r="AG30" s="1781">
        <v>40409</v>
      </c>
      <c r="AH30" s="1703" t="s">
        <v>797</v>
      </c>
      <c r="AI30" s="1704">
        <v>45</v>
      </c>
      <c r="AJ30" s="1705"/>
      <c r="AK30" s="1781">
        <v>40778</v>
      </c>
      <c r="AL30" s="1703" t="s">
        <v>6228</v>
      </c>
      <c r="AM30" s="1704">
        <v>54</v>
      </c>
      <c r="AN30" s="1705"/>
      <c r="AO30" s="1781">
        <v>41137</v>
      </c>
      <c r="AP30" s="1703" t="s">
        <v>797</v>
      </c>
      <c r="AQ30" s="1704">
        <v>27</v>
      </c>
      <c r="AR30" s="1705"/>
      <c r="AS30" s="1781">
        <v>41498</v>
      </c>
      <c r="AT30" s="1703" t="s">
        <v>6229</v>
      </c>
      <c r="AU30" s="1704">
        <v>30</v>
      </c>
      <c r="AV30" s="1705"/>
      <c r="AW30" s="1781">
        <v>41860</v>
      </c>
      <c r="AX30" s="1703" t="s">
        <v>6230</v>
      </c>
      <c r="AY30" s="1704">
        <v>150</v>
      </c>
      <c r="AZ30" s="1705"/>
      <c r="BA30" s="1781">
        <v>42227</v>
      </c>
      <c r="BB30" s="1703" t="s">
        <v>797</v>
      </c>
      <c r="BC30" s="1704">
        <v>50</v>
      </c>
      <c r="BD30" s="1705"/>
      <c r="BE30" s="1781">
        <v>42600</v>
      </c>
      <c r="BF30" s="1703" t="s">
        <v>890</v>
      </c>
      <c r="BG30" s="1704">
        <v>21</v>
      </c>
      <c r="BH30" s="1705"/>
      <c r="BI30" s="1781">
        <v>42951</v>
      </c>
      <c r="BJ30" s="1703" t="s">
        <v>6231</v>
      </c>
      <c r="BK30" s="1704">
        <v>41</v>
      </c>
      <c r="BL30" s="1705"/>
      <c r="BM30" s="1781">
        <v>43327</v>
      </c>
      <c r="BN30" s="1703" t="s">
        <v>6232</v>
      </c>
      <c r="BO30" s="1704">
        <v>32</v>
      </c>
      <c r="BP30" s="1705"/>
      <c r="BQ30" s="1781">
        <v>43687</v>
      </c>
      <c r="BR30" s="1703" t="s">
        <v>772</v>
      </c>
      <c r="BS30" s="1704">
        <v>12</v>
      </c>
      <c r="BT30" s="1710" t="s">
        <v>414</v>
      </c>
      <c r="BU30" s="1706">
        <v>44053</v>
      </c>
      <c r="BV30" s="1707" t="s">
        <v>6233</v>
      </c>
      <c r="BW30" s="1708">
        <v>12</v>
      </c>
      <c r="BX30" s="1710" t="s">
        <v>414</v>
      </c>
      <c r="BY30" s="1782">
        <v>44418</v>
      </c>
      <c r="BZ30" s="1783" t="s">
        <v>6234</v>
      </c>
      <c r="CA30" s="1784">
        <v>15</v>
      </c>
      <c r="CB30" s="1788" t="s">
        <v>414</v>
      </c>
      <c r="CC30" s="1718">
        <v>43678</v>
      </c>
      <c r="CD30" s="1729" t="s">
        <v>6235</v>
      </c>
      <c r="CE30" s="1725">
        <f>CE47+CE48</f>
        <v>255</v>
      </c>
      <c r="CF30" s="1726">
        <f>CE30/$CE$27</f>
        <v>0.61298076923076927</v>
      </c>
      <c r="CG30" s="1718">
        <v>45141</v>
      </c>
      <c r="CH30" s="1783" t="s">
        <v>6236</v>
      </c>
      <c r="CI30" s="1791">
        <v>50</v>
      </c>
      <c r="CJ30" s="1787" t="s">
        <v>280</v>
      </c>
      <c r="CK30" s="1847">
        <v>43678</v>
      </c>
      <c r="CL30" s="1838" t="s">
        <v>6194</v>
      </c>
      <c r="CM30" s="1844">
        <v>80</v>
      </c>
      <c r="CN30" s="1787" t="s">
        <v>707</v>
      </c>
      <c r="CO30" s="1847">
        <v>45869</v>
      </c>
      <c r="CP30" s="1838" t="s">
        <v>6211</v>
      </c>
      <c r="CQ30" s="1844" t="s">
        <v>37</v>
      </c>
      <c r="CR30" s="1787" t="s">
        <v>707</v>
      </c>
    </row>
    <row r="31" spans="1:96">
      <c r="A31" s="1780">
        <v>37476</v>
      </c>
      <c r="B31" s="1711" t="s">
        <v>410</v>
      </c>
      <c r="C31" s="1716">
        <v>22</v>
      </c>
      <c r="D31" s="1717"/>
      <c r="E31" s="1781">
        <v>37841</v>
      </c>
      <c r="F31" s="1703" t="s">
        <v>6237</v>
      </c>
      <c r="G31" s="1704">
        <v>17</v>
      </c>
      <c r="H31" s="1705"/>
      <c r="I31" s="1781">
        <v>38213</v>
      </c>
      <c r="J31" s="1703" t="s">
        <v>957</v>
      </c>
      <c r="K31" s="1704">
        <v>20</v>
      </c>
      <c r="L31" s="1705"/>
      <c r="M31" s="1781">
        <v>38582</v>
      </c>
      <c r="N31" s="1703" t="s">
        <v>6238</v>
      </c>
      <c r="O31" s="1704">
        <v>8</v>
      </c>
      <c r="P31" s="1705"/>
      <c r="Q31" s="1781">
        <v>38946</v>
      </c>
      <c r="R31" s="1703" t="s">
        <v>2005</v>
      </c>
      <c r="S31" s="1704">
        <v>52</v>
      </c>
      <c r="T31" s="1705"/>
      <c r="U31" s="1781">
        <v>39313</v>
      </c>
      <c r="V31" s="1703" t="s">
        <v>6239</v>
      </c>
      <c r="W31" s="1704">
        <v>25</v>
      </c>
      <c r="X31" s="1705"/>
      <c r="Y31" s="1781">
        <v>39675</v>
      </c>
      <c r="Z31" s="1703" t="s">
        <v>767</v>
      </c>
      <c r="AA31" s="1704">
        <v>20</v>
      </c>
      <c r="AB31" s="1705"/>
      <c r="AC31" s="1781">
        <v>40043</v>
      </c>
      <c r="AD31" s="1703" t="s">
        <v>767</v>
      </c>
      <c r="AE31" s="1704">
        <v>3</v>
      </c>
      <c r="AF31" s="1705"/>
      <c r="AG31" s="1781">
        <v>40411</v>
      </c>
      <c r="AH31" s="1703" t="s">
        <v>772</v>
      </c>
      <c r="AI31" s="1704">
        <v>80</v>
      </c>
      <c r="AJ31" s="1705"/>
      <c r="AK31" s="1781">
        <v>40778</v>
      </c>
      <c r="AL31" s="1703" t="s">
        <v>6240</v>
      </c>
      <c r="AM31" s="1704">
        <v>9</v>
      </c>
      <c r="AN31" s="1705"/>
      <c r="AO31" s="1781">
        <v>41138</v>
      </c>
      <c r="AP31" s="1703" t="s">
        <v>754</v>
      </c>
      <c r="AQ31" s="1704">
        <v>18</v>
      </c>
      <c r="AR31" s="1705"/>
      <c r="AS31" s="1781">
        <v>41498</v>
      </c>
      <c r="AT31" s="1703" t="s">
        <v>867</v>
      </c>
      <c r="AU31" s="1704">
        <v>41</v>
      </c>
      <c r="AV31" s="1705"/>
      <c r="AW31" s="1781">
        <v>41863</v>
      </c>
      <c r="AX31" s="1703" t="s">
        <v>797</v>
      </c>
      <c r="AY31" s="1704">
        <v>26</v>
      </c>
      <c r="AZ31" s="1705"/>
      <c r="BA31" s="1781">
        <v>42231</v>
      </c>
      <c r="BB31" s="1703" t="s">
        <v>954</v>
      </c>
      <c r="BC31" s="1704">
        <v>52</v>
      </c>
      <c r="BD31" s="1705"/>
      <c r="BE31" s="1781">
        <v>42601</v>
      </c>
      <c r="BF31" s="1703" t="s">
        <v>6241</v>
      </c>
      <c r="BG31" s="1704">
        <v>40</v>
      </c>
      <c r="BH31" s="1705"/>
      <c r="BI31" s="1781">
        <v>42951</v>
      </c>
      <c r="BJ31" s="1703" t="s">
        <v>6242</v>
      </c>
      <c r="BK31" s="1704">
        <v>5.65</v>
      </c>
      <c r="BL31" s="1705"/>
      <c r="BM31" s="1781">
        <v>43327</v>
      </c>
      <c r="BN31" s="1703" t="s">
        <v>6243</v>
      </c>
      <c r="BO31" s="1704">
        <v>24</v>
      </c>
      <c r="BP31" s="1705"/>
      <c r="BQ31" s="1781">
        <v>43687</v>
      </c>
      <c r="BR31" s="1703" t="s">
        <v>823</v>
      </c>
      <c r="BS31" s="1704">
        <v>34</v>
      </c>
      <c r="BT31" s="1710" t="s">
        <v>414</v>
      </c>
      <c r="BU31" s="1706">
        <v>44053</v>
      </c>
      <c r="BV31" s="1707" t="s">
        <v>6244</v>
      </c>
      <c r="BW31" s="1708">
        <v>3</v>
      </c>
      <c r="BX31" s="1710" t="s">
        <v>414</v>
      </c>
      <c r="BY31" s="1782">
        <v>44418</v>
      </c>
      <c r="BZ31" s="1783" t="s">
        <v>2253</v>
      </c>
      <c r="CA31" s="1784">
        <v>30</v>
      </c>
      <c r="CB31" s="1788" t="s">
        <v>414</v>
      </c>
      <c r="CC31" s="1718">
        <v>43678</v>
      </c>
      <c r="CD31" s="1735" t="s">
        <v>5186</v>
      </c>
      <c r="CE31" s="1725">
        <v>435</v>
      </c>
      <c r="CF31" s="1726">
        <f>CE31/$CE$10</f>
        <v>5.1400212690535269E-2</v>
      </c>
      <c r="CG31" s="1718">
        <v>45141</v>
      </c>
      <c r="CH31" s="1783" t="s">
        <v>6245</v>
      </c>
      <c r="CI31" s="1791">
        <v>40</v>
      </c>
      <c r="CJ31" s="1787" t="s">
        <v>278</v>
      </c>
      <c r="CK31" s="1847">
        <v>43678</v>
      </c>
      <c r="CL31" s="1838" t="s">
        <v>6211</v>
      </c>
      <c r="CM31" s="1844">
        <v>80</v>
      </c>
      <c r="CN31" s="1787" t="s">
        <v>707</v>
      </c>
      <c r="CO31" s="1847">
        <v>45869</v>
      </c>
      <c r="CP31" s="1908" t="s">
        <v>6246</v>
      </c>
      <c r="CQ31" s="2153">
        <v>16</v>
      </c>
      <c r="CR31" s="1787" t="s">
        <v>278</v>
      </c>
    </row>
    <row r="32" spans="1:96">
      <c r="A32" s="1780">
        <v>37477</v>
      </c>
      <c r="B32" s="1711" t="s">
        <v>6247</v>
      </c>
      <c r="C32" s="1716"/>
      <c r="D32" s="1717">
        <v>15</v>
      </c>
      <c r="E32" s="1781">
        <v>37841</v>
      </c>
      <c r="F32" s="1703" t="s">
        <v>6248</v>
      </c>
      <c r="G32" s="1704">
        <v>12</v>
      </c>
      <c r="H32" s="1705"/>
      <c r="I32" s="1781">
        <v>38213</v>
      </c>
      <c r="J32" s="1703" t="s">
        <v>772</v>
      </c>
      <c r="K32" s="1704">
        <v>31</v>
      </c>
      <c r="L32" s="1705"/>
      <c r="M32" s="1781">
        <v>38583</v>
      </c>
      <c r="N32" s="1703" t="s">
        <v>6249</v>
      </c>
      <c r="O32" s="1704">
        <v>30</v>
      </c>
      <c r="P32" s="1705"/>
      <c r="Q32" s="1781">
        <v>38947</v>
      </c>
      <c r="R32" s="1703" t="s">
        <v>1052</v>
      </c>
      <c r="S32" s="1704">
        <v>3</v>
      </c>
      <c r="T32" s="1705"/>
      <c r="U32" s="1781">
        <v>39313</v>
      </c>
      <c r="V32" s="1703" t="s">
        <v>6250</v>
      </c>
      <c r="W32" s="1704">
        <v>16</v>
      </c>
      <c r="X32" s="1705"/>
      <c r="Y32" s="1781">
        <v>39676</v>
      </c>
      <c r="Z32" s="1703" t="s">
        <v>797</v>
      </c>
      <c r="AA32" s="1704">
        <v>48</v>
      </c>
      <c r="AB32" s="1705"/>
      <c r="AC32" s="1781">
        <v>40043</v>
      </c>
      <c r="AD32" s="1703" t="s">
        <v>6251</v>
      </c>
      <c r="AE32" s="1704">
        <v>16</v>
      </c>
      <c r="AF32" s="1705"/>
      <c r="AG32" s="1781">
        <v>40411</v>
      </c>
      <c r="AH32" s="1703" t="s">
        <v>6252</v>
      </c>
      <c r="AI32" s="1704">
        <v>30</v>
      </c>
      <c r="AJ32" s="1705"/>
      <c r="AK32" s="1781">
        <v>40778</v>
      </c>
      <c r="AL32" s="1703" t="s">
        <v>6253</v>
      </c>
      <c r="AM32" s="1704">
        <v>15</v>
      </c>
      <c r="AN32" s="1705"/>
      <c r="AO32" s="1781">
        <v>41139</v>
      </c>
      <c r="AP32" s="1703" t="s">
        <v>6254</v>
      </c>
      <c r="AQ32" s="1704">
        <v>47</v>
      </c>
      <c r="AR32" s="1705"/>
      <c r="AS32" s="1781">
        <v>41498</v>
      </c>
      <c r="AT32" s="1703" t="s">
        <v>797</v>
      </c>
      <c r="AU32" s="1704">
        <v>65</v>
      </c>
      <c r="AV32" s="1705"/>
      <c r="AW32" s="1781">
        <v>41863</v>
      </c>
      <c r="AX32" s="1703" t="s">
        <v>6255</v>
      </c>
      <c r="AY32" s="1704">
        <v>11</v>
      </c>
      <c r="AZ32" s="1705"/>
      <c r="BA32" s="1781">
        <v>42231</v>
      </c>
      <c r="BB32" s="1703" t="s">
        <v>781</v>
      </c>
      <c r="BC32" s="1704">
        <v>41</v>
      </c>
      <c r="BD32" s="1705"/>
      <c r="BE32" s="1781">
        <v>42601</v>
      </c>
      <c r="BF32" s="1703" t="s">
        <v>6256</v>
      </c>
      <c r="BG32" s="1704">
        <v>38</v>
      </c>
      <c r="BH32" s="1705"/>
      <c r="BI32" s="1781">
        <v>42951</v>
      </c>
      <c r="BJ32" s="1703" t="s">
        <v>823</v>
      </c>
      <c r="BK32" s="1704">
        <v>34</v>
      </c>
      <c r="BL32" s="1705"/>
      <c r="BM32" s="1781">
        <v>43327</v>
      </c>
      <c r="BN32" s="1703" t="s">
        <v>6257</v>
      </c>
      <c r="BO32" s="1704">
        <v>15</v>
      </c>
      <c r="BP32" s="1705"/>
      <c r="BQ32" s="1781">
        <v>43687</v>
      </c>
      <c r="BR32" s="1703" t="s">
        <v>6258</v>
      </c>
      <c r="BS32" s="1704">
        <v>3</v>
      </c>
      <c r="BT32" s="1710" t="s">
        <v>436</v>
      </c>
      <c r="BU32" s="1706">
        <v>44053</v>
      </c>
      <c r="BV32" s="1707" t="s">
        <v>6259</v>
      </c>
      <c r="BW32" s="1708">
        <v>10</v>
      </c>
      <c r="BX32" s="1710" t="s">
        <v>414</v>
      </c>
      <c r="BY32" s="1782">
        <v>44418</v>
      </c>
      <c r="BZ32" s="1783" t="s">
        <v>2050</v>
      </c>
      <c r="CA32" s="1784">
        <v>3</v>
      </c>
      <c r="CB32" s="1788" t="s">
        <v>414</v>
      </c>
      <c r="CC32" s="1718">
        <v>43678</v>
      </c>
      <c r="CD32" s="1727" t="s">
        <v>6154</v>
      </c>
      <c r="CE32" s="1737">
        <f>CE41+CE43</f>
        <v>73</v>
      </c>
      <c r="CF32" s="1726">
        <f>CE32/$CE$10</f>
        <v>8.6257828193312073E-3</v>
      </c>
      <c r="CG32" s="1718">
        <v>45141</v>
      </c>
      <c r="CH32" s="1783" t="s">
        <v>6260</v>
      </c>
      <c r="CI32" s="1791">
        <v>26</v>
      </c>
      <c r="CJ32" s="1787" t="s">
        <v>278</v>
      </c>
      <c r="CK32" s="1847">
        <v>43678</v>
      </c>
      <c r="CL32" s="1838" t="s">
        <v>6261</v>
      </c>
      <c r="CM32" s="1844">
        <v>710</v>
      </c>
      <c r="CN32" s="1787" t="s">
        <v>707</v>
      </c>
      <c r="CO32" s="1847">
        <v>45869</v>
      </c>
      <c r="CP32" s="1908" t="s">
        <v>6262</v>
      </c>
      <c r="CQ32" s="2153">
        <v>25</v>
      </c>
      <c r="CR32" s="1787" t="s">
        <v>278</v>
      </c>
    </row>
    <row r="33" spans="1:98">
      <c r="A33" s="1780">
        <v>37477</v>
      </c>
      <c r="B33" s="1711" t="s">
        <v>6247</v>
      </c>
      <c r="C33" s="1716">
        <v>7</v>
      </c>
      <c r="D33" s="1717"/>
      <c r="E33" s="1781">
        <v>37841</v>
      </c>
      <c r="F33" s="1703" t="s">
        <v>6263</v>
      </c>
      <c r="G33" s="1704">
        <v>8</v>
      </c>
      <c r="H33" s="1705"/>
      <c r="I33" s="1781">
        <v>38216</v>
      </c>
      <c r="J33" s="1703" t="s">
        <v>6264</v>
      </c>
      <c r="K33" s="1704">
        <v>2</v>
      </c>
      <c r="L33" s="1705"/>
      <c r="M33" s="1781">
        <v>38584</v>
      </c>
      <c r="N33" s="1703" t="s">
        <v>797</v>
      </c>
      <c r="O33" s="1704">
        <v>27</v>
      </c>
      <c r="P33" s="1705"/>
      <c r="Q33" s="1781">
        <v>38947</v>
      </c>
      <c r="R33" s="1703" t="s">
        <v>957</v>
      </c>
      <c r="S33" s="1704">
        <v>19</v>
      </c>
      <c r="T33" s="1705"/>
      <c r="U33" s="1781">
        <v>39313</v>
      </c>
      <c r="V33" s="1703" t="s">
        <v>6265</v>
      </c>
      <c r="W33" s="1704">
        <v>21</v>
      </c>
      <c r="X33" s="1705"/>
      <c r="Y33" s="1781">
        <v>39676</v>
      </c>
      <c r="Z33" s="1703" t="s">
        <v>6266</v>
      </c>
      <c r="AA33" s="1704">
        <v>60</v>
      </c>
      <c r="AB33" s="1705"/>
      <c r="AC33" s="1781">
        <v>40045</v>
      </c>
      <c r="AD33" s="1703" t="s">
        <v>772</v>
      </c>
      <c r="AE33" s="1704">
        <v>38</v>
      </c>
      <c r="AF33" s="1705"/>
      <c r="AG33" s="1781">
        <v>40411</v>
      </c>
      <c r="AH33" s="1703" t="s">
        <v>6267</v>
      </c>
      <c r="AI33" s="1704">
        <v>15</v>
      </c>
      <c r="AJ33" s="1705"/>
      <c r="AK33" s="1781">
        <v>40779</v>
      </c>
      <c r="AL33" s="1703" t="s">
        <v>1052</v>
      </c>
      <c r="AM33" s="1704">
        <v>21</v>
      </c>
      <c r="AN33" s="1705"/>
      <c r="AO33" s="1781">
        <v>41139</v>
      </c>
      <c r="AP33" s="1703" t="s">
        <v>797</v>
      </c>
      <c r="AQ33" s="1704">
        <v>50</v>
      </c>
      <c r="AR33" s="1705"/>
      <c r="AS33" s="1781">
        <v>41499</v>
      </c>
      <c r="AT33" s="1703" t="s">
        <v>802</v>
      </c>
      <c r="AU33" s="1704">
        <v>55</v>
      </c>
      <c r="AV33" s="1705"/>
      <c r="AW33" s="1781">
        <v>41866</v>
      </c>
      <c r="AX33" s="1703" t="s">
        <v>925</v>
      </c>
      <c r="AY33" s="1704">
        <v>15</v>
      </c>
      <c r="AZ33" s="1705"/>
      <c r="BA33" s="1781">
        <v>42231</v>
      </c>
      <c r="BB33" s="1703" t="s">
        <v>6268</v>
      </c>
      <c r="BC33" s="1704">
        <v>50</v>
      </c>
      <c r="BD33" s="1705"/>
      <c r="BE33" s="1781">
        <v>42601</v>
      </c>
      <c r="BF33" s="1703" t="s">
        <v>6269</v>
      </c>
      <c r="BG33" s="1704">
        <v>4</v>
      </c>
      <c r="BH33" s="1705"/>
      <c r="BI33" s="1781">
        <v>42952</v>
      </c>
      <c r="BJ33" s="1703" t="s">
        <v>6270</v>
      </c>
      <c r="BK33" s="1704">
        <v>15</v>
      </c>
      <c r="BL33" s="1705"/>
      <c r="BM33" s="1781">
        <v>43329</v>
      </c>
      <c r="BN33" s="1703" t="s">
        <v>6271</v>
      </c>
      <c r="BO33" s="1704">
        <f>15+14+18</f>
        <v>47</v>
      </c>
      <c r="BP33" s="1705"/>
      <c r="BQ33" s="1781">
        <v>43687</v>
      </c>
      <c r="BR33" s="1703" t="s">
        <v>6272</v>
      </c>
      <c r="BS33" s="1704">
        <v>55</v>
      </c>
      <c r="BT33" s="1710" t="s">
        <v>414</v>
      </c>
      <c r="BU33" s="1706">
        <v>44053</v>
      </c>
      <c r="BV33" s="1707" t="s">
        <v>1750</v>
      </c>
      <c r="BW33" s="1708">
        <v>4</v>
      </c>
      <c r="BX33" s="1710" t="s">
        <v>414</v>
      </c>
      <c r="BY33" s="1782">
        <v>44418</v>
      </c>
      <c r="BZ33" s="1783" t="s">
        <v>6273</v>
      </c>
      <c r="CA33" s="1784">
        <v>27</v>
      </c>
      <c r="CB33" s="1788" t="s">
        <v>414</v>
      </c>
      <c r="CC33" s="1718">
        <v>43678</v>
      </c>
      <c r="CD33" s="1783" t="s">
        <v>6274</v>
      </c>
      <c r="CE33" s="1791">
        <v>61</v>
      </c>
      <c r="CF33" s="1792" t="s">
        <v>707</v>
      </c>
      <c r="CG33" s="1718">
        <v>45141</v>
      </c>
      <c r="CH33" s="1783" t="s">
        <v>6275</v>
      </c>
      <c r="CI33" s="1791">
        <v>10</v>
      </c>
      <c r="CJ33" s="1787" t="s">
        <v>278</v>
      </c>
      <c r="CK33" s="1848">
        <v>45505</v>
      </c>
      <c r="CL33" s="1908" t="s">
        <v>6246</v>
      </c>
      <c r="CM33" s="1909">
        <v>8</v>
      </c>
      <c r="CN33" s="1787" t="s">
        <v>278</v>
      </c>
      <c r="CO33" s="1847">
        <v>45869</v>
      </c>
      <c r="CP33" s="1908" t="s">
        <v>6276</v>
      </c>
      <c r="CQ33" s="2153">
        <v>26</v>
      </c>
      <c r="CR33" s="1787" t="s">
        <v>278</v>
      </c>
    </row>
    <row r="34" spans="1:98">
      <c r="A34" s="1780">
        <v>223</v>
      </c>
      <c r="B34" s="1711" t="s">
        <v>6277</v>
      </c>
      <c r="C34" s="1716">
        <v>20</v>
      </c>
      <c r="D34" s="1717"/>
      <c r="E34" s="1781">
        <v>37841</v>
      </c>
      <c r="F34" s="1703" t="s">
        <v>6278</v>
      </c>
      <c r="G34" s="1704">
        <v>4</v>
      </c>
      <c r="H34" s="1705"/>
      <c r="I34" s="1781">
        <v>38217</v>
      </c>
      <c r="J34" s="1703" t="s">
        <v>5627</v>
      </c>
      <c r="K34" s="1704">
        <v>7</v>
      </c>
      <c r="L34" s="1705"/>
      <c r="M34" s="1781">
        <v>38584</v>
      </c>
      <c r="N34" s="1703" t="s">
        <v>6279</v>
      </c>
      <c r="O34" s="1704">
        <v>6</v>
      </c>
      <c r="P34" s="1705"/>
      <c r="Q34" s="1781">
        <v>38947</v>
      </c>
      <c r="R34" s="1703" t="s">
        <v>6280</v>
      </c>
      <c r="S34" s="1704">
        <v>10</v>
      </c>
      <c r="T34" s="1705"/>
      <c r="U34" s="1781">
        <v>39315</v>
      </c>
      <c r="V34" s="1703" t="s">
        <v>797</v>
      </c>
      <c r="W34" s="1704">
        <v>45</v>
      </c>
      <c r="X34" s="1705"/>
      <c r="Y34" s="1781">
        <v>39676</v>
      </c>
      <c r="Z34" s="1703" t="s">
        <v>6281</v>
      </c>
      <c r="AA34" s="1704">
        <v>24</v>
      </c>
      <c r="AB34" s="1705"/>
      <c r="AC34" s="1781">
        <v>40046</v>
      </c>
      <c r="AD34" s="1703" t="s">
        <v>6282</v>
      </c>
      <c r="AE34" s="1704">
        <v>5</v>
      </c>
      <c r="AF34" s="1705"/>
      <c r="AG34" s="1781">
        <v>40411</v>
      </c>
      <c r="AH34" s="1703" t="s">
        <v>781</v>
      </c>
      <c r="AI34" s="1704">
        <v>89</v>
      </c>
      <c r="AJ34" s="1705"/>
      <c r="AK34" s="1781">
        <v>40780</v>
      </c>
      <c r="AL34" s="1703" t="s">
        <v>6283</v>
      </c>
      <c r="AM34" s="1704">
        <v>32</v>
      </c>
      <c r="AN34" s="1705"/>
      <c r="AO34" s="1781">
        <v>41139</v>
      </c>
      <c r="AP34" s="1703" t="s">
        <v>6284</v>
      </c>
      <c r="AQ34" s="1704">
        <v>20</v>
      </c>
      <c r="AR34" s="1705"/>
      <c r="AS34" s="1781">
        <v>41500</v>
      </c>
      <c r="AT34" s="1703" t="s">
        <v>6285</v>
      </c>
      <c r="AU34" s="1704">
        <v>24</v>
      </c>
      <c r="AV34" s="1705"/>
      <c r="AW34" s="1781">
        <v>41866</v>
      </c>
      <c r="AX34" s="1703" t="s">
        <v>6286</v>
      </c>
      <c r="AY34" s="1704">
        <v>12</v>
      </c>
      <c r="AZ34" s="1705"/>
      <c r="BA34" s="1781">
        <v>42232</v>
      </c>
      <c r="BB34" s="1703" t="s">
        <v>6287</v>
      </c>
      <c r="BC34" s="1704">
        <v>25</v>
      </c>
      <c r="BD34" s="1705"/>
      <c r="BE34" s="1781">
        <v>42601</v>
      </c>
      <c r="BF34" s="1703" t="s">
        <v>6288</v>
      </c>
      <c r="BG34" s="1704">
        <v>360</v>
      </c>
      <c r="BH34" s="1705"/>
      <c r="BI34" s="1781">
        <v>42952</v>
      </c>
      <c r="BJ34" s="1703" t="s">
        <v>3586</v>
      </c>
      <c r="BK34" s="1704">
        <v>30</v>
      </c>
      <c r="BL34" s="1705"/>
      <c r="BM34" s="1781">
        <v>43329</v>
      </c>
      <c r="BN34" s="1703" t="s">
        <v>1901</v>
      </c>
      <c r="BO34" s="1704">
        <v>26</v>
      </c>
      <c r="BP34" s="1705"/>
      <c r="BQ34" s="1781">
        <v>43687</v>
      </c>
      <c r="BR34" s="1703" t="s">
        <v>2282</v>
      </c>
      <c r="BS34" s="1704">
        <v>28</v>
      </c>
      <c r="BT34" s="1710" t="s">
        <v>700</v>
      </c>
      <c r="BU34" s="1706">
        <v>44053</v>
      </c>
      <c r="BV34" s="1707" t="s">
        <v>6289</v>
      </c>
      <c r="BW34" s="1708">
        <v>8</v>
      </c>
      <c r="BX34" s="1710" t="s">
        <v>414</v>
      </c>
      <c r="BY34" s="1782">
        <v>44418</v>
      </c>
      <c r="BZ34" s="1783" t="s">
        <v>1693</v>
      </c>
      <c r="CA34" s="1784">
        <v>23</v>
      </c>
      <c r="CB34" s="1788" t="s">
        <v>414</v>
      </c>
      <c r="CC34" s="1718">
        <v>43678</v>
      </c>
      <c r="CD34" s="1783" t="s">
        <v>6290</v>
      </c>
      <c r="CE34" s="1791">
        <v>75</v>
      </c>
      <c r="CF34" s="1792" t="s">
        <v>707</v>
      </c>
      <c r="CG34" s="1718">
        <v>45141</v>
      </c>
      <c r="CH34" s="1783" t="s">
        <v>6291</v>
      </c>
      <c r="CI34" s="1791">
        <v>16</v>
      </c>
      <c r="CJ34" s="1787" t="s">
        <v>278</v>
      </c>
      <c r="CK34" s="1848">
        <v>45505</v>
      </c>
      <c r="CL34" s="1908" t="s">
        <v>6292</v>
      </c>
      <c r="CM34" s="1909">
        <v>300</v>
      </c>
      <c r="CN34" s="1787" t="s">
        <v>707</v>
      </c>
      <c r="CO34" s="1847">
        <v>45869</v>
      </c>
      <c r="CP34" s="1908" t="s">
        <v>6293</v>
      </c>
      <c r="CQ34" s="2153">
        <v>27</v>
      </c>
      <c r="CR34" s="1787" t="s">
        <v>707</v>
      </c>
    </row>
    <row r="35" spans="1:98">
      <c r="A35" s="1780">
        <v>37479</v>
      </c>
      <c r="B35" s="1711" t="s">
        <v>6294</v>
      </c>
      <c r="C35" s="1716">
        <v>23</v>
      </c>
      <c r="D35" s="1717"/>
      <c r="E35" s="1781">
        <v>37842</v>
      </c>
      <c r="F35" s="1703" t="s">
        <v>6295</v>
      </c>
      <c r="G35" s="1704">
        <v>10</v>
      </c>
      <c r="H35" s="1705"/>
      <c r="I35" s="1781">
        <v>38221</v>
      </c>
      <c r="J35" s="1703" t="s">
        <v>797</v>
      </c>
      <c r="K35" s="1704">
        <v>28</v>
      </c>
      <c r="L35" s="1705"/>
      <c r="M35" s="1781">
        <v>38584</v>
      </c>
      <c r="N35" s="1703" t="s">
        <v>6296</v>
      </c>
      <c r="O35" s="1704">
        <v>99</v>
      </c>
      <c r="P35" s="1705"/>
      <c r="Q35" s="1781">
        <v>38947</v>
      </c>
      <c r="R35" s="1703" t="s">
        <v>797</v>
      </c>
      <c r="S35" s="1704">
        <v>44</v>
      </c>
      <c r="T35" s="1705"/>
      <c r="U35" s="1781">
        <v>39318</v>
      </c>
      <c r="V35" s="1703" t="s">
        <v>6297</v>
      </c>
      <c r="W35" s="1704">
        <v>10</v>
      </c>
      <c r="X35" s="1705"/>
      <c r="Y35" s="1781">
        <v>39676</v>
      </c>
      <c r="Z35" s="1703" t="s">
        <v>6298</v>
      </c>
      <c r="AA35" s="1704">
        <v>15</v>
      </c>
      <c r="AB35" s="1705"/>
      <c r="AC35" s="1781">
        <v>40046</v>
      </c>
      <c r="AD35" s="1703" t="s">
        <v>6299</v>
      </c>
      <c r="AE35" s="1704">
        <v>5</v>
      </c>
      <c r="AF35" s="1705"/>
      <c r="AG35" s="1781">
        <v>40411</v>
      </c>
      <c r="AH35" s="1703" t="s">
        <v>1584</v>
      </c>
      <c r="AI35" s="1704">
        <v>39</v>
      </c>
      <c r="AJ35" s="1705"/>
      <c r="AK35" s="1781">
        <v>40782</v>
      </c>
      <c r="AL35" s="1703" t="s">
        <v>772</v>
      </c>
      <c r="AM35" s="1704">
        <v>58</v>
      </c>
      <c r="AN35" s="1705"/>
      <c r="AO35" s="1781">
        <v>41139</v>
      </c>
      <c r="AP35" s="1703" t="s">
        <v>6300</v>
      </c>
      <c r="AQ35" s="1704">
        <v>10</v>
      </c>
      <c r="AR35" s="1705"/>
      <c r="AS35" s="1781">
        <v>41500</v>
      </c>
      <c r="AT35" s="1703" t="s">
        <v>6301</v>
      </c>
      <c r="AU35" s="1704">
        <v>10</v>
      </c>
      <c r="AV35" s="1705"/>
      <c r="AW35" s="1781">
        <v>41866</v>
      </c>
      <c r="AX35" s="1703" t="s">
        <v>802</v>
      </c>
      <c r="AY35" s="1704">
        <v>57</v>
      </c>
      <c r="AZ35" s="1705"/>
      <c r="BA35" s="1781">
        <v>42232</v>
      </c>
      <c r="BB35" s="1703" t="s">
        <v>6302</v>
      </c>
      <c r="BC35" s="1704">
        <v>21</v>
      </c>
      <c r="BD35" s="1705"/>
      <c r="BE35" s="1781">
        <v>42602</v>
      </c>
      <c r="BF35" s="1703" t="s">
        <v>797</v>
      </c>
      <c r="BG35" s="1704">
        <v>47</v>
      </c>
      <c r="BH35" s="1705"/>
      <c r="BI35" s="1781">
        <v>42952</v>
      </c>
      <c r="BJ35" s="1703" t="s">
        <v>6303</v>
      </c>
      <c r="BK35" s="1704"/>
      <c r="BL35" s="1705"/>
      <c r="BM35" s="1781">
        <v>43329</v>
      </c>
      <c r="BN35" s="1703" t="s">
        <v>6304</v>
      </c>
      <c r="BO35" s="1704">
        <v>10</v>
      </c>
      <c r="BP35" s="1705"/>
      <c r="BQ35" s="1781">
        <v>43687</v>
      </c>
      <c r="BR35" s="1711" t="s">
        <v>3806</v>
      </c>
      <c r="BS35" s="1747">
        <v>335</v>
      </c>
      <c r="BT35" s="1710" t="s">
        <v>707</v>
      </c>
      <c r="BU35" s="1706">
        <v>44053</v>
      </c>
      <c r="BV35" s="1707" t="s">
        <v>6305</v>
      </c>
      <c r="BW35" s="1708">
        <v>85</v>
      </c>
      <c r="BX35" s="1710" t="s">
        <v>414</v>
      </c>
      <c r="BY35" s="1782">
        <v>44418</v>
      </c>
      <c r="BZ35" s="1783" t="s">
        <v>6306</v>
      </c>
      <c r="CA35" s="1784">
        <v>14</v>
      </c>
      <c r="CB35" s="1788" t="s">
        <v>414</v>
      </c>
      <c r="CC35" s="1718">
        <v>43678</v>
      </c>
      <c r="CD35" s="1783" t="s">
        <v>6307</v>
      </c>
      <c r="CE35" s="1791">
        <v>88</v>
      </c>
      <c r="CF35" s="1792" t="s">
        <v>707</v>
      </c>
      <c r="CG35" s="1718">
        <v>45141</v>
      </c>
      <c r="CH35" s="1783" t="s">
        <v>6308</v>
      </c>
      <c r="CI35" s="1791">
        <v>0</v>
      </c>
      <c r="CJ35" s="1787" t="s">
        <v>278</v>
      </c>
      <c r="CK35" s="1848">
        <v>45505</v>
      </c>
      <c r="CL35" s="1908" t="s">
        <v>6309</v>
      </c>
      <c r="CM35" s="1909">
        <v>368</v>
      </c>
      <c r="CN35" s="1787" t="s">
        <v>707</v>
      </c>
      <c r="CO35" s="1847">
        <v>45869</v>
      </c>
      <c r="CP35" s="1908" t="s">
        <v>6310</v>
      </c>
      <c r="CQ35" s="2153">
        <v>10</v>
      </c>
      <c r="CR35" s="1787" t="s">
        <v>707</v>
      </c>
    </row>
    <row r="36" spans="1:98">
      <c r="A36" s="1780">
        <v>37480</v>
      </c>
      <c r="B36" s="1711" t="s">
        <v>6247</v>
      </c>
      <c r="C36" s="1716">
        <v>47</v>
      </c>
      <c r="D36" s="1717"/>
      <c r="E36" s="1781">
        <v>37842</v>
      </c>
      <c r="F36" s="1703" t="s">
        <v>6311</v>
      </c>
      <c r="G36" s="1704">
        <v>30</v>
      </c>
      <c r="H36" s="1705"/>
      <c r="I36" s="1781">
        <v>38221</v>
      </c>
      <c r="J36" s="1703" t="s">
        <v>802</v>
      </c>
      <c r="K36" s="1704">
        <v>28</v>
      </c>
      <c r="L36" s="1705"/>
      <c r="M36" s="1781">
        <v>38584</v>
      </c>
      <c r="N36" s="1703" t="s">
        <v>6312</v>
      </c>
      <c r="O36" s="1704">
        <v>23</v>
      </c>
      <c r="P36" s="1705"/>
      <c r="Q36" s="1781">
        <v>38948</v>
      </c>
      <c r="R36" s="1703" t="s">
        <v>6313</v>
      </c>
      <c r="S36" s="1704">
        <v>4</v>
      </c>
      <c r="T36" s="1705"/>
      <c r="U36" s="1781">
        <v>39318</v>
      </c>
      <c r="V36" s="1703" t="s">
        <v>6314</v>
      </c>
      <c r="W36" s="1704">
        <v>9</v>
      </c>
      <c r="X36" s="1705"/>
      <c r="Y36" s="1781">
        <v>39676</v>
      </c>
      <c r="Z36" s="1703" t="s">
        <v>6315</v>
      </c>
      <c r="AA36" s="1704">
        <v>3</v>
      </c>
      <c r="AB36" s="1705"/>
      <c r="AC36" s="1781">
        <v>40048</v>
      </c>
      <c r="AD36" s="1703" t="s">
        <v>797</v>
      </c>
      <c r="AE36" s="1704">
        <v>46</v>
      </c>
      <c r="AF36" s="1705"/>
      <c r="AG36" s="1781">
        <v>40411</v>
      </c>
      <c r="AH36" s="1703" t="s">
        <v>6316</v>
      </c>
      <c r="AI36" s="1704">
        <v>250</v>
      </c>
      <c r="AJ36" s="1705"/>
      <c r="AK36" s="1781">
        <v>40782</v>
      </c>
      <c r="AL36" s="1703" t="s">
        <v>781</v>
      </c>
      <c r="AM36" s="1704">
        <v>80</v>
      </c>
      <c r="AN36" s="1705"/>
      <c r="AO36" s="1781">
        <v>41140</v>
      </c>
      <c r="AP36" s="1703" t="s">
        <v>797</v>
      </c>
      <c r="AQ36" s="1704">
        <v>67</v>
      </c>
      <c r="AR36" s="1705"/>
      <c r="AS36" s="1781">
        <v>41500</v>
      </c>
      <c r="AT36" s="1703" t="s">
        <v>6317</v>
      </c>
      <c r="AU36" s="1704">
        <v>27</v>
      </c>
      <c r="AV36" s="1705"/>
      <c r="AW36" s="1781">
        <v>41866</v>
      </c>
      <c r="AX36" s="1703" t="s">
        <v>754</v>
      </c>
      <c r="AY36" s="1704">
        <v>113</v>
      </c>
      <c r="AZ36" s="1705"/>
      <c r="BA36" s="1781">
        <v>42232</v>
      </c>
      <c r="BB36" s="1703" t="s">
        <v>6318</v>
      </c>
      <c r="BC36" s="1704">
        <v>10</v>
      </c>
      <c r="BD36" s="1705"/>
      <c r="BE36" s="1781">
        <v>42602</v>
      </c>
      <c r="BF36" s="1703" t="s">
        <v>5940</v>
      </c>
      <c r="BG36" s="1704">
        <v>33</v>
      </c>
      <c r="BH36" s="1705"/>
      <c r="BI36" s="1781">
        <v>42952</v>
      </c>
      <c r="BJ36" s="1703" t="s">
        <v>6319</v>
      </c>
      <c r="BK36" s="1704">
        <v>15</v>
      </c>
      <c r="BL36" s="1705"/>
      <c r="BM36" s="1781">
        <v>43329</v>
      </c>
      <c r="BN36" s="1703" t="s">
        <v>2096</v>
      </c>
      <c r="BO36" s="1704">
        <v>13</v>
      </c>
      <c r="BP36" s="1705"/>
      <c r="BQ36" s="1781">
        <v>43687</v>
      </c>
      <c r="BR36" s="1703" t="s">
        <v>5838</v>
      </c>
      <c r="BS36" s="1704">
        <v>54</v>
      </c>
      <c r="BT36" s="1710" t="s">
        <v>702</v>
      </c>
      <c r="BU36" s="1706">
        <v>44053</v>
      </c>
      <c r="BV36" s="1707" t="s">
        <v>3449</v>
      </c>
      <c r="BW36" s="1708">
        <v>11</v>
      </c>
      <c r="BX36" s="1710" t="s">
        <v>414</v>
      </c>
      <c r="BY36" s="1782">
        <v>44418</v>
      </c>
      <c r="BZ36" s="1783" t="s">
        <v>6320</v>
      </c>
      <c r="CA36" s="1784">
        <v>15</v>
      </c>
      <c r="CB36" s="1788" t="s">
        <v>414</v>
      </c>
      <c r="CC36" s="1718">
        <v>43678</v>
      </c>
      <c r="CD36" s="1783" t="s">
        <v>6321</v>
      </c>
      <c r="CE36" s="1791">
        <v>60</v>
      </c>
      <c r="CF36" s="1792" t="s">
        <v>707</v>
      </c>
      <c r="CG36" s="1718">
        <v>45141</v>
      </c>
      <c r="CH36" s="1783" t="s">
        <v>6322</v>
      </c>
      <c r="CI36" s="1791">
        <v>47</v>
      </c>
      <c r="CJ36" s="1788" t="s">
        <v>278</v>
      </c>
      <c r="CK36" s="1848">
        <v>45505</v>
      </c>
      <c r="CL36" s="1908" t="s">
        <v>6323</v>
      </c>
      <c r="CM36" s="1909">
        <v>30</v>
      </c>
      <c r="CN36" s="1787" t="s">
        <v>278</v>
      </c>
      <c r="CO36" s="1847">
        <v>45869</v>
      </c>
      <c r="CP36" s="1908" t="s">
        <v>6324</v>
      </c>
      <c r="CQ36" s="2153">
        <v>117</v>
      </c>
      <c r="CR36" s="1787" t="s">
        <v>381</v>
      </c>
    </row>
    <row r="37" spans="1:98">
      <c r="A37" s="1780">
        <v>37480</v>
      </c>
      <c r="B37" s="1711" t="s">
        <v>6325</v>
      </c>
      <c r="C37" s="1716">
        <v>103</v>
      </c>
      <c r="D37" s="1717"/>
      <c r="E37" s="1781">
        <v>37843</v>
      </c>
      <c r="F37" s="1703" t="s">
        <v>6326</v>
      </c>
      <c r="G37" s="1704"/>
      <c r="H37" s="1705">
        <v>95</v>
      </c>
      <c r="I37" s="1781">
        <v>38223</v>
      </c>
      <c r="J37" s="1703" t="s">
        <v>6327</v>
      </c>
      <c r="K37" s="1704">
        <v>7</v>
      </c>
      <c r="L37" s="1705"/>
      <c r="M37" s="1781">
        <v>38584</v>
      </c>
      <c r="N37" s="1703" t="s">
        <v>6328</v>
      </c>
      <c r="O37" s="1704">
        <v>15</v>
      </c>
      <c r="P37" s="1705"/>
      <c r="Q37" s="1781">
        <v>38948</v>
      </c>
      <c r="R37" s="1703" t="s">
        <v>6329</v>
      </c>
      <c r="S37" s="1704">
        <v>50</v>
      </c>
      <c r="T37" s="1705"/>
      <c r="U37" s="1781">
        <v>39319</v>
      </c>
      <c r="V37" s="1703" t="s">
        <v>6330</v>
      </c>
      <c r="W37" s="1704">
        <v>192</v>
      </c>
      <c r="X37" s="1705"/>
      <c r="Y37" s="1781">
        <v>39676</v>
      </c>
      <c r="Z37" s="1703" t="s">
        <v>6331</v>
      </c>
      <c r="AA37" s="1704">
        <v>0</v>
      </c>
      <c r="AB37" s="1705"/>
      <c r="AC37" s="1781">
        <v>40048</v>
      </c>
      <c r="AD37" s="1703" t="s">
        <v>781</v>
      </c>
      <c r="AE37" s="1704">
        <v>74</v>
      </c>
      <c r="AF37" s="1705"/>
      <c r="AG37" s="1781">
        <v>40412</v>
      </c>
      <c r="AH37" s="1703" t="s">
        <v>6332</v>
      </c>
      <c r="AI37" s="1704">
        <v>0</v>
      </c>
      <c r="AJ37" s="1705"/>
      <c r="AK37" s="1781">
        <v>40782</v>
      </c>
      <c r="AL37" s="1703" t="s">
        <v>6333</v>
      </c>
      <c r="AM37" s="1704">
        <v>11</v>
      </c>
      <c r="AN37" s="1705"/>
      <c r="AO37" s="1781">
        <v>41140</v>
      </c>
      <c r="AP37" s="1703" t="s">
        <v>6334</v>
      </c>
      <c r="AQ37" s="1704">
        <v>20</v>
      </c>
      <c r="AR37" s="1705"/>
      <c r="AS37" s="1781">
        <v>41502</v>
      </c>
      <c r="AT37" s="1703" t="s">
        <v>1052</v>
      </c>
      <c r="AU37" s="1704">
        <v>19</v>
      </c>
      <c r="AV37" s="1705"/>
      <c r="AW37" s="1781">
        <v>41867</v>
      </c>
      <c r="AX37" s="1703" t="s">
        <v>797</v>
      </c>
      <c r="AY37" s="1704">
        <v>67</v>
      </c>
      <c r="AZ37" s="1705"/>
      <c r="BA37" s="1781">
        <v>42232</v>
      </c>
      <c r="BB37" s="1703" t="s">
        <v>5707</v>
      </c>
      <c r="BC37" s="1704">
        <v>5</v>
      </c>
      <c r="BD37" s="1705"/>
      <c r="BE37" s="1781">
        <v>42602</v>
      </c>
      <c r="BF37" s="1703" t="s">
        <v>5985</v>
      </c>
      <c r="BG37" s="1704">
        <v>31</v>
      </c>
      <c r="BH37" s="1705"/>
      <c r="BI37" s="1781">
        <v>42952</v>
      </c>
      <c r="BJ37" s="1703" t="s">
        <v>6335</v>
      </c>
      <c r="BK37" s="1704">
        <v>12</v>
      </c>
      <c r="BL37" s="1705"/>
      <c r="BM37" s="1781">
        <v>43329</v>
      </c>
      <c r="BN37" s="1703" t="s">
        <v>6336</v>
      </c>
      <c r="BO37" s="1704">
        <v>26</v>
      </c>
      <c r="BP37" s="1705"/>
      <c r="BQ37" s="1781">
        <v>43688</v>
      </c>
      <c r="BR37" s="1703" t="s">
        <v>797</v>
      </c>
      <c r="BS37" s="1704">
        <v>47</v>
      </c>
      <c r="BT37" s="1710" t="s">
        <v>410</v>
      </c>
      <c r="BU37" s="1706">
        <v>44053</v>
      </c>
      <c r="BV37" s="1707" t="s">
        <v>6337</v>
      </c>
      <c r="BW37" s="1708">
        <v>25</v>
      </c>
      <c r="BX37" s="1710" t="s">
        <v>700</v>
      </c>
      <c r="BY37" s="1782">
        <v>44419</v>
      </c>
      <c r="BZ37" s="1783" t="s">
        <v>6338</v>
      </c>
      <c r="CA37" s="1784">
        <v>11</v>
      </c>
      <c r="CB37" s="1788" t="s">
        <v>280</v>
      </c>
      <c r="CC37" s="1718">
        <v>43678</v>
      </c>
      <c r="CD37" s="1783" t="s">
        <v>6339</v>
      </c>
      <c r="CE37" s="1791">
        <v>88</v>
      </c>
      <c r="CF37" s="1792" t="s">
        <v>707</v>
      </c>
      <c r="CG37" s="1718">
        <v>45141</v>
      </c>
      <c r="CH37" s="1783" t="s">
        <v>6340</v>
      </c>
      <c r="CI37" s="1791">
        <v>52</v>
      </c>
      <c r="CJ37" s="1788" t="s">
        <v>278</v>
      </c>
      <c r="CK37" s="1848">
        <v>45505</v>
      </c>
      <c r="CL37" s="1908" t="s">
        <v>6341</v>
      </c>
      <c r="CM37" s="1909">
        <v>20</v>
      </c>
      <c r="CN37" s="1787" t="s">
        <v>278</v>
      </c>
      <c r="CO37" s="1847">
        <v>45869</v>
      </c>
      <c r="CP37" s="1908" t="s">
        <v>6342</v>
      </c>
      <c r="CQ37" s="2153">
        <v>105</v>
      </c>
      <c r="CR37" s="1787" t="s">
        <v>278</v>
      </c>
    </row>
    <row r="38" spans="1:98">
      <c r="A38" s="1780">
        <v>37481</v>
      </c>
      <c r="B38" s="1711" t="s">
        <v>6343</v>
      </c>
      <c r="C38" s="1716"/>
      <c r="D38" s="1717">
        <v>31</v>
      </c>
      <c r="E38" s="1781">
        <v>37843</v>
      </c>
      <c r="F38" s="1703" t="s">
        <v>6344</v>
      </c>
      <c r="G38" s="1704"/>
      <c r="H38" s="1705">
        <v>10</v>
      </c>
      <c r="I38" s="1781">
        <v>38223</v>
      </c>
      <c r="J38" s="1703" t="s">
        <v>6345</v>
      </c>
      <c r="K38" s="1704">
        <v>8</v>
      </c>
      <c r="L38" s="1705"/>
      <c r="M38" s="1781">
        <v>38584</v>
      </c>
      <c r="N38" s="1703" t="s">
        <v>6346</v>
      </c>
      <c r="O38" s="1704">
        <v>51</v>
      </c>
      <c r="P38" s="1705"/>
      <c r="Q38" s="1781">
        <v>38949</v>
      </c>
      <c r="R38" s="1703" t="s">
        <v>6347</v>
      </c>
      <c r="S38" s="1704">
        <v>5</v>
      </c>
      <c r="T38" s="1705"/>
      <c r="U38" s="1781">
        <v>39320</v>
      </c>
      <c r="V38" s="1703" t="s">
        <v>937</v>
      </c>
      <c r="W38" s="1704">
        <v>35</v>
      </c>
      <c r="X38" s="1705"/>
      <c r="Y38" s="1781">
        <v>39677</v>
      </c>
      <c r="Z38" s="1703" t="s">
        <v>6348</v>
      </c>
      <c r="AA38" s="1704">
        <v>60</v>
      </c>
      <c r="AB38" s="1705"/>
      <c r="AC38" s="1781">
        <v>40048</v>
      </c>
      <c r="AD38" s="1703" t="s">
        <v>6349</v>
      </c>
      <c r="AE38" s="1704">
        <v>19</v>
      </c>
      <c r="AF38" s="1705"/>
      <c r="AG38" s="1781">
        <v>40412</v>
      </c>
      <c r="AH38" s="1703" t="s">
        <v>6350</v>
      </c>
      <c r="AI38" s="1704">
        <v>26</v>
      </c>
      <c r="AJ38" s="1705"/>
      <c r="AK38" s="1781">
        <v>40782</v>
      </c>
      <c r="AL38" s="1703" t="s">
        <v>797</v>
      </c>
      <c r="AM38" s="1704">
        <v>60</v>
      </c>
      <c r="AN38" s="1705"/>
      <c r="AO38" s="1781">
        <v>41140</v>
      </c>
      <c r="AP38" s="1703" t="s">
        <v>6351</v>
      </c>
      <c r="AQ38" s="1704">
        <v>10</v>
      </c>
      <c r="AR38" s="1705"/>
      <c r="AS38" s="1781">
        <v>41502</v>
      </c>
      <c r="AT38" s="1703" t="s">
        <v>6352</v>
      </c>
      <c r="AU38" s="1704">
        <v>5</v>
      </c>
      <c r="AV38" s="1705"/>
      <c r="AW38" s="1781">
        <v>41867</v>
      </c>
      <c r="AX38" s="1703" t="s">
        <v>6353</v>
      </c>
      <c r="AY38" s="1704">
        <v>45</v>
      </c>
      <c r="AZ38" s="1705"/>
      <c r="BA38" s="1781">
        <v>42232</v>
      </c>
      <c r="BB38" s="1703" t="s">
        <v>6354</v>
      </c>
      <c r="BC38" s="1704">
        <v>4</v>
      </c>
      <c r="BD38" s="1705"/>
      <c r="BE38" s="1781">
        <v>42602</v>
      </c>
      <c r="BF38" s="1703" t="s">
        <v>859</v>
      </c>
      <c r="BG38" s="1704">
        <v>35</v>
      </c>
      <c r="BH38" s="1705"/>
      <c r="BI38" s="1781">
        <v>42952</v>
      </c>
      <c r="BJ38" s="1703" t="s">
        <v>6355</v>
      </c>
      <c r="BK38" s="1704">
        <v>5</v>
      </c>
      <c r="BL38" s="1705"/>
      <c r="BM38" s="1781">
        <v>43329</v>
      </c>
      <c r="BN38" s="1703" t="s">
        <v>2637</v>
      </c>
      <c r="BO38" s="1704">
        <v>16</v>
      </c>
      <c r="BP38" s="1705"/>
      <c r="BQ38" s="1781">
        <v>43688</v>
      </c>
      <c r="BR38" s="1703" t="s">
        <v>6356</v>
      </c>
      <c r="BS38" s="1704">
        <v>41</v>
      </c>
      <c r="BT38" s="1710" t="s">
        <v>381</v>
      </c>
      <c r="BU38" s="1706">
        <v>44053</v>
      </c>
      <c r="BV38" s="1707" t="s">
        <v>6357</v>
      </c>
      <c r="BW38" s="1708">
        <v>10</v>
      </c>
      <c r="BX38" s="1710" t="s">
        <v>700</v>
      </c>
      <c r="BY38" s="1782">
        <v>44419</v>
      </c>
      <c r="BZ38" s="1783" t="s">
        <v>6358</v>
      </c>
      <c r="CA38" s="1784">
        <v>12</v>
      </c>
      <c r="CB38" s="1788" t="s">
        <v>414</v>
      </c>
      <c r="CC38" s="1718">
        <v>43678</v>
      </c>
      <c r="CD38" s="1783" t="s">
        <v>6359</v>
      </c>
      <c r="CE38" s="1791">
        <v>48</v>
      </c>
      <c r="CF38" s="1792" t="s">
        <v>707</v>
      </c>
      <c r="CG38" s="1718">
        <v>45141</v>
      </c>
      <c r="CH38" s="1783" t="s">
        <v>6360</v>
      </c>
      <c r="CI38" s="1791">
        <v>6</v>
      </c>
      <c r="CJ38" s="1788" t="s">
        <v>698</v>
      </c>
      <c r="CK38" s="1848">
        <v>45505</v>
      </c>
      <c r="CL38" s="1908" t="s">
        <v>6361</v>
      </c>
      <c r="CM38" s="1909">
        <v>25</v>
      </c>
      <c r="CN38" s="1787" t="s">
        <v>278</v>
      </c>
      <c r="CO38" s="1847">
        <v>45869</v>
      </c>
      <c r="CP38" s="1908" t="s">
        <v>6362</v>
      </c>
      <c r="CQ38" s="2153">
        <v>22</v>
      </c>
      <c r="CR38" s="1787" t="s">
        <v>278</v>
      </c>
      <c r="CS38" s="1908"/>
      <c r="CT38" s="1908"/>
    </row>
    <row r="39" spans="1:98">
      <c r="A39" s="1780">
        <v>37481</v>
      </c>
      <c r="B39" s="1711" t="s">
        <v>6363</v>
      </c>
      <c r="C39" s="1716"/>
      <c r="D39" s="1717">
        <v>13</v>
      </c>
      <c r="E39" s="1781">
        <v>37843</v>
      </c>
      <c r="F39" s="1703" t="s">
        <v>6364</v>
      </c>
      <c r="G39" s="1704">
        <v>10</v>
      </c>
      <c r="H39" s="1705"/>
      <c r="I39" s="1781">
        <v>38223</v>
      </c>
      <c r="J39" s="1703" t="s">
        <v>5627</v>
      </c>
      <c r="K39" s="1704">
        <v>12</v>
      </c>
      <c r="L39" s="1705"/>
      <c r="M39" s="1781">
        <v>38586</v>
      </c>
      <c r="N39" s="1703" t="s">
        <v>1251</v>
      </c>
      <c r="O39" s="1704">
        <v>40</v>
      </c>
      <c r="P39" s="1705"/>
      <c r="Q39" s="1781">
        <v>38949</v>
      </c>
      <c r="R39" s="1703" t="s">
        <v>797</v>
      </c>
      <c r="S39" s="1704">
        <v>51</v>
      </c>
      <c r="T39" s="1705"/>
      <c r="U39" s="1781">
        <v>39320</v>
      </c>
      <c r="V39" s="1703" t="s">
        <v>802</v>
      </c>
      <c r="W39" s="1704">
        <v>38</v>
      </c>
      <c r="X39" s="1705"/>
      <c r="Y39" s="1781">
        <v>39677</v>
      </c>
      <c r="Z39" s="1703" t="s">
        <v>6365</v>
      </c>
      <c r="AA39" s="1704">
        <v>0</v>
      </c>
      <c r="AB39" s="1705"/>
      <c r="AC39" s="1781">
        <v>40048</v>
      </c>
      <c r="AD39" s="1703" t="s">
        <v>6366</v>
      </c>
      <c r="AE39" s="1704">
        <v>0</v>
      </c>
      <c r="AF39" s="1705"/>
      <c r="AG39" s="1781">
        <v>40412</v>
      </c>
      <c r="AH39" s="1703" t="s">
        <v>6367</v>
      </c>
      <c r="AI39" s="1704">
        <v>13</v>
      </c>
      <c r="AJ39" s="1705"/>
      <c r="AK39" s="1781">
        <v>40782</v>
      </c>
      <c r="AL39" s="1703" t="s">
        <v>6025</v>
      </c>
      <c r="AM39" s="1704">
        <v>17</v>
      </c>
      <c r="AN39" s="1705"/>
      <c r="AO39" s="1781">
        <v>41140</v>
      </c>
      <c r="AP39" s="1703" t="s">
        <v>6368</v>
      </c>
      <c r="AQ39" s="1704">
        <v>10</v>
      </c>
      <c r="AR39" s="1705"/>
      <c r="AS39" s="1781">
        <v>41502</v>
      </c>
      <c r="AT39" s="1703" t="s">
        <v>6369</v>
      </c>
      <c r="AU39" s="1704">
        <v>11</v>
      </c>
      <c r="AV39" s="1705"/>
      <c r="AW39" s="1781">
        <v>41867</v>
      </c>
      <c r="AX39" s="1703" t="s">
        <v>6370</v>
      </c>
      <c r="AY39" s="1704">
        <v>18</v>
      </c>
      <c r="AZ39" s="1705"/>
      <c r="BA39" s="1781">
        <v>42232</v>
      </c>
      <c r="BB39" s="1703" t="s">
        <v>754</v>
      </c>
      <c r="BC39" s="1704">
        <v>60</v>
      </c>
      <c r="BD39" s="1705"/>
      <c r="BE39" s="1781">
        <v>42602</v>
      </c>
      <c r="BF39" s="1703" t="s">
        <v>6371</v>
      </c>
      <c r="BG39" s="1704">
        <v>11</v>
      </c>
      <c r="BH39" s="1705"/>
      <c r="BI39" s="1781">
        <v>42953</v>
      </c>
      <c r="BJ39" s="1703" t="s">
        <v>873</v>
      </c>
      <c r="BK39" s="1704">
        <v>24</v>
      </c>
      <c r="BL39" s="1705"/>
      <c r="BM39" s="1781">
        <v>43329</v>
      </c>
      <c r="BN39" s="1703" t="s">
        <v>6372</v>
      </c>
      <c r="BO39" s="1704">
        <v>9</v>
      </c>
      <c r="BP39" s="1705"/>
      <c r="BQ39" s="1781">
        <v>43688</v>
      </c>
      <c r="BR39" s="1703" t="s">
        <v>6373</v>
      </c>
      <c r="BS39" s="1704">
        <v>25</v>
      </c>
      <c r="BT39" s="1710" t="s">
        <v>278</v>
      </c>
      <c r="BU39" s="1706">
        <v>44053</v>
      </c>
      <c r="BV39" s="1707" t="s">
        <v>6374</v>
      </c>
      <c r="BW39" s="1708">
        <v>9</v>
      </c>
      <c r="BX39" s="1710" t="s">
        <v>700</v>
      </c>
      <c r="BY39" s="1782">
        <v>44419</v>
      </c>
      <c r="BZ39" s="1783" t="s">
        <v>6375</v>
      </c>
      <c r="CA39" s="1784">
        <v>20</v>
      </c>
      <c r="CB39" s="1788" t="s">
        <v>280</v>
      </c>
      <c r="CC39" s="1718">
        <v>43678</v>
      </c>
      <c r="CD39" s="1783" t="s">
        <v>6376</v>
      </c>
      <c r="CE39" s="1791">
        <v>35</v>
      </c>
      <c r="CF39" s="1792" t="s">
        <v>707</v>
      </c>
      <c r="CG39" s="1718">
        <v>45142</v>
      </c>
      <c r="CH39" s="1783" t="s">
        <v>6377</v>
      </c>
      <c r="CI39" s="1791">
        <v>65</v>
      </c>
      <c r="CJ39" s="1788" t="s">
        <v>381</v>
      </c>
      <c r="CK39" s="1848">
        <v>45506</v>
      </c>
      <c r="CL39" s="1908" t="s">
        <v>6378</v>
      </c>
      <c r="CM39" s="1909">
        <v>670</v>
      </c>
      <c r="CN39" s="1787" t="s">
        <v>707</v>
      </c>
      <c r="CO39" s="2154">
        <v>45869</v>
      </c>
      <c r="CP39" s="1908" t="s">
        <v>6379</v>
      </c>
      <c r="CQ39" s="1909">
        <v>67.45</v>
      </c>
      <c r="CR39" s="1787"/>
      <c r="CS39" s="1908"/>
      <c r="CT39" s="1908"/>
    </row>
    <row r="40" spans="1:98">
      <c r="A40" s="1780">
        <v>37482</v>
      </c>
      <c r="B40" s="1711" t="s">
        <v>6380</v>
      </c>
      <c r="C40" s="1716">
        <v>25</v>
      </c>
      <c r="D40" s="1717"/>
      <c r="E40" s="1781">
        <v>37843</v>
      </c>
      <c r="F40" s="1703" t="s">
        <v>1810</v>
      </c>
      <c r="G40" s="1704">
        <v>40</v>
      </c>
      <c r="H40" s="1705"/>
      <c r="I40" s="1781">
        <v>38226</v>
      </c>
      <c r="J40" s="1703" t="s">
        <v>6381</v>
      </c>
      <c r="K40" s="1704">
        <v>2</v>
      </c>
      <c r="L40" s="1705"/>
      <c r="M40" s="1781">
        <v>38588</v>
      </c>
      <c r="N40" s="1703" t="s">
        <v>937</v>
      </c>
      <c r="O40" s="1704">
        <v>27</v>
      </c>
      <c r="P40" s="1705"/>
      <c r="Q40" s="1781">
        <v>38951</v>
      </c>
      <c r="R40" s="1703" t="s">
        <v>802</v>
      </c>
      <c r="S40" s="1704">
        <v>20</v>
      </c>
      <c r="T40" s="1705"/>
      <c r="U40" s="1781">
        <v>39321</v>
      </c>
      <c r="V40" s="1703" t="s">
        <v>6382</v>
      </c>
      <c r="W40" s="1704">
        <v>4</v>
      </c>
      <c r="X40" s="1705"/>
      <c r="Y40" s="1781">
        <v>39677</v>
      </c>
      <c r="Z40" s="1703" t="s">
        <v>6383</v>
      </c>
      <c r="AA40" s="1704">
        <v>70</v>
      </c>
      <c r="AB40" s="1705"/>
      <c r="AC40" s="1781">
        <v>40048</v>
      </c>
      <c r="AD40" s="1703" t="s">
        <v>6384</v>
      </c>
      <c r="AE40" s="1704">
        <v>60</v>
      </c>
      <c r="AF40" s="1705"/>
      <c r="AG40" s="1781">
        <v>40412</v>
      </c>
      <c r="AH40" s="1703" t="s">
        <v>6385</v>
      </c>
      <c r="AI40" s="1704">
        <v>20</v>
      </c>
      <c r="AJ40" s="1705"/>
      <c r="AK40" s="1781">
        <v>40782</v>
      </c>
      <c r="AL40" s="1703" t="s">
        <v>6386</v>
      </c>
      <c r="AM40" s="1704">
        <v>25</v>
      </c>
      <c r="AN40" s="1705"/>
      <c r="AO40" s="1781">
        <v>41140</v>
      </c>
      <c r="AP40" s="1703" t="s">
        <v>6387</v>
      </c>
      <c r="AQ40" s="1704">
        <v>35</v>
      </c>
      <c r="AR40" s="1705"/>
      <c r="AS40" s="1781">
        <v>41502</v>
      </c>
      <c r="AT40" s="1703" t="s">
        <v>6388</v>
      </c>
      <c r="AU40" s="1704">
        <v>13</v>
      </c>
      <c r="AV40" s="1705"/>
      <c r="AW40" s="1781">
        <v>41867</v>
      </c>
      <c r="AX40" s="1703" t="s">
        <v>6389</v>
      </c>
      <c r="AY40" s="1704">
        <v>5</v>
      </c>
      <c r="AZ40" s="1705"/>
      <c r="BA40" s="1781">
        <v>42232</v>
      </c>
      <c r="BB40" s="1703" t="s">
        <v>998</v>
      </c>
      <c r="BC40" s="1704">
        <v>25</v>
      </c>
      <c r="BD40" s="1705"/>
      <c r="BE40" s="1781">
        <v>42608</v>
      </c>
      <c r="BF40" s="1703" t="s">
        <v>2502</v>
      </c>
      <c r="BG40" s="1704">
        <v>33</v>
      </c>
      <c r="BH40" s="1705"/>
      <c r="BI40" s="1781">
        <v>42953</v>
      </c>
      <c r="BJ40" s="1703" t="s">
        <v>872</v>
      </c>
      <c r="BK40" s="1704">
        <v>36</v>
      </c>
      <c r="BL40" s="1705"/>
      <c r="BM40" s="1781">
        <v>43329</v>
      </c>
      <c r="BN40" s="1703" t="s">
        <v>6390</v>
      </c>
      <c r="BO40" s="1704">
        <v>12</v>
      </c>
      <c r="BP40" s="1705"/>
      <c r="BQ40" s="1781">
        <v>43688</v>
      </c>
      <c r="BR40" s="1703" t="s">
        <v>6151</v>
      </c>
      <c r="BS40" s="1704">
        <v>7</v>
      </c>
      <c r="BT40" s="1710" t="s">
        <v>414</v>
      </c>
      <c r="BU40" s="1706">
        <v>44053</v>
      </c>
      <c r="BV40" s="1707" t="s">
        <v>6391</v>
      </c>
      <c r="BW40" s="1708">
        <v>9</v>
      </c>
      <c r="BX40" s="1710" t="s">
        <v>700</v>
      </c>
      <c r="BY40" s="1782">
        <v>44420</v>
      </c>
      <c r="BZ40" s="1783" t="s">
        <v>6392</v>
      </c>
      <c r="CA40" s="1784">
        <v>0</v>
      </c>
      <c r="CB40" s="1788" t="s">
        <v>280</v>
      </c>
      <c r="CC40" s="1718">
        <v>43678</v>
      </c>
      <c r="CD40" s="1783" t="s">
        <v>6393</v>
      </c>
      <c r="CE40" s="1791">
        <v>48</v>
      </c>
      <c r="CF40" s="1792" t="s">
        <v>707</v>
      </c>
      <c r="CG40" s="1718">
        <v>45142</v>
      </c>
      <c r="CH40" s="1783" t="s">
        <v>6360</v>
      </c>
      <c r="CI40" s="1791">
        <v>6</v>
      </c>
      <c r="CJ40" s="1788" t="s">
        <v>698</v>
      </c>
      <c r="CK40" s="1848">
        <v>45506</v>
      </c>
      <c r="CL40" s="1908" t="s">
        <v>6394</v>
      </c>
      <c r="CM40" s="1909">
        <v>50</v>
      </c>
      <c r="CN40" s="1787" t="s">
        <v>278</v>
      </c>
      <c r="CO40" s="2154">
        <v>45870</v>
      </c>
      <c r="CP40" s="1908" t="s">
        <v>6395</v>
      </c>
      <c r="CQ40" s="1909">
        <v>14.44</v>
      </c>
      <c r="CR40" s="1787"/>
      <c r="CS40" s="1908"/>
      <c r="CT40" s="1908"/>
    </row>
    <row r="41" spans="1:98">
      <c r="A41" s="1780">
        <v>37483</v>
      </c>
      <c r="B41" s="1711" t="s">
        <v>410</v>
      </c>
      <c r="C41" s="1716"/>
      <c r="D41" s="1717">
        <v>28</v>
      </c>
      <c r="E41" s="1781">
        <v>37843</v>
      </c>
      <c r="F41" s="1703" t="s">
        <v>6396</v>
      </c>
      <c r="G41" s="1704">
        <v>20</v>
      </c>
      <c r="H41" s="1705"/>
      <c r="I41" s="1781">
        <v>38226</v>
      </c>
      <c r="J41" s="1703" t="s">
        <v>6397</v>
      </c>
      <c r="K41" s="1704">
        <v>8</v>
      </c>
      <c r="L41" s="1705"/>
      <c r="M41" s="1781">
        <v>38588</v>
      </c>
      <c r="N41" s="1703" t="s">
        <v>1052</v>
      </c>
      <c r="O41" s="1704">
        <v>16</v>
      </c>
      <c r="P41" s="1705"/>
      <c r="Q41" s="1781">
        <v>38951</v>
      </c>
      <c r="R41" s="1703" t="s">
        <v>6398</v>
      </c>
      <c r="S41" s="1704">
        <v>28</v>
      </c>
      <c r="T41" s="1705"/>
      <c r="U41" s="1781">
        <v>39321</v>
      </c>
      <c r="V41" s="1703" t="s">
        <v>6399</v>
      </c>
      <c r="W41" s="1704">
        <v>13</v>
      </c>
      <c r="X41" s="1705"/>
      <c r="Y41" s="1781">
        <v>39677</v>
      </c>
      <c r="Z41" s="1703" t="s">
        <v>781</v>
      </c>
      <c r="AA41" s="1704">
        <v>31</v>
      </c>
      <c r="AB41" s="1705"/>
      <c r="AC41" s="1781">
        <v>40048</v>
      </c>
      <c r="AD41" s="1703" t="s">
        <v>6400</v>
      </c>
      <c r="AE41" s="1704">
        <v>165</v>
      </c>
      <c r="AF41" s="1705"/>
      <c r="AG41" s="1781">
        <v>40412</v>
      </c>
      <c r="AH41" s="1703" t="s">
        <v>6401</v>
      </c>
      <c r="AI41" s="1704">
        <v>7</v>
      </c>
      <c r="AJ41" s="1705"/>
      <c r="AK41" s="1781">
        <v>40782</v>
      </c>
      <c r="AL41" s="1703" t="s">
        <v>6402</v>
      </c>
      <c r="AM41" s="1704">
        <v>30</v>
      </c>
      <c r="AN41" s="1705"/>
      <c r="AO41" s="1781">
        <v>41140</v>
      </c>
      <c r="AP41" s="1703" t="s">
        <v>6403</v>
      </c>
      <c r="AQ41" s="1704">
        <v>35</v>
      </c>
      <c r="AR41" s="1705"/>
      <c r="AS41" s="1781">
        <v>41502</v>
      </c>
      <c r="AT41" s="1703" t="s">
        <v>772</v>
      </c>
      <c r="AU41" s="1704">
        <v>134</v>
      </c>
      <c r="AV41" s="1705"/>
      <c r="AW41" s="1781">
        <v>41868</v>
      </c>
      <c r="AX41" s="1703" t="s">
        <v>962</v>
      </c>
      <c r="AY41" s="1704">
        <v>84</v>
      </c>
      <c r="AZ41" s="1705"/>
      <c r="BA41" s="1781">
        <v>42235</v>
      </c>
      <c r="BB41" s="1703" t="s">
        <v>6404</v>
      </c>
      <c r="BC41" s="1704">
        <v>18</v>
      </c>
      <c r="BD41" s="1705"/>
      <c r="BE41" s="1781">
        <v>42609</v>
      </c>
      <c r="BF41" s="1703" t="s">
        <v>5940</v>
      </c>
      <c r="BG41" s="1704">
        <v>37</v>
      </c>
      <c r="BH41" s="1705"/>
      <c r="BI41" s="1781">
        <v>42953</v>
      </c>
      <c r="BJ41" s="1703" t="s">
        <v>890</v>
      </c>
      <c r="BK41" s="1704">
        <v>9</v>
      </c>
      <c r="BL41" s="1705"/>
      <c r="BM41" s="1781">
        <v>43329</v>
      </c>
      <c r="BN41" s="1703" t="s">
        <v>6405</v>
      </c>
      <c r="BO41" s="1704">
        <v>7</v>
      </c>
      <c r="BP41" s="1705"/>
      <c r="BQ41" s="1781">
        <v>43688</v>
      </c>
      <c r="BR41" s="1703" t="s">
        <v>6406</v>
      </c>
      <c r="BS41" s="1704">
        <v>4</v>
      </c>
      <c r="BT41" s="1710" t="s">
        <v>702</v>
      </c>
      <c r="BU41" s="1706">
        <v>44053</v>
      </c>
      <c r="BV41" s="1707" t="s">
        <v>6407</v>
      </c>
      <c r="BW41" s="1708">
        <v>30</v>
      </c>
      <c r="BX41" s="1710" t="s">
        <v>414</v>
      </c>
      <c r="BY41" s="1782">
        <v>44420</v>
      </c>
      <c r="BZ41" s="1783" t="s">
        <v>6408</v>
      </c>
      <c r="CA41" s="1784">
        <v>23</v>
      </c>
      <c r="CB41" s="1788" t="s">
        <v>280</v>
      </c>
      <c r="CC41" s="1718">
        <v>43678</v>
      </c>
      <c r="CD41" s="1783" t="s">
        <v>6409</v>
      </c>
      <c r="CE41" s="1791">
        <v>25</v>
      </c>
      <c r="CF41" s="1787" t="s">
        <v>436</v>
      </c>
      <c r="CG41" s="1718">
        <v>45142</v>
      </c>
      <c r="CH41" s="1783" t="s">
        <v>6322</v>
      </c>
      <c r="CI41" s="1791">
        <v>41</v>
      </c>
      <c r="CJ41" s="1788" t="s">
        <v>278</v>
      </c>
      <c r="CK41" s="1848">
        <v>45506</v>
      </c>
      <c r="CL41" s="1908" t="s">
        <v>6410</v>
      </c>
      <c r="CM41" s="1909">
        <v>70</v>
      </c>
      <c r="CN41" s="1787" t="s">
        <v>278</v>
      </c>
      <c r="CO41" s="2154">
        <v>45870</v>
      </c>
      <c r="CP41" s="1908" t="s">
        <v>6411</v>
      </c>
      <c r="CQ41" s="1909">
        <v>33.99</v>
      </c>
      <c r="CR41" s="1787"/>
      <c r="CS41" s="1908"/>
      <c r="CT41" s="1908"/>
    </row>
    <row r="42" spans="1:98">
      <c r="A42" s="1780">
        <v>37485</v>
      </c>
      <c r="B42" s="1711" t="s">
        <v>6412</v>
      </c>
      <c r="C42" s="1716">
        <v>15</v>
      </c>
      <c r="D42" s="1717"/>
      <c r="E42" s="1781">
        <v>37844</v>
      </c>
      <c r="F42" s="1703" t="s">
        <v>6144</v>
      </c>
      <c r="G42" s="1704">
        <v>55</v>
      </c>
      <c r="H42" s="1705"/>
      <c r="I42" s="1781">
        <v>38226</v>
      </c>
      <c r="J42" s="1703" t="s">
        <v>6413</v>
      </c>
      <c r="K42" s="1704">
        <v>16</v>
      </c>
      <c r="L42" s="1705"/>
      <c r="M42" s="1781">
        <v>38588</v>
      </c>
      <c r="N42" s="1703" t="s">
        <v>6414</v>
      </c>
      <c r="O42" s="1704">
        <v>3</v>
      </c>
      <c r="P42" s="1705"/>
      <c r="Q42" s="1781">
        <v>38951</v>
      </c>
      <c r="R42" s="1703" t="s">
        <v>6415</v>
      </c>
      <c r="S42" s="1704">
        <v>47</v>
      </c>
      <c r="T42" s="1705"/>
      <c r="U42" s="1781">
        <v>39321</v>
      </c>
      <c r="V42" s="1703" t="s">
        <v>797</v>
      </c>
      <c r="W42" s="1704">
        <v>45</v>
      </c>
      <c r="X42" s="1705"/>
      <c r="Y42" s="1781">
        <v>39678</v>
      </c>
      <c r="Z42" s="1703" t="s">
        <v>6416</v>
      </c>
      <c r="AA42" s="1704">
        <v>50</v>
      </c>
      <c r="AB42" s="1705"/>
      <c r="AC42" s="1781">
        <v>40052</v>
      </c>
      <c r="AD42" s="1703" t="s">
        <v>772</v>
      </c>
      <c r="AE42" s="1704">
        <v>20</v>
      </c>
      <c r="AF42" s="1705"/>
      <c r="AG42" s="1781">
        <v>40412</v>
      </c>
      <c r="AH42" s="1703" t="s">
        <v>797</v>
      </c>
      <c r="AI42" s="1704">
        <v>23</v>
      </c>
      <c r="AJ42" s="1705"/>
      <c r="AK42" s="1781"/>
      <c r="AL42" s="1703"/>
      <c r="AM42" s="1704"/>
      <c r="AN42" s="1705"/>
      <c r="AO42" s="1781">
        <v>41143</v>
      </c>
      <c r="AP42" s="1703" t="s">
        <v>754</v>
      </c>
      <c r="AQ42" s="1704">
        <v>92</v>
      </c>
      <c r="AR42" s="1705"/>
      <c r="AS42" s="1781">
        <v>41502</v>
      </c>
      <c r="AT42" s="1703" t="s">
        <v>754</v>
      </c>
      <c r="AU42" s="1704">
        <v>67</v>
      </c>
      <c r="AV42" s="1705"/>
      <c r="AW42" s="1781">
        <v>41868</v>
      </c>
      <c r="AX42" s="1703" t="s">
        <v>1770</v>
      </c>
      <c r="AY42" s="1704">
        <v>22</v>
      </c>
      <c r="AZ42" s="1705"/>
      <c r="BA42" s="1781">
        <v>42237</v>
      </c>
      <c r="BB42" s="1703" t="s">
        <v>797</v>
      </c>
      <c r="BC42" s="1704">
        <v>43</v>
      </c>
      <c r="BD42" s="1705"/>
      <c r="BE42" s="1781">
        <v>42609</v>
      </c>
      <c r="BF42" s="1703" t="s">
        <v>6417</v>
      </c>
      <c r="BG42" s="1704">
        <v>7</v>
      </c>
      <c r="BH42" s="1705"/>
      <c r="BI42" s="1781">
        <v>42954</v>
      </c>
      <c r="BJ42" s="1703" t="s">
        <v>823</v>
      </c>
      <c r="BK42" s="1704">
        <v>11</v>
      </c>
      <c r="BL42" s="1705"/>
      <c r="BM42" s="1781">
        <v>43329</v>
      </c>
      <c r="BN42" s="1703" t="s">
        <v>6418</v>
      </c>
      <c r="BO42" s="1704">
        <v>8</v>
      </c>
      <c r="BP42" s="1705"/>
      <c r="BQ42" s="1781">
        <v>43689</v>
      </c>
      <c r="BR42" s="1703" t="s">
        <v>6419</v>
      </c>
      <c r="BS42" s="1704">
        <v>20</v>
      </c>
      <c r="BT42" s="1710" t="s">
        <v>280</v>
      </c>
      <c r="BU42" s="1706">
        <v>44053</v>
      </c>
      <c r="BV42" s="1707" t="s">
        <v>843</v>
      </c>
      <c r="BW42" s="1708">
        <v>47</v>
      </c>
      <c r="BX42" s="1710" t="s">
        <v>414</v>
      </c>
      <c r="BY42" s="1782">
        <v>44420</v>
      </c>
      <c r="BZ42" s="1783" t="s">
        <v>6420</v>
      </c>
      <c r="CA42" s="1784">
        <v>12</v>
      </c>
      <c r="CB42" s="1788" t="s">
        <v>280</v>
      </c>
      <c r="CC42" s="1718">
        <v>43678</v>
      </c>
      <c r="CD42" s="1783" t="s">
        <v>6421</v>
      </c>
      <c r="CE42" s="1791">
        <v>60</v>
      </c>
      <c r="CF42" s="1787" t="s">
        <v>436</v>
      </c>
      <c r="CG42" s="1718">
        <v>45142</v>
      </c>
      <c r="CH42" s="1783" t="s">
        <v>6422</v>
      </c>
      <c r="CI42" s="1791">
        <v>17</v>
      </c>
      <c r="CJ42" s="1788" t="s">
        <v>280</v>
      </c>
      <c r="CK42" s="1848">
        <v>45506</v>
      </c>
      <c r="CL42" s="1908" t="s">
        <v>6423</v>
      </c>
      <c r="CM42" s="1909">
        <v>20</v>
      </c>
      <c r="CN42" s="1787" t="s">
        <v>280</v>
      </c>
      <c r="CO42" s="2154">
        <v>45870</v>
      </c>
      <c r="CP42" s="1908" t="s">
        <v>6424</v>
      </c>
      <c r="CQ42" s="1909">
        <v>19.63</v>
      </c>
      <c r="CR42" s="1787"/>
      <c r="CS42" s="1908"/>
      <c r="CT42" s="1908"/>
    </row>
    <row r="43" spans="1:98">
      <c r="A43" s="1780">
        <v>37485</v>
      </c>
      <c r="B43" s="1711" t="s">
        <v>6425</v>
      </c>
      <c r="C43" s="1716"/>
      <c r="D43" s="1717">
        <v>5</v>
      </c>
      <c r="E43" s="1781">
        <v>37844</v>
      </c>
      <c r="F43" s="1703" t="s">
        <v>6426</v>
      </c>
      <c r="G43" s="1704">
        <v>12</v>
      </c>
      <c r="H43" s="1705"/>
      <c r="I43" s="1781">
        <v>38227</v>
      </c>
      <c r="J43" s="1703" t="s">
        <v>6427</v>
      </c>
      <c r="K43" s="1704">
        <v>12</v>
      </c>
      <c r="L43" s="1705"/>
      <c r="M43" s="1781">
        <v>38589</v>
      </c>
      <c r="N43" s="1703" t="s">
        <v>802</v>
      </c>
      <c r="O43" s="1704">
        <v>38</v>
      </c>
      <c r="P43" s="1705"/>
      <c r="Q43" s="1781">
        <v>38951</v>
      </c>
      <c r="R43" s="1703" t="s">
        <v>6428</v>
      </c>
      <c r="S43" s="1704">
        <v>130</v>
      </c>
      <c r="T43" s="1705"/>
      <c r="U43" s="1781">
        <v>39325</v>
      </c>
      <c r="V43" s="1703" t="s">
        <v>6429</v>
      </c>
      <c r="W43" s="1704">
        <v>103</v>
      </c>
      <c r="X43" s="1705"/>
      <c r="Y43" s="1781">
        <v>39678</v>
      </c>
      <c r="Z43" s="1703" t="s">
        <v>6430</v>
      </c>
      <c r="AA43" s="1704">
        <v>1</v>
      </c>
      <c r="AB43" s="1705"/>
      <c r="AC43" s="1781">
        <v>40052</v>
      </c>
      <c r="AD43" s="1703" t="s">
        <v>772</v>
      </c>
      <c r="AE43" s="1704">
        <v>21</v>
      </c>
      <c r="AF43" s="1705"/>
      <c r="AG43" s="1781">
        <v>40412</v>
      </c>
      <c r="AH43" s="1703" t="s">
        <v>6431</v>
      </c>
      <c r="AI43" s="1704">
        <v>6</v>
      </c>
      <c r="AJ43" s="1705"/>
      <c r="AK43" s="1781"/>
      <c r="AL43" s="1703"/>
      <c r="AM43" s="1704"/>
      <c r="AN43" s="1705"/>
      <c r="AO43" s="1781">
        <v>41143</v>
      </c>
      <c r="AP43" s="1703" t="s">
        <v>5565</v>
      </c>
      <c r="AQ43" s="1704">
        <v>12</v>
      </c>
      <c r="AR43" s="1705"/>
      <c r="AS43" s="1781">
        <v>41503</v>
      </c>
      <c r="AT43" s="1703" t="s">
        <v>6432</v>
      </c>
      <c r="AU43" s="1704">
        <v>25</v>
      </c>
      <c r="AV43" s="1705"/>
      <c r="AW43" s="1781">
        <v>41868</v>
      </c>
      <c r="AX43" s="1703" t="s">
        <v>867</v>
      </c>
      <c r="AY43" s="1704">
        <v>10</v>
      </c>
      <c r="AZ43" s="1705"/>
      <c r="BA43" s="1781">
        <v>42237</v>
      </c>
      <c r="BB43" s="1703" t="s">
        <v>6433</v>
      </c>
      <c r="BC43" s="1704">
        <v>30</v>
      </c>
      <c r="BD43" s="1705"/>
      <c r="BE43" s="1781">
        <v>42609</v>
      </c>
      <c r="BF43" s="1703" t="s">
        <v>6434</v>
      </c>
      <c r="BG43" s="1704">
        <v>10</v>
      </c>
      <c r="BH43" s="1705"/>
      <c r="BI43" s="1781">
        <v>42954</v>
      </c>
      <c r="BJ43" s="1703" t="s">
        <v>797</v>
      </c>
      <c r="BK43" s="1704">
        <v>60</v>
      </c>
      <c r="BL43" s="1705"/>
      <c r="BM43" s="1781">
        <v>43329</v>
      </c>
      <c r="BN43" s="1703" t="s">
        <v>6435</v>
      </c>
      <c r="BO43" s="1704">
        <v>28</v>
      </c>
      <c r="BP43" s="1705"/>
      <c r="BQ43" s="1781">
        <v>43689</v>
      </c>
      <c r="BR43" s="1703" t="s">
        <v>6436</v>
      </c>
      <c r="BS43" s="1704">
        <v>26</v>
      </c>
      <c r="BT43" s="1710" t="s">
        <v>280</v>
      </c>
      <c r="BU43" s="1706">
        <v>44058</v>
      </c>
      <c r="BV43" s="1707" t="s">
        <v>6437</v>
      </c>
      <c r="BW43" s="1708">
        <v>25</v>
      </c>
      <c r="BX43" s="1710" t="s">
        <v>280</v>
      </c>
      <c r="BY43" s="1782">
        <v>44420</v>
      </c>
      <c r="BZ43" s="1783" t="s">
        <v>6438</v>
      </c>
      <c r="CA43" s="1784">
        <v>0</v>
      </c>
      <c r="CB43" s="1788" t="s">
        <v>280</v>
      </c>
      <c r="CC43" s="1718">
        <v>43678</v>
      </c>
      <c r="CD43" s="1783" t="s">
        <v>6439</v>
      </c>
      <c r="CE43" s="1791">
        <v>48</v>
      </c>
      <c r="CF43" s="1787" t="s">
        <v>381</v>
      </c>
      <c r="CG43" s="1718">
        <v>45142</v>
      </c>
      <c r="CH43" s="1783" t="s">
        <v>6440</v>
      </c>
      <c r="CI43" s="1791">
        <v>5</v>
      </c>
      <c r="CJ43" s="1788" t="s">
        <v>278</v>
      </c>
      <c r="CK43" s="1848">
        <v>45506</v>
      </c>
      <c r="CL43" s="1908" t="s">
        <v>6441</v>
      </c>
      <c r="CM43" s="1909">
        <v>20</v>
      </c>
      <c r="CN43" s="1787" t="s">
        <v>426</v>
      </c>
      <c r="CO43" s="2154">
        <v>45871</v>
      </c>
      <c r="CP43" s="1908" t="s">
        <v>6442</v>
      </c>
      <c r="CQ43" s="1909">
        <v>16.72</v>
      </c>
      <c r="CR43" s="1787"/>
      <c r="CS43" s="1908"/>
      <c r="CT43" s="1908"/>
    </row>
    <row r="44" spans="1:98">
      <c r="A44" s="1780">
        <v>37485</v>
      </c>
      <c r="B44" s="1711" t="s">
        <v>6380</v>
      </c>
      <c r="C44" s="1716"/>
      <c r="D44" s="1717">
        <v>15</v>
      </c>
      <c r="E44" s="1781">
        <v>37845</v>
      </c>
      <c r="F44" s="1703" t="s">
        <v>6443</v>
      </c>
      <c r="G44" s="1704"/>
      <c r="H44" s="1705">
        <v>70</v>
      </c>
      <c r="I44" s="1781">
        <v>38227</v>
      </c>
      <c r="J44" s="1703" t="s">
        <v>5627</v>
      </c>
      <c r="K44" s="1704">
        <v>37</v>
      </c>
      <c r="L44" s="1705"/>
      <c r="M44" s="1781">
        <v>38591</v>
      </c>
      <c r="N44" s="1703" t="s">
        <v>6444</v>
      </c>
      <c r="O44" s="1704">
        <v>10</v>
      </c>
      <c r="P44" s="1705"/>
      <c r="Q44" s="1781">
        <v>38951</v>
      </c>
      <c r="R44" s="1703" t="s">
        <v>6445</v>
      </c>
      <c r="S44" s="1704">
        <v>50</v>
      </c>
      <c r="T44" s="1705"/>
      <c r="U44" s="1781">
        <v>39325</v>
      </c>
      <c r="V44" s="1703" t="s">
        <v>797</v>
      </c>
      <c r="W44" s="1704">
        <v>35</v>
      </c>
      <c r="X44" s="1705"/>
      <c r="Y44" s="1781">
        <v>39678</v>
      </c>
      <c r="Z44" s="1703" t="s">
        <v>797</v>
      </c>
      <c r="AA44" s="1704">
        <v>50</v>
      </c>
      <c r="AB44" s="1705"/>
      <c r="AC44" s="1781">
        <v>40054</v>
      </c>
      <c r="AD44" s="1703" t="s">
        <v>772</v>
      </c>
      <c r="AE44" s="1704">
        <v>42</v>
      </c>
      <c r="AF44" s="1705"/>
      <c r="AG44" s="1781">
        <v>40413</v>
      </c>
      <c r="AH44" s="1703" t="s">
        <v>6446</v>
      </c>
      <c r="AI44" s="1704">
        <v>157</v>
      </c>
      <c r="AJ44" s="1705"/>
      <c r="AK44" s="1781"/>
      <c r="AL44" s="1703"/>
      <c r="AM44" s="1704"/>
      <c r="AN44" s="1705"/>
      <c r="AO44" s="1781">
        <v>41143</v>
      </c>
      <c r="AP44" s="1703" t="s">
        <v>6447</v>
      </c>
      <c r="AQ44" s="1704">
        <v>10</v>
      </c>
      <c r="AR44" s="1705"/>
      <c r="AS44" s="1781">
        <v>41503</v>
      </c>
      <c r="AT44" s="1703" t="s">
        <v>6448</v>
      </c>
      <c r="AU44" s="1704">
        <v>44</v>
      </c>
      <c r="AV44" s="1705"/>
      <c r="AW44" s="1781">
        <v>41868</v>
      </c>
      <c r="AX44" s="1703" t="s">
        <v>772</v>
      </c>
      <c r="AY44" s="1704">
        <v>42</v>
      </c>
      <c r="AZ44" s="1705"/>
      <c r="BA44" s="1781">
        <v>42237</v>
      </c>
      <c r="BB44" s="1703" t="s">
        <v>772</v>
      </c>
      <c r="BC44" s="1704">
        <v>43</v>
      </c>
      <c r="BD44" s="1705"/>
      <c r="BE44" s="1781">
        <v>42610</v>
      </c>
      <c r="BF44" s="1703" t="s">
        <v>6449</v>
      </c>
      <c r="BG44" s="1704">
        <v>0</v>
      </c>
      <c r="BH44" s="1705"/>
      <c r="BI44" s="1781">
        <v>42955</v>
      </c>
      <c r="BJ44" s="1703" t="s">
        <v>859</v>
      </c>
      <c r="BK44" s="1704">
        <v>13</v>
      </c>
      <c r="BL44" s="1705"/>
      <c r="BM44" s="1781">
        <v>43329</v>
      </c>
      <c r="BN44" s="1703" t="s">
        <v>2050</v>
      </c>
      <c r="BO44" s="1704">
        <v>4</v>
      </c>
      <c r="BP44" s="1705"/>
      <c r="BQ44" s="1781">
        <v>43689</v>
      </c>
      <c r="BR44" s="1703" t="s">
        <v>3127</v>
      </c>
      <c r="BS44" s="1704">
        <v>4</v>
      </c>
      <c r="BT44" s="1710" t="s">
        <v>414</v>
      </c>
      <c r="BU44" s="1706">
        <v>44058</v>
      </c>
      <c r="BV44" s="1707" t="s">
        <v>6450</v>
      </c>
      <c r="BW44" s="1708">
        <v>79</v>
      </c>
      <c r="BX44" s="1710" t="s">
        <v>280</v>
      </c>
      <c r="BY44" s="1782">
        <v>44422</v>
      </c>
      <c r="BZ44" s="1783" t="s">
        <v>845</v>
      </c>
      <c r="CA44" s="1784">
        <v>59</v>
      </c>
      <c r="CB44" s="1788" t="s">
        <v>414</v>
      </c>
      <c r="CC44" s="1718">
        <v>43678</v>
      </c>
      <c r="CD44" s="1783" t="s">
        <v>6451</v>
      </c>
      <c r="CE44" s="1791">
        <v>48</v>
      </c>
      <c r="CF44" s="1787" t="s">
        <v>381</v>
      </c>
      <c r="CG44" s="1718">
        <v>45142</v>
      </c>
      <c r="CH44" s="1783" t="s">
        <v>6452</v>
      </c>
      <c r="CI44" s="1791">
        <v>52</v>
      </c>
      <c r="CJ44" s="1788" t="s">
        <v>278</v>
      </c>
      <c r="CK44" s="1848">
        <v>45506</v>
      </c>
      <c r="CL44" s="1908" t="s">
        <v>6453</v>
      </c>
      <c r="CM44" s="1909">
        <v>25</v>
      </c>
      <c r="CN44" s="1787" t="s">
        <v>278</v>
      </c>
      <c r="CO44" s="2154">
        <v>45871</v>
      </c>
      <c r="CP44" s="1908" t="s">
        <v>6454</v>
      </c>
      <c r="CQ44" s="1909">
        <v>12.28</v>
      </c>
      <c r="CR44" s="1787"/>
      <c r="CS44" s="1908"/>
      <c r="CT44" s="1908"/>
    </row>
    <row r="45" spans="1:98">
      <c r="A45" s="1780">
        <v>37486</v>
      </c>
      <c r="B45" s="1711" t="s">
        <v>6455</v>
      </c>
      <c r="C45" s="1716"/>
      <c r="D45" s="1717">
        <v>13</v>
      </c>
      <c r="E45" s="1781">
        <v>37845</v>
      </c>
      <c r="F45" s="1703" t="s">
        <v>772</v>
      </c>
      <c r="G45" s="1704">
        <v>25</v>
      </c>
      <c r="H45" s="1705"/>
      <c r="I45" s="1781">
        <v>38228</v>
      </c>
      <c r="J45" s="1703" t="s">
        <v>6456</v>
      </c>
      <c r="K45" s="1704">
        <v>15</v>
      </c>
      <c r="L45" s="1705"/>
      <c r="M45" s="1781">
        <v>38592</v>
      </c>
      <c r="N45" s="1703" t="s">
        <v>797</v>
      </c>
      <c r="O45" s="1704">
        <v>40</v>
      </c>
      <c r="P45" s="1705"/>
      <c r="Q45" s="1781">
        <v>38951</v>
      </c>
      <c r="R45" s="1703" t="s">
        <v>6457</v>
      </c>
      <c r="S45" s="1704">
        <v>85</v>
      </c>
      <c r="T45" s="1705"/>
      <c r="U45" s="1781"/>
      <c r="V45" s="1703"/>
      <c r="W45" s="1704"/>
      <c r="X45" s="1705"/>
      <c r="Y45" s="1781">
        <v>39680</v>
      </c>
      <c r="Z45" s="1703" t="s">
        <v>802</v>
      </c>
      <c r="AA45" s="1704">
        <v>20</v>
      </c>
      <c r="AB45" s="1705"/>
      <c r="AC45" s="1781">
        <v>40054</v>
      </c>
      <c r="AD45" s="1703" t="s">
        <v>781</v>
      </c>
      <c r="AE45" s="1704">
        <v>3</v>
      </c>
      <c r="AF45" s="1705"/>
      <c r="AG45" s="1781">
        <v>40413</v>
      </c>
      <c r="AH45" s="1703" t="s">
        <v>6458</v>
      </c>
      <c r="AI45" s="1704">
        <v>19</v>
      </c>
      <c r="AJ45" s="1705"/>
      <c r="AK45" s="1781"/>
      <c r="AL45" s="1703"/>
      <c r="AM45" s="1704"/>
      <c r="AN45" s="1705"/>
      <c r="AO45" s="1781">
        <v>41145</v>
      </c>
      <c r="AP45" s="1703" t="s">
        <v>781</v>
      </c>
      <c r="AQ45" s="1704">
        <v>30</v>
      </c>
      <c r="AR45" s="1705"/>
      <c r="AS45" s="1781">
        <v>41503</v>
      </c>
      <c r="AT45" s="1703" t="s">
        <v>6459</v>
      </c>
      <c r="AU45" s="1704">
        <v>50</v>
      </c>
      <c r="AV45" s="1705"/>
      <c r="AW45" s="1781">
        <v>41868</v>
      </c>
      <c r="AX45" s="1703" t="s">
        <v>787</v>
      </c>
      <c r="AY45" s="1704">
        <v>5</v>
      </c>
      <c r="AZ45" s="1705"/>
      <c r="BA45" s="1781">
        <v>42238</v>
      </c>
      <c r="BB45" s="1703" t="s">
        <v>6460</v>
      </c>
      <c r="BC45" s="1704">
        <v>32</v>
      </c>
      <c r="BD45" s="1705"/>
      <c r="BE45" s="1781">
        <v>42610</v>
      </c>
      <c r="BF45" s="1703" t="s">
        <v>6461</v>
      </c>
      <c r="BG45" s="1704">
        <v>0</v>
      </c>
      <c r="BH45" s="1705"/>
      <c r="BI45" s="1781">
        <v>42958</v>
      </c>
      <c r="BJ45" s="1703" t="s">
        <v>772</v>
      </c>
      <c r="BK45" s="1704">
        <v>65</v>
      </c>
      <c r="BL45" s="1705"/>
      <c r="BM45" s="1781">
        <v>43330</v>
      </c>
      <c r="BN45" s="1703" t="s">
        <v>1180</v>
      </c>
      <c r="BO45" s="1704">
        <v>21</v>
      </c>
      <c r="BP45" s="1705"/>
      <c r="BQ45" s="1781">
        <v>43690</v>
      </c>
      <c r="BR45" s="1703" t="s">
        <v>6462</v>
      </c>
      <c r="BS45" s="1704">
        <v>14</v>
      </c>
      <c r="BT45" s="1710" t="s">
        <v>280</v>
      </c>
      <c r="BU45" s="1706">
        <v>44058</v>
      </c>
      <c r="BV45" s="1707" t="s">
        <v>872</v>
      </c>
      <c r="BW45" s="1708">
        <v>28</v>
      </c>
      <c r="BX45" s="1710" t="s">
        <v>414</v>
      </c>
      <c r="BY45" s="1782">
        <v>44422</v>
      </c>
      <c r="BZ45" s="1783" t="s">
        <v>843</v>
      </c>
      <c r="CA45" s="1784">
        <v>51</v>
      </c>
      <c r="CB45" s="1788" t="s">
        <v>414</v>
      </c>
      <c r="CC45" s="1718">
        <v>43678</v>
      </c>
      <c r="CD45" s="1783" t="s">
        <v>6463</v>
      </c>
      <c r="CE45" s="1791">
        <v>30</v>
      </c>
      <c r="CF45" s="1787" t="s">
        <v>381</v>
      </c>
      <c r="CG45" s="1718">
        <v>45143</v>
      </c>
      <c r="CH45" s="1783" t="s">
        <v>6464</v>
      </c>
      <c r="CI45" s="1791">
        <v>38</v>
      </c>
      <c r="CJ45" s="1788" t="s">
        <v>410</v>
      </c>
      <c r="CK45" s="1848">
        <v>45506</v>
      </c>
      <c r="CL45" s="1908" t="s">
        <v>6465</v>
      </c>
      <c r="CM45" s="1909">
        <v>57</v>
      </c>
      <c r="CN45" s="1787" t="s">
        <v>278</v>
      </c>
      <c r="CO45" s="2154">
        <v>45871</v>
      </c>
      <c r="CP45" s="1908" t="s">
        <v>6466</v>
      </c>
      <c r="CQ45" s="1909">
        <v>13.08</v>
      </c>
      <c r="CR45" s="1787"/>
      <c r="CS45" s="1908"/>
      <c r="CT45" s="1908"/>
    </row>
    <row r="46" spans="1:98">
      <c r="A46" s="1780">
        <v>37486</v>
      </c>
      <c r="B46" s="1711" t="s">
        <v>6467</v>
      </c>
      <c r="C46" s="1716"/>
      <c r="D46" s="1717">
        <v>50</v>
      </c>
      <c r="E46" s="1781">
        <v>37845</v>
      </c>
      <c r="F46" s="1703" t="s">
        <v>937</v>
      </c>
      <c r="G46" s="1704">
        <v>6</v>
      </c>
      <c r="H46" s="1705"/>
      <c r="I46" s="1781">
        <v>38228</v>
      </c>
      <c r="J46" s="1703" t="s">
        <v>6468</v>
      </c>
      <c r="K46" s="1704">
        <v>5</v>
      </c>
      <c r="L46" s="1705"/>
      <c r="M46" s="1781">
        <v>38593</v>
      </c>
      <c r="N46" s="1703" t="s">
        <v>6469</v>
      </c>
      <c r="O46" s="1704">
        <v>8</v>
      </c>
      <c r="P46" s="1705"/>
      <c r="Q46" s="1781">
        <v>38951</v>
      </c>
      <c r="R46" s="1703" t="s">
        <v>6470</v>
      </c>
      <c r="S46" s="1704">
        <v>4</v>
      </c>
      <c r="T46" s="1705"/>
      <c r="U46" s="1781"/>
      <c r="V46" s="1703"/>
      <c r="W46" s="1704"/>
      <c r="X46" s="1705"/>
      <c r="Y46" s="1781">
        <v>39682</v>
      </c>
      <c r="Z46" s="1703" t="s">
        <v>6471</v>
      </c>
      <c r="AA46" s="1704">
        <v>12</v>
      </c>
      <c r="AB46" s="1705"/>
      <c r="AC46" s="1781">
        <v>40054</v>
      </c>
      <c r="AD46" s="1703" t="s">
        <v>6472</v>
      </c>
      <c r="AE46" s="1704">
        <v>8</v>
      </c>
      <c r="AF46" s="1705"/>
      <c r="AG46" s="1781">
        <v>40413</v>
      </c>
      <c r="AH46" s="1703" t="s">
        <v>6473</v>
      </c>
      <c r="AI46" s="1704">
        <v>14</v>
      </c>
      <c r="AJ46" s="1705"/>
      <c r="AK46" s="1781"/>
      <c r="AL46" s="1703"/>
      <c r="AM46" s="1704"/>
      <c r="AN46" s="1705"/>
      <c r="AO46" s="1781">
        <v>41145</v>
      </c>
      <c r="AP46" s="1703" t="s">
        <v>6474</v>
      </c>
      <c r="AQ46" s="1704">
        <v>20</v>
      </c>
      <c r="AR46" s="1705"/>
      <c r="AS46" s="1781">
        <v>41503</v>
      </c>
      <c r="AT46" s="1703" t="s">
        <v>6475</v>
      </c>
      <c r="AU46" s="1704">
        <v>19</v>
      </c>
      <c r="AV46" s="1705"/>
      <c r="AW46" s="1781">
        <v>41869</v>
      </c>
      <c r="AX46" s="1703" t="s">
        <v>754</v>
      </c>
      <c r="AY46" s="1704">
        <v>19</v>
      </c>
      <c r="AZ46" s="1705"/>
      <c r="BA46" s="1781">
        <v>42238</v>
      </c>
      <c r="BB46" s="1703" t="s">
        <v>6476</v>
      </c>
      <c r="BC46" s="1704">
        <v>30</v>
      </c>
      <c r="BD46" s="1705"/>
      <c r="BE46" s="1781">
        <v>42610</v>
      </c>
      <c r="BF46" s="1703" t="s">
        <v>5985</v>
      </c>
      <c r="BG46" s="1704">
        <v>24</v>
      </c>
      <c r="BH46" s="1705"/>
      <c r="BI46" s="1781">
        <v>42958</v>
      </c>
      <c r="BJ46" s="1703" t="s">
        <v>823</v>
      </c>
      <c r="BK46" s="1704">
        <v>6</v>
      </c>
      <c r="BL46" s="1705"/>
      <c r="BM46" s="1781">
        <v>43330</v>
      </c>
      <c r="BN46" s="1703" t="s">
        <v>6477</v>
      </c>
      <c r="BO46" s="1704"/>
      <c r="BP46" s="1705"/>
      <c r="BQ46" s="1781">
        <v>43692</v>
      </c>
      <c r="BR46" s="1703" t="s">
        <v>6478</v>
      </c>
      <c r="BS46" s="1704">
        <v>28</v>
      </c>
      <c r="BT46" s="1710" t="s">
        <v>280</v>
      </c>
      <c r="BU46" s="1706">
        <v>44058</v>
      </c>
      <c r="BV46" s="1707" t="s">
        <v>772</v>
      </c>
      <c r="BW46" s="1708">
        <v>35</v>
      </c>
      <c r="BX46" s="1710" t="s">
        <v>414</v>
      </c>
      <c r="BY46" s="1782">
        <v>44422</v>
      </c>
      <c r="BZ46" s="1783" t="s">
        <v>828</v>
      </c>
      <c r="CA46" s="1784">
        <v>31</v>
      </c>
      <c r="CB46" s="1788" t="s">
        <v>414</v>
      </c>
      <c r="CC46" s="1718">
        <v>43678</v>
      </c>
      <c r="CD46" s="1783" t="s">
        <v>6479</v>
      </c>
      <c r="CE46" s="1791">
        <v>35</v>
      </c>
      <c r="CF46" s="1787" t="s">
        <v>381</v>
      </c>
      <c r="CG46" s="1718">
        <v>45143</v>
      </c>
      <c r="CH46" s="1783" t="s">
        <v>6452</v>
      </c>
      <c r="CI46" s="1791">
        <v>76</v>
      </c>
      <c r="CJ46" s="1788" t="s">
        <v>278</v>
      </c>
      <c r="CK46" s="1848">
        <v>45507</v>
      </c>
      <c r="CL46" s="1908" t="s">
        <v>6480</v>
      </c>
      <c r="CM46" s="1909">
        <v>57</v>
      </c>
      <c r="CN46" s="1787" t="s">
        <v>278</v>
      </c>
      <c r="CO46" s="2154">
        <v>45871</v>
      </c>
      <c r="CP46" s="1908" t="s">
        <v>6481</v>
      </c>
      <c r="CQ46" s="1909">
        <v>7.17</v>
      </c>
      <c r="CR46" s="1787"/>
      <c r="CS46" s="1908"/>
      <c r="CT46" s="1908"/>
    </row>
    <row r="47" spans="1:98">
      <c r="A47" s="1780">
        <v>37486</v>
      </c>
      <c r="B47" s="1711" t="s">
        <v>1189</v>
      </c>
      <c r="C47" s="1716"/>
      <c r="D47" s="1717">
        <v>59</v>
      </c>
      <c r="E47" s="1781">
        <v>37848</v>
      </c>
      <c r="F47" s="1703" t="s">
        <v>802</v>
      </c>
      <c r="G47" s="1704">
        <v>26</v>
      </c>
      <c r="H47" s="1705"/>
      <c r="I47" s="1781">
        <v>38230</v>
      </c>
      <c r="J47" s="1703" t="s">
        <v>802</v>
      </c>
      <c r="K47" s="1704">
        <v>27</v>
      </c>
      <c r="L47" s="1705"/>
      <c r="M47" s="1781">
        <v>38593</v>
      </c>
      <c r="N47" s="1703" t="s">
        <v>6482</v>
      </c>
      <c r="O47" s="1704">
        <v>15</v>
      </c>
      <c r="P47" s="1705"/>
      <c r="Q47" s="1781">
        <v>38954</v>
      </c>
      <c r="R47" s="1703" t="s">
        <v>6483</v>
      </c>
      <c r="S47" s="1704">
        <v>10</v>
      </c>
      <c r="T47" s="1705"/>
      <c r="U47" s="1781"/>
      <c r="V47" s="1703"/>
      <c r="W47" s="1704"/>
      <c r="X47" s="1705"/>
      <c r="Y47" s="1781">
        <v>39682</v>
      </c>
      <c r="Z47" s="1703" t="s">
        <v>937</v>
      </c>
      <c r="AA47" s="1704">
        <v>8</v>
      </c>
      <c r="AB47" s="1705"/>
      <c r="AC47" s="1781">
        <v>40054</v>
      </c>
      <c r="AD47" s="1703" t="s">
        <v>6484</v>
      </c>
      <c r="AE47" s="1704">
        <v>41</v>
      </c>
      <c r="AF47" s="1705"/>
      <c r="AG47" s="1781">
        <v>40413</v>
      </c>
      <c r="AH47" s="1703" t="s">
        <v>6485</v>
      </c>
      <c r="AI47" s="1704">
        <v>7</v>
      </c>
      <c r="AJ47" s="1705"/>
      <c r="AK47" s="1781"/>
      <c r="AL47" s="1703"/>
      <c r="AM47" s="1704"/>
      <c r="AN47" s="1705"/>
      <c r="AO47" s="1781">
        <v>41145</v>
      </c>
      <c r="AP47" s="1703" t="s">
        <v>6486</v>
      </c>
      <c r="AQ47" s="1704">
        <v>9</v>
      </c>
      <c r="AR47" s="1705"/>
      <c r="AS47" s="1781">
        <v>41504</v>
      </c>
      <c r="AT47" s="1703" t="s">
        <v>6487</v>
      </c>
      <c r="AU47" s="1704">
        <v>9</v>
      </c>
      <c r="AV47" s="1705"/>
      <c r="AW47" s="1781">
        <v>41871</v>
      </c>
      <c r="AX47" s="1703" t="s">
        <v>6488</v>
      </c>
      <c r="AY47" s="1704">
        <v>6</v>
      </c>
      <c r="AZ47" s="1705"/>
      <c r="BA47" s="1781">
        <v>42238</v>
      </c>
      <c r="BB47" s="1703" t="s">
        <v>6489</v>
      </c>
      <c r="BC47" s="1704">
        <v>33</v>
      </c>
      <c r="BD47" s="1705"/>
      <c r="BE47" s="1781">
        <v>42610</v>
      </c>
      <c r="BF47" s="1703" t="s">
        <v>859</v>
      </c>
      <c r="BG47" s="1704">
        <v>35</v>
      </c>
      <c r="BH47" s="1705"/>
      <c r="BI47" s="1781">
        <v>42958</v>
      </c>
      <c r="BJ47" s="1703" t="s">
        <v>6490</v>
      </c>
      <c r="BK47" s="1704">
        <v>16</v>
      </c>
      <c r="BL47" s="1705"/>
      <c r="BM47" s="1781">
        <v>43330</v>
      </c>
      <c r="BN47" s="1703" t="s">
        <v>6491</v>
      </c>
      <c r="BO47" s="1704">
        <v>1</v>
      </c>
      <c r="BP47" s="1705"/>
      <c r="BQ47" s="1781">
        <v>43692</v>
      </c>
      <c r="BR47" s="1703" t="s">
        <v>6492</v>
      </c>
      <c r="BS47" s="1704">
        <v>17</v>
      </c>
      <c r="BT47" s="1710" t="s">
        <v>280</v>
      </c>
      <c r="BU47" s="1706">
        <v>44058</v>
      </c>
      <c r="BV47" s="1707" t="s">
        <v>845</v>
      </c>
      <c r="BW47" s="1708">
        <v>45</v>
      </c>
      <c r="BX47" s="1710" t="s">
        <v>414</v>
      </c>
      <c r="BY47" s="1782">
        <v>44422</v>
      </c>
      <c r="BZ47" s="1783" t="s">
        <v>772</v>
      </c>
      <c r="CA47" s="1784">
        <v>41</v>
      </c>
      <c r="CB47" s="1788" t="s">
        <v>414</v>
      </c>
      <c r="CC47" s="1718">
        <v>43678</v>
      </c>
      <c r="CD47" s="1783" t="s">
        <v>6493</v>
      </c>
      <c r="CE47" s="1791">
        <v>78</v>
      </c>
      <c r="CF47" s="1787" t="s">
        <v>381</v>
      </c>
      <c r="CG47" s="1718">
        <v>45143</v>
      </c>
      <c r="CH47" s="1783" t="s">
        <v>6494</v>
      </c>
      <c r="CI47" s="1791" t="s">
        <v>37</v>
      </c>
      <c r="CJ47" s="1788" t="s">
        <v>381</v>
      </c>
      <c r="CK47" s="1848">
        <v>45507</v>
      </c>
      <c r="CL47" s="1908" t="s">
        <v>6465</v>
      </c>
      <c r="CM47" s="1909">
        <v>57</v>
      </c>
      <c r="CN47" s="1787" t="s">
        <v>278</v>
      </c>
      <c r="CO47" s="2154">
        <v>45871</v>
      </c>
      <c r="CP47" s="1908" t="s">
        <v>6495</v>
      </c>
      <c r="CQ47" s="1909">
        <v>18.54</v>
      </c>
      <c r="CR47" s="1787"/>
      <c r="CS47" s="1908"/>
      <c r="CT47" s="1908"/>
    </row>
    <row r="48" spans="1:98">
      <c r="A48" s="1780">
        <v>37487</v>
      </c>
      <c r="B48" s="1711" t="s">
        <v>6496</v>
      </c>
      <c r="C48" s="1716">
        <v>40</v>
      </c>
      <c r="D48" s="1717"/>
      <c r="E48" s="1781">
        <v>37849</v>
      </c>
      <c r="F48" s="1703" t="s">
        <v>890</v>
      </c>
      <c r="G48" s="1704">
        <v>95</v>
      </c>
      <c r="H48" s="1705"/>
      <c r="I48" s="1781"/>
      <c r="J48" s="1703"/>
      <c r="K48" s="1704"/>
      <c r="L48" s="1705"/>
      <c r="M48" s="1781">
        <v>38593</v>
      </c>
      <c r="N48" s="1703" t="s">
        <v>6497</v>
      </c>
      <c r="O48" s="1704">
        <v>11</v>
      </c>
      <c r="P48" s="1705"/>
      <c r="Q48" s="1781">
        <v>38954</v>
      </c>
      <c r="R48" s="1703" t="s">
        <v>6498</v>
      </c>
      <c r="S48" s="1704">
        <v>10</v>
      </c>
      <c r="T48" s="1705"/>
      <c r="U48" s="1781"/>
      <c r="V48" s="1703"/>
      <c r="W48" s="1704"/>
      <c r="X48" s="1705"/>
      <c r="Y48" s="1781">
        <v>39682</v>
      </c>
      <c r="Z48" s="1703" t="s">
        <v>6499</v>
      </c>
      <c r="AA48" s="1704">
        <v>18</v>
      </c>
      <c r="AB48" s="1705"/>
      <c r="AC48" s="1781">
        <v>40054</v>
      </c>
      <c r="AD48" s="1703" t="s">
        <v>922</v>
      </c>
      <c r="AE48" s="1704">
        <v>12</v>
      </c>
      <c r="AF48" s="1705"/>
      <c r="AG48" s="1781">
        <v>40414</v>
      </c>
      <c r="AH48" s="1703" t="s">
        <v>6500</v>
      </c>
      <c r="AI48" s="1704">
        <v>9</v>
      </c>
      <c r="AJ48" s="1705"/>
      <c r="AK48" s="1781"/>
      <c r="AL48" s="1703"/>
      <c r="AM48" s="1704"/>
      <c r="AN48" s="1705"/>
      <c r="AO48" s="1781">
        <v>41145</v>
      </c>
      <c r="AP48" s="1703" t="s">
        <v>6501</v>
      </c>
      <c r="AQ48" s="1704">
        <v>37</v>
      </c>
      <c r="AR48" s="1705"/>
      <c r="AS48" s="1781">
        <v>41504</v>
      </c>
      <c r="AT48" s="1703" t="s">
        <v>1823</v>
      </c>
      <c r="AU48" s="1704">
        <v>15</v>
      </c>
      <c r="AV48" s="1705"/>
      <c r="AW48" s="1781">
        <v>41873</v>
      </c>
      <c r="AX48" s="1703" t="s">
        <v>925</v>
      </c>
      <c r="AY48" s="1704">
        <v>15</v>
      </c>
      <c r="AZ48" s="1705"/>
      <c r="BA48" s="1781">
        <v>42239</v>
      </c>
      <c r="BB48" s="1703" t="s">
        <v>954</v>
      </c>
      <c r="BC48" s="1704">
        <v>51</v>
      </c>
      <c r="BD48" s="1705"/>
      <c r="BE48" s="1781">
        <v>42610</v>
      </c>
      <c r="BF48" s="1703" t="s">
        <v>6502</v>
      </c>
      <c r="BG48" s="1704">
        <v>15</v>
      </c>
      <c r="BH48" s="1705"/>
      <c r="BI48" s="1781">
        <v>42958</v>
      </c>
      <c r="BJ48" s="1703" t="s">
        <v>6503</v>
      </c>
      <c r="BK48" s="1704">
        <v>16</v>
      </c>
      <c r="BL48" s="1705"/>
      <c r="BM48" s="1781">
        <v>43330</v>
      </c>
      <c r="BN48" s="1703" t="s">
        <v>6504</v>
      </c>
      <c r="BO48" s="1704">
        <v>2</v>
      </c>
      <c r="BP48" s="1705"/>
      <c r="BQ48" s="1781">
        <v>43693</v>
      </c>
      <c r="BR48" s="1703" t="s">
        <v>6505</v>
      </c>
      <c r="BS48" s="1704">
        <v>18</v>
      </c>
      <c r="BT48" s="1710" t="s">
        <v>280</v>
      </c>
      <c r="BU48" s="1706">
        <v>44058</v>
      </c>
      <c r="BV48" s="1707" t="s">
        <v>6506</v>
      </c>
      <c r="BW48" s="1708">
        <v>15</v>
      </c>
      <c r="BX48" s="1710" t="s">
        <v>414</v>
      </c>
      <c r="BY48" s="1782">
        <v>44422</v>
      </c>
      <c r="BZ48" s="1783" t="s">
        <v>6507</v>
      </c>
      <c r="CA48" s="1784">
        <v>52</v>
      </c>
      <c r="CB48" s="1788" t="s">
        <v>381</v>
      </c>
      <c r="CC48" s="1718">
        <v>43678</v>
      </c>
      <c r="CD48" s="1783" t="s">
        <v>6508</v>
      </c>
      <c r="CE48" s="1791">
        <v>177</v>
      </c>
      <c r="CF48" s="1787" t="s">
        <v>381</v>
      </c>
      <c r="CG48" s="1718">
        <v>45143</v>
      </c>
      <c r="CH48" s="1783" t="s">
        <v>6509</v>
      </c>
      <c r="CI48" s="1791">
        <v>18</v>
      </c>
      <c r="CJ48" s="1788" t="s">
        <v>278</v>
      </c>
      <c r="CK48" s="1848">
        <v>45507</v>
      </c>
      <c r="CL48" s="1908" t="s">
        <v>6510</v>
      </c>
      <c r="CM48" s="1909">
        <v>6</v>
      </c>
      <c r="CN48" s="1787" t="s">
        <v>278</v>
      </c>
      <c r="CO48" s="2154">
        <v>45871</v>
      </c>
      <c r="CP48" s="1908" t="s">
        <v>6511</v>
      </c>
      <c r="CQ48" s="1909">
        <v>9.81</v>
      </c>
      <c r="CR48" s="1787"/>
      <c r="CS48" s="1908"/>
      <c r="CT48" s="1908"/>
    </row>
    <row r="49" spans="1:98">
      <c r="A49" s="1780">
        <v>37487</v>
      </c>
      <c r="B49" s="1711" t="s">
        <v>6512</v>
      </c>
      <c r="C49" s="1716"/>
      <c r="D49" s="1717">
        <v>154</v>
      </c>
      <c r="E49" s="1781">
        <v>37849</v>
      </c>
      <c r="F49" s="1703" t="s">
        <v>6513</v>
      </c>
      <c r="G49" s="1704">
        <v>70</v>
      </c>
      <c r="H49" s="1705"/>
      <c r="I49" s="1781"/>
      <c r="J49" s="1703"/>
      <c r="K49" s="1704"/>
      <c r="L49" s="1705"/>
      <c r="M49" s="1781">
        <v>38593</v>
      </c>
      <c r="N49" s="1703" t="s">
        <v>867</v>
      </c>
      <c r="O49" s="1704">
        <v>7</v>
      </c>
      <c r="P49" s="1705"/>
      <c r="Q49" s="1781">
        <v>38954</v>
      </c>
      <c r="R49" s="1703" t="s">
        <v>6514</v>
      </c>
      <c r="S49" s="1704">
        <v>0</v>
      </c>
      <c r="T49" s="1705"/>
      <c r="U49" s="1781"/>
      <c r="V49" s="1703"/>
      <c r="W49" s="1704"/>
      <c r="X49" s="1705"/>
      <c r="Y49" s="1781">
        <v>39683</v>
      </c>
      <c r="Z49" s="1703" t="s">
        <v>6515</v>
      </c>
      <c r="AA49" s="1704">
        <v>18</v>
      </c>
      <c r="AB49" s="1705"/>
      <c r="AC49" s="1781">
        <v>40054</v>
      </c>
      <c r="AD49" s="1703" t="s">
        <v>797</v>
      </c>
      <c r="AE49" s="1704">
        <v>46</v>
      </c>
      <c r="AF49" s="1705"/>
      <c r="AG49" s="1781">
        <v>40415</v>
      </c>
      <c r="AH49" s="1703" t="s">
        <v>797</v>
      </c>
      <c r="AI49" s="1704">
        <v>45</v>
      </c>
      <c r="AJ49" s="1705"/>
      <c r="AK49" s="1781"/>
      <c r="AL49" s="1703"/>
      <c r="AM49" s="1704"/>
      <c r="AN49" s="1705"/>
      <c r="AO49" s="1781">
        <v>41147</v>
      </c>
      <c r="AP49" s="1703" t="s">
        <v>772</v>
      </c>
      <c r="AQ49" s="1704">
        <v>60</v>
      </c>
      <c r="AR49" s="1705"/>
      <c r="AS49" s="1781">
        <v>41504</v>
      </c>
      <c r="AT49" s="1703" t="s">
        <v>802</v>
      </c>
      <c r="AU49" s="1704">
        <v>55</v>
      </c>
      <c r="AV49" s="1705"/>
      <c r="AW49" s="1781">
        <v>41872</v>
      </c>
      <c r="AX49" s="1703" t="s">
        <v>787</v>
      </c>
      <c r="AY49" s="1704">
        <v>10</v>
      </c>
      <c r="AZ49" s="1705"/>
      <c r="BA49" s="1781">
        <v>42239</v>
      </c>
      <c r="BB49" s="1703" t="s">
        <v>781</v>
      </c>
      <c r="BC49" s="1704">
        <v>41</v>
      </c>
      <c r="BD49" s="1705"/>
      <c r="BE49" s="1781">
        <v>42610</v>
      </c>
      <c r="BF49" s="1703" t="s">
        <v>6516</v>
      </c>
      <c r="BG49" s="1704">
        <v>40</v>
      </c>
      <c r="BH49" s="1705"/>
      <c r="BI49" s="1781">
        <v>42958</v>
      </c>
      <c r="BJ49" s="1703" t="s">
        <v>6517</v>
      </c>
      <c r="BK49" s="1704">
        <v>35</v>
      </c>
      <c r="BL49" s="1705"/>
      <c r="BM49" s="1781">
        <v>43331</v>
      </c>
      <c r="BN49" s="1703" t="s">
        <v>6518</v>
      </c>
      <c r="BO49" s="1704">
        <v>10</v>
      </c>
      <c r="BP49" s="1705"/>
      <c r="BQ49" s="1781">
        <v>43693</v>
      </c>
      <c r="BR49" s="1703" t="s">
        <v>6519</v>
      </c>
      <c r="BS49" s="1704">
        <v>5</v>
      </c>
      <c r="BT49" s="1710" t="s">
        <v>414</v>
      </c>
      <c r="BU49" s="1706">
        <v>44058</v>
      </c>
      <c r="BV49" s="1707" t="s">
        <v>4441</v>
      </c>
      <c r="BW49" s="1708">
        <v>22</v>
      </c>
      <c r="BX49" s="1710" t="s">
        <v>414</v>
      </c>
      <c r="BY49" s="1782">
        <v>44422</v>
      </c>
      <c r="BZ49" s="1783" t="s">
        <v>797</v>
      </c>
      <c r="CA49" s="1784">
        <v>85</v>
      </c>
      <c r="CB49" s="1788" t="s">
        <v>410</v>
      </c>
      <c r="CC49" s="1718">
        <v>43678</v>
      </c>
      <c r="CD49" s="1783" t="s">
        <v>6520</v>
      </c>
      <c r="CE49" s="1791">
        <f>CE58+CE59+CE60+CE61++CE62+CE63+CE64+CE65</f>
        <v>165</v>
      </c>
      <c r="CF49" s="1787"/>
      <c r="CG49" s="1718">
        <v>45143</v>
      </c>
      <c r="CH49" s="1783" t="s">
        <v>6521</v>
      </c>
      <c r="CI49" s="1791">
        <v>13</v>
      </c>
      <c r="CJ49" s="1788" t="s">
        <v>278</v>
      </c>
      <c r="CK49" s="1848">
        <v>45507</v>
      </c>
      <c r="CL49" s="1908" t="s">
        <v>6522</v>
      </c>
      <c r="CM49" s="1909">
        <v>15</v>
      </c>
      <c r="CN49" s="1787" t="s">
        <v>278</v>
      </c>
      <c r="CO49" s="2154">
        <v>45871</v>
      </c>
      <c r="CP49" s="1908" t="s">
        <v>6523</v>
      </c>
      <c r="CQ49" s="1909">
        <v>4.7699999999999996</v>
      </c>
      <c r="CR49" s="1787"/>
      <c r="CS49" s="1908"/>
      <c r="CT49" s="1908"/>
    </row>
    <row r="50" spans="1:98">
      <c r="A50" s="1780">
        <v>37488</v>
      </c>
      <c r="B50" s="1711" t="s">
        <v>410</v>
      </c>
      <c r="C50" s="1716">
        <v>21</v>
      </c>
      <c r="D50" s="1717">
        <v>20</v>
      </c>
      <c r="E50" s="1781">
        <v>37849</v>
      </c>
      <c r="F50" s="1703" t="s">
        <v>772</v>
      </c>
      <c r="G50" s="1704">
        <v>25</v>
      </c>
      <c r="H50" s="1705"/>
      <c r="I50" s="1781"/>
      <c r="J50" s="1703"/>
      <c r="K50" s="1704"/>
      <c r="L50" s="1705"/>
      <c r="M50" s="1781"/>
      <c r="N50" s="1703"/>
      <c r="O50" s="1704"/>
      <c r="P50" s="1705"/>
      <c r="Q50" s="1781">
        <v>38956</v>
      </c>
      <c r="R50" s="1703" t="s">
        <v>6524</v>
      </c>
      <c r="S50" s="1704">
        <v>25</v>
      </c>
      <c r="T50" s="1705"/>
      <c r="U50" s="1781"/>
      <c r="V50" s="1703"/>
      <c r="W50" s="1704"/>
      <c r="X50" s="1705"/>
      <c r="Y50" s="1781">
        <v>39683</v>
      </c>
      <c r="Z50" s="1703" t="s">
        <v>6525</v>
      </c>
      <c r="AA50" s="1704">
        <v>2</v>
      </c>
      <c r="AB50" s="1705"/>
      <c r="AC50" s="1781">
        <v>40054</v>
      </c>
      <c r="AD50" s="1703" t="s">
        <v>6384</v>
      </c>
      <c r="AE50" s="1704">
        <v>60</v>
      </c>
      <c r="AF50" s="1705"/>
      <c r="AG50" s="1781">
        <v>40415</v>
      </c>
      <c r="AH50" s="1703" t="s">
        <v>797</v>
      </c>
      <c r="AI50" s="1704">
        <v>16</v>
      </c>
      <c r="AJ50" s="1705"/>
      <c r="AK50" s="1781"/>
      <c r="AL50" s="1703"/>
      <c r="AM50" s="1704"/>
      <c r="AN50" s="1705"/>
      <c r="AO50" s="1781">
        <v>41147</v>
      </c>
      <c r="AP50" s="1703" t="s">
        <v>754</v>
      </c>
      <c r="AQ50" s="1704">
        <v>121</v>
      </c>
      <c r="AR50" s="1705"/>
      <c r="AS50" s="1781">
        <v>41504</v>
      </c>
      <c r="AT50" s="1703" t="s">
        <v>797</v>
      </c>
      <c r="AU50" s="1704">
        <v>60</v>
      </c>
      <c r="AV50" s="1705"/>
      <c r="AW50" s="1781">
        <v>41874</v>
      </c>
      <c r="AX50" s="1703" t="s">
        <v>797</v>
      </c>
      <c r="AY50" s="1704">
        <v>20</v>
      </c>
      <c r="AZ50" s="1705"/>
      <c r="BA50" s="1781">
        <v>42239</v>
      </c>
      <c r="BB50" s="1703" t="s">
        <v>754</v>
      </c>
      <c r="BC50" s="1704">
        <v>54</v>
      </c>
      <c r="BD50" s="1705"/>
      <c r="BE50" s="1781">
        <v>42612</v>
      </c>
      <c r="BF50" s="1703" t="s">
        <v>867</v>
      </c>
      <c r="BG50" s="1704">
        <v>31</v>
      </c>
      <c r="BH50" s="1705"/>
      <c r="BI50" s="1781">
        <v>42958</v>
      </c>
      <c r="BJ50" s="1703" t="s">
        <v>6526</v>
      </c>
      <c r="BK50" s="1704">
        <v>25</v>
      </c>
      <c r="BL50" s="1705"/>
      <c r="BM50" s="1781">
        <v>43331</v>
      </c>
      <c r="BN50" s="1703" t="s">
        <v>823</v>
      </c>
      <c r="BO50" s="1704">
        <v>31</v>
      </c>
      <c r="BP50" s="1705"/>
      <c r="BQ50" s="1781">
        <v>43693</v>
      </c>
      <c r="BR50" s="1703" t="s">
        <v>6527</v>
      </c>
      <c r="BS50" s="1704">
        <v>95</v>
      </c>
      <c r="BT50" s="1710" t="s">
        <v>414</v>
      </c>
      <c r="BU50" s="1706">
        <v>44058</v>
      </c>
      <c r="BV50" s="1707" t="s">
        <v>6528</v>
      </c>
      <c r="BW50" s="1708">
        <v>16</v>
      </c>
      <c r="BX50" s="1710" t="s">
        <v>426</v>
      </c>
      <c r="BY50" s="1782">
        <v>44422</v>
      </c>
      <c r="BZ50" s="1783" t="s">
        <v>6529</v>
      </c>
      <c r="CA50" s="1784">
        <v>271</v>
      </c>
      <c r="CB50" s="1788" t="s">
        <v>280</v>
      </c>
      <c r="CC50" s="1718">
        <v>43678</v>
      </c>
      <c r="CD50" s="1783" t="s">
        <v>6530</v>
      </c>
      <c r="CE50" s="1791">
        <f>CE68+CE70+CE73+CE74+CE78+CE80</f>
        <v>220</v>
      </c>
      <c r="CF50" s="1787"/>
      <c r="CG50" s="1718">
        <v>45144</v>
      </c>
      <c r="CH50" s="1783" t="s">
        <v>6531</v>
      </c>
      <c r="CI50" s="1791">
        <v>16</v>
      </c>
      <c r="CJ50" s="1788" t="s">
        <v>278</v>
      </c>
      <c r="CK50" s="1848">
        <v>45507</v>
      </c>
      <c r="CL50" s="1908" t="s">
        <v>6532</v>
      </c>
      <c r="CM50" s="1909">
        <v>30</v>
      </c>
      <c r="CN50" s="1787" t="s">
        <v>280</v>
      </c>
      <c r="CO50" s="2154">
        <v>45871</v>
      </c>
      <c r="CP50" s="1908" t="s">
        <v>6533</v>
      </c>
      <c r="CQ50" s="1909">
        <v>9.7200000000000006</v>
      </c>
      <c r="CR50" s="1787"/>
      <c r="CS50" s="1908"/>
      <c r="CT50" s="1908"/>
    </row>
    <row r="51" spans="1:98">
      <c r="A51" s="1780">
        <v>37488</v>
      </c>
      <c r="B51" s="1711" t="s">
        <v>5625</v>
      </c>
      <c r="C51" s="1716"/>
      <c r="D51" s="1717">
        <v>4</v>
      </c>
      <c r="E51" s="1781">
        <v>37849</v>
      </c>
      <c r="F51" s="1703" t="s">
        <v>1810</v>
      </c>
      <c r="G51" s="1704">
        <v>13</v>
      </c>
      <c r="H51" s="1705"/>
      <c r="I51" s="1781"/>
      <c r="J51" s="1703"/>
      <c r="K51" s="1704"/>
      <c r="L51" s="1705"/>
      <c r="M51" s="1781"/>
      <c r="N51" s="1703"/>
      <c r="O51" s="1704"/>
      <c r="P51" s="1705"/>
      <c r="Q51" s="1781">
        <v>38957</v>
      </c>
      <c r="R51" s="1703" t="s">
        <v>767</v>
      </c>
      <c r="S51" s="1704">
        <v>12</v>
      </c>
      <c r="T51" s="1705"/>
      <c r="U51" s="1781"/>
      <c r="V51" s="1703"/>
      <c r="W51" s="1704"/>
      <c r="X51" s="1705"/>
      <c r="Y51" s="1781">
        <v>39683</v>
      </c>
      <c r="Z51" s="1703" t="s">
        <v>797</v>
      </c>
      <c r="AA51" s="1704">
        <v>37</v>
      </c>
      <c r="AB51" s="1705"/>
      <c r="AC51" s="1781"/>
      <c r="AD51" s="1703"/>
      <c r="AE51" s="1704"/>
      <c r="AF51" s="1705"/>
      <c r="AG51" s="1781">
        <v>40418</v>
      </c>
      <c r="AH51" s="1703" t="s">
        <v>6534</v>
      </c>
      <c r="AI51" s="1704"/>
      <c r="AJ51" s="1705"/>
      <c r="AK51" s="1781"/>
      <c r="AL51" s="1703"/>
      <c r="AM51" s="1704"/>
      <c r="AN51" s="1705"/>
      <c r="AO51" s="1781">
        <v>41147</v>
      </c>
      <c r="AP51" s="1703" t="s">
        <v>797</v>
      </c>
      <c r="AQ51" s="1704">
        <v>65</v>
      </c>
      <c r="AR51" s="1705"/>
      <c r="AS51" s="1781">
        <v>41505</v>
      </c>
      <c r="AT51" s="1703" t="s">
        <v>3695</v>
      </c>
      <c r="AU51" s="1704">
        <v>9</v>
      </c>
      <c r="AV51" s="1705"/>
      <c r="AW51" s="1781">
        <v>41874</v>
      </c>
      <c r="AX51" s="1703" t="s">
        <v>6535</v>
      </c>
      <c r="AY51" s="1704">
        <v>19</v>
      </c>
      <c r="AZ51" s="1705"/>
      <c r="BA51" s="1793">
        <v>42239</v>
      </c>
      <c r="BB51" s="1703" t="s">
        <v>772</v>
      </c>
      <c r="BC51" s="1704">
        <v>22</v>
      </c>
      <c r="BD51" s="1705"/>
      <c r="BE51" s="1781">
        <v>42612</v>
      </c>
      <c r="BF51" s="1703" t="s">
        <v>6536</v>
      </c>
      <c r="BG51" s="1704">
        <v>25</v>
      </c>
      <c r="BH51" s="1705"/>
      <c r="BI51" s="1781">
        <v>42958</v>
      </c>
      <c r="BJ51" s="1703" t="s">
        <v>6537</v>
      </c>
      <c r="BK51" s="1704">
        <v>12</v>
      </c>
      <c r="BL51" s="1705"/>
      <c r="BM51" s="1781">
        <v>43331</v>
      </c>
      <c r="BN51" s="1703" t="s">
        <v>873</v>
      </c>
      <c r="BO51" s="1704">
        <v>39</v>
      </c>
      <c r="BP51" s="1705"/>
      <c r="BQ51" s="1781">
        <v>43693</v>
      </c>
      <c r="BR51" s="1703" t="s">
        <v>6538</v>
      </c>
      <c r="BS51" s="1704">
        <v>55</v>
      </c>
      <c r="BT51" s="1710" t="s">
        <v>700</v>
      </c>
      <c r="BU51" s="1706">
        <v>44058</v>
      </c>
      <c r="BV51" s="1707" t="s">
        <v>6539</v>
      </c>
      <c r="BW51" s="1708">
        <v>20</v>
      </c>
      <c r="BX51" s="1710" t="s">
        <v>426</v>
      </c>
      <c r="BY51" s="1782">
        <v>44422</v>
      </c>
      <c r="BZ51" s="1783" t="s">
        <v>6540</v>
      </c>
      <c r="CA51" s="1784">
        <v>60</v>
      </c>
      <c r="CB51" s="1788" t="s">
        <v>414</v>
      </c>
      <c r="CC51" s="1718">
        <v>43678</v>
      </c>
      <c r="CD51" s="1783" t="s">
        <v>6541</v>
      </c>
      <c r="CE51" s="1791">
        <f>CE82+CE84+CE89+CE90+CE91+CE94+CE93+CE95</f>
        <v>292</v>
      </c>
      <c r="CF51" s="1787"/>
      <c r="CG51" s="1718">
        <v>45144</v>
      </c>
      <c r="CH51" s="1783" t="s">
        <v>6542</v>
      </c>
      <c r="CI51" s="1791">
        <v>76</v>
      </c>
      <c r="CJ51" s="1788" t="s">
        <v>278</v>
      </c>
      <c r="CK51" s="1848">
        <v>45507</v>
      </c>
      <c r="CL51" s="1908" t="s">
        <v>6543</v>
      </c>
      <c r="CM51" s="1909">
        <v>9</v>
      </c>
      <c r="CN51" s="1787" t="s">
        <v>426</v>
      </c>
      <c r="CO51" s="2154">
        <v>45871</v>
      </c>
      <c r="CP51" s="1738" t="s">
        <v>6544</v>
      </c>
      <c r="CQ51" s="1844">
        <v>15.81</v>
      </c>
      <c r="CR51" s="1787"/>
      <c r="CS51" s="1908"/>
      <c r="CT51" s="1908"/>
    </row>
    <row r="52" spans="1:98">
      <c r="A52" s="1780">
        <v>37488</v>
      </c>
      <c r="B52" s="1711" t="s">
        <v>915</v>
      </c>
      <c r="C52" s="1716"/>
      <c r="D52" s="1717">
        <v>25</v>
      </c>
      <c r="E52" s="1781">
        <v>37849</v>
      </c>
      <c r="F52" s="1703" t="s">
        <v>820</v>
      </c>
      <c r="G52" s="1704">
        <v>10</v>
      </c>
      <c r="H52" s="1705"/>
      <c r="I52" s="1781"/>
      <c r="J52" s="1703"/>
      <c r="K52" s="1704"/>
      <c r="L52" s="1705"/>
      <c r="M52" s="1781"/>
      <c r="N52" s="1703"/>
      <c r="O52" s="1704"/>
      <c r="P52" s="1705"/>
      <c r="Q52" s="1781">
        <v>38958</v>
      </c>
      <c r="R52" s="1703" t="s">
        <v>802</v>
      </c>
      <c r="S52" s="1704">
        <v>42</v>
      </c>
      <c r="T52" s="1705"/>
      <c r="U52" s="1781"/>
      <c r="V52" s="1703"/>
      <c r="W52" s="1704"/>
      <c r="X52" s="1705"/>
      <c r="Y52" s="1781">
        <v>39683</v>
      </c>
      <c r="Z52" s="1703" t="s">
        <v>797</v>
      </c>
      <c r="AA52" s="1704">
        <v>40</v>
      </c>
      <c r="AB52" s="1705"/>
      <c r="AC52" s="1781"/>
      <c r="AD52" s="1703"/>
      <c r="AE52" s="1704"/>
      <c r="AF52" s="1705"/>
      <c r="AG52" s="1781">
        <v>40418</v>
      </c>
      <c r="AH52" s="1703" t="s">
        <v>781</v>
      </c>
      <c r="AI52" s="1704">
        <v>90</v>
      </c>
      <c r="AJ52" s="1705"/>
      <c r="AK52" s="1781"/>
      <c r="AL52" s="1703"/>
      <c r="AM52" s="1704"/>
      <c r="AN52" s="1705"/>
      <c r="AO52" s="1781">
        <v>41147</v>
      </c>
      <c r="AP52" s="1703" t="s">
        <v>802</v>
      </c>
      <c r="AQ52" s="1704">
        <v>50</v>
      </c>
      <c r="AR52" s="1705"/>
      <c r="AS52" s="1781">
        <v>41505</v>
      </c>
      <c r="AT52" s="1703" t="s">
        <v>6545</v>
      </c>
      <c r="AU52" s="1704">
        <v>16</v>
      </c>
      <c r="AV52" s="1705"/>
      <c r="AW52" s="1781">
        <v>41874</v>
      </c>
      <c r="AX52" s="1703" t="s">
        <v>6546</v>
      </c>
      <c r="AY52" s="1704">
        <v>1</v>
      </c>
      <c r="AZ52" s="1705"/>
      <c r="BA52" s="1781">
        <v>42240</v>
      </c>
      <c r="BB52" s="1703" t="s">
        <v>797</v>
      </c>
      <c r="BC52" s="1704">
        <v>45</v>
      </c>
      <c r="BD52" s="1705"/>
      <c r="BE52" s="1781">
        <v>42613</v>
      </c>
      <c r="BF52" s="1703" t="s">
        <v>6547</v>
      </c>
      <c r="BG52" s="1704">
        <v>22</v>
      </c>
      <c r="BH52" s="1705"/>
      <c r="BI52" s="1781">
        <v>42959</v>
      </c>
      <c r="BJ52" s="1703" t="s">
        <v>6548</v>
      </c>
      <c r="BK52" s="1704"/>
      <c r="BL52" s="1705"/>
      <c r="BM52" s="1781">
        <v>43331</v>
      </c>
      <c r="BN52" s="1703" t="s">
        <v>823</v>
      </c>
      <c r="BO52" s="1704">
        <v>34</v>
      </c>
      <c r="BP52" s="1705"/>
      <c r="BQ52" s="1781">
        <v>43693</v>
      </c>
      <c r="BR52" s="1703" t="s">
        <v>6549</v>
      </c>
      <c r="BS52" s="1704">
        <v>65</v>
      </c>
      <c r="BT52" s="1710" t="s">
        <v>700</v>
      </c>
      <c r="BU52" s="1706">
        <v>44060</v>
      </c>
      <c r="BV52" s="1707" t="s">
        <v>6550</v>
      </c>
      <c r="BW52" s="1708">
        <v>12</v>
      </c>
      <c r="BX52" s="1710" t="s">
        <v>426</v>
      </c>
      <c r="BY52" s="1782">
        <v>44422</v>
      </c>
      <c r="BZ52" s="1783" t="s">
        <v>6551</v>
      </c>
      <c r="CA52" s="1784">
        <v>26</v>
      </c>
      <c r="CB52" s="1788" t="s">
        <v>280</v>
      </c>
      <c r="CC52" s="1718">
        <v>44779</v>
      </c>
      <c r="CD52" s="1783" t="s">
        <v>6552</v>
      </c>
      <c r="CE52" s="1791">
        <v>120</v>
      </c>
      <c r="CF52" s="1787" t="s">
        <v>280</v>
      </c>
      <c r="CG52" s="1718">
        <v>45144</v>
      </c>
      <c r="CH52" s="1783" t="s">
        <v>6542</v>
      </c>
      <c r="CI52" s="1791">
        <v>39</v>
      </c>
      <c r="CJ52" s="1788" t="s">
        <v>278</v>
      </c>
      <c r="CK52" s="1848">
        <v>45508</v>
      </c>
      <c r="CL52" s="1908" t="s">
        <v>6553</v>
      </c>
      <c r="CM52" s="1909">
        <v>30</v>
      </c>
      <c r="CN52" s="1787" t="s">
        <v>278</v>
      </c>
      <c r="CO52" s="2154">
        <v>45871</v>
      </c>
      <c r="CP52" s="1738" t="s">
        <v>6554</v>
      </c>
      <c r="CQ52" s="1844">
        <v>9.8800000000000008</v>
      </c>
      <c r="CR52" s="1787"/>
      <c r="CS52" s="1908"/>
      <c r="CT52" s="1908"/>
    </row>
    <row r="53" spans="1:98">
      <c r="A53" s="1780">
        <v>37489</v>
      </c>
      <c r="B53" s="1711" t="s">
        <v>6555</v>
      </c>
      <c r="C53" s="1716"/>
      <c r="D53" s="1717">
        <v>18</v>
      </c>
      <c r="E53" s="1781">
        <v>37849</v>
      </c>
      <c r="F53" s="1703" t="s">
        <v>6556</v>
      </c>
      <c r="G53" s="1704">
        <v>75</v>
      </c>
      <c r="H53" s="1705"/>
      <c r="I53" s="1781"/>
      <c r="J53" s="1703"/>
      <c r="K53" s="1704"/>
      <c r="L53" s="1705"/>
      <c r="M53" s="1781"/>
      <c r="N53" s="1703"/>
      <c r="O53" s="1704"/>
      <c r="P53" s="1705"/>
      <c r="Q53" s="1781">
        <v>38959</v>
      </c>
      <c r="R53" s="1703" t="s">
        <v>797</v>
      </c>
      <c r="S53" s="1704">
        <v>45</v>
      </c>
      <c r="T53" s="1705"/>
      <c r="U53" s="1781"/>
      <c r="V53" s="1703"/>
      <c r="W53" s="1704"/>
      <c r="X53" s="1705"/>
      <c r="Y53" s="1781">
        <v>39683</v>
      </c>
      <c r="Z53" s="1703" t="s">
        <v>6557</v>
      </c>
      <c r="AA53" s="1704">
        <v>10</v>
      </c>
      <c r="AB53" s="1705"/>
      <c r="AC53" s="1781"/>
      <c r="AD53" s="1703"/>
      <c r="AE53" s="1704"/>
      <c r="AF53" s="1705"/>
      <c r="AG53" s="1781">
        <v>40419</v>
      </c>
      <c r="AH53" s="1703" t="s">
        <v>6558</v>
      </c>
      <c r="AI53" s="1704">
        <v>8</v>
      </c>
      <c r="AJ53" s="1705"/>
      <c r="AK53" s="1781"/>
      <c r="AL53" s="1703"/>
      <c r="AM53" s="1704"/>
      <c r="AN53" s="1705"/>
      <c r="AO53" s="1781">
        <v>41152</v>
      </c>
      <c r="AP53" s="1703" t="s">
        <v>6559</v>
      </c>
      <c r="AQ53" s="1704">
        <v>15</v>
      </c>
      <c r="AR53" s="1705"/>
      <c r="AS53" s="1781">
        <v>41506</v>
      </c>
      <c r="AT53" s="1703" t="s">
        <v>6560</v>
      </c>
      <c r="AU53" s="1704">
        <v>14</v>
      </c>
      <c r="AV53" s="1705"/>
      <c r="AW53" s="1781">
        <v>41874</v>
      </c>
      <c r="AX53" s="1703" t="s">
        <v>6561</v>
      </c>
      <c r="AY53" s="1704">
        <v>2</v>
      </c>
      <c r="AZ53" s="1705"/>
      <c r="BA53" s="1781">
        <v>42240</v>
      </c>
      <c r="BB53" s="1703" t="s">
        <v>6562</v>
      </c>
      <c r="BC53" s="1704">
        <v>40</v>
      </c>
      <c r="BD53" s="1705"/>
      <c r="BE53" s="1781">
        <v>42613</v>
      </c>
      <c r="BF53" s="1703" t="s">
        <v>6563</v>
      </c>
      <c r="BG53" s="1704">
        <v>10</v>
      </c>
      <c r="BH53" s="1705"/>
      <c r="BI53" s="1781">
        <v>42959</v>
      </c>
      <c r="BJ53" s="1703" t="s">
        <v>6564</v>
      </c>
      <c r="BK53" s="1704">
        <v>16</v>
      </c>
      <c r="BL53" s="1705"/>
      <c r="BM53" s="1781">
        <v>43331</v>
      </c>
      <c r="BN53" s="1703" t="s">
        <v>872</v>
      </c>
      <c r="BO53" s="1704">
        <v>37</v>
      </c>
      <c r="BP53" s="1705"/>
      <c r="BQ53" s="1781">
        <v>43693</v>
      </c>
      <c r="BR53" s="1703" t="s">
        <v>6565</v>
      </c>
      <c r="BS53" s="1704">
        <v>123</v>
      </c>
      <c r="BT53" s="1710" t="s">
        <v>700</v>
      </c>
      <c r="BU53" s="1706">
        <v>44060</v>
      </c>
      <c r="BV53" s="1707" t="s">
        <v>6178</v>
      </c>
      <c r="BW53" s="1708">
        <v>8</v>
      </c>
      <c r="BX53" s="1710" t="s">
        <v>414</v>
      </c>
      <c r="BY53" s="1782">
        <v>44423</v>
      </c>
      <c r="BZ53" s="1783" t="s">
        <v>6566</v>
      </c>
      <c r="CA53" s="1784">
        <v>0</v>
      </c>
      <c r="CB53" s="1788" t="s">
        <v>280</v>
      </c>
      <c r="CC53" s="1718">
        <v>44779</v>
      </c>
      <c r="CD53" s="1783" t="s">
        <v>6567</v>
      </c>
      <c r="CE53" s="1791">
        <v>30</v>
      </c>
      <c r="CF53" s="1787" t="s">
        <v>280</v>
      </c>
      <c r="CG53" s="1718">
        <v>45144</v>
      </c>
      <c r="CH53" s="1783" t="s">
        <v>6568</v>
      </c>
      <c r="CI53" s="1791">
        <v>16</v>
      </c>
      <c r="CJ53" s="1788" t="s">
        <v>278</v>
      </c>
      <c r="CK53" s="1848">
        <v>45508</v>
      </c>
      <c r="CL53" s="1908" t="s">
        <v>6569</v>
      </c>
      <c r="CM53" s="1909">
        <v>200</v>
      </c>
      <c r="CN53" s="1787" t="s">
        <v>707</v>
      </c>
      <c r="CO53" s="2154">
        <v>45871</v>
      </c>
      <c r="CP53" s="1738" t="s">
        <v>6570</v>
      </c>
      <c r="CQ53" s="1844">
        <v>13.9</v>
      </c>
      <c r="CR53" s="1787"/>
      <c r="CS53" s="1908"/>
      <c r="CT53" s="1908"/>
    </row>
    <row r="54" spans="1:98">
      <c r="A54" s="1780">
        <v>37490</v>
      </c>
      <c r="B54" s="1711" t="s">
        <v>5530</v>
      </c>
      <c r="C54" s="1716"/>
      <c r="D54" s="1717"/>
      <c r="E54" s="1781">
        <v>37850</v>
      </c>
      <c r="F54" s="1703" t="s">
        <v>6571</v>
      </c>
      <c r="G54" s="1704">
        <v>11</v>
      </c>
      <c r="H54" s="1705"/>
      <c r="I54" s="1781"/>
      <c r="J54" s="1703"/>
      <c r="K54" s="1704"/>
      <c r="L54" s="1705"/>
      <c r="M54" s="1781"/>
      <c r="N54" s="1703"/>
      <c r="O54" s="1704"/>
      <c r="P54" s="1705"/>
      <c r="Q54" s="1781"/>
      <c r="R54" s="1703"/>
      <c r="S54" s="1704"/>
      <c r="T54" s="1705"/>
      <c r="U54" s="1781"/>
      <c r="V54" s="1703"/>
      <c r="W54" s="1704"/>
      <c r="X54" s="1705"/>
      <c r="Y54" s="1781">
        <v>39683</v>
      </c>
      <c r="Z54" s="1703" t="s">
        <v>6572</v>
      </c>
      <c r="AA54" s="1704">
        <v>32</v>
      </c>
      <c r="AB54" s="1705"/>
      <c r="AC54" s="1781"/>
      <c r="AD54" s="1703"/>
      <c r="AE54" s="1704"/>
      <c r="AF54" s="1705"/>
      <c r="AG54" s="1781">
        <v>40420</v>
      </c>
      <c r="AH54" s="1703" t="s">
        <v>6558</v>
      </c>
      <c r="AI54" s="1704">
        <v>18</v>
      </c>
      <c r="AJ54" s="1705"/>
      <c r="AK54" s="1781"/>
      <c r="AL54" s="1703"/>
      <c r="AM54" s="1704"/>
      <c r="AN54" s="1705"/>
      <c r="AO54" s="1781">
        <v>41152</v>
      </c>
      <c r="AP54" s="1703" t="s">
        <v>6573</v>
      </c>
      <c r="AQ54" s="1704">
        <v>22</v>
      </c>
      <c r="AR54" s="1705"/>
      <c r="AS54" s="1781">
        <v>41508</v>
      </c>
      <c r="AT54" s="1703" t="s">
        <v>6574</v>
      </c>
      <c r="AU54" s="1704">
        <v>82</v>
      </c>
      <c r="AV54" s="1705"/>
      <c r="AW54" s="1781">
        <v>41875</v>
      </c>
      <c r="AX54" s="1703" t="s">
        <v>6575</v>
      </c>
      <c r="AY54" s="1704">
        <v>22</v>
      </c>
      <c r="AZ54" s="1705"/>
      <c r="BA54" s="1781">
        <v>42240</v>
      </c>
      <c r="BB54" s="1703" t="s">
        <v>6576</v>
      </c>
      <c r="BC54" s="1704">
        <v>20</v>
      </c>
      <c r="BD54" s="1705"/>
      <c r="BE54" s="1781">
        <v>42613</v>
      </c>
      <c r="BF54" s="1703" t="s">
        <v>6577</v>
      </c>
      <c r="BG54" s="1704">
        <v>20</v>
      </c>
      <c r="BH54" s="1705"/>
      <c r="BI54" s="1781">
        <v>42959</v>
      </c>
      <c r="BJ54" s="1703" t="s">
        <v>6578</v>
      </c>
      <c r="BK54" s="1704">
        <v>5</v>
      </c>
      <c r="BL54" s="1705"/>
      <c r="BM54" s="1781">
        <v>43331</v>
      </c>
      <c r="BN54" s="1703" t="s">
        <v>772</v>
      </c>
      <c r="BO54" s="1704">
        <v>29</v>
      </c>
      <c r="BP54" s="1705"/>
      <c r="BQ54" s="1781">
        <v>43693</v>
      </c>
      <c r="BR54" s="1703" t="s">
        <v>748</v>
      </c>
      <c r="BS54" s="1704">
        <v>22</v>
      </c>
      <c r="BT54" s="1710" t="s">
        <v>280</v>
      </c>
      <c r="BU54" s="1706">
        <v>44060</v>
      </c>
      <c r="BV54" s="1707" t="s">
        <v>3049</v>
      </c>
      <c r="BW54" s="1708">
        <v>67</v>
      </c>
      <c r="BX54" s="1710" t="s">
        <v>700</v>
      </c>
      <c r="BY54" s="1782">
        <v>44423</v>
      </c>
      <c r="BZ54" s="1783" t="s">
        <v>6579</v>
      </c>
      <c r="CA54" s="1784">
        <v>0</v>
      </c>
      <c r="CB54" s="1788" t="s">
        <v>280</v>
      </c>
      <c r="CC54" s="1718">
        <v>44779</v>
      </c>
      <c r="CD54" s="1783" t="s">
        <v>6580</v>
      </c>
      <c r="CE54" s="1791">
        <v>0</v>
      </c>
      <c r="CF54" s="1787" t="s">
        <v>700</v>
      </c>
      <c r="CG54" s="1718">
        <v>45144</v>
      </c>
      <c r="CH54" s="1783" t="s">
        <v>6581</v>
      </c>
      <c r="CI54" s="1791">
        <v>24</v>
      </c>
      <c r="CJ54" s="1788" t="s">
        <v>278</v>
      </c>
      <c r="CK54" s="1848">
        <v>45508</v>
      </c>
      <c r="CL54" s="1908" t="s">
        <v>6582</v>
      </c>
      <c r="CM54" s="1909">
        <v>2</v>
      </c>
      <c r="CN54" s="1787" t="s">
        <v>278</v>
      </c>
      <c r="CO54" s="2154">
        <v>45871</v>
      </c>
      <c r="CP54" s="1738" t="s">
        <v>6583</v>
      </c>
      <c r="CQ54" s="1844">
        <v>23.66</v>
      </c>
      <c r="CR54" s="1787"/>
      <c r="CS54" s="1908"/>
      <c r="CT54" s="1908"/>
    </row>
    <row r="55" spans="1:98">
      <c r="A55" s="1780">
        <v>37490</v>
      </c>
      <c r="B55" s="1711" t="s">
        <v>915</v>
      </c>
      <c r="C55" s="1716"/>
      <c r="D55" s="1717">
        <v>26</v>
      </c>
      <c r="E55" s="1781">
        <v>37850</v>
      </c>
      <c r="F55" s="1703" t="s">
        <v>6584</v>
      </c>
      <c r="G55" s="1704">
        <v>13</v>
      </c>
      <c r="H55" s="1705"/>
      <c r="I55" s="1781"/>
      <c r="J55" s="1703"/>
      <c r="K55" s="1704"/>
      <c r="L55" s="1705"/>
      <c r="M55" s="1781"/>
      <c r="N55" s="1703"/>
      <c r="O55" s="1704"/>
      <c r="P55" s="1705"/>
      <c r="Q55" s="1781"/>
      <c r="R55" s="1703"/>
      <c r="S55" s="1704"/>
      <c r="T55" s="1705"/>
      <c r="U55" s="1781"/>
      <c r="V55" s="1703"/>
      <c r="W55" s="1704"/>
      <c r="X55" s="1705"/>
      <c r="Y55" s="1781">
        <v>39684</v>
      </c>
      <c r="Z55" s="1703" t="s">
        <v>797</v>
      </c>
      <c r="AA55" s="1704">
        <v>40</v>
      </c>
      <c r="AB55" s="1705"/>
      <c r="AC55" s="1781"/>
      <c r="AD55" s="1703"/>
      <c r="AE55" s="1704"/>
      <c r="AF55" s="1705"/>
      <c r="AG55" s="1781">
        <v>40421</v>
      </c>
      <c r="AH55" s="1703" t="s">
        <v>6558</v>
      </c>
      <c r="AI55" s="1704">
        <v>18</v>
      </c>
      <c r="AJ55" s="1705"/>
      <c r="AK55" s="1781"/>
      <c r="AL55" s="1703"/>
      <c r="AM55" s="1704"/>
      <c r="AN55" s="1705"/>
      <c r="AO55" s="1781"/>
      <c r="AP55" s="1703"/>
      <c r="AQ55" s="1704"/>
      <c r="AR55" s="1705"/>
      <c r="AS55" s="1781">
        <v>41508</v>
      </c>
      <c r="AT55" s="1703" t="s">
        <v>6585</v>
      </c>
      <c r="AU55" s="1704">
        <v>60</v>
      </c>
      <c r="AV55" s="1705"/>
      <c r="AW55" s="1781">
        <v>41875</v>
      </c>
      <c r="AX55" s="1703" t="s">
        <v>754</v>
      </c>
      <c r="AY55" s="1704">
        <v>89</v>
      </c>
      <c r="AZ55" s="1705"/>
      <c r="BA55" s="1781">
        <v>42240</v>
      </c>
      <c r="BB55" s="1703" t="s">
        <v>6105</v>
      </c>
      <c r="BC55" s="1704">
        <v>26</v>
      </c>
      <c r="BD55" s="1705"/>
      <c r="BE55" s="1781"/>
      <c r="BF55" s="1703"/>
      <c r="BG55" s="1704"/>
      <c r="BH55" s="1705"/>
      <c r="BI55" s="1781">
        <v>42959</v>
      </c>
      <c r="BJ55" s="1703" t="s">
        <v>6586</v>
      </c>
      <c r="BK55" s="1704">
        <v>10</v>
      </c>
      <c r="BL55" s="1705"/>
      <c r="BM55" s="1781">
        <v>43331</v>
      </c>
      <c r="BN55" s="1703" t="s">
        <v>4053</v>
      </c>
      <c r="BO55" s="1704">
        <v>22</v>
      </c>
      <c r="BP55" s="1705"/>
      <c r="BQ55" s="1781">
        <v>43693</v>
      </c>
      <c r="BR55" s="1703" t="s">
        <v>772</v>
      </c>
      <c r="BS55" s="1704">
        <v>37</v>
      </c>
      <c r="BT55" s="1710" t="s">
        <v>414</v>
      </c>
      <c r="BU55" s="1706">
        <v>44060</v>
      </c>
      <c r="BV55" s="1707" t="s">
        <v>6587</v>
      </c>
      <c r="BW55" s="1708">
        <v>8</v>
      </c>
      <c r="BX55" s="1710" t="s">
        <v>284</v>
      </c>
      <c r="BY55" s="1782">
        <v>44424</v>
      </c>
      <c r="BZ55" s="1783" t="s">
        <v>797</v>
      </c>
      <c r="CA55" s="1784">
        <v>85</v>
      </c>
      <c r="CB55" s="1788" t="s">
        <v>410</v>
      </c>
      <c r="CC55" s="1718">
        <v>44779</v>
      </c>
      <c r="CD55" s="1783" t="s">
        <v>6588</v>
      </c>
      <c r="CE55" s="1791">
        <v>18</v>
      </c>
      <c r="CF55" s="1787" t="s">
        <v>280</v>
      </c>
      <c r="CG55" s="1718">
        <v>45144</v>
      </c>
      <c r="CH55" s="1783" t="s">
        <v>6589</v>
      </c>
      <c r="CI55" s="1791" t="s">
        <v>37</v>
      </c>
      <c r="CJ55" s="1788" t="s">
        <v>381</v>
      </c>
      <c r="CK55" s="1848">
        <v>45508</v>
      </c>
      <c r="CL55" s="1908" t="s">
        <v>6590</v>
      </c>
      <c r="CM55" s="1909">
        <v>75</v>
      </c>
      <c r="CN55" s="1787" t="s">
        <v>278</v>
      </c>
      <c r="CO55" s="2155">
        <v>45871</v>
      </c>
      <c r="CP55" s="1738" t="s">
        <v>6591</v>
      </c>
      <c r="CQ55" s="1844">
        <v>25.27</v>
      </c>
      <c r="CR55" s="1787"/>
      <c r="CS55" s="1908"/>
      <c r="CT55" s="1908"/>
    </row>
    <row r="56" spans="1:98">
      <c r="A56" s="1780">
        <v>37491</v>
      </c>
      <c r="B56" s="1711" t="s">
        <v>6592</v>
      </c>
      <c r="C56" s="1716"/>
      <c r="D56" s="1717">
        <v>8</v>
      </c>
      <c r="E56" s="1781">
        <v>37850</v>
      </c>
      <c r="F56" s="1703" t="s">
        <v>802</v>
      </c>
      <c r="G56" s="1704">
        <v>23</v>
      </c>
      <c r="H56" s="1705"/>
      <c r="I56" s="1781"/>
      <c r="J56" s="1703"/>
      <c r="K56" s="1704"/>
      <c r="L56" s="1705"/>
      <c r="M56" s="1781"/>
      <c r="N56" s="1703"/>
      <c r="O56" s="1704"/>
      <c r="P56" s="1705"/>
      <c r="Q56" s="1781"/>
      <c r="R56" s="1703"/>
      <c r="S56" s="1704"/>
      <c r="T56" s="1705"/>
      <c r="U56" s="1781"/>
      <c r="V56" s="1703"/>
      <c r="W56" s="1704"/>
      <c r="X56" s="1705"/>
      <c r="Y56" s="1781">
        <v>39684</v>
      </c>
      <c r="Z56" s="1703" t="s">
        <v>6593</v>
      </c>
      <c r="AA56" s="1704">
        <v>82</v>
      </c>
      <c r="AB56" s="1705"/>
      <c r="AC56" s="1781"/>
      <c r="AD56" s="1703"/>
      <c r="AE56" s="1704"/>
      <c r="AF56" s="1705"/>
      <c r="AG56" s="1781">
        <v>40421</v>
      </c>
      <c r="AH56" s="1703" t="s">
        <v>6594</v>
      </c>
      <c r="AI56" s="1704">
        <v>12</v>
      </c>
      <c r="AJ56" s="1705"/>
      <c r="AK56" s="1781"/>
      <c r="AL56" s="1703"/>
      <c r="AM56" s="1704"/>
      <c r="AN56" s="1705"/>
      <c r="AO56" s="1781"/>
      <c r="AP56" s="1703"/>
      <c r="AQ56" s="1704"/>
      <c r="AR56" s="1705"/>
      <c r="AS56" s="1781">
        <v>41508</v>
      </c>
      <c r="AT56" s="1703" t="s">
        <v>6595</v>
      </c>
      <c r="AU56" s="1704">
        <v>13</v>
      </c>
      <c r="AV56" s="1705"/>
      <c r="AW56" s="1781">
        <v>41875</v>
      </c>
      <c r="AX56" s="1703" t="s">
        <v>2439</v>
      </c>
      <c r="AY56" s="1704">
        <v>40</v>
      </c>
      <c r="AZ56" s="1705"/>
      <c r="BA56" s="1781">
        <v>42240</v>
      </c>
      <c r="BB56" s="1703" t="s">
        <v>6596</v>
      </c>
      <c r="BC56" s="1704">
        <v>24</v>
      </c>
      <c r="BD56" s="1705"/>
      <c r="BE56" s="1781"/>
      <c r="BF56" s="1703"/>
      <c r="BG56" s="1704"/>
      <c r="BH56" s="1705"/>
      <c r="BI56" s="1781">
        <v>42959</v>
      </c>
      <c r="BJ56" s="1703" t="s">
        <v>1180</v>
      </c>
      <c r="BK56" s="1704">
        <v>62</v>
      </c>
      <c r="BL56" s="1705"/>
      <c r="BM56" s="1781">
        <v>43331</v>
      </c>
      <c r="BN56" s="1703" t="s">
        <v>2439</v>
      </c>
      <c r="BO56" s="1704">
        <v>24</v>
      </c>
      <c r="BP56" s="1705"/>
      <c r="BQ56" s="1781">
        <v>43693</v>
      </c>
      <c r="BR56" s="1703" t="s">
        <v>823</v>
      </c>
      <c r="BS56" s="1704">
        <v>15</v>
      </c>
      <c r="BT56" s="1710" t="s">
        <v>414</v>
      </c>
      <c r="BU56" s="1706">
        <v>44060</v>
      </c>
      <c r="BV56" s="1707" t="s">
        <v>1635</v>
      </c>
      <c r="BW56" s="1708">
        <v>12</v>
      </c>
      <c r="BX56" s="1710" t="s">
        <v>414</v>
      </c>
      <c r="BY56" s="1782">
        <v>44427</v>
      </c>
      <c r="BZ56" s="1783" t="s">
        <v>6597</v>
      </c>
      <c r="CA56" s="1784">
        <v>53</v>
      </c>
      <c r="CB56" s="1788" t="s">
        <v>426</v>
      </c>
      <c r="CC56" s="1718">
        <v>44779</v>
      </c>
      <c r="CD56" s="1783" t="s">
        <v>797</v>
      </c>
      <c r="CE56" s="1791">
        <v>80</v>
      </c>
      <c r="CF56" s="1787" t="s">
        <v>410</v>
      </c>
      <c r="CG56" s="1718">
        <v>45144</v>
      </c>
      <c r="CH56" s="1783" t="s">
        <v>6598</v>
      </c>
      <c r="CI56" s="1791">
        <v>69</v>
      </c>
      <c r="CJ56" s="1788" t="s">
        <v>410</v>
      </c>
      <c r="CK56" s="1848">
        <v>45508</v>
      </c>
      <c r="CL56" s="1908" t="s">
        <v>6599</v>
      </c>
      <c r="CM56" s="1909">
        <v>25</v>
      </c>
      <c r="CN56" s="1787" t="s">
        <v>278</v>
      </c>
      <c r="CO56" s="2155">
        <v>45871</v>
      </c>
      <c r="CP56" s="1738" t="s">
        <v>6600</v>
      </c>
      <c r="CQ56" s="1844">
        <v>9.77</v>
      </c>
      <c r="CR56" s="1787"/>
      <c r="CS56" s="1908"/>
      <c r="CT56" s="1908"/>
    </row>
    <row r="57" spans="1:98">
      <c r="A57" s="1780">
        <v>37492</v>
      </c>
      <c r="B57" s="1711" t="s">
        <v>6601</v>
      </c>
      <c r="C57" s="1716">
        <v>9</v>
      </c>
      <c r="D57" s="1717"/>
      <c r="E57" s="1781">
        <v>37850</v>
      </c>
      <c r="F57" s="1703" t="s">
        <v>6602</v>
      </c>
      <c r="G57" s="1704">
        <v>13</v>
      </c>
      <c r="H57" s="1705"/>
      <c r="I57" s="1781"/>
      <c r="J57" s="1703"/>
      <c r="K57" s="1704"/>
      <c r="L57" s="1705"/>
      <c r="M57" s="1781"/>
      <c r="N57" s="1703"/>
      <c r="O57" s="1704"/>
      <c r="P57" s="1705"/>
      <c r="Q57" s="1781"/>
      <c r="R57" s="1703"/>
      <c r="S57" s="1704"/>
      <c r="T57" s="1705"/>
      <c r="U57" s="1781"/>
      <c r="V57" s="1703"/>
      <c r="W57" s="1704"/>
      <c r="X57" s="1705"/>
      <c r="Y57" s="1781">
        <v>39684</v>
      </c>
      <c r="Z57" s="1703" t="s">
        <v>6603</v>
      </c>
      <c r="AA57" s="1704">
        <v>4</v>
      </c>
      <c r="AB57" s="1705"/>
      <c r="AC57" s="1781"/>
      <c r="AD57" s="1703"/>
      <c r="AE57" s="1704"/>
      <c r="AF57" s="1705"/>
      <c r="AG57" s="1781">
        <v>40421</v>
      </c>
      <c r="AH57" s="1703" t="s">
        <v>802</v>
      </c>
      <c r="AI57" s="1704">
        <v>41</v>
      </c>
      <c r="AJ57" s="1705"/>
      <c r="AK57" s="1781"/>
      <c r="AL57" s="1703"/>
      <c r="AM57" s="1704"/>
      <c r="AN57" s="1705"/>
      <c r="AO57" s="1781"/>
      <c r="AP57" s="1703"/>
      <c r="AQ57" s="1704"/>
      <c r="AR57" s="1705"/>
      <c r="AS57" s="1781">
        <v>41508</v>
      </c>
      <c r="AT57" s="1703" t="s">
        <v>802</v>
      </c>
      <c r="AU57" s="1704">
        <v>25</v>
      </c>
      <c r="AV57" s="1705"/>
      <c r="AW57" s="1781">
        <v>41876</v>
      </c>
      <c r="AX57" s="1703" t="s">
        <v>6604</v>
      </c>
      <c r="AY57" s="1704">
        <v>5</v>
      </c>
      <c r="AZ57" s="1705"/>
      <c r="BA57" s="1781">
        <v>42240</v>
      </c>
      <c r="BB57" s="1703" t="s">
        <v>6605</v>
      </c>
      <c r="BC57" s="1704">
        <v>50</v>
      </c>
      <c r="BD57" s="1705"/>
      <c r="BE57" s="1781"/>
      <c r="BF57" s="1703"/>
      <c r="BG57" s="1704"/>
      <c r="BH57" s="1705"/>
      <c r="BI57" s="1781">
        <v>42960</v>
      </c>
      <c r="BJ57" s="1703" t="s">
        <v>6606</v>
      </c>
      <c r="BK57" s="1704">
        <v>50</v>
      </c>
      <c r="BL57" s="1705"/>
      <c r="BM57" s="1781">
        <v>43332</v>
      </c>
      <c r="BN57" s="1703" t="s">
        <v>772</v>
      </c>
      <c r="BO57" s="1704">
        <v>5</v>
      </c>
      <c r="BP57" s="1705"/>
      <c r="BQ57" s="1781">
        <v>43693</v>
      </c>
      <c r="BR57" s="1703" t="s">
        <v>872</v>
      </c>
      <c r="BS57" s="1704">
        <v>16</v>
      </c>
      <c r="BT57" s="1710" t="s">
        <v>414</v>
      </c>
      <c r="BU57" s="1706">
        <v>44060</v>
      </c>
      <c r="BV57" s="1707" t="s">
        <v>6607</v>
      </c>
      <c r="BW57" s="1708">
        <v>50</v>
      </c>
      <c r="BX57" s="1710" t="s">
        <v>280</v>
      </c>
      <c r="BY57" s="1782">
        <v>44427</v>
      </c>
      <c r="BZ57" s="1783" t="s">
        <v>6608</v>
      </c>
      <c r="CA57" s="1784">
        <v>22</v>
      </c>
      <c r="CB57" s="1788" t="s">
        <v>280</v>
      </c>
      <c r="CC57" s="1718">
        <v>44779</v>
      </c>
      <c r="CD57" s="1783" t="s">
        <v>1920</v>
      </c>
      <c r="CE57" s="1791">
        <v>22</v>
      </c>
      <c r="CF57" s="1787" t="s">
        <v>278</v>
      </c>
      <c r="CG57" s="1794">
        <v>45145</v>
      </c>
      <c r="CH57" s="1783" t="s">
        <v>6609</v>
      </c>
      <c r="CI57" s="1791"/>
      <c r="CJ57" s="1788" t="s">
        <v>381</v>
      </c>
      <c r="CK57" s="1849">
        <v>45509</v>
      </c>
      <c r="CL57" s="1908" t="s">
        <v>6610</v>
      </c>
      <c r="CM57" s="1909">
        <v>10</v>
      </c>
      <c r="CN57" s="1787" t="s">
        <v>278</v>
      </c>
      <c r="CO57" s="2155">
        <v>45871</v>
      </c>
      <c r="CP57" s="1738" t="s">
        <v>6611</v>
      </c>
      <c r="CQ57" s="1844">
        <v>40.44</v>
      </c>
      <c r="CR57" s="1787"/>
      <c r="CS57" s="1908"/>
      <c r="CT57" s="1908"/>
    </row>
    <row r="58" spans="1:98">
      <c r="A58" s="1780">
        <v>37492</v>
      </c>
      <c r="B58" s="1711" t="s">
        <v>6612</v>
      </c>
      <c r="C58" s="1716"/>
      <c r="D58" s="1717">
        <v>109</v>
      </c>
      <c r="E58" s="1781">
        <v>37850</v>
      </c>
      <c r="F58" s="1703" t="s">
        <v>6613</v>
      </c>
      <c r="G58" s="1704">
        <v>11</v>
      </c>
      <c r="H58" s="1705"/>
      <c r="I58" s="1781"/>
      <c r="J58" s="1703"/>
      <c r="K58" s="1704"/>
      <c r="L58" s="1705"/>
      <c r="M58" s="1781"/>
      <c r="N58" s="1703"/>
      <c r="O58" s="1704"/>
      <c r="P58" s="1705"/>
      <c r="Q58" s="1781"/>
      <c r="R58" s="1703"/>
      <c r="S58" s="1704"/>
      <c r="T58" s="1705"/>
      <c r="U58" s="1781"/>
      <c r="V58" s="1703"/>
      <c r="W58" s="1704"/>
      <c r="X58" s="1705"/>
      <c r="Y58" s="1781">
        <v>39684</v>
      </c>
      <c r="Z58" s="1703" t="s">
        <v>6614</v>
      </c>
      <c r="AA58" s="1704">
        <v>50</v>
      </c>
      <c r="AB58" s="1705"/>
      <c r="AC58" s="1781"/>
      <c r="AD58" s="1703"/>
      <c r="AE58" s="1704"/>
      <c r="AF58" s="1705"/>
      <c r="AG58" s="1781">
        <v>40421</v>
      </c>
      <c r="AH58" s="1703" t="s">
        <v>6615</v>
      </c>
      <c r="AI58" s="1704">
        <v>45</v>
      </c>
      <c r="AJ58" s="1705"/>
      <c r="AK58" s="1781"/>
      <c r="AL58" s="1703"/>
      <c r="AM58" s="1704"/>
      <c r="AN58" s="1705"/>
      <c r="AO58" s="1781"/>
      <c r="AP58" s="1703"/>
      <c r="AQ58" s="1704"/>
      <c r="AR58" s="1705"/>
      <c r="AS58" s="1781">
        <v>41508</v>
      </c>
      <c r="AT58" s="1703" t="s">
        <v>797</v>
      </c>
      <c r="AU58" s="1704">
        <v>21</v>
      </c>
      <c r="AV58" s="1705"/>
      <c r="AW58" s="1781">
        <v>41877</v>
      </c>
      <c r="AX58" s="1703" t="s">
        <v>6616</v>
      </c>
      <c r="AY58" s="1704">
        <v>90</v>
      </c>
      <c r="AZ58" s="1705"/>
      <c r="BA58" s="1781">
        <v>42240</v>
      </c>
      <c r="BB58" s="1703" t="s">
        <v>1770</v>
      </c>
      <c r="BC58" s="1704">
        <v>4</v>
      </c>
      <c r="BD58" s="1705"/>
      <c r="BE58" s="1781"/>
      <c r="BF58" s="1703"/>
      <c r="BG58" s="1704"/>
      <c r="BH58" s="1705"/>
      <c r="BI58" s="1781">
        <v>42960</v>
      </c>
      <c r="BJ58" s="1703" t="s">
        <v>6617</v>
      </c>
      <c r="BK58" s="1704">
        <v>35</v>
      </c>
      <c r="BL58" s="1705"/>
      <c r="BM58" s="1781">
        <v>43333</v>
      </c>
      <c r="BN58" s="1703" t="s">
        <v>6618</v>
      </c>
      <c r="BO58" s="1704">
        <v>6</v>
      </c>
      <c r="BP58" s="1705"/>
      <c r="BQ58" s="1781">
        <v>43693</v>
      </c>
      <c r="BR58" s="1703" t="s">
        <v>873</v>
      </c>
      <c r="BS58" s="1704">
        <v>34</v>
      </c>
      <c r="BT58" s="1710" t="s">
        <v>414</v>
      </c>
      <c r="BU58" s="1706">
        <v>44060</v>
      </c>
      <c r="BV58" s="1707" t="s">
        <v>6619</v>
      </c>
      <c r="BW58" s="1708">
        <v>175</v>
      </c>
      <c r="BX58" s="1710" t="s">
        <v>280</v>
      </c>
      <c r="BY58" s="1782">
        <v>44427</v>
      </c>
      <c r="BZ58" s="1783" t="s">
        <v>2888</v>
      </c>
      <c r="CA58" s="1784">
        <v>68</v>
      </c>
      <c r="CB58" s="1788" t="s">
        <v>414</v>
      </c>
      <c r="CC58" s="1794">
        <v>44781</v>
      </c>
      <c r="CD58" s="1783" t="s">
        <v>6620</v>
      </c>
      <c r="CE58" s="1791">
        <v>13</v>
      </c>
      <c r="CF58" s="1787" t="s">
        <v>278</v>
      </c>
      <c r="CG58" s="1794">
        <v>45145</v>
      </c>
      <c r="CH58" s="1783" t="s">
        <v>6621</v>
      </c>
      <c r="CI58" s="1791">
        <v>49</v>
      </c>
      <c r="CJ58" s="1788" t="s">
        <v>410</v>
      </c>
      <c r="CK58" s="1849">
        <v>45509</v>
      </c>
      <c r="CL58" s="1908" t="s">
        <v>6622</v>
      </c>
      <c r="CM58" s="1909">
        <v>50</v>
      </c>
      <c r="CN58" s="1787" t="s">
        <v>278</v>
      </c>
      <c r="CO58" s="2155">
        <v>45871</v>
      </c>
      <c r="CP58" s="1738" t="s">
        <v>6623</v>
      </c>
      <c r="CQ58" s="1844">
        <v>22.87</v>
      </c>
      <c r="CR58" s="1787"/>
      <c r="CS58" s="1908"/>
      <c r="CT58" s="1908"/>
    </row>
    <row r="59" spans="1:98">
      <c r="A59" s="1780">
        <v>37492</v>
      </c>
      <c r="B59" s="1711" t="s">
        <v>6624</v>
      </c>
      <c r="C59" s="1716"/>
      <c r="D59" s="1717">
        <v>89</v>
      </c>
      <c r="E59" s="1781">
        <v>37851</v>
      </c>
      <c r="F59" s="1703" t="s">
        <v>6625</v>
      </c>
      <c r="G59" s="1704">
        <v>51</v>
      </c>
      <c r="H59" s="1705"/>
      <c r="I59" s="1781"/>
      <c r="J59" s="1703"/>
      <c r="K59" s="1704"/>
      <c r="L59" s="1705"/>
      <c r="M59" s="1781"/>
      <c r="N59" s="1703"/>
      <c r="O59" s="1704"/>
      <c r="P59" s="1705"/>
      <c r="Q59" s="1781"/>
      <c r="R59" s="1703"/>
      <c r="S59" s="1704"/>
      <c r="T59" s="1705"/>
      <c r="U59" s="1781"/>
      <c r="V59" s="1703"/>
      <c r="W59" s="1704"/>
      <c r="X59" s="1705"/>
      <c r="Y59" s="1781">
        <v>39684</v>
      </c>
      <c r="Z59" s="1703" t="s">
        <v>6626</v>
      </c>
      <c r="AA59" s="1704">
        <v>42</v>
      </c>
      <c r="AB59" s="1705"/>
      <c r="AC59" s="1781"/>
      <c r="AD59" s="1703"/>
      <c r="AE59" s="1704"/>
      <c r="AF59" s="1705"/>
      <c r="AG59" s="1781"/>
      <c r="AH59" s="1703"/>
      <c r="AI59" s="1704"/>
      <c r="AJ59" s="1705"/>
      <c r="AK59" s="1781"/>
      <c r="AL59" s="1703"/>
      <c r="AM59" s="1704"/>
      <c r="AN59" s="1705"/>
      <c r="AO59" s="1781"/>
      <c r="AP59" s="1703"/>
      <c r="AQ59" s="1704"/>
      <c r="AR59" s="1705"/>
      <c r="AS59" s="1781">
        <v>41508</v>
      </c>
      <c r="AT59" s="1703" t="s">
        <v>6627</v>
      </c>
      <c r="AU59" s="1704">
        <v>38</v>
      </c>
      <c r="AV59" s="1705"/>
      <c r="AW59" s="1781">
        <v>41878</v>
      </c>
      <c r="AX59" s="1703" t="s">
        <v>6628</v>
      </c>
      <c r="AY59" s="1704">
        <v>375</v>
      </c>
      <c r="AZ59" s="1705"/>
      <c r="BA59" s="1781">
        <v>42242</v>
      </c>
      <c r="BB59" s="1703" t="s">
        <v>1052</v>
      </c>
      <c r="BC59" s="1704">
        <v>13</v>
      </c>
      <c r="BD59" s="1705"/>
      <c r="BE59" s="1781"/>
      <c r="BF59" s="1703"/>
      <c r="BG59" s="1704"/>
      <c r="BH59" s="1705"/>
      <c r="BI59" s="1781">
        <v>42960</v>
      </c>
      <c r="BJ59" s="1703" t="s">
        <v>6629</v>
      </c>
      <c r="BK59" s="1704">
        <v>131</v>
      </c>
      <c r="BL59" s="1705"/>
      <c r="BM59" s="1781">
        <v>43333</v>
      </c>
      <c r="BN59" s="1703" t="s">
        <v>6630</v>
      </c>
      <c r="BO59" s="1704">
        <v>51</v>
      </c>
      <c r="BP59" s="1705"/>
      <c r="BQ59" s="1781">
        <v>43694</v>
      </c>
      <c r="BR59" s="1703" t="s">
        <v>6631</v>
      </c>
      <c r="BS59" s="1704">
        <v>6</v>
      </c>
      <c r="BT59" s="1710" t="s">
        <v>280</v>
      </c>
      <c r="BU59" s="1706">
        <v>44065</v>
      </c>
      <c r="BV59" s="1707" t="s">
        <v>845</v>
      </c>
      <c r="BW59" s="1708">
        <v>48</v>
      </c>
      <c r="BX59" s="1710" t="s">
        <v>414</v>
      </c>
      <c r="BY59" s="1782">
        <v>44427</v>
      </c>
      <c r="BZ59" s="1783" t="s">
        <v>6632</v>
      </c>
      <c r="CA59" s="1784">
        <v>35</v>
      </c>
      <c r="CB59" s="1788" t="s">
        <v>280</v>
      </c>
      <c r="CC59" s="1794">
        <v>44781</v>
      </c>
      <c r="CD59" s="1783" t="s">
        <v>6633</v>
      </c>
      <c r="CE59" s="1791">
        <v>31</v>
      </c>
      <c r="CF59" s="1787" t="s">
        <v>278</v>
      </c>
      <c r="CG59" s="1794">
        <v>45146</v>
      </c>
      <c r="CH59" s="1783" t="s">
        <v>2162</v>
      </c>
      <c r="CI59" s="1791">
        <v>26</v>
      </c>
      <c r="CJ59" s="1788" t="s">
        <v>414</v>
      </c>
      <c r="CK59" s="1849">
        <v>45509</v>
      </c>
      <c r="CL59" s="1908" t="s">
        <v>6634</v>
      </c>
      <c r="CM59" s="1909">
        <v>25</v>
      </c>
      <c r="CN59" s="1787" t="s">
        <v>278</v>
      </c>
      <c r="CO59" s="2155">
        <v>45871</v>
      </c>
      <c r="CP59" s="1738" t="s">
        <v>6635</v>
      </c>
      <c r="CQ59" s="1844">
        <v>18.52</v>
      </c>
      <c r="CR59" s="1787"/>
      <c r="CS59" s="1908"/>
      <c r="CT59" s="1908"/>
    </row>
    <row r="60" spans="1:98">
      <c r="A60" s="1780">
        <v>37492</v>
      </c>
      <c r="B60" s="1711" t="s">
        <v>6636</v>
      </c>
      <c r="C60" s="1716">
        <v>32</v>
      </c>
      <c r="D60" s="1717"/>
      <c r="E60" s="1781">
        <v>37852</v>
      </c>
      <c r="F60" s="1703" t="s">
        <v>6637</v>
      </c>
      <c r="G60" s="1704">
        <v>10</v>
      </c>
      <c r="H60" s="1705"/>
      <c r="I60" s="1781"/>
      <c r="J60" s="1703"/>
      <c r="K60" s="1704"/>
      <c r="L60" s="1705"/>
      <c r="M60" s="1781"/>
      <c r="N60" s="1703"/>
      <c r="O60" s="1704"/>
      <c r="P60" s="1705"/>
      <c r="Q60" s="1781"/>
      <c r="R60" s="1703"/>
      <c r="S60" s="1704"/>
      <c r="T60" s="1705"/>
      <c r="U60" s="1781"/>
      <c r="V60" s="1703"/>
      <c r="W60" s="1704"/>
      <c r="X60" s="1705"/>
      <c r="Y60" s="1781">
        <v>39684</v>
      </c>
      <c r="Z60" s="1703" t="s">
        <v>781</v>
      </c>
      <c r="AA60" s="1704">
        <v>9</v>
      </c>
      <c r="AB60" s="1705"/>
      <c r="AC60" s="1781"/>
      <c r="AD60" s="1703"/>
      <c r="AE60" s="1704"/>
      <c r="AF60" s="1705"/>
      <c r="AG60" s="1781"/>
      <c r="AH60" s="1703"/>
      <c r="AI60" s="1704"/>
      <c r="AJ60" s="1705"/>
      <c r="AK60" s="1781"/>
      <c r="AL60" s="1703"/>
      <c r="AM60" s="1704"/>
      <c r="AN60" s="1705"/>
      <c r="AO60" s="1781"/>
      <c r="AP60" s="1703"/>
      <c r="AQ60" s="1704"/>
      <c r="AR60" s="1705"/>
      <c r="AS60" s="1781">
        <v>41508</v>
      </c>
      <c r="AT60" s="1703" t="s">
        <v>6638</v>
      </c>
      <c r="AU60" s="1704">
        <v>259</v>
      </c>
      <c r="AV60" s="1705"/>
      <c r="AW60" s="1781">
        <v>41878</v>
      </c>
      <c r="AX60" s="1703" t="s">
        <v>6639</v>
      </c>
      <c r="AY60" s="1704">
        <v>52</v>
      </c>
      <c r="AZ60" s="1705"/>
      <c r="BA60" s="1781">
        <v>42245</v>
      </c>
      <c r="BB60" s="1703" t="s">
        <v>802</v>
      </c>
      <c r="BC60" s="1704">
        <v>39</v>
      </c>
      <c r="BD60" s="1705"/>
      <c r="BE60" s="1781"/>
      <c r="BF60" s="1703"/>
      <c r="BG60" s="1704"/>
      <c r="BH60" s="1705"/>
      <c r="BI60" s="1781">
        <v>42960</v>
      </c>
      <c r="BJ60" s="1703" t="s">
        <v>872</v>
      </c>
      <c r="BK60" s="1704">
        <v>26</v>
      </c>
      <c r="BL60" s="1705"/>
      <c r="BM60" s="1781">
        <v>43333</v>
      </c>
      <c r="BN60" s="1703" t="s">
        <v>6640</v>
      </c>
      <c r="BO60" s="1704">
        <v>13</v>
      </c>
      <c r="BP60" s="1705"/>
      <c r="BQ60" s="1781">
        <v>43694</v>
      </c>
      <c r="BR60" s="1703" t="s">
        <v>6641</v>
      </c>
      <c r="BS60" s="1704">
        <v>15</v>
      </c>
      <c r="BT60" s="1710" t="s">
        <v>278</v>
      </c>
      <c r="BU60" s="1706">
        <v>44065</v>
      </c>
      <c r="BV60" s="1707" t="s">
        <v>872</v>
      </c>
      <c r="BW60" s="1708">
        <v>13</v>
      </c>
      <c r="BX60" s="1710" t="s">
        <v>414</v>
      </c>
      <c r="BY60" s="1782">
        <v>44429</v>
      </c>
      <c r="BZ60" s="1783" t="s">
        <v>6642</v>
      </c>
      <c r="CA60" s="1784">
        <v>16</v>
      </c>
      <c r="CB60" s="1788" t="s">
        <v>414</v>
      </c>
      <c r="CC60" s="1794">
        <v>44782</v>
      </c>
      <c r="CD60" s="1783" t="s">
        <v>6643</v>
      </c>
      <c r="CE60" s="1791">
        <v>26</v>
      </c>
      <c r="CF60" s="1787" t="s">
        <v>278</v>
      </c>
      <c r="CG60" s="1794">
        <v>45146</v>
      </c>
      <c r="CH60" s="1783" t="s">
        <v>2848</v>
      </c>
      <c r="CI60" s="1791">
        <v>22</v>
      </c>
      <c r="CJ60" s="1788" t="s">
        <v>280</v>
      </c>
      <c r="CK60" s="1849">
        <v>45509</v>
      </c>
      <c r="CL60" s="1908" t="s">
        <v>6644</v>
      </c>
      <c r="CM60" s="1909">
        <v>3</v>
      </c>
      <c r="CN60" s="1787" t="s">
        <v>278</v>
      </c>
      <c r="CO60" s="2155">
        <v>45872</v>
      </c>
      <c r="CP60" s="1738" t="s">
        <v>6645</v>
      </c>
      <c r="CQ60" s="1844">
        <v>10.9</v>
      </c>
      <c r="CR60" s="1787"/>
      <c r="CS60" s="1908"/>
      <c r="CT60" s="1908"/>
    </row>
    <row r="61" spans="1:98">
      <c r="A61" s="1780">
        <v>37492</v>
      </c>
      <c r="B61" s="1711" t="s">
        <v>6646</v>
      </c>
      <c r="C61" s="1716">
        <v>18</v>
      </c>
      <c r="D61" s="1717"/>
      <c r="E61" s="1781">
        <v>37853</v>
      </c>
      <c r="F61" s="1703" t="s">
        <v>6647</v>
      </c>
      <c r="G61" s="1704"/>
      <c r="H61" s="1705">
        <v>10</v>
      </c>
      <c r="I61" s="1781"/>
      <c r="J61" s="1703"/>
      <c r="K61" s="1704"/>
      <c r="L61" s="1705"/>
      <c r="M61" s="1781"/>
      <c r="N61" s="1703"/>
      <c r="O61" s="1704"/>
      <c r="P61" s="1705"/>
      <c r="Q61" s="1781"/>
      <c r="R61" s="1703"/>
      <c r="S61" s="1704"/>
      <c r="T61" s="1705"/>
      <c r="U61" s="1781"/>
      <c r="V61" s="1703"/>
      <c r="W61" s="1704"/>
      <c r="X61" s="1705"/>
      <c r="Y61" s="1781">
        <v>39685</v>
      </c>
      <c r="Z61" s="1703" t="s">
        <v>937</v>
      </c>
      <c r="AA61" s="1704">
        <v>18</v>
      </c>
      <c r="AB61" s="1705"/>
      <c r="AC61" s="1781"/>
      <c r="AD61" s="1703"/>
      <c r="AE61" s="1704"/>
      <c r="AF61" s="1705"/>
      <c r="AG61" s="1781"/>
      <c r="AH61" s="1703"/>
      <c r="AI61" s="1704"/>
      <c r="AJ61" s="1705"/>
      <c r="AK61" s="1781"/>
      <c r="AL61" s="1703"/>
      <c r="AM61" s="1704"/>
      <c r="AN61" s="1705"/>
      <c r="AO61" s="1781"/>
      <c r="AP61" s="1703"/>
      <c r="AQ61" s="1704"/>
      <c r="AR61" s="1705"/>
      <c r="AS61" s="1781">
        <v>41508</v>
      </c>
      <c r="AT61" s="1703" t="s">
        <v>6648</v>
      </c>
      <c r="AU61" s="1704">
        <v>48</v>
      </c>
      <c r="AV61" s="1705"/>
      <c r="AW61" s="1781">
        <v>41878</v>
      </c>
      <c r="AX61" s="1703" t="s">
        <v>6649</v>
      </c>
      <c r="AY61" s="1704">
        <v>75</v>
      </c>
      <c r="AZ61" s="1705"/>
      <c r="BA61" s="1781">
        <v>42245</v>
      </c>
      <c r="BB61" s="1703" t="s">
        <v>979</v>
      </c>
      <c r="BC61" s="1704">
        <v>175</v>
      </c>
      <c r="BD61" s="1705"/>
      <c r="BE61" s="1781"/>
      <c r="BF61" s="1703"/>
      <c r="BG61" s="1704"/>
      <c r="BH61" s="1705"/>
      <c r="BI61" s="1781">
        <v>42961</v>
      </c>
      <c r="BJ61" s="1703" t="s">
        <v>2226</v>
      </c>
      <c r="BK61" s="1704">
        <v>59</v>
      </c>
      <c r="BL61" s="1705"/>
      <c r="BM61" s="1781">
        <v>43334</v>
      </c>
      <c r="BN61" s="1703" t="s">
        <v>6650</v>
      </c>
      <c r="BO61" s="1704">
        <v>85</v>
      </c>
      <c r="BP61" s="1705"/>
      <c r="BQ61" s="1781">
        <v>43694</v>
      </c>
      <c r="BR61" s="1703" t="s">
        <v>6651</v>
      </c>
      <c r="BS61" s="1704">
        <v>21</v>
      </c>
      <c r="BT61" s="1710" t="s">
        <v>700</v>
      </c>
      <c r="BU61" s="1706">
        <v>44065</v>
      </c>
      <c r="BV61" s="1707" t="s">
        <v>772</v>
      </c>
      <c r="BW61" s="1708">
        <v>65</v>
      </c>
      <c r="BX61" s="1710" t="s">
        <v>414</v>
      </c>
      <c r="BY61" s="1782">
        <v>44429</v>
      </c>
      <c r="BZ61" s="1783" t="s">
        <v>845</v>
      </c>
      <c r="CA61" s="1784">
        <v>37</v>
      </c>
      <c r="CB61" s="1788" t="s">
        <v>414</v>
      </c>
      <c r="CC61" s="1794">
        <v>44782</v>
      </c>
      <c r="CD61" s="1783" t="s">
        <v>6652</v>
      </c>
      <c r="CE61" s="1791">
        <v>12</v>
      </c>
      <c r="CF61" s="1787" t="s">
        <v>278</v>
      </c>
      <c r="CG61" s="1794">
        <v>45146</v>
      </c>
      <c r="CH61" s="1783" t="s">
        <v>1858</v>
      </c>
      <c r="CI61" s="1791">
        <v>11</v>
      </c>
      <c r="CJ61" s="1788" t="s">
        <v>280</v>
      </c>
      <c r="CK61" s="1849">
        <v>45509</v>
      </c>
      <c r="CL61" s="1908" t="s">
        <v>6653</v>
      </c>
      <c r="CM61" s="1909">
        <v>20</v>
      </c>
      <c r="CN61" s="1787" t="s">
        <v>278</v>
      </c>
      <c r="CO61" s="2155">
        <v>45872</v>
      </c>
      <c r="CP61" s="1738" t="s">
        <v>6654</v>
      </c>
      <c r="CQ61" s="1844">
        <v>10.9</v>
      </c>
      <c r="CR61" s="1787"/>
      <c r="CS61" s="1908"/>
      <c r="CT61" s="1908"/>
    </row>
    <row r="62" spans="1:98">
      <c r="A62" s="1780">
        <v>37492</v>
      </c>
      <c r="B62" s="1711" t="s">
        <v>6655</v>
      </c>
      <c r="C62" s="1716"/>
      <c r="D62" s="1717">
        <v>36</v>
      </c>
      <c r="E62" s="1781">
        <v>37853</v>
      </c>
      <c r="F62" s="1703" t="s">
        <v>6656</v>
      </c>
      <c r="G62" s="1704">
        <v>2</v>
      </c>
      <c r="H62" s="1705"/>
      <c r="I62" s="1781"/>
      <c r="J62" s="1703"/>
      <c r="K62" s="1704"/>
      <c r="L62" s="1705"/>
      <c r="M62" s="1781"/>
      <c r="N62" s="1703"/>
      <c r="O62" s="1704"/>
      <c r="P62" s="1705"/>
      <c r="Q62" s="1781"/>
      <c r="R62" s="1703"/>
      <c r="S62" s="1704"/>
      <c r="T62" s="1705"/>
      <c r="U62" s="1781"/>
      <c r="V62" s="1703"/>
      <c r="W62" s="1704"/>
      <c r="X62" s="1705"/>
      <c r="Y62" s="1781">
        <v>39686</v>
      </c>
      <c r="Z62" s="1703" t="s">
        <v>6657</v>
      </c>
      <c r="AA62" s="1704">
        <v>20</v>
      </c>
      <c r="AB62" s="1705"/>
      <c r="AC62" s="1781"/>
      <c r="AD62" s="1703"/>
      <c r="AE62" s="1704"/>
      <c r="AF62" s="1705"/>
      <c r="AG62" s="1781"/>
      <c r="AH62" s="1703"/>
      <c r="AI62" s="1704"/>
      <c r="AJ62" s="1705"/>
      <c r="AK62" s="1781"/>
      <c r="AL62" s="1703"/>
      <c r="AM62" s="1704"/>
      <c r="AN62" s="1705"/>
      <c r="AO62" s="1781"/>
      <c r="AP62" s="1703"/>
      <c r="AQ62" s="1704"/>
      <c r="AR62" s="1705"/>
      <c r="AS62" s="1781">
        <v>41509</v>
      </c>
      <c r="AT62" s="1703" t="s">
        <v>6658</v>
      </c>
      <c r="AU62" s="1704">
        <v>20</v>
      </c>
      <c r="AV62" s="1705"/>
      <c r="AW62" s="1781">
        <v>41878</v>
      </c>
      <c r="AX62" s="1703" t="s">
        <v>797</v>
      </c>
      <c r="AY62" s="1704">
        <v>63</v>
      </c>
      <c r="AZ62" s="1705"/>
      <c r="BA62" s="1781">
        <v>42245</v>
      </c>
      <c r="BB62" s="1703" t="s">
        <v>6659</v>
      </c>
      <c r="BC62" s="1704">
        <v>22</v>
      </c>
      <c r="BD62" s="1705"/>
      <c r="BE62" s="1781"/>
      <c r="BF62" s="1703"/>
      <c r="BG62" s="1704"/>
      <c r="BH62" s="1705"/>
      <c r="BI62" s="1781">
        <v>42961</v>
      </c>
      <c r="BJ62" s="1703" t="s">
        <v>6660</v>
      </c>
      <c r="BK62" s="1704">
        <v>20</v>
      </c>
      <c r="BL62" s="1705"/>
      <c r="BM62" s="1781">
        <v>43336</v>
      </c>
      <c r="BN62" s="1703" t="s">
        <v>823</v>
      </c>
      <c r="BO62" s="1704">
        <v>34</v>
      </c>
      <c r="BP62" s="1705"/>
      <c r="BQ62" s="1781">
        <v>43694</v>
      </c>
      <c r="BR62" s="1703" t="s">
        <v>6661</v>
      </c>
      <c r="BS62" s="1704">
        <v>38</v>
      </c>
      <c r="BT62" s="1710" t="s">
        <v>280</v>
      </c>
      <c r="BU62" s="1706">
        <v>44065</v>
      </c>
      <c r="BV62" s="1707" t="s">
        <v>2253</v>
      </c>
      <c r="BW62" s="1708">
        <v>29</v>
      </c>
      <c r="BX62" s="1710" t="s">
        <v>414</v>
      </c>
      <c r="BY62" s="1782">
        <v>44429</v>
      </c>
      <c r="BZ62" s="1783" t="s">
        <v>843</v>
      </c>
      <c r="CA62" s="1784">
        <v>36</v>
      </c>
      <c r="CB62" s="1788" t="s">
        <v>414</v>
      </c>
      <c r="CC62" s="1794">
        <v>44782</v>
      </c>
      <c r="CD62" s="1783" t="s">
        <v>6662</v>
      </c>
      <c r="CE62" s="1791">
        <v>30</v>
      </c>
      <c r="CF62" s="1787" t="s">
        <v>278</v>
      </c>
      <c r="CG62" s="1794">
        <v>45146</v>
      </c>
      <c r="CH62" s="1783" t="s">
        <v>6663</v>
      </c>
      <c r="CI62" s="1791">
        <v>50</v>
      </c>
      <c r="CJ62" s="1788" t="s">
        <v>280</v>
      </c>
      <c r="CK62" s="1849">
        <v>45510</v>
      </c>
      <c r="CL62" s="1908" t="s">
        <v>6610</v>
      </c>
      <c r="CM62" s="1909">
        <v>10</v>
      </c>
      <c r="CN62" s="1787" t="s">
        <v>278</v>
      </c>
      <c r="CO62" s="2155">
        <v>45872</v>
      </c>
      <c r="CP62" s="1738" t="s">
        <v>6664</v>
      </c>
      <c r="CQ62" s="1844">
        <v>13.08</v>
      </c>
      <c r="CR62" s="1787"/>
      <c r="CS62" s="1908"/>
      <c r="CT62" s="1908"/>
    </row>
    <row r="63" spans="1:98">
      <c r="A63" s="1780">
        <v>37492</v>
      </c>
      <c r="B63" s="1711" t="s">
        <v>6624</v>
      </c>
      <c r="C63" s="1716">
        <v>2</v>
      </c>
      <c r="D63" s="1717"/>
      <c r="E63" s="1781">
        <v>37853</v>
      </c>
      <c r="F63" s="1703" t="s">
        <v>1810</v>
      </c>
      <c r="G63" s="1704">
        <v>28</v>
      </c>
      <c r="H63" s="1705"/>
      <c r="I63" s="1781"/>
      <c r="J63" s="1703"/>
      <c r="K63" s="1704"/>
      <c r="L63" s="1705"/>
      <c r="M63" s="1781"/>
      <c r="N63" s="1703"/>
      <c r="O63" s="1704"/>
      <c r="P63" s="1705"/>
      <c r="Q63" s="1781"/>
      <c r="R63" s="1703"/>
      <c r="S63" s="1704"/>
      <c r="T63" s="1705"/>
      <c r="U63" s="1781"/>
      <c r="V63" s="1703"/>
      <c r="W63" s="1704"/>
      <c r="X63" s="1705"/>
      <c r="Y63" s="1781">
        <v>39687</v>
      </c>
      <c r="Z63" s="1703" t="s">
        <v>937</v>
      </c>
      <c r="AA63" s="1704">
        <v>28</v>
      </c>
      <c r="AB63" s="1705"/>
      <c r="AC63" s="1781"/>
      <c r="AD63" s="1703"/>
      <c r="AE63" s="1704"/>
      <c r="AF63" s="1705"/>
      <c r="AG63" s="1781"/>
      <c r="AH63" s="1703"/>
      <c r="AI63" s="1704"/>
      <c r="AJ63" s="1705"/>
      <c r="AK63" s="1781"/>
      <c r="AL63" s="1703"/>
      <c r="AM63" s="1704"/>
      <c r="AN63" s="1705"/>
      <c r="AO63" s="1781"/>
      <c r="AP63" s="1703"/>
      <c r="AQ63" s="1704"/>
      <c r="AR63" s="1705"/>
      <c r="AS63" s="1781">
        <v>41509</v>
      </c>
      <c r="AT63" s="1703" t="s">
        <v>6665</v>
      </c>
      <c r="AU63" s="1704">
        <v>64</v>
      </c>
      <c r="AV63" s="1705"/>
      <c r="AW63" s="1781">
        <v>41878</v>
      </c>
      <c r="AX63" s="1703" t="s">
        <v>802</v>
      </c>
      <c r="AY63" s="1704">
        <v>47</v>
      </c>
      <c r="AZ63" s="1705"/>
      <c r="BA63" s="1781">
        <v>42245</v>
      </c>
      <c r="BB63" s="1703" t="s">
        <v>954</v>
      </c>
      <c r="BC63" s="1704">
        <v>62</v>
      </c>
      <c r="BD63" s="1705"/>
      <c r="BE63" s="1781"/>
      <c r="BF63" s="1703"/>
      <c r="BG63" s="1704"/>
      <c r="BH63" s="1705"/>
      <c r="BI63" s="1781">
        <v>42962</v>
      </c>
      <c r="BJ63" s="1703" t="s">
        <v>873</v>
      </c>
      <c r="BK63" s="1704">
        <v>20</v>
      </c>
      <c r="BL63" s="1705"/>
      <c r="BM63" s="1781">
        <v>43337</v>
      </c>
      <c r="BN63" s="1703" t="s">
        <v>6666</v>
      </c>
      <c r="BO63" s="1704"/>
      <c r="BP63" s="1705"/>
      <c r="BQ63" s="1781">
        <v>43696</v>
      </c>
      <c r="BR63" s="1703" t="s">
        <v>2439</v>
      </c>
      <c r="BS63" s="1704">
        <v>44</v>
      </c>
      <c r="BT63" s="1710" t="s">
        <v>280</v>
      </c>
      <c r="BU63" s="1706">
        <v>44065</v>
      </c>
      <c r="BV63" s="1707" t="s">
        <v>6667</v>
      </c>
      <c r="BW63" s="1708">
        <v>55</v>
      </c>
      <c r="BX63" s="1710" t="s">
        <v>280</v>
      </c>
      <c r="BY63" s="1782">
        <v>44429</v>
      </c>
      <c r="BZ63" s="1783" t="s">
        <v>828</v>
      </c>
      <c r="CA63" s="1784">
        <v>13</v>
      </c>
      <c r="CB63" s="1788" t="s">
        <v>414</v>
      </c>
      <c r="CC63" s="1794">
        <v>44782</v>
      </c>
      <c r="CD63" s="1783" t="s">
        <v>6668</v>
      </c>
      <c r="CE63" s="1791">
        <v>30</v>
      </c>
      <c r="CF63" s="1787" t="s">
        <v>278</v>
      </c>
      <c r="CG63" s="1794">
        <v>45147</v>
      </c>
      <c r="CH63" s="1783" t="s">
        <v>6669</v>
      </c>
      <c r="CI63" s="1791">
        <v>60</v>
      </c>
      <c r="CJ63" s="1788" t="s">
        <v>693</v>
      </c>
      <c r="CK63" s="1849">
        <v>45510</v>
      </c>
      <c r="CL63" s="1908" t="s">
        <v>6670</v>
      </c>
      <c r="CM63" s="1909">
        <v>200</v>
      </c>
      <c r="CN63" s="1787" t="s">
        <v>381</v>
      </c>
      <c r="CO63" s="2155">
        <v>45873</v>
      </c>
      <c r="CP63" s="1738" t="s">
        <v>6671</v>
      </c>
      <c r="CQ63" s="1844">
        <v>15.29</v>
      </c>
      <c r="CR63" s="1787"/>
      <c r="CS63" s="1908"/>
      <c r="CT63" s="1908"/>
    </row>
    <row r="64" spans="1:98">
      <c r="A64" s="1780">
        <v>37492</v>
      </c>
      <c r="B64" s="1711" t="s">
        <v>864</v>
      </c>
      <c r="C64" s="1716">
        <v>30</v>
      </c>
      <c r="D64" s="1717">
        <v>59</v>
      </c>
      <c r="E64" s="1781">
        <v>37854</v>
      </c>
      <c r="F64" s="1703" t="s">
        <v>1128</v>
      </c>
      <c r="G64" s="1704">
        <v>80</v>
      </c>
      <c r="H64" s="1705"/>
      <c r="I64" s="1781"/>
      <c r="J64" s="1703"/>
      <c r="K64" s="1704"/>
      <c r="L64" s="1705"/>
      <c r="M64" s="1781"/>
      <c r="N64" s="1703"/>
      <c r="O64" s="1704"/>
      <c r="P64" s="1705"/>
      <c r="Q64" s="1781"/>
      <c r="R64" s="1703"/>
      <c r="S64" s="1704"/>
      <c r="T64" s="1705"/>
      <c r="U64" s="1781"/>
      <c r="V64" s="1703"/>
      <c r="W64" s="1704"/>
      <c r="X64" s="1705"/>
      <c r="Y64" s="1781">
        <v>39687</v>
      </c>
      <c r="Z64" s="1703" t="s">
        <v>6672</v>
      </c>
      <c r="AA64" s="1704">
        <v>0</v>
      </c>
      <c r="AB64" s="1705"/>
      <c r="AC64" s="1781"/>
      <c r="AD64" s="1703"/>
      <c r="AE64" s="1704"/>
      <c r="AF64" s="1705"/>
      <c r="AG64" s="1781"/>
      <c r="AH64" s="1703"/>
      <c r="AI64" s="1704"/>
      <c r="AJ64" s="1705"/>
      <c r="AK64" s="1781"/>
      <c r="AL64" s="1703"/>
      <c r="AM64" s="1704"/>
      <c r="AN64" s="1705"/>
      <c r="AO64" s="1781"/>
      <c r="AP64" s="1703"/>
      <c r="AQ64" s="1704"/>
      <c r="AR64" s="1705"/>
      <c r="AS64" s="1781">
        <v>41509</v>
      </c>
      <c r="AT64" s="1703" t="s">
        <v>802</v>
      </c>
      <c r="AU64" s="1704">
        <v>33</v>
      </c>
      <c r="AV64" s="1705"/>
      <c r="AW64" s="1781">
        <v>41879</v>
      </c>
      <c r="AX64" s="1703" t="s">
        <v>6673</v>
      </c>
      <c r="AY64" s="1704"/>
      <c r="AZ64" s="1705"/>
      <c r="BA64" s="1781">
        <v>42245</v>
      </c>
      <c r="BB64" s="1703" t="s">
        <v>6674</v>
      </c>
      <c r="BC64" s="1704">
        <v>44</v>
      </c>
      <c r="BD64" s="1705"/>
      <c r="BE64" s="1781"/>
      <c r="BF64" s="1703"/>
      <c r="BG64" s="1704"/>
      <c r="BH64" s="1705"/>
      <c r="BI64" s="1781">
        <v>42962</v>
      </c>
      <c r="BJ64" s="1703" t="s">
        <v>6675</v>
      </c>
      <c r="BK64" s="1704"/>
      <c r="BL64" s="1705"/>
      <c r="BM64" s="1781">
        <v>43337</v>
      </c>
      <c r="BN64" s="1703" t="s">
        <v>6676</v>
      </c>
      <c r="BO64" s="1704">
        <v>15</v>
      </c>
      <c r="BP64" s="1705"/>
      <c r="BQ64" s="1781">
        <v>43696</v>
      </c>
      <c r="BR64" s="1703" t="s">
        <v>748</v>
      </c>
      <c r="BS64" s="1704">
        <v>3</v>
      </c>
      <c r="BT64" s="1710" t="s">
        <v>280</v>
      </c>
      <c r="BU64" s="1706">
        <v>44065</v>
      </c>
      <c r="BV64" s="1707" t="s">
        <v>6677</v>
      </c>
      <c r="BW64" s="1708">
        <v>33</v>
      </c>
      <c r="BX64" s="1710" t="s">
        <v>280</v>
      </c>
      <c r="BY64" s="1782">
        <v>44429</v>
      </c>
      <c r="BZ64" s="1783" t="s">
        <v>772</v>
      </c>
      <c r="CA64" s="1784">
        <v>15</v>
      </c>
      <c r="CB64" s="1788" t="s">
        <v>414</v>
      </c>
      <c r="CC64" s="1794">
        <v>44782</v>
      </c>
      <c r="CD64" s="1783" t="s">
        <v>6678</v>
      </c>
      <c r="CE64" s="1791">
        <v>11</v>
      </c>
      <c r="CF64" s="1787" t="s">
        <v>278</v>
      </c>
      <c r="CG64" s="1794">
        <v>45147</v>
      </c>
      <c r="CH64" s="1783" t="s">
        <v>6679</v>
      </c>
      <c r="CI64" s="1791">
        <v>12</v>
      </c>
      <c r="CJ64" s="1788" t="s">
        <v>426</v>
      </c>
      <c r="CK64" s="1849">
        <v>45510</v>
      </c>
      <c r="CL64" s="1908" t="s">
        <v>6680</v>
      </c>
      <c r="CM64" s="1909">
        <v>25</v>
      </c>
      <c r="CN64" s="1787" t="s">
        <v>278</v>
      </c>
      <c r="CO64" s="2155">
        <v>45874</v>
      </c>
      <c r="CP64" s="1738" t="s">
        <v>6681</v>
      </c>
      <c r="CQ64" s="1844">
        <v>18.989999999999998</v>
      </c>
      <c r="CR64" s="1787"/>
      <c r="CS64" s="1908"/>
      <c r="CT64" s="1908"/>
    </row>
    <row r="65" spans="1:98">
      <c r="A65" s="1780">
        <v>37492</v>
      </c>
      <c r="B65" s="1711" t="s">
        <v>6682</v>
      </c>
      <c r="C65" s="1716">
        <v>500</v>
      </c>
      <c r="D65" s="1717">
        <v>350</v>
      </c>
      <c r="E65" s="1781">
        <v>37854</v>
      </c>
      <c r="F65" s="1703" t="s">
        <v>6683</v>
      </c>
      <c r="G65" s="1704"/>
      <c r="H65" s="1705">
        <v>37</v>
      </c>
      <c r="I65" s="1781"/>
      <c r="J65" s="1703"/>
      <c r="K65" s="1704"/>
      <c r="L65" s="1705"/>
      <c r="M65" s="1781"/>
      <c r="N65" s="1703"/>
      <c r="O65" s="1704"/>
      <c r="P65" s="1705"/>
      <c r="Q65" s="1781"/>
      <c r="R65" s="1703"/>
      <c r="S65" s="1704"/>
      <c r="T65" s="1705"/>
      <c r="U65" s="1781"/>
      <c r="V65" s="1703"/>
      <c r="W65" s="1704"/>
      <c r="X65" s="1705"/>
      <c r="Y65" s="1781">
        <v>39687</v>
      </c>
      <c r="Z65" s="1703" t="s">
        <v>6684</v>
      </c>
      <c r="AA65" s="1704">
        <v>0</v>
      </c>
      <c r="AB65" s="1705"/>
      <c r="AC65" s="1781"/>
      <c r="AD65" s="1703"/>
      <c r="AE65" s="1704"/>
      <c r="AF65" s="1705"/>
      <c r="AG65" s="1781"/>
      <c r="AH65" s="1703"/>
      <c r="AI65" s="1704"/>
      <c r="AJ65" s="1705"/>
      <c r="AK65" s="1781"/>
      <c r="AL65" s="1703"/>
      <c r="AM65" s="1704"/>
      <c r="AN65" s="1705"/>
      <c r="AO65" s="1781"/>
      <c r="AP65" s="1703"/>
      <c r="AQ65" s="1704"/>
      <c r="AR65" s="1705"/>
      <c r="AS65" s="1781">
        <v>41509</v>
      </c>
      <c r="AT65" s="1703" t="s">
        <v>797</v>
      </c>
      <c r="AU65" s="1704">
        <v>33</v>
      </c>
      <c r="AV65" s="1705"/>
      <c r="AW65" s="1781">
        <v>41879</v>
      </c>
      <c r="AX65" s="1703" t="s">
        <v>6685</v>
      </c>
      <c r="AY65" s="1704">
        <v>21</v>
      </c>
      <c r="AZ65" s="1705"/>
      <c r="BA65" s="1781">
        <v>42245</v>
      </c>
      <c r="BB65" s="1703" t="s">
        <v>6686</v>
      </c>
      <c r="BC65" s="1704">
        <v>50</v>
      </c>
      <c r="BD65" s="1705"/>
      <c r="BE65" s="1781"/>
      <c r="BF65" s="1703"/>
      <c r="BG65" s="1704"/>
      <c r="BH65" s="1705"/>
      <c r="BI65" s="1781">
        <v>42963</v>
      </c>
      <c r="BJ65" s="1703" t="s">
        <v>859</v>
      </c>
      <c r="BK65" s="1704">
        <v>8</v>
      </c>
      <c r="BL65" s="1705"/>
      <c r="BM65" s="1781">
        <v>43337</v>
      </c>
      <c r="BN65" s="1703" t="s">
        <v>6687</v>
      </c>
      <c r="BO65" s="1704">
        <v>0</v>
      </c>
      <c r="BP65" s="1705"/>
      <c r="BQ65" s="1781">
        <v>43696</v>
      </c>
      <c r="BR65" s="1703" t="s">
        <v>1732</v>
      </c>
      <c r="BS65" s="1704">
        <v>35</v>
      </c>
      <c r="BT65" s="1710" t="s">
        <v>700</v>
      </c>
      <c r="BU65" s="1706">
        <v>44065</v>
      </c>
      <c r="BV65" s="1707" t="s">
        <v>2524</v>
      </c>
      <c r="BW65" s="1708">
        <v>5</v>
      </c>
      <c r="BX65" s="1710" t="s">
        <v>414</v>
      </c>
      <c r="BY65" s="1782">
        <v>44429</v>
      </c>
      <c r="BZ65" s="1703" t="s">
        <v>890</v>
      </c>
      <c r="CA65" s="1784">
        <v>91</v>
      </c>
      <c r="CB65" s="1788" t="s">
        <v>414</v>
      </c>
      <c r="CC65" s="1794">
        <v>44783</v>
      </c>
      <c r="CD65" s="1783" t="s">
        <v>6688</v>
      </c>
      <c r="CE65" s="1791">
        <v>12</v>
      </c>
      <c r="CF65" s="1787" t="s">
        <v>278</v>
      </c>
      <c r="CG65" s="1794">
        <v>45147</v>
      </c>
      <c r="CH65" s="1783" t="s">
        <v>1180</v>
      </c>
      <c r="CI65" s="1791">
        <v>115</v>
      </c>
      <c r="CJ65" s="1788" t="s">
        <v>410</v>
      </c>
      <c r="CK65" s="1849">
        <v>45510</v>
      </c>
      <c r="CL65" s="1908" t="s">
        <v>6689</v>
      </c>
      <c r="CM65" s="1909">
        <v>25</v>
      </c>
      <c r="CN65" s="1787" t="s">
        <v>278</v>
      </c>
      <c r="CO65" s="2155">
        <v>45874</v>
      </c>
      <c r="CP65" s="1738" t="s">
        <v>6690</v>
      </c>
      <c r="CQ65" s="1844">
        <v>29.75</v>
      </c>
      <c r="CR65" s="1787"/>
      <c r="CS65" s="1908"/>
      <c r="CT65" s="1908"/>
    </row>
    <row r="66" spans="1:98">
      <c r="A66" s="1780">
        <v>37492</v>
      </c>
      <c r="B66" s="1711" t="s">
        <v>6294</v>
      </c>
      <c r="C66" s="1716">
        <v>25</v>
      </c>
      <c r="D66" s="1717"/>
      <c r="E66" s="1781">
        <v>37854</v>
      </c>
      <c r="F66" s="1703" t="s">
        <v>6691</v>
      </c>
      <c r="G66" s="1704">
        <v>7</v>
      </c>
      <c r="H66" s="1705">
        <v>10</v>
      </c>
      <c r="I66" s="1781"/>
      <c r="J66" s="1703"/>
      <c r="K66" s="1704"/>
      <c r="L66" s="1705"/>
      <c r="M66" s="1781"/>
      <c r="N66" s="1703"/>
      <c r="O66" s="1704"/>
      <c r="P66" s="1705"/>
      <c r="Q66" s="1781"/>
      <c r="R66" s="1703"/>
      <c r="S66" s="1704"/>
      <c r="T66" s="1705"/>
      <c r="U66" s="1781"/>
      <c r="V66" s="1703"/>
      <c r="W66" s="1704"/>
      <c r="X66" s="1705"/>
      <c r="Y66" s="1781">
        <v>39687</v>
      </c>
      <c r="Z66" s="1703" t="s">
        <v>772</v>
      </c>
      <c r="AA66" s="1704">
        <v>10</v>
      </c>
      <c r="AB66" s="1705"/>
      <c r="AC66" s="1781"/>
      <c r="AD66" s="1703"/>
      <c r="AE66" s="1704"/>
      <c r="AF66" s="1705"/>
      <c r="AG66" s="1781"/>
      <c r="AH66" s="1703"/>
      <c r="AI66" s="1704"/>
      <c r="AJ66" s="1705"/>
      <c r="AK66" s="1781"/>
      <c r="AL66" s="1703"/>
      <c r="AM66" s="1704"/>
      <c r="AN66" s="1705"/>
      <c r="AO66" s="1781"/>
      <c r="AP66" s="1703"/>
      <c r="AQ66" s="1704"/>
      <c r="AR66" s="1705"/>
      <c r="AS66" s="1781">
        <v>41510</v>
      </c>
      <c r="AT66" s="1703" t="s">
        <v>754</v>
      </c>
      <c r="AU66" s="1704">
        <v>165</v>
      </c>
      <c r="AV66" s="1705"/>
      <c r="AW66" s="1781">
        <v>41879</v>
      </c>
      <c r="AX66" s="1703" t="s">
        <v>6692</v>
      </c>
      <c r="AY66" s="1704">
        <v>7</v>
      </c>
      <c r="AZ66" s="1705"/>
      <c r="BA66" s="1781">
        <v>42246</v>
      </c>
      <c r="BB66" s="1703" t="s">
        <v>6693</v>
      </c>
      <c r="BC66" s="1704">
        <v>50</v>
      </c>
      <c r="BD66" s="1705"/>
      <c r="BE66" s="1781"/>
      <c r="BF66" s="1703"/>
      <c r="BG66" s="1704"/>
      <c r="BH66" s="1705"/>
      <c r="BI66" s="1781">
        <v>42964</v>
      </c>
      <c r="BJ66" s="1703" t="s">
        <v>823</v>
      </c>
      <c r="BK66" s="1704">
        <v>10</v>
      </c>
      <c r="BL66" s="1705"/>
      <c r="BM66" s="1781">
        <v>43337</v>
      </c>
      <c r="BN66" s="1703" t="s">
        <v>6694</v>
      </c>
      <c r="BO66" s="1704">
        <v>15</v>
      </c>
      <c r="BP66" s="1705"/>
      <c r="BQ66" s="1781">
        <v>43696</v>
      </c>
      <c r="BR66" s="1703" t="s">
        <v>998</v>
      </c>
      <c r="BS66" s="1704">
        <v>8</v>
      </c>
      <c r="BT66" s="1710" t="s">
        <v>414</v>
      </c>
      <c r="BU66" s="1706">
        <v>44065</v>
      </c>
      <c r="BV66" s="1707" t="s">
        <v>859</v>
      </c>
      <c r="BW66" s="1708">
        <v>39</v>
      </c>
      <c r="BX66" s="1710" t="s">
        <v>414</v>
      </c>
      <c r="BY66" s="1782">
        <v>44429</v>
      </c>
      <c r="BZ66" s="1703" t="s">
        <v>890</v>
      </c>
      <c r="CA66" s="1784">
        <v>39</v>
      </c>
      <c r="CB66" s="1788" t="s">
        <v>414</v>
      </c>
      <c r="CC66" s="1794">
        <v>44783</v>
      </c>
      <c r="CD66" s="1783" t="s">
        <v>6695</v>
      </c>
      <c r="CE66" s="1791">
        <v>40</v>
      </c>
      <c r="CF66" s="1787" t="s">
        <v>280</v>
      </c>
      <c r="CG66" s="1794">
        <v>45148</v>
      </c>
      <c r="CH66" s="1703" t="s">
        <v>6696</v>
      </c>
      <c r="CI66" s="1791">
        <v>120</v>
      </c>
      <c r="CJ66" s="1788" t="s">
        <v>280</v>
      </c>
      <c r="CK66" s="1849">
        <v>45510</v>
      </c>
      <c r="CL66" s="1908" t="s">
        <v>6697</v>
      </c>
      <c r="CM66" s="1909">
        <v>25</v>
      </c>
      <c r="CN66" s="1787" t="s">
        <v>278</v>
      </c>
      <c r="CO66" s="2155">
        <v>45874</v>
      </c>
      <c r="CP66" s="1738" t="s">
        <v>6698</v>
      </c>
      <c r="CQ66" s="1844">
        <v>1.1399999999999999</v>
      </c>
      <c r="CR66" s="1787"/>
      <c r="CS66" s="1908"/>
      <c r="CT66" s="1908"/>
    </row>
    <row r="67" spans="1:98">
      <c r="A67" s="1780">
        <v>37493</v>
      </c>
      <c r="B67" s="1711" t="s">
        <v>6699</v>
      </c>
      <c r="C67" s="1716"/>
      <c r="D67" s="1717">
        <v>22</v>
      </c>
      <c r="E67" s="1781">
        <v>37854</v>
      </c>
      <c r="F67" s="1703" t="s">
        <v>6700</v>
      </c>
      <c r="G67" s="1704"/>
      <c r="H67" s="1705">
        <v>2</v>
      </c>
      <c r="I67" s="1781"/>
      <c r="J67" s="1703"/>
      <c r="K67" s="1704"/>
      <c r="L67" s="1705"/>
      <c r="M67" s="1781"/>
      <c r="N67" s="1703"/>
      <c r="O67" s="1704"/>
      <c r="P67" s="1705"/>
      <c r="Q67" s="1781"/>
      <c r="R67" s="1703"/>
      <c r="S67" s="1704"/>
      <c r="T67" s="1705"/>
      <c r="U67" s="1781"/>
      <c r="V67" s="1703"/>
      <c r="W67" s="1704"/>
      <c r="X67" s="1705"/>
      <c r="Y67" s="1781">
        <v>39689</v>
      </c>
      <c r="Z67" s="1703" t="s">
        <v>6701</v>
      </c>
      <c r="AA67" s="1704">
        <v>22</v>
      </c>
      <c r="AB67" s="1705"/>
      <c r="AC67" s="1781"/>
      <c r="AD67" s="1703"/>
      <c r="AE67" s="1704"/>
      <c r="AF67" s="1705"/>
      <c r="AG67" s="1781"/>
      <c r="AH67" s="1703"/>
      <c r="AI67" s="1704"/>
      <c r="AJ67" s="1705"/>
      <c r="AK67" s="1781"/>
      <c r="AL67" s="1703"/>
      <c r="AM67" s="1704"/>
      <c r="AN67" s="1705"/>
      <c r="AO67" s="1781"/>
      <c r="AP67" s="1703"/>
      <c r="AQ67" s="1704"/>
      <c r="AR67" s="1705"/>
      <c r="AS67" s="1781">
        <v>41511</v>
      </c>
      <c r="AT67" s="1703" t="s">
        <v>4353</v>
      </c>
      <c r="AU67" s="1704">
        <v>29</v>
      </c>
      <c r="AV67" s="1705"/>
      <c r="AW67" s="1781">
        <v>41879</v>
      </c>
      <c r="AX67" s="1703" t="s">
        <v>6702</v>
      </c>
      <c r="AY67" s="1704">
        <v>12</v>
      </c>
      <c r="AZ67" s="1705"/>
      <c r="BA67" s="1781">
        <v>42246</v>
      </c>
      <c r="BB67" s="1703" t="s">
        <v>781</v>
      </c>
      <c r="BC67" s="1704">
        <v>40</v>
      </c>
      <c r="BD67" s="1705"/>
      <c r="BE67" s="1781"/>
      <c r="BF67" s="1703"/>
      <c r="BG67" s="1704"/>
      <c r="BH67" s="1705"/>
      <c r="BI67" s="1781">
        <v>42966</v>
      </c>
      <c r="BJ67" s="1703" t="s">
        <v>1237</v>
      </c>
      <c r="BK67" s="1704">
        <v>12</v>
      </c>
      <c r="BL67" s="1705"/>
      <c r="BM67" s="1781">
        <v>43337</v>
      </c>
      <c r="BN67" s="1703" t="s">
        <v>797</v>
      </c>
      <c r="BO67" s="1704">
        <v>57</v>
      </c>
      <c r="BP67" s="1705"/>
      <c r="BQ67" s="1781">
        <v>43701</v>
      </c>
      <c r="BR67" s="1703" t="s">
        <v>6703</v>
      </c>
      <c r="BS67" s="1704">
        <v>23</v>
      </c>
      <c r="BT67" s="1710" t="s">
        <v>278</v>
      </c>
      <c r="BU67" s="1706">
        <v>44065</v>
      </c>
      <c r="BV67" s="1707" t="s">
        <v>2888</v>
      </c>
      <c r="BW67" s="1708">
        <v>45</v>
      </c>
      <c r="BX67" s="1710" t="s">
        <v>414</v>
      </c>
      <c r="BY67" s="1782">
        <v>44429</v>
      </c>
      <c r="BZ67" s="1703" t="s">
        <v>6704</v>
      </c>
      <c r="CA67" s="1784">
        <v>86</v>
      </c>
      <c r="CB67" s="1788" t="s">
        <v>700</v>
      </c>
      <c r="CC67" s="1794">
        <v>44783</v>
      </c>
      <c r="CD67" s="1703" t="s">
        <v>6705</v>
      </c>
      <c r="CE67" s="1791">
        <v>41</v>
      </c>
      <c r="CF67" s="1787" t="s">
        <v>278</v>
      </c>
      <c r="CG67" s="1794">
        <v>45148</v>
      </c>
      <c r="CH67" s="1703" t="s">
        <v>6706</v>
      </c>
      <c r="CI67" s="1791">
        <v>20</v>
      </c>
      <c r="CJ67" s="1788" t="s">
        <v>280</v>
      </c>
      <c r="CK67" s="1849">
        <v>45510</v>
      </c>
      <c r="CL67" s="1908" t="s">
        <v>6707</v>
      </c>
      <c r="CM67" s="1909">
        <v>10</v>
      </c>
      <c r="CN67" s="1787" t="s">
        <v>278</v>
      </c>
      <c r="CO67" s="2155">
        <v>45874</v>
      </c>
      <c r="CP67" s="1738" t="s">
        <v>6708</v>
      </c>
      <c r="CQ67" s="1844">
        <v>26.38</v>
      </c>
      <c r="CR67" s="1787"/>
      <c r="CS67" s="1908"/>
      <c r="CT67" s="1908"/>
    </row>
    <row r="68" spans="1:98">
      <c r="A68" s="1780">
        <v>37493</v>
      </c>
      <c r="B68" s="1711" t="s">
        <v>2085</v>
      </c>
      <c r="C68" s="1716"/>
      <c r="D68" s="1717">
        <v>38</v>
      </c>
      <c r="E68" s="1781">
        <v>37854</v>
      </c>
      <c r="F68" s="1703" t="s">
        <v>6709</v>
      </c>
      <c r="G68" s="1704">
        <v>45</v>
      </c>
      <c r="H68" s="1705"/>
      <c r="I68" s="1781"/>
      <c r="J68" s="1703"/>
      <c r="K68" s="1704"/>
      <c r="L68" s="1705"/>
      <c r="M68" s="1781"/>
      <c r="N68" s="1703"/>
      <c r="O68" s="1704"/>
      <c r="P68" s="1705"/>
      <c r="Q68" s="1781"/>
      <c r="R68" s="1703"/>
      <c r="S68" s="1704"/>
      <c r="T68" s="1705"/>
      <c r="U68" s="1781"/>
      <c r="V68" s="1703"/>
      <c r="W68" s="1704"/>
      <c r="X68" s="1705"/>
      <c r="Y68" s="1781">
        <v>39689</v>
      </c>
      <c r="Z68" s="1703" t="s">
        <v>781</v>
      </c>
      <c r="AA68" s="1704">
        <v>72</v>
      </c>
      <c r="AB68" s="1705"/>
      <c r="AC68" s="1781"/>
      <c r="AD68" s="1703"/>
      <c r="AE68" s="1704"/>
      <c r="AF68" s="1705"/>
      <c r="AG68" s="1781"/>
      <c r="AH68" s="1703"/>
      <c r="AI68" s="1704"/>
      <c r="AJ68" s="1705"/>
      <c r="AK68" s="1781"/>
      <c r="AL68" s="1703"/>
      <c r="AM68" s="1704"/>
      <c r="AN68" s="1705"/>
      <c r="AO68" s="1781"/>
      <c r="AP68" s="1703"/>
      <c r="AQ68" s="1704"/>
      <c r="AR68" s="1705"/>
      <c r="AS68" s="1781">
        <v>41512</v>
      </c>
      <c r="AT68" s="1703" t="s">
        <v>6710</v>
      </c>
      <c r="AU68" s="1704">
        <v>64</v>
      </c>
      <c r="AV68" s="1705"/>
      <c r="AW68" s="1781">
        <v>41880</v>
      </c>
      <c r="AX68" s="1703" t="s">
        <v>6711</v>
      </c>
      <c r="AY68" s="1704">
        <v>87</v>
      </c>
      <c r="AZ68" s="1705"/>
      <c r="BA68" s="1781">
        <v>42246</v>
      </c>
      <c r="BB68" s="1703" t="s">
        <v>1573</v>
      </c>
      <c r="BC68" s="1704">
        <v>14</v>
      </c>
      <c r="BD68" s="1705"/>
      <c r="BE68" s="1781"/>
      <c r="BF68" s="1703"/>
      <c r="BG68" s="1704"/>
      <c r="BH68" s="1705"/>
      <c r="BI68" s="1781">
        <v>42966</v>
      </c>
      <c r="BJ68" s="1703" t="s">
        <v>6712</v>
      </c>
      <c r="BK68" s="1704">
        <v>15</v>
      </c>
      <c r="BL68" s="1705"/>
      <c r="BM68" s="1781">
        <v>43337</v>
      </c>
      <c r="BN68" s="1703" t="s">
        <v>6713</v>
      </c>
      <c r="BO68" s="1704">
        <v>6</v>
      </c>
      <c r="BP68" s="1705"/>
      <c r="BQ68" s="1781">
        <v>43701</v>
      </c>
      <c r="BR68" s="1703" t="s">
        <v>845</v>
      </c>
      <c r="BS68" s="1704">
        <v>32</v>
      </c>
      <c r="BT68" s="1710" t="s">
        <v>414</v>
      </c>
      <c r="BU68" s="1706">
        <v>44072</v>
      </c>
      <c r="BV68" s="1707" t="s">
        <v>845</v>
      </c>
      <c r="BW68" s="1708">
        <v>40</v>
      </c>
      <c r="BX68" s="1710" t="s">
        <v>414</v>
      </c>
      <c r="BY68" s="1782">
        <v>44429</v>
      </c>
      <c r="BZ68" s="1703" t="s">
        <v>6714</v>
      </c>
      <c r="CA68" s="1784">
        <v>63</v>
      </c>
      <c r="CB68" s="1788" t="s">
        <v>700</v>
      </c>
      <c r="CC68" s="1794">
        <v>44783</v>
      </c>
      <c r="CD68" s="1703" t="s">
        <v>6715</v>
      </c>
      <c r="CE68" s="1791">
        <v>25</v>
      </c>
      <c r="CF68" s="1787" t="s">
        <v>278</v>
      </c>
      <c r="CG68" s="1794">
        <v>45149</v>
      </c>
      <c r="CH68" s="1703" t="s">
        <v>6716</v>
      </c>
      <c r="CI68" s="1791">
        <v>12</v>
      </c>
      <c r="CJ68" s="1788" t="s">
        <v>278</v>
      </c>
      <c r="CK68" s="1849">
        <v>45510</v>
      </c>
      <c r="CL68" s="1908" t="s">
        <v>6610</v>
      </c>
      <c r="CM68" s="1909">
        <v>10</v>
      </c>
      <c r="CN68" s="1787" t="s">
        <v>278</v>
      </c>
      <c r="CO68" s="2155">
        <v>45875</v>
      </c>
      <c r="CP68" s="1738" t="s">
        <v>6717</v>
      </c>
      <c r="CQ68" s="1844">
        <v>12.99</v>
      </c>
      <c r="CR68" s="1787"/>
      <c r="CS68" s="1908"/>
      <c r="CT68" s="1908"/>
    </row>
    <row r="69" spans="1:98">
      <c r="A69" s="1780">
        <v>37493</v>
      </c>
      <c r="B69" s="1711" t="s">
        <v>6718</v>
      </c>
      <c r="C69" s="1716">
        <v>3</v>
      </c>
      <c r="D69" s="1717"/>
      <c r="E69" s="1781">
        <v>37854</v>
      </c>
      <c r="F69" s="1703" t="s">
        <v>797</v>
      </c>
      <c r="G69" s="1704">
        <v>30</v>
      </c>
      <c r="H69" s="1705"/>
      <c r="I69" s="1781"/>
      <c r="J69" s="1703"/>
      <c r="K69" s="1704"/>
      <c r="L69" s="1705"/>
      <c r="M69" s="1781"/>
      <c r="N69" s="1703"/>
      <c r="O69" s="1704"/>
      <c r="P69" s="1705"/>
      <c r="Q69" s="1781"/>
      <c r="R69" s="1703"/>
      <c r="S69" s="1704"/>
      <c r="T69" s="1705"/>
      <c r="U69" s="1781"/>
      <c r="V69" s="1703"/>
      <c r="W69" s="1704"/>
      <c r="X69" s="1705"/>
      <c r="Y69" s="1781">
        <v>39689</v>
      </c>
      <c r="Z69" s="1703" t="s">
        <v>797</v>
      </c>
      <c r="AA69" s="1704">
        <v>67</v>
      </c>
      <c r="AB69" s="1705"/>
      <c r="AC69" s="1781"/>
      <c r="AD69" s="1703"/>
      <c r="AE69" s="1704"/>
      <c r="AF69" s="1705"/>
      <c r="AG69" s="1781"/>
      <c r="AH69" s="1703"/>
      <c r="AI69" s="1704"/>
      <c r="AJ69" s="1705"/>
      <c r="AK69" s="1781"/>
      <c r="AL69" s="1703"/>
      <c r="AM69" s="1704"/>
      <c r="AN69" s="1705"/>
      <c r="AO69" s="1781"/>
      <c r="AP69" s="1703"/>
      <c r="AQ69" s="1704"/>
      <c r="AR69" s="1705"/>
      <c r="AS69" s="1781">
        <v>41512</v>
      </c>
      <c r="AT69" s="1703" t="s">
        <v>6719</v>
      </c>
      <c r="AU69" s="1704">
        <v>14</v>
      </c>
      <c r="AV69" s="1705"/>
      <c r="AW69" s="1781">
        <v>41880</v>
      </c>
      <c r="AX69" s="1703" t="s">
        <v>6720</v>
      </c>
      <c r="AY69" s="1704">
        <v>21</v>
      </c>
      <c r="AZ69" s="1705"/>
      <c r="BA69" s="1781">
        <v>42246</v>
      </c>
      <c r="BB69" s="1703" t="s">
        <v>1237</v>
      </c>
      <c r="BC69" s="1704">
        <v>42</v>
      </c>
      <c r="BD69" s="1705"/>
      <c r="BE69" s="1781"/>
      <c r="BF69" s="1703"/>
      <c r="BG69" s="1704"/>
      <c r="BH69" s="1705"/>
      <c r="BI69" s="1781">
        <v>42966</v>
      </c>
      <c r="BJ69" s="1703" t="s">
        <v>6721</v>
      </c>
      <c r="BK69" s="1704">
        <v>118</v>
      </c>
      <c r="BL69" s="1705"/>
      <c r="BM69" s="1781">
        <v>43338</v>
      </c>
      <c r="BN69" s="1703" t="s">
        <v>772</v>
      </c>
      <c r="BO69" s="1704">
        <v>76</v>
      </c>
      <c r="BP69" s="1705"/>
      <c r="BQ69" s="1781">
        <v>43701</v>
      </c>
      <c r="BR69" s="1703" t="s">
        <v>872</v>
      </c>
      <c r="BS69" s="1704">
        <v>13</v>
      </c>
      <c r="BT69" s="1710" t="s">
        <v>414</v>
      </c>
      <c r="BU69" s="1706">
        <v>44072</v>
      </c>
      <c r="BV69" s="1707" t="s">
        <v>948</v>
      </c>
      <c r="BW69" s="1708">
        <v>27</v>
      </c>
      <c r="BX69" s="1710" t="s">
        <v>414</v>
      </c>
      <c r="BY69" s="1795">
        <v>44430</v>
      </c>
      <c r="BZ69" s="1703" t="s">
        <v>1732</v>
      </c>
      <c r="CA69" s="1784">
        <v>50</v>
      </c>
      <c r="CB69" s="1788" t="s">
        <v>700</v>
      </c>
      <c r="CC69" s="1794">
        <v>44783</v>
      </c>
      <c r="CD69" s="1703" t="s">
        <v>6722</v>
      </c>
      <c r="CE69" s="1791">
        <v>16</v>
      </c>
      <c r="CF69" s="1787" t="s">
        <v>707</v>
      </c>
      <c r="CG69" s="1794">
        <v>45150</v>
      </c>
      <c r="CH69" s="1703" t="s">
        <v>6723</v>
      </c>
      <c r="CI69" s="1791">
        <v>4</v>
      </c>
      <c r="CJ69" s="1788" t="s">
        <v>414</v>
      </c>
      <c r="CK69" s="1849">
        <v>45510</v>
      </c>
      <c r="CL69" s="1738" t="s">
        <v>6724</v>
      </c>
      <c r="CM69" s="1844">
        <v>60</v>
      </c>
      <c r="CN69" s="1787" t="s">
        <v>707</v>
      </c>
      <c r="CO69" s="2155">
        <v>45875</v>
      </c>
      <c r="CP69" s="1683" t="s">
        <v>6725</v>
      </c>
      <c r="CQ69" s="1844">
        <v>38.35</v>
      </c>
      <c r="CR69" s="1792"/>
      <c r="CS69" s="1908"/>
      <c r="CT69" s="1908"/>
    </row>
    <row r="70" spans="1:98">
      <c r="A70" s="1780">
        <v>37493</v>
      </c>
      <c r="B70" s="1711" t="s">
        <v>6726</v>
      </c>
      <c r="C70" s="1716">
        <v>27</v>
      </c>
      <c r="D70" s="1717"/>
      <c r="E70" s="1781">
        <v>37855</v>
      </c>
      <c r="F70" s="1703" t="s">
        <v>6727</v>
      </c>
      <c r="G70" s="1704">
        <v>16</v>
      </c>
      <c r="H70" s="1705"/>
      <c r="I70" s="1781"/>
      <c r="J70" s="1703"/>
      <c r="K70" s="1704"/>
      <c r="L70" s="1705"/>
      <c r="M70" s="1781"/>
      <c r="N70" s="1703"/>
      <c r="O70" s="1704"/>
      <c r="P70" s="1705"/>
      <c r="Q70" s="1781"/>
      <c r="R70" s="1703"/>
      <c r="S70" s="1704"/>
      <c r="T70" s="1705"/>
      <c r="U70" s="1781"/>
      <c r="V70" s="1703"/>
      <c r="W70" s="1704"/>
      <c r="X70" s="1705"/>
      <c r="Y70" s="1781">
        <v>39690</v>
      </c>
      <c r="Z70" s="1703" t="s">
        <v>786</v>
      </c>
      <c r="AA70" s="1704">
        <v>37</v>
      </c>
      <c r="AB70" s="1705"/>
      <c r="AC70" s="1781"/>
      <c r="AD70" s="1703"/>
      <c r="AE70" s="1704"/>
      <c r="AF70" s="1705"/>
      <c r="AG70" s="1781"/>
      <c r="AH70" s="1703"/>
      <c r="AI70" s="1704"/>
      <c r="AJ70" s="1705"/>
      <c r="AK70" s="1781"/>
      <c r="AL70" s="1703"/>
      <c r="AM70" s="1704"/>
      <c r="AN70" s="1705"/>
      <c r="AO70" s="1781"/>
      <c r="AP70" s="1703"/>
      <c r="AQ70" s="1704"/>
      <c r="AR70" s="1705"/>
      <c r="AS70" s="1781">
        <v>41512</v>
      </c>
      <c r="AT70" s="1703" t="s">
        <v>6728</v>
      </c>
      <c r="AU70" s="1704">
        <v>61</v>
      </c>
      <c r="AV70" s="1705"/>
      <c r="AW70" s="1781">
        <v>41880</v>
      </c>
      <c r="AX70" s="1703" t="s">
        <v>6729</v>
      </c>
      <c r="AY70" s="1704">
        <v>5</v>
      </c>
      <c r="AZ70" s="1705"/>
      <c r="BA70" s="1781">
        <v>42246</v>
      </c>
      <c r="BB70" s="1703" t="s">
        <v>6730</v>
      </c>
      <c r="BC70" s="1704">
        <v>48</v>
      </c>
      <c r="BD70" s="1705"/>
      <c r="BE70" s="1781"/>
      <c r="BF70" s="1703"/>
      <c r="BG70" s="1704"/>
      <c r="BH70" s="1705"/>
      <c r="BI70" s="1781">
        <v>42966</v>
      </c>
      <c r="BJ70" s="1703" t="s">
        <v>872</v>
      </c>
      <c r="BK70" s="1704">
        <v>20</v>
      </c>
      <c r="BL70" s="1705"/>
      <c r="BM70" s="1781">
        <v>43338</v>
      </c>
      <c r="BN70" s="1703" t="s">
        <v>872</v>
      </c>
      <c r="BO70" s="1704">
        <v>25</v>
      </c>
      <c r="BP70" s="1705"/>
      <c r="BQ70" s="1781">
        <v>43701</v>
      </c>
      <c r="BR70" s="1703" t="s">
        <v>772</v>
      </c>
      <c r="BS70" s="1704">
        <v>21</v>
      </c>
      <c r="BT70" s="1710" t="s">
        <v>414</v>
      </c>
      <c r="BU70" s="1706">
        <v>44072</v>
      </c>
      <c r="BV70" s="1707" t="s">
        <v>6731</v>
      </c>
      <c r="BW70" s="1708">
        <v>1000</v>
      </c>
      <c r="BX70" s="1710" t="s">
        <v>284</v>
      </c>
      <c r="BY70" s="1795">
        <v>44431</v>
      </c>
      <c r="BZ70" s="1703" t="s">
        <v>6732</v>
      </c>
      <c r="CA70" s="1784">
        <v>18</v>
      </c>
      <c r="CB70" s="1788" t="s">
        <v>280</v>
      </c>
      <c r="CC70" s="1794">
        <v>44784</v>
      </c>
      <c r="CD70" s="1703" t="s">
        <v>6733</v>
      </c>
      <c r="CE70" s="1791">
        <v>45</v>
      </c>
      <c r="CF70" s="1787" t="s">
        <v>278</v>
      </c>
      <c r="CG70" s="1794">
        <v>45150</v>
      </c>
      <c r="CH70" s="1703" t="s">
        <v>845</v>
      </c>
      <c r="CI70" s="1791">
        <v>30</v>
      </c>
      <c r="CJ70" s="1788" t="s">
        <v>414</v>
      </c>
      <c r="CK70" s="1849">
        <v>45510</v>
      </c>
      <c r="CL70" s="1738" t="s">
        <v>1308</v>
      </c>
      <c r="CM70" s="1844">
        <v>100</v>
      </c>
      <c r="CN70" s="1787" t="s">
        <v>410</v>
      </c>
      <c r="CO70" s="2155">
        <v>45877</v>
      </c>
      <c r="CP70" s="1738" t="s">
        <v>6734</v>
      </c>
      <c r="CQ70" s="1844">
        <v>17.46</v>
      </c>
      <c r="CR70" s="1792"/>
      <c r="CS70" s="1908"/>
      <c r="CT70" s="1908"/>
    </row>
    <row r="71" spans="1:98">
      <c r="A71" s="1780">
        <v>37494</v>
      </c>
      <c r="B71" s="1711" t="s">
        <v>6735</v>
      </c>
      <c r="C71" s="1716"/>
      <c r="D71" s="1717">
        <v>44</v>
      </c>
      <c r="E71" s="1781">
        <v>37855</v>
      </c>
      <c r="F71" s="1703" t="s">
        <v>6736</v>
      </c>
      <c r="G71" s="1704">
        <v>10</v>
      </c>
      <c r="H71" s="1705"/>
      <c r="I71" s="1781"/>
      <c r="J71" s="1703"/>
      <c r="K71" s="1704"/>
      <c r="L71" s="1705"/>
      <c r="M71" s="1781"/>
      <c r="N71" s="1703"/>
      <c r="O71" s="1704"/>
      <c r="P71" s="1705"/>
      <c r="Q71" s="1781"/>
      <c r="R71" s="1703"/>
      <c r="S71" s="1704"/>
      <c r="T71" s="1705"/>
      <c r="U71" s="1781"/>
      <c r="V71" s="1703"/>
      <c r="W71" s="1704"/>
      <c r="X71" s="1705"/>
      <c r="Y71" s="1781">
        <v>39690</v>
      </c>
      <c r="Z71" s="1711" t="s">
        <v>867</v>
      </c>
      <c r="AA71" s="1796">
        <v>0</v>
      </c>
      <c r="AB71" s="1705"/>
      <c r="AC71" s="1781"/>
      <c r="AD71" s="1703"/>
      <c r="AE71" s="1704"/>
      <c r="AF71" s="1705"/>
      <c r="AG71" s="1781"/>
      <c r="AH71" s="1703"/>
      <c r="AI71" s="1704"/>
      <c r="AJ71" s="1705"/>
      <c r="AK71" s="1781"/>
      <c r="AL71" s="1703"/>
      <c r="AM71" s="1704"/>
      <c r="AN71" s="1705"/>
      <c r="AO71" s="1781"/>
      <c r="AP71" s="1703"/>
      <c r="AQ71" s="1704"/>
      <c r="AR71" s="1705"/>
      <c r="AS71" s="1781">
        <v>41512</v>
      </c>
      <c r="AT71" s="1703" t="s">
        <v>6737</v>
      </c>
      <c r="AU71" s="1704">
        <v>61</v>
      </c>
      <c r="AV71" s="1705"/>
      <c r="AW71" s="1781">
        <v>41880</v>
      </c>
      <c r="AX71" s="1703" t="s">
        <v>6738</v>
      </c>
      <c r="AY71" s="1704">
        <v>3</v>
      </c>
      <c r="AZ71" s="1705"/>
      <c r="BA71" s="1781">
        <v>42246</v>
      </c>
      <c r="BB71" s="1703" t="s">
        <v>6739</v>
      </c>
      <c r="BC71" s="1704">
        <v>13</v>
      </c>
      <c r="BD71" s="1705"/>
      <c r="BE71" s="1781"/>
      <c r="BF71" s="1703"/>
      <c r="BG71" s="1704"/>
      <c r="BH71" s="1705"/>
      <c r="BI71" s="1781">
        <v>42966</v>
      </c>
      <c r="BJ71" s="1703" t="s">
        <v>998</v>
      </c>
      <c r="BK71" s="1704">
        <v>20</v>
      </c>
      <c r="BL71" s="1705"/>
      <c r="BM71" s="1781">
        <v>43338</v>
      </c>
      <c r="BN71" s="1703" t="s">
        <v>873</v>
      </c>
      <c r="BO71" s="1704">
        <v>41</v>
      </c>
      <c r="BP71" s="1705"/>
      <c r="BQ71" s="1781">
        <v>43701</v>
      </c>
      <c r="BR71" s="1703" t="s">
        <v>6740</v>
      </c>
      <c r="BS71" s="1704">
        <v>85</v>
      </c>
      <c r="BT71" s="1710" t="s">
        <v>280</v>
      </c>
      <c r="BU71" s="1706">
        <v>44073</v>
      </c>
      <c r="BV71" s="1707" t="s">
        <v>2117</v>
      </c>
      <c r="BW71" s="1708">
        <v>58</v>
      </c>
      <c r="BX71" s="1710" t="s">
        <v>414</v>
      </c>
      <c r="BY71" s="1795">
        <v>44431</v>
      </c>
      <c r="BZ71" s="1703" t="s">
        <v>6741</v>
      </c>
      <c r="CA71" s="1784">
        <v>15</v>
      </c>
      <c r="CB71" s="1788" t="s">
        <v>414</v>
      </c>
      <c r="CC71" s="1794">
        <v>44784</v>
      </c>
      <c r="CD71" s="1703" t="s">
        <v>6742</v>
      </c>
      <c r="CE71" s="1791">
        <v>25</v>
      </c>
      <c r="CF71" s="1787" t="s">
        <v>280</v>
      </c>
      <c r="CG71" s="1794">
        <v>45150</v>
      </c>
      <c r="CH71" s="1703" t="s">
        <v>843</v>
      </c>
      <c r="CI71" s="1791">
        <v>40</v>
      </c>
      <c r="CJ71" s="1788" t="s">
        <v>414</v>
      </c>
      <c r="CK71" s="1849">
        <v>45510</v>
      </c>
      <c r="CL71" s="1738" t="s">
        <v>6743</v>
      </c>
      <c r="CM71" s="1844">
        <v>50</v>
      </c>
      <c r="CN71" s="1787" t="s">
        <v>707</v>
      </c>
      <c r="CO71" s="2155">
        <v>45877</v>
      </c>
      <c r="CP71" s="1738" t="s">
        <v>6744</v>
      </c>
      <c r="CQ71" s="1844">
        <v>10.9</v>
      </c>
      <c r="CR71" s="1787"/>
      <c r="CS71" s="1908"/>
      <c r="CT71" s="1908"/>
    </row>
    <row r="72" spans="1:98">
      <c r="A72" s="1780">
        <v>37494</v>
      </c>
      <c r="B72" s="1711" t="s">
        <v>6745</v>
      </c>
      <c r="C72" s="1716"/>
      <c r="D72" s="1717">
        <v>19</v>
      </c>
      <c r="E72" s="1781">
        <v>37855</v>
      </c>
      <c r="F72" s="1703" t="s">
        <v>6746</v>
      </c>
      <c r="G72" s="1704">
        <v>66</v>
      </c>
      <c r="H72" s="1705"/>
      <c r="I72" s="1781"/>
      <c r="J72" s="1703"/>
      <c r="K72" s="1704"/>
      <c r="L72" s="1705"/>
      <c r="M72" s="1781"/>
      <c r="N72" s="1703"/>
      <c r="O72" s="1704"/>
      <c r="P72" s="1705"/>
      <c r="Q72" s="1781"/>
      <c r="R72" s="1703"/>
      <c r="S72" s="1704"/>
      <c r="T72" s="1705"/>
      <c r="U72" s="1781"/>
      <c r="V72" s="1703"/>
      <c r="W72" s="1704"/>
      <c r="X72" s="1705"/>
      <c r="Y72" s="1781">
        <v>39690</v>
      </c>
      <c r="Z72" s="1711" t="s">
        <v>783</v>
      </c>
      <c r="AA72" s="1796">
        <v>25</v>
      </c>
      <c r="AB72" s="1705"/>
      <c r="AC72" s="1781"/>
      <c r="AD72" s="1711"/>
      <c r="AE72" s="1796"/>
      <c r="AF72" s="1705"/>
      <c r="AG72" s="1781"/>
      <c r="AH72" s="1703"/>
      <c r="AI72" s="1704"/>
      <c r="AJ72" s="1705"/>
      <c r="AK72" s="1781"/>
      <c r="AL72" s="1703"/>
      <c r="AM72" s="1704"/>
      <c r="AN72" s="1705"/>
      <c r="AO72" s="1781"/>
      <c r="AP72" s="1703"/>
      <c r="AQ72" s="1704"/>
      <c r="AR72" s="1705"/>
      <c r="AS72" s="1781">
        <v>41513</v>
      </c>
      <c r="AT72" s="1703" t="s">
        <v>802</v>
      </c>
      <c r="AU72" s="1704">
        <v>42</v>
      </c>
      <c r="AV72" s="1705"/>
      <c r="AW72" s="1781">
        <v>41881</v>
      </c>
      <c r="AX72" s="1703" t="s">
        <v>6747</v>
      </c>
      <c r="AY72" s="1704"/>
      <c r="AZ72" s="1705"/>
      <c r="BA72" s="1781">
        <v>42246</v>
      </c>
      <c r="BB72" s="1703" t="s">
        <v>6748</v>
      </c>
      <c r="BC72" s="1704">
        <v>12</v>
      </c>
      <c r="BD72" s="1705"/>
      <c r="BE72" s="1781"/>
      <c r="BF72" s="1703"/>
      <c r="BG72" s="1704"/>
      <c r="BH72" s="1705"/>
      <c r="BI72" s="1781">
        <v>42967</v>
      </c>
      <c r="BJ72" s="1703" t="s">
        <v>873</v>
      </c>
      <c r="BK72" s="1704">
        <v>24</v>
      </c>
      <c r="BL72" s="1705"/>
      <c r="BM72" s="1781">
        <v>43338</v>
      </c>
      <c r="BN72" s="1703" t="s">
        <v>6749</v>
      </c>
      <c r="BO72" s="1704">
        <v>31</v>
      </c>
      <c r="BP72" s="1705"/>
      <c r="BQ72" s="1781">
        <v>43701</v>
      </c>
      <c r="BR72" s="1703" t="s">
        <v>6750</v>
      </c>
      <c r="BS72" s="1704">
        <v>8</v>
      </c>
      <c r="BT72" s="1710" t="s">
        <v>280</v>
      </c>
      <c r="BU72" s="1706">
        <v>44073</v>
      </c>
      <c r="BV72" s="1707" t="s">
        <v>6751</v>
      </c>
      <c r="BW72" s="1708">
        <v>2</v>
      </c>
      <c r="BX72" s="1710" t="s">
        <v>426</v>
      </c>
      <c r="BY72" s="1795">
        <v>44431</v>
      </c>
      <c r="BZ72" s="1703" t="s">
        <v>6752</v>
      </c>
      <c r="CA72" s="1784">
        <v>15</v>
      </c>
      <c r="CB72" s="1788" t="s">
        <v>700</v>
      </c>
      <c r="CC72" s="1794">
        <v>44784</v>
      </c>
      <c r="CD72" s="1703" t="s">
        <v>6753</v>
      </c>
      <c r="CE72" s="1791">
        <v>24</v>
      </c>
      <c r="CF72" s="1787" t="s">
        <v>381</v>
      </c>
      <c r="CG72" s="1794">
        <v>45150</v>
      </c>
      <c r="CH72" s="1703" t="s">
        <v>772</v>
      </c>
      <c r="CI72" s="1791">
        <v>27</v>
      </c>
      <c r="CJ72" s="1788" t="s">
        <v>414</v>
      </c>
      <c r="CK72" s="1849">
        <v>45510</v>
      </c>
      <c r="CL72" s="1738" t="s">
        <v>6754</v>
      </c>
      <c r="CM72" s="1844">
        <v>70</v>
      </c>
      <c r="CN72" s="1787" t="s">
        <v>707</v>
      </c>
      <c r="CO72" s="2161">
        <v>45866</v>
      </c>
      <c r="CP72" s="2162" t="s">
        <v>4089</v>
      </c>
      <c r="CQ72" s="2163">
        <f>ABS(CS90)</f>
        <v>27.66</v>
      </c>
      <c r="CR72" s="1430" t="s">
        <v>414</v>
      </c>
      <c r="CS72" s="2164"/>
      <c r="CT72" s="1908"/>
    </row>
    <row r="73" spans="1:98">
      <c r="A73" s="1780">
        <v>37494</v>
      </c>
      <c r="B73" s="1711" t="s">
        <v>915</v>
      </c>
      <c r="C73" s="1716"/>
      <c r="D73" s="1717">
        <v>7</v>
      </c>
      <c r="E73" s="1781">
        <v>37855</v>
      </c>
      <c r="F73" s="1703" t="s">
        <v>6755</v>
      </c>
      <c r="G73" s="1704">
        <v>33</v>
      </c>
      <c r="H73" s="1705"/>
      <c r="I73" s="1781"/>
      <c r="J73" s="1703"/>
      <c r="K73" s="1704"/>
      <c r="L73" s="1705"/>
      <c r="M73" s="1781"/>
      <c r="N73" s="1703"/>
      <c r="O73" s="1704"/>
      <c r="P73" s="1705"/>
      <c r="Q73" s="1781"/>
      <c r="R73" s="1703"/>
      <c r="S73" s="1704"/>
      <c r="T73" s="1705"/>
      <c r="U73" s="1781"/>
      <c r="V73" s="1703"/>
      <c r="W73" s="1704"/>
      <c r="X73" s="1705"/>
      <c r="Y73" s="1781">
        <v>39690</v>
      </c>
      <c r="Z73" s="1711" t="s">
        <v>6756</v>
      </c>
      <c r="AA73" s="1797">
        <v>0</v>
      </c>
      <c r="AB73" s="1705"/>
      <c r="AC73" s="1781"/>
      <c r="AD73" s="1711"/>
      <c r="AE73" s="1796"/>
      <c r="AF73" s="1705"/>
      <c r="AG73" s="1781"/>
      <c r="AH73" s="1703"/>
      <c r="AI73" s="1704"/>
      <c r="AJ73" s="1705"/>
      <c r="AK73" s="1781"/>
      <c r="AL73" s="1703"/>
      <c r="AM73" s="1704"/>
      <c r="AN73" s="1705"/>
      <c r="AO73" s="1781"/>
      <c r="AP73" s="1703"/>
      <c r="AQ73" s="1704"/>
      <c r="AR73" s="1705"/>
      <c r="AS73" s="1781">
        <v>41513</v>
      </c>
      <c r="AT73" s="1703" t="s">
        <v>797</v>
      </c>
      <c r="AU73" s="1704">
        <v>65</v>
      </c>
      <c r="AV73" s="1705"/>
      <c r="AW73" s="1781">
        <v>41881</v>
      </c>
      <c r="AX73" s="1703" t="s">
        <v>6685</v>
      </c>
      <c r="AY73" s="1704">
        <v>28</v>
      </c>
      <c r="AZ73" s="1705"/>
      <c r="BA73" s="1781">
        <v>42247</v>
      </c>
      <c r="BB73" s="1703" t="s">
        <v>6757</v>
      </c>
      <c r="BC73" s="1704">
        <v>100</v>
      </c>
      <c r="BD73" s="1705"/>
      <c r="BE73" s="1781"/>
      <c r="BF73" s="1703"/>
      <c r="BG73" s="1704"/>
      <c r="BH73" s="1705"/>
      <c r="BI73" s="1781">
        <v>42967</v>
      </c>
      <c r="BJ73" s="1703" t="s">
        <v>6758</v>
      </c>
      <c r="BK73" s="1704">
        <v>8</v>
      </c>
      <c r="BL73" s="1705"/>
      <c r="BM73" s="1781">
        <v>43338</v>
      </c>
      <c r="BN73" s="1703" t="s">
        <v>6759</v>
      </c>
      <c r="BO73" s="1704">
        <v>12</v>
      </c>
      <c r="BP73" s="1705"/>
      <c r="BQ73" s="1781">
        <v>43701</v>
      </c>
      <c r="BR73" s="1703" t="s">
        <v>6760</v>
      </c>
      <c r="BS73" s="1704">
        <v>23</v>
      </c>
      <c r="BT73" s="1710" t="s">
        <v>280</v>
      </c>
      <c r="BU73" s="1706">
        <v>44073</v>
      </c>
      <c r="BV73" s="1707" t="s">
        <v>6761</v>
      </c>
      <c r="BW73" s="1708">
        <v>110</v>
      </c>
      <c r="BX73" s="1710" t="s">
        <v>426</v>
      </c>
      <c r="BY73" s="1795">
        <v>44431</v>
      </c>
      <c r="BZ73" s="1703" t="s">
        <v>1589</v>
      </c>
      <c r="CA73" s="1784">
        <v>0</v>
      </c>
      <c r="CB73" s="1788" t="s">
        <v>280</v>
      </c>
      <c r="CC73" s="1794">
        <v>44784</v>
      </c>
      <c r="CD73" s="1703" t="s">
        <v>6762</v>
      </c>
      <c r="CE73" s="1791">
        <v>25</v>
      </c>
      <c r="CF73" s="1787" t="s">
        <v>278</v>
      </c>
      <c r="CG73" s="1794">
        <v>45150</v>
      </c>
      <c r="CH73" s="1703" t="s">
        <v>828</v>
      </c>
      <c r="CI73" s="1791">
        <v>12</v>
      </c>
      <c r="CJ73" s="1788" t="s">
        <v>414</v>
      </c>
      <c r="CK73" s="1850">
        <v>45511</v>
      </c>
      <c r="CL73" s="1738" t="s">
        <v>843</v>
      </c>
      <c r="CM73" s="1844">
        <v>25</v>
      </c>
      <c r="CN73" s="1787" t="s">
        <v>414</v>
      </c>
      <c r="CO73" s="2165">
        <v>45866</v>
      </c>
      <c r="CP73" s="2166" t="s">
        <v>6763</v>
      </c>
      <c r="CQ73" s="2163">
        <f>ABS(CS91)</f>
        <v>95.7</v>
      </c>
      <c r="CR73" s="1430" t="s">
        <v>421</v>
      </c>
      <c r="CS73" s="2164"/>
      <c r="CT73" s="1908"/>
    </row>
    <row r="74" spans="1:98">
      <c r="A74" s="1780">
        <v>37494</v>
      </c>
      <c r="B74" s="1711" t="s">
        <v>410</v>
      </c>
      <c r="C74" s="1716"/>
      <c r="D74" s="1717">
        <v>26</v>
      </c>
      <c r="E74" s="1781">
        <v>37856</v>
      </c>
      <c r="F74" s="1703" t="s">
        <v>6764</v>
      </c>
      <c r="G74" s="1704">
        <v>40</v>
      </c>
      <c r="H74" s="1705"/>
      <c r="I74" s="1781"/>
      <c r="J74" s="1703"/>
      <c r="K74" s="1704"/>
      <c r="L74" s="1705"/>
      <c r="M74" s="1781"/>
      <c r="N74" s="1703"/>
      <c r="O74" s="1704"/>
      <c r="P74" s="1705"/>
      <c r="Q74" s="1781"/>
      <c r="R74" s="1703"/>
      <c r="S74" s="1704"/>
      <c r="T74" s="1705"/>
      <c r="U74" s="1781"/>
      <c r="V74" s="1703"/>
      <c r="W74" s="1704"/>
      <c r="X74" s="1705"/>
      <c r="Y74" s="1781">
        <v>39690</v>
      </c>
      <c r="Z74" s="1711" t="s">
        <v>802</v>
      </c>
      <c r="AA74" s="1797">
        <v>42</v>
      </c>
      <c r="AB74" s="1705"/>
      <c r="AC74" s="1781"/>
      <c r="AD74" s="1711"/>
      <c r="AE74" s="1797"/>
      <c r="AF74" s="1705"/>
      <c r="AG74" s="1781"/>
      <c r="AH74" s="1703"/>
      <c r="AI74" s="1704"/>
      <c r="AJ74" s="1705"/>
      <c r="AK74" s="1781"/>
      <c r="AL74" s="1703"/>
      <c r="AM74" s="1704"/>
      <c r="AN74" s="1705"/>
      <c r="AO74" s="1781"/>
      <c r="AP74" s="1703"/>
      <c r="AQ74" s="1704"/>
      <c r="AR74" s="1705"/>
      <c r="AS74" s="1781">
        <v>41513</v>
      </c>
      <c r="AT74" s="1703" t="s">
        <v>6765</v>
      </c>
      <c r="AU74" s="1704">
        <v>27</v>
      </c>
      <c r="AV74" s="1705"/>
      <c r="AW74" s="1781">
        <v>41881</v>
      </c>
      <c r="AX74" s="1703" t="s">
        <v>6766</v>
      </c>
      <c r="AY74" s="1704">
        <v>18</v>
      </c>
      <c r="AZ74" s="1705"/>
      <c r="BA74" s="1781">
        <v>42247</v>
      </c>
      <c r="BB74" s="1703" t="s">
        <v>6767</v>
      </c>
      <c r="BC74" s="1704">
        <v>5</v>
      </c>
      <c r="BD74" s="1705"/>
      <c r="BE74" s="1781"/>
      <c r="BF74" s="1703"/>
      <c r="BG74" s="1704"/>
      <c r="BH74" s="1705"/>
      <c r="BI74" s="1781">
        <v>42967</v>
      </c>
      <c r="BJ74" s="1703" t="s">
        <v>867</v>
      </c>
      <c r="BK74" s="1704">
        <v>35</v>
      </c>
      <c r="BL74" s="1705"/>
      <c r="BM74" s="1781">
        <v>43339</v>
      </c>
      <c r="BN74" s="1703" t="s">
        <v>6768</v>
      </c>
      <c r="BO74" s="1704">
        <v>12</v>
      </c>
      <c r="BP74" s="1705"/>
      <c r="BQ74" s="1781">
        <v>43701</v>
      </c>
      <c r="BR74" s="1703" t="s">
        <v>797</v>
      </c>
      <c r="BS74" s="1704">
        <v>60</v>
      </c>
      <c r="BT74" s="1710" t="s">
        <v>410</v>
      </c>
      <c r="BU74" s="1706">
        <v>44073</v>
      </c>
      <c r="BV74" s="1707" t="s">
        <v>5230</v>
      </c>
      <c r="BW74" s="1708">
        <v>90</v>
      </c>
      <c r="BX74" s="1710" t="s">
        <v>280</v>
      </c>
      <c r="BY74" s="1795">
        <v>44431</v>
      </c>
      <c r="BZ74" s="1703" t="s">
        <v>6769</v>
      </c>
      <c r="CA74" s="1784">
        <v>33</v>
      </c>
      <c r="CB74" s="1788" t="s">
        <v>414</v>
      </c>
      <c r="CC74" s="1794">
        <v>44784</v>
      </c>
      <c r="CD74" s="1703" t="s">
        <v>6770</v>
      </c>
      <c r="CE74" s="1791">
        <v>55</v>
      </c>
      <c r="CF74" s="1787" t="s">
        <v>278</v>
      </c>
      <c r="CG74" s="1794">
        <v>45150</v>
      </c>
      <c r="CH74" s="1703" t="s">
        <v>6771</v>
      </c>
      <c r="CI74" s="1791">
        <v>75</v>
      </c>
      <c r="CJ74" s="1788" t="s">
        <v>280</v>
      </c>
      <c r="CK74" s="1850">
        <v>45511</v>
      </c>
      <c r="CL74" s="1738" t="s">
        <v>6772</v>
      </c>
      <c r="CM74" s="1844">
        <v>47</v>
      </c>
      <c r="CN74" s="1787" t="s">
        <v>414</v>
      </c>
      <c r="CO74" s="2165">
        <v>45868</v>
      </c>
      <c r="CP74" s="2166" t="s">
        <v>6773</v>
      </c>
      <c r="CQ74" s="2163">
        <f>ABS(CS92)</f>
        <v>25.78</v>
      </c>
      <c r="CR74" s="1430" t="s">
        <v>278</v>
      </c>
      <c r="CS74" s="1430"/>
    </row>
    <row r="75" spans="1:98">
      <c r="A75" s="1780">
        <v>37496</v>
      </c>
      <c r="B75" s="1711" t="s">
        <v>6774</v>
      </c>
      <c r="C75" s="1716">
        <v>36</v>
      </c>
      <c r="D75" s="1717"/>
      <c r="E75" s="1781">
        <v>37856</v>
      </c>
      <c r="F75" s="1703" t="s">
        <v>6775</v>
      </c>
      <c r="G75" s="1704">
        <v>44</v>
      </c>
      <c r="H75" s="1705"/>
      <c r="I75" s="1781"/>
      <c r="J75" s="1703"/>
      <c r="K75" s="1704"/>
      <c r="L75" s="1705"/>
      <c r="M75" s="1781"/>
      <c r="N75" s="1703"/>
      <c r="O75" s="1704"/>
      <c r="P75" s="1705"/>
      <c r="Q75" s="1781"/>
      <c r="R75" s="1703"/>
      <c r="S75" s="1704"/>
      <c r="T75" s="1705"/>
      <c r="U75" s="1781"/>
      <c r="V75" s="1703"/>
      <c r="W75" s="1704"/>
      <c r="X75" s="1705"/>
      <c r="Y75" s="1781">
        <v>39690</v>
      </c>
      <c r="Z75" s="1703" t="s">
        <v>6776</v>
      </c>
      <c r="AA75" s="1704">
        <v>11</v>
      </c>
      <c r="AB75" s="1705"/>
      <c r="AC75" s="1781"/>
      <c r="AD75" s="1711"/>
      <c r="AE75" s="1797"/>
      <c r="AF75" s="1705"/>
      <c r="AG75" s="1781"/>
      <c r="AH75" s="1703"/>
      <c r="AI75" s="1704"/>
      <c r="AJ75" s="1705"/>
      <c r="AK75" s="1781"/>
      <c r="AL75" s="1703"/>
      <c r="AM75" s="1704"/>
      <c r="AN75" s="1705"/>
      <c r="AO75" s="1781"/>
      <c r="AP75" s="1703"/>
      <c r="AQ75" s="1704"/>
      <c r="AR75" s="1705"/>
      <c r="AS75" s="1781">
        <v>41513</v>
      </c>
      <c r="AT75" s="1703" t="s">
        <v>1244</v>
      </c>
      <c r="AU75" s="1704">
        <v>77</v>
      </c>
      <c r="AV75" s="1705"/>
      <c r="AW75" s="1781">
        <v>41881</v>
      </c>
      <c r="AX75" s="1703" t="s">
        <v>6777</v>
      </c>
      <c r="AY75" s="1704"/>
      <c r="AZ75" s="1705"/>
      <c r="BA75" s="1781"/>
      <c r="BB75" s="1703"/>
      <c r="BC75" s="1704"/>
      <c r="BD75" s="1705"/>
      <c r="BE75" s="1781"/>
      <c r="BF75" s="1703"/>
      <c r="BG75" s="1704"/>
      <c r="BH75" s="1705"/>
      <c r="BI75" s="1781">
        <v>42968</v>
      </c>
      <c r="BJ75" s="1703" t="s">
        <v>1180</v>
      </c>
      <c r="BK75" s="1704">
        <v>54</v>
      </c>
      <c r="BL75" s="1705"/>
      <c r="BM75" s="1781">
        <v>43341</v>
      </c>
      <c r="BN75" s="1703" t="s">
        <v>6778</v>
      </c>
      <c r="BO75" s="1704">
        <v>14</v>
      </c>
      <c r="BP75" s="1705"/>
      <c r="BQ75" s="1781">
        <v>43702</v>
      </c>
      <c r="BR75" s="1703" t="s">
        <v>1180</v>
      </c>
      <c r="BS75" s="1704">
        <v>82</v>
      </c>
      <c r="BT75" s="1710" t="s">
        <v>410</v>
      </c>
      <c r="BU75" s="1706">
        <v>44073</v>
      </c>
      <c r="BV75" s="1707" t="s">
        <v>890</v>
      </c>
      <c r="BW75" s="1708">
        <v>25</v>
      </c>
      <c r="BX75" s="1710" t="s">
        <v>414</v>
      </c>
      <c r="BY75" s="1795">
        <v>44432</v>
      </c>
      <c r="BZ75" s="1703" t="s">
        <v>6769</v>
      </c>
      <c r="CA75" s="1784">
        <v>28</v>
      </c>
      <c r="CB75" s="1788" t="s">
        <v>414</v>
      </c>
      <c r="CC75" s="1794">
        <v>44784</v>
      </c>
      <c r="CD75" s="1703" t="s">
        <v>6779</v>
      </c>
      <c r="CE75" s="1791">
        <v>50</v>
      </c>
      <c r="CF75" s="1787" t="s">
        <v>707</v>
      </c>
      <c r="CG75" s="1794">
        <v>45150</v>
      </c>
      <c r="CH75" s="1703" t="s">
        <v>2691</v>
      </c>
      <c r="CI75" s="1791">
        <v>12</v>
      </c>
      <c r="CJ75" s="1788" t="s">
        <v>414</v>
      </c>
      <c r="CK75" s="1850">
        <v>45511</v>
      </c>
      <c r="CL75" s="1738" t="s">
        <v>845</v>
      </c>
      <c r="CM75" s="1844">
        <v>55</v>
      </c>
      <c r="CN75" s="1787" t="s">
        <v>414</v>
      </c>
      <c r="CO75" s="2165">
        <v>45868</v>
      </c>
      <c r="CP75" s="2166" t="s">
        <v>6780</v>
      </c>
      <c r="CQ75" s="2163">
        <f>ABS(CS93)</f>
        <v>25.95</v>
      </c>
      <c r="CR75" s="1430" t="s">
        <v>6781</v>
      </c>
      <c r="CS75" s="1430"/>
    </row>
    <row r="76" spans="1:98">
      <c r="A76" s="1780">
        <v>37497</v>
      </c>
      <c r="B76" s="1711" t="s">
        <v>414</v>
      </c>
      <c r="C76" s="1716"/>
      <c r="D76" s="1717">
        <v>29</v>
      </c>
      <c r="E76" s="1781">
        <v>37856</v>
      </c>
      <c r="F76" s="1703" t="s">
        <v>6782</v>
      </c>
      <c r="G76" s="1704">
        <v>50</v>
      </c>
      <c r="H76" s="1705"/>
      <c r="I76" s="1781"/>
      <c r="J76" s="1703"/>
      <c r="K76" s="1704"/>
      <c r="L76" s="1705"/>
      <c r="M76" s="1781"/>
      <c r="N76" s="1703"/>
      <c r="O76" s="1704"/>
      <c r="P76" s="1705"/>
      <c r="Q76" s="1781"/>
      <c r="R76" s="1703"/>
      <c r="S76" s="1704"/>
      <c r="T76" s="1705"/>
      <c r="U76" s="1781"/>
      <c r="V76" s="1703"/>
      <c r="W76" s="1704"/>
      <c r="X76" s="1705"/>
      <c r="Y76" s="1781">
        <v>39690</v>
      </c>
      <c r="Z76" s="1703" t="s">
        <v>6783</v>
      </c>
      <c r="AA76" s="1704">
        <v>0</v>
      </c>
      <c r="AB76" s="1705"/>
      <c r="AC76" s="1781"/>
      <c r="AD76" s="1703"/>
      <c r="AE76" s="1704"/>
      <c r="AF76" s="1705"/>
      <c r="AG76" s="1781"/>
      <c r="AH76" s="1703"/>
      <c r="AI76" s="1704"/>
      <c r="AJ76" s="1705"/>
      <c r="AK76" s="1781"/>
      <c r="AL76" s="1703"/>
      <c r="AM76" s="1704"/>
      <c r="AN76" s="1705"/>
      <c r="AO76" s="1781"/>
      <c r="AP76" s="1703"/>
      <c r="AQ76" s="1704"/>
      <c r="AR76" s="1705"/>
      <c r="AS76" s="1781">
        <v>41515</v>
      </c>
      <c r="AT76" s="1703" t="s">
        <v>772</v>
      </c>
      <c r="AU76" s="1704">
        <v>54</v>
      </c>
      <c r="AV76" s="1705"/>
      <c r="AW76" s="1781">
        <v>41881</v>
      </c>
      <c r="AX76" s="1703" t="s">
        <v>6784</v>
      </c>
      <c r="AY76" s="1704">
        <v>5</v>
      </c>
      <c r="AZ76" s="1705"/>
      <c r="BA76" s="1781"/>
      <c r="BB76" s="1703"/>
      <c r="BC76" s="1704"/>
      <c r="BD76" s="1705"/>
      <c r="BE76" s="1781"/>
      <c r="BF76" s="1703"/>
      <c r="BG76" s="1704"/>
      <c r="BH76" s="1705"/>
      <c r="BI76" s="1781">
        <v>42969</v>
      </c>
      <c r="BJ76" s="1703" t="s">
        <v>6785</v>
      </c>
      <c r="BK76" s="1704">
        <v>0</v>
      </c>
      <c r="BL76" s="1705"/>
      <c r="BM76" s="1781">
        <v>43343</v>
      </c>
      <c r="BN76" s="1703" t="s">
        <v>1180</v>
      </c>
      <c r="BO76" s="1704">
        <v>75</v>
      </c>
      <c r="BP76" s="1705"/>
      <c r="BQ76" s="1781">
        <v>43702</v>
      </c>
      <c r="BR76" s="1703" t="s">
        <v>6786</v>
      </c>
      <c r="BS76" s="1704">
        <v>17</v>
      </c>
      <c r="BT76" s="1710" t="s">
        <v>700</v>
      </c>
      <c r="BU76" s="1706">
        <v>44073</v>
      </c>
      <c r="BV76" s="1707" t="s">
        <v>5353</v>
      </c>
      <c r="BW76" s="1708">
        <v>51</v>
      </c>
      <c r="BX76" s="1710" t="s">
        <v>426</v>
      </c>
      <c r="BY76" s="1795">
        <v>44433</v>
      </c>
      <c r="BZ76" s="1703" t="s">
        <v>6787</v>
      </c>
      <c r="CA76" s="1784">
        <v>0</v>
      </c>
      <c r="CB76" s="1788" t="s">
        <v>280</v>
      </c>
      <c r="CC76" s="1794">
        <v>44784</v>
      </c>
      <c r="CD76" s="1703" t="s">
        <v>6788</v>
      </c>
      <c r="CE76" s="1791">
        <v>15</v>
      </c>
      <c r="CF76" s="1787" t="s">
        <v>707</v>
      </c>
      <c r="CG76" s="1794">
        <v>45150</v>
      </c>
      <c r="CH76" s="1703" t="s">
        <v>6789</v>
      </c>
      <c r="CI76" s="1791">
        <v>75</v>
      </c>
      <c r="CJ76" s="1788" t="s">
        <v>689</v>
      </c>
      <c r="CK76" s="1850">
        <v>45511</v>
      </c>
      <c r="CL76" s="1738" t="s">
        <v>772</v>
      </c>
      <c r="CM76" s="1844">
        <v>24</v>
      </c>
      <c r="CN76" s="1787" t="s">
        <v>414</v>
      </c>
      <c r="CO76" s="2165">
        <v>45868</v>
      </c>
      <c r="CP76" s="2166" t="s">
        <v>6790</v>
      </c>
      <c r="CQ76" s="2163">
        <f>ABS(CS94)</f>
        <v>14.96</v>
      </c>
      <c r="CR76" s="1430" t="s">
        <v>414</v>
      </c>
      <c r="CS76" s="1430"/>
    </row>
    <row r="77" spans="1:98">
      <c r="A77" s="1780">
        <v>37498</v>
      </c>
      <c r="B77" s="1711" t="s">
        <v>410</v>
      </c>
      <c r="C77" s="1716">
        <v>23</v>
      </c>
      <c r="D77" s="1717"/>
      <c r="E77" s="1781">
        <v>37856</v>
      </c>
      <c r="F77" s="1703" t="s">
        <v>6791</v>
      </c>
      <c r="G77" s="1704">
        <v>10</v>
      </c>
      <c r="H77" s="1705"/>
      <c r="I77" s="1781"/>
      <c r="J77" s="1703"/>
      <c r="K77" s="1704"/>
      <c r="L77" s="1705"/>
      <c r="M77" s="1781"/>
      <c r="N77" s="1703"/>
      <c r="O77" s="1704"/>
      <c r="P77" s="1705"/>
      <c r="Q77" s="1781"/>
      <c r="R77" s="1703"/>
      <c r="S77" s="1704"/>
      <c r="T77" s="1705"/>
      <c r="U77" s="1781"/>
      <c r="V77" s="1703"/>
      <c r="W77" s="1704"/>
      <c r="X77" s="1705"/>
      <c r="Y77" s="1781">
        <v>39690</v>
      </c>
      <c r="Z77" s="1711" t="s">
        <v>6792</v>
      </c>
      <c r="AA77" s="1704">
        <v>11</v>
      </c>
      <c r="AB77" s="1705"/>
      <c r="AC77" s="1781"/>
      <c r="AD77" s="1703"/>
      <c r="AE77" s="1704"/>
      <c r="AF77" s="1705"/>
      <c r="AG77" s="1781"/>
      <c r="AH77" s="1711"/>
      <c r="AI77" s="1796"/>
      <c r="AJ77" s="1705"/>
      <c r="AK77" s="1781"/>
      <c r="AL77" s="1703"/>
      <c r="AM77" s="1704"/>
      <c r="AN77" s="1705"/>
      <c r="AO77" s="1781"/>
      <c r="AP77" s="1703"/>
      <c r="AQ77" s="1704"/>
      <c r="AR77" s="1705"/>
      <c r="AS77" s="1781">
        <v>41515</v>
      </c>
      <c r="AT77" s="1703" t="s">
        <v>754</v>
      </c>
      <c r="AU77" s="1704">
        <v>85</v>
      </c>
      <c r="AV77" s="1705"/>
      <c r="AW77" s="1781">
        <v>41881</v>
      </c>
      <c r="AX77" s="1703" t="s">
        <v>6793</v>
      </c>
      <c r="AY77" s="1704">
        <v>10</v>
      </c>
      <c r="AZ77" s="1705"/>
      <c r="BA77" s="1781"/>
      <c r="BB77" s="1703"/>
      <c r="BC77" s="1704"/>
      <c r="BD77" s="1705"/>
      <c r="BE77" s="1781"/>
      <c r="BF77" s="1703"/>
      <c r="BG77" s="1704"/>
      <c r="BH77" s="1705"/>
      <c r="BI77" s="1781">
        <v>42969</v>
      </c>
      <c r="BJ77" s="1703" t="s">
        <v>6794</v>
      </c>
      <c r="BK77" s="1704">
        <v>12</v>
      </c>
      <c r="BL77" s="1705"/>
      <c r="BM77" s="1781">
        <v>43343</v>
      </c>
      <c r="BN77" s="1703" t="s">
        <v>872</v>
      </c>
      <c r="BO77" s="1704">
        <v>21</v>
      </c>
      <c r="BP77" s="1705"/>
      <c r="BQ77" s="1781">
        <v>43707</v>
      </c>
      <c r="BR77" s="1703" t="s">
        <v>6795</v>
      </c>
      <c r="BS77" s="1704">
        <v>23</v>
      </c>
      <c r="BT77" s="1710" t="s">
        <v>700</v>
      </c>
      <c r="BU77" s="1706">
        <v>44073</v>
      </c>
      <c r="BV77" s="1707" t="s">
        <v>6796</v>
      </c>
      <c r="BW77" s="1708">
        <v>16</v>
      </c>
      <c r="BX77" s="1710" t="s">
        <v>689</v>
      </c>
      <c r="BY77" s="1795">
        <v>44433</v>
      </c>
      <c r="BZ77" s="1703" t="s">
        <v>6797</v>
      </c>
      <c r="CA77" s="1784">
        <v>21</v>
      </c>
      <c r="CB77" s="1788" t="s">
        <v>280</v>
      </c>
      <c r="CC77" s="1794">
        <v>44785</v>
      </c>
      <c r="CD77" s="1703" t="s">
        <v>6798</v>
      </c>
      <c r="CE77" s="1791">
        <v>12</v>
      </c>
      <c r="CF77" s="1787" t="s">
        <v>707</v>
      </c>
      <c r="CG77" s="1794">
        <v>45150</v>
      </c>
      <c r="CH77" s="1703" t="s">
        <v>6799</v>
      </c>
      <c r="CI77" s="1791">
        <v>15</v>
      </c>
      <c r="CJ77" s="1788" t="s">
        <v>689</v>
      </c>
      <c r="CK77" s="1850">
        <v>45511</v>
      </c>
      <c r="CL77" s="1738" t="s">
        <v>781</v>
      </c>
      <c r="CM77" s="1844">
        <v>35</v>
      </c>
      <c r="CN77" s="1787" t="s">
        <v>414</v>
      </c>
      <c r="CO77" s="2165">
        <v>45868</v>
      </c>
      <c r="CP77" s="2166" t="s">
        <v>6800</v>
      </c>
      <c r="CQ77" s="2163">
        <f>ABS(CS95)</f>
        <v>22.43</v>
      </c>
      <c r="CR77" s="1430" t="s">
        <v>278</v>
      </c>
      <c r="CS77" s="1430"/>
    </row>
    <row r="78" spans="1:98">
      <c r="A78" s="1780">
        <v>37498</v>
      </c>
      <c r="B78" s="1711" t="s">
        <v>6801</v>
      </c>
      <c r="C78" s="1716">
        <v>81</v>
      </c>
      <c r="D78" s="1717"/>
      <c r="E78" s="1781">
        <v>37856</v>
      </c>
      <c r="F78" s="1703" t="s">
        <v>6802</v>
      </c>
      <c r="G78" s="1704">
        <v>95</v>
      </c>
      <c r="H78" s="1705"/>
      <c r="I78" s="1781"/>
      <c r="J78" s="1703"/>
      <c r="K78" s="1704"/>
      <c r="L78" s="1705"/>
      <c r="M78" s="1781"/>
      <c r="N78" s="1703"/>
      <c r="O78" s="1704"/>
      <c r="P78" s="1705"/>
      <c r="Q78" s="1781"/>
      <c r="R78" s="1703"/>
      <c r="S78" s="1704"/>
      <c r="T78" s="1705"/>
      <c r="U78" s="1781"/>
      <c r="V78" s="1703"/>
      <c r="W78" s="1704"/>
      <c r="X78" s="1705"/>
      <c r="Y78" s="1781">
        <v>39691</v>
      </c>
      <c r="Z78" s="1703" t="s">
        <v>6803</v>
      </c>
      <c r="AA78" s="1704">
        <v>10</v>
      </c>
      <c r="AB78" s="1705"/>
      <c r="AC78" s="1781"/>
      <c r="AD78" s="1711"/>
      <c r="AE78" s="1704"/>
      <c r="AF78" s="1705"/>
      <c r="AG78" s="1781"/>
      <c r="AH78" s="1711"/>
      <c r="AI78" s="1796"/>
      <c r="AJ78" s="1705"/>
      <c r="AK78" s="1781"/>
      <c r="AL78" s="1703"/>
      <c r="AM78" s="1704"/>
      <c r="AN78" s="1705"/>
      <c r="AO78" s="1781"/>
      <c r="AP78" s="1703"/>
      <c r="AQ78" s="1704"/>
      <c r="AR78" s="1705"/>
      <c r="AS78" s="1781">
        <v>41516</v>
      </c>
      <c r="AT78" s="1703" t="s">
        <v>6804</v>
      </c>
      <c r="AU78" s="1704">
        <v>10</v>
      </c>
      <c r="AV78" s="1705"/>
      <c r="AW78" s="1781"/>
      <c r="AX78" s="1703"/>
      <c r="AY78" s="1704"/>
      <c r="AZ78" s="1705"/>
      <c r="BA78" s="1781"/>
      <c r="BB78" s="1703"/>
      <c r="BC78" s="1704"/>
      <c r="BD78" s="1705"/>
      <c r="BE78" s="1781"/>
      <c r="BF78" s="1703"/>
      <c r="BG78" s="1704"/>
      <c r="BH78" s="1705"/>
      <c r="BI78" s="1781">
        <v>42969</v>
      </c>
      <c r="BJ78" s="1703" t="s">
        <v>6805</v>
      </c>
      <c r="BK78" s="1704">
        <v>8</v>
      </c>
      <c r="BL78" s="1705"/>
      <c r="BM78" s="1781">
        <v>43343</v>
      </c>
      <c r="BN78" s="1703" t="s">
        <v>823</v>
      </c>
      <c r="BO78" s="1704">
        <v>23</v>
      </c>
      <c r="BP78" s="1705"/>
      <c r="BQ78" s="1781">
        <v>43708</v>
      </c>
      <c r="BR78" s="1703" t="s">
        <v>845</v>
      </c>
      <c r="BS78" s="1704">
        <v>40</v>
      </c>
      <c r="BT78" s="1710" t="s">
        <v>414</v>
      </c>
      <c r="BU78" s="1706">
        <v>44073</v>
      </c>
      <c r="BV78" s="1711" t="s">
        <v>6667</v>
      </c>
      <c r="BW78" s="1797">
        <v>30</v>
      </c>
      <c r="BX78" s="1710" t="s">
        <v>280</v>
      </c>
      <c r="BY78" s="1795">
        <v>44435</v>
      </c>
      <c r="BZ78" s="1703" t="s">
        <v>6806</v>
      </c>
      <c r="CA78" s="1784">
        <v>25</v>
      </c>
      <c r="CB78" s="1788" t="s">
        <v>280</v>
      </c>
      <c r="CC78" s="1794">
        <v>44785</v>
      </c>
      <c r="CD78" s="1703" t="s">
        <v>6807</v>
      </c>
      <c r="CE78" s="1791">
        <v>35</v>
      </c>
      <c r="CF78" s="1787" t="s">
        <v>278</v>
      </c>
      <c r="CG78" s="1794">
        <v>45150</v>
      </c>
      <c r="CH78" s="1703" t="s">
        <v>6808</v>
      </c>
      <c r="CI78" s="1791">
        <v>13</v>
      </c>
      <c r="CJ78" s="1788" t="s">
        <v>414</v>
      </c>
      <c r="CK78" s="1850">
        <v>45511</v>
      </c>
      <c r="CL78" s="1738" t="s">
        <v>6809</v>
      </c>
      <c r="CM78" s="1844">
        <v>100</v>
      </c>
      <c r="CN78" s="1787" t="s">
        <v>280</v>
      </c>
      <c r="CO78" s="2165">
        <v>45868</v>
      </c>
      <c r="CP78" s="2166" t="s">
        <v>6810</v>
      </c>
      <c r="CQ78" s="2163">
        <f>ABS(CS96)</f>
        <v>16.07</v>
      </c>
      <c r="CR78" s="1430" t="s">
        <v>278</v>
      </c>
      <c r="CS78" s="1430"/>
    </row>
    <row r="79" spans="1:98">
      <c r="A79" s="1780">
        <v>37499</v>
      </c>
      <c r="B79" s="1711" t="s">
        <v>1616</v>
      </c>
      <c r="C79" s="1716">
        <v>8</v>
      </c>
      <c r="D79" s="1717"/>
      <c r="E79" s="1781">
        <v>37856</v>
      </c>
      <c r="F79" s="1703" t="s">
        <v>6811</v>
      </c>
      <c r="G79" s="1704">
        <v>50</v>
      </c>
      <c r="H79" s="1705"/>
      <c r="I79" s="1781"/>
      <c r="J79" s="1703"/>
      <c r="K79" s="1704"/>
      <c r="L79" s="1705"/>
      <c r="M79" s="1781"/>
      <c r="N79" s="1703"/>
      <c r="O79" s="1704"/>
      <c r="P79" s="1705"/>
      <c r="Q79" s="1781"/>
      <c r="R79" s="1703"/>
      <c r="S79" s="1704"/>
      <c r="T79" s="1705"/>
      <c r="U79" s="1781"/>
      <c r="V79" s="1703"/>
      <c r="W79" s="1704"/>
      <c r="X79" s="1705"/>
      <c r="Y79" s="1781">
        <v>39691</v>
      </c>
      <c r="Z79" s="1703" t="s">
        <v>6812</v>
      </c>
      <c r="AA79" s="1704">
        <v>17</v>
      </c>
      <c r="AB79" s="1705"/>
      <c r="AC79" s="1781"/>
      <c r="AD79" s="1703"/>
      <c r="AE79" s="1704"/>
      <c r="AF79" s="1705"/>
      <c r="AG79" s="1781"/>
      <c r="AH79" s="1711"/>
      <c r="AI79" s="1797"/>
      <c r="AJ79" s="1705"/>
      <c r="AK79" s="1781"/>
      <c r="AL79" s="1703"/>
      <c r="AM79" s="1704"/>
      <c r="AN79" s="1705"/>
      <c r="AO79" s="1781"/>
      <c r="AP79" s="1703"/>
      <c r="AQ79" s="1704"/>
      <c r="AR79" s="1705"/>
      <c r="AS79" s="1781">
        <v>41516</v>
      </c>
      <c r="AT79" s="1703" t="s">
        <v>6813</v>
      </c>
      <c r="AU79" s="1704">
        <v>25</v>
      </c>
      <c r="AV79" s="1705"/>
      <c r="AW79" s="1781"/>
      <c r="AX79" s="1703"/>
      <c r="AY79" s="1704"/>
      <c r="AZ79" s="1705"/>
      <c r="BA79" s="1781"/>
      <c r="BB79" s="1711"/>
      <c r="BC79" s="1796"/>
      <c r="BD79" s="1705"/>
      <c r="BE79" s="1781"/>
      <c r="BF79" s="1711"/>
      <c r="BG79" s="1796"/>
      <c r="BH79" s="1705"/>
      <c r="BI79" s="1781">
        <v>42969</v>
      </c>
      <c r="BJ79" s="1703" t="s">
        <v>6814</v>
      </c>
      <c r="BK79" s="1704">
        <v>15</v>
      </c>
      <c r="BL79" s="1705"/>
      <c r="BM79" s="1781"/>
      <c r="BN79" s="1703"/>
      <c r="BO79" s="1704"/>
      <c r="BP79" s="1705"/>
      <c r="BQ79" s="1781">
        <v>43708</v>
      </c>
      <c r="BR79" s="1703" t="s">
        <v>872</v>
      </c>
      <c r="BS79" s="1704">
        <v>28</v>
      </c>
      <c r="BT79" s="1710" t="s">
        <v>414</v>
      </c>
      <c r="BU79" s="1706">
        <v>44073</v>
      </c>
      <c r="BV79" s="1703"/>
      <c r="BW79" s="1704"/>
      <c r="BX79" s="1710"/>
      <c r="BY79" s="1795">
        <v>44435</v>
      </c>
      <c r="BZ79" s="1703" t="s">
        <v>6815</v>
      </c>
      <c r="CA79" s="1784">
        <v>19</v>
      </c>
      <c r="CB79" s="1788" t="s">
        <v>280</v>
      </c>
      <c r="CC79" s="1794">
        <v>44785</v>
      </c>
      <c r="CD79" s="1703" t="s">
        <v>6816</v>
      </c>
      <c r="CE79" s="1791">
        <v>67</v>
      </c>
      <c r="CF79" s="1787"/>
      <c r="CG79" s="1794">
        <v>45150</v>
      </c>
      <c r="CH79" s="1703" t="s">
        <v>6817</v>
      </c>
      <c r="CI79" s="1791">
        <v>40</v>
      </c>
      <c r="CJ79" s="1788" t="s">
        <v>284</v>
      </c>
      <c r="CK79" s="1850">
        <v>45511</v>
      </c>
      <c r="CL79" s="1738" t="s">
        <v>6818</v>
      </c>
      <c r="CM79" s="1844">
        <v>12</v>
      </c>
      <c r="CN79" s="1787" t="s">
        <v>280</v>
      </c>
      <c r="CO79" s="2165">
        <v>45868</v>
      </c>
      <c r="CP79" s="2166" t="s">
        <v>6819</v>
      </c>
      <c r="CQ79" s="2163">
        <f>ABS(CS97)</f>
        <v>11.97</v>
      </c>
      <c r="CR79" s="1430" t="s">
        <v>278</v>
      </c>
      <c r="CS79" s="1430"/>
    </row>
    <row r="80" spans="1:98">
      <c r="A80" s="1798"/>
      <c r="B80" s="1711"/>
      <c r="C80" s="1716"/>
      <c r="D80" s="1717"/>
      <c r="E80" s="1781">
        <v>37857</v>
      </c>
      <c r="F80" s="1703" t="s">
        <v>2933</v>
      </c>
      <c r="G80" s="1704">
        <v>50</v>
      </c>
      <c r="H80" s="1705"/>
      <c r="I80" s="1781"/>
      <c r="J80" s="1703"/>
      <c r="K80" s="1704"/>
      <c r="L80" s="1705"/>
      <c r="M80" s="1781"/>
      <c r="N80" s="1703"/>
      <c r="O80" s="1704"/>
      <c r="P80" s="1705"/>
      <c r="Q80" s="1781"/>
      <c r="R80" s="1703"/>
      <c r="S80" s="1704"/>
      <c r="T80" s="1705"/>
      <c r="U80" s="1781"/>
      <c r="V80" s="1703"/>
      <c r="W80" s="1704"/>
      <c r="X80" s="1705"/>
      <c r="Y80" s="1781"/>
      <c r="Z80" s="1703"/>
      <c r="AA80" s="1704"/>
      <c r="AB80" s="1705"/>
      <c r="AC80" s="1781"/>
      <c r="AD80" s="1703"/>
      <c r="AE80" s="1704"/>
      <c r="AF80" s="1705"/>
      <c r="AG80" s="1781"/>
      <c r="AH80" s="1711"/>
      <c r="AI80" s="1797"/>
      <c r="AJ80" s="1705"/>
      <c r="AK80" s="1781"/>
      <c r="AL80" s="1711"/>
      <c r="AM80" s="1796"/>
      <c r="AN80" s="1705"/>
      <c r="AO80" s="1781"/>
      <c r="AP80" s="1703"/>
      <c r="AQ80" s="1704"/>
      <c r="AR80" s="1705"/>
      <c r="AS80" s="1781">
        <v>41516</v>
      </c>
      <c r="AT80" s="1703" t="s">
        <v>6820</v>
      </c>
      <c r="AU80" s="1704">
        <v>38</v>
      </c>
      <c r="AV80" s="1705"/>
      <c r="AW80" s="1781"/>
      <c r="AX80" s="1703"/>
      <c r="AY80" s="1704"/>
      <c r="AZ80" s="1705"/>
      <c r="BA80" s="1781"/>
      <c r="BB80" s="1711"/>
      <c r="BC80" s="1796"/>
      <c r="BD80" s="1705"/>
      <c r="BE80" s="1781"/>
      <c r="BF80" s="1711"/>
      <c r="BG80" s="1796"/>
      <c r="BH80" s="1705"/>
      <c r="BI80" s="1781">
        <v>42970</v>
      </c>
      <c r="BJ80" s="1711" t="s">
        <v>6821</v>
      </c>
      <c r="BK80" s="1796">
        <v>0</v>
      </c>
      <c r="BL80" s="1705"/>
      <c r="BM80" s="1781"/>
      <c r="BN80" s="1703"/>
      <c r="BO80" s="1704"/>
      <c r="BP80" s="1705"/>
      <c r="BQ80" s="1781">
        <v>43708</v>
      </c>
      <c r="BR80" s="1703" t="s">
        <v>873</v>
      </c>
      <c r="BS80" s="1704">
        <v>30</v>
      </c>
      <c r="BT80" s="1710" t="s">
        <v>414</v>
      </c>
      <c r="BU80" s="1781"/>
      <c r="BV80" s="1703"/>
      <c r="BW80" s="1704"/>
      <c r="BX80" s="1710"/>
      <c r="BY80" s="1795">
        <v>44435</v>
      </c>
      <c r="BZ80" s="1703" t="s">
        <v>1589</v>
      </c>
      <c r="CA80" s="1784">
        <v>35</v>
      </c>
      <c r="CB80" s="1788" t="s">
        <v>280</v>
      </c>
      <c r="CC80" s="1794">
        <v>44785</v>
      </c>
      <c r="CD80" s="1703" t="s">
        <v>6822</v>
      </c>
      <c r="CE80" s="1791">
        <v>35</v>
      </c>
      <c r="CF80" s="1787" t="s">
        <v>278</v>
      </c>
      <c r="CG80" s="1794">
        <v>45150</v>
      </c>
      <c r="CH80" s="1703" t="s">
        <v>6823</v>
      </c>
      <c r="CI80" s="1791">
        <v>22</v>
      </c>
      <c r="CJ80" s="1788" t="s">
        <v>280</v>
      </c>
      <c r="CK80" s="1850">
        <v>45511</v>
      </c>
      <c r="CL80" s="1738" t="s">
        <v>6824</v>
      </c>
      <c r="CM80" s="1844">
        <v>30</v>
      </c>
      <c r="CN80" s="1787" t="s">
        <v>278</v>
      </c>
      <c r="CO80" s="2165">
        <v>45869</v>
      </c>
      <c r="CP80" s="2166" t="s">
        <v>6825</v>
      </c>
      <c r="CQ80" s="2163">
        <f>ABS(CS98)</f>
        <v>16.07</v>
      </c>
      <c r="CR80" s="1430" t="s">
        <v>278</v>
      </c>
      <c r="CS80" s="1430"/>
    </row>
    <row r="81" spans="1:97">
      <c r="A81" s="1798"/>
      <c r="B81" s="1711"/>
      <c r="C81" s="1716"/>
      <c r="D81" s="1717"/>
      <c r="E81" s="1781">
        <v>37857</v>
      </c>
      <c r="F81" s="1703" t="s">
        <v>772</v>
      </c>
      <c r="G81" s="1704">
        <v>31</v>
      </c>
      <c r="H81" s="1705"/>
      <c r="I81" s="1781"/>
      <c r="J81" s="1703"/>
      <c r="K81" s="1704"/>
      <c r="L81" s="1705"/>
      <c r="M81" s="1781"/>
      <c r="N81" s="1703"/>
      <c r="O81" s="1704"/>
      <c r="P81" s="1705"/>
      <c r="Q81" s="1781"/>
      <c r="R81" s="1703"/>
      <c r="S81" s="1704"/>
      <c r="T81" s="1705"/>
      <c r="U81" s="1781"/>
      <c r="V81" s="1703"/>
      <c r="W81" s="1704"/>
      <c r="X81" s="1705"/>
      <c r="Y81" s="1781"/>
      <c r="Z81" s="1703"/>
      <c r="AA81" s="1704"/>
      <c r="AB81" s="1705"/>
      <c r="AC81" s="1781"/>
      <c r="AD81" s="1703"/>
      <c r="AE81" s="1704"/>
      <c r="AF81" s="1705"/>
      <c r="AG81" s="1781"/>
      <c r="AH81" s="1703"/>
      <c r="AI81" s="1704"/>
      <c r="AJ81" s="1705"/>
      <c r="AK81" s="1781"/>
      <c r="AL81" s="1711"/>
      <c r="AM81" s="1796"/>
      <c r="AN81" s="1705"/>
      <c r="AO81" s="1781"/>
      <c r="AP81" s="1703"/>
      <c r="AQ81" s="1704"/>
      <c r="AR81" s="1705"/>
      <c r="AS81" s="1781">
        <v>41516</v>
      </c>
      <c r="AT81" s="1703" t="s">
        <v>6826</v>
      </c>
      <c r="AU81" s="1704">
        <v>6</v>
      </c>
      <c r="AV81" s="1705"/>
      <c r="AW81" s="1781"/>
      <c r="AX81" s="1703"/>
      <c r="AY81" s="1704"/>
      <c r="AZ81" s="1705"/>
      <c r="BA81" s="1781"/>
      <c r="BB81" s="1711"/>
      <c r="BC81" s="1797"/>
      <c r="BD81" s="1705"/>
      <c r="BE81" s="1781"/>
      <c r="BF81" s="1711"/>
      <c r="BG81" s="1797"/>
      <c r="BH81" s="1705"/>
      <c r="BI81" s="1781">
        <v>42970</v>
      </c>
      <c r="BJ81" s="1711" t="s">
        <v>1903</v>
      </c>
      <c r="BK81" s="1796">
        <v>75</v>
      </c>
      <c r="BL81" s="1705"/>
      <c r="BM81" s="1781"/>
      <c r="BN81" s="1703"/>
      <c r="BO81" s="1704"/>
      <c r="BP81" s="1705"/>
      <c r="BQ81" s="1781"/>
      <c r="BR81" s="1703"/>
      <c r="BS81" s="1704"/>
      <c r="BT81" s="1710"/>
      <c r="BU81" s="1781"/>
      <c r="BV81" s="1711"/>
      <c r="BW81" s="1704"/>
      <c r="BX81" s="1710"/>
      <c r="BY81" s="1795">
        <v>44436</v>
      </c>
      <c r="BZ81" s="1703" t="s">
        <v>6827</v>
      </c>
      <c r="CA81" s="1784">
        <v>24</v>
      </c>
      <c r="CB81" s="1788" t="s">
        <v>280</v>
      </c>
      <c r="CC81" s="1794">
        <v>44785</v>
      </c>
      <c r="CD81" s="1703" t="s">
        <v>6828</v>
      </c>
      <c r="CE81" s="1791">
        <v>60</v>
      </c>
      <c r="CF81" s="1787" t="s">
        <v>278</v>
      </c>
      <c r="CG81" s="1794">
        <v>45150</v>
      </c>
      <c r="CH81" s="1703" t="s">
        <v>6829</v>
      </c>
      <c r="CI81" s="1791">
        <v>3</v>
      </c>
      <c r="CJ81" s="1788" t="s">
        <v>414</v>
      </c>
      <c r="CK81" s="1850">
        <v>45511</v>
      </c>
      <c r="CL81" s="1738" t="s">
        <v>6830</v>
      </c>
      <c r="CM81" s="1844">
        <v>10</v>
      </c>
      <c r="CN81" s="1787" t="s">
        <v>278</v>
      </c>
      <c r="CO81" s="2165">
        <v>45869</v>
      </c>
      <c r="CP81" s="2166" t="s">
        <v>6831</v>
      </c>
      <c r="CQ81" s="2163">
        <f>ABS(CS99)</f>
        <v>1085.19</v>
      </c>
      <c r="CR81" s="1430" t="s">
        <v>381</v>
      </c>
      <c r="CS81" s="1430"/>
    </row>
    <row r="82" spans="1:97">
      <c r="A82" s="1798"/>
      <c r="B82" s="1711"/>
      <c r="C82" s="1716"/>
      <c r="D82" s="1717"/>
      <c r="E82" s="1781">
        <v>37857</v>
      </c>
      <c r="F82" s="1703" t="s">
        <v>1810</v>
      </c>
      <c r="G82" s="1704">
        <v>39</v>
      </c>
      <c r="H82" s="1705"/>
      <c r="I82" s="1781"/>
      <c r="J82" s="1703"/>
      <c r="K82" s="1704"/>
      <c r="L82" s="1705"/>
      <c r="M82" s="1781"/>
      <c r="N82" s="1703"/>
      <c r="O82" s="1704"/>
      <c r="P82" s="1705"/>
      <c r="Q82" s="1781"/>
      <c r="R82" s="1703"/>
      <c r="S82" s="1704"/>
      <c r="T82" s="1705"/>
      <c r="U82" s="1781"/>
      <c r="V82" s="1703"/>
      <c r="W82" s="1704"/>
      <c r="X82" s="1705"/>
      <c r="Y82" s="1781"/>
      <c r="Z82" s="1703"/>
      <c r="AA82" s="1704"/>
      <c r="AB82" s="1705"/>
      <c r="AC82" s="1781"/>
      <c r="AD82" s="1703"/>
      <c r="AE82" s="1704"/>
      <c r="AF82" s="1705"/>
      <c r="AG82" s="1781"/>
      <c r="AH82" s="1703"/>
      <c r="AI82" s="1704"/>
      <c r="AJ82" s="1705"/>
      <c r="AK82" s="1781"/>
      <c r="AL82" s="1711"/>
      <c r="AM82" s="1797"/>
      <c r="AN82" s="1705"/>
      <c r="AO82" s="1781"/>
      <c r="AP82" s="1703"/>
      <c r="AQ82" s="1704"/>
      <c r="AR82" s="1705"/>
      <c r="AS82" s="1781">
        <v>41517</v>
      </c>
      <c r="AT82" s="1703" t="s">
        <v>2899</v>
      </c>
      <c r="AU82" s="1704">
        <v>8</v>
      </c>
      <c r="AV82" s="1705"/>
      <c r="AW82" s="1781"/>
      <c r="AX82" s="1703"/>
      <c r="AY82" s="1704"/>
      <c r="AZ82" s="1705"/>
      <c r="BA82" s="1781"/>
      <c r="BB82" s="1711"/>
      <c r="BC82" s="1797"/>
      <c r="BD82" s="1705"/>
      <c r="BE82" s="1781"/>
      <c r="BF82" s="1711"/>
      <c r="BG82" s="1797"/>
      <c r="BH82" s="1705"/>
      <c r="BI82" s="1781">
        <v>42970</v>
      </c>
      <c r="BJ82" s="1711" t="s">
        <v>5353</v>
      </c>
      <c r="BK82" s="1797">
        <v>52</v>
      </c>
      <c r="BL82" s="1705"/>
      <c r="BM82" s="1781"/>
      <c r="BN82" s="1711"/>
      <c r="BO82" s="1796"/>
      <c r="BP82" s="1705"/>
      <c r="BQ82" s="1781"/>
      <c r="BR82" s="1711"/>
      <c r="BS82" s="1796"/>
      <c r="BT82" s="1710"/>
      <c r="BU82" s="1781"/>
      <c r="BV82" s="1703"/>
      <c r="BW82" s="1704"/>
      <c r="BX82" s="1710"/>
      <c r="BY82" s="1795">
        <v>44436</v>
      </c>
      <c r="BZ82" s="1703" t="s">
        <v>845</v>
      </c>
      <c r="CA82" s="1784">
        <v>78</v>
      </c>
      <c r="CB82" s="1788" t="s">
        <v>414</v>
      </c>
      <c r="CC82" s="1794">
        <v>44785</v>
      </c>
      <c r="CD82" s="1703" t="s">
        <v>6832</v>
      </c>
      <c r="CE82" s="1791">
        <v>50</v>
      </c>
      <c r="CF82" s="1787" t="s">
        <v>278</v>
      </c>
      <c r="CG82" s="1794">
        <v>45150</v>
      </c>
      <c r="CH82" s="1703" t="s">
        <v>6833</v>
      </c>
      <c r="CI82" s="1791">
        <v>14</v>
      </c>
      <c r="CJ82" s="1788" t="s">
        <v>414</v>
      </c>
      <c r="CK82" s="1850">
        <v>45511</v>
      </c>
      <c r="CL82" s="1738" t="s">
        <v>1180</v>
      </c>
      <c r="CM82" s="1844">
        <v>88</v>
      </c>
      <c r="CN82" s="1787" t="s">
        <v>410</v>
      </c>
      <c r="CO82" s="2165">
        <v>45869</v>
      </c>
      <c r="CP82" s="2166" t="s">
        <v>6834</v>
      </c>
      <c r="CQ82" s="2163">
        <f>ABS(CS100)</f>
        <v>9.77</v>
      </c>
      <c r="CR82" s="1430" t="s">
        <v>277</v>
      </c>
      <c r="CS82" s="1430"/>
    </row>
    <row r="83" spans="1:97">
      <c r="A83" s="1798"/>
      <c r="B83" s="1711"/>
      <c r="C83" s="1716"/>
      <c r="D83" s="1717"/>
      <c r="E83" s="1781">
        <v>37859</v>
      </c>
      <c r="F83" s="1703" t="s">
        <v>6426</v>
      </c>
      <c r="G83" s="1704">
        <v>46</v>
      </c>
      <c r="H83" s="1705"/>
      <c r="I83" s="1781"/>
      <c r="J83" s="1703"/>
      <c r="K83" s="1704"/>
      <c r="L83" s="1705"/>
      <c r="M83" s="1781"/>
      <c r="N83" s="1703"/>
      <c r="O83" s="1704"/>
      <c r="P83" s="1705"/>
      <c r="Q83" s="1781"/>
      <c r="R83" s="1703"/>
      <c r="S83" s="1704"/>
      <c r="T83" s="1705"/>
      <c r="U83" s="1781"/>
      <c r="V83" s="1703"/>
      <c r="W83" s="1704"/>
      <c r="X83" s="1705"/>
      <c r="Y83" s="1781"/>
      <c r="Z83" s="1703"/>
      <c r="AA83" s="1704"/>
      <c r="AB83" s="1705"/>
      <c r="AC83" s="1781"/>
      <c r="AD83" s="1703"/>
      <c r="AE83" s="1704"/>
      <c r="AF83" s="1705"/>
      <c r="AG83" s="1781"/>
      <c r="AH83" s="1711"/>
      <c r="AI83" s="1704"/>
      <c r="AJ83" s="1705"/>
      <c r="AK83" s="1781"/>
      <c r="AL83" s="1711"/>
      <c r="AM83" s="1797"/>
      <c r="AN83" s="1705"/>
      <c r="AO83" s="1781"/>
      <c r="AP83" s="1703"/>
      <c r="AQ83" s="1704"/>
      <c r="AR83" s="1705"/>
      <c r="AS83" s="1781">
        <v>41517</v>
      </c>
      <c r="AT83" s="1703" t="s">
        <v>6835</v>
      </c>
      <c r="AU83" s="1704">
        <v>10</v>
      </c>
      <c r="AV83" s="1705"/>
      <c r="AW83" s="1781"/>
      <c r="AX83" s="1703"/>
      <c r="AY83" s="1704"/>
      <c r="AZ83" s="1705"/>
      <c r="BA83" s="1781"/>
      <c r="BB83" s="1703"/>
      <c r="BC83" s="1704"/>
      <c r="BD83" s="1705"/>
      <c r="BE83" s="1781"/>
      <c r="BF83" s="1703"/>
      <c r="BG83" s="1704"/>
      <c r="BH83" s="1705"/>
      <c r="BI83" s="1781">
        <v>42971</v>
      </c>
      <c r="BJ83" s="1711" t="s">
        <v>872</v>
      </c>
      <c r="BK83" s="1797">
        <v>22</v>
      </c>
      <c r="BL83" s="1705"/>
      <c r="BM83" s="1781"/>
      <c r="BN83" s="1711"/>
      <c r="BO83" s="1796"/>
      <c r="BP83" s="1705"/>
      <c r="BQ83" s="1781"/>
      <c r="BR83" s="1711"/>
      <c r="BS83" s="1796"/>
      <c r="BT83" s="1710"/>
      <c r="BU83" s="1781"/>
      <c r="BV83" s="1703"/>
      <c r="BW83" s="1704"/>
      <c r="BX83" s="1710"/>
      <c r="BY83" s="1795">
        <v>44436</v>
      </c>
      <c r="BZ83" s="1703" t="s">
        <v>828</v>
      </c>
      <c r="CA83" s="1784">
        <v>19</v>
      </c>
      <c r="CB83" s="1788" t="s">
        <v>414</v>
      </c>
      <c r="CC83" s="1794">
        <v>44785</v>
      </c>
      <c r="CD83" s="1703" t="s">
        <v>6836</v>
      </c>
      <c r="CE83" s="1791">
        <v>89</v>
      </c>
      <c r="CF83" s="1787" t="s">
        <v>278</v>
      </c>
      <c r="CG83" s="1794">
        <v>45150</v>
      </c>
      <c r="CH83" s="1703" t="s">
        <v>6837</v>
      </c>
      <c r="CI83" s="1791">
        <v>13</v>
      </c>
      <c r="CJ83" s="1788" t="s">
        <v>414</v>
      </c>
      <c r="CK83" s="1850">
        <v>45511</v>
      </c>
      <c r="CL83" s="1738" t="s">
        <v>6838</v>
      </c>
      <c r="CM83" s="1844">
        <v>21</v>
      </c>
      <c r="CN83" s="1787" t="s">
        <v>278</v>
      </c>
      <c r="CO83" s="2165">
        <v>45869</v>
      </c>
      <c r="CP83" s="2166" t="s">
        <v>6839</v>
      </c>
      <c r="CQ83" s="2163">
        <f>ABS(CS101)</f>
        <v>105.09</v>
      </c>
      <c r="CR83" s="1430" t="s">
        <v>278</v>
      </c>
      <c r="CS83" s="1430"/>
    </row>
    <row r="84" spans="1:97">
      <c r="A84" s="1798"/>
      <c r="B84" s="1711"/>
      <c r="C84" s="1716"/>
      <c r="D84" s="1717"/>
      <c r="E84" s="1781">
        <v>37861</v>
      </c>
      <c r="F84" s="1703" t="s">
        <v>1810</v>
      </c>
      <c r="G84" s="1704">
        <v>90</v>
      </c>
      <c r="H84" s="1705"/>
      <c r="I84" s="1781"/>
      <c r="J84" s="1703"/>
      <c r="K84" s="1704"/>
      <c r="L84" s="1705"/>
      <c r="M84" s="1781"/>
      <c r="N84" s="1703"/>
      <c r="O84" s="1704"/>
      <c r="P84" s="1705"/>
      <c r="Q84" s="1781"/>
      <c r="R84" s="1703"/>
      <c r="S84" s="1704"/>
      <c r="T84" s="1705"/>
      <c r="U84" s="1781"/>
      <c r="V84" s="1703"/>
      <c r="W84" s="1704"/>
      <c r="X84" s="1705"/>
      <c r="Y84" s="1781"/>
      <c r="Z84" s="1703"/>
      <c r="AA84" s="1704"/>
      <c r="AB84" s="1705"/>
      <c r="AC84" s="1781"/>
      <c r="AD84" s="1703"/>
      <c r="AE84" s="1704"/>
      <c r="AF84" s="1705"/>
      <c r="AG84" s="1781"/>
      <c r="AH84" s="1703"/>
      <c r="AI84" s="1704"/>
      <c r="AJ84" s="1705"/>
      <c r="AK84" s="1781"/>
      <c r="AL84" s="1703"/>
      <c r="AM84" s="1704"/>
      <c r="AN84" s="1705"/>
      <c r="AO84" s="1781"/>
      <c r="AP84" s="1711"/>
      <c r="AQ84" s="1796"/>
      <c r="AR84" s="1705"/>
      <c r="AS84" s="1781">
        <v>41517</v>
      </c>
      <c r="AT84" s="1703" t="s">
        <v>6840</v>
      </c>
      <c r="AU84" s="1704">
        <v>5</v>
      </c>
      <c r="AV84" s="1705"/>
      <c r="AW84" s="1781"/>
      <c r="AX84" s="1711"/>
      <c r="AY84" s="1796"/>
      <c r="AZ84" s="1705"/>
      <c r="BA84" s="1781"/>
      <c r="BB84" s="1703"/>
      <c r="BC84" s="1704"/>
      <c r="BD84" s="1705"/>
      <c r="BE84" s="1781"/>
      <c r="BF84" s="1703"/>
      <c r="BG84" s="1704"/>
      <c r="BH84" s="1705"/>
      <c r="BI84" s="1781">
        <v>42972</v>
      </c>
      <c r="BJ84" s="1703" t="s">
        <v>823</v>
      </c>
      <c r="BK84" s="1704">
        <v>25</v>
      </c>
      <c r="BL84" s="1705"/>
      <c r="BM84" s="1781"/>
      <c r="BN84" s="1711"/>
      <c r="BO84" s="1797"/>
      <c r="BP84" s="1705"/>
      <c r="BQ84" s="1781"/>
      <c r="BR84" s="1711"/>
      <c r="BS84" s="1797"/>
      <c r="BT84" s="1710"/>
      <c r="BU84" s="1781"/>
      <c r="BV84" s="1703"/>
      <c r="BW84" s="1704"/>
      <c r="BX84" s="1710"/>
      <c r="BY84" s="1795">
        <v>44436</v>
      </c>
      <c r="BZ84" s="1703" t="s">
        <v>772</v>
      </c>
      <c r="CA84" s="1784">
        <v>16</v>
      </c>
      <c r="CB84" s="1788" t="s">
        <v>414</v>
      </c>
      <c r="CC84" s="1794">
        <v>44785</v>
      </c>
      <c r="CD84" s="1703" t="s">
        <v>6841</v>
      </c>
      <c r="CE84" s="1791">
        <v>37</v>
      </c>
      <c r="CF84" s="1787" t="s">
        <v>278</v>
      </c>
      <c r="CG84" s="1794">
        <v>45150</v>
      </c>
      <c r="CH84" s="1703" t="s">
        <v>6842</v>
      </c>
      <c r="CI84" s="1791">
        <v>9</v>
      </c>
      <c r="CJ84" s="1788" t="s">
        <v>414</v>
      </c>
      <c r="CK84" s="1850">
        <v>45516</v>
      </c>
      <c r="CL84" s="1738" t="s">
        <v>6843</v>
      </c>
      <c r="CM84" s="1844">
        <v>150</v>
      </c>
      <c r="CN84" s="1787" t="s">
        <v>280</v>
      </c>
      <c r="CO84" s="2165">
        <v>45869</v>
      </c>
      <c r="CP84" s="2166" t="s">
        <v>6844</v>
      </c>
      <c r="CQ84" s="2163">
        <f>ABS(CS102)</f>
        <v>21.33</v>
      </c>
      <c r="CR84" s="1430" t="s">
        <v>278</v>
      </c>
      <c r="CS84" s="1430"/>
    </row>
    <row r="85" spans="1:97">
      <c r="A85" s="1798"/>
      <c r="B85" s="1711"/>
      <c r="C85" s="1716"/>
      <c r="D85" s="1717"/>
      <c r="E85" s="1781">
        <v>37861</v>
      </c>
      <c r="F85" s="1703" t="s">
        <v>6845</v>
      </c>
      <c r="G85" s="1704">
        <v>5</v>
      </c>
      <c r="H85" s="1705"/>
      <c r="I85" s="1781"/>
      <c r="J85" s="1703"/>
      <c r="K85" s="1704"/>
      <c r="L85" s="1705"/>
      <c r="M85" s="1781"/>
      <c r="N85" s="1703"/>
      <c r="O85" s="1704"/>
      <c r="P85" s="1705"/>
      <c r="Q85" s="1781"/>
      <c r="R85" s="1703"/>
      <c r="S85" s="1704"/>
      <c r="T85" s="1705"/>
      <c r="U85" s="1781"/>
      <c r="V85" s="1703"/>
      <c r="W85" s="1704"/>
      <c r="X85" s="1705"/>
      <c r="Y85" s="1781"/>
      <c r="Z85" s="1703"/>
      <c r="AA85" s="1704"/>
      <c r="AB85" s="1705"/>
      <c r="AC85" s="1781"/>
      <c r="AD85" s="1703"/>
      <c r="AE85" s="1704"/>
      <c r="AF85" s="1705"/>
      <c r="AG85" s="1781"/>
      <c r="AH85" s="1703"/>
      <c r="AI85" s="1704"/>
      <c r="AJ85" s="1705"/>
      <c r="AK85" s="1781"/>
      <c r="AL85" s="1703"/>
      <c r="AM85" s="1704"/>
      <c r="AN85" s="1705"/>
      <c r="AO85" s="1781"/>
      <c r="AP85" s="1711"/>
      <c r="AQ85" s="1796"/>
      <c r="AR85" s="1705"/>
      <c r="AS85" s="1781">
        <v>41517</v>
      </c>
      <c r="AT85" s="1711" t="s">
        <v>6846</v>
      </c>
      <c r="AU85" s="1796">
        <v>4</v>
      </c>
      <c r="AV85" s="1705"/>
      <c r="AW85" s="1781"/>
      <c r="AX85" s="1711"/>
      <c r="AY85" s="1796"/>
      <c r="AZ85" s="1705"/>
      <c r="BA85" s="1781"/>
      <c r="BB85" s="1711"/>
      <c r="BC85" s="1704"/>
      <c r="BD85" s="1705"/>
      <c r="BE85" s="1781"/>
      <c r="BF85" s="1711"/>
      <c r="BG85" s="1704"/>
      <c r="BH85" s="1705"/>
      <c r="BI85" s="1781">
        <v>42972</v>
      </c>
      <c r="BJ85" s="1703" t="s">
        <v>1052</v>
      </c>
      <c r="BK85" s="1704">
        <v>23</v>
      </c>
      <c r="BL85" s="1705"/>
      <c r="BM85" s="1781"/>
      <c r="BN85" s="1711"/>
      <c r="BO85" s="1797"/>
      <c r="BP85" s="1705"/>
      <c r="BQ85" s="1781"/>
      <c r="BR85" s="1711"/>
      <c r="BS85" s="1797"/>
      <c r="BT85" s="1710"/>
      <c r="BU85" s="1781"/>
      <c r="BV85" s="1703"/>
      <c r="BW85" s="1704"/>
      <c r="BX85" s="1710"/>
      <c r="BY85" s="1795">
        <v>44436</v>
      </c>
      <c r="BZ85" s="1703" t="s">
        <v>948</v>
      </c>
      <c r="CA85" s="1784">
        <v>27</v>
      </c>
      <c r="CB85" s="1788" t="s">
        <v>414</v>
      </c>
      <c r="CC85" s="1794">
        <v>44786</v>
      </c>
      <c r="CD85" s="1703" t="s">
        <v>6847</v>
      </c>
      <c r="CE85" s="1791">
        <v>19</v>
      </c>
      <c r="CF85" s="1787" t="s">
        <v>381</v>
      </c>
      <c r="CG85" s="1794">
        <v>45150</v>
      </c>
      <c r="CH85" s="1703" t="s">
        <v>6848</v>
      </c>
      <c r="CI85" s="1791">
        <v>13</v>
      </c>
      <c r="CJ85" s="1788" t="s">
        <v>414</v>
      </c>
      <c r="CK85" s="1850">
        <v>45519</v>
      </c>
      <c r="CL85" s="1738" t="s">
        <v>6849</v>
      </c>
      <c r="CM85" s="1844">
        <v>15</v>
      </c>
      <c r="CN85" s="1787" t="s">
        <v>278</v>
      </c>
      <c r="CO85" s="2165">
        <v>45869</v>
      </c>
      <c r="CP85" s="2167" t="s">
        <v>6850</v>
      </c>
      <c r="CQ85" s="2163">
        <f>ABS(CS103)</f>
        <v>111.65</v>
      </c>
      <c r="CR85" s="1430" t="s">
        <v>381</v>
      </c>
      <c r="CS85" s="1430"/>
    </row>
    <row r="86" spans="1:97">
      <c r="A86" s="1798"/>
      <c r="B86" s="1711"/>
      <c r="C86" s="1716"/>
      <c r="D86" s="1717"/>
      <c r="E86" s="1781">
        <v>37861</v>
      </c>
      <c r="F86" s="1703" t="s">
        <v>772</v>
      </c>
      <c r="G86" s="1704">
        <v>12</v>
      </c>
      <c r="H86" s="1705"/>
      <c r="I86" s="1781"/>
      <c r="J86" s="1703"/>
      <c r="K86" s="1704"/>
      <c r="L86" s="1705"/>
      <c r="M86" s="1781"/>
      <c r="N86" s="1703"/>
      <c r="O86" s="1704"/>
      <c r="P86" s="1705"/>
      <c r="Q86" s="1781"/>
      <c r="R86" s="1703"/>
      <c r="S86" s="1704"/>
      <c r="T86" s="1705"/>
      <c r="U86" s="1781"/>
      <c r="V86" s="1703"/>
      <c r="W86" s="1704"/>
      <c r="X86" s="1705"/>
      <c r="Y86" s="1781"/>
      <c r="Z86" s="1703"/>
      <c r="AA86" s="1704"/>
      <c r="AB86" s="1705"/>
      <c r="AC86" s="1781"/>
      <c r="AD86" s="1703"/>
      <c r="AE86" s="1704"/>
      <c r="AF86" s="1705"/>
      <c r="AG86" s="1781"/>
      <c r="AH86" s="1703"/>
      <c r="AI86" s="1704"/>
      <c r="AJ86" s="1705"/>
      <c r="AK86" s="1781"/>
      <c r="AL86" s="1711"/>
      <c r="AM86" s="1704"/>
      <c r="AN86" s="1705"/>
      <c r="AO86" s="1781"/>
      <c r="AP86" s="1711"/>
      <c r="AQ86" s="1797"/>
      <c r="AR86" s="1705"/>
      <c r="AS86" s="1781">
        <v>41517</v>
      </c>
      <c r="AT86" s="1711" t="s">
        <v>6851</v>
      </c>
      <c r="AU86" s="1796">
        <v>10</v>
      </c>
      <c r="AV86" s="1705"/>
      <c r="AW86" s="1781"/>
      <c r="AX86" s="1711"/>
      <c r="AY86" s="1797"/>
      <c r="AZ86" s="1705"/>
      <c r="BA86" s="1781"/>
      <c r="BB86" s="1703"/>
      <c r="BC86" s="1704"/>
      <c r="BD86" s="1705"/>
      <c r="BE86" s="1781"/>
      <c r="BF86" s="1703"/>
      <c r="BG86" s="1704"/>
      <c r="BH86" s="1705"/>
      <c r="BI86" s="1781">
        <v>42973</v>
      </c>
      <c r="BJ86" s="1711" t="s">
        <v>6852</v>
      </c>
      <c r="BK86" s="1704">
        <v>4</v>
      </c>
      <c r="BL86" s="1705"/>
      <c r="BM86" s="1781"/>
      <c r="BN86" s="1703"/>
      <c r="BO86" s="1704"/>
      <c r="BP86" s="1705"/>
      <c r="BQ86" s="1781"/>
      <c r="BR86" s="1703"/>
      <c r="BS86" s="1704"/>
      <c r="BT86" s="1710"/>
      <c r="BU86" s="1781"/>
      <c r="BV86" s="1703"/>
      <c r="BW86" s="1704"/>
      <c r="BX86" s="1710"/>
      <c r="BY86" s="1795">
        <v>44436</v>
      </c>
      <c r="BZ86" s="1703" t="s">
        <v>6853</v>
      </c>
      <c r="CA86" s="1784">
        <v>0</v>
      </c>
      <c r="CB86" s="1788" t="s">
        <v>414</v>
      </c>
      <c r="CC86" s="1794">
        <v>44786</v>
      </c>
      <c r="CD86" s="1703" t="s">
        <v>6854</v>
      </c>
      <c r="CE86" s="1791">
        <v>60</v>
      </c>
      <c r="CF86" s="1787" t="s">
        <v>278</v>
      </c>
      <c r="CG86" s="1794">
        <v>45150</v>
      </c>
      <c r="CH86" s="1703" t="s">
        <v>1693</v>
      </c>
      <c r="CI86" s="1791">
        <v>35</v>
      </c>
      <c r="CJ86" s="1788" t="s">
        <v>414</v>
      </c>
      <c r="CK86" s="1850">
        <v>45519</v>
      </c>
      <c r="CL86" s="1738" t="s">
        <v>772</v>
      </c>
      <c r="CM86" s="1844">
        <v>45</v>
      </c>
      <c r="CN86" s="1787" t="s">
        <v>414</v>
      </c>
      <c r="CO86" s="2165">
        <v>45869</v>
      </c>
      <c r="CP86" s="2166" t="s">
        <v>6855</v>
      </c>
      <c r="CQ86" s="2163">
        <f>ABS(CS104)</f>
        <v>24.99</v>
      </c>
      <c r="CR86" s="1430" t="s">
        <v>280</v>
      </c>
      <c r="CS86" s="1430"/>
    </row>
    <row r="87" spans="1:97">
      <c r="A87" s="1798"/>
      <c r="B87" s="1711"/>
      <c r="C87" s="1716"/>
      <c r="D87" s="1717"/>
      <c r="E87" s="1781">
        <v>37862</v>
      </c>
      <c r="F87" s="1703" t="s">
        <v>6856</v>
      </c>
      <c r="G87" s="1704">
        <v>79</v>
      </c>
      <c r="H87" s="1705"/>
      <c r="I87" s="1781"/>
      <c r="J87" s="1703"/>
      <c r="K87" s="1704"/>
      <c r="L87" s="1705"/>
      <c r="M87" s="1781"/>
      <c r="N87" s="1703"/>
      <c r="O87" s="1704"/>
      <c r="P87" s="1705"/>
      <c r="Q87" s="1781"/>
      <c r="R87" s="1703"/>
      <c r="S87" s="1704"/>
      <c r="T87" s="1705"/>
      <c r="U87" s="1781"/>
      <c r="V87" s="1703"/>
      <c r="W87" s="1704"/>
      <c r="X87" s="1705"/>
      <c r="Y87" s="1781"/>
      <c r="Z87" s="1703"/>
      <c r="AA87" s="1704"/>
      <c r="AB87" s="1705"/>
      <c r="AC87" s="1781"/>
      <c r="AD87" s="1703"/>
      <c r="AE87" s="1704"/>
      <c r="AF87" s="1705"/>
      <c r="AG87" s="1781"/>
      <c r="AH87" s="1703"/>
      <c r="AI87" s="1704"/>
      <c r="AJ87" s="1705"/>
      <c r="AK87" s="1781"/>
      <c r="AL87" s="1703"/>
      <c r="AM87" s="1704"/>
      <c r="AN87" s="1705"/>
      <c r="AO87" s="1781"/>
      <c r="AP87" s="1711"/>
      <c r="AQ87" s="1797"/>
      <c r="AR87" s="1705"/>
      <c r="AS87" s="1781">
        <v>41517</v>
      </c>
      <c r="AT87" s="1711" t="s">
        <v>6820</v>
      </c>
      <c r="AU87" s="1797">
        <v>41</v>
      </c>
      <c r="AV87" s="1705"/>
      <c r="AW87" s="1781"/>
      <c r="AX87" s="1711"/>
      <c r="AY87" s="1797"/>
      <c r="AZ87" s="1705"/>
      <c r="BA87" s="1781"/>
      <c r="BB87" s="1703"/>
      <c r="BC87" s="1704"/>
      <c r="BD87" s="1705"/>
      <c r="BE87" s="1781"/>
      <c r="BF87" s="1703"/>
      <c r="BG87" s="1704"/>
      <c r="BH87" s="1705"/>
      <c r="BI87" s="1781">
        <v>42973</v>
      </c>
      <c r="BJ87" s="1703" t="s">
        <v>872</v>
      </c>
      <c r="BK87" s="1704">
        <v>25</v>
      </c>
      <c r="BL87" s="1705"/>
      <c r="BM87" s="1781"/>
      <c r="BN87" s="1703"/>
      <c r="BO87" s="1704"/>
      <c r="BP87" s="1705"/>
      <c r="BQ87" s="1781"/>
      <c r="BR87" s="1703"/>
      <c r="BS87" s="1704"/>
      <c r="BT87" s="1710"/>
      <c r="BU87" s="1781"/>
      <c r="BV87" s="1703"/>
      <c r="BW87" s="1704"/>
      <c r="BX87" s="1710"/>
      <c r="BY87" s="1795">
        <v>44436</v>
      </c>
      <c r="BZ87" s="1703" t="s">
        <v>6857</v>
      </c>
      <c r="CA87" s="1784">
        <v>125</v>
      </c>
      <c r="CB87" s="1788" t="s">
        <v>700</v>
      </c>
      <c r="CC87" s="1794">
        <v>44786</v>
      </c>
      <c r="CD87" s="1703" t="s">
        <v>6858</v>
      </c>
      <c r="CE87" s="1791">
        <v>175</v>
      </c>
      <c r="CF87" s="1787" t="s">
        <v>381</v>
      </c>
      <c r="CG87" s="1794">
        <v>45150</v>
      </c>
      <c r="CH87" s="1703" t="s">
        <v>6859</v>
      </c>
      <c r="CI87" s="1791">
        <v>13</v>
      </c>
      <c r="CJ87" s="1787" t="s">
        <v>414</v>
      </c>
      <c r="CK87" s="1850">
        <v>45519</v>
      </c>
      <c r="CL87" s="1683" t="s">
        <v>6860</v>
      </c>
      <c r="CM87" s="1844"/>
      <c r="CN87" s="1792"/>
      <c r="CO87" s="2165">
        <v>45869</v>
      </c>
      <c r="CP87" s="2166" t="s">
        <v>6834</v>
      </c>
      <c r="CQ87" s="2163">
        <f>ABS(CS105)</f>
        <v>25.74</v>
      </c>
      <c r="CR87" s="1430" t="s">
        <v>278</v>
      </c>
      <c r="CS87" s="1430"/>
    </row>
    <row r="88" spans="1:97">
      <c r="A88" s="1798"/>
      <c r="B88" s="1711"/>
      <c r="C88" s="1716"/>
      <c r="D88" s="1717"/>
      <c r="E88" s="1781">
        <v>37862</v>
      </c>
      <c r="F88" s="1703" t="s">
        <v>6861</v>
      </c>
      <c r="G88" s="1704">
        <v>15</v>
      </c>
      <c r="H88" s="1705"/>
      <c r="I88" s="1781"/>
      <c r="J88" s="1703"/>
      <c r="K88" s="1704"/>
      <c r="L88" s="1705"/>
      <c r="M88" s="1781"/>
      <c r="N88" s="1703"/>
      <c r="O88" s="1704"/>
      <c r="P88" s="1705"/>
      <c r="Q88" s="1781"/>
      <c r="R88" s="1703"/>
      <c r="S88" s="1704"/>
      <c r="T88" s="1705"/>
      <c r="U88" s="1781"/>
      <c r="V88" s="1703"/>
      <c r="W88" s="1704"/>
      <c r="X88" s="1705"/>
      <c r="Y88" s="1781"/>
      <c r="Z88" s="1703"/>
      <c r="AA88" s="1704"/>
      <c r="AB88" s="1705"/>
      <c r="AC88" s="1781"/>
      <c r="AD88" s="1703"/>
      <c r="AE88" s="1704"/>
      <c r="AF88" s="1705"/>
      <c r="AG88" s="1781"/>
      <c r="AH88" s="1703"/>
      <c r="AI88" s="1704"/>
      <c r="AJ88" s="1705"/>
      <c r="AK88" s="1781"/>
      <c r="AL88" s="1703"/>
      <c r="AM88" s="1704"/>
      <c r="AN88" s="1705"/>
      <c r="AO88" s="1781"/>
      <c r="AP88" s="1703"/>
      <c r="AQ88" s="1704"/>
      <c r="AR88" s="1705"/>
      <c r="AS88" s="1781">
        <v>41517</v>
      </c>
      <c r="AT88" s="1711" t="s">
        <v>6862</v>
      </c>
      <c r="AU88" s="1797">
        <v>240</v>
      </c>
      <c r="AV88" s="1705"/>
      <c r="AW88" s="1781"/>
      <c r="AX88" s="1703"/>
      <c r="AY88" s="1704"/>
      <c r="AZ88" s="1705"/>
      <c r="BA88" s="1781"/>
      <c r="BB88" s="1703"/>
      <c r="BC88" s="1704"/>
      <c r="BD88" s="1705"/>
      <c r="BE88" s="1781"/>
      <c r="BF88" s="1703"/>
      <c r="BG88" s="1704"/>
      <c r="BH88" s="1705"/>
      <c r="BI88" s="1781">
        <v>42973</v>
      </c>
      <c r="BJ88" s="1703" t="s">
        <v>873</v>
      </c>
      <c r="BK88" s="1704">
        <v>25</v>
      </c>
      <c r="BL88" s="1705"/>
      <c r="BM88" s="1781"/>
      <c r="BN88" s="1711"/>
      <c r="BO88" s="1704"/>
      <c r="BP88" s="1705"/>
      <c r="BQ88" s="1781"/>
      <c r="BR88" s="1711"/>
      <c r="BS88" s="1704"/>
      <c r="BT88" s="1710"/>
      <c r="BU88" s="1781"/>
      <c r="BV88" s="1703"/>
      <c r="BW88" s="1704"/>
      <c r="BX88" s="1710"/>
      <c r="BY88" s="1795">
        <v>44436</v>
      </c>
      <c r="BZ88" s="1703" t="s">
        <v>6863</v>
      </c>
      <c r="CA88" s="1784">
        <v>25</v>
      </c>
      <c r="CB88" s="1788" t="s">
        <v>689</v>
      </c>
      <c r="CC88" s="1794">
        <v>44786</v>
      </c>
      <c r="CD88" s="1703" t="s">
        <v>6493</v>
      </c>
      <c r="CE88" s="1791">
        <v>79</v>
      </c>
      <c r="CF88" s="1787"/>
      <c r="CG88" s="1794">
        <v>45150</v>
      </c>
      <c r="CH88" s="1703" t="s">
        <v>6799</v>
      </c>
      <c r="CI88" s="1791">
        <v>8</v>
      </c>
      <c r="CJ88" s="1787" t="s">
        <v>414</v>
      </c>
      <c r="CK88" s="1850">
        <v>45520</v>
      </c>
      <c r="CL88" s="1738" t="s">
        <v>845</v>
      </c>
      <c r="CM88" s="1844">
        <v>30</v>
      </c>
      <c r="CN88" s="1792" t="s">
        <v>414</v>
      </c>
      <c r="CO88" s="2165">
        <v>45869</v>
      </c>
      <c r="CP88" s="2166" t="s">
        <v>6864</v>
      </c>
      <c r="CQ88" s="2163">
        <f>ABS(CS106)</f>
        <v>110.58</v>
      </c>
      <c r="CR88" s="1430" t="s">
        <v>410</v>
      </c>
      <c r="CS88" s="1430"/>
    </row>
    <row r="89" spans="1:97">
      <c r="A89" s="1798"/>
      <c r="B89" s="1711"/>
      <c r="C89" s="1716"/>
      <c r="D89" s="1717"/>
      <c r="E89" s="1781">
        <v>37862</v>
      </c>
      <c r="F89" s="1703" t="s">
        <v>772</v>
      </c>
      <c r="G89" s="1704">
        <v>3</v>
      </c>
      <c r="H89" s="1705"/>
      <c r="I89" s="1781"/>
      <c r="J89" s="1703"/>
      <c r="K89" s="1704"/>
      <c r="L89" s="1705"/>
      <c r="M89" s="1781"/>
      <c r="N89" s="1703"/>
      <c r="O89" s="1704"/>
      <c r="P89" s="1705"/>
      <c r="Q89" s="1781"/>
      <c r="R89" s="1703"/>
      <c r="S89" s="1704"/>
      <c r="T89" s="1705"/>
      <c r="U89" s="1781"/>
      <c r="V89" s="1703"/>
      <c r="W89" s="1704"/>
      <c r="X89" s="1705"/>
      <c r="Y89" s="1781"/>
      <c r="Z89" s="1703"/>
      <c r="AA89" s="1704"/>
      <c r="AB89" s="1705"/>
      <c r="AC89" s="1781"/>
      <c r="AD89" s="1703"/>
      <c r="AE89" s="1704"/>
      <c r="AF89" s="1705"/>
      <c r="AG89" s="1781"/>
      <c r="AH89" s="1703"/>
      <c r="AI89" s="1704"/>
      <c r="AJ89" s="1705"/>
      <c r="AK89" s="1781"/>
      <c r="AL89" s="1703"/>
      <c r="AM89" s="1704"/>
      <c r="AN89" s="1705"/>
      <c r="AO89" s="1781"/>
      <c r="AP89" s="1703"/>
      <c r="AQ89" s="1704"/>
      <c r="AR89" s="1705"/>
      <c r="AS89" s="1781"/>
      <c r="AT89" s="1703"/>
      <c r="AU89" s="1704"/>
      <c r="AV89" s="1705"/>
      <c r="AW89" s="1781"/>
      <c r="AX89" s="1703"/>
      <c r="AY89" s="1704"/>
      <c r="AZ89" s="1705"/>
      <c r="BA89" s="1781"/>
      <c r="BB89" s="1703"/>
      <c r="BC89" s="1704"/>
      <c r="BD89" s="1705"/>
      <c r="BE89" s="1781"/>
      <c r="BF89" s="1703"/>
      <c r="BG89" s="1704"/>
      <c r="BH89" s="1705"/>
      <c r="BI89" s="1781">
        <v>42974</v>
      </c>
      <c r="BJ89" s="1703" t="s">
        <v>781</v>
      </c>
      <c r="BK89" s="1704">
        <v>4</v>
      </c>
      <c r="BL89" s="1705"/>
      <c r="BM89" s="1781"/>
      <c r="BN89" s="1703"/>
      <c r="BO89" s="1704"/>
      <c r="BP89" s="1705"/>
      <c r="BQ89" s="1781"/>
      <c r="BR89" s="1703"/>
      <c r="BS89" s="1704"/>
      <c r="BT89" s="1710"/>
      <c r="BU89" s="1781"/>
      <c r="BV89" s="1703"/>
      <c r="BW89" s="1704"/>
      <c r="BX89" s="1710"/>
      <c r="BY89" s="1795">
        <v>44437</v>
      </c>
      <c r="BZ89" s="1703" t="s">
        <v>1903</v>
      </c>
      <c r="CA89" s="1784">
        <v>125</v>
      </c>
      <c r="CB89" s="1788" t="s">
        <v>700</v>
      </c>
      <c r="CC89" s="1794">
        <v>44786</v>
      </c>
      <c r="CD89" s="1703" t="s">
        <v>6865</v>
      </c>
      <c r="CE89" s="1791">
        <v>48</v>
      </c>
      <c r="CF89" s="1787" t="s">
        <v>707</v>
      </c>
      <c r="CG89" s="1794">
        <v>45151</v>
      </c>
      <c r="CH89" s="1703" t="s">
        <v>6866</v>
      </c>
      <c r="CI89" s="1791">
        <v>65</v>
      </c>
      <c r="CJ89" s="1787" t="s">
        <v>280</v>
      </c>
      <c r="CK89" s="1850">
        <v>45521</v>
      </c>
      <c r="CL89" s="1738" t="s">
        <v>6867</v>
      </c>
      <c r="CM89" s="1844">
        <v>650</v>
      </c>
      <c r="CN89" s="1787" t="s">
        <v>700</v>
      </c>
      <c r="CO89" s="2165">
        <v>45869</v>
      </c>
      <c r="CP89" s="2167" t="s">
        <v>6868</v>
      </c>
      <c r="CQ89" s="2163">
        <f>ABS(CS107)</f>
        <v>57.35</v>
      </c>
      <c r="CR89" s="1430" t="s">
        <v>277</v>
      </c>
      <c r="CS89" s="1430"/>
    </row>
    <row r="90" spans="1:97">
      <c r="A90" s="1798"/>
      <c r="B90" s="1711"/>
      <c r="C90" s="1716"/>
      <c r="D90" s="1717"/>
      <c r="E90" s="1781">
        <v>37862</v>
      </c>
      <c r="F90" s="1703" t="s">
        <v>5715</v>
      </c>
      <c r="G90" s="1704">
        <v>0</v>
      </c>
      <c r="H90" s="1705"/>
      <c r="I90" s="1781"/>
      <c r="J90" s="1703"/>
      <c r="K90" s="1704"/>
      <c r="L90" s="1705"/>
      <c r="M90" s="1781"/>
      <c r="N90" s="1703"/>
      <c r="O90" s="1704"/>
      <c r="P90" s="1705"/>
      <c r="Q90" s="1781"/>
      <c r="R90" s="1703"/>
      <c r="S90" s="1704"/>
      <c r="T90" s="1705"/>
      <c r="U90" s="1781"/>
      <c r="V90" s="1703"/>
      <c r="W90" s="1704"/>
      <c r="X90" s="1705"/>
      <c r="Y90" s="1781"/>
      <c r="Z90" s="1703"/>
      <c r="AA90" s="1704"/>
      <c r="AB90" s="1705"/>
      <c r="AC90" s="1781"/>
      <c r="AD90" s="1703"/>
      <c r="AE90" s="1704"/>
      <c r="AF90" s="1705"/>
      <c r="AG90" s="1781"/>
      <c r="AH90" s="1703"/>
      <c r="AI90" s="1704"/>
      <c r="AJ90" s="1705"/>
      <c r="AK90" s="1781"/>
      <c r="AL90" s="1703"/>
      <c r="AM90" s="1704"/>
      <c r="AN90" s="1705"/>
      <c r="AO90" s="1781"/>
      <c r="AP90" s="1711"/>
      <c r="AQ90" s="1704"/>
      <c r="AR90" s="1705"/>
      <c r="AS90" s="1781"/>
      <c r="AT90" s="1703"/>
      <c r="AU90" s="1704"/>
      <c r="AV90" s="1705"/>
      <c r="AW90" s="1781"/>
      <c r="AX90" s="1711"/>
      <c r="AY90" s="1704"/>
      <c r="AZ90" s="1705"/>
      <c r="BA90" s="1781"/>
      <c r="BB90" s="1703"/>
      <c r="BC90" s="1704"/>
      <c r="BD90" s="1705"/>
      <c r="BE90" s="1781"/>
      <c r="BF90" s="1703"/>
      <c r="BG90" s="1704"/>
      <c r="BH90" s="1705"/>
      <c r="BI90" s="1781">
        <v>42976</v>
      </c>
      <c r="BJ90" s="1703" t="s">
        <v>797</v>
      </c>
      <c r="BK90" s="1704">
        <v>55</v>
      </c>
      <c r="BL90" s="1705"/>
      <c r="BM90" s="1781"/>
      <c r="BN90" s="1703"/>
      <c r="BO90" s="1704"/>
      <c r="BP90" s="1705"/>
      <c r="BQ90" s="1781"/>
      <c r="BR90" s="1703"/>
      <c r="BS90" s="1704"/>
      <c r="BT90" s="1710"/>
      <c r="BU90" s="1781"/>
      <c r="BV90" s="1703"/>
      <c r="BW90" s="1704"/>
      <c r="BX90" s="1710"/>
      <c r="BY90" s="1795"/>
      <c r="BZ90" s="1703"/>
      <c r="CA90" s="1784"/>
      <c r="CB90" s="1788"/>
      <c r="CC90" s="1794">
        <v>44787</v>
      </c>
      <c r="CD90" s="1703" t="s">
        <v>1151</v>
      </c>
      <c r="CE90" s="1791">
        <v>35</v>
      </c>
      <c r="CF90" s="1787" t="s">
        <v>278</v>
      </c>
      <c r="CG90" s="1794">
        <v>45152</v>
      </c>
      <c r="CH90" s="1703" t="s">
        <v>797</v>
      </c>
      <c r="CI90" s="1791">
        <v>75</v>
      </c>
      <c r="CJ90" s="1787" t="s">
        <v>410</v>
      </c>
      <c r="CK90" s="1850">
        <v>45522</v>
      </c>
      <c r="CL90" s="1738" t="s">
        <v>772</v>
      </c>
      <c r="CM90" s="1844">
        <v>51</v>
      </c>
      <c r="CN90" s="1792" t="s">
        <v>414</v>
      </c>
      <c r="CO90" s="2165">
        <v>45869</v>
      </c>
      <c r="CP90" s="2166" t="s">
        <v>6869</v>
      </c>
      <c r="CQ90" s="2163">
        <f>ABS(CS108)</f>
        <v>139.53</v>
      </c>
      <c r="CR90" s="1430" t="s">
        <v>410</v>
      </c>
      <c r="CS90" s="2163">
        <v>-27.66</v>
      </c>
    </row>
    <row r="91" spans="1:97">
      <c r="A91" s="1798"/>
      <c r="B91" s="1711"/>
      <c r="C91" s="1716"/>
      <c r="D91" s="1717"/>
      <c r="E91" s="1781">
        <v>37863</v>
      </c>
      <c r="F91" s="1703" t="s">
        <v>6870</v>
      </c>
      <c r="G91" s="1704">
        <v>11</v>
      </c>
      <c r="H91" s="1705"/>
      <c r="I91" s="1781"/>
      <c r="J91" s="1703"/>
      <c r="K91" s="1704"/>
      <c r="L91" s="1705"/>
      <c r="M91" s="1781"/>
      <c r="N91" s="1703"/>
      <c r="O91" s="1704"/>
      <c r="P91" s="1705"/>
      <c r="Q91" s="1781"/>
      <c r="R91" s="1703"/>
      <c r="S91" s="1704"/>
      <c r="T91" s="1705"/>
      <c r="U91" s="1781"/>
      <c r="V91" s="1703"/>
      <c r="W91" s="1704"/>
      <c r="X91" s="1705"/>
      <c r="Y91" s="1781"/>
      <c r="Z91" s="1703"/>
      <c r="AA91" s="1704"/>
      <c r="AB91" s="1705"/>
      <c r="AC91" s="1781"/>
      <c r="AD91" s="1703"/>
      <c r="AE91" s="1704"/>
      <c r="AF91" s="1705"/>
      <c r="AG91" s="1781"/>
      <c r="AH91" s="1703"/>
      <c r="AI91" s="1704"/>
      <c r="AJ91" s="1705"/>
      <c r="AK91" s="1781"/>
      <c r="AL91" s="1703"/>
      <c r="AM91" s="1704"/>
      <c r="AN91" s="1705"/>
      <c r="AO91" s="1781"/>
      <c r="AP91" s="1703"/>
      <c r="AQ91" s="1704"/>
      <c r="AR91" s="1705"/>
      <c r="AS91" s="1781"/>
      <c r="AT91" s="1711"/>
      <c r="AU91" s="1704"/>
      <c r="AV91" s="1705"/>
      <c r="AW91" s="1781"/>
      <c r="AX91" s="1703"/>
      <c r="AY91" s="1704"/>
      <c r="AZ91" s="1705"/>
      <c r="BA91" s="1781"/>
      <c r="BB91" s="1703"/>
      <c r="BC91" s="1704"/>
      <c r="BD91" s="1705"/>
      <c r="BE91" s="1781"/>
      <c r="BF91" s="1703"/>
      <c r="BG91" s="1704"/>
      <c r="BH91" s="1705"/>
      <c r="BI91" s="1781">
        <v>42976</v>
      </c>
      <c r="BJ91" s="1703" t="s">
        <v>6871</v>
      </c>
      <c r="BK91" s="1704">
        <v>37</v>
      </c>
      <c r="BL91" s="1705"/>
      <c r="BM91" s="1781"/>
      <c r="BN91" s="1703"/>
      <c r="BO91" s="1704"/>
      <c r="BP91" s="1705"/>
      <c r="BQ91" s="1781"/>
      <c r="BR91" s="1703"/>
      <c r="BS91" s="1704"/>
      <c r="BT91" s="1710"/>
      <c r="BU91" s="1781"/>
      <c r="BV91" s="1703"/>
      <c r="BW91" s="1704"/>
      <c r="BX91" s="1710"/>
      <c r="BY91" s="1795"/>
      <c r="BZ91" s="1703"/>
      <c r="CA91" s="1784"/>
      <c r="CB91" s="1788"/>
      <c r="CC91" s="1794">
        <v>44787</v>
      </c>
      <c r="CD91" s="1703" t="s">
        <v>6872</v>
      </c>
      <c r="CE91" s="1791">
        <v>35</v>
      </c>
      <c r="CF91" s="1787" t="s">
        <v>278</v>
      </c>
      <c r="CG91" s="1794">
        <v>45156</v>
      </c>
      <c r="CH91" s="1703" t="s">
        <v>6873</v>
      </c>
      <c r="CI91" s="1791">
        <v>150</v>
      </c>
      <c r="CJ91" s="1787" t="s">
        <v>426</v>
      </c>
      <c r="CK91" s="1850">
        <v>45522</v>
      </c>
      <c r="CL91" s="1738" t="s">
        <v>843</v>
      </c>
      <c r="CM91" s="1844">
        <v>37</v>
      </c>
      <c r="CN91" s="1787" t="s">
        <v>414</v>
      </c>
      <c r="CO91" s="2165">
        <v>45870</v>
      </c>
      <c r="CP91" s="2166" t="s">
        <v>6874</v>
      </c>
      <c r="CQ91" s="2163">
        <f>ABS(CS110)</f>
        <v>9.77</v>
      </c>
      <c r="CR91" s="1430" t="s">
        <v>277</v>
      </c>
      <c r="CS91" s="2168">
        <v>-95.7</v>
      </c>
    </row>
    <row r="92" spans="1:97">
      <c r="A92" s="1798"/>
      <c r="B92" s="1711"/>
      <c r="C92" s="1716"/>
      <c r="D92" s="1717"/>
      <c r="E92" s="1781">
        <v>37863</v>
      </c>
      <c r="F92" s="1703" t="s">
        <v>6875</v>
      </c>
      <c r="G92" s="1704">
        <v>12</v>
      </c>
      <c r="H92" s="1705"/>
      <c r="I92" s="1781"/>
      <c r="J92" s="1703"/>
      <c r="K92" s="1704"/>
      <c r="L92" s="1705"/>
      <c r="M92" s="1781"/>
      <c r="N92" s="1703"/>
      <c r="O92" s="1704"/>
      <c r="P92" s="1705"/>
      <c r="Q92" s="1781"/>
      <c r="R92" s="1703"/>
      <c r="S92" s="1704"/>
      <c r="T92" s="1705"/>
      <c r="U92" s="1781"/>
      <c r="V92" s="1703"/>
      <c r="W92" s="1704"/>
      <c r="X92" s="1705"/>
      <c r="Y92" s="1781"/>
      <c r="Z92" s="1703"/>
      <c r="AA92" s="1704"/>
      <c r="AB92" s="1705"/>
      <c r="AC92" s="1781"/>
      <c r="AD92" s="1703"/>
      <c r="AE92" s="1704"/>
      <c r="AF92" s="1705"/>
      <c r="AG92" s="1781"/>
      <c r="AH92" s="1703"/>
      <c r="AI92" s="1704"/>
      <c r="AJ92" s="1705"/>
      <c r="AK92" s="1781"/>
      <c r="AL92" s="1703"/>
      <c r="AM92" s="1704"/>
      <c r="AN92" s="1705"/>
      <c r="AO92" s="1781"/>
      <c r="AP92" s="1703"/>
      <c r="AQ92" s="1704"/>
      <c r="AR92" s="1705"/>
      <c r="AS92" s="1781"/>
      <c r="AT92" s="1703"/>
      <c r="AU92" s="1704"/>
      <c r="AV92" s="1705"/>
      <c r="AW92" s="1781"/>
      <c r="AX92" s="1703"/>
      <c r="AY92" s="1704"/>
      <c r="AZ92" s="1705"/>
      <c r="BA92" s="1781"/>
      <c r="BB92" s="1703"/>
      <c r="BC92" s="1704"/>
      <c r="BD92" s="1705"/>
      <c r="BE92" s="1781"/>
      <c r="BF92" s="1703"/>
      <c r="BG92" s="1704"/>
      <c r="BH92" s="1705"/>
      <c r="BI92" s="1781">
        <v>42976</v>
      </c>
      <c r="BJ92" s="1703" t="s">
        <v>6876</v>
      </c>
      <c r="BK92" s="1704">
        <v>37</v>
      </c>
      <c r="BL92" s="1705"/>
      <c r="BM92" s="1781"/>
      <c r="BN92" s="1703"/>
      <c r="BO92" s="1704"/>
      <c r="BP92" s="1705"/>
      <c r="BQ92" s="1781"/>
      <c r="BR92" s="1703"/>
      <c r="BS92" s="1704"/>
      <c r="BT92" s="1710"/>
      <c r="BU92" s="1781"/>
      <c r="BV92" s="1703"/>
      <c r="BW92" s="1704"/>
      <c r="BX92" s="1710"/>
      <c r="BY92" s="1795"/>
      <c r="BZ92" s="1703"/>
      <c r="CA92" s="1784"/>
      <c r="CB92" s="1788"/>
      <c r="CC92" s="1794">
        <v>44787</v>
      </c>
      <c r="CD92" s="1703" t="s">
        <v>6877</v>
      </c>
      <c r="CE92" s="1791">
        <v>25</v>
      </c>
      <c r="CF92" s="1787" t="s">
        <v>707</v>
      </c>
      <c r="CG92" s="1794">
        <v>45156</v>
      </c>
      <c r="CH92" s="1703" t="s">
        <v>845</v>
      </c>
      <c r="CI92" s="1791">
        <v>47</v>
      </c>
      <c r="CJ92" s="1792" t="s">
        <v>414</v>
      </c>
      <c r="CK92" s="1850">
        <v>45522</v>
      </c>
      <c r="CL92" s="1738" t="s">
        <v>6878</v>
      </c>
      <c r="CM92" s="1844">
        <v>16</v>
      </c>
      <c r="CN92" s="1787" t="s">
        <v>278</v>
      </c>
      <c r="CO92" s="2165">
        <v>45870</v>
      </c>
      <c r="CP92" s="2166" t="s">
        <v>6879</v>
      </c>
      <c r="CQ92" s="2163">
        <f>ABS(CS111)</f>
        <v>14.96</v>
      </c>
      <c r="CR92" s="1430" t="s">
        <v>414</v>
      </c>
      <c r="CS92" s="2168">
        <v>-25.78</v>
      </c>
    </row>
    <row r="93" spans="1:97">
      <c r="A93" s="1798"/>
      <c r="B93" s="1711"/>
      <c r="C93" s="1716"/>
      <c r="D93" s="1717"/>
      <c r="E93" s="1781">
        <v>37863</v>
      </c>
      <c r="F93" s="1703" t="s">
        <v>6880</v>
      </c>
      <c r="G93" s="1704">
        <v>156</v>
      </c>
      <c r="H93" s="1705"/>
      <c r="I93" s="1781"/>
      <c r="J93" s="1703"/>
      <c r="K93" s="1704"/>
      <c r="L93" s="1705"/>
      <c r="M93" s="1781"/>
      <c r="N93" s="1703"/>
      <c r="O93" s="1704"/>
      <c r="P93" s="1705"/>
      <c r="Q93" s="1781"/>
      <c r="R93" s="1703"/>
      <c r="S93" s="1704"/>
      <c r="T93" s="1705"/>
      <c r="U93" s="1781"/>
      <c r="V93" s="1703"/>
      <c r="W93" s="1704"/>
      <c r="X93" s="1705"/>
      <c r="Y93" s="1781"/>
      <c r="Z93" s="1703"/>
      <c r="AA93" s="1704"/>
      <c r="AB93" s="1705"/>
      <c r="AC93" s="1781"/>
      <c r="AD93" s="1703"/>
      <c r="AE93" s="1704"/>
      <c r="AF93" s="1705"/>
      <c r="AG93" s="1781"/>
      <c r="AH93" s="1703"/>
      <c r="AI93" s="1704"/>
      <c r="AJ93" s="1705"/>
      <c r="AK93" s="1781"/>
      <c r="AL93" s="1703"/>
      <c r="AM93" s="1704"/>
      <c r="AN93" s="1705"/>
      <c r="AO93" s="1781"/>
      <c r="AP93" s="1703"/>
      <c r="AQ93" s="1704"/>
      <c r="AR93" s="1705"/>
      <c r="AS93" s="1781"/>
      <c r="AT93" s="1703"/>
      <c r="AU93" s="1704"/>
      <c r="AV93" s="1705"/>
      <c r="AW93" s="1781"/>
      <c r="AX93" s="1703"/>
      <c r="AY93" s="1704"/>
      <c r="AZ93" s="1705"/>
      <c r="BA93" s="1781"/>
      <c r="BB93" s="1703"/>
      <c r="BC93" s="1704"/>
      <c r="BD93" s="1705"/>
      <c r="BE93" s="1781"/>
      <c r="BF93" s="1703"/>
      <c r="BG93" s="1704"/>
      <c r="BH93" s="1705"/>
      <c r="BI93" s="1781"/>
      <c r="BJ93" s="1703"/>
      <c r="BK93" s="1704"/>
      <c r="BL93" s="1705"/>
      <c r="BM93" s="1781"/>
      <c r="BN93" s="1703"/>
      <c r="BO93" s="1704"/>
      <c r="BP93" s="1705"/>
      <c r="BQ93" s="1781"/>
      <c r="BR93" s="1703"/>
      <c r="BS93" s="1704"/>
      <c r="BT93" s="1710"/>
      <c r="BU93" s="1753" t="s">
        <v>477</v>
      </c>
      <c r="BV93" s="1754"/>
      <c r="BW93" s="1755">
        <f>SUM(BW4:BW92)</f>
        <v>4260</v>
      </c>
      <c r="BX93" s="1799">
        <f>SUM(BX4:BX92)</f>
        <v>0</v>
      </c>
      <c r="BY93" s="1795"/>
      <c r="BZ93" s="1703"/>
      <c r="CA93" s="1784"/>
      <c r="CB93" s="1788"/>
      <c r="CC93" s="1794">
        <v>44787</v>
      </c>
      <c r="CD93" s="1703" t="s">
        <v>6881</v>
      </c>
      <c r="CE93" s="1791">
        <v>50</v>
      </c>
      <c r="CF93" s="1792" t="s">
        <v>278</v>
      </c>
      <c r="CG93" s="1794">
        <v>45156</v>
      </c>
      <c r="CH93" s="1703" t="s">
        <v>6882</v>
      </c>
      <c r="CI93" s="1791">
        <v>30</v>
      </c>
      <c r="CJ93" s="1792" t="s">
        <v>414</v>
      </c>
      <c r="CK93" s="1850">
        <v>45522</v>
      </c>
      <c r="CL93" s="1738" t="s">
        <v>797</v>
      </c>
      <c r="CM93" s="1844">
        <v>56</v>
      </c>
      <c r="CN93" s="1787" t="s">
        <v>410</v>
      </c>
      <c r="CO93" s="2165">
        <v>45870</v>
      </c>
      <c r="CP93" s="2166" t="s">
        <v>6883</v>
      </c>
      <c r="CQ93" s="2163">
        <f>ABS(CS112)</f>
        <v>25.78</v>
      </c>
      <c r="CR93" s="1430" t="s">
        <v>278</v>
      </c>
      <c r="CS93" s="2168">
        <v>-25.95</v>
      </c>
    </row>
    <row r="94" spans="1:97">
      <c r="A94" s="1798"/>
      <c r="B94" s="1711"/>
      <c r="C94" s="1716"/>
      <c r="D94" s="1717"/>
      <c r="E94" s="1781">
        <v>37864</v>
      </c>
      <c r="F94" s="1703" t="s">
        <v>6884</v>
      </c>
      <c r="G94" s="1704">
        <v>41</v>
      </c>
      <c r="H94" s="1705"/>
      <c r="I94" s="1781"/>
      <c r="J94" s="1703"/>
      <c r="K94" s="1704"/>
      <c r="L94" s="1705"/>
      <c r="M94" s="1781"/>
      <c r="N94" s="1703"/>
      <c r="O94" s="1704"/>
      <c r="P94" s="1705"/>
      <c r="Q94" s="1781"/>
      <c r="R94" s="1703"/>
      <c r="S94" s="1704"/>
      <c r="T94" s="1705"/>
      <c r="U94" s="1781"/>
      <c r="V94" s="1703"/>
      <c r="W94" s="1704"/>
      <c r="X94" s="1705"/>
      <c r="Y94" s="1781"/>
      <c r="Z94" s="1703"/>
      <c r="AA94" s="1704"/>
      <c r="AB94" s="1705"/>
      <c r="AC94" s="1781"/>
      <c r="AD94" s="1703"/>
      <c r="AE94" s="1704"/>
      <c r="AF94" s="1705"/>
      <c r="AG94" s="1781"/>
      <c r="AH94" s="1703"/>
      <c r="AI94" s="1704"/>
      <c r="AJ94" s="1705"/>
      <c r="AK94" s="1781"/>
      <c r="AL94" s="1703"/>
      <c r="AM94" s="1704"/>
      <c r="AN94" s="1705"/>
      <c r="AO94" s="1781"/>
      <c r="AP94" s="1703"/>
      <c r="AQ94" s="1704"/>
      <c r="AR94" s="1705"/>
      <c r="AS94" s="1781"/>
      <c r="AT94" s="1703"/>
      <c r="AU94" s="1704"/>
      <c r="AV94" s="1705"/>
      <c r="AW94" s="1781"/>
      <c r="AX94" s="1703"/>
      <c r="AY94" s="1704"/>
      <c r="AZ94" s="1705"/>
      <c r="BA94" s="1781"/>
      <c r="BB94" s="1703"/>
      <c r="BC94" s="1704"/>
      <c r="BD94" s="1705"/>
      <c r="BE94" s="1781"/>
      <c r="BF94" s="1703"/>
      <c r="BG94" s="1704"/>
      <c r="BH94" s="1705"/>
      <c r="BI94" s="1781"/>
      <c r="BJ94" s="1703"/>
      <c r="BK94" s="1704"/>
      <c r="BL94" s="1705"/>
      <c r="BM94" s="1781"/>
      <c r="BN94" s="1703"/>
      <c r="BO94" s="1704"/>
      <c r="BP94" s="1705"/>
      <c r="BQ94" s="1781"/>
      <c r="BR94" s="1703"/>
      <c r="BS94" s="1704"/>
      <c r="BT94" s="1710"/>
      <c r="BU94" s="1757" t="s">
        <v>1672</v>
      </c>
      <c r="BV94" s="1758"/>
      <c r="BW94" s="1759"/>
      <c r="BX94" s="1800"/>
      <c r="BY94" s="1795"/>
      <c r="BZ94" s="1703"/>
      <c r="CA94" s="1784"/>
      <c r="CB94" s="1788"/>
      <c r="CC94" s="1794">
        <v>44787</v>
      </c>
      <c r="CD94" s="1703" t="s">
        <v>6885</v>
      </c>
      <c r="CE94" s="1791">
        <v>12</v>
      </c>
      <c r="CF94" s="1792" t="s">
        <v>278</v>
      </c>
      <c r="CG94" s="1794">
        <v>45156</v>
      </c>
      <c r="CH94" s="1703" t="s">
        <v>6716</v>
      </c>
      <c r="CI94" s="1791">
        <v>12</v>
      </c>
      <c r="CJ94" s="1792" t="s">
        <v>278</v>
      </c>
      <c r="CK94" s="1850">
        <v>45527</v>
      </c>
      <c r="CL94" s="1703" t="s">
        <v>6886</v>
      </c>
      <c r="CM94" s="1844">
        <v>200</v>
      </c>
      <c r="CN94" s="1787" t="s">
        <v>689</v>
      </c>
      <c r="CO94" s="2165">
        <v>45870</v>
      </c>
      <c r="CP94" s="2166" t="s">
        <v>6887</v>
      </c>
      <c r="CQ94" s="2163">
        <f>ABS(CS113)</f>
        <v>25.74</v>
      </c>
      <c r="CR94" s="1430" t="s">
        <v>277</v>
      </c>
      <c r="CS94" s="2168">
        <v>-14.96</v>
      </c>
    </row>
    <row r="95" spans="1:97">
      <c r="A95" s="1798"/>
      <c r="B95" s="1711"/>
      <c r="C95" s="1716"/>
      <c r="D95" s="1717"/>
      <c r="E95" s="1781">
        <v>37864</v>
      </c>
      <c r="F95" s="1703" t="s">
        <v>797</v>
      </c>
      <c r="G95" s="1704">
        <v>25</v>
      </c>
      <c r="H95" s="1705"/>
      <c r="I95" s="1781"/>
      <c r="J95" s="1703"/>
      <c r="K95" s="1704"/>
      <c r="L95" s="1705"/>
      <c r="M95" s="1781"/>
      <c r="N95" s="1703"/>
      <c r="O95" s="1704"/>
      <c r="P95" s="1705"/>
      <c r="Q95" s="1781"/>
      <c r="R95" s="1703"/>
      <c r="S95" s="1704"/>
      <c r="T95" s="1705"/>
      <c r="U95" s="1781"/>
      <c r="V95" s="1703"/>
      <c r="W95" s="1704"/>
      <c r="X95" s="1705"/>
      <c r="Y95" s="1781"/>
      <c r="Z95" s="1703"/>
      <c r="AA95" s="1704"/>
      <c r="AB95" s="1705"/>
      <c r="AC95" s="1781"/>
      <c r="AD95" s="1703"/>
      <c r="AE95" s="1704"/>
      <c r="AF95" s="1705"/>
      <c r="AG95" s="1781"/>
      <c r="AH95" s="1703"/>
      <c r="AI95" s="1704"/>
      <c r="AJ95" s="1705"/>
      <c r="AK95" s="1781"/>
      <c r="AL95" s="1703"/>
      <c r="AM95" s="1704"/>
      <c r="AN95" s="1705"/>
      <c r="AO95" s="1781"/>
      <c r="AP95" s="1703"/>
      <c r="AQ95" s="1704"/>
      <c r="AR95" s="1705"/>
      <c r="AS95" s="1781"/>
      <c r="AT95" s="1703"/>
      <c r="AU95" s="1704"/>
      <c r="AV95" s="1705"/>
      <c r="AW95" s="1781"/>
      <c r="AX95" s="1703"/>
      <c r="AY95" s="1704"/>
      <c r="AZ95" s="1705"/>
      <c r="BA95" s="1781"/>
      <c r="BB95" s="1703"/>
      <c r="BC95" s="1704"/>
      <c r="BD95" s="1705"/>
      <c r="BE95" s="1781"/>
      <c r="BF95" s="1703"/>
      <c r="BG95" s="1704"/>
      <c r="BH95" s="1705"/>
      <c r="BI95" s="1781"/>
      <c r="BJ95" s="1703"/>
      <c r="BK95" s="1704"/>
      <c r="BL95" s="1705"/>
      <c r="BM95" s="1781"/>
      <c r="BN95" s="1703"/>
      <c r="BO95" s="1704"/>
      <c r="BP95" s="1705"/>
      <c r="BQ95" s="1781"/>
      <c r="BR95" s="1703"/>
      <c r="BS95" s="1704"/>
      <c r="BT95" s="1710"/>
      <c r="BU95" s="1762" t="s">
        <v>138</v>
      </c>
      <c r="BV95" s="1763"/>
      <c r="BW95" s="1764">
        <f>SUM(BW93,BX93)</f>
        <v>4260</v>
      </c>
      <c r="BX95" s="1801"/>
      <c r="BY95" s="1795"/>
      <c r="BZ95" s="1703"/>
      <c r="CA95" s="1784"/>
      <c r="CB95" s="1788"/>
      <c r="CC95" s="1794">
        <v>44787</v>
      </c>
      <c r="CD95" s="1703" t="s">
        <v>6888</v>
      </c>
      <c r="CE95" s="1791">
        <v>25</v>
      </c>
      <c r="CF95" s="1792" t="s">
        <v>278</v>
      </c>
      <c r="CG95" s="1794">
        <v>45157</v>
      </c>
      <c r="CH95" s="1703" t="s">
        <v>843</v>
      </c>
      <c r="CI95" s="1791">
        <v>39</v>
      </c>
      <c r="CJ95" s="1787" t="s">
        <v>414</v>
      </c>
      <c r="CK95" s="1850">
        <v>45527</v>
      </c>
      <c r="CL95" s="1738" t="s">
        <v>6889</v>
      </c>
      <c r="CM95" s="1844">
        <v>38</v>
      </c>
      <c r="CN95" s="1787" t="s">
        <v>414</v>
      </c>
      <c r="CO95" s="2165">
        <v>45872</v>
      </c>
      <c r="CP95" s="2166" t="s">
        <v>6890</v>
      </c>
      <c r="CQ95" s="2163">
        <f>ABS(CS117)</f>
        <v>12.9</v>
      </c>
      <c r="CR95" s="1430" t="s">
        <v>278</v>
      </c>
      <c r="CS95" s="2168">
        <v>-22.43</v>
      </c>
    </row>
    <row r="96" spans="1:97">
      <c r="A96" s="1798"/>
      <c r="B96" s="1711"/>
      <c r="C96" s="1716"/>
      <c r="D96" s="1717"/>
      <c r="E96" s="1781">
        <v>37864</v>
      </c>
      <c r="F96" s="1703" t="s">
        <v>6891</v>
      </c>
      <c r="G96" s="1704">
        <v>12</v>
      </c>
      <c r="H96" s="1705"/>
      <c r="I96" s="1781"/>
      <c r="J96" s="1703"/>
      <c r="K96" s="1704"/>
      <c r="L96" s="1705"/>
      <c r="M96" s="1781"/>
      <c r="N96" s="1703"/>
      <c r="O96" s="1704"/>
      <c r="P96" s="1705"/>
      <c r="Q96" s="1781"/>
      <c r="R96" s="1703"/>
      <c r="S96" s="1704"/>
      <c r="T96" s="1705"/>
      <c r="U96" s="1781"/>
      <c r="V96" s="1703"/>
      <c r="W96" s="1704"/>
      <c r="X96" s="1705"/>
      <c r="Y96" s="1781"/>
      <c r="Z96" s="1703"/>
      <c r="AA96" s="1704"/>
      <c r="AB96" s="1705"/>
      <c r="AC96" s="1781"/>
      <c r="AD96" s="1703"/>
      <c r="AE96" s="1704"/>
      <c r="AF96" s="1705"/>
      <c r="AG96" s="1781"/>
      <c r="AH96" s="1703"/>
      <c r="AI96" s="1704"/>
      <c r="AJ96" s="1705"/>
      <c r="AK96" s="1781"/>
      <c r="AL96" s="1703"/>
      <c r="AM96" s="1704"/>
      <c r="AN96" s="1705"/>
      <c r="AO96" s="1781"/>
      <c r="AP96" s="1703"/>
      <c r="AQ96" s="1704"/>
      <c r="AR96" s="1705"/>
      <c r="AS96" s="1781"/>
      <c r="AT96" s="1703"/>
      <c r="AU96" s="1704"/>
      <c r="AV96" s="1705"/>
      <c r="AW96" s="1781"/>
      <c r="AX96" s="1703"/>
      <c r="AY96" s="1704"/>
      <c r="AZ96" s="1705"/>
      <c r="BA96" s="1781"/>
      <c r="BB96" s="1703"/>
      <c r="BC96" s="1704"/>
      <c r="BD96" s="1705"/>
      <c r="BE96" s="1781"/>
      <c r="BF96" s="1703"/>
      <c r="BG96" s="1704"/>
      <c r="BH96" s="1705"/>
      <c r="BI96" s="1781"/>
      <c r="BJ96" s="1703"/>
      <c r="BK96" s="1704"/>
      <c r="BL96" s="1705"/>
      <c r="BM96" s="1781"/>
      <c r="BN96" s="1703"/>
      <c r="BO96" s="1704"/>
      <c r="BP96" s="1705"/>
      <c r="BQ96" s="1781"/>
      <c r="BR96" s="1703"/>
      <c r="BS96" s="1704"/>
      <c r="BT96" s="1710"/>
      <c r="BY96" s="1795"/>
      <c r="BZ96" s="1703"/>
      <c r="CA96" s="1704"/>
      <c r="CB96" s="1788"/>
      <c r="CC96" s="1794">
        <v>44787</v>
      </c>
      <c r="CD96" s="1703" t="s">
        <v>6892</v>
      </c>
      <c r="CE96" s="1791">
        <v>15</v>
      </c>
      <c r="CF96" s="1787" t="s">
        <v>707</v>
      </c>
      <c r="CG96" s="1794">
        <v>45157</v>
      </c>
      <c r="CH96" s="1703" t="s">
        <v>772</v>
      </c>
      <c r="CI96" s="1791">
        <v>26</v>
      </c>
      <c r="CJ96" s="1787" t="s">
        <v>414</v>
      </c>
      <c r="CK96" s="1850">
        <v>45527</v>
      </c>
      <c r="CL96" s="1738" t="s">
        <v>6893</v>
      </c>
      <c r="CM96" s="1844">
        <v>25</v>
      </c>
      <c r="CN96" s="1787" t="s">
        <v>414</v>
      </c>
      <c r="CO96" s="2165">
        <v>45872</v>
      </c>
      <c r="CP96" s="2166" t="s">
        <v>6894</v>
      </c>
      <c r="CQ96" s="2163">
        <f>ABS(CS118)</f>
        <v>4.45</v>
      </c>
      <c r="CR96" s="1430" t="s">
        <v>278</v>
      </c>
      <c r="CS96" s="2168">
        <v>-16.07</v>
      </c>
    </row>
    <row r="97" spans="1:97">
      <c r="CC97" s="1794">
        <v>44787</v>
      </c>
      <c r="CD97" s="1703" t="s">
        <v>6895</v>
      </c>
      <c r="CE97" s="1791">
        <v>38</v>
      </c>
      <c r="CF97" s="1787" t="s">
        <v>707</v>
      </c>
      <c r="CG97" s="1794">
        <v>45157</v>
      </c>
      <c r="CH97" s="1703" t="s">
        <v>6896</v>
      </c>
      <c r="CI97" s="1791">
        <v>27</v>
      </c>
      <c r="CJ97" s="1787" t="s">
        <v>414</v>
      </c>
      <c r="CK97" s="1850">
        <v>45527</v>
      </c>
      <c r="CL97" s="1738" t="s">
        <v>772</v>
      </c>
      <c r="CM97" s="1844">
        <v>33</v>
      </c>
      <c r="CN97" s="1787" t="s">
        <v>414</v>
      </c>
      <c r="CO97" s="2165">
        <v>45872</v>
      </c>
      <c r="CP97" s="2166" t="s">
        <v>6897</v>
      </c>
      <c r="CQ97" s="2163">
        <f>ABS(CS119)</f>
        <v>23.4</v>
      </c>
      <c r="CR97" s="1430" t="s">
        <v>278</v>
      </c>
      <c r="CS97" s="2168">
        <v>-11.97</v>
      </c>
    </row>
    <row r="98" spans="1:97">
      <c r="A98" s="1773" t="s">
        <v>477</v>
      </c>
      <c r="B98" s="1774"/>
      <c r="C98" s="1775">
        <f>SUM(C4:C79)</f>
        <v>3161</v>
      </c>
      <c r="D98" s="1755">
        <f>SUM(D4:D79)</f>
        <v>2296</v>
      </c>
      <c r="E98" s="1753" t="s">
        <v>477</v>
      </c>
      <c r="F98" s="1754"/>
      <c r="G98" s="1755">
        <f>SUM(G4:G96)</f>
        <v>4192</v>
      </c>
      <c r="H98" s="1755">
        <f>SUM(H4:H96)</f>
        <v>1483</v>
      </c>
      <c r="I98" s="1753" t="s">
        <v>477</v>
      </c>
      <c r="J98" s="1754"/>
      <c r="K98" s="1755">
        <f>SUM(K4:K97)</f>
        <v>2340</v>
      </c>
      <c r="L98" s="1755">
        <f>SUM(L4:L97)</f>
        <v>1152</v>
      </c>
      <c r="M98" s="1753" t="s">
        <v>477</v>
      </c>
      <c r="N98" s="1754"/>
      <c r="O98" s="1755">
        <f>SUM(O4:O97)</f>
        <v>1634</v>
      </c>
      <c r="P98" s="1755">
        <f>SUM(P4:P97)</f>
        <v>0</v>
      </c>
      <c r="Q98" s="1753" t="s">
        <v>477</v>
      </c>
      <c r="R98" s="1754"/>
      <c r="S98" s="1755">
        <f>SUM(S4:S97)</f>
        <v>1372</v>
      </c>
      <c r="T98" s="1755">
        <f>SUM(T4:T97)</f>
        <v>0</v>
      </c>
      <c r="U98" s="1753" t="s">
        <v>477</v>
      </c>
      <c r="V98" s="1754"/>
      <c r="W98" s="1755">
        <f>SUM(W4:W97)</f>
        <v>1289</v>
      </c>
      <c r="X98" s="1755">
        <f>SUM(X4:X97)</f>
        <v>0</v>
      </c>
      <c r="Y98" s="1753" t="s">
        <v>477</v>
      </c>
      <c r="Z98" s="1754"/>
      <c r="AA98" s="1755">
        <f>SUM(AA4:AA97)</f>
        <v>1932</v>
      </c>
      <c r="AB98" s="1755">
        <f>SUM(AB4:AB97)</f>
        <v>0</v>
      </c>
      <c r="AC98" s="1753" t="s">
        <v>477</v>
      </c>
      <c r="AD98" s="1754"/>
      <c r="AE98" s="1755">
        <f>SUM(AE4:AE97)</f>
        <v>1417</v>
      </c>
      <c r="AF98" s="1755">
        <f>SUM(AF4:AF97)</f>
        <v>0</v>
      </c>
      <c r="AG98" s="1753" t="s">
        <v>477</v>
      </c>
      <c r="AH98" s="1754"/>
      <c r="AI98" s="1755">
        <f>SUM(AI4:AI97)</f>
        <v>1916</v>
      </c>
      <c r="AJ98" s="1755">
        <f>SUM(AJ4:AJ97)</f>
        <v>0</v>
      </c>
      <c r="AK98" s="1753" t="s">
        <v>477</v>
      </c>
      <c r="AL98" s="1754"/>
      <c r="AM98" s="1755">
        <f>SUM(AM4:AM97)</f>
        <v>2009</v>
      </c>
      <c r="AN98" s="1755">
        <f>SUM(AN4:AN97)</f>
        <v>0</v>
      </c>
      <c r="AO98" s="1753" t="s">
        <v>477</v>
      </c>
      <c r="AP98" s="1754"/>
      <c r="AQ98" s="1755">
        <f>SUM(AQ4:AQ97)</f>
        <v>2011</v>
      </c>
      <c r="AR98" s="1755">
        <f>SUM(AR4:AR97)</f>
        <v>0</v>
      </c>
      <c r="AS98" s="1753" t="s">
        <v>477</v>
      </c>
      <c r="AT98" s="1754"/>
      <c r="AU98" s="1755">
        <f>SUM(AU4:AU97)</f>
        <v>3560</v>
      </c>
      <c r="AV98" s="1755">
        <f>SUM(AV4:AV97)</f>
        <v>0</v>
      </c>
      <c r="AW98" s="1753" t="s">
        <v>477</v>
      </c>
      <c r="AX98" s="1754"/>
      <c r="AY98" s="1755">
        <f>SUM(AY4:AY97)</f>
        <v>4330</v>
      </c>
      <c r="AZ98" s="1755">
        <f>SUM(AZ4:AZ97)</f>
        <v>0</v>
      </c>
      <c r="BA98" s="1753" t="s">
        <v>477</v>
      </c>
      <c r="BB98" s="1754"/>
      <c r="BC98" s="1755">
        <f>SUM(BC4:BC97)</f>
        <v>2554</v>
      </c>
      <c r="BD98" s="1755">
        <f>SUM(BD4:BD97)</f>
        <v>0</v>
      </c>
      <c r="BE98" s="1753" t="s">
        <v>477</v>
      </c>
      <c r="BF98" s="1754"/>
      <c r="BG98" s="1755">
        <f>SUM(BG4:BG97)</f>
        <v>2995</v>
      </c>
      <c r="BH98" s="1755">
        <f>SUM(BH4:BH97)</f>
        <v>0</v>
      </c>
      <c r="BI98" s="1753" t="s">
        <v>477</v>
      </c>
      <c r="BJ98" s="1754"/>
      <c r="BK98" s="1755">
        <f>SUM(BK4:BK97)</f>
        <v>3776.11</v>
      </c>
      <c r="BL98" s="1755">
        <f>SUM(BL4:BL97)</f>
        <v>0</v>
      </c>
      <c r="BM98" s="1781"/>
      <c r="BN98" s="1703"/>
      <c r="BO98" s="1704"/>
      <c r="BP98" s="1705"/>
      <c r="BQ98" s="1781"/>
      <c r="BR98" s="1703"/>
      <c r="BS98" s="1704"/>
      <c r="BT98" s="1710"/>
      <c r="BY98" s="1795"/>
      <c r="BZ98" s="1703"/>
      <c r="CA98" s="1752"/>
      <c r="CB98" s="1788"/>
      <c r="CC98" s="1794">
        <v>44788</v>
      </c>
      <c r="CD98" s="1703" t="s">
        <v>6898</v>
      </c>
      <c r="CE98" s="1791">
        <v>45</v>
      </c>
      <c r="CF98" s="1787" t="s">
        <v>707</v>
      </c>
      <c r="CG98" s="1794">
        <v>45157</v>
      </c>
      <c r="CH98" s="1703" t="s">
        <v>828</v>
      </c>
      <c r="CI98" s="1791">
        <v>6</v>
      </c>
      <c r="CJ98" s="1787" t="s">
        <v>414</v>
      </c>
      <c r="CK98" s="1850">
        <v>45527</v>
      </c>
      <c r="CL98" s="1738" t="s">
        <v>971</v>
      </c>
      <c r="CM98" s="1844">
        <v>69</v>
      </c>
      <c r="CN98" s="1787" t="s">
        <v>414</v>
      </c>
      <c r="CO98" s="2165">
        <v>45872</v>
      </c>
      <c r="CP98" s="2166" t="s">
        <v>6899</v>
      </c>
      <c r="CQ98" s="2163">
        <f>ABS(CS120)</f>
        <v>31.03</v>
      </c>
      <c r="CR98" s="1430" t="s">
        <v>280</v>
      </c>
      <c r="CS98" s="2169">
        <v>-16.07</v>
      </c>
    </row>
    <row r="99" spans="1:97">
      <c r="A99" s="1776" t="s">
        <v>1672</v>
      </c>
      <c r="B99" s="1761"/>
      <c r="C99" s="1759"/>
      <c r="D99" s="1760"/>
      <c r="E99" s="1757" t="s">
        <v>1672</v>
      </c>
      <c r="F99" s="1758"/>
      <c r="G99" s="1759"/>
      <c r="H99" s="1760"/>
      <c r="I99" s="1757" t="s">
        <v>1672</v>
      </c>
      <c r="J99" s="1758"/>
      <c r="K99" s="1759"/>
      <c r="L99" s="1760"/>
      <c r="M99" s="1757" t="s">
        <v>1672</v>
      </c>
      <c r="N99" s="1758"/>
      <c r="O99" s="1759"/>
      <c r="P99" s="1760"/>
      <c r="Q99" s="1757" t="s">
        <v>1672</v>
      </c>
      <c r="R99" s="1758"/>
      <c r="S99" s="1759"/>
      <c r="T99" s="1760"/>
      <c r="U99" s="1757" t="s">
        <v>1672</v>
      </c>
      <c r="V99" s="1758"/>
      <c r="W99" s="1759"/>
      <c r="X99" s="1760"/>
      <c r="Y99" s="1757" t="s">
        <v>1672</v>
      </c>
      <c r="Z99" s="1758"/>
      <c r="AA99" s="1759"/>
      <c r="AB99" s="1760"/>
      <c r="AC99" s="1757" t="s">
        <v>1672</v>
      </c>
      <c r="AD99" s="1758"/>
      <c r="AE99" s="1759"/>
      <c r="AF99" s="1760"/>
      <c r="AG99" s="1757" t="s">
        <v>1672</v>
      </c>
      <c r="AH99" s="1758"/>
      <c r="AI99" s="1759"/>
      <c r="AJ99" s="1760"/>
      <c r="AK99" s="1757" t="s">
        <v>1672</v>
      </c>
      <c r="AL99" s="1758"/>
      <c r="AM99" s="1759"/>
      <c r="AN99" s="1760"/>
      <c r="AO99" s="1757" t="s">
        <v>1672</v>
      </c>
      <c r="AP99" s="1758"/>
      <c r="AQ99" s="1759"/>
      <c r="AR99" s="1760"/>
      <c r="AS99" s="1757" t="s">
        <v>1672</v>
      </c>
      <c r="AT99" s="1758"/>
      <c r="AU99" s="1759"/>
      <c r="AV99" s="1760"/>
      <c r="AW99" s="1757" t="s">
        <v>1672</v>
      </c>
      <c r="AX99" s="1758"/>
      <c r="AY99" s="1759"/>
      <c r="AZ99" s="1760"/>
      <c r="BA99" s="1757" t="s">
        <v>1672</v>
      </c>
      <c r="BB99" s="1758"/>
      <c r="BC99" s="1759"/>
      <c r="BD99" s="1760"/>
      <c r="BE99" s="1757" t="s">
        <v>1672</v>
      </c>
      <c r="BF99" s="1758"/>
      <c r="BG99" s="1759"/>
      <c r="BH99" s="1760"/>
      <c r="BI99" s="1757" t="s">
        <v>1672</v>
      </c>
      <c r="BJ99" s="1758"/>
      <c r="BK99" s="1759"/>
      <c r="BL99" s="1760"/>
      <c r="BM99" s="1781"/>
      <c r="BN99" s="1703"/>
      <c r="BO99" s="1704"/>
      <c r="BP99" s="1705"/>
      <c r="BQ99" s="1781"/>
      <c r="BR99" s="1703"/>
      <c r="BS99" s="1704"/>
      <c r="BT99" s="1710"/>
      <c r="BY99" s="1753" t="s">
        <v>477</v>
      </c>
      <c r="BZ99" s="1754"/>
      <c r="CA99" s="1755">
        <f>SUM(CA4:CA98)</f>
        <v>4855</v>
      </c>
      <c r="CB99" s="1803">
        <f>SUM(CB4:CB98)</f>
        <v>0</v>
      </c>
      <c r="CC99" s="1794">
        <v>44788</v>
      </c>
      <c r="CD99" s="1703" t="s">
        <v>6900</v>
      </c>
      <c r="CE99" s="1791">
        <v>19</v>
      </c>
      <c r="CF99" s="1787" t="s">
        <v>278</v>
      </c>
      <c r="CG99" s="1794">
        <v>45157</v>
      </c>
      <c r="CH99" s="1703" t="s">
        <v>6901</v>
      </c>
      <c r="CI99" s="1791">
        <v>23</v>
      </c>
      <c r="CJ99" s="1787" t="s">
        <v>426</v>
      </c>
      <c r="CK99" s="1850">
        <v>45528</v>
      </c>
      <c r="CL99" s="1738" t="s">
        <v>6902</v>
      </c>
      <c r="CM99" s="1844">
        <v>37</v>
      </c>
      <c r="CN99" s="1787" t="s">
        <v>701</v>
      </c>
      <c r="CO99" s="2165">
        <v>45872</v>
      </c>
      <c r="CP99" s="2166" t="s">
        <v>6903</v>
      </c>
      <c r="CQ99" s="2163">
        <f>ABS(CS121)</f>
        <v>6.14</v>
      </c>
      <c r="CR99" s="1430" t="s">
        <v>278</v>
      </c>
      <c r="CS99" s="2169">
        <v>-1085.19</v>
      </c>
    </row>
    <row r="100" spans="1:97">
      <c r="A100" s="1762" t="s">
        <v>138</v>
      </c>
      <c r="B100" s="1763"/>
      <c r="C100" s="1777">
        <f>SUM(C98,D98)</f>
        <v>5457</v>
      </c>
      <c r="D100" s="1765"/>
      <c r="E100" s="1762" t="s">
        <v>138</v>
      </c>
      <c r="F100" s="1763"/>
      <c r="G100" s="1764">
        <f>SUM(G98,H98)</f>
        <v>5675</v>
      </c>
      <c r="H100" s="1765"/>
      <c r="I100" s="1762" t="s">
        <v>138</v>
      </c>
      <c r="J100" s="1763"/>
      <c r="K100" s="1764">
        <f>SUM(K98,L98)</f>
        <v>3492</v>
      </c>
      <c r="L100" s="1765"/>
      <c r="M100" s="1762" t="s">
        <v>138</v>
      </c>
      <c r="N100" s="1763"/>
      <c r="O100" s="1764">
        <f>SUM(O98,P98)</f>
        <v>1634</v>
      </c>
      <c r="P100" s="1765"/>
      <c r="Q100" s="1762" t="s">
        <v>138</v>
      </c>
      <c r="R100" s="1763"/>
      <c r="S100" s="1764">
        <f>SUM(S98,T98)</f>
        <v>1372</v>
      </c>
      <c r="T100" s="1765"/>
      <c r="U100" s="1762" t="s">
        <v>138</v>
      </c>
      <c r="V100" s="1763"/>
      <c r="W100" s="1764">
        <f>SUM(W98,X98)</f>
        <v>1289</v>
      </c>
      <c r="X100" s="1765"/>
      <c r="Y100" s="1762" t="s">
        <v>138</v>
      </c>
      <c r="Z100" s="1763"/>
      <c r="AA100" s="1764">
        <f>SUM(AA98,AB98)</f>
        <v>1932</v>
      </c>
      <c r="AB100" s="1765"/>
      <c r="AC100" s="1762" t="s">
        <v>138</v>
      </c>
      <c r="AD100" s="1763"/>
      <c r="AE100" s="1764">
        <f>SUM(AE98,AF98)</f>
        <v>1417</v>
      </c>
      <c r="AF100" s="1765"/>
      <c r="AG100" s="1762" t="s">
        <v>138</v>
      </c>
      <c r="AH100" s="1763"/>
      <c r="AI100" s="1764">
        <f>SUM(AI98,AJ98)</f>
        <v>1916</v>
      </c>
      <c r="AJ100" s="1765"/>
      <c r="AK100" s="1762" t="s">
        <v>138</v>
      </c>
      <c r="AL100" s="1763"/>
      <c r="AM100" s="1764">
        <f>SUM(AM98,AN98)</f>
        <v>2009</v>
      </c>
      <c r="AN100" s="1765"/>
      <c r="AO100" s="1762" t="s">
        <v>138</v>
      </c>
      <c r="AP100" s="1763"/>
      <c r="AQ100" s="1764">
        <f>SUM(AQ98,AR98)</f>
        <v>2011</v>
      </c>
      <c r="AR100" s="1765"/>
      <c r="AS100" s="1762" t="s">
        <v>138</v>
      </c>
      <c r="AT100" s="1763"/>
      <c r="AU100" s="1764">
        <f>SUM(AU98,AV98)</f>
        <v>3560</v>
      </c>
      <c r="AV100" s="1765"/>
      <c r="AW100" s="1762" t="s">
        <v>138</v>
      </c>
      <c r="AX100" s="1763"/>
      <c r="AY100" s="1764">
        <f>SUM(AY98,AZ98)</f>
        <v>4330</v>
      </c>
      <c r="AZ100" s="1765"/>
      <c r="BA100" s="1762" t="s">
        <v>138</v>
      </c>
      <c r="BB100" s="1763"/>
      <c r="BC100" s="1764">
        <f>SUM(BC98,BD98)</f>
        <v>2554</v>
      </c>
      <c r="BD100" s="1765"/>
      <c r="BE100" s="1762" t="s">
        <v>138</v>
      </c>
      <c r="BF100" s="1763"/>
      <c r="BG100" s="1764">
        <f>SUM(BG98,BH98)</f>
        <v>2995</v>
      </c>
      <c r="BH100" s="1765"/>
      <c r="BI100" s="1762" t="s">
        <v>138</v>
      </c>
      <c r="BJ100" s="1763"/>
      <c r="BK100" s="1764">
        <f>SUM(BK98,BL98)</f>
        <v>3776.11</v>
      </c>
      <c r="BL100" s="1765"/>
      <c r="BM100" s="1753" t="s">
        <v>477</v>
      </c>
      <c r="BN100" s="1754"/>
      <c r="BO100" s="1755">
        <f>SUM(BO4:BO99)</f>
        <v>1741</v>
      </c>
      <c r="BP100" s="1755">
        <f>SUM(BP4:BP99)</f>
        <v>0</v>
      </c>
      <c r="BQ100" s="1753" t="s">
        <v>477</v>
      </c>
      <c r="BR100" s="1754"/>
      <c r="BS100" s="1755">
        <f>SUM(BS4:BS99)</f>
        <v>4699</v>
      </c>
      <c r="BT100" s="1799">
        <f>SUM(BT4:BT99)</f>
        <v>0</v>
      </c>
      <c r="BY100" s="1757" t="s">
        <v>1672</v>
      </c>
      <c r="BZ100" s="1758"/>
      <c r="CA100" s="1759"/>
      <c r="CB100" s="1804"/>
      <c r="CC100" s="1794">
        <v>44788</v>
      </c>
      <c r="CD100" s="1703" t="s">
        <v>6904</v>
      </c>
      <c r="CE100" s="1791">
        <v>75</v>
      </c>
      <c r="CF100" s="1787" t="s">
        <v>707</v>
      </c>
      <c r="CG100" s="1794">
        <v>45157</v>
      </c>
      <c r="CH100" s="1703" t="s">
        <v>6905</v>
      </c>
      <c r="CI100" s="1791">
        <v>32</v>
      </c>
      <c r="CJ100" s="1787" t="s">
        <v>426</v>
      </c>
      <c r="CK100" s="1850">
        <v>45528</v>
      </c>
      <c r="CL100" s="1738" t="s">
        <v>6906</v>
      </c>
      <c r="CM100" s="1844">
        <v>18</v>
      </c>
      <c r="CN100" s="1787" t="s">
        <v>278</v>
      </c>
      <c r="CO100" s="2165">
        <v>45872</v>
      </c>
      <c r="CP100" s="2166" t="s">
        <v>6897</v>
      </c>
      <c r="CQ100" s="2163">
        <f>ABS(CS122)</f>
        <v>22.83</v>
      </c>
      <c r="CR100" s="1430" t="s">
        <v>278</v>
      </c>
      <c r="CS100" s="2168">
        <v>-9.77</v>
      </c>
    </row>
    <row r="101" spans="1:97">
      <c r="A101" s="1880"/>
      <c r="B101" s="1881"/>
      <c r="C101" s="1882"/>
      <c r="D101" s="1883"/>
      <c r="E101" s="1880"/>
      <c r="F101" s="1881"/>
      <c r="G101" s="1882"/>
      <c r="H101" s="1883"/>
      <c r="I101" s="1880"/>
      <c r="J101" s="1881"/>
      <c r="K101" s="1882"/>
      <c r="L101" s="1883"/>
      <c r="M101" s="1880"/>
      <c r="N101" s="1881"/>
      <c r="O101" s="1882"/>
      <c r="P101" s="1883"/>
      <c r="Q101" s="1880"/>
      <c r="R101" s="1881"/>
      <c r="S101" s="1882"/>
      <c r="T101" s="1883"/>
      <c r="U101" s="1880"/>
      <c r="V101" s="1881"/>
      <c r="W101" s="1882"/>
      <c r="X101" s="1883"/>
      <c r="Y101" s="1880"/>
      <c r="Z101" s="1881"/>
      <c r="AA101" s="1882"/>
      <c r="AB101" s="1883"/>
      <c r="AC101" s="1880"/>
      <c r="AD101" s="1881"/>
      <c r="AE101" s="1882"/>
      <c r="AF101" s="1883"/>
      <c r="AG101" s="1880"/>
      <c r="AH101" s="1881"/>
      <c r="AI101" s="1882"/>
      <c r="AJ101" s="1883"/>
      <c r="AK101" s="1880"/>
      <c r="AL101" s="1881"/>
      <c r="AM101" s="1882"/>
      <c r="AN101" s="1883"/>
      <c r="AO101" s="1880"/>
      <c r="AP101" s="1881"/>
      <c r="AQ101" s="1882"/>
      <c r="AR101" s="1883"/>
      <c r="AS101" s="1880"/>
      <c r="AT101" s="1881"/>
      <c r="AU101" s="1882"/>
      <c r="AV101" s="1883"/>
      <c r="AW101" s="1880"/>
      <c r="AX101" s="1881"/>
      <c r="AY101" s="1882"/>
      <c r="AZ101" s="1883"/>
      <c r="BA101" s="1880"/>
      <c r="BB101" s="1881"/>
      <c r="BC101" s="1882"/>
      <c r="BD101" s="1883"/>
      <c r="BE101" s="1880"/>
      <c r="BF101" s="1881"/>
      <c r="BG101" s="1882"/>
      <c r="BH101" s="1883"/>
      <c r="BI101" s="1880"/>
      <c r="BJ101" s="1881"/>
      <c r="BK101" s="1882"/>
      <c r="BL101" s="1883"/>
      <c r="BM101" s="1884"/>
      <c r="BN101" s="1767"/>
      <c r="BO101" s="1885"/>
      <c r="BP101" s="1768"/>
      <c r="BQ101" s="1884"/>
      <c r="BR101" s="1767"/>
      <c r="BS101" s="1885"/>
      <c r="BT101" s="1886"/>
      <c r="BY101" s="1887"/>
      <c r="BZ101" s="1888"/>
      <c r="CA101" s="1888"/>
      <c r="CB101" s="1889"/>
      <c r="CC101" s="1794"/>
      <c r="CD101" s="1703"/>
      <c r="CE101" s="1791"/>
      <c r="CF101" s="1787"/>
      <c r="CG101" s="1794"/>
      <c r="CH101" s="1703"/>
      <c r="CI101" s="1791"/>
      <c r="CJ101" s="1787"/>
      <c r="CK101" s="1850">
        <v>45528</v>
      </c>
      <c r="CL101" s="1738" t="s">
        <v>5816</v>
      </c>
      <c r="CM101" s="1844">
        <v>36</v>
      </c>
      <c r="CN101" s="1787" t="s">
        <v>414</v>
      </c>
      <c r="CO101" s="2165">
        <v>45872</v>
      </c>
      <c r="CP101" s="2166" t="s">
        <v>6907</v>
      </c>
      <c r="CQ101" s="2163">
        <f>ABS(CS123)</f>
        <v>14.92</v>
      </c>
      <c r="CR101" s="1430" t="s">
        <v>277</v>
      </c>
      <c r="CS101" s="2168">
        <v>-105.09</v>
      </c>
    </row>
    <row r="102" spans="1:97">
      <c r="A102" s="1880"/>
      <c r="B102" s="1881"/>
      <c r="C102" s="1882"/>
      <c r="D102" s="1883"/>
      <c r="E102" s="1880"/>
      <c r="F102" s="1881"/>
      <c r="G102" s="1882"/>
      <c r="H102" s="1883"/>
      <c r="I102" s="1880"/>
      <c r="J102" s="1881"/>
      <c r="K102" s="1882"/>
      <c r="L102" s="1883"/>
      <c r="M102" s="1880"/>
      <c r="N102" s="1881"/>
      <c r="O102" s="1882"/>
      <c r="P102" s="1883"/>
      <c r="Q102" s="1880"/>
      <c r="R102" s="1881"/>
      <c r="S102" s="1882"/>
      <c r="T102" s="1883"/>
      <c r="U102" s="1880"/>
      <c r="V102" s="1881"/>
      <c r="W102" s="1882"/>
      <c r="X102" s="1883"/>
      <c r="Y102" s="1880"/>
      <c r="Z102" s="1881"/>
      <c r="AA102" s="1882"/>
      <c r="AB102" s="1883"/>
      <c r="AC102" s="1880"/>
      <c r="AD102" s="1881"/>
      <c r="AE102" s="1882"/>
      <c r="AF102" s="1883"/>
      <c r="AG102" s="1880"/>
      <c r="AH102" s="1881"/>
      <c r="AI102" s="1882"/>
      <c r="AJ102" s="1883"/>
      <c r="AK102" s="1880"/>
      <c r="AL102" s="1881"/>
      <c r="AM102" s="1882"/>
      <c r="AN102" s="1883"/>
      <c r="AO102" s="1880"/>
      <c r="AP102" s="1881"/>
      <c r="AQ102" s="1882"/>
      <c r="AR102" s="1883"/>
      <c r="AS102" s="1880"/>
      <c r="AT102" s="1881"/>
      <c r="AU102" s="1882"/>
      <c r="AV102" s="1883"/>
      <c r="AW102" s="1880"/>
      <c r="AX102" s="1881"/>
      <c r="AY102" s="1882"/>
      <c r="AZ102" s="1883"/>
      <c r="BA102" s="1880"/>
      <c r="BB102" s="1881"/>
      <c r="BC102" s="1882"/>
      <c r="BD102" s="1883"/>
      <c r="BE102" s="1880"/>
      <c r="BF102" s="1881"/>
      <c r="BG102" s="1882"/>
      <c r="BH102" s="1883"/>
      <c r="BI102" s="1880"/>
      <c r="BJ102" s="1881"/>
      <c r="BK102" s="1882"/>
      <c r="BL102" s="1883"/>
      <c r="BM102" s="1884"/>
      <c r="BN102" s="1767"/>
      <c r="BO102" s="1885"/>
      <c r="BP102" s="1768"/>
      <c r="BQ102" s="1884"/>
      <c r="BR102" s="1767"/>
      <c r="BS102" s="1885"/>
      <c r="BT102" s="1886"/>
      <c r="BY102" s="1887"/>
      <c r="BZ102" s="1888"/>
      <c r="CA102" s="1888"/>
      <c r="CB102" s="1889"/>
      <c r="CC102" s="1794"/>
      <c r="CD102" s="1703"/>
      <c r="CE102" s="1791"/>
      <c r="CF102" s="1787"/>
      <c r="CG102" s="1794"/>
      <c r="CH102" s="1703"/>
      <c r="CI102" s="1791"/>
      <c r="CJ102" s="1787"/>
      <c r="CK102" s="1850">
        <v>45526</v>
      </c>
      <c r="CL102" s="1738" t="s">
        <v>843</v>
      </c>
      <c r="CM102" s="1844">
        <v>35</v>
      </c>
      <c r="CN102" s="1787" t="s">
        <v>414</v>
      </c>
      <c r="CO102" s="2165">
        <v>45872</v>
      </c>
      <c r="CP102" s="2166" t="s">
        <v>6908</v>
      </c>
      <c r="CQ102" s="2163">
        <f>ABS(CS124)</f>
        <v>18.96</v>
      </c>
      <c r="CR102" s="1430" t="s">
        <v>277</v>
      </c>
      <c r="CS102" s="2168">
        <v>-21.33</v>
      </c>
    </row>
    <row r="103" spans="1:97">
      <c r="A103" s="1880"/>
      <c r="B103" s="1881"/>
      <c r="C103" s="1882"/>
      <c r="D103" s="1883"/>
      <c r="E103" s="1880"/>
      <c r="F103" s="1881"/>
      <c r="G103" s="1882"/>
      <c r="H103" s="1883"/>
      <c r="I103" s="1880"/>
      <c r="J103" s="1881"/>
      <c r="K103" s="1882"/>
      <c r="L103" s="1883"/>
      <c r="M103" s="1880"/>
      <c r="N103" s="1881"/>
      <c r="O103" s="1882"/>
      <c r="P103" s="1883"/>
      <c r="Q103" s="1880"/>
      <c r="R103" s="1881"/>
      <c r="S103" s="1882"/>
      <c r="T103" s="1883"/>
      <c r="U103" s="1880"/>
      <c r="V103" s="1881"/>
      <c r="W103" s="1882"/>
      <c r="X103" s="1883"/>
      <c r="Y103" s="1880"/>
      <c r="Z103" s="1881"/>
      <c r="AA103" s="1882"/>
      <c r="AB103" s="1883"/>
      <c r="AC103" s="1880"/>
      <c r="AD103" s="1881"/>
      <c r="AE103" s="1882"/>
      <c r="AF103" s="1883"/>
      <c r="AG103" s="1880"/>
      <c r="AH103" s="1881"/>
      <c r="AI103" s="1882"/>
      <c r="AJ103" s="1883"/>
      <c r="AK103" s="1880"/>
      <c r="AL103" s="1881"/>
      <c r="AM103" s="1882"/>
      <c r="AN103" s="1883"/>
      <c r="AO103" s="1880"/>
      <c r="AP103" s="1881"/>
      <c r="AQ103" s="1882"/>
      <c r="AR103" s="1883"/>
      <c r="AS103" s="1880"/>
      <c r="AT103" s="1881"/>
      <c r="AU103" s="1882"/>
      <c r="AV103" s="1883"/>
      <c r="AW103" s="1880"/>
      <c r="AX103" s="1881"/>
      <c r="AY103" s="1882"/>
      <c r="AZ103" s="1883"/>
      <c r="BA103" s="1880"/>
      <c r="BB103" s="1881"/>
      <c r="BC103" s="1882"/>
      <c r="BD103" s="1883"/>
      <c r="BE103" s="1880"/>
      <c r="BF103" s="1881"/>
      <c r="BG103" s="1882"/>
      <c r="BH103" s="1883"/>
      <c r="BI103" s="1880"/>
      <c r="BJ103" s="1881"/>
      <c r="BK103" s="1882"/>
      <c r="BL103" s="1883"/>
      <c r="BM103" s="1884"/>
      <c r="BN103" s="1767"/>
      <c r="BO103" s="1885"/>
      <c r="BP103" s="1768"/>
      <c r="BQ103" s="1884"/>
      <c r="BR103" s="1767"/>
      <c r="BS103" s="1885"/>
      <c r="BT103" s="1886"/>
      <c r="BY103" s="1887"/>
      <c r="BZ103" s="1888"/>
      <c r="CA103" s="1888"/>
      <c r="CB103" s="1889"/>
      <c r="CC103" s="1794"/>
      <c r="CD103" s="1703"/>
      <c r="CE103" s="1791"/>
      <c r="CF103" s="1787"/>
      <c r="CG103" s="1794"/>
      <c r="CH103" s="1703"/>
      <c r="CI103" s="1791"/>
      <c r="CJ103" s="1787"/>
      <c r="CK103" s="1850">
        <v>45528</v>
      </c>
      <c r="CL103" s="1738" t="s">
        <v>6909</v>
      </c>
      <c r="CM103" s="1844">
        <v>55</v>
      </c>
      <c r="CN103" s="1787" t="s">
        <v>278</v>
      </c>
      <c r="CO103" s="2165">
        <v>45872</v>
      </c>
      <c r="CP103" s="2166" t="s">
        <v>6903</v>
      </c>
      <c r="CQ103" s="2163">
        <f>ABS(CS125)</f>
        <v>6.14</v>
      </c>
      <c r="CR103" s="1430" t="s">
        <v>278</v>
      </c>
      <c r="CS103" s="2168">
        <v>-111.65</v>
      </c>
    </row>
    <row r="104" spans="1:97">
      <c r="A104" s="1880"/>
      <c r="B104" s="1881"/>
      <c r="C104" s="1882"/>
      <c r="D104" s="1883"/>
      <c r="E104" s="1880"/>
      <c r="F104" s="1881"/>
      <c r="G104" s="1882"/>
      <c r="H104" s="1883"/>
      <c r="I104" s="1880"/>
      <c r="J104" s="1881"/>
      <c r="K104" s="1882"/>
      <c r="L104" s="1883"/>
      <c r="M104" s="1880"/>
      <c r="N104" s="1881"/>
      <c r="O104" s="1882"/>
      <c r="P104" s="1883"/>
      <c r="Q104" s="1880"/>
      <c r="R104" s="1881"/>
      <c r="S104" s="1882"/>
      <c r="T104" s="1883"/>
      <c r="U104" s="1880"/>
      <c r="V104" s="1881"/>
      <c r="W104" s="1882"/>
      <c r="X104" s="1883"/>
      <c r="Y104" s="1880"/>
      <c r="Z104" s="1881"/>
      <c r="AA104" s="1882"/>
      <c r="AB104" s="1883"/>
      <c r="AC104" s="1880"/>
      <c r="AD104" s="1881"/>
      <c r="AE104" s="1882"/>
      <c r="AF104" s="1883"/>
      <c r="AG104" s="1880"/>
      <c r="AH104" s="1881"/>
      <c r="AI104" s="1882"/>
      <c r="AJ104" s="1883"/>
      <c r="AK104" s="1880"/>
      <c r="AL104" s="1881"/>
      <c r="AM104" s="1882"/>
      <c r="AN104" s="1883"/>
      <c r="AO104" s="1880"/>
      <c r="AP104" s="1881"/>
      <c r="AQ104" s="1882"/>
      <c r="AR104" s="1883"/>
      <c r="AS104" s="1880"/>
      <c r="AT104" s="1881"/>
      <c r="AU104" s="1882"/>
      <c r="AV104" s="1883"/>
      <c r="AW104" s="1880"/>
      <c r="AX104" s="1881"/>
      <c r="AY104" s="1882"/>
      <c r="AZ104" s="1883"/>
      <c r="BA104" s="1880"/>
      <c r="BB104" s="1881"/>
      <c r="BC104" s="1882"/>
      <c r="BD104" s="1883"/>
      <c r="BE104" s="1880"/>
      <c r="BF104" s="1881"/>
      <c r="BG104" s="1882"/>
      <c r="BH104" s="1883"/>
      <c r="BI104" s="1880"/>
      <c r="BJ104" s="1881"/>
      <c r="BK104" s="1882"/>
      <c r="BL104" s="1883"/>
      <c r="BM104" s="1884"/>
      <c r="BN104" s="1767"/>
      <c r="BO104" s="1885"/>
      <c r="BP104" s="1768"/>
      <c r="BQ104" s="1884"/>
      <c r="BR104" s="1767"/>
      <c r="BS104" s="1885"/>
      <c r="BT104" s="1886"/>
      <c r="BY104" s="1887"/>
      <c r="BZ104" s="1888"/>
      <c r="CA104" s="1888"/>
      <c r="CB104" s="1889"/>
      <c r="CC104" s="1794"/>
      <c r="CD104" s="1703"/>
      <c r="CE104" s="1791"/>
      <c r="CF104" s="1787"/>
      <c r="CG104" s="1794"/>
      <c r="CH104" s="1703"/>
      <c r="CI104" s="1791"/>
      <c r="CJ104" s="1787"/>
      <c r="CK104" s="1850">
        <v>45528</v>
      </c>
      <c r="CL104" s="1738" t="s">
        <v>1151</v>
      </c>
      <c r="CM104" s="1844">
        <v>10</v>
      </c>
      <c r="CN104" s="1787" t="s">
        <v>278</v>
      </c>
      <c r="CO104" s="2165">
        <v>45872</v>
      </c>
      <c r="CP104" s="2166" t="s">
        <v>6910</v>
      </c>
      <c r="CQ104" s="2163">
        <f>ABS(CS126)</f>
        <v>17.600000000000001</v>
      </c>
      <c r="CR104" s="1430" t="s">
        <v>278</v>
      </c>
      <c r="CS104" s="2169">
        <v>24.99</v>
      </c>
    </row>
    <row r="105" spans="1:97">
      <c r="BM105" s="1757" t="s">
        <v>1672</v>
      </c>
      <c r="BN105" s="1758"/>
      <c r="BO105" s="1759"/>
      <c r="BP105" s="1760"/>
      <c r="BQ105" s="1757" t="s">
        <v>1672</v>
      </c>
      <c r="BR105" s="1758"/>
      <c r="BS105" s="1759"/>
      <c r="BT105" s="1800"/>
      <c r="BY105" s="1762" t="s">
        <v>138</v>
      </c>
      <c r="BZ105" s="1763"/>
      <c r="CA105" s="1764">
        <f>SUM(CA99,CB99)</f>
        <v>4855</v>
      </c>
      <c r="CB105" s="1805"/>
      <c r="CC105" s="1794">
        <v>44789</v>
      </c>
      <c r="CD105" s="1703" t="s">
        <v>2314</v>
      </c>
      <c r="CE105" s="1791">
        <v>23</v>
      </c>
      <c r="CF105" s="1787" t="s">
        <v>278</v>
      </c>
      <c r="CG105" s="1794">
        <v>45162</v>
      </c>
      <c r="CH105" s="1703" t="s">
        <v>6911</v>
      </c>
      <c r="CI105" s="1791">
        <v>36</v>
      </c>
      <c r="CJ105" s="1787" t="s">
        <v>280</v>
      </c>
      <c r="CK105" s="1850">
        <v>45532</v>
      </c>
      <c r="CL105" s="1738" t="s">
        <v>6912</v>
      </c>
      <c r="CM105" s="1844">
        <v>16</v>
      </c>
      <c r="CN105" s="1787" t="s">
        <v>700</v>
      </c>
      <c r="CO105" s="2165">
        <v>45872</v>
      </c>
      <c r="CP105" s="2166" t="s">
        <v>6913</v>
      </c>
      <c r="CQ105" s="2163">
        <f>ABS(CS127)</f>
        <v>23.31</v>
      </c>
      <c r="CR105" s="1430" t="s">
        <v>278</v>
      </c>
      <c r="CS105" s="2168">
        <v>-25.74</v>
      </c>
    </row>
    <row r="106" spans="1:97">
      <c r="BM106" s="1762" t="s">
        <v>138</v>
      </c>
      <c r="BN106" s="1763"/>
      <c r="BO106" s="1764">
        <f>SUM(BO100,BP100)</f>
        <v>1741</v>
      </c>
      <c r="BP106" s="1765"/>
      <c r="BQ106" s="1762" t="s">
        <v>138</v>
      </c>
      <c r="BR106" s="1763"/>
      <c r="BS106" s="1764">
        <f>SUM(BS100,BT100)</f>
        <v>4699</v>
      </c>
      <c r="BT106" s="1801"/>
      <c r="CC106" s="1794">
        <v>44789</v>
      </c>
      <c r="CD106" s="1703" t="s">
        <v>772</v>
      </c>
      <c r="CE106" s="1791">
        <v>32</v>
      </c>
      <c r="CF106" s="1787" t="s">
        <v>414</v>
      </c>
      <c r="CG106" s="1794">
        <v>45163</v>
      </c>
      <c r="CH106" s="1703" t="s">
        <v>6914</v>
      </c>
      <c r="CI106" s="1791">
        <v>30</v>
      </c>
      <c r="CJ106" s="1787" t="s">
        <v>414</v>
      </c>
      <c r="CK106" s="1850">
        <v>45532</v>
      </c>
      <c r="CL106" s="1703" t="s">
        <v>6915</v>
      </c>
      <c r="CM106" s="1844">
        <v>98</v>
      </c>
      <c r="CN106" s="1787" t="s">
        <v>280</v>
      </c>
      <c r="CO106" s="2165">
        <v>45872</v>
      </c>
      <c r="CP106" s="2166" t="s">
        <v>6916</v>
      </c>
      <c r="CQ106" s="2163">
        <f>ABS(CS128)</f>
        <v>23.16</v>
      </c>
      <c r="CR106" s="1430" t="s">
        <v>278</v>
      </c>
      <c r="CS106" s="2168">
        <v>-110.58</v>
      </c>
    </row>
    <row r="107" spans="1:97">
      <c r="CC107" s="1794">
        <v>44789</v>
      </c>
      <c r="CD107" s="1703" t="s">
        <v>828</v>
      </c>
      <c r="CE107" s="1791">
        <v>13</v>
      </c>
      <c r="CF107" s="1787" t="s">
        <v>414</v>
      </c>
      <c r="CG107" s="1794">
        <v>45163</v>
      </c>
      <c r="CH107" s="1703" t="s">
        <v>845</v>
      </c>
      <c r="CI107" s="1791">
        <v>47</v>
      </c>
      <c r="CJ107" s="1787" t="s">
        <v>414</v>
      </c>
      <c r="CK107" s="1850">
        <v>45534</v>
      </c>
      <c r="CL107" s="1738" t="s">
        <v>6917</v>
      </c>
      <c r="CM107" s="1844">
        <v>60</v>
      </c>
      <c r="CN107" s="1787" t="s">
        <v>414</v>
      </c>
      <c r="CO107" s="2165">
        <v>45872</v>
      </c>
      <c r="CP107" s="2166" t="s">
        <v>6918</v>
      </c>
      <c r="CQ107" s="2163">
        <f>ABS(CS129)</f>
        <v>15.39</v>
      </c>
      <c r="CR107" s="1430" t="s">
        <v>278</v>
      </c>
      <c r="CS107" s="2168">
        <v>-57.35</v>
      </c>
    </row>
    <row r="108" spans="1:97">
      <c r="CC108" s="1794">
        <v>44789</v>
      </c>
      <c r="CD108" s="1703" t="s">
        <v>843</v>
      </c>
      <c r="CE108" s="1791">
        <v>25</v>
      </c>
      <c r="CF108" s="1787" t="s">
        <v>414</v>
      </c>
      <c r="CG108" s="1794">
        <v>45163</v>
      </c>
      <c r="CH108" s="1703" t="s">
        <v>845</v>
      </c>
      <c r="CI108" s="1791">
        <v>27</v>
      </c>
      <c r="CJ108" s="1787" t="s">
        <v>414</v>
      </c>
      <c r="CK108" s="1850">
        <v>45534</v>
      </c>
      <c r="CL108" s="1738" t="s">
        <v>6919</v>
      </c>
      <c r="CM108" s="1844">
        <v>30</v>
      </c>
      <c r="CN108" s="1787" t="s">
        <v>414</v>
      </c>
      <c r="CO108" s="2165">
        <v>45872</v>
      </c>
      <c r="CP108" s="2166" t="s">
        <v>6920</v>
      </c>
      <c r="CQ108" s="2163">
        <f>ABS(CS130)</f>
        <v>35.33</v>
      </c>
      <c r="CR108" s="1430" t="s">
        <v>278</v>
      </c>
      <c r="CS108" s="2168">
        <v>-139.53</v>
      </c>
    </row>
    <row r="109" spans="1:97">
      <c r="CC109" s="1794">
        <v>44789</v>
      </c>
      <c r="CD109" s="1703" t="s">
        <v>797</v>
      </c>
      <c r="CE109" s="1791">
        <v>23</v>
      </c>
      <c r="CF109" s="1721" t="s">
        <v>410</v>
      </c>
      <c r="CG109" s="1794">
        <v>45163</v>
      </c>
      <c r="CH109" s="1806" t="s">
        <v>772</v>
      </c>
      <c r="CI109" s="1807">
        <v>100</v>
      </c>
      <c r="CJ109" s="1787" t="s">
        <v>414</v>
      </c>
      <c r="CK109" s="1850">
        <v>45534</v>
      </c>
      <c r="CL109" s="1738" t="s">
        <v>6921</v>
      </c>
      <c r="CM109" s="1844">
        <v>30</v>
      </c>
      <c r="CN109" s="1787" t="s">
        <v>414</v>
      </c>
      <c r="CO109" s="2165">
        <v>45872</v>
      </c>
      <c r="CP109" s="2166" t="s">
        <v>6918</v>
      </c>
      <c r="CQ109" s="2163">
        <f>ABS(CS131)</f>
        <v>14.44</v>
      </c>
      <c r="CR109" s="1430" t="s">
        <v>278</v>
      </c>
      <c r="CS109" s="2169">
        <v>-21.33</v>
      </c>
    </row>
    <row r="110" spans="1:97">
      <c r="CC110" s="1794">
        <v>44789</v>
      </c>
      <c r="CD110" s="1806" t="s">
        <v>1180</v>
      </c>
      <c r="CE110" s="1807">
        <v>100</v>
      </c>
      <c r="CF110" s="1721" t="s">
        <v>410</v>
      </c>
      <c r="CG110" s="1794">
        <v>45163</v>
      </c>
      <c r="CH110" s="1703" t="s">
        <v>843</v>
      </c>
      <c r="CI110" s="1791">
        <v>50</v>
      </c>
      <c r="CJ110" s="1787" t="s">
        <v>414</v>
      </c>
      <c r="CK110" s="1850">
        <v>45534</v>
      </c>
      <c r="CL110" s="1738" t="s">
        <v>2445</v>
      </c>
      <c r="CM110" s="1844">
        <v>26</v>
      </c>
      <c r="CN110" s="1787" t="s">
        <v>414</v>
      </c>
      <c r="CO110" s="2165">
        <v>45872</v>
      </c>
      <c r="CP110" s="2166" t="s">
        <v>6922</v>
      </c>
      <c r="CQ110" s="2163">
        <f>ABS(CS132)</f>
        <v>19.649999999999999</v>
      </c>
      <c r="CR110" s="1430" t="s">
        <v>278</v>
      </c>
      <c r="CS110" s="2169">
        <v>-9.77</v>
      </c>
    </row>
    <row r="111" spans="1:97">
      <c r="CC111" s="1808">
        <v>44791</v>
      </c>
      <c r="CD111" s="1703" t="s">
        <v>2051</v>
      </c>
      <c r="CE111" s="1791">
        <v>8</v>
      </c>
      <c r="CF111" s="1787" t="s">
        <v>414</v>
      </c>
      <c r="CG111" s="1794">
        <v>45163</v>
      </c>
      <c r="CH111" s="1703" t="s">
        <v>6923</v>
      </c>
      <c r="CI111" s="1791">
        <v>37</v>
      </c>
      <c r="CJ111" s="1787" t="s">
        <v>414</v>
      </c>
      <c r="CK111" s="1850">
        <v>45534</v>
      </c>
      <c r="CL111" s="1738" t="s">
        <v>2040</v>
      </c>
      <c r="CM111" s="1844">
        <v>32</v>
      </c>
      <c r="CN111" s="1787" t="s">
        <v>414</v>
      </c>
      <c r="CO111" s="2165">
        <v>45872</v>
      </c>
      <c r="CP111" s="2166" t="s">
        <v>6924</v>
      </c>
      <c r="CQ111" s="2163">
        <f>ABS(CS133)</f>
        <v>60.89</v>
      </c>
      <c r="CR111" s="1430" t="s">
        <v>278</v>
      </c>
      <c r="CS111" s="2169">
        <v>-14.96</v>
      </c>
    </row>
    <row r="112" spans="1:97">
      <c r="CC112" s="1808">
        <v>44791</v>
      </c>
      <c r="CD112" s="1703" t="s">
        <v>6925</v>
      </c>
      <c r="CE112" s="1791">
        <v>8</v>
      </c>
      <c r="CF112" s="1787" t="s">
        <v>414</v>
      </c>
      <c r="CG112" s="1794">
        <v>45163</v>
      </c>
      <c r="CH112" s="1703" t="s">
        <v>6926</v>
      </c>
      <c r="CI112" s="1791">
        <v>8</v>
      </c>
      <c r="CJ112" s="1787" t="s">
        <v>280</v>
      </c>
      <c r="CK112" s="1850">
        <v>45534</v>
      </c>
      <c r="CL112" s="1738" t="s">
        <v>6927</v>
      </c>
      <c r="CM112" s="1844">
        <v>30</v>
      </c>
      <c r="CN112" s="1787" t="s">
        <v>414</v>
      </c>
      <c r="CO112" s="2165">
        <v>45872</v>
      </c>
      <c r="CP112" s="2166" t="s">
        <v>6928</v>
      </c>
      <c r="CQ112" s="2163">
        <f>ABS(CS134)</f>
        <v>8.7799999999999994</v>
      </c>
      <c r="CR112" s="1430" t="s">
        <v>278</v>
      </c>
      <c r="CS112" s="2169">
        <v>-25.78</v>
      </c>
    </row>
    <row r="113" spans="81:97">
      <c r="CC113" s="1808">
        <v>44791</v>
      </c>
      <c r="CD113" s="1703" t="s">
        <v>6929</v>
      </c>
      <c r="CE113" s="1791">
        <v>100</v>
      </c>
      <c r="CF113" s="1787" t="s">
        <v>692</v>
      </c>
      <c r="CG113" s="1794">
        <v>45163</v>
      </c>
      <c r="CH113" s="1703" t="s">
        <v>6930</v>
      </c>
      <c r="CI113" s="1791">
        <v>30</v>
      </c>
      <c r="CJ113" s="1787" t="s">
        <v>692</v>
      </c>
      <c r="CK113" s="1850">
        <v>45534</v>
      </c>
      <c r="CL113" s="1859" t="s">
        <v>6931</v>
      </c>
      <c r="CM113" s="1845">
        <v>27</v>
      </c>
      <c r="CN113" s="1787" t="s">
        <v>414</v>
      </c>
      <c r="CO113" s="2165">
        <v>45872</v>
      </c>
      <c r="CP113" s="2167" t="s">
        <v>6932</v>
      </c>
      <c r="CQ113" s="2163">
        <f>ABS(CS135)</f>
        <v>24.99</v>
      </c>
      <c r="CR113" s="1430" t="s">
        <v>280</v>
      </c>
      <c r="CS113" s="2169">
        <v>-25.74</v>
      </c>
    </row>
    <row r="114" spans="81:97">
      <c r="CC114" s="1808">
        <v>44791</v>
      </c>
      <c r="CD114" s="1703" t="s">
        <v>2492</v>
      </c>
      <c r="CE114" s="1791">
        <v>12</v>
      </c>
      <c r="CF114" s="1787" t="s">
        <v>692</v>
      </c>
      <c r="CG114" s="1808">
        <v>45164</v>
      </c>
      <c r="CH114" s="1703" t="s">
        <v>6933</v>
      </c>
      <c r="CI114" s="1791">
        <v>160</v>
      </c>
      <c r="CJ114" s="1787" t="s">
        <v>426</v>
      </c>
      <c r="CK114" s="1850">
        <v>45534</v>
      </c>
      <c r="CL114" s="1738" t="s">
        <v>6934</v>
      </c>
      <c r="CM114" s="1844">
        <v>15</v>
      </c>
      <c r="CN114" s="1787" t="s">
        <v>414</v>
      </c>
      <c r="CO114" s="2165">
        <v>45873</v>
      </c>
      <c r="CP114" s="2166" t="s">
        <v>6935</v>
      </c>
      <c r="CQ114" s="2163">
        <f>ABS(CS136)</f>
        <v>2.46</v>
      </c>
      <c r="CR114" s="1430" t="s">
        <v>278</v>
      </c>
      <c r="CS114" s="2169">
        <v>-22.43</v>
      </c>
    </row>
    <row r="115" spans="81:97">
      <c r="CC115" s="1808">
        <v>44791</v>
      </c>
      <c r="CD115" s="1703" t="s">
        <v>6936</v>
      </c>
      <c r="CE115" s="1791">
        <v>25</v>
      </c>
      <c r="CF115" s="1787" t="s">
        <v>692</v>
      </c>
      <c r="CG115" s="1808">
        <v>45164</v>
      </c>
      <c r="CH115" s="1703" t="s">
        <v>6937</v>
      </c>
      <c r="CI115" s="1791">
        <v>30</v>
      </c>
      <c r="CJ115" s="1787" t="s">
        <v>426</v>
      </c>
      <c r="CK115" s="1850">
        <v>45534</v>
      </c>
      <c r="CL115" s="1738" t="s">
        <v>6938</v>
      </c>
      <c r="CM115" s="1844">
        <v>31</v>
      </c>
      <c r="CN115" s="1787" t="s">
        <v>414</v>
      </c>
      <c r="CO115" s="2165">
        <v>45873</v>
      </c>
      <c r="CP115" s="2166" t="s">
        <v>6935</v>
      </c>
      <c r="CQ115" s="2163">
        <f>ABS(CS137)</f>
        <v>1.97</v>
      </c>
      <c r="CR115" s="1430" t="s">
        <v>278</v>
      </c>
      <c r="CS115" s="2169">
        <v>-111.65</v>
      </c>
    </row>
    <row r="116" spans="81:97">
      <c r="CC116" s="1808">
        <v>44791</v>
      </c>
      <c r="CD116" s="1703" t="s">
        <v>6939</v>
      </c>
      <c r="CE116" s="1791">
        <v>39</v>
      </c>
      <c r="CF116" s="1787" t="s">
        <v>414</v>
      </c>
      <c r="CG116" s="1808">
        <v>45164</v>
      </c>
      <c r="CH116" s="1703" t="s">
        <v>6940</v>
      </c>
      <c r="CI116" s="1791">
        <v>18</v>
      </c>
      <c r="CJ116" s="1792" t="s">
        <v>426</v>
      </c>
      <c r="CK116" s="1850">
        <v>45534</v>
      </c>
      <c r="CL116" s="1738" t="s">
        <v>6941</v>
      </c>
      <c r="CM116" s="1844">
        <v>15</v>
      </c>
      <c r="CN116" s="1787" t="s">
        <v>414</v>
      </c>
      <c r="CO116" s="2165">
        <v>45873</v>
      </c>
      <c r="CP116" s="2166" t="s">
        <v>6942</v>
      </c>
      <c r="CQ116" s="2163">
        <f>ABS(CS138)</f>
        <v>12.39</v>
      </c>
      <c r="CR116" s="1430" t="s">
        <v>278</v>
      </c>
      <c r="CS116" s="2169">
        <v>-105.09</v>
      </c>
    </row>
    <row r="117" spans="81:97">
      <c r="CC117" s="1808">
        <v>44791</v>
      </c>
      <c r="CD117" s="1703" t="s">
        <v>6943</v>
      </c>
      <c r="CE117" s="1791">
        <v>30</v>
      </c>
      <c r="CF117" s="1792" t="s">
        <v>280</v>
      </c>
      <c r="CG117" s="1808">
        <v>45165</v>
      </c>
      <c r="CH117" s="1703" t="s">
        <v>6944</v>
      </c>
      <c r="CI117" s="1791">
        <v>5</v>
      </c>
      <c r="CJ117" s="1787" t="s">
        <v>278</v>
      </c>
      <c r="CK117" s="1850">
        <v>45534</v>
      </c>
      <c r="CL117" s="1738" t="s">
        <v>6945</v>
      </c>
      <c r="CM117" s="1844">
        <v>3</v>
      </c>
      <c r="CN117" s="1787" t="s">
        <v>414</v>
      </c>
      <c r="CO117" s="2165">
        <v>45873</v>
      </c>
      <c r="CP117" s="2166" t="s">
        <v>6946</v>
      </c>
      <c r="CQ117" s="2163">
        <f>ABS(CS139)</f>
        <v>280.18</v>
      </c>
      <c r="CR117" s="1430" t="s">
        <v>381</v>
      </c>
      <c r="CS117" s="2169">
        <v>-12.9</v>
      </c>
    </row>
    <row r="118" spans="81:97">
      <c r="CC118" s="1808">
        <v>44791</v>
      </c>
      <c r="CD118" s="1703" t="s">
        <v>6947</v>
      </c>
      <c r="CE118" s="1791">
        <v>33</v>
      </c>
      <c r="CF118" s="1787" t="s">
        <v>280</v>
      </c>
      <c r="CG118" s="1808">
        <v>45165</v>
      </c>
      <c r="CH118" s="1703" t="s">
        <v>6948</v>
      </c>
      <c r="CI118" s="1791">
        <v>110</v>
      </c>
      <c r="CJ118" s="1787" t="s">
        <v>280</v>
      </c>
      <c r="CK118" s="1850">
        <v>45534</v>
      </c>
      <c r="CL118" s="1738" t="s">
        <v>6949</v>
      </c>
      <c r="CM118" s="1844">
        <v>12</v>
      </c>
      <c r="CN118" s="1787" t="s">
        <v>414</v>
      </c>
      <c r="CO118" s="2165">
        <v>45873</v>
      </c>
      <c r="CP118" s="2166" t="s">
        <v>6950</v>
      </c>
      <c r="CQ118" s="2163">
        <f>ABS(CS140)</f>
        <v>14.65</v>
      </c>
      <c r="CR118" s="1430" t="s">
        <v>278</v>
      </c>
      <c r="CS118" s="2169">
        <v>-4.45</v>
      </c>
    </row>
    <row r="119" spans="81:97">
      <c r="CC119" s="1808">
        <v>44791</v>
      </c>
      <c r="CD119" s="1703" t="s">
        <v>1693</v>
      </c>
      <c r="CE119" s="1791">
        <v>25</v>
      </c>
      <c r="CF119" s="1787" t="s">
        <v>414</v>
      </c>
      <c r="CG119" s="1808">
        <v>45165</v>
      </c>
      <c r="CH119" s="1703" t="s">
        <v>2253</v>
      </c>
      <c r="CI119" s="1791">
        <v>16</v>
      </c>
      <c r="CJ119" s="1787" t="s">
        <v>414</v>
      </c>
      <c r="CK119" s="1850">
        <v>45534</v>
      </c>
      <c r="CL119" s="1738" t="s">
        <v>6951</v>
      </c>
      <c r="CM119" s="1844">
        <v>2</v>
      </c>
      <c r="CN119" s="1787" t="s">
        <v>414</v>
      </c>
      <c r="CO119" s="2165">
        <v>45873</v>
      </c>
      <c r="CP119" s="2166" t="s">
        <v>6952</v>
      </c>
      <c r="CQ119" s="2163">
        <f>ABS(CS141)</f>
        <v>16.72</v>
      </c>
      <c r="CR119" s="1430" t="s">
        <v>278</v>
      </c>
      <c r="CS119" s="2169">
        <v>-23.4</v>
      </c>
    </row>
    <row r="120" spans="81:97">
      <c r="CC120" s="1808">
        <v>44791</v>
      </c>
      <c r="CD120" s="1703" t="s">
        <v>6953</v>
      </c>
      <c r="CE120" s="1791">
        <v>35</v>
      </c>
      <c r="CF120" s="1787" t="s">
        <v>414</v>
      </c>
      <c r="CG120" s="1808">
        <v>45168</v>
      </c>
      <c r="CH120" s="1703" t="s">
        <v>6954</v>
      </c>
      <c r="CI120" s="1791">
        <v>15</v>
      </c>
      <c r="CJ120" s="1787" t="s">
        <v>280</v>
      </c>
      <c r="CK120" s="1850">
        <v>45534</v>
      </c>
      <c r="CL120" s="1738" t="s">
        <v>6955</v>
      </c>
      <c r="CM120" s="1844">
        <v>15</v>
      </c>
      <c r="CN120" s="1787" t="s">
        <v>414</v>
      </c>
      <c r="CO120" s="2165">
        <v>45873</v>
      </c>
      <c r="CP120" s="2166" t="s">
        <v>6956</v>
      </c>
      <c r="CQ120" s="2163">
        <f>ABS(CS142)</f>
        <v>15.83</v>
      </c>
      <c r="CR120" s="1430" t="s">
        <v>278</v>
      </c>
      <c r="CS120" s="2169">
        <v>-31.03</v>
      </c>
    </row>
    <row r="121" spans="81:97">
      <c r="CC121" s="1808">
        <v>44791</v>
      </c>
      <c r="CD121" s="1703" t="s">
        <v>2469</v>
      </c>
      <c r="CE121" s="1791">
        <v>2</v>
      </c>
      <c r="CF121" s="1787" t="s">
        <v>414</v>
      </c>
      <c r="CG121" s="1808">
        <v>45168</v>
      </c>
      <c r="CH121" s="1703" t="s">
        <v>6886</v>
      </c>
      <c r="CI121" s="1791">
        <v>200</v>
      </c>
      <c r="CJ121" s="1787" t="s">
        <v>689</v>
      </c>
      <c r="CK121" s="1850">
        <v>45534</v>
      </c>
      <c r="CL121" s="1738" t="s">
        <v>6957</v>
      </c>
      <c r="CM121" s="1844">
        <v>20</v>
      </c>
      <c r="CN121" s="1787" t="s">
        <v>414</v>
      </c>
      <c r="CO121" s="2165">
        <v>45873</v>
      </c>
      <c r="CP121" s="2166" t="s">
        <v>6958</v>
      </c>
      <c r="CQ121" s="2163">
        <f>ABS(CS143)</f>
        <v>57.04</v>
      </c>
      <c r="CR121" s="1430" t="s">
        <v>277</v>
      </c>
      <c r="CS121" s="2169">
        <v>-6.14</v>
      </c>
    </row>
    <row r="122" spans="81:97">
      <c r="CC122" s="1808">
        <v>44791</v>
      </c>
      <c r="CD122" s="1703" t="s">
        <v>3326</v>
      </c>
      <c r="CE122" s="1791">
        <v>20</v>
      </c>
      <c r="CF122" s="1787" t="s">
        <v>414</v>
      </c>
      <c r="CG122" s="1808"/>
      <c r="CH122" s="1703"/>
      <c r="CI122" s="1791"/>
      <c r="CJ122" s="1787"/>
      <c r="CK122" s="1850">
        <v>45534</v>
      </c>
      <c r="CL122" s="1738" t="s">
        <v>6959</v>
      </c>
      <c r="CM122" s="1844">
        <v>4</v>
      </c>
      <c r="CN122" s="1787" t="s">
        <v>414</v>
      </c>
      <c r="CO122" s="2165">
        <v>45873</v>
      </c>
      <c r="CP122" s="2166" t="s">
        <v>6960</v>
      </c>
      <c r="CQ122" s="2163">
        <f>ABS(CS144)</f>
        <v>40.36</v>
      </c>
      <c r="CR122" s="1430" t="s">
        <v>278</v>
      </c>
      <c r="CS122" s="2169">
        <v>-22.83</v>
      </c>
    </row>
    <row r="123" spans="81:97">
      <c r="CC123" s="1808">
        <v>44791</v>
      </c>
      <c r="CD123" s="1703" t="s">
        <v>6961</v>
      </c>
      <c r="CE123" s="1791">
        <v>19</v>
      </c>
      <c r="CF123" s="1787" t="s">
        <v>414</v>
      </c>
      <c r="CG123" s="1808"/>
      <c r="CH123" s="1703"/>
      <c r="CI123" s="1791"/>
      <c r="CJ123" s="1787"/>
      <c r="CK123" s="1850">
        <v>45534</v>
      </c>
      <c r="CL123" s="1738" t="s">
        <v>6962</v>
      </c>
      <c r="CM123" s="1844">
        <v>51</v>
      </c>
      <c r="CN123" s="1787" t="s">
        <v>414</v>
      </c>
      <c r="CO123" s="2165">
        <v>45873</v>
      </c>
      <c r="CP123" s="2166" t="s">
        <v>6963</v>
      </c>
      <c r="CQ123" s="2163">
        <f>ABS(CS145)</f>
        <v>67.760000000000005</v>
      </c>
      <c r="CR123" s="1430" t="s">
        <v>277</v>
      </c>
      <c r="CS123" s="2169">
        <v>-14.92</v>
      </c>
    </row>
    <row r="124" spans="81:97">
      <c r="CC124" s="1808">
        <v>44791</v>
      </c>
      <c r="CD124" s="1703" t="s">
        <v>2968</v>
      </c>
      <c r="CE124" s="1791">
        <v>22</v>
      </c>
      <c r="CF124" s="1787" t="s">
        <v>414</v>
      </c>
      <c r="CG124" s="1808"/>
      <c r="CH124" s="1703"/>
      <c r="CI124" s="1791"/>
      <c r="CJ124" s="1787"/>
      <c r="CK124" s="1851">
        <v>45535</v>
      </c>
      <c r="CL124" s="1738" t="s">
        <v>6964</v>
      </c>
      <c r="CM124" s="1844">
        <v>90</v>
      </c>
      <c r="CN124" s="1787" t="s">
        <v>278</v>
      </c>
      <c r="CO124" s="2165">
        <v>45873</v>
      </c>
      <c r="CP124" s="2166" t="s">
        <v>6965</v>
      </c>
      <c r="CQ124" s="2163">
        <f>ABS(CS146)</f>
        <v>26.45</v>
      </c>
      <c r="CR124" s="1430" t="s">
        <v>278</v>
      </c>
      <c r="CS124" s="2169">
        <v>-18.96</v>
      </c>
    </row>
    <row r="125" spans="81:97">
      <c r="CC125" s="1808">
        <v>44791</v>
      </c>
      <c r="CD125" s="1703" t="s">
        <v>6966</v>
      </c>
      <c r="CE125" s="1791">
        <v>32</v>
      </c>
      <c r="CF125" s="1787" t="s">
        <v>414</v>
      </c>
      <c r="CG125" s="1808"/>
      <c r="CH125" s="1703"/>
      <c r="CI125" s="1791"/>
      <c r="CJ125" s="1787"/>
      <c r="CK125" s="1851">
        <v>45535</v>
      </c>
      <c r="CL125" s="1738" t="s">
        <v>6967</v>
      </c>
      <c r="CM125" s="1844">
        <v>6</v>
      </c>
      <c r="CN125" s="1787" t="s">
        <v>414</v>
      </c>
      <c r="CO125" s="2165">
        <v>45873</v>
      </c>
      <c r="CP125" s="2166" t="s">
        <v>6968</v>
      </c>
      <c r="CQ125" s="2163">
        <f>ABS(CS147)</f>
        <v>21.99</v>
      </c>
      <c r="CR125" s="1430" t="s">
        <v>6969</v>
      </c>
      <c r="CS125" s="2169">
        <v>-6.14</v>
      </c>
    </row>
    <row r="126" spans="81:97">
      <c r="CC126" s="1808">
        <v>44791</v>
      </c>
      <c r="CD126" s="1703" t="s">
        <v>6970</v>
      </c>
      <c r="CE126" s="1791">
        <v>5</v>
      </c>
      <c r="CF126" s="1787" t="s">
        <v>414</v>
      </c>
      <c r="CG126" s="1808"/>
      <c r="CH126" s="1806"/>
      <c r="CI126" s="1807"/>
      <c r="CJ126" s="1787"/>
      <c r="CK126" s="1851">
        <v>45535</v>
      </c>
      <c r="CL126" s="1738" t="s">
        <v>797</v>
      </c>
      <c r="CM126" s="1844">
        <v>69</v>
      </c>
      <c r="CN126" s="1787" t="s">
        <v>410</v>
      </c>
      <c r="CO126" s="2165">
        <v>45874</v>
      </c>
      <c r="CP126" s="2166" t="s">
        <v>6971</v>
      </c>
      <c r="CQ126" s="2163">
        <f>ABS(CS148)</f>
        <v>119</v>
      </c>
      <c r="CR126" s="1430" t="s">
        <v>6972</v>
      </c>
      <c r="CS126" s="2169">
        <v>-17.600000000000001</v>
      </c>
    </row>
    <row r="127" spans="81:97">
      <c r="CC127" s="1808">
        <v>44791</v>
      </c>
      <c r="CD127" s="1806" t="s">
        <v>2050</v>
      </c>
      <c r="CE127" s="1807">
        <v>5</v>
      </c>
      <c r="CF127" s="1787" t="s">
        <v>414</v>
      </c>
      <c r="CG127" s="1808"/>
      <c r="CH127" s="1806"/>
      <c r="CI127" s="1807"/>
      <c r="CJ127" s="1787"/>
      <c r="CK127" s="1851">
        <v>45535</v>
      </c>
      <c r="CL127" s="1738" t="s">
        <v>1180</v>
      </c>
      <c r="CM127" s="1844">
        <v>90</v>
      </c>
      <c r="CN127" s="1787" t="s">
        <v>410</v>
      </c>
      <c r="CO127" s="2165">
        <v>45874</v>
      </c>
      <c r="CP127" s="2166" t="s">
        <v>6973</v>
      </c>
      <c r="CQ127" s="2163">
        <f>ABS(CS149)</f>
        <v>7.45</v>
      </c>
      <c r="CR127" s="1430" t="s">
        <v>278</v>
      </c>
      <c r="CS127" s="2169">
        <v>-23.31</v>
      </c>
    </row>
    <row r="128" spans="81:97">
      <c r="CC128" s="1808">
        <v>44791</v>
      </c>
      <c r="CD128" s="1806" t="s">
        <v>6974</v>
      </c>
      <c r="CE128" s="1807">
        <v>5</v>
      </c>
      <c r="CF128" s="1787" t="s">
        <v>414</v>
      </c>
      <c r="CG128" s="1808"/>
      <c r="CH128" s="1806"/>
      <c r="CI128" s="1807"/>
      <c r="CJ128" s="1787"/>
      <c r="CK128" s="1851">
        <v>45535</v>
      </c>
      <c r="CL128" s="1738" t="s">
        <v>845</v>
      </c>
      <c r="CM128" s="1844">
        <v>47</v>
      </c>
      <c r="CN128" s="1787" t="s">
        <v>414</v>
      </c>
      <c r="CO128" s="2165">
        <v>45874</v>
      </c>
      <c r="CP128" s="2166" t="s">
        <v>6975</v>
      </c>
      <c r="CQ128" s="2163">
        <f>ABS(CS150)</f>
        <v>40</v>
      </c>
      <c r="CR128" s="1430" t="s">
        <v>689</v>
      </c>
      <c r="CS128" s="2169">
        <v>-23.16</v>
      </c>
    </row>
    <row r="129" spans="81:97">
      <c r="CC129" s="1808">
        <v>44791</v>
      </c>
      <c r="CD129" s="1806" t="s">
        <v>6976</v>
      </c>
      <c r="CE129" s="1807">
        <v>14</v>
      </c>
      <c r="CF129" s="1787" t="s">
        <v>414</v>
      </c>
      <c r="CG129" s="1808"/>
      <c r="CH129" s="1806"/>
      <c r="CI129" s="1807"/>
      <c r="CJ129" s="1787"/>
      <c r="CK129" s="1851">
        <v>45535</v>
      </c>
      <c r="CL129" s="1738" t="s">
        <v>6977</v>
      </c>
      <c r="CM129" s="1844">
        <v>2500</v>
      </c>
      <c r="CN129" s="1787" t="s">
        <v>674</v>
      </c>
      <c r="CO129" s="2165">
        <v>45874</v>
      </c>
      <c r="CP129" s="2166" t="s">
        <v>6978</v>
      </c>
      <c r="CQ129" s="2163">
        <f>ABS(CS151)</f>
        <v>17.899999999999999</v>
      </c>
      <c r="CR129" s="1430" t="s">
        <v>381</v>
      </c>
      <c r="CS129" s="2169">
        <v>-15.39</v>
      </c>
    </row>
    <row r="130" spans="81:97">
      <c r="CC130" s="1808">
        <v>44791</v>
      </c>
      <c r="CD130" s="1806" t="s">
        <v>6979</v>
      </c>
      <c r="CE130" s="1807">
        <v>16000</v>
      </c>
      <c r="CF130" s="1787" t="s">
        <v>702</v>
      </c>
      <c r="CG130" s="1808"/>
      <c r="CH130" s="1703"/>
      <c r="CI130" s="1807"/>
      <c r="CJ130" s="1787"/>
      <c r="CK130" s="1851">
        <v>45535</v>
      </c>
      <c r="CL130" s="1859" t="s">
        <v>6980</v>
      </c>
      <c r="CM130" s="1845">
        <v>13</v>
      </c>
      <c r="CN130" s="1787" t="s">
        <v>278</v>
      </c>
      <c r="CO130" s="2165">
        <v>45874</v>
      </c>
      <c r="CP130" s="2166" t="s">
        <v>6981</v>
      </c>
      <c r="CQ130" s="2163">
        <f>ABS(CS152)</f>
        <v>15.44</v>
      </c>
      <c r="CR130" s="1430" t="s">
        <v>690</v>
      </c>
      <c r="CS130" s="2169">
        <v>-35.33</v>
      </c>
    </row>
    <row r="131" spans="81:97">
      <c r="CC131" s="1808">
        <v>44792</v>
      </c>
      <c r="CD131" s="1703" t="s">
        <v>772</v>
      </c>
      <c r="CE131" s="1807">
        <v>7</v>
      </c>
      <c r="CF131" s="1787" t="s">
        <v>414</v>
      </c>
      <c r="CG131" s="1808"/>
      <c r="CH131" s="1703"/>
      <c r="CI131" s="1807"/>
      <c r="CJ131" s="1787"/>
      <c r="CK131" s="1851">
        <v>45535</v>
      </c>
      <c r="CL131" s="1859" t="s">
        <v>845</v>
      </c>
      <c r="CM131" s="1845">
        <v>40</v>
      </c>
      <c r="CN131" s="1787" t="s">
        <v>414</v>
      </c>
      <c r="CO131" s="2165">
        <v>45874</v>
      </c>
      <c r="CP131" s="2166" t="s">
        <v>6982</v>
      </c>
      <c r="CQ131" s="2163">
        <f>ABS(CS153)</f>
        <v>14.75</v>
      </c>
      <c r="CR131" s="1430" t="s">
        <v>278</v>
      </c>
      <c r="CS131" s="2169">
        <v>-14.44</v>
      </c>
    </row>
    <row r="132" spans="81:97">
      <c r="CC132" s="1808">
        <v>44792</v>
      </c>
      <c r="CD132" s="1703" t="s">
        <v>828</v>
      </c>
      <c r="CE132" s="1807">
        <v>0</v>
      </c>
      <c r="CF132" s="1787" t="s">
        <v>414</v>
      </c>
      <c r="CG132" s="1808"/>
      <c r="CH132" s="1703"/>
      <c r="CI132" s="1807"/>
      <c r="CJ132" s="1787"/>
      <c r="CK132" s="1851">
        <v>45535</v>
      </c>
      <c r="CL132" s="1859" t="s">
        <v>6983</v>
      </c>
      <c r="CM132" s="1845">
        <v>35</v>
      </c>
      <c r="CN132" s="1787" t="s">
        <v>700</v>
      </c>
      <c r="CO132" s="2165">
        <v>45874</v>
      </c>
      <c r="CP132" s="2166" t="s">
        <v>6984</v>
      </c>
      <c r="CQ132" s="2163">
        <f>ABS(CS154)</f>
        <v>20</v>
      </c>
      <c r="CR132" s="1430" t="s">
        <v>418</v>
      </c>
      <c r="CS132" s="2169">
        <v>-19.649999999999999</v>
      </c>
    </row>
    <row r="133" spans="81:97">
      <c r="CC133" s="1808">
        <v>44792</v>
      </c>
      <c r="CD133" s="1703" t="s">
        <v>843</v>
      </c>
      <c r="CE133" s="1807">
        <v>26</v>
      </c>
      <c r="CF133" s="1787" t="s">
        <v>414</v>
      </c>
      <c r="CG133" s="1808"/>
      <c r="CH133" s="1806"/>
      <c r="CI133" s="1807"/>
      <c r="CJ133" s="1787"/>
      <c r="CK133" s="1851"/>
      <c r="CL133" s="1859"/>
      <c r="CM133" s="1845"/>
      <c r="CN133" s="1787"/>
      <c r="CO133" s="2165">
        <v>45875</v>
      </c>
      <c r="CP133" s="2166" t="s">
        <v>6985</v>
      </c>
      <c r="CQ133" s="2163">
        <f>ABS(CS155)</f>
        <v>17.64</v>
      </c>
      <c r="CR133" s="1430" t="s">
        <v>278</v>
      </c>
      <c r="CS133" s="2169">
        <v>-60.89</v>
      </c>
    </row>
    <row r="134" spans="81:97">
      <c r="CC134" s="1808">
        <v>44792</v>
      </c>
      <c r="CD134" s="1806" t="s">
        <v>845</v>
      </c>
      <c r="CE134" s="1807">
        <v>37</v>
      </c>
      <c r="CF134" s="1787" t="s">
        <v>414</v>
      </c>
      <c r="CG134" s="1808"/>
      <c r="CH134" s="1806"/>
      <c r="CI134" s="1807"/>
      <c r="CJ134" s="1787"/>
      <c r="CK134" s="1851"/>
      <c r="CL134" s="1738"/>
      <c r="CM134" s="1845"/>
      <c r="CN134" s="1787"/>
      <c r="CO134" s="2165">
        <v>45875</v>
      </c>
      <c r="CP134" s="2166" t="s">
        <v>6986</v>
      </c>
      <c r="CQ134" s="2163">
        <f>ABS(CS156)</f>
        <v>5.29</v>
      </c>
      <c r="CR134" s="1430" t="s">
        <v>278</v>
      </c>
      <c r="CS134" s="2169">
        <v>-8.7799999999999994</v>
      </c>
    </row>
    <row r="135" spans="81:97">
      <c r="CC135" s="1808">
        <v>44792</v>
      </c>
      <c r="CD135" s="1806" t="s">
        <v>6987</v>
      </c>
      <c r="CE135" s="1807">
        <v>5300</v>
      </c>
      <c r="CF135" s="1787" t="s">
        <v>701</v>
      </c>
      <c r="CG135" s="1808"/>
      <c r="CH135" s="1806"/>
      <c r="CI135" s="1807"/>
      <c r="CJ135" s="1787"/>
      <c r="CK135" s="1851"/>
      <c r="CL135" s="1738"/>
      <c r="CM135" s="1845"/>
      <c r="CN135" s="1787"/>
      <c r="CO135" s="2165">
        <v>45875</v>
      </c>
      <c r="CP135" s="2166" t="s">
        <v>6986</v>
      </c>
      <c r="CQ135" s="2163">
        <f>ABS(CS157)</f>
        <v>6.08</v>
      </c>
      <c r="CR135" s="1430" t="s">
        <v>278</v>
      </c>
      <c r="CS135" s="2169">
        <v>24.99</v>
      </c>
    </row>
    <row r="136" spans="81:97">
      <c r="CC136" s="1808">
        <v>44792</v>
      </c>
      <c r="CD136" s="1806" t="s">
        <v>6988</v>
      </c>
      <c r="CE136" s="1807">
        <v>9</v>
      </c>
      <c r="CF136" s="1787" t="s">
        <v>278</v>
      </c>
      <c r="CG136" s="1808"/>
      <c r="CH136" s="1806"/>
      <c r="CI136" s="1807"/>
      <c r="CJ136" s="1787"/>
      <c r="CK136" s="1851"/>
      <c r="CL136" s="1738"/>
      <c r="CM136" s="1845"/>
      <c r="CN136" s="1787"/>
      <c r="CO136" s="2165">
        <v>45875</v>
      </c>
      <c r="CP136" s="2166" t="s">
        <v>6986</v>
      </c>
      <c r="CQ136" s="2163">
        <f>ABS(CS158)</f>
        <v>49.69</v>
      </c>
      <c r="CR136" s="1430" t="s">
        <v>278</v>
      </c>
      <c r="CS136" s="2169">
        <v>-2.46</v>
      </c>
    </row>
    <row r="137" spans="81:97">
      <c r="CC137" s="1808">
        <v>44792</v>
      </c>
      <c r="CD137" s="1806" t="s">
        <v>5031</v>
      </c>
      <c r="CE137" s="1807">
        <v>28</v>
      </c>
      <c r="CF137" s="1787" t="s">
        <v>278</v>
      </c>
      <c r="CG137" s="1808"/>
      <c r="CH137" s="1806"/>
      <c r="CI137" s="1807"/>
      <c r="CJ137" s="1787"/>
      <c r="CK137" s="1851"/>
      <c r="CL137" s="1859"/>
      <c r="CM137" s="1845"/>
      <c r="CN137" s="1787"/>
      <c r="CO137" s="2165">
        <v>45875</v>
      </c>
      <c r="CP137" s="2166" t="s">
        <v>6989</v>
      </c>
      <c r="CQ137" s="2163">
        <f>ABS(CS159)</f>
        <v>30.93</v>
      </c>
      <c r="CR137" s="1430" t="s">
        <v>278</v>
      </c>
      <c r="CS137" s="2169">
        <v>-1.97</v>
      </c>
    </row>
    <row r="138" spans="81:97">
      <c r="CC138" s="1808">
        <v>44792</v>
      </c>
      <c r="CD138" s="1806" t="s">
        <v>6990</v>
      </c>
      <c r="CE138" s="1807">
        <v>40</v>
      </c>
      <c r="CF138" s="1787" t="s">
        <v>280</v>
      </c>
      <c r="CG138" s="1808"/>
      <c r="CH138" s="1806"/>
      <c r="CI138" s="1807"/>
      <c r="CJ138" s="1787"/>
      <c r="CK138" s="1851"/>
      <c r="CL138" s="1859"/>
      <c r="CM138" s="1845"/>
      <c r="CN138" s="1787"/>
      <c r="CO138" s="2165">
        <v>45875</v>
      </c>
      <c r="CP138" s="2166" t="s">
        <v>6991</v>
      </c>
      <c r="CQ138" s="2163">
        <f>ABS(CS160)</f>
        <v>58.8</v>
      </c>
      <c r="CR138" s="1430" t="s">
        <v>700</v>
      </c>
      <c r="CS138" s="2169">
        <v>-12.39</v>
      </c>
    </row>
    <row r="139" spans="81:97">
      <c r="CC139" s="1808">
        <v>44792</v>
      </c>
      <c r="CD139" s="1806" t="s">
        <v>6992</v>
      </c>
      <c r="CE139" s="1807">
        <v>21</v>
      </c>
      <c r="CF139" s="1787" t="s">
        <v>414</v>
      </c>
      <c r="CG139" s="1808"/>
      <c r="CH139" s="1806"/>
      <c r="CI139" s="1807"/>
      <c r="CJ139" s="1787"/>
      <c r="CK139" s="1851"/>
      <c r="CL139" s="1859"/>
      <c r="CM139" s="1845"/>
      <c r="CN139" s="1787"/>
      <c r="CO139" s="2165">
        <v>45875</v>
      </c>
      <c r="CP139" s="2166" t="s">
        <v>6993</v>
      </c>
      <c r="CQ139" s="2163">
        <f>ABS(CS161)</f>
        <v>25.92</v>
      </c>
      <c r="CR139" s="1430" t="s">
        <v>278</v>
      </c>
      <c r="CS139" s="2169">
        <v>-280.18</v>
      </c>
    </row>
    <row r="140" spans="81:97">
      <c r="CC140" s="1808">
        <v>44792</v>
      </c>
      <c r="CD140" s="1806" t="s">
        <v>6994</v>
      </c>
      <c r="CE140" s="1807">
        <v>9</v>
      </c>
      <c r="CF140" s="1787" t="s">
        <v>426</v>
      </c>
      <c r="CG140" s="1808"/>
      <c r="CH140" s="1806"/>
      <c r="CI140" s="1807"/>
      <c r="CJ140" s="1787"/>
      <c r="CK140" s="1851"/>
      <c r="CL140" s="1859"/>
      <c r="CM140" s="1845"/>
      <c r="CN140" s="1787"/>
      <c r="CO140" s="2165">
        <v>45875</v>
      </c>
      <c r="CP140" s="2167" t="s">
        <v>6995</v>
      </c>
      <c r="CQ140" s="2163">
        <f>ABS(CS162)</f>
        <v>109.86</v>
      </c>
      <c r="CR140" s="1430" t="s">
        <v>414</v>
      </c>
      <c r="CS140" s="2169">
        <v>-14.65</v>
      </c>
    </row>
    <row r="141" spans="81:97">
      <c r="CC141" s="1808">
        <v>44796</v>
      </c>
      <c r="CD141" s="1806" t="s">
        <v>6988</v>
      </c>
      <c r="CE141" s="1807">
        <v>44</v>
      </c>
      <c r="CF141" s="1787" t="s">
        <v>278</v>
      </c>
      <c r="CG141" s="1808"/>
      <c r="CH141" s="1806"/>
      <c r="CI141" s="1807"/>
      <c r="CJ141" s="1787"/>
      <c r="CK141" s="1851"/>
      <c r="CL141" s="1859"/>
      <c r="CM141" s="1845"/>
      <c r="CN141" s="1787"/>
      <c r="CO141" s="2165">
        <v>45876</v>
      </c>
      <c r="CP141" s="2166" t="s">
        <v>6996</v>
      </c>
      <c r="CQ141" s="2163">
        <f>ABS(CS163)</f>
        <v>26.1</v>
      </c>
      <c r="CR141" s="1430" t="s">
        <v>278</v>
      </c>
      <c r="CS141" s="2169">
        <v>-16.72</v>
      </c>
    </row>
    <row r="142" spans="81:97">
      <c r="CC142" s="1808">
        <v>44796</v>
      </c>
      <c r="CD142" s="1806" t="s">
        <v>6997</v>
      </c>
      <c r="CE142" s="1807">
        <v>9</v>
      </c>
      <c r="CF142" s="1787" t="s">
        <v>280</v>
      </c>
      <c r="CG142" s="1808"/>
      <c r="CH142" s="1806"/>
      <c r="CI142" s="1807"/>
      <c r="CJ142" s="1721"/>
      <c r="CK142" s="1851"/>
      <c r="CL142" s="1859"/>
      <c r="CM142" s="1845"/>
      <c r="CN142" s="1787"/>
      <c r="CO142" s="2165">
        <v>45876</v>
      </c>
      <c r="CP142" s="2167" t="s">
        <v>6998</v>
      </c>
      <c r="CQ142" s="2163">
        <f>ABS(CS164)</f>
        <v>1.01</v>
      </c>
      <c r="CR142" s="1430" t="s">
        <v>414</v>
      </c>
      <c r="CS142" s="2169">
        <v>-15.83</v>
      </c>
    </row>
    <row r="143" spans="81:97">
      <c r="CC143" s="1808">
        <v>44796</v>
      </c>
      <c r="CD143" s="1806" t="s">
        <v>6999</v>
      </c>
      <c r="CE143" s="1807">
        <v>35</v>
      </c>
      <c r="CF143" s="1721" t="s">
        <v>701</v>
      </c>
      <c r="CG143" s="1808"/>
      <c r="CH143" s="1806"/>
      <c r="CI143" s="1807"/>
      <c r="CJ143" s="1721"/>
      <c r="CK143" s="1851"/>
      <c r="CL143" s="1859"/>
      <c r="CM143" s="1845"/>
      <c r="CN143" s="1787"/>
      <c r="CO143" s="2165">
        <v>45876</v>
      </c>
      <c r="CP143" s="2166" t="s">
        <v>7000</v>
      </c>
      <c r="CQ143" s="2163">
        <f>ABS(CS165)</f>
        <v>9.31</v>
      </c>
      <c r="CR143" s="1430" t="s">
        <v>278</v>
      </c>
      <c r="CS143" s="2169">
        <v>-57.04</v>
      </c>
    </row>
    <row r="144" spans="81:97">
      <c r="CC144" s="1808">
        <v>44796</v>
      </c>
      <c r="CD144" s="1806" t="s">
        <v>7001</v>
      </c>
      <c r="CE144" s="1807">
        <v>25</v>
      </c>
      <c r="CF144" s="1721" t="s">
        <v>426</v>
      </c>
      <c r="CG144" s="1808"/>
      <c r="CH144" s="1703"/>
      <c r="CI144" s="1807"/>
      <c r="CJ144" s="1787"/>
      <c r="CK144" s="1851"/>
      <c r="CL144" s="1859"/>
      <c r="CM144" s="1845"/>
      <c r="CN144" s="1787"/>
      <c r="CO144" s="2165">
        <v>45876</v>
      </c>
      <c r="CP144" s="2166" t="s">
        <v>7002</v>
      </c>
      <c r="CQ144" s="2163">
        <f>ABS(CS166)</f>
        <v>16.13</v>
      </c>
      <c r="CR144" s="1430" t="s">
        <v>278</v>
      </c>
      <c r="CS144" s="2169">
        <v>-40.36</v>
      </c>
    </row>
    <row r="145" spans="81:97">
      <c r="CC145" s="1808">
        <v>44800</v>
      </c>
      <c r="CD145" s="1703" t="s">
        <v>772</v>
      </c>
      <c r="CE145" s="1807">
        <v>32</v>
      </c>
      <c r="CF145" s="1787" t="s">
        <v>414</v>
      </c>
      <c r="CG145" s="1808"/>
      <c r="CH145" s="1703"/>
      <c r="CI145" s="1807"/>
      <c r="CJ145" s="1787"/>
      <c r="CK145" s="1851"/>
      <c r="CL145" s="1859"/>
      <c r="CM145" s="1845"/>
      <c r="CN145" s="1787"/>
      <c r="CO145" s="2165">
        <v>45876</v>
      </c>
      <c r="CP145" s="2166" t="s">
        <v>7003</v>
      </c>
      <c r="CQ145" s="2163">
        <f>ABS(CS168)</f>
        <v>49.07</v>
      </c>
      <c r="CR145" s="1430" t="s">
        <v>278</v>
      </c>
      <c r="CS145" s="2169">
        <v>-67.760000000000005</v>
      </c>
    </row>
    <row r="146" spans="81:97">
      <c r="CC146" s="1808">
        <v>44800</v>
      </c>
      <c r="CD146" s="1703" t="s">
        <v>828</v>
      </c>
      <c r="CE146" s="1807">
        <v>5</v>
      </c>
      <c r="CF146" s="1787" t="s">
        <v>414</v>
      </c>
      <c r="CG146" s="1808"/>
      <c r="CH146" s="1703"/>
      <c r="CI146" s="1807"/>
      <c r="CJ146" s="1787"/>
      <c r="CK146" s="1851"/>
      <c r="CL146" s="1859"/>
      <c r="CM146" s="1845"/>
      <c r="CN146" s="1721"/>
      <c r="CO146" s="2165">
        <v>45876</v>
      </c>
      <c r="CP146" s="2166" t="s">
        <v>7004</v>
      </c>
      <c r="CQ146" s="2163">
        <f>ABS(CS169)</f>
        <v>17.11</v>
      </c>
      <c r="CR146" s="1430" t="s">
        <v>278</v>
      </c>
      <c r="CS146" s="2169">
        <v>-26.45</v>
      </c>
    </row>
    <row r="147" spans="81:97">
      <c r="CC147" s="1808">
        <v>44800</v>
      </c>
      <c r="CD147" s="1703" t="s">
        <v>843</v>
      </c>
      <c r="CE147" s="1807">
        <v>28</v>
      </c>
      <c r="CF147" s="1787" t="s">
        <v>414</v>
      </c>
      <c r="CG147" s="1808"/>
      <c r="CH147" s="1806"/>
      <c r="CI147" s="1807"/>
      <c r="CJ147" s="1787"/>
      <c r="CK147" s="1851"/>
      <c r="CL147" s="1859"/>
      <c r="CM147" s="1845"/>
      <c r="CN147" s="1721"/>
      <c r="CO147" s="2165">
        <v>45876</v>
      </c>
      <c r="CP147" s="2166" t="s">
        <v>7005</v>
      </c>
      <c r="CQ147" s="2163">
        <f>ABS(CS170)</f>
        <v>20.72</v>
      </c>
      <c r="CR147" s="1430" t="s">
        <v>278</v>
      </c>
      <c r="CS147" s="2168">
        <v>-21.99</v>
      </c>
    </row>
    <row r="148" spans="81:97">
      <c r="CC148" s="1808">
        <v>44800</v>
      </c>
      <c r="CD148" s="1806" t="s">
        <v>845</v>
      </c>
      <c r="CE148" s="1807">
        <v>40</v>
      </c>
      <c r="CF148" s="1787" t="s">
        <v>414</v>
      </c>
      <c r="CG148" s="1808"/>
      <c r="CH148" s="1806"/>
      <c r="CI148" s="1807"/>
      <c r="CJ148" s="1721"/>
      <c r="CK148" s="1851"/>
      <c r="CL148" s="1738"/>
      <c r="CM148" s="1845"/>
      <c r="CN148" s="1787"/>
      <c r="CO148" s="2165">
        <v>45876</v>
      </c>
      <c r="CP148" s="2166" t="s">
        <v>7006</v>
      </c>
      <c r="CQ148" s="2163">
        <f>ABS(CS171)</f>
        <v>25.12</v>
      </c>
      <c r="CR148" s="1430" t="s">
        <v>280</v>
      </c>
      <c r="CS148" s="2169">
        <v>-119</v>
      </c>
    </row>
    <row r="149" spans="81:97">
      <c r="CC149" s="1808">
        <v>44800</v>
      </c>
      <c r="CD149" s="1806" t="s">
        <v>7007</v>
      </c>
      <c r="CE149" s="1807">
        <v>28</v>
      </c>
      <c r="CF149" s="1721" t="s">
        <v>689</v>
      </c>
      <c r="CG149" s="1808"/>
      <c r="CH149" s="1806"/>
      <c r="CI149" s="1809"/>
      <c r="CJ149" s="1787"/>
      <c r="CK149" s="1851"/>
      <c r="CL149" s="1738"/>
      <c r="CM149" s="1845"/>
      <c r="CN149" s="1787"/>
      <c r="CO149" s="2165">
        <v>45876</v>
      </c>
      <c r="CP149" s="2166" t="s">
        <v>7008</v>
      </c>
      <c r="CQ149" s="2163">
        <f>ABS(CS172)</f>
        <v>19.61</v>
      </c>
      <c r="CR149" s="1430" t="s">
        <v>278</v>
      </c>
      <c r="CS149" s="2169">
        <v>-7.45</v>
      </c>
    </row>
    <row r="150" spans="81:97">
      <c r="CC150" s="1808">
        <v>44800</v>
      </c>
      <c r="CD150" s="1806" t="s">
        <v>7009</v>
      </c>
      <c r="CE150" s="1809">
        <v>11</v>
      </c>
      <c r="CF150" s="1787" t="s">
        <v>414</v>
      </c>
      <c r="CG150" s="1808"/>
      <c r="CH150" s="1806"/>
      <c r="CI150" s="1809"/>
      <c r="CJ150" s="1787"/>
      <c r="CK150" s="1851"/>
      <c r="CL150" s="1738"/>
      <c r="CM150" s="1845"/>
      <c r="CN150" s="1787"/>
      <c r="CO150" s="2165">
        <v>45876</v>
      </c>
      <c r="CP150" s="2166" t="s">
        <v>7010</v>
      </c>
      <c r="CQ150" s="2163">
        <f>ABS(CS173)</f>
        <v>46.43</v>
      </c>
      <c r="CR150" s="1430" t="s">
        <v>381</v>
      </c>
      <c r="CS150" s="2169">
        <v>-40</v>
      </c>
    </row>
    <row r="151" spans="81:97">
      <c r="CC151" s="1808">
        <v>44800</v>
      </c>
      <c r="CD151" s="1806" t="s">
        <v>7011</v>
      </c>
      <c r="CE151" s="1809">
        <v>30</v>
      </c>
      <c r="CF151" s="1787" t="s">
        <v>280</v>
      </c>
      <c r="CG151" s="1808"/>
      <c r="CH151" s="1806"/>
      <c r="CI151" s="1809"/>
      <c r="CJ151" s="1787"/>
      <c r="CK151" s="1851"/>
      <c r="CL151" s="1859"/>
      <c r="CM151" s="1845"/>
      <c r="CN151" s="1787"/>
      <c r="CO151" s="2165">
        <v>45876</v>
      </c>
      <c r="CP151" s="2166" t="s">
        <v>7012</v>
      </c>
      <c r="CQ151" s="2163">
        <f>ABS(CS174)</f>
        <v>112.54</v>
      </c>
      <c r="CR151" s="1430" t="s">
        <v>278</v>
      </c>
      <c r="CS151" s="2169">
        <v>-17.899999999999999</v>
      </c>
    </row>
    <row r="152" spans="81:97">
      <c r="CC152" s="1808">
        <v>44802</v>
      </c>
      <c r="CD152" s="1806" t="s">
        <v>4325</v>
      </c>
      <c r="CE152" s="1809">
        <v>25</v>
      </c>
      <c r="CF152" s="1787" t="s">
        <v>280</v>
      </c>
      <c r="CG152" s="1808"/>
      <c r="CH152" s="1806"/>
      <c r="CI152" s="1809"/>
      <c r="CJ152" s="1787"/>
      <c r="CK152" s="1851"/>
      <c r="CL152" s="1859"/>
      <c r="CM152" s="1845"/>
      <c r="CN152" s="1721"/>
      <c r="CO152" s="2165">
        <v>45876</v>
      </c>
      <c r="CP152" s="2166" t="s">
        <v>7002</v>
      </c>
      <c r="CQ152" s="2163">
        <f>ABS(CS175)</f>
        <v>4.8899999999999997</v>
      </c>
      <c r="CR152" s="1430" t="s">
        <v>278</v>
      </c>
      <c r="CS152" s="2169">
        <v>-15.44</v>
      </c>
    </row>
    <row r="153" spans="81:97">
      <c r="CC153" s="1808">
        <v>44803</v>
      </c>
      <c r="CD153" s="1806" t="s">
        <v>7013</v>
      </c>
      <c r="CE153" s="1809">
        <v>23</v>
      </c>
      <c r="CF153" s="1787" t="s">
        <v>280</v>
      </c>
      <c r="CG153" s="1808"/>
      <c r="CH153" s="1806"/>
      <c r="CI153" s="1809"/>
      <c r="CJ153" s="1787"/>
      <c r="CK153" s="1851"/>
      <c r="CL153" s="1859"/>
      <c r="CM153" s="1846"/>
      <c r="CN153" s="1787"/>
      <c r="CO153" s="2165">
        <v>45876</v>
      </c>
      <c r="CP153" s="2166" t="s">
        <v>7014</v>
      </c>
      <c r="CQ153" s="2163">
        <f>ABS(CS176)</f>
        <v>46.63</v>
      </c>
      <c r="CR153" s="1430" t="s">
        <v>278</v>
      </c>
      <c r="CS153" s="2169">
        <v>-14.75</v>
      </c>
    </row>
    <row r="154" spans="81:97">
      <c r="CC154" s="1808">
        <v>44803</v>
      </c>
      <c r="CD154" s="1806" t="s">
        <v>7015</v>
      </c>
      <c r="CE154" s="1809">
        <v>40</v>
      </c>
      <c r="CF154" s="1787" t="s">
        <v>700</v>
      </c>
      <c r="CG154" s="1808"/>
      <c r="CH154" s="1806"/>
      <c r="CI154" s="1809"/>
      <c r="CJ154" s="1721"/>
      <c r="CK154" s="1851"/>
      <c r="CL154" s="1859"/>
      <c r="CM154" s="1846"/>
      <c r="CN154" s="1787"/>
      <c r="CO154" s="2165">
        <v>45876</v>
      </c>
      <c r="CP154" s="2166" t="s">
        <v>7000</v>
      </c>
      <c r="CQ154" s="2163">
        <f>ABS(CS177)</f>
        <v>18.62</v>
      </c>
      <c r="CR154" s="1430" t="s">
        <v>278</v>
      </c>
      <c r="CS154" s="2169">
        <v>20</v>
      </c>
    </row>
    <row r="155" spans="81:97">
      <c r="CC155" s="1808">
        <v>44803</v>
      </c>
      <c r="CD155" s="1806" t="s">
        <v>7016</v>
      </c>
      <c r="CE155" s="1809">
        <v>60</v>
      </c>
      <c r="CF155" s="1721" t="s">
        <v>426</v>
      </c>
      <c r="CG155" s="1808"/>
      <c r="CH155" s="1806"/>
      <c r="CI155" s="1809"/>
      <c r="CJ155" s="1787"/>
      <c r="CK155" s="1851"/>
      <c r="CL155" s="1859"/>
      <c r="CM155" s="1846"/>
      <c r="CN155" s="1787"/>
      <c r="CO155" s="2165">
        <v>45876</v>
      </c>
      <c r="CP155" s="2167" t="s">
        <v>6868</v>
      </c>
      <c r="CQ155" s="2163">
        <f>ABS(CS178)</f>
        <v>58.97</v>
      </c>
      <c r="CR155" s="1430" t="s">
        <v>277</v>
      </c>
      <c r="CS155" s="2169">
        <v>-17.64</v>
      </c>
    </row>
    <row r="156" spans="81:97">
      <c r="CC156" s="1808">
        <v>44803</v>
      </c>
      <c r="CD156" s="1806" t="s">
        <v>7017</v>
      </c>
      <c r="CE156" s="1809">
        <v>66</v>
      </c>
      <c r="CF156" s="1787" t="s">
        <v>700</v>
      </c>
      <c r="CG156" s="1808"/>
      <c r="CH156" s="1806"/>
      <c r="CI156" s="1809"/>
      <c r="CJ156" s="1721"/>
      <c r="CK156" s="1910" t="s">
        <v>477</v>
      </c>
      <c r="CL156" s="1859"/>
      <c r="CM156" s="1846"/>
      <c r="CN156" s="1787"/>
      <c r="CO156" s="2165">
        <v>45876</v>
      </c>
      <c r="CP156" s="2166" t="s">
        <v>5123</v>
      </c>
      <c r="CQ156" s="2163">
        <f>ABS(CS179)</f>
        <v>58.97</v>
      </c>
      <c r="CR156" s="1430" t="s">
        <v>277</v>
      </c>
      <c r="CS156" s="2169">
        <v>-5.29</v>
      </c>
    </row>
    <row r="157" spans="81:97">
      <c r="CC157" s="1808">
        <v>44803</v>
      </c>
      <c r="CD157" s="1806" t="s">
        <v>7018</v>
      </c>
      <c r="CE157" s="1809">
        <v>450</v>
      </c>
      <c r="CF157" s="1721" t="s">
        <v>696</v>
      </c>
      <c r="CG157" s="1808"/>
      <c r="CH157" s="1806"/>
      <c r="CI157" s="1809"/>
      <c r="CJ157" s="1721"/>
      <c r="CK157" s="1887" t="s">
        <v>1672</v>
      </c>
      <c r="CL157" s="1767"/>
      <c r="CM157" s="1768">
        <f>SUM(CM4:CM156)</f>
        <v>47340</v>
      </c>
      <c r="CN157" s="1911">
        <f>SUM(CN4:CN156)</f>
        <v>3.9232685455577725</v>
      </c>
      <c r="CO157" s="2165">
        <v>45876</v>
      </c>
      <c r="CP157" s="2167" t="s">
        <v>6868</v>
      </c>
      <c r="CQ157" s="2163">
        <f>ABS(CS180)</f>
        <v>59.08</v>
      </c>
      <c r="CR157" s="1430" t="s">
        <v>277</v>
      </c>
      <c r="CS157" s="2169">
        <v>-6.08</v>
      </c>
    </row>
    <row r="158" spans="81:97">
      <c r="CC158" s="1808"/>
      <c r="CD158" s="1806"/>
      <c r="CE158" s="1809"/>
      <c r="CF158" s="1721"/>
      <c r="CG158" s="1808"/>
      <c r="CH158" s="1912"/>
      <c r="CI158" s="1913"/>
      <c r="CJ158" s="1914"/>
      <c r="CK158" s="1762" t="s">
        <v>138</v>
      </c>
      <c r="CL158" s="1758"/>
      <c r="CM158" s="1759"/>
      <c r="CN158" s="1915"/>
      <c r="CO158" s="2165">
        <v>45876</v>
      </c>
      <c r="CP158" s="2167" t="s">
        <v>6868</v>
      </c>
      <c r="CQ158" s="2163">
        <f>ABS(CS181)</f>
        <v>64.97</v>
      </c>
      <c r="CR158" s="1430" t="s">
        <v>277</v>
      </c>
      <c r="CS158" s="2169">
        <v>-49.69</v>
      </c>
    </row>
    <row r="159" spans="81:97">
      <c r="CC159" s="1808"/>
      <c r="CD159" s="1912"/>
      <c r="CE159" s="1913"/>
      <c r="CF159" s="1914"/>
      <c r="CG159" s="1910" t="s">
        <v>477</v>
      </c>
      <c r="CH159" s="1767"/>
      <c r="CI159" s="1768">
        <f>SUM(CI4:CI158)</f>
        <v>22267</v>
      </c>
      <c r="CJ159" s="1886">
        <f>SUM(CJ4:CJ158)</f>
        <v>3.4486180408147225</v>
      </c>
      <c r="CL159" s="1763"/>
      <c r="CM159" s="1764">
        <f>SUM(CM157,CN157)</f>
        <v>47343.923268545557</v>
      </c>
      <c r="CN159" s="1916"/>
      <c r="CO159" s="2165">
        <v>45877</v>
      </c>
      <c r="CP159" s="2166" t="s">
        <v>7019</v>
      </c>
      <c r="CQ159" s="2163">
        <f>ABS(CS182)</f>
        <v>35.99</v>
      </c>
      <c r="CR159" s="1430" t="s">
        <v>280</v>
      </c>
      <c r="CS159" s="2169">
        <v>-30.93</v>
      </c>
    </row>
    <row r="160" spans="81:97">
      <c r="CC160" s="1910" t="s">
        <v>477</v>
      </c>
      <c r="CD160" s="1767"/>
      <c r="CE160" s="1768">
        <f>SUM(CE4:CE159)</f>
        <v>54225</v>
      </c>
      <c r="CF160" s="1886">
        <f>SUM(CF4:CF159)</f>
        <v>6.0090548937474422</v>
      </c>
      <c r="CG160" s="1887" t="s">
        <v>1672</v>
      </c>
      <c r="CH160" s="1758"/>
      <c r="CI160" s="1759"/>
      <c r="CJ160" s="1800"/>
      <c r="CO160" s="2170">
        <v>45877</v>
      </c>
      <c r="CP160" s="2171" t="s">
        <v>7020</v>
      </c>
      <c r="CQ160" s="2163">
        <f>ABS(CS183)</f>
        <v>5.19</v>
      </c>
      <c r="CR160" s="1430" t="s">
        <v>414</v>
      </c>
      <c r="CS160" s="2169">
        <v>-58.8</v>
      </c>
    </row>
    <row r="161" spans="81:97">
      <c r="CC161" s="1887" t="s">
        <v>1672</v>
      </c>
      <c r="CD161" s="1758"/>
      <c r="CE161" s="1759"/>
      <c r="CF161" s="1800"/>
      <c r="CG161" s="1762" t="s">
        <v>138</v>
      </c>
      <c r="CH161" s="1763"/>
      <c r="CI161" s="1764">
        <f>SUM(CI159,CJ159)</f>
        <v>22270.448618040813</v>
      </c>
      <c r="CJ161" s="1801"/>
      <c r="CL161" s="1917"/>
      <c r="CO161" s="1430"/>
      <c r="CP161" s="1430"/>
      <c r="CQ161" s="1430"/>
      <c r="CR161" s="1430"/>
      <c r="CS161" s="2169">
        <v>-25.92</v>
      </c>
    </row>
    <row r="162" spans="81:97">
      <c r="CC162" s="1762" t="s">
        <v>138</v>
      </c>
      <c r="CD162" s="1763"/>
      <c r="CE162" s="1764">
        <f>SUM(CE160,CF160)</f>
        <v>54231.009054893744</v>
      </c>
      <c r="CF162" s="1801"/>
      <c r="CO162" s="1430"/>
      <c r="CP162" s="1430"/>
      <c r="CQ162" s="1430"/>
      <c r="CR162" s="1430"/>
      <c r="CS162" s="2168">
        <v>-109.86</v>
      </c>
    </row>
    <row r="163" spans="81:97">
      <c r="CH163" s="1917"/>
      <c r="CO163" s="1430"/>
      <c r="CP163" s="1430"/>
      <c r="CQ163" s="1430"/>
      <c r="CR163" s="1430"/>
      <c r="CS163" s="2172">
        <v>-26.1</v>
      </c>
    </row>
    <row r="164" spans="81:97">
      <c r="CD164" s="1917"/>
      <c r="CO164" s="1430"/>
      <c r="CP164" s="1430"/>
      <c r="CQ164" s="1430"/>
      <c r="CR164" s="1430"/>
      <c r="CS164" s="2169">
        <v>-1.01</v>
      </c>
    </row>
    <row r="165" spans="81:97">
      <c r="CO165" s="1430"/>
      <c r="CP165" s="1430"/>
      <c r="CQ165" s="1430"/>
      <c r="CR165" s="1430"/>
      <c r="CS165" s="2169">
        <v>-9.31</v>
      </c>
    </row>
    <row r="166" spans="81:97">
      <c r="CO166" s="1430"/>
      <c r="CP166" s="1430"/>
      <c r="CQ166" s="1430"/>
      <c r="CR166" s="1430"/>
      <c r="CS166" s="2169">
        <v>-16.13</v>
      </c>
    </row>
    <row r="167" spans="81:97">
      <c r="CO167" s="1430"/>
      <c r="CP167" s="1430"/>
      <c r="CQ167" s="1430"/>
      <c r="CR167" s="1430"/>
      <c r="CS167" s="2169">
        <v>-74.83</v>
      </c>
    </row>
    <row r="168" spans="81:97">
      <c r="CH168" s="1683" t="s">
        <v>7021</v>
      </c>
      <c r="CI168" s="1683">
        <v>18</v>
      </c>
      <c r="CO168" s="1430"/>
      <c r="CP168" s="1430"/>
      <c r="CQ168" s="1430"/>
      <c r="CR168" s="1430"/>
      <c r="CS168" s="2169">
        <v>-49.07</v>
      </c>
    </row>
    <row r="169" spans="81:97">
      <c r="CD169" s="1683" t="s">
        <v>7022</v>
      </c>
      <c r="CE169" s="1683">
        <v>18</v>
      </c>
      <c r="CH169" s="1683" t="s">
        <v>1322</v>
      </c>
      <c r="CO169" s="1430"/>
      <c r="CP169" s="1430"/>
      <c r="CQ169" s="1430"/>
      <c r="CR169" s="1430"/>
      <c r="CS169" s="2169">
        <v>-17.11</v>
      </c>
    </row>
    <row r="170" spans="81:97">
      <c r="CD170" s="1683" t="s">
        <v>1322</v>
      </c>
      <c r="CH170" s="1683" t="s">
        <v>7023</v>
      </c>
      <c r="CO170" s="1430"/>
      <c r="CP170" s="1430"/>
      <c r="CQ170" s="1430"/>
      <c r="CR170" s="1430"/>
      <c r="CS170" s="2169">
        <v>-20.72</v>
      </c>
    </row>
    <row r="171" spans="81:97">
      <c r="CD171" s="1683" t="s">
        <v>7023</v>
      </c>
      <c r="CH171" s="1683" t="s">
        <v>1180</v>
      </c>
      <c r="CO171" s="1430"/>
      <c r="CP171" s="1430"/>
      <c r="CQ171" s="1430"/>
      <c r="CR171" s="1430"/>
      <c r="CS171" s="2169">
        <v>-25.12</v>
      </c>
    </row>
    <row r="172" spans="81:97">
      <c r="CD172" s="1683" t="s">
        <v>1180</v>
      </c>
      <c r="CO172" s="1430"/>
      <c r="CP172" s="1430"/>
      <c r="CQ172" s="1430"/>
      <c r="CR172" s="1430"/>
      <c r="CS172" s="2169">
        <v>-19.61</v>
      </c>
    </row>
    <row r="173" spans="81:97">
      <c r="CO173" s="1430"/>
      <c r="CP173" s="1430"/>
      <c r="CQ173" s="1430"/>
      <c r="CR173" s="1430"/>
      <c r="CS173" s="2169">
        <v>-46.43</v>
      </c>
    </row>
    <row r="174" spans="81:97">
      <c r="CO174" s="1430"/>
      <c r="CP174" s="1430"/>
      <c r="CQ174" s="1430"/>
      <c r="CR174" s="1430"/>
      <c r="CS174" s="2169">
        <v>-112.54</v>
      </c>
    </row>
    <row r="175" spans="81:97">
      <c r="CO175" s="1430"/>
      <c r="CP175" s="1430"/>
      <c r="CQ175" s="1430"/>
      <c r="CR175" s="1430"/>
      <c r="CS175" s="2169">
        <v>-4.8899999999999997</v>
      </c>
    </row>
    <row r="176" spans="81:97">
      <c r="CO176" s="1430"/>
      <c r="CP176" s="1430"/>
      <c r="CQ176" s="1430"/>
      <c r="CR176" s="1430"/>
      <c r="CS176" s="2169">
        <v>-46.63</v>
      </c>
    </row>
    <row r="177" spans="93:97">
      <c r="CO177" s="1430"/>
      <c r="CP177" s="1430"/>
      <c r="CQ177" s="1430"/>
      <c r="CR177" s="1430"/>
      <c r="CS177" s="2169">
        <v>-18.62</v>
      </c>
    </row>
    <row r="178" spans="93:97">
      <c r="CO178" s="1430"/>
      <c r="CP178" s="1430"/>
      <c r="CQ178" s="1430"/>
      <c r="CR178" s="1430"/>
      <c r="CS178" s="2168">
        <v>-58.97</v>
      </c>
    </row>
    <row r="179" spans="93:97">
      <c r="CO179" s="1430"/>
      <c r="CP179" s="1430"/>
      <c r="CQ179" s="1430"/>
      <c r="CR179" s="1430"/>
      <c r="CS179" s="2169">
        <v>58.97</v>
      </c>
    </row>
    <row r="180" spans="93:97">
      <c r="CO180" s="1430"/>
      <c r="CP180" s="1430"/>
      <c r="CQ180" s="1430"/>
      <c r="CR180" s="1430"/>
      <c r="CS180" s="2168">
        <v>-59.08</v>
      </c>
    </row>
    <row r="181" spans="93:97">
      <c r="CO181" s="1430"/>
      <c r="CP181" s="1430"/>
      <c r="CQ181" s="1430"/>
      <c r="CR181" s="1430"/>
      <c r="CS181" s="2168">
        <v>-64.97</v>
      </c>
    </row>
    <row r="182" spans="93:97">
      <c r="CO182" s="1430"/>
      <c r="CP182" s="1430"/>
      <c r="CQ182" s="1430"/>
      <c r="CR182" s="1430"/>
      <c r="CS182" s="2168">
        <v>-35.99</v>
      </c>
    </row>
    <row r="183" spans="93:97">
      <c r="CO183" s="1430"/>
      <c r="CP183" s="1430"/>
      <c r="CQ183" s="1430"/>
      <c r="CR183" s="1430"/>
      <c r="CS183" s="2173">
        <v>-5.19</v>
      </c>
    </row>
  </sheetData>
  <phoneticPr fontId="4" type="noConversion"/>
  <hyperlinks>
    <hyperlink ref="CP85" r:id="rId1" xr:uid="{A7695FE7-05AE-4A35-9D04-7B0A8C926506}"/>
    <hyperlink ref="CP89" r:id="rId2" xr:uid="{754D58B4-2AC3-4347-BA6B-B5C7A9E5890C}"/>
    <hyperlink ref="CP113" r:id="rId3" xr:uid="{6457600A-0C5A-41A2-B41C-8A5C0705560C}"/>
    <hyperlink ref="CP140" r:id="rId4" xr:uid="{C7683D6F-6069-4410-B968-1C2493FDFB50}"/>
    <hyperlink ref="CP142" r:id="rId5" xr:uid="{1D9AC80A-10A0-4329-9194-08B464C1C103}"/>
    <hyperlink ref="CP155" r:id="rId6" xr:uid="{8F5DFF88-848F-4728-A698-223274213B32}"/>
    <hyperlink ref="CP157" r:id="rId7" xr:uid="{5C9962B9-A547-431C-8625-008EA90C7061}"/>
    <hyperlink ref="CP158" r:id="rId8" xr:uid="{717BE617-E190-4894-896C-1064F4A33DF3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Monthly!$V$556:$V$584</xm:f>
          </x14:formula1>
          <xm:sqref>BT5:BT59 BX4:BX77 BT66 BT68:BT80 CB5:CB73 CB76:CB89 CF106:CF108 CF111:CF116 CF4:CF9 CF96:CF104 CF41:CF92 CF119:CF142 CF145:CF148 CF150:CF154 CF156 CJ4:CJ9 CJ27:CJ91 CJ155 CJ118:CJ141 CJ144:CJ147 CJ149:CJ153 CJ95:CJ115 CN4:CN9 CN148:CN151 CN153:CN156 CN89 CN30:CN86 CN91:CN145 CR4:CR9 CR71 CR29:CR68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tabColor indexed="34"/>
  </sheetPr>
  <dimension ref="A1:CN106"/>
  <sheetViews>
    <sheetView topLeftCell="BZ41" zoomScale="221" zoomScaleNormal="221" workbookViewId="0">
      <selection activeCell="CL84" sqref="CL84"/>
    </sheetView>
  </sheetViews>
  <sheetFormatPr defaultColWidth="8.85546875" defaultRowHeight="14.25"/>
  <cols>
    <col min="1" max="1" width="9" bestFit="1" customWidth="1"/>
    <col min="2" max="2" width="34.140625" style="1998" customWidth="1"/>
    <col min="3" max="3" width="10.7109375" style="1998" customWidth="1"/>
    <col min="4" max="4" width="13.42578125" style="1998" customWidth="1"/>
    <col min="5" max="5" width="10.28515625" style="1998" customWidth="1"/>
    <col min="6" max="6" width="31.42578125" style="1998" customWidth="1"/>
    <col min="7" max="7" width="11.7109375" style="1998" customWidth="1"/>
    <col min="8" max="8" width="10.140625" style="1998" customWidth="1"/>
    <col min="9" max="9" width="9" style="1998" bestFit="1" customWidth="1"/>
    <col min="10" max="10" width="32.140625" style="1998" customWidth="1"/>
    <col min="11" max="11" width="14.140625" style="1998" customWidth="1"/>
    <col min="12" max="12" width="10.140625" style="1998" customWidth="1"/>
    <col min="13" max="13" width="9" style="1998" bestFit="1" customWidth="1"/>
    <col min="14" max="14" width="36.140625" style="1998" customWidth="1"/>
    <col min="15" max="16" width="12" style="1998" customWidth="1"/>
    <col min="17" max="17" width="9" style="1998" bestFit="1" customWidth="1"/>
    <col min="18" max="18" width="38.42578125" style="1998" customWidth="1"/>
    <col min="19" max="19" width="14.85546875" style="1998" customWidth="1"/>
    <col min="20" max="20" width="7.28515625" style="1998" customWidth="1"/>
    <col min="21" max="21" width="9" style="1998" bestFit="1" customWidth="1"/>
    <col min="22" max="22" width="36.28515625" style="1998" customWidth="1"/>
    <col min="23" max="23" width="11" style="1998" customWidth="1"/>
    <col min="24" max="25" width="9" style="1998" bestFit="1" customWidth="1"/>
    <col min="26" max="26" width="39.28515625" style="1998" customWidth="1"/>
    <col min="27" max="27" width="13" style="1998" customWidth="1"/>
    <col min="28" max="29" width="9" style="1998" bestFit="1" customWidth="1"/>
    <col min="30" max="30" width="47.28515625" style="1998" customWidth="1"/>
    <col min="31" max="31" width="15.140625" style="1998" customWidth="1"/>
    <col min="32" max="32" width="12.7109375" style="1998" customWidth="1"/>
    <col min="33" max="33" width="9" style="1998" bestFit="1" customWidth="1"/>
    <col min="34" max="34" width="50.85546875" style="1998" customWidth="1"/>
    <col min="35" max="35" width="11.7109375" style="1998" customWidth="1"/>
    <col min="36" max="37" width="9" style="1998" bestFit="1" customWidth="1"/>
    <col min="38" max="38" width="51.140625" style="1998" customWidth="1"/>
    <col min="39" max="39" width="9.140625" style="1998" bestFit="1" customWidth="1"/>
    <col min="40" max="41" width="9" style="1998" bestFit="1" customWidth="1"/>
    <col min="42" max="42" width="67.42578125" style="1998" customWidth="1"/>
    <col min="43" max="43" width="9.140625" style="1998" bestFit="1" customWidth="1"/>
    <col min="44" max="45" width="9" style="1998" bestFit="1" customWidth="1"/>
    <col min="46" max="46" width="51" style="1998" customWidth="1"/>
    <col min="47" max="47" width="9.140625" style="1998" bestFit="1" customWidth="1"/>
    <col min="48" max="49" width="9" style="1998" bestFit="1" customWidth="1"/>
    <col min="50" max="50" width="51" style="1998" customWidth="1"/>
    <col min="51" max="51" width="9.140625" style="1998" bestFit="1" customWidth="1"/>
    <col min="52" max="53" width="9" style="1998" bestFit="1" customWidth="1"/>
    <col min="54" max="54" width="51" style="1998" customWidth="1"/>
    <col min="55" max="55" width="10.140625" style="1998" bestFit="1" customWidth="1"/>
    <col min="56" max="57" width="9" style="1998" bestFit="1" customWidth="1"/>
    <col min="58" max="58" width="51" style="1998" customWidth="1"/>
    <col min="59" max="59" width="9.28515625" style="1998" bestFit="1" customWidth="1"/>
    <col min="60" max="61" width="9" style="1998" bestFit="1" customWidth="1"/>
    <col min="62" max="62" width="51" style="1998" customWidth="1"/>
    <col min="63" max="63" width="10.140625" style="1998" bestFit="1" customWidth="1"/>
    <col min="64" max="65" width="9" style="1998" bestFit="1" customWidth="1"/>
    <col min="66" max="66" width="51" style="1998" customWidth="1"/>
    <col min="67" max="67" width="13.42578125" style="1998" customWidth="1"/>
    <col min="68" max="69" width="9" style="1998" bestFit="1" customWidth="1"/>
    <col min="70" max="70" width="51" style="1998" customWidth="1"/>
    <col min="71" max="71" width="13.42578125" style="1998" customWidth="1"/>
    <col min="72" max="73" width="9" style="1998" bestFit="1" customWidth="1"/>
    <col min="74" max="74" width="51" style="1998" customWidth="1"/>
    <col min="75" max="75" width="13.42578125" style="1998" customWidth="1"/>
    <col min="76" max="76" width="10.28515625" style="1998" customWidth="1"/>
    <col min="77" max="77" width="9" style="1998" bestFit="1" customWidth="1"/>
    <col min="78" max="78" width="51" style="1998" customWidth="1"/>
    <col min="79" max="79" width="13.42578125" style="1998" customWidth="1"/>
    <col min="80" max="80" width="10.28515625" style="1998" customWidth="1"/>
    <col min="81" max="81" width="9" style="1998" bestFit="1" customWidth="1"/>
    <col min="82" max="82" width="51" style="1998" customWidth="1"/>
    <col min="83" max="83" width="13.42578125" style="1998" customWidth="1"/>
    <col min="84" max="84" width="10.28515625" style="1998" customWidth="1"/>
    <col min="85" max="85" width="9" style="1998" bestFit="1" customWidth="1"/>
    <col min="86" max="86" width="51" style="1998" customWidth="1"/>
    <col min="87" max="87" width="13.42578125" style="1998" customWidth="1"/>
    <col min="88" max="88" width="10.28515625" style="1998" customWidth="1"/>
    <col min="89" max="89" width="8.85546875" style="1998"/>
    <col min="90" max="90" width="54.140625" style="1998" customWidth="1"/>
    <col min="91" max="91" width="13.7109375" style="1998" customWidth="1"/>
    <col min="92" max="92" width="14.28515625" style="1998" customWidth="1"/>
  </cols>
  <sheetData>
    <row r="1" spans="1:92">
      <c r="A1" s="990"/>
      <c r="B1" s="1918" t="s">
        <v>7024</v>
      </c>
      <c r="C1" s="1919"/>
      <c r="D1" s="1920"/>
      <c r="E1" s="1921"/>
      <c r="F1" s="1922" t="s">
        <v>7025</v>
      </c>
      <c r="G1" s="1921"/>
      <c r="H1" s="1923"/>
      <c r="I1" s="1921"/>
      <c r="J1" s="1922" t="s">
        <v>7026</v>
      </c>
      <c r="K1" s="1921"/>
      <c r="L1" s="1923"/>
      <c r="M1" s="1921"/>
      <c r="N1" s="1922" t="s">
        <v>7027</v>
      </c>
      <c r="O1" s="1921"/>
      <c r="P1" s="1924"/>
      <c r="Q1" s="1925"/>
      <c r="R1" s="1922" t="s">
        <v>7028</v>
      </c>
      <c r="S1" s="1921"/>
      <c r="T1" s="1923"/>
      <c r="U1" s="1925"/>
      <c r="V1" s="1926" t="s">
        <v>7029</v>
      </c>
      <c r="W1" s="1921"/>
      <c r="X1" s="1923"/>
      <c r="Y1" s="1925"/>
      <c r="Z1" s="1926" t="s">
        <v>7030</v>
      </c>
      <c r="AA1" s="1921"/>
      <c r="AB1" s="1923"/>
      <c r="AC1" s="1925"/>
      <c r="AD1" s="1926" t="s">
        <v>7031</v>
      </c>
      <c r="AE1" s="1921"/>
      <c r="AF1" s="1923"/>
      <c r="AG1" s="1925"/>
      <c r="AH1" s="1926" t="s">
        <v>7032</v>
      </c>
      <c r="AI1" s="1921"/>
      <c r="AJ1" s="1923"/>
      <c r="AK1" s="1925"/>
      <c r="AL1" s="1926" t="s">
        <v>7033</v>
      </c>
      <c r="AM1" s="1921"/>
      <c r="AN1" s="1923"/>
      <c r="AO1" s="1925"/>
      <c r="AP1" s="1926" t="s">
        <v>7034</v>
      </c>
      <c r="AQ1" s="1921"/>
      <c r="AR1" s="1923"/>
      <c r="AS1" s="1925"/>
      <c r="AT1" s="1926" t="s">
        <v>7035</v>
      </c>
      <c r="AU1" s="1921"/>
      <c r="AV1" s="1923"/>
      <c r="AW1" s="1925"/>
      <c r="AX1" s="1926" t="s">
        <v>7036</v>
      </c>
      <c r="AY1" s="1921"/>
      <c r="AZ1" s="1923"/>
      <c r="BA1" s="1925"/>
      <c r="BB1" s="1926" t="s">
        <v>7037</v>
      </c>
      <c r="BC1" s="1921"/>
      <c r="BD1" s="1923"/>
      <c r="BE1" s="1925"/>
      <c r="BF1" s="1926" t="s">
        <v>7038</v>
      </c>
      <c r="BG1" s="1921"/>
      <c r="BH1" s="1923"/>
      <c r="BI1" s="1925"/>
      <c r="BJ1" s="1926" t="s">
        <v>7039</v>
      </c>
      <c r="BK1" s="1921"/>
      <c r="BL1" s="1923"/>
      <c r="BM1" s="1925"/>
      <c r="BN1" s="1926" t="s">
        <v>7040</v>
      </c>
      <c r="BO1" s="1921"/>
      <c r="BP1" s="1923"/>
      <c r="BQ1" s="1925"/>
      <c r="BR1" s="1926" t="s">
        <v>7041</v>
      </c>
      <c r="BS1" s="1921"/>
      <c r="BT1" s="1923"/>
      <c r="BU1" s="1925"/>
      <c r="BV1" s="1926" t="s">
        <v>7042</v>
      </c>
      <c r="BW1" s="1921"/>
      <c r="BX1" s="1923"/>
      <c r="BY1" s="1925"/>
      <c r="BZ1" s="1926" t="s">
        <v>7043</v>
      </c>
      <c r="CA1" s="1921"/>
      <c r="CB1" s="1923"/>
      <c r="CC1" s="1925"/>
      <c r="CD1" s="1926" t="s">
        <v>7044</v>
      </c>
      <c r="CE1" s="1921"/>
      <c r="CF1" s="1923"/>
      <c r="CG1" s="1925"/>
      <c r="CH1" s="1926" t="s">
        <v>7045</v>
      </c>
      <c r="CI1" s="1921"/>
      <c r="CJ1" s="1923"/>
      <c r="CK1" s="1925"/>
      <c r="CL1" s="1926" t="s">
        <v>7046</v>
      </c>
      <c r="CM1" s="1921"/>
      <c r="CN1" s="1923"/>
    </row>
    <row r="2" spans="1:92" ht="12.75">
      <c r="A2" s="980" t="s">
        <v>740</v>
      </c>
      <c r="B2" s="1927" t="s">
        <v>138</v>
      </c>
      <c r="C2" s="1928" t="s">
        <v>741</v>
      </c>
      <c r="D2" s="1929" t="s">
        <v>742</v>
      </c>
      <c r="E2" s="1930" t="s">
        <v>740</v>
      </c>
      <c r="F2" s="1927" t="s">
        <v>138</v>
      </c>
      <c r="G2" s="1928" t="s">
        <v>741</v>
      </c>
      <c r="H2" s="1929" t="s">
        <v>742</v>
      </c>
      <c r="I2" s="1931" t="s">
        <v>740</v>
      </c>
      <c r="J2" s="1927" t="s">
        <v>138</v>
      </c>
      <c r="K2" s="1928" t="s">
        <v>741</v>
      </c>
      <c r="L2" s="1929" t="s">
        <v>742</v>
      </c>
      <c r="M2" s="1931" t="s">
        <v>740</v>
      </c>
      <c r="N2" s="1927" t="s">
        <v>138</v>
      </c>
      <c r="O2" s="1928" t="s">
        <v>741</v>
      </c>
      <c r="P2" s="1932" t="s">
        <v>742</v>
      </c>
      <c r="Q2" s="1933" t="s">
        <v>740</v>
      </c>
      <c r="R2" s="1934" t="s">
        <v>138</v>
      </c>
      <c r="S2" s="1935" t="s">
        <v>741</v>
      </c>
      <c r="T2" s="1929" t="s">
        <v>742</v>
      </c>
      <c r="U2" s="1933" t="s">
        <v>740</v>
      </c>
      <c r="V2" s="1934" t="s">
        <v>138</v>
      </c>
      <c r="W2" s="1935" t="s">
        <v>741</v>
      </c>
      <c r="X2" s="1929" t="s">
        <v>742</v>
      </c>
      <c r="Y2" s="1933" t="s">
        <v>740</v>
      </c>
      <c r="Z2" s="1934" t="s">
        <v>138</v>
      </c>
      <c r="AA2" s="1935" t="s">
        <v>741</v>
      </c>
      <c r="AB2" s="1929" t="s">
        <v>742</v>
      </c>
      <c r="AC2" s="1933" t="s">
        <v>740</v>
      </c>
      <c r="AD2" s="1934" t="s">
        <v>138</v>
      </c>
      <c r="AE2" s="1935" t="s">
        <v>741</v>
      </c>
      <c r="AF2" s="1929" t="s">
        <v>742</v>
      </c>
      <c r="AG2" s="1933" t="s">
        <v>740</v>
      </c>
      <c r="AH2" s="1934" t="s">
        <v>138</v>
      </c>
      <c r="AI2" s="1935" t="s">
        <v>741</v>
      </c>
      <c r="AJ2" s="1929" t="s">
        <v>742</v>
      </c>
      <c r="AK2" s="1933" t="s">
        <v>740</v>
      </c>
      <c r="AL2" s="1934" t="s">
        <v>138</v>
      </c>
      <c r="AM2" s="1935" t="s">
        <v>741</v>
      </c>
      <c r="AN2" s="1929" t="s">
        <v>742</v>
      </c>
      <c r="AO2" s="1933" t="s">
        <v>740</v>
      </c>
      <c r="AP2" s="1934" t="s">
        <v>138</v>
      </c>
      <c r="AQ2" s="1935" t="s">
        <v>741</v>
      </c>
      <c r="AR2" s="1929" t="s">
        <v>742</v>
      </c>
      <c r="AS2" s="1933" t="s">
        <v>740</v>
      </c>
      <c r="AT2" s="1934" t="s">
        <v>138</v>
      </c>
      <c r="AU2" s="1935" t="s">
        <v>741</v>
      </c>
      <c r="AV2" s="1929" t="s">
        <v>742</v>
      </c>
      <c r="AW2" s="1933" t="s">
        <v>740</v>
      </c>
      <c r="AX2" s="1934" t="s">
        <v>138</v>
      </c>
      <c r="AY2" s="1935" t="s">
        <v>741</v>
      </c>
      <c r="AZ2" s="1929" t="s">
        <v>742</v>
      </c>
      <c r="BA2" s="1933" t="s">
        <v>740</v>
      </c>
      <c r="BB2" s="1934" t="s">
        <v>138</v>
      </c>
      <c r="BC2" s="1935" t="s">
        <v>741</v>
      </c>
      <c r="BD2" s="1929" t="s">
        <v>742</v>
      </c>
      <c r="BE2" s="1933" t="s">
        <v>740</v>
      </c>
      <c r="BF2" s="1934" t="s">
        <v>138</v>
      </c>
      <c r="BG2" s="1935" t="s">
        <v>741</v>
      </c>
      <c r="BH2" s="1929" t="s">
        <v>742</v>
      </c>
      <c r="BI2" s="1933" t="s">
        <v>740</v>
      </c>
      <c r="BJ2" s="1934" t="s">
        <v>138</v>
      </c>
      <c r="BK2" s="1935" t="s">
        <v>741</v>
      </c>
      <c r="BL2" s="1929" t="s">
        <v>742</v>
      </c>
      <c r="BM2" s="1933" t="s">
        <v>740</v>
      </c>
      <c r="BN2" s="1934" t="s">
        <v>138</v>
      </c>
      <c r="BO2" s="1935" t="s">
        <v>741</v>
      </c>
      <c r="BP2" s="1929" t="s">
        <v>742</v>
      </c>
      <c r="BQ2" s="1933" t="s">
        <v>740</v>
      </c>
      <c r="BR2" s="1934" t="s">
        <v>138</v>
      </c>
      <c r="BS2" s="1935" t="s">
        <v>741</v>
      </c>
      <c r="BT2" s="1929" t="s">
        <v>742</v>
      </c>
      <c r="BU2" s="1933" t="s">
        <v>740</v>
      </c>
      <c r="BV2" s="1934" t="s">
        <v>138</v>
      </c>
      <c r="BW2" s="1935" t="s">
        <v>741</v>
      </c>
      <c r="BX2" s="1929" t="s">
        <v>742</v>
      </c>
      <c r="BY2" s="1933" t="s">
        <v>740</v>
      </c>
      <c r="BZ2" s="1934" t="s">
        <v>138</v>
      </c>
      <c r="CA2" s="1935" t="s">
        <v>741</v>
      </c>
      <c r="CB2" s="1929" t="s">
        <v>742</v>
      </c>
      <c r="CC2" s="1933" t="s">
        <v>740</v>
      </c>
      <c r="CD2" s="1934" t="s">
        <v>138</v>
      </c>
      <c r="CE2" s="1935" t="s">
        <v>741</v>
      </c>
      <c r="CF2" s="1929" t="s">
        <v>742</v>
      </c>
      <c r="CG2" s="1933" t="s">
        <v>740</v>
      </c>
      <c r="CH2" s="1934" t="s">
        <v>138</v>
      </c>
      <c r="CI2" s="1935" t="s">
        <v>741</v>
      </c>
      <c r="CJ2" s="1929" t="s">
        <v>742</v>
      </c>
      <c r="CK2" s="1933" t="s">
        <v>740</v>
      </c>
      <c r="CL2" s="1934" t="s">
        <v>138</v>
      </c>
      <c r="CM2" s="1935" t="s">
        <v>741</v>
      </c>
      <c r="CN2" s="1929" t="s">
        <v>742</v>
      </c>
    </row>
    <row r="3" spans="1:92" ht="12.75">
      <c r="A3" s="981"/>
      <c r="B3" s="1936"/>
      <c r="C3" s="1937"/>
      <c r="D3" s="1938"/>
      <c r="E3" s="1939"/>
      <c r="F3" s="1936"/>
      <c r="G3" s="1937"/>
      <c r="H3" s="1938"/>
      <c r="I3" s="1939"/>
      <c r="J3" s="1936"/>
      <c r="K3" s="1937"/>
      <c r="L3" s="1938"/>
      <c r="M3" s="1939"/>
      <c r="N3" s="1936"/>
      <c r="O3" s="1937"/>
      <c r="P3" s="1940"/>
      <c r="Q3" s="1941"/>
      <c r="R3" s="1936"/>
      <c r="S3" s="1942"/>
      <c r="T3" s="1938"/>
      <c r="U3" s="1941"/>
      <c r="V3" s="1936"/>
      <c r="W3" s="1942"/>
      <c r="X3" s="1938"/>
      <c r="Y3" s="1941"/>
      <c r="Z3" s="1936"/>
      <c r="AA3" s="1942"/>
      <c r="AB3" s="1938"/>
      <c r="AC3" s="1941"/>
      <c r="AD3" s="1936"/>
      <c r="AE3" s="1942"/>
      <c r="AF3" s="1938"/>
      <c r="AG3" s="1941"/>
      <c r="AH3" s="1936"/>
      <c r="AI3" s="1942"/>
      <c r="AJ3" s="1938"/>
      <c r="AK3" s="1941"/>
      <c r="AL3" s="1936"/>
      <c r="AM3" s="1942"/>
      <c r="AN3" s="1938"/>
      <c r="AO3" s="1941"/>
      <c r="AP3" s="1936"/>
      <c r="AQ3" s="1942"/>
      <c r="AR3" s="1938"/>
      <c r="AS3" s="1941"/>
      <c r="AT3" s="1936"/>
      <c r="AU3" s="1942"/>
      <c r="AV3" s="1938"/>
      <c r="AW3" s="1941"/>
      <c r="AX3" s="1936"/>
      <c r="AY3" s="1942"/>
      <c r="AZ3" s="1938"/>
      <c r="BA3" s="1941"/>
      <c r="BB3" s="1936"/>
      <c r="BC3" s="1942"/>
      <c r="BD3" s="1938"/>
      <c r="BE3" s="1941"/>
      <c r="BF3" s="1936"/>
      <c r="BG3" s="1942"/>
      <c r="BH3" s="1938"/>
      <c r="BI3" s="1941"/>
      <c r="BJ3" s="1936"/>
      <c r="BK3" s="1942"/>
      <c r="BL3" s="1938"/>
      <c r="BM3" s="1941"/>
      <c r="BN3" s="1936"/>
      <c r="BO3" s="1942"/>
      <c r="BP3" s="1938"/>
      <c r="BQ3" s="1941"/>
      <c r="BR3" s="1936"/>
      <c r="BS3" s="1942"/>
      <c r="BT3" s="1938"/>
      <c r="BU3" s="1941"/>
      <c r="BV3" s="1936"/>
      <c r="BW3" s="1942"/>
      <c r="BX3" s="1938"/>
      <c r="BY3" s="1941"/>
      <c r="BZ3" s="1936"/>
      <c r="CA3" s="1942"/>
      <c r="CB3" s="1938"/>
      <c r="CC3" s="1941"/>
      <c r="CD3" s="1936"/>
      <c r="CE3" s="1942"/>
      <c r="CF3" s="1938"/>
      <c r="CG3" s="1941"/>
      <c r="CH3" s="1936"/>
      <c r="CI3" s="1942"/>
      <c r="CJ3" s="1938"/>
      <c r="CK3" s="1941"/>
      <c r="CL3" s="1936"/>
      <c r="CM3" s="1942"/>
      <c r="CN3" s="1938"/>
    </row>
    <row r="4" spans="1:92">
      <c r="A4" s="982">
        <v>37500</v>
      </c>
      <c r="B4" s="1943" t="s">
        <v>238</v>
      </c>
      <c r="C4" s="1944"/>
      <c r="D4" s="1945"/>
      <c r="E4" s="1946"/>
      <c r="F4" s="1947"/>
      <c r="G4" s="1948"/>
      <c r="H4" s="1949"/>
      <c r="I4" s="1946"/>
      <c r="J4" s="1947"/>
      <c r="K4" s="1948"/>
      <c r="L4" s="1949"/>
      <c r="M4" s="1946"/>
      <c r="N4" s="1947"/>
      <c r="O4" s="1948"/>
      <c r="P4" s="1950"/>
      <c r="Q4" s="1946"/>
      <c r="R4" s="1947"/>
      <c r="S4" s="1948"/>
      <c r="T4" s="1949"/>
      <c r="U4" s="1946"/>
      <c r="V4" s="1947"/>
      <c r="W4" s="1948"/>
      <c r="X4" s="1949"/>
      <c r="Y4" s="1946"/>
      <c r="Z4" s="1947"/>
      <c r="AA4" s="1948"/>
      <c r="AB4" s="1949"/>
      <c r="AC4" s="1946"/>
      <c r="AD4" s="1947"/>
      <c r="AE4" s="1948"/>
      <c r="AF4" s="1949"/>
      <c r="AG4" s="1946"/>
      <c r="AH4" s="1947"/>
      <c r="AI4" s="1948"/>
      <c r="AJ4" s="1949"/>
      <c r="AK4" s="1946"/>
      <c r="AL4" s="1947"/>
      <c r="AM4" s="1948"/>
      <c r="AN4" s="1949"/>
      <c r="AO4" s="1946"/>
      <c r="AP4" s="1947"/>
      <c r="AQ4" s="1948"/>
      <c r="AR4" s="1949"/>
      <c r="AS4" s="1946"/>
      <c r="AT4" s="1947"/>
      <c r="AU4" s="1948"/>
      <c r="AV4" s="1949"/>
      <c r="AW4" s="1946"/>
      <c r="AX4" s="1947"/>
      <c r="AY4" s="1948"/>
      <c r="AZ4" s="1949"/>
      <c r="BA4" s="1946"/>
      <c r="BB4" s="1947"/>
      <c r="BC4" s="1948"/>
      <c r="BD4" s="1949"/>
      <c r="BE4" s="1946"/>
      <c r="BF4" s="1947"/>
      <c r="BG4" s="1948"/>
      <c r="BH4" s="1949"/>
      <c r="BI4" s="1946"/>
      <c r="BJ4" s="1947"/>
      <c r="BK4" s="1948"/>
      <c r="BL4" s="1949"/>
      <c r="BM4" s="1946"/>
      <c r="BN4" s="1947"/>
      <c r="BO4" s="1948"/>
      <c r="BP4" s="1949"/>
      <c r="BQ4" s="1951">
        <v>43709</v>
      </c>
      <c r="BR4" s="1952" t="s">
        <v>759</v>
      </c>
      <c r="BS4" s="1953">
        <v>295</v>
      </c>
      <c r="BT4" s="1954" t="s">
        <v>689</v>
      </c>
      <c r="BU4" s="1951">
        <v>43709</v>
      </c>
      <c r="BV4" s="1952" t="s">
        <v>759</v>
      </c>
      <c r="BW4" s="1953">
        <v>295</v>
      </c>
      <c r="BX4" s="1954" t="s">
        <v>689</v>
      </c>
      <c r="BY4" s="1955">
        <v>42979</v>
      </c>
      <c r="BZ4" s="1943" t="s">
        <v>7047</v>
      </c>
      <c r="CA4" s="1953">
        <v>632</v>
      </c>
      <c r="CB4" s="1956" t="s">
        <v>689</v>
      </c>
      <c r="CC4" s="1955">
        <v>42979</v>
      </c>
      <c r="CD4" s="1943" t="s">
        <v>7047</v>
      </c>
      <c r="CE4" s="1953">
        <v>632</v>
      </c>
      <c r="CF4" s="1956" t="s">
        <v>689</v>
      </c>
      <c r="CG4" s="1955">
        <v>42979</v>
      </c>
      <c r="CH4" s="1943" t="s">
        <v>7047</v>
      </c>
      <c r="CI4" s="1953">
        <v>0</v>
      </c>
      <c r="CJ4" s="1956" t="s">
        <v>689</v>
      </c>
      <c r="CK4" s="1999">
        <v>45536</v>
      </c>
      <c r="CL4" s="2000" t="s">
        <v>5918</v>
      </c>
      <c r="CM4" s="2001" t="s">
        <v>37</v>
      </c>
      <c r="CN4" s="2002" t="s">
        <v>689</v>
      </c>
    </row>
    <row r="5" spans="1:92" ht="12.75">
      <c r="A5" s="982">
        <v>37500</v>
      </c>
      <c r="B5" s="1943" t="s">
        <v>556</v>
      </c>
      <c r="C5" s="1944"/>
      <c r="D5" s="1945">
        <v>1075</v>
      </c>
      <c r="E5" s="1955">
        <v>37865</v>
      </c>
      <c r="F5" s="1943" t="s">
        <v>556</v>
      </c>
      <c r="G5" s="1944">
        <v>1075</v>
      </c>
      <c r="H5" s="1945"/>
      <c r="I5" s="1955">
        <v>37865</v>
      </c>
      <c r="J5" s="1943" t="s">
        <v>556</v>
      </c>
      <c r="K5" s="1944">
        <v>2300</v>
      </c>
      <c r="L5" s="1945"/>
      <c r="M5" s="1955">
        <v>38597</v>
      </c>
      <c r="N5" s="1943" t="s">
        <v>7048</v>
      </c>
      <c r="O5" s="1944">
        <v>3</v>
      </c>
      <c r="P5" s="1957"/>
      <c r="Q5" s="1955">
        <v>38962</v>
      </c>
      <c r="R5" s="1943" t="s">
        <v>767</v>
      </c>
      <c r="S5" s="1944">
        <v>60</v>
      </c>
      <c r="T5" s="1945"/>
      <c r="U5" s="1955">
        <v>39326</v>
      </c>
      <c r="V5" s="1943" t="s">
        <v>7049</v>
      </c>
      <c r="W5" s="1944">
        <v>2226</v>
      </c>
      <c r="X5" s="1945"/>
      <c r="Y5" s="1955">
        <v>39326</v>
      </c>
      <c r="Z5" s="1943" t="s">
        <v>7050</v>
      </c>
      <c r="AA5" s="1944">
        <v>32</v>
      </c>
      <c r="AB5" s="1945"/>
      <c r="AC5" s="1955">
        <v>40057</v>
      </c>
      <c r="AD5" s="1943" t="s">
        <v>7051</v>
      </c>
      <c r="AE5" s="1944">
        <v>15</v>
      </c>
      <c r="AF5" s="1945"/>
      <c r="AG5" s="1955">
        <v>40422</v>
      </c>
      <c r="AH5" s="1943" t="s">
        <v>802</v>
      </c>
      <c r="AI5" s="1944">
        <v>41</v>
      </c>
      <c r="AJ5" s="1945"/>
      <c r="AK5" s="1955">
        <v>40789</v>
      </c>
      <c r="AL5" s="1943" t="s">
        <v>772</v>
      </c>
      <c r="AM5" s="1944">
        <v>64</v>
      </c>
      <c r="AN5" s="1945"/>
      <c r="AO5" s="1955">
        <v>41154</v>
      </c>
      <c r="AP5" s="1943" t="s">
        <v>7052</v>
      </c>
      <c r="AQ5" s="1944">
        <v>25</v>
      </c>
      <c r="AR5" s="1945"/>
      <c r="AS5" s="1955">
        <v>41518</v>
      </c>
      <c r="AT5" s="1943" t="s">
        <v>7053</v>
      </c>
      <c r="AU5" s="1944">
        <v>53</v>
      </c>
      <c r="AV5" s="1945"/>
      <c r="AW5" s="1955">
        <v>41883</v>
      </c>
      <c r="AX5" s="1943" t="s">
        <v>754</v>
      </c>
      <c r="AY5" s="1944">
        <v>147</v>
      </c>
      <c r="AZ5" s="1945"/>
      <c r="BA5" s="1955">
        <v>42248</v>
      </c>
      <c r="BB5" s="1943" t="s">
        <v>7054</v>
      </c>
      <c r="BC5" s="1944">
        <v>158</v>
      </c>
      <c r="BD5" s="1945"/>
      <c r="BE5" s="1955">
        <v>42615</v>
      </c>
      <c r="BF5" s="1943" t="s">
        <v>823</v>
      </c>
      <c r="BG5" s="1944">
        <v>60</v>
      </c>
      <c r="BH5" s="1945"/>
      <c r="BI5" s="1955">
        <v>42979</v>
      </c>
      <c r="BJ5" s="1943" t="s">
        <v>7055</v>
      </c>
      <c r="BK5" s="1944">
        <f>733+764</f>
        <v>1497</v>
      </c>
      <c r="BL5" s="1945"/>
      <c r="BM5" s="1955">
        <v>42979</v>
      </c>
      <c r="BN5" s="1943" t="s">
        <v>7055</v>
      </c>
      <c r="BO5" s="1944">
        <f>733+764</f>
        <v>1497</v>
      </c>
      <c r="BP5" s="1945"/>
      <c r="BQ5" s="1955">
        <v>42979</v>
      </c>
      <c r="BR5" s="1943" t="s">
        <v>7056</v>
      </c>
      <c r="BS5" s="1944">
        <v>1495</v>
      </c>
      <c r="BT5" s="1956" t="s">
        <v>706</v>
      </c>
      <c r="BU5" s="1955">
        <v>42979</v>
      </c>
      <c r="BV5" s="1943" t="s">
        <v>777</v>
      </c>
      <c r="BW5" s="1944">
        <v>288</v>
      </c>
      <c r="BX5" s="1956" t="s">
        <v>689</v>
      </c>
      <c r="BY5" s="1955">
        <v>42979</v>
      </c>
      <c r="BZ5" s="1943" t="s">
        <v>4004</v>
      </c>
      <c r="CA5" s="1953">
        <v>400</v>
      </c>
      <c r="CB5" s="1956" t="s">
        <v>689</v>
      </c>
      <c r="CC5" s="1955">
        <v>42979</v>
      </c>
      <c r="CD5" s="1943" t="s">
        <v>4004</v>
      </c>
      <c r="CE5" s="1953">
        <v>0</v>
      </c>
      <c r="CF5" s="1956" t="s">
        <v>689</v>
      </c>
      <c r="CG5" s="1955">
        <v>42979</v>
      </c>
      <c r="CH5" s="1943" t="s">
        <v>7057</v>
      </c>
      <c r="CI5" s="1953">
        <v>250</v>
      </c>
      <c r="CJ5" s="1956" t="s">
        <v>689</v>
      </c>
      <c r="CK5" s="1999">
        <v>45536</v>
      </c>
      <c r="CL5" s="2000" t="s">
        <v>792</v>
      </c>
      <c r="CM5" s="2001">
        <v>75</v>
      </c>
      <c r="CN5" s="2002" t="s">
        <v>689</v>
      </c>
    </row>
    <row r="6" spans="1:92" ht="12.75">
      <c r="A6" s="982">
        <v>37500</v>
      </c>
      <c r="B6" s="1943" t="s">
        <v>276</v>
      </c>
      <c r="C6" s="1944">
        <v>422</v>
      </c>
      <c r="D6" s="1945">
        <v>386</v>
      </c>
      <c r="E6" s="1955">
        <v>37865</v>
      </c>
      <c r="F6" s="1943" t="s">
        <v>276</v>
      </c>
      <c r="G6" s="1944">
        <v>921</v>
      </c>
      <c r="H6" s="1945">
        <v>700</v>
      </c>
      <c r="I6" s="1955">
        <v>37865</v>
      </c>
      <c r="J6" s="1943" t="s">
        <v>276</v>
      </c>
      <c r="K6" s="1944">
        <v>0</v>
      </c>
      <c r="L6" s="1945">
        <v>0</v>
      </c>
      <c r="M6" s="1955">
        <v>38597</v>
      </c>
      <c r="N6" s="1943" t="s">
        <v>2510</v>
      </c>
      <c r="O6" s="1944">
        <v>18</v>
      </c>
      <c r="P6" s="1957"/>
      <c r="Q6" s="1955">
        <v>38963</v>
      </c>
      <c r="R6" s="1943" t="s">
        <v>797</v>
      </c>
      <c r="S6" s="1944">
        <v>25</v>
      </c>
      <c r="T6" s="1945"/>
      <c r="U6" s="1955">
        <v>39326</v>
      </c>
      <c r="V6" s="1943" t="s">
        <v>7058</v>
      </c>
      <c r="W6" s="1944">
        <v>700</v>
      </c>
      <c r="X6" s="1945"/>
      <c r="Y6" s="1955">
        <v>39326</v>
      </c>
      <c r="Z6" s="1943" t="s">
        <v>781</v>
      </c>
      <c r="AA6" s="1944">
        <v>4</v>
      </c>
      <c r="AB6" s="1945"/>
      <c r="AC6" s="1955">
        <v>40059</v>
      </c>
      <c r="AD6" s="1943" t="s">
        <v>797</v>
      </c>
      <c r="AE6" s="1944">
        <v>47</v>
      </c>
      <c r="AF6" s="1945"/>
      <c r="AG6" s="1955">
        <v>40423</v>
      </c>
      <c r="AH6" s="1943" t="s">
        <v>960</v>
      </c>
      <c r="AI6" s="1944">
        <v>4</v>
      </c>
      <c r="AJ6" s="1945"/>
      <c r="AK6" s="1955">
        <v>40789</v>
      </c>
      <c r="AL6" s="1943" t="s">
        <v>786</v>
      </c>
      <c r="AM6" s="1944">
        <v>15</v>
      </c>
      <c r="AN6" s="1945"/>
      <c r="AO6" s="1955">
        <v>41154</v>
      </c>
      <c r="AP6" s="1943" t="s">
        <v>754</v>
      </c>
      <c r="AQ6" s="1944">
        <v>75</v>
      </c>
      <c r="AR6" s="1945"/>
      <c r="AS6" s="1955">
        <v>41519</v>
      </c>
      <c r="AT6" s="1943" t="s">
        <v>7053</v>
      </c>
      <c r="AU6" s="1944">
        <v>38</v>
      </c>
      <c r="AV6" s="1945"/>
      <c r="AW6" s="1955">
        <v>41883</v>
      </c>
      <c r="AX6" s="1943" t="s">
        <v>772</v>
      </c>
      <c r="AY6" s="1944">
        <v>64</v>
      </c>
      <c r="AZ6" s="1945"/>
      <c r="BA6" s="1955">
        <v>42248</v>
      </c>
      <c r="BB6" s="1943" t="s">
        <v>773</v>
      </c>
      <c r="BC6" s="1944">
        <v>920</v>
      </c>
      <c r="BD6" s="1945"/>
      <c r="BE6" s="1955">
        <v>42616</v>
      </c>
      <c r="BF6" s="1943" t="s">
        <v>7059</v>
      </c>
      <c r="BG6" s="1944">
        <v>73</v>
      </c>
      <c r="BH6" s="1945"/>
      <c r="BI6" s="1955">
        <v>42979</v>
      </c>
      <c r="BJ6" s="1943" t="s">
        <v>7060</v>
      </c>
      <c r="BK6" s="1944">
        <f>295*12</f>
        <v>3540</v>
      </c>
      <c r="BL6" s="1945"/>
      <c r="BM6" s="1955">
        <v>42979</v>
      </c>
      <c r="BN6" s="1943" t="s">
        <v>7060</v>
      </c>
      <c r="BO6" s="1944">
        <f>295*12</f>
        <v>3540</v>
      </c>
      <c r="BP6" s="1945"/>
      <c r="BQ6" s="1955">
        <v>42979</v>
      </c>
      <c r="BR6" s="1943" t="s">
        <v>7061</v>
      </c>
      <c r="BS6" s="1944">
        <f>199*2</f>
        <v>398</v>
      </c>
      <c r="BT6" s="1956" t="s">
        <v>689</v>
      </c>
      <c r="BU6" s="1955">
        <v>42979</v>
      </c>
      <c r="BV6" s="1943" t="s">
        <v>792</v>
      </c>
      <c r="BW6" s="1944">
        <v>30</v>
      </c>
      <c r="BX6" s="1956" t="s">
        <v>689</v>
      </c>
      <c r="BY6" s="1955">
        <v>42979</v>
      </c>
      <c r="BZ6" s="1943" t="s">
        <v>7062</v>
      </c>
      <c r="CA6" s="1953">
        <v>850</v>
      </c>
      <c r="CB6" s="1956" t="s">
        <v>689</v>
      </c>
      <c r="CC6" s="1955">
        <v>42979</v>
      </c>
      <c r="CD6" s="1943" t="s">
        <v>7063</v>
      </c>
      <c r="CE6" s="1953">
        <v>850</v>
      </c>
      <c r="CF6" s="1956" t="s">
        <v>689</v>
      </c>
      <c r="CG6" s="1955">
        <v>42979</v>
      </c>
      <c r="CH6" s="1943" t="s">
        <v>7064</v>
      </c>
      <c r="CI6" s="1953">
        <v>850</v>
      </c>
      <c r="CJ6" s="1956" t="s">
        <v>689</v>
      </c>
      <c r="CK6" s="1999">
        <v>45536</v>
      </c>
      <c r="CL6" s="2000" t="s">
        <v>5944</v>
      </c>
      <c r="CM6" s="2001">
        <v>300</v>
      </c>
      <c r="CN6" s="2002" t="s">
        <v>689</v>
      </c>
    </row>
    <row r="7" spans="1:92" ht="12.75">
      <c r="A7" s="982">
        <v>37500</v>
      </c>
      <c r="B7" s="1943" t="s">
        <v>400</v>
      </c>
      <c r="C7" s="1944">
        <v>210</v>
      </c>
      <c r="D7" s="1945">
        <v>0</v>
      </c>
      <c r="E7" s="1955">
        <v>37865</v>
      </c>
      <c r="F7" s="1943" t="s">
        <v>400</v>
      </c>
      <c r="G7" s="1944">
        <v>0</v>
      </c>
      <c r="H7" s="1945">
        <v>200</v>
      </c>
      <c r="I7" s="1955">
        <v>37865</v>
      </c>
      <c r="J7" s="1943" t="s">
        <v>400</v>
      </c>
      <c r="K7" s="1944">
        <v>0</v>
      </c>
      <c r="L7" s="1945">
        <v>200</v>
      </c>
      <c r="M7" s="1955">
        <v>38597</v>
      </c>
      <c r="N7" s="1943" t="s">
        <v>7065</v>
      </c>
      <c r="O7" s="1944">
        <v>17</v>
      </c>
      <c r="P7" s="1957"/>
      <c r="Q7" s="1955">
        <v>38964</v>
      </c>
      <c r="R7" s="1943" t="s">
        <v>767</v>
      </c>
      <c r="S7" s="1944">
        <v>12</v>
      </c>
      <c r="T7" s="1945"/>
      <c r="U7" s="1955">
        <v>39326</v>
      </c>
      <c r="V7" s="1943" t="s">
        <v>7066</v>
      </c>
      <c r="W7" s="1944">
        <v>78</v>
      </c>
      <c r="X7" s="1945"/>
      <c r="Y7" s="1955">
        <v>39693</v>
      </c>
      <c r="Z7" s="1943" t="s">
        <v>937</v>
      </c>
      <c r="AA7" s="1944">
        <v>10</v>
      </c>
      <c r="AB7" s="1945"/>
      <c r="AC7" s="1955">
        <v>40059</v>
      </c>
      <c r="AD7" s="1943" t="s">
        <v>7067</v>
      </c>
      <c r="AE7" s="1944">
        <v>20</v>
      </c>
      <c r="AF7" s="1945"/>
      <c r="AG7" s="1955">
        <v>40425</v>
      </c>
      <c r="AH7" s="1943" t="s">
        <v>1052</v>
      </c>
      <c r="AI7" s="1944">
        <v>19</v>
      </c>
      <c r="AJ7" s="1945"/>
      <c r="AK7" s="1955">
        <v>40789</v>
      </c>
      <c r="AL7" s="1943" t="s">
        <v>965</v>
      </c>
      <c r="AM7" s="1944">
        <v>6</v>
      </c>
      <c r="AN7" s="1945"/>
      <c r="AO7" s="1955">
        <v>41154</v>
      </c>
      <c r="AP7" s="1943" t="s">
        <v>781</v>
      </c>
      <c r="AQ7" s="1944">
        <v>17</v>
      </c>
      <c r="AR7" s="1945"/>
      <c r="AS7" s="1955">
        <v>41519</v>
      </c>
      <c r="AT7" s="1943" t="s">
        <v>7068</v>
      </c>
      <c r="AU7" s="1944">
        <v>5</v>
      </c>
      <c r="AV7" s="1945"/>
      <c r="AW7" s="1955">
        <v>41884</v>
      </c>
      <c r="AX7" s="1943" t="s">
        <v>5132</v>
      </c>
      <c r="AY7" s="1944">
        <v>13</v>
      </c>
      <c r="AZ7" s="1945"/>
      <c r="BA7" s="1955">
        <v>42248</v>
      </c>
      <c r="BB7" s="1943" t="s">
        <v>788</v>
      </c>
      <c r="BC7" s="1944">
        <v>391</v>
      </c>
      <c r="BD7" s="1945"/>
      <c r="BE7" s="1955">
        <v>42616</v>
      </c>
      <c r="BF7" s="1943" t="s">
        <v>7069</v>
      </c>
      <c r="BG7" s="1944"/>
      <c r="BH7" s="1945"/>
      <c r="BI7" s="1955">
        <v>42979</v>
      </c>
      <c r="BJ7" s="1943" t="s">
        <v>7070</v>
      </c>
      <c r="BK7" s="1944">
        <f>45*8*12</f>
        <v>4320</v>
      </c>
      <c r="BL7" s="1945"/>
      <c r="BM7" s="1955">
        <v>42979</v>
      </c>
      <c r="BN7" s="1943" t="s">
        <v>7070</v>
      </c>
      <c r="BO7" s="1944">
        <f>45*8*12</f>
        <v>4320</v>
      </c>
      <c r="BP7" s="1945"/>
      <c r="BQ7" s="1955">
        <v>42979</v>
      </c>
      <c r="BR7" s="1943" t="s">
        <v>7071</v>
      </c>
      <c r="BS7" s="1944">
        <f xml:space="preserve"> 330 * 2</f>
        <v>660</v>
      </c>
      <c r="BT7" s="1956" t="s">
        <v>689</v>
      </c>
      <c r="BU7" s="1955">
        <v>42979</v>
      </c>
      <c r="BV7" s="1943" t="s">
        <v>4004</v>
      </c>
      <c r="BW7" s="1944">
        <v>398</v>
      </c>
      <c r="BX7" s="1956" t="s">
        <v>689</v>
      </c>
      <c r="BY7" s="1955">
        <v>42979</v>
      </c>
      <c r="BZ7" s="1943" t="s">
        <v>7072</v>
      </c>
      <c r="CA7" s="1953">
        <v>300</v>
      </c>
      <c r="CB7" s="1956" t="s">
        <v>689</v>
      </c>
      <c r="CC7" s="1955">
        <v>42979</v>
      </c>
      <c r="CD7" s="1943" t="s">
        <v>7073</v>
      </c>
      <c r="CE7" s="1953">
        <v>775</v>
      </c>
      <c r="CF7" s="1956" t="s">
        <v>689</v>
      </c>
      <c r="CG7" s="1955">
        <v>42979</v>
      </c>
      <c r="CH7" s="1943" t="s">
        <v>794</v>
      </c>
      <c r="CI7" s="1953">
        <v>2400</v>
      </c>
      <c r="CJ7" s="1956" t="s">
        <v>689</v>
      </c>
      <c r="CK7" s="1999">
        <v>45536</v>
      </c>
      <c r="CL7" s="2000" t="s">
        <v>759</v>
      </c>
      <c r="CM7" s="2001">
        <v>900</v>
      </c>
      <c r="CN7" s="2002" t="s">
        <v>689</v>
      </c>
    </row>
    <row r="8" spans="1:92" ht="12.75">
      <c r="A8" s="982">
        <v>37500</v>
      </c>
      <c r="B8" s="1943" t="s">
        <v>413</v>
      </c>
      <c r="C8" s="1958">
        <v>25</v>
      </c>
      <c r="D8" s="1959">
        <v>25</v>
      </c>
      <c r="E8" s="1955">
        <v>37865</v>
      </c>
      <c r="F8" s="1943" t="s">
        <v>413</v>
      </c>
      <c r="G8" s="1958">
        <v>25</v>
      </c>
      <c r="H8" s="1959">
        <v>5</v>
      </c>
      <c r="I8" s="1955">
        <v>37865</v>
      </c>
      <c r="J8" s="1943" t="s">
        <v>413</v>
      </c>
      <c r="K8" s="1958">
        <v>25</v>
      </c>
      <c r="L8" s="1959">
        <v>5</v>
      </c>
      <c r="M8" s="1955">
        <v>38597</v>
      </c>
      <c r="N8" s="1943" t="s">
        <v>937</v>
      </c>
      <c r="O8" s="1944">
        <v>12</v>
      </c>
      <c r="P8" s="1957"/>
      <c r="Q8" s="1955">
        <v>38965</v>
      </c>
      <c r="R8" s="1943" t="s">
        <v>786</v>
      </c>
      <c r="S8" s="1944">
        <v>7</v>
      </c>
      <c r="T8" s="1945"/>
      <c r="U8" s="1955">
        <v>39326</v>
      </c>
      <c r="V8" s="1943" t="s">
        <v>7074</v>
      </c>
      <c r="W8" s="1944">
        <v>15</v>
      </c>
      <c r="X8" s="1945"/>
      <c r="Y8" s="1955">
        <v>39693</v>
      </c>
      <c r="Z8" s="1943" t="s">
        <v>7075</v>
      </c>
      <c r="AA8" s="1944">
        <v>5</v>
      </c>
      <c r="AB8" s="1945"/>
      <c r="AC8" s="1955">
        <v>40060</v>
      </c>
      <c r="AD8" s="1943" t="s">
        <v>7076</v>
      </c>
      <c r="AE8" s="1944">
        <v>89</v>
      </c>
      <c r="AF8" s="1945"/>
      <c r="AG8" s="1955">
        <v>40425</v>
      </c>
      <c r="AH8" s="1943" t="s">
        <v>7077</v>
      </c>
      <c r="AI8" s="1944">
        <v>60</v>
      </c>
      <c r="AJ8" s="1945"/>
      <c r="AK8" s="1955">
        <v>40790</v>
      </c>
      <c r="AL8" s="1943" t="s">
        <v>7078</v>
      </c>
      <c r="AM8" s="1944">
        <v>22</v>
      </c>
      <c r="AN8" s="1945"/>
      <c r="AO8" s="1955">
        <v>40790</v>
      </c>
      <c r="AP8" s="1943" t="s">
        <v>7079</v>
      </c>
      <c r="AQ8" s="1944">
        <v>12</v>
      </c>
      <c r="AR8" s="1945"/>
      <c r="AS8" s="1955">
        <v>41519</v>
      </c>
      <c r="AT8" s="1943" t="s">
        <v>7053</v>
      </c>
      <c r="AU8" s="1944">
        <v>16</v>
      </c>
      <c r="AV8" s="1945"/>
      <c r="AW8" s="1955">
        <v>41886</v>
      </c>
      <c r="AX8" s="1943" t="s">
        <v>925</v>
      </c>
      <c r="AY8" s="1944">
        <v>10</v>
      </c>
      <c r="AZ8" s="1945"/>
      <c r="BA8" s="1955">
        <v>42248</v>
      </c>
      <c r="BB8" s="1943" t="s">
        <v>7080</v>
      </c>
      <c r="BC8" s="1944">
        <v>188</v>
      </c>
      <c r="BD8" s="1945"/>
      <c r="BE8" s="1955">
        <v>42616</v>
      </c>
      <c r="BF8" s="1943" t="s">
        <v>7081</v>
      </c>
      <c r="BG8" s="1944">
        <v>5</v>
      </c>
      <c r="BH8" s="1945"/>
      <c r="BI8" s="1955">
        <v>42979</v>
      </c>
      <c r="BJ8" s="1943" t="s">
        <v>7082</v>
      </c>
      <c r="BK8" s="1958">
        <v>0</v>
      </c>
      <c r="BL8" s="1945"/>
      <c r="BM8" s="1955">
        <v>42979</v>
      </c>
      <c r="BN8" s="1943" t="s">
        <v>7082</v>
      </c>
      <c r="BO8" s="1958">
        <v>395</v>
      </c>
      <c r="BP8" s="1945"/>
      <c r="BQ8" s="1955">
        <v>42979</v>
      </c>
      <c r="BR8" s="1943" t="s">
        <v>7083</v>
      </c>
      <c r="BS8" s="1958">
        <f>190*2</f>
        <v>380</v>
      </c>
      <c r="BT8" s="1956" t="s">
        <v>689</v>
      </c>
      <c r="BU8" s="1955">
        <v>44078</v>
      </c>
      <c r="BV8" s="1943" t="s">
        <v>7084</v>
      </c>
      <c r="BW8" s="1958">
        <v>17</v>
      </c>
      <c r="BX8" s="1956" t="s">
        <v>701</v>
      </c>
      <c r="BY8" s="1955">
        <v>42979</v>
      </c>
      <c r="BZ8" s="1943" t="s">
        <v>7085</v>
      </c>
      <c r="CA8" s="1953">
        <v>0</v>
      </c>
      <c r="CB8" s="1956" t="s">
        <v>414</v>
      </c>
      <c r="CC8" s="1955">
        <v>42979</v>
      </c>
      <c r="CD8" s="1943" t="s">
        <v>7086</v>
      </c>
      <c r="CE8" s="1953">
        <v>115</v>
      </c>
      <c r="CF8" s="1956" t="s">
        <v>414</v>
      </c>
      <c r="CG8" s="1955">
        <v>42979</v>
      </c>
      <c r="CH8" s="1943" t="s">
        <v>760</v>
      </c>
      <c r="CI8" s="1953">
        <v>75</v>
      </c>
      <c r="CJ8" s="1956" t="s">
        <v>689</v>
      </c>
      <c r="CK8" s="1999">
        <v>45536</v>
      </c>
      <c r="CL8" s="2000" t="s">
        <v>5965</v>
      </c>
      <c r="CM8" s="2001">
        <v>300</v>
      </c>
      <c r="CN8" s="2002" t="s">
        <v>689</v>
      </c>
    </row>
    <row r="9" spans="1:92" ht="12.75">
      <c r="A9" s="982">
        <v>37500</v>
      </c>
      <c r="B9" s="1943" t="s">
        <v>811</v>
      </c>
      <c r="C9" s="1944"/>
      <c r="D9" s="1945">
        <v>200</v>
      </c>
      <c r="E9" s="1955">
        <v>37865</v>
      </c>
      <c r="F9" s="1960" t="s">
        <v>811</v>
      </c>
      <c r="G9" s="1944"/>
      <c r="H9" s="1945">
        <v>0</v>
      </c>
      <c r="I9" s="1955">
        <v>37865</v>
      </c>
      <c r="J9" s="1960" t="s">
        <v>811</v>
      </c>
      <c r="K9" s="1944"/>
      <c r="L9" s="1945">
        <v>0</v>
      </c>
      <c r="M9" s="1955">
        <v>38598</v>
      </c>
      <c r="N9" s="1943" t="s">
        <v>781</v>
      </c>
      <c r="O9" s="1958">
        <v>6</v>
      </c>
      <c r="P9" s="1961"/>
      <c r="Q9" s="1955">
        <v>38967</v>
      </c>
      <c r="R9" s="1943" t="s">
        <v>767</v>
      </c>
      <c r="S9" s="1944">
        <v>7</v>
      </c>
      <c r="T9" s="1959"/>
      <c r="U9" s="1955">
        <v>39326</v>
      </c>
      <c r="V9" s="1943" t="s">
        <v>7087</v>
      </c>
      <c r="W9" s="1944">
        <v>5</v>
      </c>
      <c r="X9" s="1959"/>
      <c r="Y9" s="1955">
        <v>39693</v>
      </c>
      <c r="Z9" s="1943" t="s">
        <v>2150</v>
      </c>
      <c r="AA9" s="1944">
        <v>10</v>
      </c>
      <c r="AB9" s="1959"/>
      <c r="AC9" s="1955">
        <v>40062</v>
      </c>
      <c r="AD9" s="1943" t="s">
        <v>772</v>
      </c>
      <c r="AE9" s="1944">
        <v>52</v>
      </c>
      <c r="AF9" s="1945"/>
      <c r="AG9" s="1955">
        <v>40425</v>
      </c>
      <c r="AH9" s="1943" t="s">
        <v>7088</v>
      </c>
      <c r="AI9" s="1944">
        <v>1</v>
      </c>
      <c r="AJ9" s="1945"/>
      <c r="AK9" s="1955">
        <v>40790</v>
      </c>
      <c r="AL9" s="1943" t="s">
        <v>7089</v>
      </c>
      <c r="AM9" s="1944">
        <v>15</v>
      </c>
      <c r="AN9" s="1945"/>
      <c r="AO9" s="1955">
        <v>41157</v>
      </c>
      <c r="AP9" s="1943" t="s">
        <v>802</v>
      </c>
      <c r="AQ9" s="1944">
        <v>22</v>
      </c>
      <c r="AR9" s="1945"/>
      <c r="AS9" s="1955">
        <v>41519</v>
      </c>
      <c r="AT9" s="1943" t="s">
        <v>797</v>
      </c>
      <c r="AU9" s="1944">
        <v>49</v>
      </c>
      <c r="AV9" s="1945"/>
      <c r="AW9" s="1955">
        <v>41886</v>
      </c>
      <c r="AX9" s="1943" t="s">
        <v>1299</v>
      </c>
      <c r="AY9" s="1944">
        <v>8</v>
      </c>
      <c r="AZ9" s="1945"/>
      <c r="BA9" s="1955">
        <v>42248</v>
      </c>
      <c r="BB9" s="1943" t="s">
        <v>7090</v>
      </c>
      <c r="BC9" s="1944">
        <v>130</v>
      </c>
      <c r="BD9" s="1945"/>
      <c r="BE9" s="1955">
        <v>42616</v>
      </c>
      <c r="BF9" s="1943" t="s">
        <v>7091</v>
      </c>
      <c r="BG9" s="1944">
        <v>4</v>
      </c>
      <c r="BH9" s="1945"/>
      <c r="BI9" s="1955">
        <v>42979</v>
      </c>
      <c r="BJ9" s="1943" t="s">
        <v>7092</v>
      </c>
      <c r="BK9" s="1958">
        <v>0</v>
      </c>
      <c r="BL9" s="1945"/>
      <c r="BM9" s="1955">
        <v>42979</v>
      </c>
      <c r="BN9" s="1943" t="s">
        <v>7092</v>
      </c>
      <c r="BO9" s="1958">
        <v>0</v>
      </c>
      <c r="BP9" s="1945"/>
      <c r="BQ9" s="1955">
        <v>42979</v>
      </c>
      <c r="BR9" s="1943" t="s">
        <v>7093</v>
      </c>
      <c r="BS9" s="1958">
        <v>300</v>
      </c>
      <c r="BT9" s="1956" t="s">
        <v>689</v>
      </c>
      <c r="BU9" s="1955">
        <v>44079</v>
      </c>
      <c r="BV9" s="1943" t="s">
        <v>797</v>
      </c>
      <c r="BW9" s="1958">
        <v>49</v>
      </c>
      <c r="BX9" s="1956" t="s">
        <v>410</v>
      </c>
      <c r="BY9" s="1955">
        <v>42979</v>
      </c>
      <c r="BZ9" s="1943" t="s">
        <v>7094</v>
      </c>
      <c r="CA9" s="1953">
        <v>10</v>
      </c>
      <c r="CB9" s="1956" t="s">
        <v>414</v>
      </c>
      <c r="CC9" s="1955">
        <v>42979</v>
      </c>
      <c r="CD9" s="1943" t="s">
        <v>760</v>
      </c>
      <c r="CE9" s="1953">
        <v>100</v>
      </c>
      <c r="CF9" s="1956" t="s">
        <v>689</v>
      </c>
      <c r="CG9" s="1955">
        <v>42979</v>
      </c>
      <c r="CH9" s="1943" t="s">
        <v>7095</v>
      </c>
      <c r="CI9" s="1953">
        <v>125</v>
      </c>
      <c r="CJ9" s="1956" t="s">
        <v>689</v>
      </c>
      <c r="CK9" s="1999">
        <v>45536</v>
      </c>
      <c r="CL9" s="2000" t="s">
        <v>1689</v>
      </c>
      <c r="CM9" s="2001">
        <v>100</v>
      </c>
      <c r="CN9" s="2002" t="s">
        <v>674</v>
      </c>
    </row>
    <row r="10" spans="1:92" ht="12.75">
      <c r="A10" s="982">
        <v>37500</v>
      </c>
      <c r="B10" s="1943" t="s">
        <v>7096</v>
      </c>
      <c r="C10" s="1944">
        <v>173</v>
      </c>
      <c r="D10" s="1945"/>
      <c r="E10" s="1955">
        <v>37865</v>
      </c>
      <c r="F10" s="1960" t="s">
        <v>415</v>
      </c>
      <c r="G10" s="1944">
        <v>88</v>
      </c>
      <c r="H10" s="1945"/>
      <c r="I10" s="1955">
        <v>37865</v>
      </c>
      <c r="J10" s="1960" t="s">
        <v>415</v>
      </c>
      <c r="K10" s="1944">
        <v>88</v>
      </c>
      <c r="L10" s="1945"/>
      <c r="M10" s="1955">
        <v>38599</v>
      </c>
      <c r="N10" s="1960" t="s">
        <v>1143</v>
      </c>
      <c r="O10" s="1944">
        <v>34</v>
      </c>
      <c r="P10" s="1957"/>
      <c r="Q10" s="1955">
        <v>38969</v>
      </c>
      <c r="R10" s="1943" t="s">
        <v>767</v>
      </c>
      <c r="S10" s="1944">
        <v>42</v>
      </c>
      <c r="T10" s="1945"/>
      <c r="U10" s="1955">
        <v>39326</v>
      </c>
      <c r="V10" s="1943" t="s">
        <v>7097</v>
      </c>
      <c r="W10" s="1944">
        <v>16</v>
      </c>
      <c r="X10" s="1945"/>
      <c r="Y10" s="1955">
        <v>39694</v>
      </c>
      <c r="Z10" s="1943" t="s">
        <v>7098</v>
      </c>
      <c r="AA10" s="1944">
        <v>20</v>
      </c>
      <c r="AB10" s="1945"/>
      <c r="AC10" s="1955">
        <v>40062</v>
      </c>
      <c r="AD10" s="1943" t="s">
        <v>7099</v>
      </c>
      <c r="AE10" s="1944">
        <v>37</v>
      </c>
      <c r="AF10" s="1959"/>
      <c r="AG10" s="1955">
        <v>40425</v>
      </c>
      <c r="AH10" s="1943" t="s">
        <v>7100</v>
      </c>
      <c r="AI10" s="1944">
        <v>36</v>
      </c>
      <c r="AJ10" s="1945"/>
      <c r="AK10" s="1955">
        <v>40790</v>
      </c>
      <c r="AL10" s="1943" t="s">
        <v>781</v>
      </c>
      <c r="AM10" s="1944">
        <v>77</v>
      </c>
      <c r="AN10" s="1945"/>
      <c r="AO10" s="1955">
        <v>41158</v>
      </c>
      <c r="AP10" s="1943" t="s">
        <v>1052</v>
      </c>
      <c r="AQ10" s="1944">
        <v>20</v>
      </c>
      <c r="AR10" s="1945"/>
      <c r="AS10" s="1955">
        <v>41520</v>
      </c>
      <c r="AT10" s="1943" t="s">
        <v>7101</v>
      </c>
      <c r="AU10" s="1944">
        <v>30</v>
      </c>
      <c r="AV10" s="1945"/>
      <c r="AW10" s="1955">
        <v>41887</v>
      </c>
      <c r="AX10" s="1943" t="s">
        <v>7102</v>
      </c>
      <c r="AY10" s="1944">
        <v>75</v>
      </c>
      <c r="AZ10" s="1945"/>
      <c r="BA10" s="1955">
        <v>42248</v>
      </c>
      <c r="BB10" s="1943" t="s">
        <v>821</v>
      </c>
      <c r="BC10" s="1944">
        <v>30</v>
      </c>
      <c r="BD10" s="1945"/>
      <c r="BE10" s="1955">
        <v>42617</v>
      </c>
      <c r="BF10" s="1943" t="s">
        <v>7103</v>
      </c>
      <c r="BG10" s="1944">
        <v>19</v>
      </c>
      <c r="BH10" s="1945"/>
      <c r="BI10" s="1955">
        <v>42979</v>
      </c>
      <c r="BJ10" s="1943" t="s">
        <v>7104</v>
      </c>
      <c r="BK10" s="1958">
        <v>0</v>
      </c>
      <c r="BL10" s="1945"/>
      <c r="BM10" s="1955">
        <v>42979</v>
      </c>
      <c r="BN10" s="1943" t="s">
        <v>7105</v>
      </c>
      <c r="BO10" s="1958">
        <v>352</v>
      </c>
      <c r="BP10" s="1945"/>
      <c r="BQ10" s="1955">
        <v>43709</v>
      </c>
      <c r="BR10" s="1943" t="s">
        <v>7106</v>
      </c>
      <c r="BS10" s="1958">
        <v>15</v>
      </c>
      <c r="BT10" s="1956" t="s">
        <v>280</v>
      </c>
      <c r="BU10" s="1955">
        <v>44079</v>
      </c>
      <c r="BV10" s="1943" t="s">
        <v>948</v>
      </c>
      <c r="BW10" s="1958">
        <v>16</v>
      </c>
      <c r="BX10" s="1956" t="s">
        <v>414</v>
      </c>
      <c r="BY10" s="1955">
        <v>42979</v>
      </c>
      <c r="BZ10" s="1943" t="s">
        <v>7107</v>
      </c>
      <c r="CA10" s="1953">
        <v>0</v>
      </c>
      <c r="CB10" s="1956" t="s">
        <v>414</v>
      </c>
      <c r="CC10" s="1955">
        <v>44806</v>
      </c>
      <c r="CD10" s="1943" t="s">
        <v>7108</v>
      </c>
      <c r="CE10" s="1953">
        <v>50</v>
      </c>
      <c r="CF10" s="1956" t="s">
        <v>414</v>
      </c>
      <c r="CG10" s="1955">
        <v>42979</v>
      </c>
      <c r="CH10" s="1943" t="s">
        <v>7109</v>
      </c>
      <c r="CI10" s="1953">
        <v>25</v>
      </c>
      <c r="CJ10" s="1956" t="s">
        <v>689</v>
      </c>
      <c r="CK10" s="1955">
        <v>45536</v>
      </c>
      <c r="CL10" s="1943" t="s">
        <v>7110</v>
      </c>
      <c r="CM10" s="1953">
        <v>0</v>
      </c>
      <c r="CN10" s="1956"/>
    </row>
    <row r="11" spans="1:92" ht="12.75">
      <c r="A11" s="982">
        <v>37500</v>
      </c>
      <c r="B11" s="1943" t="s">
        <v>7111</v>
      </c>
      <c r="C11" s="1944">
        <v>20</v>
      </c>
      <c r="D11" s="1945"/>
      <c r="E11" s="1955">
        <v>37865</v>
      </c>
      <c r="F11" s="1960" t="s">
        <v>847</v>
      </c>
      <c r="G11" s="1944">
        <v>70</v>
      </c>
      <c r="H11" s="1945"/>
      <c r="I11" s="1955">
        <v>37865</v>
      </c>
      <c r="J11" s="1960" t="s">
        <v>847</v>
      </c>
      <c r="K11" s="1944">
        <v>70</v>
      </c>
      <c r="L11" s="1957"/>
      <c r="M11" s="1955">
        <v>38599</v>
      </c>
      <c r="N11" s="1960" t="s">
        <v>1143</v>
      </c>
      <c r="O11" s="1944">
        <v>18</v>
      </c>
      <c r="P11" s="1957"/>
      <c r="Q11" s="1955">
        <v>38971</v>
      </c>
      <c r="R11" s="1943" t="s">
        <v>7112</v>
      </c>
      <c r="S11" s="1944">
        <v>1478</v>
      </c>
      <c r="T11" s="1945"/>
      <c r="U11" s="1955">
        <v>39326</v>
      </c>
      <c r="V11" s="1943" t="s">
        <v>7113</v>
      </c>
      <c r="W11" s="1944">
        <v>25</v>
      </c>
      <c r="X11" s="1945"/>
      <c r="Y11" s="1955">
        <v>39694</v>
      </c>
      <c r="Z11" s="1943" t="s">
        <v>7114</v>
      </c>
      <c r="AA11" s="1944">
        <v>12</v>
      </c>
      <c r="AB11" s="1945"/>
      <c r="AC11" s="1955">
        <v>40062</v>
      </c>
      <c r="AD11" s="1943" t="s">
        <v>781</v>
      </c>
      <c r="AE11" s="1944">
        <v>62</v>
      </c>
      <c r="AF11" s="1945"/>
      <c r="AG11" s="1955">
        <v>40426</v>
      </c>
      <c r="AH11" s="1943" t="s">
        <v>797</v>
      </c>
      <c r="AI11" s="1944">
        <v>45</v>
      </c>
      <c r="AJ11" s="1959"/>
      <c r="AK11" s="1955">
        <v>40790</v>
      </c>
      <c r="AL11" s="1943" t="s">
        <v>7115</v>
      </c>
      <c r="AM11" s="1944">
        <v>19</v>
      </c>
      <c r="AN11" s="1959"/>
      <c r="AO11" s="1955">
        <v>41159</v>
      </c>
      <c r="AP11" s="1943" t="s">
        <v>7116</v>
      </c>
      <c r="AQ11" s="1944"/>
      <c r="AR11" s="1945"/>
      <c r="AS11" s="1955">
        <v>41520</v>
      </c>
      <c r="AT11" s="1943" t="s">
        <v>7117</v>
      </c>
      <c r="AU11" s="1944"/>
      <c r="AV11" s="1945"/>
      <c r="AW11" s="1955">
        <v>41887</v>
      </c>
      <c r="AX11" s="1943" t="s">
        <v>7118</v>
      </c>
      <c r="AY11" s="1944">
        <v>25</v>
      </c>
      <c r="AZ11" s="1945"/>
      <c r="BA11" s="1955">
        <v>42248</v>
      </c>
      <c r="BB11" s="1943" t="s">
        <v>7119</v>
      </c>
      <c r="BC11" s="1944">
        <v>6237</v>
      </c>
      <c r="BD11" s="1945"/>
      <c r="BE11" s="1955">
        <v>42617</v>
      </c>
      <c r="BF11" s="1943" t="s">
        <v>781</v>
      </c>
      <c r="BG11" s="1944">
        <v>18</v>
      </c>
      <c r="BH11" s="1945"/>
      <c r="BI11" s="1955">
        <v>42979</v>
      </c>
      <c r="BJ11" s="1943" t="s">
        <v>7120</v>
      </c>
      <c r="BK11" s="1944">
        <v>120</v>
      </c>
      <c r="BL11" s="1945"/>
      <c r="BM11" s="1955">
        <v>42979</v>
      </c>
      <c r="BN11" s="1943" t="s">
        <v>7121</v>
      </c>
      <c r="BO11" s="1944">
        <v>400</v>
      </c>
      <c r="BP11" s="1945"/>
      <c r="BQ11" s="1955">
        <v>43709</v>
      </c>
      <c r="BR11" s="1943" t="s">
        <v>7122</v>
      </c>
      <c r="BS11" s="1958">
        <v>21</v>
      </c>
      <c r="BT11" s="1956" t="s">
        <v>700</v>
      </c>
      <c r="BU11" s="1955">
        <v>44079</v>
      </c>
      <c r="BV11" s="1943" t="s">
        <v>7123</v>
      </c>
      <c r="BW11" s="1958">
        <v>40</v>
      </c>
      <c r="BX11" s="1956" t="s">
        <v>414</v>
      </c>
      <c r="BY11" s="1955">
        <v>42979</v>
      </c>
      <c r="BZ11" s="1943" t="s">
        <v>7124</v>
      </c>
      <c r="CA11" s="1953">
        <v>9</v>
      </c>
      <c r="CB11" s="1956" t="s">
        <v>414</v>
      </c>
      <c r="CC11" s="1955">
        <v>44806</v>
      </c>
      <c r="CD11" s="1943" t="s">
        <v>7125</v>
      </c>
      <c r="CE11" s="1953">
        <v>71</v>
      </c>
      <c r="CF11" s="1956" t="s">
        <v>700</v>
      </c>
      <c r="CG11" s="1955">
        <v>42979</v>
      </c>
      <c r="CH11" s="1962" t="s">
        <v>845</v>
      </c>
      <c r="CI11" s="1963">
        <v>42</v>
      </c>
      <c r="CJ11" s="1956" t="s">
        <v>414</v>
      </c>
      <c r="CK11" s="1955">
        <v>45536</v>
      </c>
      <c r="CL11" s="1960" t="s">
        <v>7126</v>
      </c>
      <c r="CM11" s="1953">
        <v>15</v>
      </c>
      <c r="CN11" s="1956" t="s">
        <v>698</v>
      </c>
    </row>
    <row r="12" spans="1:92" ht="12.75">
      <c r="A12" s="982">
        <v>37500</v>
      </c>
      <c r="B12" s="1943" t="s">
        <v>7127</v>
      </c>
      <c r="C12" s="1944">
        <v>10</v>
      </c>
      <c r="D12" s="1945"/>
      <c r="E12" s="1955">
        <v>37865</v>
      </c>
      <c r="F12" s="1960" t="s">
        <v>864</v>
      </c>
      <c r="G12" s="1944">
        <v>30</v>
      </c>
      <c r="H12" s="1945">
        <v>50</v>
      </c>
      <c r="I12" s="1955">
        <v>37865</v>
      </c>
      <c r="J12" s="1960" t="s">
        <v>864</v>
      </c>
      <c r="K12" s="1944">
        <v>30</v>
      </c>
      <c r="L12" s="1957">
        <v>50</v>
      </c>
      <c r="M12" s="1946">
        <v>38599</v>
      </c>
      <c r="N12" s="1964" t="s">
        <v>7128</v>
      </c>
      <c r="O12" s="1965">
        <v>16</v>
      </c>
      <c r="P12" s="1950">
        <v>14</v>
      </c>
      <c r="Q12" s="1955">
        <v>38971</v>
      </c>
      <c r="R12" s="1943" t="s">
        <v>7129</v>
      </c>
      <c r="S12" s="1966"/>
      <c r="T12" s="1945"/>
      <c r="U12" s="1955">
        <v>39326</v>
      </c>
      <c r="V12" s="1943" t="s">
        <v>7130</v>
      </c>
      <c r="W12" s="1967">
        <v>10</v>
      </c>
      <c r="X12" s="1945"/>
      <c r="Y12" s="1955">
        <v>39695</v>
      </c>
      <c r="Z12" s="1943" t="s">
        <v>797</v>
      </c>
      <c r="AA12" s="1967">
        <v>61</v>
      </c>
      <c r="AB12" s="1945"/>
      <c r="AC12" s="1955">
        <v>40062</v>
      </c>
      <c r="AD12" s="1943" t="s">
        <v>7131</v>
      </c>
      <c r="AE12" s="1944">
        <v>7</v>
      </c>
      <c r="AF12" s="1945"/>
      <c r="AG12" s="1955">
        <v>40426</v>
      </c>
      <c r="AH12" s="1943" t="s">
        <v>781</v>
      </c>
      <c r="AI12" s="1944">
        <v>81</v>
      </c>
      <c r="AJ12" s="1945"/>
      <c r="AK12" s="1955">
        <v>40791</v>
      </c>
      <c r="AL12" s="1943" t="s">
        <v>797</v>
      </c>
      <c r="AM12" s="1944">
        <v>57</v>
      </c>
      <c r="AN12" s="1945"/>
      <c r="AO12" s="1955">
        <v>41159</v>
      </c>
      <c r="AP12" s="1943" t="s">
        <v>7132</v>
      </c>
      <c r="AQ12" s="1944">
        <v>14</v>
      </c>
      <c r="AR12" s="1945"/>
      <c r="AS12" s="1955">
        <v>41520</v>
      </c>
      <c r="AT12" s="1943" t="s">
        <v>754</v>
      </c>
      <c r="AU12" s="1944">
        <v>60</v>
      </c>
      <c r="AV12" s="1945"/>
      <c r="AW12" s="1955">
        <v>41887</v>
      </c>
      <c r="AX12" s="1943" t="s">
        <v>7133</v>
      </c>
      <c r="AY12" s="1944">
        <v>67</v>
      </c>
      <c r="AZ12" s="1945"/>
      <c r="BA12" s="1955">
        <v>42248</v>
      </c>
      <c r="BB12" s="1943" t="s">
        <v>7134</v>
      </c>
      <c r="BC12" s="1944">
        <v>27</v>
      </c>
      <c r="BD12" s="1945"/>
      <c r="BE12" s="1955">
        <v>42617</v>
      </c>
      <c r="BF12" s="1943" t="s">
        <v>859</v>
      </c>
      <c r="BG12" s="1944">
        <v>28</v>
      </c>
      <c r="BH12" s="1945"/>
      <c r="BI12" s="1955">
        <v>42979</v>
      </c>
      <c r="BJ12" s="1943" t="s">
        <v>772</v>
      </c>
      <c r="BK12" s="1944">
        <v>27</v>
      </c>
      <c r="BL12" s="1945"/>
      <c r="BM12" s="1955">
        <v>42979</v>
      </c>
      <c r="BN12" s="1943" t="s">
        <v>7135</v>
      </c>
      <c r="BO12" s="1944">
        <f>SUM(BO13:BO15)</f>
        <v>4499</v>
      </c>
      <c r="BP12" s="1945"/>
      <c r="BQ12" s="1955">
        <v>43709</v>
      </c>
      <c r="BR12" s="1943" t="s">
        <v>7136</v>
      </c>
      <c r="BS12" s="1944">
        <v>15</v>
      </c>
      <c r="BT12" s="1956" t="s">
        <v>280</v>
      </c>
      <c r="BU12" s="1955">
        <v>44079</v>
      </c>
      <c r="BV12" s="1943" t="s">
        <v>872</v>
      </c>
      <c r="BW12" s="1944">
        <v>21</v>
      </c>
      <c r="BX12" s="1956" t="s">
        <v>414</v>
      </c>
      <c r="BY12" s="1955">
        <v>42979</v>
      </c>
      <c r="BZ12" s="1943" t="s">
        <v>7137</v>
      </c>
      <c r="CA12" s="1953">
        <v>7</v>
      </c>
      <c r="CB12" s="1956" t="s">
        <v>414</v>
      </c>
      <c r="CC12" s="1955">
        <v>44806</v>
      </c>
      <c r="CD12" s="1962" t="s">
        <v>4325</v>
      </c>
      <c r="CE12" s="1963">
        <v>25</v>
      </c>
      <c r="CF12" s="1956" t="s">
        <v>280</v>
      </c>
      <c r="CG12" s="1955">
        <v>42979</v>
      </c>
      <c r="CH12" s="1962" t="s">
        <v>948</v>
      </c>
      <c r="CI12" s="1963">
        <v>46</v>
      </c>
      <c r="CJ12" s="1956" t="s">
        <v>414</v>
      </c>
      <c r="CK12" s="1955">
        <v>45536</v>
      </c>
      <c r="CL12" s="1960" t="s">
        <v>2439</v>
      </c>
      <c r="CM12" s="1953">
        <v>38</v>
      </c>
      <c r="CN12" s="1956" t="s">
        <v>280</v>
      </c>
    </row>
    <row r="13" spans="1:92" ht="12.75">
      <c r="A13" s="982">
        <v>37500</v>
      </c>
      <c r="B13" s="1943" t="s">
        <v>7138</v>
      </c>
      <c r="C13" s="1944">
        <v>23</v>
      </c>
      <c r="D13" s="1945"/>
      <c r="E13" s="1955">
        <v>37865</v>
      </c>
      <c r="F13" s="1960" t="s">
        <v>419</v>
      </c>
      <c r="G13" s="1944">
        <v>240</v>
      </c>
      <c r="H13" s="1945">
        <v>0</v>
      </c>
      <c r="I13" s="1955">
        <v>37865</v>
      </c>
      <c r="J13" s="1960" t="s">
        <v>419</v>
      </c>
      <c r="K13" s="1944">
        <v>240</v>
      </c>
      <c r="L13" s="1957">
        <v>0</v>
      </c>
      <c r="M13" s="1955">
        <v>38599</v>
      </c>
      <c r="N13" s="1960" t="s">
        <v>7139</v>
      </c>
      <c r="O13" s="1966">
        <v>10</v>
      </c>
      <c r="P13" s="1957">
        <v>9</v>
      </c>
      <c r="Q13" s="1955"/>
      <c r="R13" s="1943" t="s">
        <v>7140</v>
      </c>
      <c r="S13" s="1968">
        <v>0</v>
      </c>
      <c r="T13" s="1945"/>
      <c r="U13" s="1955">
        <v>39326</v>
      </c>
      <c r="V13" s="1943" t="s">
        <v>7141</v>
      </c>
      <c r="W13" s="1967">
        <v>9</v>
      </c>
      <c r="X13" s="1945"/>
      <c r="Y13" s="1955">
        <v>39696</v>
      </c>
      <c r="Z13" s="1943" t="s">
        <v>7142</v>
      </c>
      <c r="AA13" s="1967">
        <v>4</v>
      </c>
      <c r="AB13" s="1945"/>
      <c r="AC13" s="1955">
        <v>40063</v>
      </c>
      <c r="AD13" s="1943" t="s">
        <v>786</v>
      </c>
      <c r="AE13" s="1967">
        <v>28</v>
      </c>
      <c r="AF13" s="1945"/>
      <c r="AG13" s="1955">
        <v>40426</v>
      </c>
      <c r="AH13" s="1943" t="s">
        <v>873</v>
      </c>
      <c r="AI13" s="1944">
        <v>15</v>
      </c>
      <c r="AJ13" s="1945"/>
      <c r="AK13" s="1955">
        <v>40791</v>
      </c>
      <c r="AL13" s="1943" t="s">
        <v>7143</v>
      </c>
      <c r="AM13" s="1944">
        <v>14</v>
      </c>
      <c r="AN13" s="1945"/>
      <c r="AO13" s="1955">
        <v>41159</v>
      </c>
      <c r="AP13" s="1943" t="s">
        <v>6719</v>
      </c>
      <c r="AQ13" s="1944">
        <v>14</v>
      </c>
      <c r="AR13" s="1959"/>
      <c r="AS13" s="1955">
        <v>41522</v>
      </c>
      <c r="AT13" s="1943" t="s">
        <v>7144</v>
      </c>
      <c r="AU13" s="1944">
        <v>10</v>
      </c>
      <c r="AV13" s="1959"/>
      <c r="AW13" s="1955">
        <v>41887</v>
      </c>
      <c r="AX13" s="1943" t="s">
        <v>767</v>
      </c>
      <c r="AY13" s="1944">
        <v>9</v>
      </c>
      <c r="AZ13" s="1959"/>
      <c r="BA13" s="1955">
        <v>42248</v>
      </c>
      <c r="BB13" s="1943" t="s">
        <v>7145</v>
      </c>
      <c r="BC13" s="1944">
        <v>7</v>
      </c>
      <c r="BD13" s="1945"/>
      <c r="BE13" s="1955">
        <v>42617</v>
      </c>
      <c r="BF13" s="1943" t="s">
        <v>7146</v>
      </c>
      <c r="BG13" s="1944">
        <v>38</v>
      </c>
      <c r="BH13" s="1945"/>
      <c r="BI13" s="1955">
        <v>42979</v>
      </c>
      <c r="BJ13" s="1943" t="s">
        <v>823</v>
      </c>
      <c r="BK13" s="1944">
        <v>35</v>
      </c>
      <c r="BL13" s="1945"/>
      <c r="BM13" s="1955">
        <v>42979</v>
      </c>
      <c r="BN13" s="1943" t="s">
        <v>7147</v>
      </c>
      <c r="BO13" s="1944">
        <v>2197</v>
      </c>
      <c r="BP13" s="1945"/>
      <c r="BQ13" s="1955">
        <v>43709</v>
      </c>
      <c r="BR13" s="1943" t="s">
        <v>7148</v>
      </c>
      <c r="BS13" s="1944">
        <v>15</v>
      </c>
      <c r="BT13" s="1956" t="s">
        <v>280</v>
      </c>
      <c r="BU13" s="1955">
        <v>44079</v>
      </c>
      <c r="BV13" s="1943" t="s">
        <v>772</v>
      </c>
      <c r="BW13" s="1944">
        <v>31</v>
      </c>
      <c r="BX13" s="1956" t="s">
        <v>414</v>
      </c>
      <c r="BY13" s="1955">
        <v>42979</v>
      </c>
      <c r="BZ13" s="1943" t="s">
        <v>7149</v>
      </c>
      <c r="CA13" s="1953">
        <v>0</v>
      </c>
      <c r="CB13" s="1956" t="s">
        <v>414</v>
      </c>
      <c r="CC13" s="1955">
        <v>44806</v>
      </c>
      <c r="CD13" s="1962" t="s">
        <v>7013</v>
      </c>
      <c r="CE13" s="1963">
        <v>23</v>
      </c>
      <c r="CF13" s="1956" t="s">
        <v>280</v>
      </c>
      <c r="CG13" s="1955">
        <v>42979</v>
      </c>
      <c r="CH13" s="1962" t="s">
        <v>859</v>
      </c>
      <c r="CI13" s="1963">
        <v>5</v>
      </c>
      <c r="CJ13" s="1956" t="s">
        <v>414</v>
      </c>
      <c r="CK13" s="1955">
        <v>45536</v>
      </c>
      <c r="CL13" s="1962" t="s">
        <v>7150</v>
      </c>
      <c r="CM13" s="1963">
        <v>20</v>
      </c>
      <c r="CN13" s="1956" t="s">
        <v>278</v>
      </c>
    </row>
    <row r="14" spans="1:92" ht="12.75">
      <c r="A14" s="982">
        <v>37500</v>
      </c>
      <c r="B14" s="1943" t="s">
        <v>7151</v>
      </c>
      <c r="C14" s="1944">
        <v>13</v>
      </c>
      <c r="D14" s="1945"/>
      <c r="E14" s="1955">
        <v>37865</v>
      </c>
      <c r="F14" s="1960" t="s">
        <v>2447</v>
      </c>
      <c r="G14" s="1944">
        <v>500</v>
      </c>
      <c r="H14" s="1945">
        <v>260</v>
      </c>
      <c r="I14" s="1955">
        <v>37865</v>
      </c>
      <c r="J14" s="1960" t="s">
        <v>2447</v>
      </c>
      <c r="K14" s="1944">
        <v>500</v>
      </c>
      <c r="L14" s="1957">
        <v>260</v>
      </c>
      <c r="M14" s="1955">
        <v>38600</v>
      </c>
      <c r="N14" s="1960" t="s">
        <v>7139</v>
      </c>
      <c r="O14" s="1966">
        <v>16</v>
      </c>
      <c r="P14" s="1957">
        <v>14</v>
      </c>
      <c r="Q14" s="1955">
        <v>38971</v>
      </c>
      <c r="R14" s="1943" t="s">
        <v>7152</v>
      </c>
      <c r="S14" s="1968">
        <v>4</v>
      </c>
      <c r="T14" s="1945"/>
      <c r="U14" s="1955">
        <v>39327</v>
      </c>
      <c r="V14" s="1943" t="s">
        <v>797</v>
      </c>
      <c r="W14" s="1967">
        <v>45</v>
      </c>
      <c r="X14" s="1945"/>
      <c r="Y14" s="1955">
        <v>39697</v>
      </c>
      <c r="Z14" s="1943" t="s">
        <v>781</v>
      </c>
      <c r="AA14" s="1967">
        <v>74</v>
      </c>
      <c r="AB14" s="1945"/>
      <c r="AC14" s="1955">
        <v>40063</v>
      </c>
      <c r="AD14" s="1943" t="s">
        <v>7153</v>
      </c>
      <c r="AE14" s="1967">
        <v>12</v>
      </c>
      <c r="AF14" s="1945"/>
      <c r="AG14" s="1955">
        <v>40426</v>
      </c>
      <c r="AH14" s="1943" t="s">
        <v>772</v>
      </c>
      <c r="AI14" s="1967">
        <v>38</v>
      </c>
      <c r="AJ14" s="1945"/>
      <c r="AK14" s="1955">
        <v>40791</v>
      </c>
      <c r="AL14" s="1943" t="s">
        <v>781</v>
      </c>
      <c r="AM14" s="1967">
        <v>24</v>
      </c>
      <c r="AN14" s="1945"/>
      <c r="AO14" s="1955">
        <v>41159</v>
      </c>
      <c r="AP14" s="1943" t="s">
        <v>7154</v>
      </c>
      <c r="AQ14" s="1944">
        <v>12</v>
      </c>
      <c r="AR14" s="1945"/>
      <c r="AS14" s="1955">
        <v>41524</v>
      </c>
      <c r="AT14" s="1943" t="s">
        <v>7155</v>
      </c>
      <c r="AU14" s="1944">
        <v>16</v>
      </c>
      <c r="AV14" s="1945"/>
      <c r="AW14" s="1955">
        <v>41887</v>
      </c>
      <c r="AX14" s="1943" t="s">
        <v>802</v>
      </c>
      <c r="AY14" s="1944">
        <v>27</v>
      </c>
      <c r="AZ14" s="1945"/>
      <c r="BA14" s="1955">
        <v>42250</v>
      </c>
      <c r="BB14" s="1943" t="s">
        <v>7156</v>
      </c>
      <c r="BC14" s="1944">
        <v>12</v>
      </c>
      <c r="BD14" s="1945"/>
      <c r="BE14" s="1955">
        <v>42618</v>
      </c>
      <c r="BF14" s="1943" t="s">
        <v>3037</v>
      </c>
      <c r="BG14" s="1944">
        <v>70</v>
      </c>
      <c r="BH14" s="1945"/>
      <c r="BI14" s="1955">
        <v>42979</v>
      </c>
      <c r="BJ14" s="1943" t="s">
        <v>7157</v>
      </c>
      <c r="BK14" s="1944">
        <v>75</v>
      </c>
      <c r="BL14" s="1945"/>
      <c r="BM14" s="1955">
        <v>42979</v>
      </c>
      <c r="BN14" s="1943" t="s">
        <v>7158</v>
      </c>
      <c r="BO14" s="1944">
        <v>2002</v>
      </c>
      <c r="BP14" s="1945"/>
      <c r="BQ14" s="1955">
        <v>43709</v>
      </c>
      <c r="BR14" s="1943" t="s">
        <v>7159</v>
      </c>
      <c r="BS14" s="1944">
        <v>47</v>
      </c>
      <c r="BT14" s="1956" t="s">
        <v>700</v>
      </c>
      <c r="BU14" s="1955">
        <v>44079</v>
      </c>
      <c r="BV14" s="1943" t="s">
        <v>2888</v>
      </c>
      <c r="BW14" s="1944">
        <v>33</v>
      </c>
      <c r="BX14" s="1956" t="s">
        <v>414</v>
      </c>
      <c r="BY14" s="1955">
        <v>42979</v>
      </c>
      <c r="BZ14" s="1943" t="s">
        <v>7160</v>
      </c>
      <c r="CA14" s="1953">
        <v>46</v>
      </c>
      <c r="CB14" s="1956" t="s">
        <v>414</v>
      </c>
      <c r="CC14" s="1955">
        <v>44806</v>
      </c>
      <c r="CD14" s="1962" t="s">
        <v>7015</v>
      </c>
      <c r="CE14" s="1963">
        <v>0</v>
      </c>
      <c r="CF14" s="1956" t="s">
        <v>700</v>
      </c>
      <c r="CG14" s="1955">
        <v>45171</v>
      </c>
      <c r="CH14" s="1962" t="s">
        <v>948</v>
      </c>
      <c r="CI14" s="1963">
        <v>15</v>
      </c>
      <c r="CJ14" s="1956" t="s">
        <v>414</v>
      </c>
      <c r="CK14" s="1955">
        <v>45536</v>
      </c>
      <c r="CL14" s="1962" t="s">
        <v>7161</v>
      </c>
      <c r="CM14" s="1963">
        <v>6</v>
      </c>
      <c r="CN14" s="1956" t="s">
        <v>278</v>
      </c>
    </row>
    <row r="15" spans="1:92" ht="12.75">
      <c r="A15" s="982">
        <v>37501</v>
      </c>
      <c r="B15" s="1943" t="s">
        <v>915</v>
      </c>
      <c r="C15" s="1944">
        <v>17</v>
      </c>
      <c r="D15" s="1945"/>
      <c r="E15" s="1955">
        <v>37865</v>
      </c>
      <c r="F15" s="1960" t="s">
        <v>512</v>
      </c>
      <c r="G15" s="1944">
        <v>400</v>
      </c>
      <c r="H15" s="1945"/>
      <c r="I15" s="1955">
        <v>38232</v>
      </c>
      <c r="J15" s="1960" t="s">
        <v>797</v>
      </c>
      <c r="K15" s="1944">
        <v>32</v>
      </c>
      <c r="L15" s="1957"/>
      <c r="M15" s="1955">
        <v>38600</v>
      </c>
      <c r="N15" s="1960" t="s">
        <v>7162</v>
      </c>
      <c r="O15" s="1966">
        <v>15</v>
      </c>
      <c r="P15" s="1957">
        <v>13</v>
      </c>
      <c r="Q15" s="1955">
        <v>38971</v>
      </c>
      <c r="R15" s="1943" t="s">
        <v>7163</v>
      </c>
      <c r="S15" s="1968">
        <v>0</v>
      </c>
      <c r="T15" s="1945"/>
      <c r="U15" s="1955">
        <v>39327</v>
      </c>
      <c r="V15" s="1943" t="s">
        <v>937</v>
      </c>
      <c r="W15" s="1967">
        <v>17</v>
      </c>
      <c r="X15" s="1945"/>
      <c r="Y15" s="1955">
        <v>39697</v>
      </c>
      <c r="Z15" s="1943" t="s">
        <v>7164</v>
      </c>
      <c r="AA15" s="1967">
        <v>8</v>
      </c>
      <c r="AB15" s="1945"/>
      <c r="AC15" s="1955">
        <v>40065</v>
      </c>
      <c r="AD15" s="1943" t="s">
        <v>937</v>
      </c>
      <c r="AE15" s="1967">
        <v>10</v>
      </c>
      <c r="AF15" s="1945"/>
      <c r="AG15" s="1955">
        <v>40426</v>
      </c>
      <c r="AH15" s="1943" t="s">
        <v>937</v>
      </c>
      <c r="AI15" s="1967">
        <v>19</v>
      </c>
      <c r="AJ15" s="1945"/>
      <c r="AK15" s="1955">
        <v>40796</v>
      </c>
      <c r="AL15" s="1943" t="s">
        <v>781</v>
      </c>
      <c r="AM15" s="1967">
        <v>141</v>
      </c>
      <c r="AN15" s="1945"/>
      <c r="AO15" s="1955">
        <v>41159</v>
      </c>
      <c r="AP15" s="1943" t="s">
        <v>797</v>
      </c>
      <c r="AQ15" s="1944">
        <v>16</v>
      </c>
      <c r="AR15" s="1945"/>
      <c r="AS15" s="1955">
        <v>41524</v>
      </c>
      <c r="AT15" s="1943" t="s">
        <v>7165</v>
      </c>
      <c r="AU15" s="1944">
        <v>16</v>
      </c>
      <c r="AV15" s="1945"/>
      <c r="AW15" s="1955">
        <v>41888</v>
      </c>
      <c r="AX15" s="1943" t="s">
        <v>7166</v>
      </c>
      <c r="AY15" s="1944">
        <v>7</v>
      </c>
      <c r="AZ15" s="1945"/>
      <c r="BA15" s="1955">
        <v>42253</v>
      </c>
      <c r="BB15" s="1943" t="s">
        <v>7167</v>
      </c>
      <c r="BC15" s="1944">
        <v>68</v>
      </c>
      <c r="BD15" s="1945"/>
      <c r="BE15" s="1955">
        <v>42618</v>
      </c>
      <c r="BF15" s="1943" t="s">
        <v>7168</v>
      </c>
      <c r="BG15" s="1944">
        <v>8</v>
      </c>
      <c r="BH15" s="1945"/>
      <c r="BI15" s="1955">
        <v>42979</v>
      </c>
      <c r="BJ15" s="1943" t="s">
        <v>7169</v>
      </c>
      <c r="BK15" s="1944">
        <v>0</v>
      </c>
      <c r="BL15" s="1945"/>
      <c r="BM15" s="1955">
        <v>42979</v>
      </c>
      <c r="BN15" s="1943" t="s">
        <v>4387</v>
      </c>
      <c r="BO15" s="1944">
        <v>300</v>
      </c>
      <c r="BP15" s="1945"/>
      <c r="BQ15" s="1955">
        <v>43709</v>
      </c>
      <c r="BR15" s="1943" t="s">
        <v>7170</v>
      </c>
      <c r="BS15" s="1944">
        <v>37</v>
      </c>
      <c r="BT15" s="1956" t="s">
        <v>280</v>
      </c>
      <c r="BU15" s="1955">
        <v>44079</v>
      </c>
      <c r="BV15" s="1943" t="s">
        <v>7171</v>
      </c>
      <c r="BW15" s="1944">
        <v>53</v>
      </c>
      <c r="BX15" s="1956" t="s">
        <v>700</v>
      </c>
      <c r="BY15" s="1955">
        <v>42979</v>
      </c>
      <c r="BZ15" s="1943" t="s">
        <v>7172</v>
      </c>
      <c r="CA15" s="1953">
        <v>17</v>
      </c>
      <c r="CB15" s="1956" t="s">
        <v>414</v>
      </c>
      <c r="CC15" s="1955">
        <v>44806</v>
      </c>
      <c r="CD15" s="1962" t="s">
        <v>7016</v>
      </c>
      <c r="CE15" s="1963">
        <v>60</v>
      </c>
      <c r="CF15" s="1956" t="s">
        <v>426</v>
      </c>
      <c r="CG15" s="1955">
        <v>45171</v>
      </c>
      <c r="CH15" s="1962" t="s">
        <v>781</v>
      </c>
      <c r="CI15" s="1963">
        <v>26</v>
      </c>
      <c r="CJ15" s="1956" t="s">
        <v>414</v>
      </c>
      <c r="CK15" s="1955">
        <v>45536</v>
      </c>
      <c r="CL15" s="1962" t="s">
        <v>7173</v>
      </c>
      <c r="CM15" s="1963">
        <v>20</v>
      </c>
      <c r="CN15" s="1956" t="s">
        <v>278</v>
      </c>
    </row>
    <row r="16" spans="1:92" ht="12.75">
      <c r="A16" s="982">
        <v>37501</v>
      </c>
      <c r="B16" s="1943" t="s">
        <v>410</v>
      </c>
      <c r="C16" s="1944"/>
      <c r="D16" s="1945">
        <v>28</v>
      </c>
      <c r="E16" s="1955">
        <v>37865</v>
      </c>
      <c r="F16" s="1960" t="s">
        <v>5125</v>
      </c>
      <c r="G16" s="1944">
        <v>16</v>
      </c>
      <c r="H16" s="1945"/>
      <c r="I16" s="1955">
        <v>38233</v>
      </c>
      <c r="J16" s="1960" t="s">
        <v>867</v>
      </c>
      <c r="K16" s="1944"/>
      <c r="L16" s="1957">
        <v>10</v>
      </c>
      <c r="M16" s="1955">
        <v>38600</v>
      </c>
      <c r="N16" s="1960" t="s">
        <v>7174</v>
      </c>
      <c r="O16" s="1966">
        <v>3</v>
      </c>
      <c r="P16" s="1957">
        <v>3</v>
      </c>
      <c r="Q16" s="1955">
        <v>38972</v>
      </c>
      <c r="R16" s="1943" t="s">
        <v>802</v>
      </c>
      <c r="S16" s="1968">
        <v>38</v>
      </c>
      <c r="T16" s="1945"/>
      <c r="U16" s="1955">
        <v>39329</v>
      </c>
      <c r="V16" s="1943" t="s">
        <v>7175</v>
      </c>
      <c r="W16" s="1967">
        <v>10</v>
      </c>
      <c r="X16" s="1945"/>
      <c r="Y16" s="1955">
        <v>39699</v>
      </c>
      <c r="Z16" s="1943" t="s">
        <v>7176</v>
      </c>
      <c r="AA16" s="1967">
        <v>0</v>
      </c>
      <c r="AB16" s="1945"/>
      <c r="AC16" s="1955">
        <v>40066</v>
      </c>
      <c r="AD16" s="1943" t="s">
        <v>7177</v>
      </c>
      <c r="AE16" s="1967">
        <v>2</v>
      </c>
      <c r="AF16" s="1945"/>
      <c r="AG16" s="1955">
        <v>40427</v>
      </c>
      <c r="AH16" s="1943" t="s">
        <v>937</v>
      </c>
      <c r="AI16" s="1967">
        <v>7</v>
      </c>
      <c r="AJ16" s="1945"/>
      <c r="AK16" s="1955">
        <v>40796</v>
      </c>
      <c r="AL16" s="1943" t="s">
        <v>7178</v>
      </c>
      <c r="AM16" s="1967">
        <v>20</v>
      </c>
      <c r="AN16" s="1945"/>
      <c r="AO16" s="1955">
        <v>41160</v>
      </c>
      <c r="AP16" s="1943" t="s">
        <v>797</v>
      </c>
      <c r="AQ16" s="1967">
        <v>61</v>
      </c>
      <c r="AR16" s="1945"/>
      <c r="AS16" s="1955">
        <v>41524</v>
      </c>
      <c r="AT16" s="1943" t="s">
        <v>7179</v>
      </c>
      <c r="AU16" s="1967">
        <v>20</v>
      </c>
      <c r="AV16" s="1945"/>
      <c r="AW16" s="1955">
        <v>41888</v>
      </c>
      <c r="AX16" s="1943" t="s">
        <v>7180</v>
      </c>
      <c r="AY16" s="1967">
        <v>202</v>
      </c>
      <c r="AZ16" s="1945"/>
      <c r="BA16" s="1955">
        <v>42253</v>
      </c>
      <c r="BB16" s="1943" t="s">
        <v>7181</v>
      </c>
      <c r="BC16" s="1944">
        <v>52</v>
      </c>
      <c r="BD16" s="1959"/>
      <c r="BE16" s="1955">
        <v>42618</v>
      </c>
      <c r="BF16" s="1943" t="s">
        <v>7182</v>
      </c>
      <c r="BG16" s="1944">
        <v>32</v>
      </c>
      <c r="BH16" s="1959"/>
      <c r="BI16" s="1955">
        <v>42979</v>
      </c>
      <c r="BJ16" s="1943" t="s">
        <v>7183</v>
      </c>
      <c r="BK16" s="1944">
        <v>29</v>
      </c>
      <c r="BL16" s="1945"/>
      <c r="BM16" s="1955">
        <v>42979</v>
      </c>
      <c r="BN16" s="1943" t="s">
        <v>873</v>
      </c>
      <c r="BO16" s="1944">
        <v>28</v>
      </c>
      <c r="BP16" s="1945"/>
      <c r="BQ16" s="1955">
        <v>43709</v>
      </c>
      <c r="BR16" s="1943" t="s">
        <v>797</v>
      </c>
      <c r="BS16" s="1944">
        <v>43</v>
      </c>
      <c r="BT16" s="1956" t="s">
        <v>414</v>
      </c>
      <c r="BU16" s="1955">
        <v>44079</v>
      </c>
      <c r="BV16" s="1952" t="s">
        <v>2253</v>
      </c>
      <c r="BW16" s="1944">
        <v>30</v>
      </c>
      <c r="BX16" s="1956" t="s">
        <v>414</v>
      </c>
      <c r="BY16" s="1955">
        <v>42979</v>
      </c>
      <c r="BZ16" s="1943" t="s">
        <v>7184</v>
      </c>
      <c r="CA16" s="1953">
        <v>13</v>
      </c>
      <c r="CB16" s="1956" t="s">
        <v>414</v>
      </c>
      <c r="CC16" s="1955">
        <v>44806</v>
      </c>
      <c r="CD16" s="1962" t="s">
        <v>7017</v>
      </c>
      <c r="CE16" s="1963">
        <v>24</v>
      </c>
      <c r="CF16" s="1956" t="s">
        <v>700</v>
      </c>
      <c r="CG16" s="1955">
        <v>45171</v>
      </c>
      <c r="CH16" s="1943" t="s">
        <v>7185</v>
      </c>
      <c r="CI16" s="1953">
        <v>4</v>
      </c>
      <c r="CJ16" s="1956" t="s">
        <v>278</v>
      </c>
      <c r="CK16" s="1955">
        <v>45536</v>
      </c>
      <c r="CL16" s="1962" t="s">
        <v>772</v>
      </c>
      <c r="CM16" s="1963">
        <v>50</v>
      </c>
      <c r="CN16" s="1956" t="s">
        <v>414</v>
      </c>
    </row>
    <row r="17" spans="1:92" ht="12.75">
      <c r="A17" s="982">
        <v>37501</v>
      </c>
      <c r="B17" s="1943" t="s">
        <v>1189</v>
      </c>
      <c r="C17" s="1944">
        <v>46</v>
      </c>
      <c r="D17" s="1945"/>
      <c r="E17" s="1955">
        <v>37865</v>
      </c>
      <c r="F17" s="1960" t="s">
        <v>7186</v>
      </c>
      <c r="G17" s="1944">
        <v>9</v>
      </c>
      <c r="H17" s="1945"/>
      <c r="I17" s="1955">
        <v>38233</v>
      </c>
      <c r="J17" s="1960" t="s">
        <v>7187</v>
      </c>
      <c r="K17" s="1944">
        <v>2</v>
      </c>
      <c r="L17" s="1957"/>
      <c r="M17" s="1955">
        <v>38600</v>
      </c>
      <c r="N17" s="1960" t="s">
        <v>7188</v>
      </c>
      <c r="O17" s="1966">
        <v>24</v>
      </c>
      <c r="P17" s="1957">
        <v>20</v>
      </c>
      <c r="Q17" s="1955">
        <v>38974</v>
      </c>
      <c r="R17" s="1943" t="s">
        <v>781</v>
      </c>
      <c r="S17" s="1968">
        <v>25</v>
      </c>
      <c r="T17" s="1945"/>
      <c r="U17" s="1955">
        <v>39329</v>
      </c>
      <c r="V17" s="1943" t="s">
        <v>7189</v>
      </c>
      <c r="W17" s="1967">
        <v>10</v>
      </c>
      <c r="X17" s="1945"/>
      <c r="Y17" s="1955">
        <v>39701</v>
      </c>
      <c r="Z17" s="1943" t="s">
        <v>767</v>
      </c>
      <c r="AA17" s="1967">
        <v>22</v>
      </c>
      <c r="AB17" s="1945"/>
      <c r="AC17" s="1955">
        <v>40066</v>
      </c>
      <c r="AD17" s="1943" t="s">
        <v>7190</v>
      </c>
      <c r="AE17" s="1967">
        <v>476</v>
      </c>
      <c r="AF17" s="1945"/>
      <c r="AG17" s="1955">
        <v>40427</v>
      </c>
      <c r="AH17" s="1943" t="s">
        <v>7191</v>
      </c>
      <c r="AI17" s="1967">
        <v>9</v>
      </c>
      <c r="AJ17" s="1945"/>
      <c r="AK17" s="1955">
        <v>40796</v>
      </c>
      <c r="AL17" s="1943" t="s">
        <v>7192</v>
      </c>
      <c r="AM17" s="1967">
        <v>3</v>
      </c>
      <c r="AN17" s="1945"/>
      <c r="AO17" s="1955">
        <v>41160</v>
      </c>
      <c r="AP17" s="1943" t="s">
        <v>7193</v>
      </c>
      <c r="AQ17" s="1967">
        <v>6</v>
      </c>
      <c r="AR17" s="1945"/>
      <c r="AS17" s="1955">
        <v>41524</v>
      </c>
      <c r="AT17" s="1943" t="s">
        <v>7194</v>
      </c>
      <c r="AU17" s="1967">
        <v>10</v>
      </c>
      <c r="AV17" s="1945"/>
      <c r="AW17" s="1955">
        <v>41889</v>
      </c>
      <c r="AX17" s="1943" t="s">
        <v>7195</v>
      </c>
      <c r="AY17" s="1967">
        <v>85</v>
      </c>
      <c r="AZ17" s="1945"/>
      <c r="BA17" s="1955">
        <v>42253</v>
      </c>
      <c r="BB17" s="1943" t="s">
        <v>7196</v>
      </c>
      <c r="BC17" s="1944">
        <v>5</v>
      </c>
      <c r="BD17" s="1945"/>
      <c r="BE17" s="1955">
        <v>42621</v>
      </c>
      <c r="BF17" s="1943" t="s">
        <v>7197</v>
      </c>
      <c r="BG17" s="1944">
        <v>15</v>
      </c>
      <c r="BH17" s="1945"/>
      <c r="BI17" s="1955">
        <v>42979</v>
      </c>
      <c r="BJ17" s="1943" t="s">
        <v>7198</v>
      </c>
      <c r="BK17" s="1944">
        <v>29</v>
      </c>
      <c r="BL17" s="1945"/>
      <c r="BM17" s="1955">
        <v>42979</v>
      </c>
      <c r="BN17" s="1943" t="s">
        <v>859</v>
      </c>
      <c r="BO17" s="1944">
        <v>8</v>
      </c>
      <c r="BP17" s="1945"/>
      <c r="BQ17" s="1955">
        <v>43709</v>
      </c>
      <c r="BR17" s="1943" t="s">
        <v>7199</v>
      </c>
      <c r="BS17" s="1944">
        <v>300</v>
      </c>
      <c r="BT17" s="1956" t="s">
        <v>689</v>
      </c>
      <c r="BU17" s="1955">
        <v>44079</v>
      </c>
      <c r="BV17" s="1943" t="s">
        <v>7200</v>
      </c>
      <c r="BW17" s="1944">
        <v>21</v>
      </c>
      <c r="BX17" s="1956" t="s">
        <v>414</v>
      </c>
      <c r="BY17" s="1955">
        <v>42979</v>
      </c>
      <c r="BZ17" s="1943" t="s">
        <v>7201</v>
      </c>
      <c r="CA17" s="1953">
        <v>0</v>
      </c>
      <c r="CB17" s="1956" t="s">
        <v>414</v>
      </c>
      <c r="CC17" s="1955">
        <v>44808</v>
      </c>
      <c r="CD17" s="1943" t="s">
        <v>845</v>
      </c>
      <c r="CE17" s="1953">
        <v>29</v>
      </c>
      <c r="CF17" s="1956" t="s">
        <v>414</v>
      </c>
      <c r="CG17" s="1955">
        <v>45171</v>
      </c>
      <c r="CH17" s="1943" t="s">
        <v>772</v>
      </c>
      <c r="CI17" s="1953">
        <v>13</v>
      </c>
      <c r="CJ17" s="1956" t="s">
        <v>414</v>
      </c>
      <c r="CK17" s="1955">
        <v>45536</v>
      </c>
      <c r="CL17" s="1962" t="s">
        <v>948</v>
      </c>
      <c r="CM17" s="1963">
        <v>20</v>
      </c>
      <c r="CN17" s="1956" t="s">
        <v>414</v>
      </c>
    </row>
    <row r="18" spans="1:92" ht="12.75">
      <c r="A18" s="982">
        <v>37502</v>
      </c>
      <c r="B18" s="1943" t="s">
        <v>7202</v>
      </c>
      <c r="C18" s="1944">
        <v>46</v>
      </c>
      <c r="D18" s="1945"/>
      <c r="E18" s="1955">
        <v>37865</v>
      </c>
      <c r="F18" s="1960" t="s">
        <v>7203</v>
      </c>
      <c r="G18" s="1944">
        <v>5</v>
      </c>
      <c r="H18" s="1945"/>
      <c r="I18" s="1955">
        <v>38233</v>
      </c>
      <c r="J18" s="1960" t="s">
        <v>7204</v>
      </c>
      <c r="K18" s="1944">
        <v>25</v>
      </c>
      <c r="L18" s="1957"/>
      <c r="M18" s="1955">
        <v>38601</v>
      </c>
      <c r="N18" s="1960" t="s">
        <v>7205</v>
      </c>
      <c r="O18" s="1966">
        <v>10</v>
      </c>
      <c r="P18" s="1957">
        <v>9</v>
      </c>
      <c r="Q18" s="1955">
        <v>38974</v>
      </c>
      <c r="R18" s="1943" t="s">
        <v>7206</v>
      </c>
      <c r="S18" s="1968">
        <v>14</v>
      </c>
      <c r="T18" s="1945"/>
      <c r="U18" s="1955">
        <v>39329</v>
      </c>
      <c r="V18" s="1943" t="s">
        <v>772</v>
      </c>
      <c r="W18" s="1967">
        <v>17</v>
      </c>
      <c r="X18" s="1945"/>
      <c r="Y18" s="1955">
        <v>39701</v>
      </c>
      <c r="Z18" s="1943" t="s">
        <v>7207</v>
      </c>
      <c r="AA18" s="1967">
        <v>33</v>
      </c>
      <c r="AB18" s="1945"/>
      <c r="AC18" s="1955">
        <v>40066</v>
      </c>
      <c r="AD18" s="1943" t="s">
        <v>7208</v>
      </c>
      <c r="AE18" s="1967">
        <v>15</v>
      </c>
      <c r="AF18" s="1945"/>
      <c r="AG18" s="1955">
        <v>40428</v>
      </c>
      <c r="AH18" s="1943" t="s">
        <v>7209</v>
      </c>
      <c r="AI18" s="1967">
        <v>11</v>
      </c>
      <c r="AJ18" s="1945"/>
      <c r="AK18" s="1955">
        <v>40797</v>
      </c>
      <c r="AL18" s="1943" t="s">
        <v>797</v>
      </c>
      <c r="AM18" s="1967">
        <v>57</v>
      </c>
      <c r="AN18" s="1945"/>
      <c r="AO18" s="1955">
        <v>41160</v>
      </c>
      <c r="AP18" s="1943" t="s">
        <v>7210</v>
      </c>
      <c r="AQ18" s="1967">
        <v>10</v>
      </c>
      <c r="AR18" s="1945"/>
      <c r="AS18" s="1955">
        <v>41524</v>
      </c>
      <c r="AT18" s="1943" t="s">
        <v>7211</v>
      </c>
      <c r="AU18" s="1967">
        <v>6</v>
      </c>
      <c r="AV18" s="1945"/>
      <c r="AW18" s="1955">
        <v>41889</v>
      </c>
      <c r="AX18" s="1943" t="s">
        <v>754</v>
      </c>
      <c r="AY18" s="1967">
        <v>93</v>
      </c>
      <c r="AZ18" s="1945"/>
      <c r="BA18" s="1955">
        <v>42253</v>
      </c>
      <c r="BB18" s="1943" t="s">
        <v>797</v>
      </c>
      <c r="BC18" s="1944">
        <v>38</v>
      </c>
      <c r="BD18" s="1945"/>
      <c r="BE18" s="1955">
        <v>42623</v>
      </c>
      <c r="BF18" s="1943" t="s">
        <v>7212</v>
      </c>
      <c r="BG18" s="1944"/>
      <c r="BH18" s="1945"/>
      <c r="BI18" s="1955">
        <v>42979</v>
      </c>
      <c r="BJ18" s="1943" t="s">
        <v>7213</v>
      </c>
      <c r="BK18" s="1944">
        <v>7</v>
      </c>
      <c r="BL18" s="1959"/>
      <c r="BM18" s="1955">
        <v>43345</v>
      </c>
      <c r="BN18" s="1943" t="s">
        <v>7214</v>
      </c>
      <c r="BO18" s="1967">
        <v>12</v>
      </c>
      <c r="BP18" s="1945"/>
      <c r="BQ18" s="1955">
        <v>43714</v>
      </c>
      <c r="BR18" s="1943" t="s">
        <v>7215</v>
      </c>
      <c r="BS18" s="1944">
        <v>18</v>
      </c>
      <c r="BT18" s="1956" t="s">
        <v>280</v>
      </c>
      <c r="BU18" s="1955">
        <v>44079</v>
      </c>
      <c r="BV18" s="1943" t="s">
        <v>7216</v>
      </c>
      <c r="BW18" s="1944">
        <v>20</v>
      </c>
      <c r="BX18" s="1956" t="s">
        <v>414</v>
      </c>
      <c r="BY18" s="1955">
        <v>42979</v>
      </c>
      <c r="BZ18" s="1943" t="s">
        <v>4441</v>
      </c>
      <c r="CA18" s="1953">
        <v>18</v>
      </c>
      <c r="CB18" s="1956" t="s">
        <v>414</v>
      </c>
      <c r="CC18" s="1955">
        <v>44808</v>
      </c>
      <c r="CD18" s="1943" t="s">
        <v>872</v>
      </c>
      <c r="CE18" s="1953">
        <v>11</v>
      </c>
      <c r="CF18" s="1956" t="s">
        <v>414</v>
      </c>
      <c r="CG18" s="1955">
        <v>45171</v>
      </c>
      <c r="CH18" s="1943" t="s">
        <v>797</v>
      </c>
      <c r="CI18" s="1953">
        <v>83</v>
      </c>
      <c r="CJ18" s="1956" t="s">
        <v>410</v>
      </c>
      <c r="CK18" s="1955">
        <v>45539</v>
      </c>
      <c r="CL18" s="1943" t="s">
        <v>781</v>
      </c>
      <c r="CM18" s="1953">
        <v>36</v>
      </c>
      <c r="CN18" s="1956" t="s">
        <v>414</v>
      </c>
    </row>
    <row r="19" spans="1:92" ht="12.75">
      <c r="A19" s="982">
        <v>37503</v>
      </c>
      <c r="B19" s="1943" t="s">
        <v>7217</v>
      </c>
      <c r="C19" s="1944">
        <v>500</v>
      </c>
      <c r="D19" s="1945">
        <v>350</v>
      </c>
      <c r="E19" s="1955">
        <v>37866</v>
      </c>
      <c r="F19" s="1960" t="s">
        <v>7218</v>
      </c>
      <c r="G19" s="1944"/>
      <c r="H19" s="1945">
        <v>97</v>
      </c>
      <c r="I19" s="1955">
        <v>38234</v>
      </c>
      <c r="J19" s="1960" t="s">
        <v>772</v>
      </c>
      <c r="K19" s="1944">
        <v>98</v>
      </c>
      <c r="L19" s="1957"/>
      <c r="M19" s="1955">
        <v>38601</v>
      </c>
      <c r="N19" s="1960" t="s">
        <v>7219</v>
      </c>
      <c r="O19" s="1966">
        <v>42</v>
      </c>
      <c r="P19" s="1957">
        <v>36</v>
      </c>
      <c r="Q19" s="1955">
        <v>38975</v>
      </c>
      <c r="R19" s="1943" t="s">
        <v>7220</v>
      </c>
      <c r="S19" s="1968">
        <v>245</v>
      </c>
      <c r="T19" s="1945"/>
      <c r="U19" s="1955">
        <v>39333</v>
      </c>
      <c r="V19" s="1943" t="s">
        <v>7221</v>
      </c>
      <c r="W19" s="1967">
        <v>30</v>
      </c>
      <c r="X19" s="1945"/>
      <c r="Y19" s="1955">
        <v>39702</v>
      </c>
      <c r="Z19" s="1943" t="s">
        <v>7222</v>
      </c>
      <c r="AA19" s="1967">
        <v>36</v>
      </c>
      <c r="AB19" s="1945"/>
      <c r="AC19" s="1955">
        <v>40066</v>
      </c>
      <c r="AD19" s="1943" t="s">
        <v>797</v>
      </c>
      <c r="AE19" s="1967">
        <v>46</v>
      </c>
      <c r="AF19" s="1945"/>
      <c r="AG19" s="1955">
        <v>40428</v>
      </c>
      <c r="AH19" s="1943" t="s">
        <v>7223</v>
      </c>
      <c r="AI19" s="1967">
        <v>83</v>
      </c>
      <c r="AJ19" s="1945"/>
      <c r="AK19" s="1955">
        <v>40797</v>
      </c>
      <c r="AL19" s="1943" t="s">
        <v>7224</v>
      </c>
      <c r="AM19" s="1967"/>
      <c r="AN19" s="1945"/>
      <c r="AO19" s="1955">
        <v>41160</v>
      </c>
      <c r="AP19" s="1943" t="s">
        <v>7225</v>
      </c>
      <c r="AQ19" s="1967">
        <v>40</v>
      </c>
      <c r="AR19" s="1945"/>
      <c r="AS19" s="1955">
        <v>41524</v>
      </c>
      <c r="AT19" s="1943" t="s">
        <v>7226</v>
      </c>
      <c r="AU19" s="1967">
        <v>7</v>
      </c>
      <c r="AV19" s="1945"/>
      <c r="AW19" s="1955">
        <v>41889</v>
      </c>
      <c r="AX19" s="1943" t="s">
        <v>5132</v>
      </c>
      <c r="AY19" s="1967">
        <v>27</v>
      </c>
      <c r="AZ19" s="1945"/>
      <c r="BA19" s="1955">
        <v>42254</v>
      </c>
      <c r="BB19" s="1943" t="s">
        <v>6857</v>
      </c>
      <c r="BC19" s="1967">
        <v>145</v>
      </c>
      <c r="BD19" s="1945"/>
      <c r="BE19" s="1955">
        <v>42623</v>
      </c>
      <c r="BF19" s="1943" t="s">
        <v>823</v>
      </c>
      <c r="BG19" s="1967">
        <v>23</v>
      </c>
      <c r="BH19" s="1945"/>
      <c r="BI19" s="1955">
        <v>42979</v>
      </c>
      <c r="BJ19" s="1943" t="s">
        <v>1357</v>
      </c>
      <c r="BK19" s="1944">
        <v>6</v>
      </c>
      <c r="BL19" s="1945"/>
      <c r="BM19" s="1955">
        <v>43346</v>
      </c>
      <c r="BN19" s="1943" t="s">
        <v>7227</v>
      </c>
      <c r="BO19" s="1967">
        <v>38</v>
      </c>
      <c r="BP19" s="1945"/>
      <c r="BQ19" s="1955">
        <v>43714</v>
      </c>
      <c r="BR19" s="1943" t="s">
        <v>797</v>
      </c>
      <c r="BS19" s="1967">
        <v>44</v>
      </c>
      <c r="BT19" s="1956" t="s">
        <v>410</v>
      </c>
      <c r="BU19" s="1955">
        <v>44079</v>
      </c>
      <c r="BV19" s="1943" t="s">
        <v>7228</v>
      </c>
      <c r="BW19" s="1967">
        <v>34</v>
      </c>
      <c r="BX19" s="1956" t="s">
        <v>689</v>
      </c>
      <c r="BY19" s="1955">
        <v>44441</v>
      </c>
      <c r="BZ19" s="1943" t="s">
        <v>1180</v>
      </c>
      <c r="CA19" s="1953">
        <v>107</v>
      </c>
      <c r="CB19" s="1956" t="s">
        <v>410</v>
      </c>
      <c r="CC19" s="1955">
        <v>44808</v>
      </c>
      <c r="CD19" s="1943" t="s">
        <v>843</v>
      </c>
      <c r="CE19" s="1953">
        <v>47</v>
      </c>
      <c r="CF19" s="1956" t="s">
        <v>414</v>
      </c>
      <c r="CG19" s="1955">
        <v>45172</v>
      </c>
      <c r="CH19" s="1943" t="s">
        <v>998</v>
      </c>
      <c r="CI19" s="1953">
        <v>17</v>
      </c>
      <c r="CJ19" s="1956" t="s">
        <v>414</v>
      </c>
      <c r="CK19" s="1955">
        <v>45541</v>
      </c>
      <c r="CL19" s="1943" t="s">
        <v>772</v>
      </c>
      <c r="CM19" s="1953">
        <v>37</v>
      </c>
      <c r="CN19" s="1956" t="s">
        <v>414</v>
      </c>
    </row>
    <row r="20" spans="1:92" ht="12.75">
      <c r="A20" s="982">
        <v>37504</v>
      </c>
      <c r="B20" s="1943" t="s">
        <v>7229</v>
      </c>
      <c r="C20" s="1944">
        <v>63</v>
      </c>
      <c r="D20" s="1945"/>
      <c r="E20" s="1955">
        <v>37866</v>
      </c>
      <c r="F20" s="1960" t="s">
        <v>772</v>
      </c>
      <c r="G20" s="1944">
        <v>13</v>
      </c>
      <c r="H20" s="1945"/>
      <c r="I20" s="1955">
        <v>38234</v>
      </c>
      <c r="J20" s="1960" t="s">
        <v>7230</v>
      </c>
      <c r="K20" s="1944">
        <v>2</v>
      </c>
      <c r="L20" s="1957"/>
      <c r="M20" s="1955">
        <v>38602</v>
      </c>
      <c r="N20" s="1960" t="s">
        <v>7231</v>
      </c>
      <c r="O20" s="1966">
        <v>12</v>
      </c>
      <c r="P20" s="1957">
        <v>10</v>
      </c>
      <c r="Q20" s="1955">
        <v>38976</v>
      </c>
      <c r="R20" s="1943" t="s">
        <v>7232</v>
      </c>
      <c r="S20" s="1968">
        <v>8</v>
      </c>
      <c r="T20" s="1945"/>
      <c r="U20" s="1955">
        <v>39333</v>
      </c>
      <c r="V20" s="1943" t="s">
        <v>781</v>
      </c>
      <c r="W20" s="1967">
        <v>30</v>
      </c>
      <c r="X20" s="1945"/>
      <c r="Y20" s="1955">
        <v>39702</v>
      </c>
      <c r="Z20" s="1943" t="s">
        <v>7233</v>
      </c>
      <c r="AA20" s="1967">
        <v>0</v>
      </c>
      <c r="AB20" s="1945"/>
      <c r="AC20" s="1955">
        <v>40067</v>
      </c>
      <c r="AD20" s="1943" t="s">
        <v>7177</v>
      </c>
      <c r="AE20" s="1967">
        <v>2</v>
      </c>
      <c r="AF20" s="1945"/>
      <c r="AG20" s="1955">
        <v>40428</v>
      </c>
      <c r="AH20" s="1943" t="s">
        <v>7234</v>
      </c>
      <c r="AI20" s="1967">
        <v>20</v>
      </c>
      <c r="AJ20" s="1945"/>
      <c r="AK20" s="1955">
        <v>40797</v>
      </c>
      <c r="AL20" s="1943" t="s">
        <v>7235</v>
      </c>
      <c r="AM20" s="1967"/>
      <c r="AN20" s="1945"/>
      <c r="AO20" s="1955">
        <v>41161</v>
      </c>
      <c r="AP20" s="1943" t="s">
        <v>7236</v>
      </c>
      <c r="AQ20" s="1967">
        <v>15</v>
      </c>
      <c r="AR20" s="1945"/>
      <c r="AS20" s="1955">
        <v>41524</v>
      </c>
      <c r="AT20" s="1943" t="s">
        <v>4111</v>
      </c>
      <c r="AU20" s="1967">
        <v>2</v>
      </c>
      <c r="AV20" s="1945"/>
      <c r="AW20" s="1955">
        <v>41889</v>
      </c>
      <c r="AX20" s="1943" t="s">
        <v>998</v>
      </c>
      <c r="AY20" s="1967">
        <v>62</v>
      </c>
      <c r="AZ20" s="1945"/>
      <c r="BA20" s="1955">
        <v>42254</v>
      </c>
      <c r="BB20" s="1943" t="s">
        <v>7237</v>
      </c>
      <c r="BC20" s="1967">
        <v>106</v>
      </c>
      <c r="BD20" s="1945"/>
      <c r="BE20" s="1955">
        <v>42623</v>
      </c>
      <c r="BF20" s="1943" t="s">
        <v>7103</v>
      </c>
      <c r="BG20" s="1967">
        <v>20</v>
      </c>
      <c r="BH20" s="1945"/>
      <c r="BI20" s="1955">
        <v>42979</v>
      </c>
      <c r="BJ20" s="1943" t="s">
        <v>7238</v>
      </c>
      <c r="BK20" s="1944">
        <v>7</v>
      </c>
      <c r="BL20" s="1945"/>
      <c r="BM20" s="1955">
        <v>43346</v>
      </c>
      <c r="BN20" s="1943" t="s">
        <v>7239</v>
      </c>
      <c r="BO20" s="1967">
        <v>20</v>
      </c>
      <c r="BP20" s="1945"/>
      <c r="BQ20" s="1955">
        <v>43714</v>
      </c>
      <c r="BR20" s="1943" t="s">
        <v>7240</v>
      </c>
      <c r="BS20" s="1967">
        <v>125</v>
      </c>
      <c r="BT20" s="1956" t="s">
        <v>436</v>
      </c>
      <c r="BU20" s="1955">
        <v>44079</v>
      </c>
      <c r="BV20" s="1943" t="s">
        <v>7241</v>
      </c>
      <c r="BW20" s="1967">
        <v>30</v>
      </c>
      <c r="BX20" s="1956" t="s">
        <v>414</v>
      </c>
      <c r="BY20" s="1955">
        <v>44442</v>
      </c>
      <c r="BZ20" s="1943" t="s">
        <v>1429</v>
      </c>
      <c r="CA20" s="1953">
        <v>20</v>
      </c>
      <c r="CB20" s="1956" t="s">
        <v>414</v>
      </c>
      <c r="CC20" s="1955">
        <v>44808</v>
      </c>
      <c r="CD20" s="1943" t="s">
        <v>772</v>
      </c>
      <c r="CE20" s="1953">
        <v>55</v>
      </c>
      <c r="CF20" s="1956" t="s">
        <v>414</v>
      </c>
      <c r="CG20" s="1955">
        <v>45172</v>
      </c>
      <c r="CH20" s="1943" t="s">
        <v>7242</v>
      </c>
      <c r="CI20" s="1953">
        <v>400</v>
      </c>
      <c r="CJ20" s="1956" t="s">
        <v>674</v>
      </c>
      <c r="CK20" s="1955">
        <v>45541</v>
      </c>
      <c r="CL20" s="1943" t="s">
        <v>6433</v>
      </c>
      <c r="CM20" s="1953">
        <v>40</v>
      </c>
      <c r="CN20" s="1956" t="s">
        <v>278</v>
      </c>
    </row>
    <row r="21" spans="1:92" ht="12.75">
      <c r="A21" s="982">
        <v>37504</v>
      </c>
      <c r="B21" s="1943" t="s">
        <v>7243</v>
      </c>
      <c r="C21" s="1944"/>
      <c r="D21" s="1945"/>
      <c r="E21" s="1955">
        <v>37867</v>
      </c>
      <c r="F21" s="1960" t="s">
        <v>772</v>
      </c>
      <c r="G21" s="1944">
        <v>18</v>
      </c>
      <c r="H21" s="1945"/>
      <c r="I21" s="1955">
        <v>38235</v>
      </c>
      <c r="J21" s="1960" t="s">
        <v>3984</v>
      </c>
      <c r="K21" s="1944">
        <v>18</v>
      </c>
      <c r="L21" s="1957"/>
      <c r="M21" s="1955">
        <v>38602</v>
      </c>
      <c r="N21" s="1960" t="s">
        <v>7244</v>
      </c>
      <c r="O21" s="1966">
        <v>28</v>
      </c>
      <c r="P21" s="1957">
        <v>24</v>
      </c>
      <c r="Q21" s="1955">
        <v>38976</v>
      </c>
      <c r="R21" s="1943" t="s">
        <v>7245</v>
      </c>
      <c r="S21" s="1968">
        <v>32</v>
      </c>
      <c r="T21" s="1945"/>
      <c r="U21" s="1955">
        <v>39333</v>
      </c>
      <c r="V21" s="1943" t="s">
        <v>937</v>
      </c>
      <c r="W21" s="1967">
        <v>37</v>
      </c>
      <c r="X21" s="1945"/>
      <c r="Y21" s="1955">
        <v>39702</v>
      </c>
      <c r="Z21" s="1943" t="s">
        <v>7246</v>
      </c>
      <c r="AA21" s="1967">
        <v>10</v>
      </c>
      <c r="AB21" s="1945"/>
      <c r="AC21" s="1955">
        <v>40067</v>
      </c>
      <c r="AD21" s="1943" t="s">
        <v>7247</v>
      </c>
      <c r="AE21" s="1967">
        <v>36</v>
      </c>
      <c r="AF21" s="1945"/>
      <c r="AG21" s="1955">
        <v>40430</v>
      </c>
      <c r="AH21" s="1943" t="s">
        <v>7248</v>
      </c>
      <c r="AI21" s="1967">
        <v>25</v>
      </c>
      <c r="AJ21" s="1945"/>
      <c r="AK21" s="1955">
        <v>40797</v>
      </c>
      <c r="AL21" s="1943" t="s">
        <v>7249</v>
      </c>
      <c r="AM21" s="1967">
        <v>36</v>
      </c>
      <c r="AN21" s="1945"/>
      <c r="AO21" s="1955">
        <v>41161</v>
      </c>
      <c r="AP21" s="1943" t="s">
        <v>772</v>
      </c>
      <c r="AQ21" s="1967">
        <v>52</v>
      </c>
      <c r="AR21" s="1945"/>
      <c r="AS21" s="1955">
        <v>41524</v>
      </c>
      <c r="AT21" s="1943" t="s">
        <v>7250</v>
      </c>
      <c r="AU21" s="1967">
        <v>6</v>
      </c>
      <c r="AV21" s="1945"/>
      <c r="AW21" s="1955">
        <v>41889</v>
      </c>
      <c r="AX21" s="1943" t="s">
        <v>1903</v>
      </c>
      <c r="AY21" s="1967">
        <v>128</v>
      </c>
      <c r="AZ21" s="1945"/>
      <c r="BA21" s="1955">
        <v>42254</v>
      </c>
      <c r="BB21" s="1943" t="s">
        <v>7251</v>
      </c>
      <c r="BC21" s="1967">
        <v>12</v>
      </c>
      <c r="BD21" s="1945"/>
      <c r="BE21" s="1955">
        <v>42623</v>
      </c>
      <c r="BF21" s="1943" t="s">
        <v>859</v>
      </c>
      <c r="BG21" s="1967">
        <v>33</v>
      </c>
      <c r="BH21" s="1945"/>
      <c r="BI21" s="1955">
        <v>42979</v>
      </c>
      <c r="BJ21" s="1943" t="s">
        <v>7252</v>
      </c>
      <c r="BK21" s="1967">
        <v>10</v>
      </c>
      <c r="BL21" s="1945"/>
      <c r="BM21" s="1955">
        <v>43346</v>
      </c>
      <c r="BN21" s="1943" t="s">
        <v>7253</v>
      </c>
      <c r="BO21" s="1967">
        <v>20</v>
      </c>
      <c r="BP21" s="1945"/>
      <c r="BQ21" s="1955">
        <v>43715</v>
      </c>
      <c r="BR21" s="1943" t="s">
        <v>873</v>
      </c>
      <c r="BS21" s="1967">
        <v>27</v>
      </c>
      <c r="BT21" s="1956" t="s">
        <v>414</v>
      </c>
      <c r="BU21" s="1955">
        <v>44079</v>
      </c>
      <c r="BV21" s="1943" t="s">
        <v>7254</v>
      </c>
      <c r="BW21" s="1967">
        <v>11</v>
      </c>
      <c r="BX21" s="1956" t="s">
        <v>414</v>
      </c>
      <c r="BY21" s="1955">
        <v>44443</v>
      </c>
      <c r="BZ21" s="1943" t="s">
        <v>772</v>
      </c>
      <c r="CA21" s="1953">
        <v>56</v>
      </c>
      <c r="CB21" s="1956" t="s">
        <v>414</v>
      </c>
      <c r="CC21" s="1955">
        <v>44808</v>
      </c>
      <c r="CD21" s="1943" t="s">
        <v>2079</v>
      </c>
      <c r="CE21" s="1953">
        <v>33</v>
      </c>
      <c r="CF21" s="1956" t="s">
        <v>414</v>
      </c>
      <c r="CG21" s="1955">
        <v>45174</v>
      </c>
      <c r="CH21" s="1943" t="s">
        <v>772</v>
      </c>
      <c r="CI21" s="1953">
        <v>6</v>
      </c>
      <c r="CJ21" s="1956" t="s">
        <v>414</v>
      </c>
      <c r="CK21" s="1955">
        <v>45541</v>
      </c>
      <c r="CL21" s="1943" t="s">
        <v>845</v>
      </c>
      <c r="CM21" s="1953">
        <v>35</v>
      </c>
      <c r="CN21" s="1956" t="s">
        <v>414</v>
      </c>
    </row>
    <row r="22" spans="1:92" ht="12.75">
      <c r="A22" s="982">
        <v>37505</v>
      </c>
      <c r="B22" s="1943" t="s">
        <v>1616</v>
      </c>
      <c r="C22" s="1944"/>
      <c r="D22" s="1945">
        <v>8</v>
      </c>
      <c r="E22" s="1955">
        <v>37868</v>
      </c>
      <c r="F22" s="1960" t="s">
        <v>937</v>
      </c>
      <c r="G22" s="1944">
        <v>3</v>
      </c>
      <c r="H22" s="1945"/>
      <c r="I22" s="1955">
        <v>38236</v>
      </c>
      <c r="J22" s="1960" t="s">
        <v>1157</v>
      </c>
      <c r="K22" s="1944">
        <v>35</v>
      </c>
      <c r="L22" s="1957"/>
      <c r="M22" s="1955">
        <v>38602</v>
      </c>
      <c r="N22" s="1960" t="s">
        <v>7255</v>
      </c>
      <c r="O22" s="1966">
        <v>19</v>
      </c>
      <c r="P22" s="1957">
        <v>14</v>
      </c>
      <c r="Q22" s="1955">
        <v>38976</v>
      </c>
      <c r="R22" s="1943" t="s">
        <v>797</v>
      </c>
      <c r="S22" s="1968">
        <v>42</v>
      </c>
      <c r="T22" s="1945"/>
      <c r="U22" s="1955">
        <v>39334</v>
      </c>
      <c r="V22" s="1943" t="s">
        <v>7256</v>
      </c>
      <c r="W22" s="1967">
        <v>10</v>
      </c>
      <c r="X22" s="1945"/>
      <c r="Y22" s="1955">
        <v>39702</v>
      </c>
      <c r="Z22" s="1943" t="s">
        <v>7257</v>
      </c>
      <c r="AA22" s="1967">
        <v>0</v>
      </c>
      <c r="AB22" s="1945"/>
      <c r="AC22" s="1955">
        <v>40067</v>
      </c>
      <c r="AD22" s="1943" t="s">
        <v>7177</v>
      </c>
      <c r="AE22" s="1967">
        <v>2</v>
      </c>
      <c r="AF22" s="1945"/>
      <c r="AG22" s="1955">
        <v>40431</v>
      </c>
      <c r="AH22" s="1943" t="s">
        <v>937</v>
      </c>
      <c r="AI22" s="1967">
        <v>7</v>
      </c>
      <c r="AJ22" s="1945"/>
      <c r="AK22" s="1955">
        <v>40798</v>
      </c>
      <c r="AL22" s="1943" t="s">
        <v>7258</v>
      </c>
      <c r="AM22" s="1967">
        <v>12</v>
      </c>
      <c r="AN22" s="1945"/>
      <c r="AO22" s="1955">
        <v>41161</v>
      </c>
      <c r="AP22" s="1943" t="s">
        <v>754</v>
      </c>
      <c r="AQ22" s="1967">
        <v>73</v>
      </c>
      <c r="AR22" s="1945"/>
      <c r="AS22" s="1955">
        <v>41524</v>
      </c>
      <c r="AT22" s="1943" t="s">
        <v>797</v>
      </c>
      <c r="AU22" s="1967">
        <v>10</v>
      </c>
      <c r="AV22" s="1945"/>
      <c r="AW22" s="1955">
        <v>41892</v>
      </c>
      <c r="AX22" s="1943" t="s">
        <v>7259</v>
      </c>
      <c r="AY22" s="1967">
        <v>16</v>
      </c>
      <c r="AZ22" s="1945"/>
      <c r="BA22" s="1955">
        <v>42254</v>
      </c>
      <c r="BB22" s="1943" t="s">
        <v>7260</v>
      </c>
      <c r="BC22" s="1967">
        <v>61</v>
      </c>
      <c r="BD22" s="1945"/>
      <c r="BE22" s="1955">
        <v>42623</v>
      </c>
      <c r="BF22" s="1943" t="s">
        <v>7261</v>
      </c>
      <c r="BG22" s="1967">
        <v>50</v>
      </c>
      <c r="BH22" s="1945"/>
      <c r="BI22" s="1955">
        <v>42979</v>
      </c>
      <c r="BJ22" s="1943" t="s">
        <v>2096</v>
      </c>
      <c r="BK22" s="1967">
        <v>17</v>
      </c>
      <c r="BL22" s="1945"/>
      <c r="BM22" s="1955">
        <v>43349</v>
      </c>
      <c r="BN22" s="1943" t="s">
        <v>890</v>
      </c>
      <c r="BO22" s="1967">
        <v>9</v>
      </c>
      <c r="BP22" s="1945"/>
      <c r="BQ22" s="1955">
        <v>43715</v>
      </c>
      <c r="BR22" s="1943" t="s">
        <v>7262</v>
      </c>
      <c r="BS22" s="1967">
        <v>22</v>
      </c>
      <c r="BT22" s="1956" t="s">
        <v>426</v>
      </c>
      <c r="BU22" s="1955">
        <v>44079</v>
      </c>
      <c r="BV22" s="1943" t="s">
        <v>3127</v>
      </c>
      <c r="BW22" s="1967">
        <v>4</v>
      </c>
      <c r="BX22" s="1956" t="s">
        <v>414</v>
      </c>
      <c r="BY22" s="1955">
        <v>44443</v>
      </c>
      <c r="BZ22" s="1943" t="s">
        <v>845</v>
      </c>
      <c r="CA22" s="1953">
        <v>76</v>
      </c>
      <c r="CB22" s="1956" t="s">
        <v>414</v>
      </c>
      <c r="CC22" s="1955">
        <v>44808</v>
      </c>
      <c r="CD22" s="1943" t="s">
        <v>4490</v>
      </c>
      <c r="CE22" s="1953">
        <v>91</v>
      </c>
      <c r="CF22" s="1956" t="s">
        <v>410</v>
      </c>
      <c r="CG22" s="1955">
        <v>45178</v>
      </c>
      <c r="CH22" s="1943" t="s">
        <v>2253</v>
      </c>
      <c r="CI22" s="1953">
        <v>57</v>
      </c>
      <c r="CJ22" s="1956" t="s">
        <v>414</v>
      </c>
      <c r="CK22" s="1955">
        <v>45542</v>
      </c>
      <c r="CL22" s="1943" t="s">
        <v>7263</v>
      </c>
      <c r="CM22" s="1953">
        <v>30</v>
      </c>
      <c r="CN22" s="1956" t="s">
        <v>280</v>
      </c>
    </row>
    <row r="23" spans="1:92" ht="12.75">
      <c r="A23" s="982">
        <v>37505</v>
      </c>
      <c r="B23" s="1943" t="s">
        <v>7264</v>
      </c>
      <c r="C23" s="1944"/>
      <c r="D23" s="1945">
        <v>20</v>
      </c>
      <c r="E23" s="1955">
        <v>37868</v>
      </c>
      <c r="F23" s="1960" t="s">
        <v>7265</v>
      </c>
      <c r="G23" s="1944">
        <v>18</v>
      </c>
      <c r="H23" s="1945"/>
      <c r="I23" s="1955">
        <v>38236</v>
      </c>
      <c r="J23" s="1960" t="s">
        <v>7266</v>
      </c>
      <c r="K23" s="1944">
        <v>8</v>
      </c>
      <c r="L23" s="1957"/>
      <c r="M23" s="1955">
        <v>38602</v>
      </c>
      <c r="N23" s="1960" t="s">
        <v>7267</v>
      </c>
      <c r="O23" s="1966">
        <v>18</v>
      </c>
      <c r="P23" s="1957">
        <v>15</v>
      </c>
      <c r="Q23" s="1955">
        <v>38978</v>
      </c>
      <c r="R23" s="1943" t="s">
        <v>767</v>
      </c>
      <c r="S23" s="1968">
        <v>12</v>
      </c>
      <c r="T23" s="1945"/>
      <c r="U23" s="1955">
        <v>39335</v>
      </c>
      <c r="V23" s="1943" t="s">
        <v>797</v>
      </c>
      <c r="W23" s="1967">
        <v>10</v>
      </c>
      <c r="X23" s="1945"/>
      <c r="Y23" s="1955">
        <v>39702</v>
      </c>
      <c r="Z23" s="1943" t="s">
        <v>802</v>
      </c>
      <c r="AA23" s="1967">
        <v>60</v>
      </c>
      <c r="AB23" s="1945"/>
      <c r="AC23" s="1955">
        <v>40067</v>
      </c>
      <c r="AD23" s="1943" t="s">
        <v>7268</v>
      </c>
      <c r="AE23" s="1967">
        <v>4</v>
      </c>
      <c r="AF23" s="1945"/>
      <c r="AG23" s="1955">
        <v>40431</v>
      </c>
      <c r="AH23" s="1943" t="s">
        <v>7269</v>
      </c>
      <c r="AI23" s="1967">
        <v>5</v>
      </c>
      <c r="AJ23" s="1945"/>
      <c r="AK23" s="1955">
        <v>40798</v>
      </c>
      <c r="AL23" s="1943" t="s">
        <v>7270</v>
      </c>
      <c r="AM23" s="1967">
        <v>18</v>
      </c>
      <c r="AN23" s="1945"/>
      <c r="AO23" s="1955">
        <v>41161</v>
      </c>
      <c r="AP23" s="1943" t="s">
        <v>781</v>
      </c>
      <c r="AQ23" s="1967">
        <v>73</v>
      </c>
      <c r="AR23" s="1945"/>
      <c r="AS23" s="1955">
        <v>41524</v>
      </c>
      <c r="AT23" s="1943" t="s">
        <v>772</v>
      </c>
      <c r="AU23" s="1967">
        <v>30</v>
      </c>
      <c r="AV23" s="1945"/>
      <c r="AW23" s="1955">
        <v>41893</v>
      </c>
      <c r="AX23" s="1943" t="s">
        <v>7271</v>
      </c>
      <c r="AY23" s="1967">
        <v>24</v>
      </c>
      <c r="AZ23" s="1945"/>
      <c r="BA23" s="1955">
        <v>42254</v>
      </c>
      <c r="BB23" s="1943" t="s">
        <v>802</v>
      </c>
      <c r="BC23" s="1967">
        <v>28</v>
      </c>
      <c r="BD23" s="1945"/>
      <c r="BE23" s="1955">
        <v>42623</v>
      </c>
      <c r="BF23" s="1943" t="s">
        <v>7272</v>
      </c>
      <c r="BG23" s="1967">
        <v>7</v>
      </c>
      <c r="BH23" s="1945"/>
      <c r="BI23" s="1955">
        <v>42979</v>
      </c>
      <c r="BJ23" s="1943" t="s">
        <v>1085</v>
      </c>
      <c r="BK23" s="1967">
        <v>17</v>
      </c>
      <c r="BL23" s="1945"/>
      <c r="BM23" s="1955">
        <v>43350</v>
      </c>
      <c r="BN23" s="1943" t="s">
        <v>7273</v>
      </c>
      <c r="BO23" s="1967">
        <v>15</v>
      </c>
      <c r="BP23" s="1945"/>
      <c r="BQ23" s="1955">
        <v>43715</v>
      </c>
      <c r="BR23" s="1943" t="s">
        <v>7274</v>
      </c>
      <c r="BS23" s="1967">
        <v>16</v>
      </c>
      <c r="BT23" s="1956" t="s">
        <v>426</v>
      </c>
      <c r="BU23" s="1955">
        <v>44079</v>
      </c>
      <c r="BV23" s="1943" t="s">
        <v>4115</v>
      </c>
      <c r="BW23" s="1967">
        <v>4</v>
      </c>
      <c r="BX23" s="1956" t="s">
        <v>414</v>
      </c>
      <c r="BY23" s="1955">
        <v>44443</v>
      </c>
      <c r="BZ23" s="1943" t="s">
        <v>843</v>
      </c>
      <c r="CA23" s="1953">
        <v>37</v>
      </c>
      <c r="CB23" s="1956" t="s">
        <v>414</v>
      </c>
      <c r="CC23" s="1955">
        <v>44808</v>
      </c>
      <c r="CD23" s="1943" t="s">
        <v>7275</v>
      </c>
      <c r="CE23" s="1953">
        <v>270</v>
      </c>
      <c r="CF23" s="1956" t="s">
        <v>674</v>
      </c>
      <c r="CG23" s="1955">
        <v>45178</v>
      </c>
      <c r="CH23" s="1943" t="s">
        <v>3368</v>
      </c>
      <c r="CI23" s="1953">
        <v>49</v>
      </c>
      <c r="CJ23" s="1956" t="s">
        <v>414</v>
      </c>
      <c r="CK23" s="1955">
        <v>45542</v>
      </c>
      <c r="CL23" s="1943" t="s">
        <v>7276</v>
      </c>
      <c r="CM23" s="1953">
        <v>20</v>
      </c>
      <c r="CN23" s="1956" t="s">
        <v>278</v>
      </c>
    </row>
    <row r="24" spans="1:92" ht="12.75">
      <c r="A24" s="982">
        <v>37506</v>
      </c>
      <c r="B24" s="1943" t="s">
        <v>915</v>
      </c>
      <c r="C24" s="1944"/>
      <c r="D24" s="1945">
        <v>19</v>
      </c>
      <c r="E24" s="1955">
        <v>37868</v>
      </c>
      <c r="F24" s="1960" t="s">
        <v>7277</v>
      </c>
      <c r="G24" s="1944">
        <v>2</v>
      </c>
      <c r="H24" s="1945"/>
      <c r="I24" s="1955">
        <v>38239</v>
      </c>
      <c r="J24" s="1960" t="s">
        <v>802</v>
      </c>
      <c r="K24" s="1944">
        <v>24</v>
      </c>
      <c r="L24" s="1957"/>
      <c r="M24" s="1955">
        <v>38602</v>
      </c>
      <c r="N24" s="1960" t="s">
        <v>7278</v>
      </c>
      <c r="O24" s="1966">
        <v>300</v>
      </c>
      <c r="P24" s="1957">
        <v>300</v>
      </c>
      <c r="Q24" s="1955">
        <v>38979</v>
      </c>
      <c r="R24" s="1943" t="s">
        <v>802</v>
      </c>
      <c r="S24" s="1968">
        <v>37</v>
      </c>
      <c r="T24" s="1945"/>
      <c r="U24" s="1955">
        <v>39335</v>
      </c>
      <c r="V24" s="1943" t="s">
        <v>880</v>
      </c>
      <c r="W24" s="1967">
        <v>10</v>
      </c>
      <c r="X24" s="1945"/>
      <c r="Y24" s="1955">
        <v>39702</v>
      </c>
      <c r="Z24" s="1943" t="s">
        <v>797</v>
      </c>
      <c r="AA24" s="1967">
        <v>61</v>
      </c>
      <c r="AB24" s="1945"/>
      <c r="AC24" s="1955">
        <v>40068</v>
      </c>
      <c r="AD24" s="1943" t="s">
        <v>772</v>
      </c>
      <c r="AE24" s="1967">
        <v>81</v>
      </c>
      <c r="AF24" s="1945"/>
      <c r="AG24" s="1955">
        <v>40432</v>
      </c>
      <c r="AH24" s="1943" t="s">
        <v>7279</v>
      </c>
      <c r="AI24" s="1967">
        <v>11</v>
      </c>
      <c r="AJ24" s="1945"/>
      <c r="AK24" s="1955">
        <v>40798</v>
      </c>
      <c r="AL24" s="1943" t="s">
        <v>7280</v>
      </c>
      <c r="AM24" s="1967">
        <v>8</v>
      </c>
      <c r="AN24" s="1945"/>
      <c r="AO24" s="1955">
        <v>41161</v>
      </c>
      <c r="AP24" s="1943" t="s">
        <v>7281</v>
      </c>
      <c r="AQ24" s="1967">
        <v>27</v>
      </c>
      <c r="AR24" s="1945"/>
      <c r="AS24" s="1955">
        <v>41524</v>
      </c>
      <c r="AT24" s="1943" t="s">
        <v>754</v>
      </c>
      <c r="AU24" s="1967">
        <v>56</v>
      </c>
      <c r="AV24" s="1945"/>
      <c r="AW24" s="1955">
        <v>41893</v>
      </c>
      <c r="AX24" s="1943" t="s">
        <v>7282</v>
      </c>
      <c r="AY24" s="1967">
        <v>9</v>
      </c>
      <c r="AZ24" s="1945"/>
      <c r="BA24" s="1955">
        <v>42254</v>
      </c>
      <c r="BB24" s="1943" t="s">
        <v>754</v>
      </c>
      <c r="BC24" s="1967">
        <v>42</v>
      </c>
      <c r="BD24" s="1945"/>
      <c r="BE24" s="1955">
        <v>42623</v>
      </c>
      <c r="BF24" s="1943" t="s">
        <v>7283</v>
      </c>
      <c r="BG24" s="1967">
        <v>40</v>
      </c>
      <c r="BH24" s="1945"/>
      <c r="BI24" s="1955">
        <v>42979</v>
      </c>
      <c r="BJ24" s="1943" t="s">
        <v>7284</v>
      </c>
      <c r="BK24" s="1967">
        <v>4</v>
      </c>
      <c r="BL24" s="1945"/>
      <c r="BM24" s="1955">
        <v>43350</v>
      </c>
      <c r="BN24" s="1943" t="s">
        <v>859</v>
      </c>
      <c r="BO24" s="1967">
        <v>8</v>
      </c>
      <c r="BP24" s="1945"/>
      <c r="BQ24" s="1955">
        <v>43715</v>
      </c>
      <c r="BR24" s="1943" t="s">
        <v>845</v>
      </c>
      <c r="BS24" s="1967">
        <v>37</v>
      </c>
      <c r="BT24" s="1956" t="s">
        <v>414</v>
      </c>
      <c r="BU24" s="1955">
        <v>44079</v>
      </c>
      <c r="BV24" s="1943" t="s">
        <v>7285</v>
      </c>
      <c r="BW24" s="1967">
        <v>3</v>
      </c>
      <c r="BX24" s="1956" t="s">
        <v>414</v>
      </c>
      <c r="BY24" s="1955">
        <v>44443</v>
      </c>
      <c r="BZ24" s="1943" t="s">
        <v>797</v>
      </c>
      <c r="CA24" s="1953">
        <v>87</v>
      </c>
      <c r="CB24" s="1956" t="s">
        <v>414</v>
      </c>
      <c r="CC24" s="1955">
        <v>44814</v>
      </c>
      <c r="CD24" s="1943" t="s">
        <v>890</v>
      </c>
      <c r="CE24" s="1953">
        <v>20</v>
      </c>
      <c r="CF24" s="1956" t="s">
        <v>414</v>
      </c>
      <c r="CG24" s="1955">
        <v>45178</v>
      </c>
      <c r="CH24" s="1943" t="s">
        <v>7286</v>
      </c>
      <c r="CI24" s="1953">
        <v>16</v>
      </c>
      <c r="CJ24" s="1956" t="s">
        <v>414</v>
      </c>
      <c r="CK24" s="1955">
        <v>45542</v>
      </c>
      <c r="CL24" s="1943" t="s">
        <v>7287</v>
      </c>
      <c r="CM24" s="1953">
        <v>15</v>
      </c>
      <c r="CN24" s="1956" t="s">
        <v>278</v>
      </c>
    </row>
    <row r="25" spans="1:92" ht="12.75">
      <c r="A25" s="982">
        <v>37506</v>
      </c>
      <c r="B25" s="1943" t="s">
        <v>7288</v>
      </c>
      <c r="C25" s="1944">
        <v>50</v>
      </c>
      <c r="D25" s="1945"/>
      <c r="E25" s="1955">
        <v>37869</v>
      </c>
      <c r="F25" s="1960" t="s">
        <v>803</v>
      </c>
      <c r="G25" s="1944">
        <v>10</v>
      </c>
      <c r="H25" s="1945"/>
      <c r="I25" s="1955">
        <v>38239</v>
      </c>
      <c r="J25" s="1960" t="s">
        <v>7289</v>
      </c>
      <c r="K25" s="1944">
        <v>37</v>
      </c>
      <c r="L25" s="1957"/>
      <c r="M25" s="1955">
        <v>38602</v>
      </c>
      <c r="N25" s="1960" t="s">
        <v>1143</v>
      </c>
      <c r="O25" s="1966">
        <v>44</v>
      </c>
      <c r="P25" s="1957">
        <v>37</v>
      </c>
      <c r="Q25" s="1955">
        <v>38981</v>
      </c>
      <c r="R25" s="1943" t="s">
        <v>7290</v>
      </c>
      <c r="S25" s="1968">
        <v>232</v>
      </c>
      <c r="T25" s="1945"/>
      <c r="U25" s="1955">
        <v>39336</v>
      </c>
      <c r="V25" s="1943" t="s">
        <v>7291</v>
      </c>
      <c r="W25" s="1967">
        <v>16</v>
      </c>
      <c r="X25" s="1945"/>
      <c r="Y25" s="1955">
        <v>39703</v>
      </c>
      <c r="Z25" s="1943" t="s">
        <v>7292</v>
      </c>
      <c r="AA25" s="1967">
        <v>338</v>
      </c>
      <c r="AB25" s="1945"/>
      <c r="AC25" s="1955">
        <v>40068</v>
      </c>
      <c r="AD25" s="1943" t="s">
        <v>7293</v>
      </c>
      <c r="AE25" s="1967">
        <v>30</v>
      </c>
      <c r="AF25" s="1945"/>
      <c r="AG25" s="1955">
        <v>40432</v>
      </c>
      <c r="AH25" s="1943" t="s">
        <v>7294</v>
      </c>
      <c r="AI25" s="1967">
        <v>2</v>
      </c>
      <c r="AJ25" s="1945"/>
      <c r="AK25" s="1955">
        <v>40798</v>
      </c>
      <c r="AL25" s="1943" t="s">
        <v>937</v>
      </c>
      <c r="AM25" s="1967">
        <v>10</v>
      </c>
      <c r="AN25" s="1945"/>
      <c r="AO25" s="1955">
        <v>41162</v>
      </c>
      <c r="AP25" s="1943" t="s">
        <v>7295</v>
      </c>
      <c r="AQ25" s="1967">
        <v>50</v>
      </c>
      <c r="AR25" s="1945"/>
      <c r="AS25" s="1955">
        <v>41524</v>
      </c>
      <c r="AT25" s="1943" t="s">
        <v>797</v>
      </c>
      <c r="AU25" s="1967">
        <v>50</v>
      </c>
      <c r="AV25" s="1945"/>
      <c r="AW25" s="1955">
        <v>41893</v>
      </c>
      <c r="AX25" s="1943" t="s">
        <v>802</v>
      </c>
      <c r="AY25" s="1967">
        <v>40</v>
      </c>
      <c r="AZ25" s="1945"/>
      <c r="BA25" s="1955">
        <v>42258</v>
      </c>
      <c r="BB25" s="1943" t="s">
        <v>7296</v>
      </c>
      <c r="BC25" s="1967">
        <v>20</v>
      </c>
      <c r="BD25" s="1945"/>
      <c r="BE25" s="1955">
        <v>42623</v>
      </c>
      <c r="BF25" s="1943" t="s">
        <v>7297</v>
      </c>
      <c r="BG25" s="1967">
        <v>7</v>
      </c>
      <c r="BH25" s="1945"/>
      <c r="BI25" s="1955">
        <v>42979</v>
      </c>
      <c r="BJ25" s="1943" t="s">
        <v>2172</v>
      </c>
      <c r="BK25" s="1967">
        <v>8</v>
      </c>
      <c r="BL25" s="1945"/>
      <c r="BM25" s="1955">
        <v>43350</v>
      </c>
      <c r="BN25" s="1943" t="s">
        <v>823</v>
      </c>
      <c r="BO25" s="1967">
        <v>18</v>
      </c>
      <c r="BP25" s="1945"/>
      <c r="BQ25" s="1955">
        <v>43715</v>
      </c>
      <c r="BR25" s="1943" t="s">
        <v>7298</v>
      </c>
      <c r="BS25" s="1967">
        <v>4</v>
      </c>
      <c r="BT25" s="1956" t="s">
        <v>278</v>
      </c>
      <c r="BU25" s="1955">
        <v>44079</v>
      </c>
      <c r="BV25" s="1943" t="s">
        <v>7299</v>
      </c>
      <c r="BW25" s="1967">
        <v>63</v>
      </c>
      <c r="BX25" s="1956" t="s">
        <v>414</v>
      </c>
      <c r="BY25" s="1955">
        <v>44443</v>
      </c>
      <c r="BZ25" s="1943" t="s">
        <v>828</v>
      </c>
      <c r="CA25" s="1953">
        <v>33</v>
      </c>
      <c r="CB25" s="1956" t="s">
        <v>414</v>
      </c>
      <c r="CC25" s="1955">
        <v>44814</v>
      </c>
      <c r="CD25" s="1943" t="s">
        <v>772</v>
      </c>
      <c r="CE25" s="1953">
        <v>59</v>
      </c>
      <c r="CF25" s="1956" t="s">
        <v>414</v>
      </c>
      <c r="CG25" s="1955">
        <v>45178</v>
      </c>
      <c r="CH25" s="1943" t="s">
        <v>1124</v>
      </c>
      <c r="CI25" s="1953">
        <v>27</v>
      </c>
      <c r="CJ25" s="1956" t="s">
        <v>414</v>
      </c>
      <c r="CK25" s="1955">
        <v>45542</v>
      </c>
      <c r="CL25" s="1943" t="s">
        <v>772</v>
      </c>
      <c r="CM25" s="1953">
        <v>11</v>
      </c>
      <c r="CN25" s="1956" t="s">
        <v>414</v>
      </c>
    </row>
    <row r="26" spans="1:92" ht="12.75">
      <c r="A26" s="982">
        <v>37506</v>
      </c>
      <c r="B26" s="1943" t="s">
        <v>410</v>
      </c>
      <c r="C26" s="1944">
        <v>23</v>
      </c>
      <c r="D26" s="1945"/>
      <c r="E26" s="1955">
        <v>37869</v>
      </c>
      <c r="F26" s="1960" t="s">
        <v>7300</v>
      </c>
      <c r="G26" s="1944">
        <v>10</v>
      </c>
      <c r="H26" s="1945"/>
      <c r="I26" s="1955">
        <v>38240</v>
      </c>
      <c r="J26" s="1960" t="s">
        <v>937</v>
      </c>
      <c r="K26" s="1944">
        <v>10</v>
      </c>
      <c r="L26" s="1957"/>
      <c r="M26" s="1955">
        <v>38602</v>
      </c>
      <c r="N26" s="1960" t="s">
        <v>7301</v>
      </c>
      <c r="O26" s="1966">
        <v>22</v>
      </c>
      <c r="P26" s="1957">
        <v>18</v>
      </c>
      <c r="Q26" s="1955">
        <v>38985</v>
      </c>
      <c r="R26" s="1943" t="s">
        <v>7302</v>
      </c>
      <c r="S26" s="1968">
        <v>588</v>
      </c>
      <c r="T26" s="1945"/>
      <c r="U26" s="1955">
        <v>39336</v>
      </c>
      <c r="V26" s="1943" t="s">
        <v>797</v>
      </c>
      <c r="W26" s="1967">
        <v>43</v>
      </c>
      <c r="X26" s="1945"/>
      <c r="Y26" s="1955">
        <v>39703</v>
      </c>
      <c r="Z26" s="1943" t="s">
        <v>7303</v>
      </c>
      <c r="AA26" s="1967">
        <v>0</v>
      </c>
      <c r="AB26" s="1945"/>
      <c r="AC26" s="1955">
        <v>40069</v>
      </c>
      <c r="AD26" s="1943" t="s">
        <v>867</v>
      </c>
      <c r="AE26" s="1967">
        <v>25</v>
      </c>
      <c r="AF26" s="1945"/>
      <c r="AG26" s="1955">
        <v>40432</v>
      </c>
      <c r="AH26" s="1943" t="s">
        <v>7304</v>
      </c>
      <c r="AI26" s="1967"/>
      <c r="AJ26" s="1945"/>
      <c r="AK26" s="1955">
        <v>40798</v>
      </c>
      <c r="AL26" s="1943" t="s">
        <v>802</v>
      </c>
      <c r="AM26" s="1967">
        <v>47</v>
      </c>
      <c r="AN26" s="1945"/>
      <c r="AO26" s="1955">
        <v>41162</v>
      </c>
      <c r="AP26" s="1943" t="s">
        <v>7305</v>
      </c>
      <c r="AQ26" s="1967">
        <v>43</v>
      </c>
      <c r="AR26" s="1945"/>
      <c r="AS26" s="1955">
        <v>41527</v>
      </c>
      <c r="AT26" s="1943" t="s">
        <v>797</v>
      </c>
      <c r="AU26" s="1967">
        <v>66</v>
      </c>
      <c r="AV26" s="1945"/>
      <c r="AW26" s="1955">
        <v>41893</v>
      </c>
      <c r="AX26" s="1943" t="s">
        <v>855</v>
      </c>
      <c r="AY26" s="1967">
        <v>7</v>
      </c>
      <c r="AZ26" s="1945"/>
      <c r="BA26" s="1955">
        <v>42258</v>
      </c>
      <c r="BB26" s="1943" t="s">
        <v>7156</v>
      </c>
      <c r="BC26" s="1967">
        <v>25</v>
      </c>
      <c r="BD26" s="1945"/>
      <c r="BE26" s="1955">
        <v>42624</v>
      </c>
      <c r="BF26" s="1943" t="s">
        <v>7306</v>
      </c>
      <c r="BG26" s="1967">
        <v>0</v>
      </c>
      <c r="BH26" s="1945"/>
      <c r="BI26" s="1955">
        <v>42980</v>
      </c>
      <c r="BJ26" s="1943" t="s">
        <v>7307</v>
      </c>
      <c r="BK26" s="1967">
        <v>0</v>
      </c>
      <c r="BL26" s="1945"/>
      <c r="BM26" s="1955">
        <v>43351</v>
      </c>
      <c r="BN26" s="1943" t="s">
        <v>7308</v>
      </c>
      <c r="BO26" s="1967">
        <v>59</v>
      </c>
      <c r="BP26" s="1945"/>
      <c r="BQ26" s="1955">
        <v>43716</v>
      </c>
      <c r="BR26" s="1943" t="s">
        <v>7309</v>
      </c>
      <c r="BS26" s="1967">
        <v>51</v>
      </c>
      <c r="BT26" s="1956" t="s">
        <v>280</v>
      </c>
      <c r="BU26" s="1955">
        <v>44079</v>
      </c>
      <c r="BV26" s="1943" t="s">
        <v>3127</v>
      </c>
      <c r="BW26" s="1967">
        <v>6</v>
      </c>
      <c r="BX26" s="1956" t="s">
        <v>414</v>
      </c>
      <c r="BY26" s="1955">
        <v>44444</v>
      </c>
      <c r="BZ26" s="1943" t="s">
        <v>772</v>
      </c>
      <c r="CA26" s="1953">
        <v>69</v>
      </c>
      <c r="CB26" s="1956" t="s">
        <v>414</v>
      </c>
      <c r="CC26" s="1955">
        <v>44814</v>
      </c>
      <c r="CD26" s="1943" t="s">
        <v>843</v>
      </c>
      <c r="CE26" s="1953">
        <v>17</v>
      </c>
      <c r="CF26" s="1956" t="s">
        <v>414</v>
      </c>
      <c r="CG26" s="1955">
        <v>45178</v>
      </c>
      <c r="CH26" s="1943" t="s">
        <v>7310</v>
      </c>
      <c r="CI26" s="1953">
        <v>28</v>
      </c>
      <c r="CJ26" s="1956" t="s">
        <v>414</v>
      </c>
      <c r="CK26" s="1955">
        <v>45542</v>
      </c>
      <c r="CL26" s="1943" t="s">
        <v>797</v>
      </c>
      <c r="CM26" s="1953">
        <v>46</v>
      </c>
      <c r="CN26" s="1956" t="s">
        <v>410</v>
      </c>
    </row>
    <row r="27" spans="1:92" ht="12.75">
      <c r="A27" s="982">
        <v>37507</v>
      </c>
      <c r="B27" s="1943" t="s">
        <v>410</v>
      </c>
      <c r="C27" s="1944"/>
      <c r="D27" s="1945">
        <v>29</v>
      </c>
      <c r="E27" s="1955">
        <v>37870</v>
      </c>
      <c r="F27" s="1960" t="s">
        <v>890</v>
      </c>
      <c r="G27" s="1944">
        <v>46</v>
      </c>
      <c r="H27" s="1945"/>
      <c r="I27" s="1955">
        <v>38241</v>
      </c>
      <c r="J27" s="1960" t="s">
        <v>7311</v>
      </c>
      <c r="K27" s="1944">
        <v>5</v>
      </c>
      <c r="L27" s="1957"/>
      <c r="M27" s="1955">
        <v>38603</v>
      </c>
      <c r="N27" s="1960" t="s">
        <v>7139</v>
      </c>
      <c r="O27" s="1966">
        <v>16</v>
      </c>
      <c r="P27" s="1957">
        <v>14</v>
      </c>
      <c r="Q27" s="1955">
        <v>38985</v>
      </c>
      <c r="R27" s="1943" t="s">
        <v>781</v>
      </c>
      <c r="S27" s="1968">
        <v>16</v>
      </c>
      <c r="T27" s="1945"/>
      <c r="U27" s="1955">
        <v>39336</v>
      </c>
      <c r="V27" s="1943" t="s">
        <v>7312</v>
      </c>
      <c r="W27" s="1967">
        <v>37</v>
      </c>
      <c r="X27" s="1945"/>
      <c r="Y27" s="1955">
        <v>39703</v>
      </c>
      <c r="Z27" s="1943" t="s">
        <v>772</v>
      </c>
      <c r="AA27" s="1967">
        <v>84</v>
      </c>
      <c r="AB27" s="1945"/>
      <c r="AC27" s="1955">
        <v>40069</v>
      </c>
      <c r="AD27" s="1943" t="s">
        <v>937</v>
      </c>
      <c r="AE27" s="1967">
        <v>18</v>
      </c>
      <c r="AF27" s="1945"/>
      <c r="AG27" s="1955">
        <v>40433</v>
      </c>
      <c r="AH27" s="1943" t="s">
        <v>7313</v>
      </c>
      <c r="AI27" s="1967">
        <v>46</v>
      </c>
      <c r="AJ27" s="1945"/>
      <c r="AK27" s="1955">
        <v>40799</v>
      </c>
      <c r="AL27" s="1943" t="s">
        <v>7314</v>
      </c>
      <c r="AM27" s="1967">
        <v>33</v>
      </c>
      <c r="AN27" s="1945"/>
      <c r="AO27" s="1955">
        <v>41162</v>
      </c>
      <c r="AP27" s="1943" t="s">
        <v>7315</v>
      </c>
      <c r="AQ27" s="1967">
        <v>6</v>
      </c>
      <c r="AR27" s="1945"/>
      <c r="AS27" s="1955">
        <v>41527</v>
      </c>
      <c r="AT27" s="1943" t="s">
        <v>7316</v>
      </c>
      <c r="AU27" s="1967">
        <v>2</v>
      </c>
      <c r="AV27" s="1945"/>
      <c r="AW27" s="1955">
        <v>41894</v>
      </c>
      <c r="AX27" s="1943" t="s">
        <v>7317</v>
      </c>
      <c r="AY27" s="1967">
        <v>15</v>
      </c>
      <c r="AZ27" s="1945"/>
      <c r="BA27" s="1955">
        <v>42258</v>
      </c>
      <c r="BB27" s="1943" t="s">
        <v>855</v>
      </c>
      <c r="BC27" s="1967">
        <v>7</v>
      </c>
      <c r="BD27" s="1945"/>
      <c r="BE27" s="1955">
        <v>42624</v>
      </c>
      <c r="BF27" s="1943" t="s">
        <v>7318</v>
      </c>
      <c r="BG27" s="1967">
        <v>5</v>
      </c>
      <c r="BH27" s="1945"/>
      <c r="BI27" s="1955">
        <v>42980</v>
      </c>
      <c r="BJ27" s="1943" t="s">
        <v>7319</v>
      </c>
      <c r="BK27" s="1967">
        <v>0</v>
      </c>
      <c r="BL27" s="1945"/>
      <c r="BM27" s="1955">
        <v>43351</v>
      </c>
      <c r="BN27" s="1943" t="s">
        <v>7320</v>
      </c>
      <c r="BO27" s="1967">
        <v>17</v>
      </c>
      <c r="BP27" s="1945"/>
      <c r="BQ27" s="1955">
        <v>43716</v>
      </c>
      <c r="BR27" s="1943" t="s">
        <v>7321</v>
      </c>
      <c r="BS27" s="1967">
        <v>25</v>
      </c>
      <c r="BT27" s="1956" t="s">
        <v>280</v>
      </c>
      <c r="BU27" s="1955">
        <v>44079</v>
      </c>
      <c r="BV27" s="1943" t="s">
        <v>7322</v>
      </c>
      <c r="BW27" s="1967">
        <v>19</v>
      </c>
      <c r="BX27" s="1956" t="s">
        <v>414</v>
      </c>
      <c r="BY27" s="1955">
        <v>44444</v>
      </c>
      <c r="BZ27" s="1943" t="s">
        <v>7323</v>
      </c>
      <c r="CA27" s="1953">
        <v>28</v>
      </c>
      <c r="CB27" s="1956" t="s">
        <v>280</v>
      </c>
      <c r="CC27" s="1955">
        <v>44814</v>
      </c>
      <c r="CD27" s="1943" t="s">
        <v>7324</v>
      </c>
      <c r="CE27" s="1953">
        <v>222</v>
      </c>
      <c r="CF27" s="1956" t="s">
        <v>426</v>
      </c>
      <c r="CG27" s="1955">
        <v>45178</v>
      </c>
      <c r="CH27" s="1943" t="s">
        <v>7325</v>
      </c>
      <c r="CI27" s="1953">
        <v>25</v>
      </c>
      <c r="CJ27" s="1956" t="s">
        <v>414</v>
      </c>
      <c r="CK27" s="1955">
        <v>45542</v>
      </c>
      <c r="CL27" s="1943" t="s">
        <v>948</v>
      </c>
      <c r="CM27" s="1953">
        <v>25</v>
      </c>
      <c r="CN27" s="1956" t="s">
        <v>414</v>
      </c>
    </row>
    <row r="28" spans="1:92" ht="12.75">
      <c r="A28" s="982">
        <v>37507</v>
      </c>
      <c r="B28" s="1943" t="s">
        <v>2085</v>
      </c>
      <c r="C28" s="1944">
        <v>37</v>
      </c>
      <c r="D28" s="1945"/>
      <c r="E28" s="1955">
        <v>37870</v>
      </c>
      <c r="F28" s="1960" t="s">
        <v>7326</v>
      </c>
      <c r="G28" s="1944">
        <v>24</v>
      </c>
      <c r="H28" s="1945"/>
      <c r="I28" s="1955">
        <v>38242</v>
      </c>
      <c r="J28" s="1960" t="s">
        <v>7327</v>
      </c>
      <c r="K28" s="1944">
        <v>16</v>
      </c>
      <c r="L28" s="1957"/>
      <c r="M28" s="1955">
        <v>38603</v>
      </c>
      <c r="N28" s="1960" t="s">
        <v>7328</v>
      </c>
      <c r="O28" s="1966">
        <v>15</v>
      </c>
      <c r="P28" s="1957">
        <v>13</v>
      </c>
      <c r="Q28" s="1955">
        <v>38985</v>
      </c>
      <c r="R28" s="1943" t="s">
        <v>767</v>
      </c>
      <c r="S28" s="1968">
        <v>30</v>
      </c>
      <c r="T28" s="1945"/>
      <c r="U28" s="1955">
        <v>39340</v>
      </c>
      <c r="V28" s="1943" t="s">
        <v>797</v>
      </c>
      <c r="W28" s="1967">
        <v>33</v>
      </c>
      <c r="X28" s="1945"/>
      <c r="Y28" s="1955">
        <v>39703</v>
      </c>
      <c r="Z28" s="1943" t="s">
        <v>7329</v>
      </c>
      <c r="AA28" s="1967">
        <v>50</v>
      </c>
      <c r="AB28" s="1945"/>
      <c r="AC28" s="1955">
        <v>40069</v>
      </c>
      <c r="AD28" s="1943" t="s">
        <v>7330</v>
      </c>
      <c r="AE28" s="1967">
        <v>8</v>
      </c>
      <c r="AF28" s="1945"/>
      <c r="AG28" s="1955">
        <v>40433</v>
      </c>
      <c r="AH28" s="1943" t="s">
        <v>937</v>
      </c>
      <c r="AI28" s="1967">
        <v>27</v>
      </c>
      <c r="AJ28" s="1945"/>
      <c r="AK28" s="1955">
        <v>40799</v>
      </c>
      <c r="AL28" s="1943" t="s">
        <v>6109</v>
      </c>
      <c r="AM28" s="1967">
        <v>13</v>
      </c>
      <c r="AN28" s="1945"/>
      <c r="AO28" s="1955">
        <v>41162</v>
      </c>
      <c r="AP28" s="1943" t="s">
        <v>5349</v>
      </c>
      <c r="AQ28" s="1967">
        <v>30</v>
      </c>
      <c r="AR28" s="1945"/>
      <c r="AS28" s="1955">
        <v>41527</v>
      </c>
      <c r="AT28" s="1943" t="s">
        <v>754</v>
      </c>
      <c r="AU28" s="1967">
        <v>21</v>
      </c>
      <c r="AV28" s="1945"/>
      <c r="AW28" s="1955">
        <v>41894</v>
      </c>
      <c r="AX28" s="1943" t="s">
        <v>7331</v>
      </c>
      <c r="AY28" s="1967">
        <v>6</v>
      </c>
      <c r="AZ28" s="1945"/>
      <c r="BA28" s="1955">
        <v>42258</v>
      </c>
      <c r="BB28" s="1943" t="s">
        <v>7332</v>
      </c>
      <c r="BC28" s="1967">
        <v>0</v>
      </c>
      <c r="BD28" s="1945"/>
      <c r="BE28" s="1955">
        <v>42624</v>
      </c>
      <c r="BF28" s="1943" t="s">
        <v>1498</v>
      </c>
      <c r="BG28" s="1967">
        <v>7</v>
      </c>
      <c r="BH28" s="1945"/>
      <c r="BI28" s="1955">
        <v>42980</v>
      </c>
      <c r="BJ28" s="1943" t="s">
        <v>7333</v>
      </c>
      <c r="BK28" s="1967">
        <v>4</v>
      </c>
      <c r="BL28" s="1945"/>
      <c r="BM28" s="1955">
        <v>43351</v>
      </c>
      <c r="BN28" s="1943" t="s">
        <v>7334</v>
      </c>
      <c r="BO28" s="1967">
        <v>36</v>
      </c>
      <c r="BP28" s="1945"/>
      <c r="BQ28" s="1955">
        <v>43717</v>
      </c>
      <c r="BR28" s="1943" t="s">
        <v>7335</v>
      </c>
      <c r="BS28" s="1967">
        <v>26</v>
      </c>
      <c r="BT28" s="1956" t="s">
        <v>278</v>
      </c>
      <c r="BU28" s="1955">
        <v>44079</v>
      </c>
      <c r="BV28" s="1943" t="s">
        <v>7336</v>
      </c>
      <c r="BW28" s="1967">
        <v>20</v>
      </c>
      <c r="BX28" s="1956" t="s">
        <v>414</v>
      </c>
      <c r="BY28" s="1955">
        <v>44446</v>
      </c>
      <c r="BZ28" s="1943" t="s">
        <v>7337</v>
      </c>
      <c r="CA28" s="1953">
        <v>12</v>
      </c>
      <c r="CB28" s="1956" t="s">
        <v>414</v>
      </c>
      <c r="CC28" s="1955">
        <v>44814</v>
      </c>
      <c r="CD28" s="1943" t="s">
        <v>7338</v>
      </c>
      <c r="CE28" s="1953">
        <v>15</v>
      </c>
      <c r="CF28" s="1956" t="s">
        <v>280</v>
      </c>
      <c r="CG28" s="1955">
        <v>45178</v>
      </c>
      <c r="CH28" s="1943" t="s">
        <v>6959</v>
      </c>
      <c r="CI28" s="1953">
        <v>4</v>
      </c>
      <c r="CJ28" s="1956" t="s">
        <v>414</v>
      </c>
      <c r="CK28" s="1955">
        <v>45542</v>
      </c>
      <c r="CL28" s="1943" t="s">
        <v>7339</v>
      </c>
      <c r="CM28" s="1953">
        <v>20</v>
      </c>
      <c r="CN28" s="1956" t="s">
        <v>414</v>
      </c>
    </row>
    <row r="29" spans="1:92" ht="12.75">
      <c r="A29" s="982">
        <v>37508</v>
      </c>
      <c r="B29" s="1943" t="s">
        <v>915</v>
      </c>
      <c r="C29" s="1944"/>
      <c r="D29" s="1945">
        <v>22</v>
      </c>
      <c r="E29" s="1955">
        <v>37870</v>
      </c>
      <c r="F29" s="1960" t="s">
        <v>7340</v>
      </c>
      <c r="G29" s="1944">
        <v>16</v>
      </c>
      <c r="H29" s="1945"/>
      <c r="I29" s="1955">
        <v>38242</v>
      </c>
      <c r="J29" s="1960" t="s">
        <v>7341</v>
      </c>
      <c r="K29" s="1944">
        <v>4</v>
      </c>
      <c r="L29" s="1957"/>
      <c r="M29" s="1955">
        <v>38603</v>
      </c>
      <c r="N29" s="1960" t="s">
        <v>7342</v>
      </c>
      <c r="O29" s="1966">
        <v>10</v>
      </c>
      <c r="P29" s="1957">
        <v>9</v>
      </c>
      <c r="Q29" s="1955">
        <v>38987</v>
      </c>
      <c r="R29" s="1943" t="s">
        <v>7343</v>
      </c>
      <c r="S29" s="1968">
        <v>15</v>
      </c>
      <c r="T29" s="1945"/>
      <c r="U29" s="1955">
        <v>39340</v>
      </c>
      <c r="V29" s="1943" t="s">
        <v>7344</v>
      </c>
      <c r="W29" s="1967">
        <v>2</v>
      </c>
      <c r="X29" s="1945"/>
      <c r="Y29" s="1955">
        <v>39703</v>
      </c>
      <c r="Z29" s="1943" t="s">
        <v>7345</v>
      </c>
      <c r="AA29" s="1967">
        <v>25</v>
      </c>
      <c r="AB29" s="1945"/>
      <c r="AC29" s="1955">
        <v>40069</v>
      </c>
      <c r="AD29" s="1943" t="s">
        <v>7346</v>
      </c>
      <c r="AE29" s="1967">
        <v>18</v>
      </c>
      <c r="AF29" s="1945"/>
      <c r="AG29" s="1955">
        <v>40433</v>
      </c>
      <c r="AH29" s="1943" t="s">
        <v>772</v>
      </c>
      <c r="AI29" s="1967">
        <v>27</v>
      </c>
      <c r="AJ29" s="1945"/>
      <c r="AK29" s="1955">
        <v>40801</v>
      </c>
      <c r="AL29" s="1943" t="s">
        <v>7347</v>
      </c>
      <c r="AM29" s="1967">
        <v>6</v>
      </c>
      <c r="AN29" s="1945"/>
      <c r="AO29" s="1955">
        <v>41163</v>
      </c>
      <c r="AP29" s="1943" t="s">
        <v>7348</v>
      </c>
      <c r="AQ29" s="1967">
        <v>34</v>
      </c>
      <c r="AR29" s="1945"/>
      <c r="AS29" s="1955">
        <v>41527</v>
      </c>
      <c r="AT29" s="1943" t="s">
        <v>7349</v>
      </c>
      <c r="AU29" s="1967">
        <v>9</v>
      </c>
      <c r="AV29" s="1945"/>
      <c r="AW29" s="1955">
        <v>41894</v>
      </c>
      <c r="AX29" s="1943" t="s">
        <v>7350</v>
      </c>
      <c r="AY29" s="1967">
        <v>20</v>
      </c>
      <c r="AZ29" s="1945"/>
      <c r="BA29" s="1955">
        <v>42259</v>
      </c>
      <c r="BB29" s="1943" t="s">
        <v>797</v>
      </c>
      <c r="BC29" s="1967">
        <v>40</v>
      </c>
      <c r="BD29" s="1945"/>
      <c r="BE29" s="1955">
        <v>42624</v>
      </c>
      <c r="BF29" s="1943" t="s">
        <v>7351</v>
      </c>
      <c r="BG29" s="1967">
        <v>6</v>
      </c>
      <c r="BH29" s="1945"/>
      <c r="BI29" s="1955">
        <v>42981</v>
      </c>
      <c r="BJ29" s="1943" t="s">
        <v>7352</v>
      </c>
      <c r="BK29" s="1967"/>
      <c r="BL29" s="1945"/>
      <c r="BM29" s="1955">
        <v>43351</v>
      </c>
      <c r="BN29" s="1943" t="s">
        <v>7353</v>
      </c>
      <c r="BO29" s="1967">
        <v>25</v>
      </c>
      <c r="BP29" s="1945"/>
      <c r="BQ29" s="1955">
        <v>43719</v>
      </c>
      <c r="BR29" s="1943" t="s">
        <v>7354</v>
      </c>
      <c r="BS29" s="1967">
        <v>23</v>
      </c>
      <c r="BT29" s="1956" t="s">
        <v>278</v>
      </c>
      <c r="BU29" s="1955">
        <v>44079</v>
      </c>
      <c r="BV29" s="1943" t="s">
        <v>7355</v>
      </c>
      <c r="BW29" s="1967">
        <v>9</v>
      </c>
      <c r="BX29" s="1956" t="s">
        <v>414</v>
      </c>
      <c r="BY29" s="1955">
        <v>44446</v>
      </c>
      <c r="BZ29" s="1943" t="s">
        <v>2888</v>
      </c>
      <c r="CA29" s="1953">
        <v>52</v>
      </c>
      <c r="CB29" s="1956" t="s">
        <v>414</v>
      </c>
      <c r="CC29" s="1955">
        <v>44814</v>
      </c>
      <c r="CD29" s="1943" t="s">
        <v>845</v>
      </c>
      <c r="CE29" s="1953">
        <v>29</v>
      </c>
      <c r="CF29" s="1956" t="s">
        <v>414</v>
      </c>
      <c r="CG29" s="1955">
        <v>45178</v>
      </c>
      <c r="CH29" s="1943" t="s">
        <v>7356</v>
      </c>
      <c r="CI29" s="1953">
        <v>12</v>
      </c>
      <c r="CJ29" s="1956" t="s">
        <v>414</v>
      </c>
      <c r="CK29" s="1955">
        <v>45545</v>
      </c>
      <c r="CL29" s="1943" t="s">
        <v>772</v>
      </c>
      <c r="CM29" s="1953">
        <v>60</v>
      </c>
      <c r="CN29" s="1956" t="s">
        <v>414</v>
      </c>
    </row>
    <row r="30" spans="1:92" ht="12.75">
      <c r="A30" s="982">
        <v>37508</v>
      </c>
      <c r="B30" s="1943" t="s">
        <v>7357</v>
      </c>
      <c r="C30" s="1944"/>
      <c r="D30" s="1945">
        <v>55</v>
      </c>
      <c r="E30" s="1955">
        <v>37871</v>
      </c>
      <c r="F30" s="1960" t="s">
        <v>7358</v>
      </c>
      <c r="G30" s="1944">
        <v>9</v>
      </c>
      <c r="H30" s="1945"/>
      <c r="I30" s="1955">
        <v>38242</v>
      </c>
      <c r="J30" s="1960" t="s">
        <v>7359</v>
      </c>
      <c r="K30" s="1944">
        <v>3</v>
      </c>
      <c r="L30" s="1957"/>
      <c r="M30" s="1955">
        <v>38603</v>
      </c>
      <c r="N30" s="1960" t="s">
        <v>7360</v>
      </c>
      <c r="O30" s="1966">
        <v>9</v>
      </c>
      <c r="P30" s="1957">
        <v>8</v>
      </c>
      <c r="Q30" s="1955">
        <v>38987</v>
      </c>
      <c r="R30" s="1943" t="s">
        <v>7361</v>
      </c>
      <c r="S30" s="1968">
        <v>19</v>
      </c>
      <c r="T30" s="1945"/>
      <c r="U30" s="1955">
        <v>39340</v>
      </c>
      <c r="V30" s="1943" t="s">
        <v>937</v>
      </c>
      <c r="W30" s="1967">
        <v>30</v>
      </c>
      <c r="X30" s="1945"/>
      <c r="Y30" s="1955">
        <v>39703</v>
      </c>
      <c r="Z30" s="1943" t="s">
        <v>937</v>
      </c>
      <c r="AA30" s="1967">
        <v>20</v>
      </c>
      <c r="AB30" s="1945"/>
      <c r="AC30" s="1955">
        <v>40070</v>
      </c>
      <c r="AD30" s="1943" t="s">
        <v>7346</v>
      </c>
      <c r="AE30" s="1967">
        <v>18</v>
      </c>
      <c r="AF30" s="1945"/>
      <c r="AG30" s="1955">
        <v>40433</v>
      </c>
      <c r="AH30" s="1943" t="s">
        <v>2626</v>
      </c>
      <c r="AI30" s="1967">
        <v>5</v>
      </c>
      <c r="AJ30" s="1945"/>
      <c r="AK30" s="1955">
        <v>40803</v>
      </c>
      <c r="AL30" s="1943" t="s">
        <v>7362</v>
      </c>
      <c r="AM30" s="1967">
        <v>475</v>
      </c>
      <c r="AN30" s="1945"/>
      <c r="AO30" s="1955">
        <v>41165</v>
      </c>
      <c r="AP30" s="1943" t="s">
        <v>802</v>
      </c>
      <c r="AQ30" s="1967">
        <v>21</v>
      </c>
      <c r="AR30" s="1945"/>
      <c r="AS30" s="1955">
        <v>41528</v>
      </c>
      <c r="AT30" s="1943" t="s">
        <v>7363</v>
      </c>
      <c r="AU30" s="1967">
        <v>82</v>
      </c>
      <c r="AV30" s="1945"/>
      <c r="AW30" s="1955">
        <v>41895</v>
      </c>
      <c r="AX30" s="1943" t="s">
        <v>772</v>
      </c>
      <c r="AY30" s="1967">
        <v>33</v>
      </c>
      <c r="AZ30" s="1945"/>
      <c r="BA30" s="1955">
        <v>42259</v>
      </c>
      <c r="BB30" s="1943" t="s">
        <v>7364</v>
      </c>
      <c r="BC30" s="1967">
        <v>16</v>
      </c>
      <c r="BD30" s="1945"/>
      <c r="BE30" s="1955">
        <v>42624</v>
      </c>
      <c r="BF30" s="1943" t="s">
        <v>7365</v>
      </c>
      <c r="BG30" s="1967">
        <v>6</v>
      </c>
      <c r="BH30" s="1945"/>
      <c r="BI30" s="1955">
        <v>42981</v>
      </c>
      <c r="BJ30" s="1943" t="s">
        <v>7366</v>
      </c>
      <c r="BK30" s="1967">
        <v>3</v>
      </c>
      <c r="BL30" s="1945"/>
      <c r="BM30" s="1955">
        <v>43352</v>
      </c>
      <c r="BN30" s="1943" t="s">
        <v>7367</v>
      </c>
      <c r="BO30" s="1967">
        <v>34</v>
      </c>
      <c r="BP30" s="1945"/>
      <c r="BQ30" s="1955">
        <v>43719</v>
      </c>
      <c r="BR30" s="1943" t="s">
        <v>7368</v>
      </c>
      <c r="BS30" s="1967">
        <v>14</v>
      </c>
      <c r="BT30" s="1956" t="s">
        <v>278</v>
      </c>
      <c r="BU30" s="1955">
        <v>44079</v>
      </c>
      <c r="BV30" s="1943" t="s">
        <v>3449</v>
      </c>
      <c r="BW30" s="1967">
        <v>3</v>
      </c>
      <c r="BX30" s="1956" t="s">
        <v>414</v>
      </c>
      <c r="BY30" s="1955">
        <v>44446</v>
      </c>
      <c r="BZ30" s="1943" t="s">
        <v>797</v>
      </c>
      <c r="CA30" s="1953">
        <v>77</v>
      </c>
      <c r="CB30" s="1956" t="s">
        <v>410</v>
      </c>
      <c r="CC30" s="1955">
        <v>44814</v>
      </c>
      <c r="CD30" s="1943" t="s">
        <v>872</v>
      </c>
      <c r="CE30" s="1953">
        <v>10</v>
      </c>
      <c r="CF30" s="1956" t="s">
        <v>414</v>
      </c>
      <c r="CG30" s="1955">
        <v>45178</v>
      </c>
      <c r="CH30" s="1943" t="s">
        <v>7369</v>
      </c>
      <c r="CI30" s="1953">
        <v>29</v>
      </c>
      <c r="CJ30" s="1956" t="s">
        <v>414</v>
      </c>
      <c r="CK30" s="1955">
        <v>45546</v>
      </c>
      <c r="CL30" s="1943" t="s">
        <v>7370</v>
      </c>
      <c r="CM30" s="1953">
        <v>18</v>
      </c>
      <c r="CN30" s="1956" t="s">
        <v>278</v>
      </c>
    </row>
    <row r="31" spans="1:92" ht="12.75">
      <c r="A31" s="982">
        <v>37509</v>
      </c>
      <c r="B31" s="1943" t="s">
        <v>7371</v>
      </c>
      <c r="C31" s="1944">
        <v>410</v>
      </c>
      <c r="D31" s="1945"/>
      <c r="E31" s="1955">
        <v>37872</v>
      </c>
      <c r="F31" s="1960" t="s">
        <v>937</v>
      </c>
      <c r="G31" s="1944">
        <v>9</v>
      </c>
      <c r="H31" s="1945"/>
      <c r="I31" s="1955">
        <v>38242</v>
      </c>
      <c r="J31" s="1960" t="s">
        <v>797</v>
      </c>
      <c r="K31" s="1944">
        <v>24</v>
      </c>
      <c r="L31" s="1957"/>
      <c r="M31" s="1955">
        <v>38603</v>
      </c>
      <c r="N31" s="1960" t="s">
        <v>7372</v>
      </c>
      <c r="O31" s="1966">
        <v>20</v>
      </c>
      <c r="P31" s="1957">
        <v>17</v>
      </c>
      <c r="Q31" s="1955">
        <v>38987</v>
      </c>
      <c r="R31" s="1943" t="s">
        <v>7373</v>
      </c>
      <c r="S31" s="1968">
        <v>10</v>
      </c>
      <c r="T31" s="1945"/>
      <c r="U31" s="1955">
        <v>39340</v>
      </c>
      <c r="V31" s="1943" t="s">
        <v>802</v>
      </c>
      <c r="W31" s="1967">
        <v>43</v>
      </c>
      <c r="X31" s="1945"/>
      <c r="Y31" s="1955">
        <v>39704</v>
      </c>
      <c r="Z31" s="1943" t="s">
        <v>781</v>
      </c>
      <c r="AA31" s="1967">
        <v>46</v>
      </c>
      <c r="AB31" s="1945"/>
      <c r="AC31" s="1955">
        <v>40071</v>
      </c>
      <c r="AD31" s="1943" t="s">
        <v>797</v>
      </c>
      <c r="AE31" s="1967">
        <v>40</v>
      </c>
      <c r="AF31" s="1945"/>
      <c r="AG31" s="1955">
        <v>40434</v>
      </c>
      <c r="AH31" s="1943" t="s">
        <v>7374</v>
      </c>
      <c r="AI31" s="1967">
        <v>264</v>
      </c>
      <c r="AJ31" s="1945"/>
      <c r="AK31" s="1955">
        <v>40803</v>
      </c>
      <c r="AL31" s="1943" t="s">
        <v>1957</v>
      </c>
      <c r="AM31" s="1967">
        <v>15</v>
      </c>
      <c r="AN31" s="1945"/>
      <c r="AO31" s="1955">
        <v>41165</v>
      </c>
      <c r="AP31" s="1943" t="s">
        <v>797</v>
      </c>
      <c r="AQ31" s="1967">
        <v>72</v>
      </c>
      <c r="AR31" s="1945"/>
      <c r="AS31" s="1955">
        <v>41528</v>
      </c>
      <c r="AT31" s="1943" t="s">
        <v>7375</v>
      </c>
      <c r="AU31" s="1967">
        <v>6</v>
      </c>
      <c r="AV31" s="1945"/>
      <c r="AW31" s="1955">
        <v>41895</v>
      </c>
      <c r="AX31" s="1943" t="s">
        <v>1903</v>
      </c>
      <c r="AY31" s="1967">
        <v>35</v>
      </c>
      <c r="AZ31" s="1945"/>
      <c r="BA31" s="1955">
        <v>42259</v>
      </c>
      <c r="BB31" s="1943" t="s">
        <v>7376</v>
      </c>
      <c r="BC31" s="1967">
        <v>13</v>
      </c>
      <c r="BD31" s="1945"/>
      <c r="BE31" s="1955">
        <v>42624</v>
      </c>
      <c r="BF31" s="1943" t="s">
        <v>7377</v>
      </c>
      <c r="BG31" s="1967">
        <v>4</v>
      </c>
      <c r="BH31" s="1945"/>
      <c r="BI31" s="1955">
        <v>42981</v>
      </c>
      <c r="BJ31" s="1943" t="s">
        <v>7378</v>
      </c>
      <c r="BK31" s="1967">
        <v>5</v>
      </c>
      <c r="BL31" s="1945"/>
      <c r="BM31" s="1955">
        <v>43352</v>
      </c>
      <c r="BN31" s="1943" t="s">
        <v>1151</v>
      </c>
      <c r="BO31" s="1967">
        <v>6</v>
      </c>
      <c r="BP31" s="1945"/>
      <c r="BQ31" s="1955">
        <v>43719</v>
      </c>
      <c r="BR31" s="1943" t="s">
        <v>873</v>
      </c>
      <c r="BS31" s="1967">
        <v>6</v>
      </c>
      <c r="BT31" s="1956" t="s">
        <v>414</v>
      </c>
      <c r="BU31" s="1955">
        <v>44079</v>
      </c>
      <c r="BV31" s="1943" t="s">
        <v>1200</v>
      </c>
      <c r="BW31" s="1967">
        <v>5</v>
      </c>
      <c r="BX31" s="1956" t="s">
        <v>414</v>
      </c>
      <c r="BY31" s="1955">
        <v>44448</v>
      </c>
      <c r="BZ31" s="1943" t="s">
        <v>7379</v>
      </c>
      <c r="CA31" s="1953">
        <v>110</v>
      </c>
      <c r="CB31" s="1956" t="s">
        <v>702</v>
      </c>
      <c r="CC31" s="1955">
        <v>44814</v>
      </c>
      <c r="CD31" s="1943" t="s">
        <v>843</v>
      </c>
      <c r="CE31" s="1953">
        <v>21</v>
      </c>
      <c r="CF31" s="1956" t="s">
        <v>414</v>
      </c>
      <c r="CG31" s="1955">
        <v>45178</v>
      </c>
      <c r="CH31" s="1943" t="s">
        <v>7380</v>
      </c>
      <c r="CI31" s="1953">
        <v>15</v>
      </c>
      <c r="CJ31" s="1956" t="s">
        <v>414</v>
      </c>
      <c r="CK31" s="1955">
        <v>45548</v>
      </c>
      <c r="CL31" s="1943" t="s">
        <v>772</v>
      </c>
      <c r="CM31" s="1953">
        <v>63</v>
      </c>
      <c r="CN31" s="1956" t="s">
        <v>414</v>
      </c>
    </row>
    <row r="32" spans="1:92" ht="12.75">
      <c r="A32" s="982">
        <v>37509</v>
      </c>
      <c r="B32" s="1943" t="s">
        <v>7381</v>
      </c>
      <c r="C32" s="1944">
        <v>20</v>
      </c>
      <c r="D32" s="1945"/>
      <c r="E32" s="1955">
        <v>37873</v>
      </c>
      <c r="F32" s="1960" t="s">
        <v>7326</v>
      </c>
      <c r="G32" s="1944">
        <v>25</v>
      </c>
      <c r="H32" s="1945"/>
      <c r="I32" s="1955">
        <v>38242</v>
      </c>
      <c r="J32" s="1960" t="s">
        <v>7382</v>
      </c>
      <c r="K32" s="1944">
        <v>2</v>
      </c>
      <c r="L32" s="1957"/>
      <c r="M32" s="1955">
        <v>38603</v>
      </c>
      <c r="N32" s="1960" t="s">
        <v>7383</v>
      </c>
      <c r="O32" s="1966">
        <v>15</v>
      </c>
      <c r="P32" s="1957">
        <v>13</v>
      </c>
      <c r="Q32" s="1955">
        <v>38989</v>
      </c>
      <c r="R32" s="1943" t="s">
        <v>7384</v>
      </c>
      <c r="S32" s="1968">
        <v>10</v>
      </c>
      <c r="T32" s="1945"/>
      <c r="U32" s="1955">
        <v>39342</v>
      </c>
      <c r="V32" s="1943" t="s">
        <v>772</v>
      </c>
      <c r="W32" s="1967">
        <v>15</v>
      </c>
      <c r="X32" s="1945"/>
      <c r="Y32" s="1955">
        <v>39704</v>
      </c>
      <c r="Z32" s="1943" t="s">
        <v>783</v>
      </c>
      <c r="AA32" s="1967">
        <v>11</v>
      </c>
      <c r="AB32" s="1945"/>
      <c r="AC32" s="1955">
        <v>40071</v>
      </c>
      <c r="AD32" s="1943" t="s">
        <v>7385</v>
      </c>
      <c r="AE32" s="1967">
        <v>11</v>
      </c>
      <c r="AF32" s="1945"/>
      <c r="AG32" s="1955">
        <v>40434</v>
      </c>
      <c r="AH32" s="1943" t="s">
        <v>7386</v>
      </c>
      <c r="AI32" s="1967">
        <v>10</v>
      </c>
      <c r="AJ32" s="1945"/>
      <c r="AK32" s="1955">
        <v>40804</v>
      </c>
      <c r="AL32" s="1943" t="s">
        <v>3695</v>
      </c>
      <c r="AM32" s="1967">
        <v>90</v>
      </c>
      <c r="AN32" s="1945"/>
      <c r="AO32" s="1955">
        <v>41167</v>
      </c>
      <c r="AP32" s="1943" t="s">
        <v>7387</v>
      </c>
      <c r="AQ32" s="1967">
        <v>16</v>
      </c>
      <c r="AR32" s="1945"/>
      <c r="AS32" s="1955">
        <v>41528</v>
      </c>
      <c r="AT32" s="1943" t="s">
        <v>7388</v>
      </c>
      <c r="AU32" s="1967">
        <v>6</v>
      </c>
      <c r="AV32" s="1945"/>
      <c r="AW32" s="1955">
        <v>41895</v>
      </c>
      <c r="AX32" s="1943" t="s">
        <v>7389</v>
      </c>
      <c r="AY32" s="1967">
        <v>20</v>
      </c>
      <c r="AZ32" s="1945"/>
      <c r="BA32" s="1955">
        <v>42259</v>
      </c>
      <c r="BB32" s="1943" t="s">
        <v>7390</v>
      </c>
      <c r="BC32" s="1967">
        <v>10</v>
      </c>
      <c r="BD32" s="1945"/>
      <c r="BE32" s="1955">
        <v>42624</v>
      </c>
      <c r="BF32" s="1943" t="s">
        <v>7391</v>
      </c>
      <c r="BG32" s="1967">
        <v>8</v>
      </c>
      <c r="BH32" s="1945"/>
      <c r="BI32" s="1955">
        <v>42982</v>
      </c>
      <c r="BJ32" s="1943" t="s">
        <v>7392</v>
      </c>
      <c r="BK32" s="1967">
        <v>0</v>
      </c>
      <c r="BL32" s="1945"/>
      <c r="BM32" s="1955">
        <v>43352</v>
      </c>
      <c r="BN32" s="1943" t="s">
        <v>7393</v>
      </c>
      <c r="BO32" s="1967">
        <v>8</v>
      </c>
      <c r="BP32" s="1945"/>
      <c r="BQ32" s="1955">
        <v>43719</v>
      </c>
      <c r="BR32" s="1943" t="s">
        <v>7394</v>
      </c>
      <c r="BS32" s="1967">
        <v>1200</v>
      </c>
      <c r="BT32" s="1956"/>
      <c r="BU32" s="1955">
        <v>44079</v>
      </c>
      <c r="BV32" s="1943" t="s">
        <v>7395</v>
      </c>
      <c r="BW32" s="1967">
        <v>5</v>
      </c>
      <c r="BX32" s="1956" t="s">
        <v>414</v>
      </c>
      <c r="BY32" s="1955">
        <v>44448</v>
      </c>
      <c r="BZ32" s="1943" t="s">
        <v>7396</v>
      </c>
      <c r="CA32" s="1953">
        <v>39</v>
      </c>
      <c r="CB32" s="1956" t="s">
        <v>702</v>
      </c>
      <c r="CC32" s="1955">
        <v>44814</v>
      </c>
      <c r="CD32" s="1943" t="s">
        <v>772</v>
      </c>
      <c r="CE32" s="1953">
        <v>29</v>
      </c>
      <c r="CF32" s="1956" t="s">
        <v>414</v>
      </c>
      <c r="CG32" s="1955">
        <v>45178</v>
      </c>
      <c r="CH32" s="1943" t="s">
        <v>7397</v>
      </c>
      <c r="CI32" s="1953">
        <v>10</v>
      </c>
      <c r="CJ32" s="1956" t="s">
        <v>414</v>
      </c>
      <c r="CK32" s="1955">
        <v>45548</v>
      </c>
      <c r="CL32" s="1943" t="s">
        <v>845</v>
      </c>
      <c r="CM32" s="1953">
        <v>43</v>
      </c>
      <c r="CN32" s="1956" t="s">
        <v>414</v>
      </c>
    </row>
    <row r="33" spans="1:92" ht="12.75">
      <c r="A33" s="982">
        <v>37509</v>
      </c>
      <c r="B33" s="1943" t="s">
        <v>1189</v>
      </c>
      <c r="C33" s="1944">
        <v>14</v>
      </c>
      <c r="D33" s="1945"/>
      <c r="E33" s="1955">
        <v>37874</v>
      </c>
      <c r="F33" s="1960" t="s">
        <v>7398</v>
      </c>
      <c r="G33" s="1944">
        <v>120</v>
      </c>
      <c r="H33" s="1945"/>
      <c r="I33" s="1955">
        <v>38243</v>
      </c>
      <c r="J33" s="1960" t="s">
        <v>937</v>
      </c>
      <c r="K33" s="1944">
        <v>9</v>
      </c>
      <c r="L33" s="1957"/>
      <c r="M33" s="1955">
        <v>38603</v>
      </c>
      <c r="N33" s="1960" t="s">
        <v>1143</v>
      </c>
      <c r="O33" s="1966">
        <v>40</v>
      </c>
      <c r="P33" s="1957">
        <v>33</v>
      </c>
      <c r="Q33" s="1955">
        <v>38989</v>
      </c>
      <c r="R33" s="1943" t="s">
        <v>797</v>
      </c>
      <c r="S33" s="1968">
        <v>5</v>
      </c>
      <c r="T33" s="1945"/>
      <c r="U33" s="1955">
        <v>39342</v>
      </c>
      <c r="V33" s="1943" t="s">
        <v>7399</v>
      </c>
      <c r="W33" s="1967">
        <v>16</v>
      </c>
      <c r="X33" s="1945"/>
      <c r="Y33" s="1955">
        <v>39704</v>
      </c>
      <c r="Z33" s="1943" t="s">
        <v>7400</v>
      </c>
      <c r="AA33" s="1967">
        <v>9</v>
      </c>
      <c r="AB33" s="1945"/>
      <c r="AC33" s="1955">
        <v>40072</v>
      </c>
      <c r="AD33" s="1943" t="s">
        <v>7401</v>
      </c>
      <c r="AE33" s="1967">
        <v>27</v>
      </c>
      <c r="AF33" s="1945"/>
      <c r="AG33" s="1955">
        <v>40436</v>
      </c>
      <c r="AH33" s="1943" t="s">
        <v>797</v>
      </c>
      <c r="AI33" s="1967">
        <v>46</v>
      </c>
      <c r="AJ33" s="1945"/>
      <c r="AK33" s="1955">
        <v>40804</v>
      </c>
      <c r="AL33" s="1943" t="s">
        <v>7402</v>
      </c>
      <c r="AM33" s="1967">
        <v>31</v>
      </c>
      <c r="AN33" s="1945"/>
      <c r="AO33" s="1955">
        <v>41168</v>
      </c>
      <c r="AP33" s="1943" t="s">
        <v>7403</v>
      </c>
      <c r="AQ33" s="1967">
        <v>10</v>
      </c>
      <c r="AR33" s="1945"/>
      <c r="AS33" s="1955">
        <v>41528</v>
      </c>
      <c r="AT33" s="1943" t="s">
        <v>802</v>
      </c>
      <c r="AU33" s="1967">
        <v>45</v>
      </c>
      <c r="AV33" s="1945"/>
      <c r="AW33" s="1955">
        <v>41895</v>
      </c>
      <c r="AX33" s="1943" t="s">
        <v>754</v>
      </c>
      <c r="AY33" s="1967">
        <v>92</v>
      </c>
      <c r="AZ33" s="1945"/>
      <c r="BA33" s="1955">
        <v>42259</v>
      </c>
      <c r="BB33" s="1943" t="s">
        <v>7404</v>
      </c>
      <c r="BC33" s="1967">
        <v>6</v>
      </c>
      <c r="BD33" s="1945"/>
      <c r="BE33" s="1955">
        <v>42625</v>
      </c>
      <c r="BF33" s="1943" t="s">
        <v>7405</v>
      </c>
      <c r="BG33" s="1967">
        <v>200</v>
      </c>
      <c r="BH33" s="1945"/>
      <c r="BI33" s="1955">
        <v>42982</v>
      </c>
      <c r="BJ33" s="1943" t="s">
        <v>823</v>
      </c>
      <c r="BK33" s="1967">
        <v>28</v>
      </c>
      <c r="BL33" s="1945"/>
      <c r="BM33" s="1955">
        <v>43352</v>
      </c>
      <c r="BN33" s="1943" t="s">
        <v>7406</v>
      </c>
      <c r="BO33" s="1967">
        <v>0</v>
      </c>
      <c r="BP33" s="1945"/>
      <c r="BQ33" s="1955">
        <v>43720</v>
      </c>
      <c r="BR33" s="1943" t="s">
        <v>7407</v>
      </c>
      <c r="BS33" s="1967">
        <v>86</v>
      </c>
      <c r="BT33" s="1956" t="s">
        <v>700</v>
      </c>
      <c r="BU33" s="1955">
        <v>44079</v>
      </c>
      <c r="BV33" s="1952" t="s">
        <v>2253</v>
      </c>
      <c r="BW33" s="1967">
        <v>30</v>
      </c>
      <c r="BX33" s="1956" t="s">
        <v>414</v>
      </c>
      <c r="BY33" s="1955">
        <v>44448</v>
      </c>
      <c r="BZ33" s="1943" t="s">
        <v>7408</v>
      </c>
      <c r="CA33" s="1953">
        <v>31</v>
      </c>
      <c r="CB33" s="1956" t="s">
        <v>701</v>
      </c>
      <c r="CC33" s="1955">
        <v>44814</v>
      </c>
      <c r="CD33" s="1943" t="s">
        <v>7409</v>
      </c>
      <c r="CE33" s="1953">
        <v>17</v>
      </c>
      <c r="CF33" s="1956" t="s">
        <v>414</v>
      </c>
      <c r="CG33" s="1955">
        <v>45178</v>
      </c>
      <c r="CH33" s="1943" t="s">
        <v>7410</v>
      </c>
      <c r="CI33" s="1953">
        <v>21</v>
      </c>
      <c r="CJ33" s="1956" t="s">
        <v>414</v>
      </c>
      <c r="CK33" s="1955">
        <v>45548</v>
      </c>
      <c r="CL33" s="1943" t="s">
        <v>948</v>
      </c>
      <c r="CM33" s="1953">
        <v>9</v>
      </c>
      <c r="CN33" s="1956" t="s">
        <v>414</v>
      </c>
    </row>
    <row r="34" spans="1:92" ht="12.75">
      <c r="A34" s="982">
        <v>37509</v>
      </c>
      <c r="B34" s="1943" t="s">
        <v>7411</v>
      </c>
      <c r="C34" s="1944">
        <v>8</v>
      </c>
      <c r="D34" s="1945"/>
      <c r="E34" s="1955">
        <v>37874</v>
      </c>
      <c r="F34" s="1960" t="s">
        <v>7412</v>
      </c>
      <c r="G34" s="1944">
        <v>5</v>
      </c>
      <c r="H34" s="1945"/>
      <c r="I34" s="1955">
        <v>38246</v>
      </c>
      <c r="J34" s="1960" t="s">
        <v>802</v>
      </c>
      <c r="K34" s="1944">
        <v>25</v>
      </c>
      <c r="L34" s="1957"/>
      <c r="M34" s="1955">
        <v>38603</v>
      </c>
      <c r="N34" s="1960" t="s">
        <v>7413</v>
      </c>
      <c r="O34" s="1966">
        <v>27</v>
      </c>
      <c r="P34" s="1957">
        <v>25</v>
      </c>
      <c r="Q34" s="1955">
        <v>38990</v>
      </c>
      <c r="R34" s="1943" t="s">
        <v>7414</v>
      </c>
      <c r="S34" s="1968">
        <v>21</v>
      </c>
      <c r="T34" s="1945"/>
      <c r="U34" s="1955">
        <v>39344</v>
      </c>
      <c r="V34" s="1943" t="s">
        <v>7415</v>
      </c>
      <c r="W34" s="1967">
        <v>30</v>
      </c>
      <c r="X34" s="1945"/>
      <c r="Y34" s="1955">
        <v>39706</v>
      </c>
      <c r="Z34" s="1943" t="s">
        <v>7416</v>
      </c>
      <c r="AA34" s="1967">
        <v>0</v>
      </c>
      <c r="AB34" s="1945"/>
      <c r="AC34" s="1955">
        <v>40073</v>
      </c>
      <c r="AD34" s="1943" t="s">
        <v>802</v>
      </c>
      <c r="AE34" s="1967">
        <v>41</v>
      </c>
      <c r="AF34" s="1945"/>
      <c r="AG34" s="1955">
        <v>40438</v>
      </c>
      <c r="AH34" s="1943" t="s">
        <v>802</v>
      </c>
      <c r="AI34" s="1967">
        <v>38</v>
      </c>
      <c r="AJ34" s="1945"/>
      <c r="AK34" s="1955">
        <v>40804</v>
      </c>
      <c r="AL34" s="1943" t="s">
        <v>797</v>
      </c>
      <c r="AM34" s="1967">
        <v>52</v>
      </c>
      <c r="AN34" s="1945"/>
      <c r="AO34" s="1955">
        <v>41168</v>
      </c>
      <c r="AP34" s="1943" t="s">
        <v>7417</v>
      </c>
      <c r="AQ34" s="1967">
        <v>14</v>
      </c>
      <c r="AR34" s="1945"/>
      <c r="AS34" s="1955">
        <v>41530</v>
      </c>
      <c r="AT34" s="1943" t="s">
        <v>4957</v>
      </c>
      <c r="AU34" s="1967">
        <v>5</v>
      </c>
      <c r="AV34" s="1945"/>
      <c r="AW34" s="1955">
        <v>41895</v>
      </c>
      <c r="AX34" s="1943" t="s">
        <v>781</v>
      </c>
      <c r="AY34" s="1967">
        <v>19</v>
      </c>
      <c r="AZ34" s="1945"/>
      <c r="BA34" s="1955">
        <v>42259</v>
      </c>
      <c r="BB34" s="1943" t="s">
        <v>7418</v>
      </c>
      <c r="BC34" s="1967">
        <v>6</v>
      </c>
      <c r="BD34" s="1945"/>
      <c r="BE34" s="1955">
        <v>42625</v>
      </c>
      <c r="BF34" s="1943" t="s">
        <v>7419</v>
      </c>
      <c r="BG34" s="1967">
        <v>563</v>
      </c>
      <c r="BH34" s="1945"/>
      <c r="BI34" s="1955">
        <v>42982</v>
      </c>
      <c r="BJ34" s="1943" t="s">
        <v>872</v>
      </c>
      <c r="BK34" s="1967">
        <v>17</v>
      </c>
      <c r="BL34" s="1945"/>
      <c r="BM34" s="1955">
        <v>43352</v>
      </c>
      <c r="BN34" s="1943" t="s">
        <v>7420</v>
      </c>
      <c r="BO34" s="1967">
        <v>0</v>
      </c>
      <c r="BP34" s="1945"/>
      <c r="BQ34" s="1955">
        <v>43720</v>
      </c>
      <c r="BR34" s="1943" t="s">
        <v>7421</v>
      </c>
      <c r="BS34" s="1967">
        <v>3</v>
      </c>
      <c r="BT34" s="1956" t="s">
        <v>414</v>
      </c>
      <c r="BU34" s="1955">
        <v>44079</v>
      </c>
      <c r="BV34" s="1943" t="s">
        <v>7422</v>
      </c>
      <c r="BW34" s="1967">
        <v>30</v>
      </c>
      <c r="BX34" s="1956" t="s">
        <v>414</v>
      </c>
      <c r="BY34" s="1955">
        <v>44449</v>
      </c>
      <c r="BZ34" s="1943" t="s">
        <v>7423</v>
      </c>
      <c r="CA34" s="1953">
        <v>0</v>
      </c>
      <c r="CB34" s="1956" t="s">
        <v>280</v>
      </c>
      <c r="CC34" s="1955">
        <v>44814</v>
      </c>
      <c r="CD34" s="1943" t="s">
        <v>4633</v>
      </c>
      <c r="CE34" s="1953">
        <v>26</v>
      </c>
      <c r="CF34" s="1956" t="s">
        <v>700</v>
      </c>
      <c r="CG34" s="1955">
        <v>45178</v>
      </c>
      <c r="CH34" s="1943" t="s">
        <v>772</v>
      </c>
      <c r="CI34" s="1953">
        <v>27</v>
      </c>
      <c r="CJ34" s="1956" t="s">
        <v>414</v>
      </c>
      <c r="CK34" s="1955">
        <v>45551</v>
      </c>
      <c r="CL34" s="1943" t="s">
        <v>772</v>
      </c>
      <c r="CM34" s="1953">
        <v>64</v>
      </c>
      <c r="CN34" s="1956" t="s">
        <v>414</v>
      </c>
    </row>
    <row r="35" spans="1:92" ht="12.75">
      <c r="A35" s="982">
        <v>37510</v>
      </c>
      <c r="B35" s="1943" t="s">
        <v>7424</v>
      </c>
      <c r="C35" s="1944"/>
      <c r="D35" s="1945">
        <v>43</v>
      </c>
      <c r="E35" s="1955">
        <v>37874</v>
      </c>
      <c r="F35" s="1960" t="s">
        <v>7425</v>
      </c>
      <c r="G35" s="1944">
        <v>25</v>
      </c>
      <c r="H35" s="1945"/>
      <c r="I35" s="1955">
        <v>38248</v>
      </c>
      <c r="J35" s="1960" t="s">
        <v>7426</v>
      </c>
      <c r="K35" s="1944">
        <v>7</v>
      </c>
      <c r="L35" s="1957"/>
      <c r="M35" s="1955">
        <v>38603</v>
      </c>
      <c r="N35" s="1960" t="s">
        <v>7427</v>
      </c>
      <c r="O35" s="1969">
        <v>23</v>
      </c>
      <c r="P35" s="1957">
        <v>20</v>
      </c>
      <c r="Q35" s="1955">
        <v>38990</v>
      </c>
      <c r="R35" s="1943" t="s">
        <v>7428</v>
      </c>
      <c r="S35" s="1968">
        <v>0</v>
      </c>
      <c r="T35" s="1945"/>
      <c r="U35" s="1955">
        <v>39346</v>
      </c>
      <c r="V35" s="1943" t="s">
        <v>797</v>
      </c>
      <c r="W35" s="1967">
        <v>15</v>
      </c>
      <c r="X35" s="1945"/>
      <c r="Y35" s="1955">
        <v>39707</v>
      </c>
      <c r="Z35" s="1943" t="s">
        <v>7429</v>
      </c>
      <c r="AA35" s="1967">
        <v>46</v>
      </c>
      <c r="AB35" s="1945"/>
      <c r="AC35" s="1955">
        <v>40075</v>
      </c>
      <c r="AD35" s="1943" t="s">
        <v>772</v>
      </c>
      <c r="AE35" s="1967">
        <v>75</v>
      </c>
      <c r="AF35" s="1945"/>
      <c r="AG35" s="1955">
        <v>40439</v>
      </c>
      <c r="AH35" s="1943" t="s">
        <v>7430</v>
      </c>
      <c r="AI35" s="1967">
        <v>220</v>
      </c>
      <c r="AJ35" s="1945"/>
      <c r="AK35" s="1955">
        <v>40805</v>
      </c>
      <c r="AL35" s="1943" t="s">
        <v>7431</v>
      </c>
      <c r="AM35" s="1967">
        <v>20</v>
      </c>
      <c r="AN35" s="1945"/>
      <c r="AO35" s="1955">
        <v>41170</v>
      </c>
      <c r="AP35" s="1943" t="s">
        <v>802</v>
      </c>
      <c r="AQ35" s="1967">
        <v>60</v>
      </c>
      <c r="AR35" s="1945"/>
      <c r="AS35" s="1955">
        <v>41530</v>
      </c>
      <c r="AT35" s="1943" t="s">
        <v>754</v>
      </c>
      <c r="AU35" s="1967">
        <v>66</v>
      </c>
      <c r="AV35" s="1945"/>
      <c r="AW35" s="1955">
        <v>41896</v>
      </c>
      <c r="AX35" s="1943" t="s">
        <v>4325</v>
      </c>
      <c r="AY35" s="1967">
        <v>7</v>
      </c>
      <c r="AZ35" s="1945"/>
      <c r="BA35" s="1955">
        <v>42259</v>
      </c>
      <c r="BB35" s="1943" t="s">
        <v>7432</v>
      </c>
      <c r="BC35" s="1967">
        <v>41</v>
      </c>
      <c r="BD35" s="1945"/>
      <c r="BE35" s="1955">
        <v>42630</v>
      </c>
      <c r="BF35" s="1943" t="s">
        <v>7433</v>
      </c>
      <c r="BG35" s="1967">
        <v>67</v>
      </c>
      <c r="BH35" s="1945"/>
      <c r="BI35" s="1955">
        <v>42982</v>
      </c>
      <c r="BJ35" s="1943" t="s">
        <v>873</v>
      </c>
      <c r="BK35" s="1967">
        <v>19</v>
      </c>
      <c r="BL35" s="1945"/>
      <c r="BM35" s="1955">
        <v>43352</v>
      </c>
      <c r="BN35" s="1943" t="s">
        <v>7434</v>
      </c>
      <c r="BO35" s="1967">
        <v>19</v>
      </c>
      <c r="BP35" s="1945"/>
      <c r="BQ35" s="1955">
        <v>43722</v>
      </c>
      <c r="BR35" s="1943" t="s">
        <v>873</v>
      </c>
      <c r="BS35" s="1967">
        <v>29</v>
      </c>
      <c r="BT35" s="1956" t="s">
        <v>414</v>
      </c>
      <c r="BU35" s="1955">
        <v>44079</v>
      </c>
      <c r="BV35" s="1943" t="s">
        <v>3276</v>
      </c>
      <c r="BW35" s="1967">
        <v>12</v>
      </c>
      <c r="BX35" s="1956" t="s">
        <v>414</v>
      </c>
      <c r="BY35" s="1955">
        <v>44449</v>
      </c>
      <c r="BZ35" s="1943" t="s">
        <v>7435</v>
      </c>
      <c r="CA35" s="1953">
        <v>60</v>
      </c>
      <c r="CB35" s="1956" t="s">
        <v>700</v>
      </c>
      <c r="CC35" s="1955">
        <v>44814</v>
      </c>
      <c r="CD35" s="1943" t="s">
        <v>2397</v>
      </c>
      <c r="CE35" s="1953">
        <v>30</v>
      </c>
      <c r="CF35" s="1956" t="s">
        <v>700</v>
      </c>
      <c r="CG35" s="1955">
        <v>45178</v>
      </c>
      <c r="CH35" s="1943" t="s">
        <v>845</v>
      </c>
      <c r="CI35" s="1953">
        <v>67</v>
      </c>
      <c r="CJ35" s="1956" t="s">
        <v>414</v>
      </c>
      <c r="CK35" s="1955">
        <v>45551</v>
      </c>
      <c r="CL35" s="1943" t="s">
        <v>1180</v>
      </c>
      <c r="CM35" s="1953">
        <v>119</v>
      </c>
      <c r="CN35" s="1956" t="s">
        <v>410</v>
      </c>
    </row>
    <row r="36" spans="1:92" ht="12.75">
      <c r="A36" s="982">
        <v>37510</v>
      </c>
      <c r="B36" s="1943" t="s">
        <v>7436</v>
      </c>
      <c r="C36" s="1944">
        <v>14</v>
      </c>
      <c r="D36" s="1945"/>
      <c r="E36" s="1955">
        <v>37874</v>
      </c>
      <c r="F36" s="1943" t="s">
        <v>7437</v>
      </c>
      <c r="G36" s="1944">
        <v>8</v>
      </c>
      <c r="H36" s="1970"/>
      <c r="I36" s="1955">
        <v>38248</v>
      </c>
      <c r="J36" s="1943" t="s">
        <v>7438</v>
      </c>
      <c r="K36" s="1944">
        <v>7</v>
      </c>
      <c r="L36" s="1971"/>
      <c r="M36" s="1955">
        <v>38603</v>
      </c>
      <c r="N36" s="1960" t="s">
        <v>7439</v>
      </c>
      <c r="O36" s="1969">
        <v>10</v>
      </c>
      <c r="P36" s="1957">
        <v>10</v>
      </c>
      <c r="Q36" s="1955">
        <v>38990</v>
      </c>
      <c r="R36" s="1943" t="s">
        <v>7440</v>
      </c>
      <c r="S36" s="1968">
        <v>16</v>
      </c>
      <c r="T36" s="1945"/>
      <c r="U36" s="1955">
        <v>39346</v>
      </c>
      <c r="V36" s="1943" t="s">
        <v>7441</v>
      </c>
      <c r="W36" s="1967">
        <v>44</v>
      </c>
      <c r="X36" s="1945"/>
      <c r="Y36" s="1955">
        <v>39707</v>
      </c>
      <c r="Z36" s="1943" t="s">
        <v>937</v>
      </c>
      <c r="AA36" s="1967">
        <v>35</v>
      </c>
      <c r="AB36" s="1945"/>
      <c r="AC36" s="1955">
        <v>40075</v>
      </c>
      <c r="AD36" s="1943" t="s">
        <v>7330</v>
      </c>
      <c r="AE36" s="1967">
        <v>40</v>
      </c>
      <c r="AF36" s="1945"/>
      <c r="AG36" s="1955">
        <v>40439</v>
      </c>
      <c r="AH36" s="1943" t="s">
        <v>3437</v>
      </c>
      <c r="AI36" s="1967">
        <v>7</v>
      </c>
      <c r="AJ36" s="1945"/>
      <c r="AK36" s="1955">
        <v>40806</v>
      </c>
      <c r="AL36" s="1943" t="s">
        <v>7442</v>
      </c>
      <c r="AM36" s="1967">
        <v>7</v>
      </c>
      <c r="AN36" s="1945"/>
      <c r="AO36" s="1955">
        <v>41174</v>
      </c>
      <c r="AP36" s="1943" t="s">
        <v>7443</v>
      </c>
      <c r="AQ36" s="1967">
        <v>150</v>
      </c>
      <c r="AR36" s="1945"/>
      <c r="AS36" s="1955">
        <v>41534</v>
      </c>
      <c r="AT36" s="1943" t="s">
        <v>7444</v>
      </c>
      <c r="AU36" s="1967">
        <v>18</v>
      </c>
      <c r="AV36" s="1945"/>
      <c r="AW36" s="1955">
        <v>41896</v>
      </c>
      <c r="AX36" s="1943" t="s">
        <v>754</v>
      </c>
      <c r="AY36" s="1967">
        <v>7</v>
      </c>
      <c r="AZ36" s="1945"/>
      <c r="BA36" s="1955">
        <v>42259</v>
      </c>
      <c r="BB36" s="1943" t="s">
        <v>7445</v>
      </c>
      <c r="BC36" s="1967">
        <v>4</v>
      </c>
      <c r="BD36" s="1945"/>
      <c r="BE36" s="1955">
        <v>42630</v>
      </c>
      <c r="BF36" s="1943" t="s">
        <v>823</v>
      </c>
      <c r="BG36" s="1967">
        <v>19</v>
      </c>
      <c r="BH36" s="1945"/>
      <c r="BI36" s="1955">
        <v>42983</v>
      </c>
      <c r="BJ36" s="1943" t="s">
        <v>7446</v>
      </c>
      <c r="BK36" s="1967">
        <v>149</v>
      </c>
      <c r="BL36" s="1945"/>
      <c r="BM36" s="1955">
        <v>43352</v>
      </c>
      <c r="BN36" s="1943" t="s">
        <v>7447</v>
      </c>
      <c r="BO36" s="1967">
        <v>4</v>
      </c>
      <c r="BP36" s="1945"/>
      <c r="BQ36" s="1955">
        <v>43722</v>
      </c>
      <c r="BR36" s="1943" t="s">
        <v>845</v>
      </c>
      <c r="BS36" s="1967">
        <v>19</v>
      </c>
      <c r="BT36" s="1956" t="s">
        <v>414</v>
      </c>
      <c r="BU36" s="1955">
        <v>44079</v>
      </c>
      <c r="BV36" s="1943" t="s">
        <v>7448</v>
      </c>
      <c r="BW36" s="1967">
        <v>210</v>
      </c>
      <c r="BX36" s="1956" t="s">
        <v>701</v>
      </c>
      <c r="BY36" s="1955">
        <v>44449</v>
      </c>
      <c r="BZ36" s="1943" t="s">
        <v>7449</v>
      </c>
      <c r="CA36" s="1953">
        <v>40</v>
      </c>
      <c r="CB36" s="1956" t="s">
        <v>700</v>
      </c>
      <c r="CC36" s="1955">
        <v>44814</v>
      </c>
      <c r="CD36" s="1943" t="s">
        <v>7450</v>
      </c>
      <c r="CE36" s="1953">
        <v>65</v>
      </c>
      <c r="CF36" s="1956" t="s">
        <v>280</v>
      </c>
      <c r="CG36" s="1955">
        <v>45178</v>
      </c>
      <c r="CH36" s="1943" t="s">
        <v>843</v>
      </c>
      <c r="CI36" s="1953">
        <v>22</v>
      </c>
      <c r="CJ36" s="1956" t="s">
        <v>414</v>
      </c>
      <c r="CK36" s="1955">
        <v>45553</v>
      </c>
      <c r="CL36" s="1943" t="s">
        <v>7451</v>
      </c>
      <c r="CM36" s="1953">
        <v>30</v>
      </c>
      <c r="CN36" s="2002" t="s">
        <v>689</v>
      </c>
    </row>
    <row r="37" spans="1:92" ht="12.75">
      <c r="A37" s="982">
        <v>37510</v>
      </c>
      <c r="B37" s="1943" t="s">
        <v>7452</v>
      </c>
      <c r="C37" s="1944">
        <v>71</v>
      </c>
      <c r="D37" s="1945"/>
      <c r="E37" s="1955">
        <v>37874</v>
      </c>
      <c r="F37" s="1960" t="s">
        <v>7453</v>
      </c>
      <c r="G37" s="1944">
        <v>21</v>
      </c>
      <c r="H37" s="1945"/>
      <c r="I37" s="1955">
        <v>38248</v>
      </c>
      <c r="J37" s="1960" t="s">
        <v>797</v>
      </c>
      <c r="K37" s="1944">
        <v>25</v>
      </c>
      <c r="L37" s="1957"/>
      <c r="M37" s="1955">
        <v>38603</v>
      </c>
      <c r="N37" s="1960" t="s">
        <v>7454</v>
      </c>
      <c r="O37" s="1969">
        <v>28</v>
      </c>
      <c r="P37" s="1957">
        <v>25</v>
      </c>
      <c r="Q37" s="1955"/>
      <c r="R37" s="1943"/>
      <c r="S37" s="1968"/>
      <c r="T37" s="1945"/>
      <c r="U37" s="1955">
        <v>39348</v>
      </c>
      <c r="V37" s="1943" t="s">
        <v>7455</v>
      </c>
      <c r="W37" s="1967">
        <v>1</v>
      </c>
      <c r="X37" s="1945"/>
      <c r="Y37" s="1955">
        <v>39708</v>
      </c>
      <c r="Z37" s="1943" t="s">
        <v>937</v>
      </c>
      <c r="AA37" s="1967">
        <v>7</v>
      </c>
      <c r="AB37" s="1945"/>
      <c r="AC37" s="1955">
        <v>40075</v>
      </c>
      <c r="AD37" s="1943" t="s">
        <v>783</v>
      </c>
      <c r="AE37" s="1967">
        <v>8</v>
      </c>
      <c r="AF37" s="1945"/>
      <c r="AG37" s="1955">
        <v>40439</v>
      </c>
      <c r="AH37" s="1943" t="s">
        <v>781</v>
      </c>
      <c r="AI37" s="1967">
        <v>90</v>
      </c>
      <c r="AJ37" s="1945"/>
      <c r="AK37" s="1955">
        <v>40809</v>
      </c>
      <c r="AL37" s="1943" t="s">
        <v>7456</v>
      </c>
      <c r="AM37" s="1967">
        <v>10</v>
      </c>
      <c r="AN37" s="1945"/>
      <c r="AO37" s="1955">
        <v>41174</v>
      </c>
      <c r="AP37" s="1943" t="s">
        <v>7457</v>
      </c>
      <c r="AQ37" s="1967">
        <v>91</v>
      </c>
      <c r="AR37" s="1945"/>
      <c r="AS37" s="1955">
        <v>41537</v>
      </c>
      <c r="AT37" s="1943" t="s">
        <v>7458</v>
      </c>
      <c r="AU37" s="1967">
        <v>7</v>
      </c>
      <c r="AV37" s="1945"/>
      <c r="AW37" s="1955">
        <v>41899</v>
      </c>
      <c r="AX37" s="1943" t="s">
        <v>7459</v>
      </c>
      <c r="AY37" s="1967">
        <v>16</v>
      </c>
      <c r="AZ37" s="1945"/>
      <c r="BA37" s="1955">
        <v>42259</v>
      </c>
      <c r="BB37" s="1943" t="s">
        <v>7460</v>
      </c>
      <c r="BC37" s="1967">
        <v>10</v>
      </c>
      <c r="BD37" s="1945"/>
      <c r="BE37" s="1955">
        <v>42630</v>
      </c>
      <c r="BF37" s="1943" t="s">
        <v>3037</v>
      </c>
      <c r="BG37" s="1967">
        <v>18</v>
      </c>
      <c r="BH37" s="1945"/>
      <c r="BI37" s="1955">
        <v>42984</v>
      </c>
      <c r="BJ37" s="1943" t="s">
        <v>7461</v>
      </c>
      <c r="BK37" s="1967">
        <v>18</v>
      </c>
      <c r="BL37" s="1945"/>
      <c r="BM37" s="1955">
        <v>43352</v>
      </c>
      <c r="BN37" s="1943" t="s">
        <v>7334</v>
      </c>
      <c r="BO37" s="1967">
        <v>8</v>
      </c>
      <c r="BP37" s="1945"/>
      <c r="BQ37" s="1955">
        <v>43722</v>
      </c>
      <c r="BR37" s="1943" t="s">
        <v>872</v>
      </c>
      <c r="BS37" s="1967">
        <v>19</v>
      </c>
      <c r="BT37" s="1956" t="s">
        <v>414</v>
      </c>
      <c r="BU37" s="1955">
        <v>44079</v>
      </c>
      <c r="BV37" s="1943" t="s">
        <v>3244</v>
      </c>
      <c r="BW37" s="1967">
        <v>11</v>
      </c>
      <c r="BX37" s="1956" t="s">
        <v>280</v>
      </c>
      <c r="BY37" s="1955">
        <v>44450</v>
      </c>
      <c r="BZ37" s="1943" t="s">
        <v>7462</v>
      </c>
      <c r="CA37" s="1953">
        <v>25</v>
      </c>
      <c r="CB37" s="1956" t="s">
        <v>278</v>
      </c>
      <c r="CC37" s="1955">
        <v>44815</v>
      </c>
      <c r="CD37" s="1943" t="s">
        <v>7463</v>
      </c>
      <c r="CE37" s="1953">
        <v>30</v>
      </c>
      <c r="CF37" s="1956" t="s">
        <v>278</v>
      </c>
      <c r="CG37" s="1955">
        <v>45178</v>
      </c>
      <c r="CH37" s="1943" t="s">
        <v>7464</v>
      </c>
      <c r="CI37" s="1953">
        <v>9</v>
      </c>
      <c r="CJ37" s="1956" t="s">
        <v>414</v>
      </c>
      <c r="CK37" s="1955">
        <v>45553</v>
      </c>
      <c r="CL37" s="1943" t="s">
        <v>7465</v>
      </c>
      <c r="CM37" s="1953">
        <v>40</v>
      </c>
      <c r="CN37" s="1956" t="s">
        <v>280</v>
      </c>
    </row>
    <row r="38" spans="1:92" ht="12.75">
      <c r="A38" s="982">
        <v>37510</v>
      </c>
      <c r="B38" s="1943" t="s">
        <v>410</v>
      </c>
      <c r="C38" s="1944">
        <v>21</v>
      </c>
      <c r="D38" s="1945"/>
      <c r="E38" s="1955">
        <v>37875</v>
      </c>
      <c r="F38" s="1960" t="s">
        <v>7466</v>
      </c>
      <c r="G38" s="1944">
        <v>47</v>
      </c>
      <c r="H38" s="1945"/>
      <c r="I38" s="1955">
        <v>38249</v>
      </c>
      <c r="J38" s="1960" t="s">
        <v>7467</v>
      </c>
      <c r="K38" s="1944">
        <v>7</v>
      </c>
      <c r="L38" s="1957"/>
      <c r="M38" s="1955">
        <v>38603</v>
      </c>
      <c r="N38" s="1960" t="s">
        <v>7468</v>
      </c>
      <c r="O38" s="1969">
        <v>20</v>
      </c>
      <c r="P38" s="1957">
        <v>16</v>
      </c>
      <c r="Q38" s="1955"/>
      <c r="R38" s="1943"/>
      <c r="S38" s="1968"/>
      <c r="T38" s="1945"/>
      <c r="U38" s="1955">
        <v>39348</v>
      </c>
      <c r="V38" s="1943" t="s">
        <v>7469</v>
      </c>
      <c r="W38" s="1967">
        <v>9</v>
      </c>
      <c r="X38" s="1945"/>
      <c r="Y38" s="1955">
        <v>39708</v>
      </c>
      <c r="Z38" s="1943" t="s">
        <v>867</v>
      </c>
      <c r="AA38" s="1967">
        <v>32</v>
      </c>
      <c r="AB38" s="1945"/>
      <c r="AC38" s="1955">
        <v>40075</v>
      </c>
      <c r="AD38" s="1943" t="s">
        <v>781</v>
      </c>
      <c r="AE38" s="1967">
        <v>88</v>
      </c>
      <c r="AF38" s="1945"/>
      <c r="AG38" s="1955">
        <v>40439</v>
      </c>
      <c r="AH38" s="1943" t="s">
        <v>7470</v>
      </c>
      <c r="AI38" s="1967">
        <v>10</v>
      </c>
      <c r="AJ38" s="1945"/>
      <c r="AK38" s="1955">
        <v>40809</v>
      </c>
      <c r="AL38" s="1943" t="s">
        <v>7471</v>
      </c>
      <c r="AM38" s="1967">
        <v>40</v>
      </c>
      <c r="AN38" s="1945"/>
      <c r="AO38" s="1955">
        <v>41174</v>
      </c>
      <c r="AP38" s="1943" t="s">
        <v>7472</v>
      </c>
      <c r="AQ38" s="1967">
        <v>400</v>
      </c>
      <c r="AR38" s="1945"/>
      <c r="AS38" s="1955">
        <v>41537</v>
      </c>
      <c r="AT38" s="1943" t="s">
        <v>7473</v>
      </c>
      <c r="AU38" s="1967">
        <v>10</v>
      </c>
      <c r="AV38" s="1945"/>
      <c r="AW38" s="1955">
        <v>41901</v>
      </c>
      <c r="AX38" s="1943" t="s">
        <v>7474</v>
      </c>
      <c r="AY38" s="1967">
        <v>85</v>
      </c>
      <c r="AZ38" s="1945"/>
      <c r="BA38" s="1955">
        <v>42259</v>
      </c>
      <c r="BB38" s="1943" t="s">
        <v>7475</v>
      </c>
      <c r="BC38" s="1967">
        <v>10</v>
      </c>
      <c r="BD38" s="1945"/>
      <c r="BE38" s="1955">
        <v>42630</v>
      </c>
      <c r="BF38" s="1943" t="s">
        <v>859</v>
      </c>
      <c r="BG38" s="1967">
        <v>31</v>
      </c>
      <c r="BH38" s="1945"/>
      <c r="BI38" s="1955">
        <v>42986</v>
      </c>
      <c r="BJ38" s="1943" t="s">
        <v>797</v>
      </c>
      <c r="BK38" s="1967">
        <v>42</v>
      </c>
      <c r="BL38" s="1945"/>
      <c r="BM38" s="1955">
        <v>43353</v>
      </c>
      <c r="BN38" s="1943" t="s">
        <v>7476</v>
      </c>
      <c r="BO38" s="1967">
        <v>19</v>
      </c>
      <c r="BP38" s="1945"/>
      <c r="BQ38" s="1955">
        <v>43722</v>
      </c>
      <c r="BR38" s="1943" t="s">
        <v>772</v>
      </c>
      <c r="BS38" s="1967">
        <v>19</v>
      </c>
      <c r="BT38" s="1956" t="s">
        <v>414</v>
      </c>
      <c r="BU38" s="1955">
        <v>44079</v>
      </c>
      <c r="BV38" s="1943" t="s">
        <v>7477</v>
      </c>
      <c r="BW38" s="1967">
        <v>85</v>
      </c>
      <c r="BX38" s="1956" t="s">
        <v>280</v>
      </c>
      <c r="BY38" s="1955">
        <v>44450</v>
      </c>
      <c r="BZ38" s="1943" t="s">
        <v>3722</v>
      </c>
      <c r="CA38" s="1953">
        <v>17</v>
      </c>
      <c r="CB38" s="1956" t="s">
        <v>278</v>
      </c>
      <c r="CC38" s="1955">
        <v>44815</v>
      </c>
      <c r="CD38" s="1943" t="s">
        <v>2314</v>
      </c>
      <c r="CE38" s="1953">
        <v>18</v>
      </c>
      <c r="CF38" s="1956" t="s">
        <v>278</v>
      </c>
      <c r="CG38" s="1955">
        <v>45178</v>
      </c>
      <c r="CH38" s="1943" t="s">
        <v>862</v>
      </c>
      <c r="CI38" s="1953">
        <v>16</v>
      </c>
      <c r="CJ38" s="1956" t="s">
        <v>414</v>
      </c>
      <c r="CK38" s="1955">
        <v>45555</v>
      </c>
      <c r="CL38" s="1943" t="s">
        <v>1006</v>
      </c>
      <c r="CM38" s="1953">
        <v>100</v>
      </c>
      <c r="CN38" s="1956" t="s">
        <v>700</v>
      </c>
    </row>
    <row r="39" spans="1:92" ht="12.75">
      <c r="A39" s="982">
        <v>37511</v>
      </c>
      <c r="B39" s="1943" t="s">
        <v>410</v>
      </c>
      <c r="C39" s="1944"/>
      <c r="D39" s="1945">
        <v>18</v>
      </c>
      <c r="E39" s="1955">
        <v>37875</v>
      </c>
      <c r="F39" s="1960" t="s">
        <v>802</v>
      </c>
      <c r="G39" s="1944">
        <v>28</v>
      </c>
      <c r="H39" s="1945"/>
      <c r="I39" s="1955">
        <v>38250</v>
      </c>
      <c r="J39" s="1960" t="s">
        <v>1157</v>
      </c>
      <c r="K39" s="1944">
        <v>15</v>
      </c>
      <c r="L39" s="1945"/>
      <c r="M39" s="1955">
        <v>38604</v>
      </c>
      <c r="N39" s="1960" t="s">
        <v>7478</v>
      </c>
      <c r="O39" s="1969">
        <v>10</v>
      </c>
      <c r="P39" s="1957">
        <v>8</v>
      </c>
      <c r="Q39" s="1955"/>
      <c r="R39" s="1943"/>
      <c r="S39" s="1968"/>
      <c r="T39" s="1945"/>
      <c r="U39" s="1955">
        <v>39348</v>
      </c>
      <c r="V39" s="1943" t="s">
        <v>783</v>
      </c>
      <c r="W39" s="1967">
        <v>33</v>
      </c>
      <c r="X39" s="1945"/>
      <c r="Y39" s="1955">
        <v>39708</v>
      </c>
      <c r="Z39" s="1943" t="s">
        <v>7479</v>
      </c>
      <c r="AA39" s="1967">
        <v>8</v>
      </c>
      <c r="AB39" s="1945"/>
      <c r="AC39" s="1972">
        <v>40076</v>
      </c>
      <c r="AD39" s="1943" t="s">
        <v>867</v>
      </c>
      <c r="AE39" s="1967">
        <v>25</v>
      </c>
      <c r="AF39" s="1945"/>
      <c r="AG39" s="1955">
        <v>40439</v>
      </c>
      <c r="AH39" s="1943" t="s">
        <v>7480</v>
      </c>
      <c r="AI39" s="1967">
        <v>11</v>
      </c>
      <c r="AJ39" s="1945"/>
      <c r="AK39" s="1955">
        <v>40810</v>
      </c>
      <c r="AL39" s="1943" t="s">
        <v>772</v>
      </c>
      <c r="AM39" s="1967">
        <v>138</v>
      </c>
      <c r="AN39" s="1945"/>
      <c r="AO39" s="1955">
        <v>41174</v>
      </c>
      <c r="AP39" s="1943" t="s">
        <v>7481</v>
      </c>
      <c r="AQ39" s="1967">
        <v>65</v>
      </c>
      <c r="AR39" s="1945"/>
      <c r="AS39" s="1955">
        <v>41537</v>
      </c>
      <c r="AT39" s="1943" t="s">
        <v>754</v>
      </c>
      <c r="AU39" s="1967">
        <v>126</v>
      </c>
      <c r="AV39" s="1945"/>
      <c r="AW39" s="1955">
        <v>41901</v>
      </c>
      <c r="AX39" s="1943" t="s">
        <v>797</v>
      </c>
      <c r="AY39" s="1967">
        <v>21</v>
      </c>
      <c r="AZ39" s="1945"/>
      <c r="BA39" s="1955">
        <v>42259</v>
      </c>
      <c r="BB39" s="1943" t="s">
        <v>998</v>
      </c>
      <c r="BC39" s="1967">
        <v>26</v>
      </c>
      <c r="BD39" s="1945"/>
      <c r="BE39" s="1955">
        <v>42631</v>
      </c>
      <c r="BF39" s="1943" t="s">
        <v>7103</v>
      </c>
      <c r="BG39" s="1967">
        <v>20</v>
      </c>
      <c r="BH39" s="1945"/>
      <c r="BI39" s="1955">
        <v>42986</v>
      </c>
      <c r="BJ39" s="1943" t="s">
        <v>859</v>
      </c>
      <c r="BK39" s="1967">
        <v>18</v>
      </c>
      <c r="BL39" s="1945"/>
      <c r="BM39" s="1955">
        <v>43353</v>
      </c>
      <c r="BN39" s="1943" t="s">
        <v>7482</v>
      </c>
      <c r="BO39" s="1967">
        <v>23</v>
      </c>
      <c r="BP39" s="1945"/>
      <c r="BQ39" s="1955">
        <v>43722</v>
      </c>
      <c r="BR39" s="1943" t="s">
        <v>7483</v>
      </c>
      <c r="BS39" s="1967">
        <v>17</v>
      </c>
      <c r="BT39" s="1956" t="s">
        <v>414</v>
      </c>
      <c r="BU39" s="1955">
        <v>44079</v>
      </c>
      <c r="BV39" s="1943" t="s">
        <v>2253</v>
      </c>
      <c r="BW39" s="1967">
        <v>29</v>
      </c>
      <c r="BX39" s="1956" t="s">
        <v>414</v>
      </c>
      <c r="BY39" s="1955">
        <v>44450</v>
      </c>
      <c r="BZ39" s="1943" t="s">
        <v>5031</v>
      </c>
      <c r="CA39" s="1953">
        <v>16</v>
      </c>
      <c r="CB39" s="1956" t="s">
        <v>278</v>
      </c>
      <c r="CC39" s="1955">
        <v>44815</v>
      </c>
      <c r="CD39" s="1943" t="s">
        <v>7484</v>
      </c>
      <c r="CE39" s="1953">
        <v>21</v>
      </c>
      <c r="CF39" s="1956" t="s">
        <v>278</v>
      </c>
      <c r="CG39" s="1955">
        <v>45179</v>
      </c>
      <c r="CH39" s="1943" t="s">
        <v>7485</v>
      </c>
      <c r="CI39" s="1953">
        <v>7</v>
      </c>
      <c r="CJ39" s="1956" t="s">
        <v>414</v>
      </c>
      <c r="CK39" s="1955">
        <v>45556</v>
      </c>
      <c r="CL39" s="1943" t="s">
        <v>845</v>
      </c>
      <c r="CM39" s="1953">
        <v>37</v>
      </c>
      <c r="CN39" s="1956" t="s">
        <v>414</v>
      </c>
    </row>
    <row r="40" spans="1:92" ht="12.75">
      <c r="A40" s="982">
        <v>37511</v>
      </c>
      <c r="B40" s="1943" t="s">
        <v>915</v>
      </c>
      <c r="C40" s="1944"/>
      <c r="D40" s="1945">
        <v>19</v>
      </c>
      <c r="E40" s="1955">
        <v>37876</v>
      </c>
      <c r="F40" s="1960" t="s">
        <v>7486</v>
      </c>
      <c r="G40" s="1944">
        <v>38</v>
      </c>
      <c r="H40" s="1945"/>
      <c r="I40" s="1955">
        <v>38251</v>
      </c>
      <c r="J40" s="1960" t="s">
        <v>7487</v>
      </c>
      <c r="K40" s="1944">
        <v>20</v>
      </c>
      <c r="L40" s="1945"/>
      <c r="M40" s="1955">
        <v>38604</v>
      </c>
      <c r="N40" s="1960" t="s">
        <v>1143</v>
      </c>
      <c r="O40" s="1969">
        <v>54</v>
      </c>
      <c r="P40" s="1957">
        <v>46</v>
      </c>
      <c r="Q40" s="1955"/>
      <c r="R40" s="1943"/>
      <c r="S40" s="1968"/>
      <c r="T40" s="1945"/>
      <c r="U40" s="1955">
        <v>39348</v>
      </c>
      <c r="V40" s="1943" t="s">
        <v>1944</v>
      </c>
      <c r="W40" s="1967">
        <v>27</v>
      </c>
      <c r="X40" s="1945"/>
      <c r="Y40" s="1955">
        <v>39708</v>
      </c>
      <c r="Z40" s="1943" t="s">
        <v>7488</v>
      </c>
      <c r="AA40" s="1967">
        <v>17</v>
      </c>
      <c r="AB40" s="1945"/>
      <c r="AC40" s="1955">
        <v>40076</v>
      </c>
      <c r="AD40" s="1943" t="s">
        <v>937</v>
      </c>
      <c r="AE40" s="1967">
        <v>7</v>
      </c>
      <c r="AF40" s="1945"/>
      <c r="AG40" s="1955">
        <v>40439</v>
      </c>
      <c r="AH40" s="1943" t="s">
        <v>960</v>
      </c>
      <c r="AI40" s="1967">
        <v>7</v>
      </c>
      <c r="AJ40" s="1945"/>
      <c r="AK40" s="1955">
        <v>40810</v>
      </c>
      <c r="AL40" s="1943" t="s">
        <v>7489</v>
      </c>
      <c r="AM40" s="1967">
        <v>32</v>
      </c>
      <c r="AN40" s="1945"/>
      <c r="AO40" s="1955">
        <v>41174</v>
      </c>
      <c r="AP40" s="1943" t="s">
        <v>7490</v>
      </c>
      <c r="AQ40" s="1967">
        <v>250</v>
      </c>
      <c r="AR40" s="1945"/>
      <c r="AS40" s="1955">
        <v>41538</v>
      </c>
      <c r="AT40" s="1943" t="s">
        <v>7491</v>
      </c>
      <c r="AU40" s="1967">
        <v>16</v>
      </c>
      <c r="AV40" s="1945"/>
      <c r="AW40" s="1955">
        <v>41901</v>
      </c>
      <c r="AX40" s="1943" t="s">
        <v>7492</v>
      </c>
      <c r="AY40" s="1967">
        <v>51</v>
      </c>
      <c r="AZ40" s="1945"/>
      <c r="BA40" s="1955">
        <v>42259</v>
      </c>
      <c r="BB40" s="1943" t="s">
        <v>781</v>
      </c>
      <c r="BC40" s="1967">
        <v>116</v>
      </c>
      <c r="BD40" s="1945"/>
      <c r="BE40" s="1955">
        <v>42631</v>
      </c>
      <c r="BF40" s="1943" t="s">
        <v>1180</v>
      </c>
      <c r="BG40" s="1967">
        <v>67</v>
      </c>
      <c r="BH40" s="1945"/>
      <c r="BI40" s="1955">
        <v>42987</v>
      </c>
      <c r="BJ40" s="1943" t="s">
        <v>823</v>
      </c>
      <c r="BK40" s="1967">
        <v>30</v>
      </c>
      <c r="BL40" s="1945"/>
      <c r="BM40" s="1955">
        <v>43353</v>
      </c>
      <c r="BN40" s="1943" t="s">
        <v>7493</v>
      </c>
      <c r="BO40" s="1967">
        <v>14</v>
      </c>
      <c r="BP40" s="1945"/>
      <c r="BQ40" s="1955">
        <v>43722</v>
      </c>
      <c r="BR40" s="1943" t="s">
        <v>7494</v>
      </c>
      <c r="BS40" s="1967">
        <v>9</v>
      </c>
      <c r="BT40" s="1956" t="s">
        <v>414</v>
      </c>
      <c r="BU40" s="1955">
        <v>44079</v>
      </c>
      <c r="BV40" s="1943" t="s">
        <v>7241</v>
      </c>
      <c r="BW40" s="1967">
        <v>9</v>
      </c>
      <c r="BX40" s="1956" t="s">
        <v>414</v>
      </c>
      <c r="BY40" s="1955">
        <v>44451</v>
      </c>
      <c r="BZ40" s="1943" t="s">
        <v>772</v>
      </c>
      <c r="CA40" s="1953">
        <v>34</v>
      </c>
      <c r="CB40" s="1956" t="s">
        <v>414</v>
      </c>
      <c r="CC40" s="1955">
        <v>44815</v>
      </c>
      <c r="CD40" s="1943" t="s">
        <v>7463</v>
      </c>
      <c r="CE40" s="1953">
        <v>23</v>
      </c>
      <c r="CF40" s="1956" t="s">
        <v>278</v>
      </c>
      <c r="CG40" s="1955">
        <v>45180</v>
      </c>
      <c r="CH40" s="1943" t="s">
        <v>7495</v>
      </c>
      <c r="CI40" s="1953">
        <v>65</v>
      </c>
      <c r="CJ40" s="1956" t="s">
        <v>278</v>
      </c>
      <c r="CK40" s="1955">
        <v>45556</v>
      </c>
      <c r="CL40" s="1943" t="s">
        <v>772</v>
      </c>
      <c r="CM40" s="1953"/>
      <c r="CN40" s="1956" t="s">
        <v>414</v>
      </c>
    </row>
    <row r="41" spans="1:92" ht="12.75">
      <c r="A41" s="982">
        <v>37511</v>
      </c>
      <c r="B41" s="1943" t="s">
        <v>7496</v>
      </c>
      <c r="C41" s="1944"/>
      <c r="D41" s="1945">
        <v>100</v>
      </c>
      <c r="E41" s="1955">
        <v>37876</v>
      </c>
      <c r="F41" s="1960" t="s">
        <v>7497</v>
      </c>
      <c r="G41" s="1944">
        <v>38</v>
      </c>
      <c r="H41" s="1945"/>
      <c r="I41" s="1955">
        <v>38251</v>
      </c>
      <c r="J41" s="1960" t="s">
        <v>7498</v>
      </c>
      <c r="K41" s="1944">
        <v>2</v>
      </c>
      <c r="L41" s="1945"/>
      <c r="M41" s="1955">
        <v>38604</v>
      </c>
      <c r="N41" s="1960" t="s">
        <v>7499</v>
      </c>
      <c r="O41" s="1969">
        <v>30</v>
      </c>
      <c r="P41" s="1957">
        <v>28</v>
      </c>
      <c r="Q41" s="1955"/>
      <c r="R41" s="1943"/>
      <c r="S41" s="1968"/>
      <c r="T41" s="1945"/>
      <c r="U41" s="1955">
        <v>39348</v>
      </c>
      <c r="V41" s="1943" t="s">
        <v>937</v>
      </c>
      <c r="W41" s="1967">
        <v>10</v>
      </c>
      <c r="X41" s="1945"/>
      <c r="Y41" s="1955">
        <v>39710</v>
      </c>
      <c r="Z41" s="1943" t="s">
        <v>7500</v>
      </c>
      <c r="AA41" s="1967">
        <v>162</v>
      </c>
      <c r="AB41" s="1945"/>
      <c r="AC41" s="1955">
        <v>40078</v>
      </c>
      <c r="AD41" s="1943" t="s">
        <v>937</v>
      </c>
      <c r="AE41" s="1967">
        <v>25</v>
      </c>
      <c r="AF41" s="1945"/>
      <c r="AG41" s="1955">
        <v>40439</v>
      </c>
      <c r="AH41" s="1943" t="s">
        <v>7501</v>
      </c>
      <c r="AI41" s="1967">
        <v>10</v>
      </c>
      <c r="AJ41" s="1945"/>
      <c r="AK41" s="1955">
        <v>40810</v>
      </c>
      <c r="AL41" s="1943" t="s">
        <v>781</v>
      </c>
      <c r="AM41" s="1967">
        <v>90</v>
      </c>
      <c r="AN41" s="1945"/>
      <c r="AO41" s="1955">
        <v>41174</v>
      </c>
      <c r="AP41" s="1943" t="s">
        <v>7502</v>
      </c>
      <c r="AQ41" s="1967">
        <v>150</v>
      </c>
      <c r="AR41" s="1945"/>
      <c r="AS41" s="1955">
        <v>41539</v>
      </c>
      <c r="AT41" s="1943" t="s">
        <v>6447</v>
      </c>
      <c r="AU41" s="1967">
        <v>4</v>
      </c>
      <c r="AV41" s="1945"/>
      <c r="AW41" s="1955">
        <v>41902</v>
      </c>
      <c r="AX41" s="1943" t="s">
        <v>7503</v>
      </c>
      <c r="AY41" s="1967">
        <v>33</v>
      </c>
      <c r="AZ41" s="1945"/>
      <c r="BA41" s="1955">
        <v>42259</v>
      </c>
      <c r="BB41" s="1943" t="s">
        <v>772</v>
      </c>
      <c r="BC41" s="1967">
        <v>31</v>
      </c>
      <c r="BD41" s="1945"/>
      <c r="BE41" s="1955">
        <v>42632</v>
      </c>
      <c r="BF41" s="1943" t="s">
        <v>7504</v>
      </c>
      <c r="BG41" s="1967">
        <v>15</v>
      </c>
      <c r="BH41" s="1945"/>
      <c r="BI41" s="1955">
        <v>42987</v>
      </c>
      <c r="BJ41" s="1943" t="s">
        <v>873</v>
      </c>
      <c r="BK41" s="1967">
        <v>20</v>
      </c>
      <c r="BL41" s="1945"/>
      <c r="BM41" s="1955">
        <v>43353</v>
      </c>
      <c r="BN41" s="1943" t="s">
        <v>7505</v>
      </c>
      <c r="BO41" s="1967">
        <v>8</v>
      </c>
      <c r="BP41" s="1945"/>
      <c r="BQ41" s="1955">
        <v>43722</v>
      </c>
      <c r="BR41" s="1943" t="s">
        <v>4571</v>
      </c>
      <c r="BS41" s="1967">
        <v>6</v>
      </c>
      <c r="BT41" s="1956" t="s">
        <v>414</v>
      </c>
      <c r="BU41" s="1955">
        <v>44079</v>
      </c>
      <c r="BV41" s="1943" t="s">
        <v>845</v>
      </c>
      <c r="BW41" s="1967">
        <v>39</v>
      </c>
      <c r="BX41" s="1956" t="s">
        <v>414</v>
      </c>
      <c r="BY41" s="1955">
        <v>44451</v>
      </c>
      <c r="BZ41" s="1943" t="s">
        <v>845</v>
      </c>
      <c r="CA41" s="1953">
        <v>36</v>
      </c>
      <c r="CB41" s="1956" t="s">
        <v>414</v>
      </c>
      <c r="CC41" s="1955">
        <v>44816</v>
      </c>
      <c r="CD41" s="1943" t="s">
        <v>7506</v>
      </c>
      <c r="CE41" s="1953">
        <v>50</v>
      </c>
      <c r="CF41" s="1956" t="s">
        <v>426</v>
      </c>
      <c r="CG41" s="1955">
        <v>45180</v>
      </c>
      <c r="CH41" s="1943" t="s">
        <v>7507</v>
      </c>
      <c r="CI41" s="1953">
        <v>176</v>
      </c>
      <c r="CJ41" s="1956" t="s">
        <v>426</v>
      </c>
      <c r="CK41" s="1955">
        <v>45556</v>
      </c>
      <c r="CL41" s="1943" t="s">
        <v>7508</v>
      </c>
      <c r="CM41" s="1953">
        <v>26</v>
      </c>
      <c r="CN41" s="1956" t="s">
        <v>414</v>
      </c>
    </row>
    <row r="42" spans="1:92" ht="12.75">
      <c r="A42" s="982">
        <v>37513</v>
      </c>
      <c r="B42" s="1943" t="s">
        <v>7509</v>
      </c>
      <c r="C42" s="1944"/>
      <c r="D42" s="1945">
        <v>20</v>
      </c>
      <c r="E42" s="1955">
        <v>37876</v>
      </c>
      <c r="F42" s="1960" t="s">
        <v>7510</v>
      </c>
      <c r="G42" s="1944">
        <v>9</v>
      </c>
      <c r="H42" s="1945"/>
      <c r="I42" s="1955">
        <v>38252</v>
      </c>
      <c r="J42" s="1960" t="s">
        <v>2527</v>
      </c>
      <c r="K42" s="1944">
        <v>20</v>
      </c>
      <c r="L42" s="1945"/>
      <c r="M42" s="1955">
        <v>38604</v>
      </c>
      <c r="N42" s="1943" t="s">
        <v>7511</v>
      </c>
      <c r="O42" s="1969">
        <v>10</v>
      </c>
      <c r="P42" s="1957">
        <v>9</v>
      </c>
      <c r="Q42" s="1955"/>
      <c r="R42" s="1943"/>
      <c r="S42" s="1968"/>
      <c r="T42" s="1945"/>
      <c r="U42" s="1955">
        <v>39348</v>
      </c>
      <c r="V42" s="1943" t="s">
        <v>797</v>
      </c>
      <c r="W42" s="1967">
        <v>38</v>
      </c>
      <c r="X42" s="1945"/>
      <c r="Y42" s="1955">
        <v>39710</v>
      </c>
      <c r="Z42" s="1943" t="s">
        <v>797</v>
      </c>
      <c r="AA42" s="1967">
        <v>60</v>
      </c>
      <c r="AB42" s="1945"/>
      <c r="AC42" s="1955">
        <v>40078</v>
      </c>
      <c r="AD42" s="1943" t="s">
        <v>797</v>
      </c>
      <c r="AE42" s="1967">
        <v>36</v>
      </c>
      <c r="AF42" s="1945"/>
      <c r="AG42" s="1955">
        <v>40440</v>
      </c>
      <c r="AH42" s="1943" t="s">
        <v>937</v>
      </c>
      <c r="AI42" s="1967">
        <v>20</v>
      </c>
      <c r="AJ42" s="1945"/>
      <c r="AK42" s="1955">
        <v>40810</v>
      </c>
      <c r="AL42" s="1943" t="s">
        <v>7512</v>
      </c>
      <c r="AM42" s="1967">
        <v>80</v>
      </c>
      <c r="AN42" s="1945"/>
      <c r="AO42" s="1955"/>
      <c r="AP42" s="1943" t="s">
        <v>7513</v>
      </c>
      <c r="AQ42" s="1967">
        <f>SUM(AQ39:AQ41)</f>
        <v>465</v>
      </c>
      <c r="AR42" s="1945"/>
      <c r="AS42" s="1955">
        <v>41539</v>
      </c>
      <c r="AT42" s="1943" t="s">
        <v>7514</v>
      </c>
      <c r="AU42" s="1967">
        <v>28</v>
      </c>
      <c r="AV42" s="1945"/>
      <c r="AW42" s="1955">
        <v>41902</v>
      </c>
      <c r="AX42" s="1943" t="s">
        <v>7515</v>
      </c>
      <c r="AY42" s="1967">
        <v>5</v>
      </c>
      <c r="AZ42" s="1945"/>
      <c r="BA42" s="1955">
        <v>42259</v>
      </c>
      <c r="BB42" s="1943" t="s">
        <v>754</v>
      </c>
      <c r="BC42" s="1967">
        <v>51</v>
      </c>
      <c r="BD42" s="1945"/>
      <c r="BE42" s="1955">
        <v>42633</v>
      </c>
      <c r="BF42" s="1943" t="s">
        <v>7516</v>
      </c>
      <c r="BG42" s="1967">
        <v>8</v>
      </c>
      <c r="BH42" s="1945"/>
      <c r="BI42" s="1955">
        <v>42987</v>
      </c>
      <c r="BJ42" s="1943" t="s">
        <v>7517</v>
      </c>
      <c r="BK42" s="1967">
        <v>22</v>
      </c>
      <c r="BL42" s="1945"/>
      <c r="BM42" s="1955">
        <v>43353</v>
      </c>
      <c r="BN42" s="1943" t="s">
        <v>7482</v>
      </c>
      <c r="BO42" s="1967">
        <v>63</v>
      </c>
      <c r="BP42" s="1945"/>
      <c r="BQ42" s="1955">
        <v>43722</v>
      </c>
      <c r="BR42" s="1943" t="s">
        <v>7518</v>
      </c>
      <c r="BS42" s="1967">
        <v>6</v>
      </c>
      <c r="BT42" s="1956" t="s">
        <v>414</v>
      </c>
      <c r="BU42" s="1955">
        <v>44079</v>
      </c>
      <c r="BV42" s="1943" t="s">
        <v>872</v>
      </c>
      <c r="BW42" s="1967">
        <v>17</v>
      </c>
      <c r="BX42" s="1956" t="s">
        <v>414</v>
      </c>
      <c r="BY42" s="1955">
        <v>44451</v>
      </c>
      <c r="BZ42" s="1943" t="s">
        <v>843</v>
      </c>
      <c r="CA42" s="1953">
        <v>31</v>
      </c>
      <c r="CB42" s="1956" t="s">
        <v>414</v>
      </c>
      <c r="CC42" s="1955">
        <v>44818</v>
      </c>
      <c r="CD42" s="1943" t="s">
        <v>7519</v>
      </c>
      <c r="CE42" s="1953">
        <v>58</v>
      </c>
      <c r="CF42" s="1956" t="s">
        <v>280</v>
      </c>
      <c r="CG42" s="1955">
        <v>45180</v>
      </c>
      <c r="CH42" s="1943" t="s">
        <v>7520</v>
      </c>
      <c r="CI42" s="1953">
        <v>28</v>
      </c>
      <c r="CJ42" s="1956" t="s">
        <v>426</v>
      </c>
      <c r="CK42" s="1955">
        <v>45556</v>
      </c>
      <c r="CL42" s="1943" t="s">
        <v>772</v>
      </c>
      <c r="CM42" s="1953">
        <v>9</v>
      </c>
      <c r="CN42" s="1956" t="s">
        <v>414</v>
      </c>
    </row>
    <row r="43" spans="1:92" ht="12.75">
      <c r="A43" s="982">
        <v>37513</v>
      </c>
      <c r="B43" s="1943" t="s">
        <v>1211</v>
      </c>
      <c r="C43" s="1944">
        <v>10</v>
      </c>
      <c r="D43" s="1945"/>
      <c r="E43" s="1955">
        <v>37877</v>
      </c>
      <c r="F43" s="1960" t="s">
        <v>5715</v>
      </c>
      <c r="G43" s="1944">
        <v>32</v>
      </c>
      <c r="H43" s="1945"/>
      <c r="I43" s="1955">
        <v>38255</v>
      </c>
      <c r="J43" s="1960" t="s">
        <v>7521</v>
      </c>
      <c r="K43" s="1944">
        <v>14</v>
      </c>
      <c r="L43" s="1945"/>
      <c r="M43" s="1955">
        <v>38604</v>
      </c>
      <c r="N43" s="1960" t="s">
        <v>7522</v>
      </c>
      <c r="O43" s="1969">
        <v>37</v>
      </c>
      <c r="P43" s="1957">
        <v>31</v>
      </c>
      <c r="Q43" s="1955"/>
      <c r="R43" s="1943"/>
      <c r="S43" s="1968"/>
      <c r="T43" s="1945"/>
      <c r="U43" s="1955">
        <v>39350</v>
      </c>
      <c r="V43" s="1943" t="s">
        <v>802</v>
      </c>
      <c r="W43" s="1967">
        <v>41</v>
      </c>
      <c r="X43" s="1945"/>
      <c r="Y43" s="1955">
        <v>39710</v>
      </c>
      <c r="Z43" s="1943" t="s">
        <v>7523</v>
      </c>
      <c r="AA43" s="1968">
        <v>4</v>
      </c>
      <c r="AB43" s="1945"/>
      <c r="AC43" s="1955">
        <v>40078</v>
      </c>
      <c r="AD43" s="1943" t="s">
        <v>7524</v>
      </c>
      <c r="AE43" s="1967">
        <v>150</v>
      </c>
      <c r="AF43" s="1945"/>
      <c r="AG43" s="1955">
        <v>40442</v>
      </c>
      <c r="AH43" s="1943" t="s">
        <v>7525</v>
      </c>
      <c r="AI43" s="1967">
        <v>11</v>
      </c>
      <c r="AJ43" s="1945"/>
      <c r="AK43" s="1955">
        <v>40811</v>
      </c>
      <c r="AL43" s="1943" t="s">
        <v>797</v>
      </c>
      <c r="AM43" s="1967">
        <v>63</v>
      </c>
      <c r="AN43" s="1945"/>
      <c r="AO43" s="1955">
        <v>41174</v>
      </c>
      <c r="AP43" s="1943" t="s">
        <v>772</v>
      </c>
      <c r="AQ43" s="1967">
        <v>60</v>
      </c>
      <c r="AR43" s="1945"/>
      <c r="AS43" s="1955">
        <v>41539</v>
      </c>
      <c r="AT43" s="1943" t="s">
        <v>797</v>
      </c>
      <c r="AU43" s="1967">
        <v>68</v>
      </c>
      <c r="AV43" s="1945"/>
      <c r="AW43" s="1955">
        <v>41902</v>
      </c>
      <c r="AX43" s="1943" t="s">
        <v>7526</v>
      </c>
      <c r="AY43" s="1967">
        <v>4</v>
      </c>
      <c r="AZ43" s="1945"/>
      <c r="BA43" s="1955">
        <v>42259</v>
      </c>
      <c r="BB43" s="1943" t="s">
        <v>954</v>
      </c>
      <c r="BC43" s="1967">
        <v>28</v>
      </c>
      <c r="BD43" s="1945"/>
      <c r="BE43" s="1955">
        <v>42634</v>
      </c>
      <c r="BF43" s="1943" t="s">
        <v>859</v>
      </c>
      <c r="BG43" s="1967">
        <v>21</v>
      </c>
      <c r="BH43" s="1945"/>
      <c r="BI43" s="1955">
        <v>42988</v>
      </c>
      <c r="BJ43" s="1943" t="s">
        <v>7527</v>
      </c>
      <c r="BK43" s="1967">
        <v>32</v>
      </c>
      <c r="BL43" s="1945"/>
      <c r="BM43" s="1955">
        <v>43354</v>
      </c>
      <c r="BN43" s="1943" t="s">
        <v>7528</v>
      </c>
      <c r="BO43" s="1967">
        <v>26</v>
      </c>
      <c r="BP43" s="1945"/>
      <c r="BQ43" s="1955">
        <v>43722</v>
      </c>
      <c r="BR43" s="1943" t="s">
        <v>7529</v>
      </c>
      <c r="BS43" s="1967">
        <v>10</v>
      </c>
      <c r="BT43" s="1956" t="s">
        <v>414</v>
      </c>
      <c r="BU43" s="1955">
        <v>44079</v>
      </c>
      <c r="BV43" s="1943" t="s">
        <v>772</v>
      </c>
      <c r="BW43" s="1967">
        <v>21</v>
      </c>
      <c r="BX43" s="1956" t="s">
        <v>414</v>
      </c>
      <c r="BY43" s="1955">
        <v>44451</v>
      </c>
      <c r="BZ43" s="1943" t="s">
        <v>828</v>
      </c>
      <c r="CA43" s="1953">
        <v>17</v>
      </c>
      <c r="CB43" s="1956" t="s">
        <v>414</v>
      </c>
      <c r="CC43" s="1955">
        <v>44819</v>
      </c>
      <c r="CD43" s="1943" t="s">
        <v>772</v>
      </c>
      <c r="CE43" s="1953">
        <v>29</v>
      </c>
      <c r="CF43" s="1956" t="s">
        <v>414</v>
      </c>
      <c r="CG43" s="1955">
        <v>45184</v>
      </c>
      <c r="CH43" s="1943" t="s">
        <v>7530</v>
      </c>
      <c r="CI43" s="1953">
        <v>10</v>
      </c>
      <c r="CJ43" s="1956" t="s">
        <v>414</v>
      </c>
      <c r="CK43" s="1955">
        <v>45556</v>
      </c>
      <c r="CL43" s="1943" t="s">
        <v>948</v>
      </c>
      <c r="CM43" s="1953">
        <v>38</v>
      </c>
      <c r="CN43" s="1956" t="s">
        <v>414</v>
      </c>
    </row>
    <row r="44" spans="1:92" ht="12.75">
      <c r="A44" s="982">
        <v>37513</v>
      </c>
      <c r="B44" s="1943" t="s">
        <v>7531</v>
      </c>
      <c r="C44" s="1944"/>
      <c r="D44" s="1945">
        <v>30</v>
      </c>
      <c r="E44" s="1955">
        <v>37877</v>
      </c>
      <c r="F44" s="1960" t="s">
        <v>1887</v>
      </c>
      <c r="G44" s="1944">
        <v>3</v>
      </c>
      <c r="H44" s="1945"/>
      <c r="I44" s="1955">
        <v>38255</v>
      </c>
      <c r="J44" s="1960" t="s">
        <v>7532</v>
      </c>
      <c r="K44" s="1944">
        <v>8</v>
      </c>
      <c r="L44" s="1945"/>
      <c r="M44" s="1955">
        <v>38604</v>
      </c>
      <c r="N44" s="1960" t="s">
        <v>7533</v>
      </c>
      <c r="O44" s="1969">
        <v>12</v>
      </c>
      <c r="P44" s="1957">
        <v>10</v>
      </c>
      <c r="Q44" s="1955"/>
      <c r="R44" s="1943"/>
      <c r="S44" s="1968"/>
      <c r="T44" s="1945"/>
      <c r="U44" s="1955">
        <v>39353</v>
      </c>
      <c r="V44" s="1943" t="s">
        <v>7534</v>
      </c>
      <c r="W44" s="1968">
        <v>15</v>
      </c>
      <c r="X44" s="1945"/>
      <c r="Y44" s="1955">
        <v>39710</v>
      </c>
      <c r="Z44" s="1943" t="s">
        <v>7535</v>
      </c>
      <c r="AA44" s="1968">
        <v>4</v>
      </c>
      <c r="AB44" s="1945"/>
      <c r="AC44" s="1955">
        <v>40079</v>
      </c>
      <c r="AD44" s="1943" t="s">
        <v>7536</v>
      </c>
      <c r="AE44" s="1967">
        <v>7</v>
      </c>
      <c r="AF44" s="1945"/>
      <c r="AG44" s="1955">
        <v>40444</v>
      </c>
      <c r="AH44" s="1943" t="s">
        <v>7537</v>
      </c>
      <c r="AI44" s="1967">
        <v>5</v>
      </c>
      <c r="AJ44" s="1945"/>
      <c r="AK44" s="1955">
        <v>40815</v>
      </c>
      <c r="AL44" s="1943" t="s">
        <v>797</v>
      </c>
      <c r="AM44" s="1967">
        <v>54</v>
      </c>
      <c r="AN44" s="1945"/>
      <c r="AO44" s="1955">
        <v>41174</v>
      </c>
      <c r="AP44" s="1943" t="s">
        <v>754</v>
      </c>
      <c r="AQ44" s="1967">
        <v>52</v>
      </c>
      <c r="AR44" s="1945"/>
      <c r="AS44" s="1955">
        <v>41542</v>
      </c>
      <c r="AT44" s="1943" t="s">
        <v>754</v>
      </c>
      <c r="AU44" s="1967">
        <v>19</v>
      </c>
      <c r="AV44" s="1945"/>
      <c r="AW44" s="1955">
        <v>41902</v>
      </c>
      <c r="AX44" s="1943" t="s">
        <v>7538</v>
      </c>
      <c r="AY44" s="1967">
        <v>125</v>
      </c>
      <c r="AZ44" s="1945"/>
      <c r="BA44" s="1955">
        <v>42259</v>
      </c>
      <c r="BB44" s="1943" t="s">
        <v>4225</v>
      </c>
      <c r="BC44" s="1967">
        <v>20</v>
      </c>
      <c r="BD44" s="1945"/>
      <c r="BE44" s="1955">
        <v>42637</v>
      </c>
      <c r="BF44" s="1943" t="s">
        <v>823</v>
      </c>
      <c r="BG44" s="1967">
        <v>28</v>
      </c>
      <c r="BH44" s="1945"/>
      <c r="BI44" s="1955">
        <v>42988</v>
      </c>
      <c r="BJ44" s="1943" t="s">
        <v>7539</v>
      </c>
      <c r="BK44" s="1967"/>
      <c r="BL44" s="1945"/>
      <c r="BM44" s="1955">
        <v>43354</v>
      </c>
      <c r="BN44" s="1943" t="s">
        <v>7540</v>
      </c>
      <c r="BO44" s="1967">
        <v>12</v>
      </c>
      <c r="BP44" s="1945"/>
      <c r="BQ44" s="1955">
        <v>43722</v>
      </c>
      <c r="BR44" s="1943" t="s">
        <v>4014</v>
      </c>
      <c r="BS44" s="1967">
        <v>11</v>
      </c>
      <c r="BT44" s="1956" t="s">
        <v>414</v>
      </c>
      <c r="BU44" s="1955">
        <v>44079</v>
      </c>
      <c r="BV44" s="1943" t="s">
        <v>7541</v>
      </c>
      <c r="BW44" s="1967">
        <v>65</v>
      </c>
      <c r="BX44" s="1956" t="s">
        <v>700</v>
      </c>
      <c r="BY44" s="1955">
        <v>44451</v>
      </c>
      <c r="BZ44" s="1943" t="s">
        <v>7542</v>
      </c>
      <c r="CA44" s="1953">
        <v>80</v>
      </c>
      <c r="CB44" s="1956" t="s">
        <v>284</v>
      </c>
      <c r="CC44" s="1955">
        <v>44822</v>
      </c>
      <c r="CD44" s="1943" t="s">
        <v>845</v>
      </c>
      <c r="CE44" s="1953">
        <v>34</v>
      </c>
      <c r="CF44" s="1956" t="s">
        <v>414</v>
      </c>
      <c r="CG44" s="1955">
        <v>45184</v>
      </c>
      <c r="CH44" s="1943" t="s">
        <v>845</v>
      </c>
      <c r="CI44" s="1953">
        <v>59</v>
      </c>
      <c r="CJ44" s="1956" t="s">
        <v>414</v>
      </c>
      <c r="CK44" s="1955">
        <v>45556</v>
      </c>
      <c r="CL44" s="1943" t="s">
        <v>797</v>
      </c>
      <c r="CM44" s="1953">
        <v>60</v>
      </c>
      <c r="CN44" s="1956" t="s">
        <v>410</v>
      </c>
    </row>
    <row r="45" spans="1:92" ht="12.75">
      <c r="A45" s="982">
        <v>37513</v>
      </c>
      <c r="B45" s="1943" t="s">
        <v>7543</v>
      </c>
      <c r="C45" s="1944"/>
      <c r="D45" s="1945">
        <v>65</v>
      </c>
      <c r="E45" s="1955">
        <v>37877</v>
      </c>
      <c r="F45" s="1960" t="s">
        <v>7326</v>
      </c>
      <c r="G45" s="1944">
        <v>26</v>
      </c>
      <c r="H45" s="1945"/>
      <c r="I45" s="1955">
        <v>38255</v>
      </c>
      <c r="J45" s="1960" t="s">
        <v>772</v>
      </c>
      <c r="K45" s="1944">
        <v>61</v>
      </c>
      <c r="L45" s="1945"/>
      <c r="M45" s="1955">
        <v>38604</v>
      </c>
      <c r="N45" s="1960" t="s">
        <v>7544</v>
      </c>
      <c r="O45" s="1969">
        <v>36</v>
      </c>
      <c r="P45" s="1957">
        <v>33</v>
      </c>
      <c r="Q45" s="1955"/>
      <c r="R45" s="1943"/>
      <c r="S45" s="1968"/>
      <c r="T45" s="1945"/>
      <c r="U45" s="1955">
        <v>39354</v>
      </c>
      <c r="V45" s="1943" t="s">
        <v>937</v>
      </c>
      <c r="W45" s="1968">
        <v>37</v>
      </c>
      <c r="X45" s="1945"/>
      <c r="Y45" s="1955">
        <v>39710</v>
      </c>
      <c r="Z45" s="1943" t="s">
        <v>7545</v>
      </c>
      <c r="AA45" s="1968">
        <v>51</v>
      </c>
      <c r="AB45" s="1945"/>
      <c r="AC45" s="1955">
        <v>40083</v>
      </c>
      <c r="AD45" s="1943" t="s">
        <v>781</v>
      </c>
      <c r="AE45" s="1967">
        <v>45</v>
      </c>
      <c r="AF45" s="1945"/>
      <c r="AG45" s="1955">
        <v>40445</v>
      </c>
      <c r="AH45" s="1943" t="s">
        <v>802</v>
      </c>
      <c r="AI45" s="1967">
        <v>36</v>
      </c>
      <c r="AJ45" s="1945"/>
      <c r="AK45" s="1955">
        <v>40816</v>
      </c>
      <c r="AL45" s="1943" t="s">
        <v>7546</v>
      </c>
      <c r="AM45" s="1967">
        <v>60</v>
      </c>
      <c r="AN45" s="1945"/>
      <c r="AO45" s="1955">
        <v>41175</v>
      </c>
      <c r="AP45" s="1943" t="s">
        <v>797</v>
      </c>
      <c r="AQ45" s="1967">
        <v>61</v>
      </c>
      <c r="AR45" s="1945"/>
      <c r="AS45" s="1955">
        <v>41544</v>
      </c>
      <c r="AT45" s="1943" t="s">
        <v>1052</v>
      </c>
      <c r="AU45" s="1967">
        <v>19</v>
      </c>
      <c r="AV45" s="1945"/>
      <c r="AW45" s="1955">
        <v>41902</v>
      </c>
      <c r="AX45" s="1943" t="s">
        <v>7547</v>
      </c>
      <c r="AY45" s="1967">
        <v>160</v>
      </c>
      <c r="AZ45" s="1945"/>
      <c r="BA45" s="1955">
        <v>42259</v>
      </c>
      <c r="BB45" s="1943" t="s">
        <v>7548</v>
      </c>
      <c r="BC45" s="1967">
        <v>48</v>
      </c>
      <c r="BD45" s="1945"/>
      <c r="BE45" s="1955">
        <v>42637</v>
      </c>
      <c r="BF45" s="1943" t="s">
        <v>7283</v>
      </c>
      <c r="BG45" s="1967">
        <v>48</v>
      </c>
      <c r="BH45" s="1945"/>
      <c r="BI45" s="1955">
        <v>42988</v>
      </c>
      <c r="BJ45" s="1943" t="s">
        <v>7549</v>
      </c>
      <c r="BK45" s="1967">
        <v>12</v>
      </c>
      <c r="BL45" s="1945"/>
      <c r="BM45" s="1955">
        <v>43355</v>
      </c>
      <c r="BN45" s="1943" t="s">
        <v>7550</v>
      </c>
      <c r="BO45" s="1968">
        <v>22</v>
      </c>
      <c r="BP45" s="1945"/>
      <c r="BQ45" s="1955">
        <v>43722</v>
      </c>
      <c r="BR45" s="1943" t="s">
        <v>7551</v>
      </c>
      <c r="BS45" s="1967">
        <v>3</v>
      </c>
      <c r="BT45" s="1956" t="s">
        <v>414</v>
      </c>
      <c r="BU45" s="1955">
        <v>44079</v>
      </c>
      <c r="BV45" s="1943" t="s">
        <v>7552</v>
      </c>
      <c r="BW45" s="1967">
        <v>43</v>
      </c>
      <c r="BX45" s="1956" t="s">
        <v>414</v>
      </c>
      <c r="BY45" s="1955">
        <v>44451</v>
      </c>
      <c r="BZ45" s="1943" t="s">
        <v>7553</v>
      </c>
      <c r="CA45" s="1953">
        <v>21</v>
      </c>
      <c r="CB45" s="1956" t="s">
        <v>700</v>
      </c>
      <c r="CC45" s="1955">
        <v>44822</v>
      </c>
      <c r="CD45" s="1943" t="s">
        <v>872</v>
      </c>
      <c r="CE45" s="1953">
        <v>7</v>
      </c>
      <c r="CF45" s="1956" t="s">
        <v>414</v>
      </c>
      <c r="CG45" s="1955">
        <v>45185</v>
      </c>
      <c r="CH45" s="1943" t="s">
        <v>772</v>
      </c>
      <c r="CI45" s="1953">
        <v>30</v>
      </c>
      <c r="CJ45" s="1956" t="s">
        <v>414</v>
      </c>
      <c r="CK45" s="1955">
        <v>45556</v>
      </c>
      <c r="CL45" s="1943" t="s">
        <v>1180</v>
      </c>
      <c r="CM45" s="1953">
        <v>90</v>
      </c>
      <c r="CN45" s="1956" t="s">
        <v>410</v>
      </c>
    </row>
    <row r="46" spans="1:92" ht="12.75">
      <c r="A46" s="982">
        <v>37513</v>
      </c>
      <c r="B46" s="1943" t="s">
        <v>7554</v>
      </c>
      <c r="C46" s="1944"/>
      <c r="D46" s="1945">
        <v>45</v>
      </c>
      <c r="E46" s="1955">
        <v>37877</v>
      </c>
      <c r="F46" s="1960" t="s">
        <v>1451</v>
      </c>
      <c r="G46" s="1944">
        <v>17</v>
      </c>
      <c r="H46" s="1945"/>
      <c r="I46" s="1955">
        <v>38256</v>
      </c>
      <c r="J46" s="1960" t="s">
        <v>1157</v>
      </c>
      <c r="K46" s="1944">
        <v>26</v>
      </c>
      <c r="L46" s="1945"/>
      <c r="M46" s="1955">
        <v>38604</v>
      </c>
      <c r="N46" s="1960" t="s">
        <v>7555</v>
      </c>
      <c r="O46" s="1969">
        <v>25</v>
      </c>
      <c r="P46" s="1957">
        <v>20</v>
      </c>
      <c r="Q46" s="1955"/>
      <c r="R46" s="1943"/>
      <c r="S46" s="1968"/>
      <c r="T46" s="1945"/>
      <c r="U46" s="1955">
        <v>39354</v>
      </c>
      <c r="V46" s="1943" t="s">
        <v>797</v>
      </c>
      <c r="W46" s="1968">
        <v>39</v>
      </c>
      <c r="X46" s="1945"/>
      <c r="Y46" s="1955">
        <v>39711</v>
      </c>
      <c r="Z46" s="1943" t="s">
        <v>7556</v>
      </c>
      <c r="AA46" s="1968">
        <v>17</v>
      </c>
      <c r="AB46" s="1945"/>
      <c r="AC46" s="1955">
        <v>40084</v>
      </c>
      <c r="AD46" s="1943" t="s">
        <v>772</v>
      </c>
      <c r="AE46" s="1967">
        <v>71</v>
      </c>
      <c r="AF46" s="1945"/>
      <c r="AG46" s="1955">
        <v>40446</v>
      </c>
      <c r="AH46" s="1943" t="s">
        <v>1903</v>
      </c>
      <c r="AI46" s="1967">
        <v>20</v>
      </c>
      <c r="AJ46" s="1945"/>
      <c r="AK46" s="1955">
        <v>40816</v>
      </c>
      <c r="AL46" s="1943" t="s">
        <v>7557</v>
      </c>
      <c r="AM46" s="1967">
        <v>350</v>
      </c>
      <c r="AN46" s="1945"/>
      <c r="AO46" s="1955">
        <v>41175</v>
      </c>
      <c r="AP46" s="1943" t="s">
        <v>7558</v>
      </c>
      <c r="AQ46" s="1967">
        <v>20</v>
      </c>
      <c r="AR46" s="1945"/>
      <c r="AS46" s="1955">
        <v>41545</v>
      </c>
      <c r="AT46" s="1943" t="s">
        <v>754</v>
      </c>
      <c r="AU46" s="1967">
        <v>69</v>
      </c>
      <c r="AV46" s="1945"/>
      <c r="AW46" s="1955">
        <v>41902</v>
      </c>
      <c r="AX46" s="1943" t="s">
        <v>7559</v>
      </c>
      <c r="AY46" s="1967">
        <v>68</v>
      </c>
      <c r="AZ46" s="1945"/>
      <c r="BA46" s="1955">
        <v>42264</v>
      </c>
      <c r="BB46" s="1943" t="s">
        <v>802</v>
      </c>
      <c r="BC46" s="1967">
        <v>40</v>
      </c>
      <c r="BD46" s="1945"/>
      <c r="BE46" s="1955">
        <v>42637</v>
      </c>
      <c r="BF46" s="1943" t="s">
        <v>823</v>
      </c>
      <c r="BG46" s="1967">
        <v>25</v>
      </c>
      <c r="BH46" s="1945"/>
      <c r="BI46" s="1955">
        <v>42988</v>
      </c>
      <c r="BJ46" s="1943" t="s">
        <v>1180</v>
      </c>
      <c r="BK46" s="1967">
        <v>73</v>
      </c>
      <c r="BL46" s="1945"/>
      <c r="BM46" s="1955">
        <v>43355</v>
      </c>
      <c r="BN46" s="1943" t="s">
        <v>7560</v>
      </c>
      <c r="BO46" s="1968">
        <v>25</v>
      </c>
      <c r="BP46" s="1945"/>
      <c r="BQ46" s="1955">
        <v>43722</v>
      </c>
      <c r="BR46" s="1943" t="s">
        <v>7561</v>
      </c>
      <c r="BS46" s="1968">
        <v>10</v>
      </c>
      <c r="BT46" s="1956" t="s">
        <v>280</v>
      </c>
      <c r="BU46" s="1955">
        <v>44084</v>
      </c>
      <c r="BV46" s="1943" t="s">
        <v>7562</v>
      </c>
      <c r="BW46" s="1968">
        <v>1000</v>
      </c>
      <c r="BX46" s="1956" t="s">
        <v>284</v>
      </c>
      <c r="BY46" s="1955">
        <v>44451</v>
      </c>
      <c r="BZ46" s="1943" t="s">
        <v>7563</v>
      </c>
      <c r="CA46" s="1953">
        <v>0</v>
      </c>
      <c r="CB46" s="1956" t="s">
        <v>280</v>
      </c>
      <c r="CC46" s="1955">
        <v>44822</v>
      </c>
      <c r="CD46" s="1943" t="s">
        <v>843</v>
      </c>
      <c r="CE46" s="1953">
        <v>30</v>
      </c>
      <c r="CF46" s="1956" t="s">
        <v>414</v>
      </c>
      <c r="CG46" s="1955">
        <v>45185</v>
      </c>
      <c r="CH46" s="1943" t="s">
        <v>845</v>
      </c>
      <c r="CI46" s="1953">
        <v>30</v>
      </c>
      <c r="CJ46" s="1956" t="s">
        <v>414</v>
      </c>
      <c r="CK46" s="1955">
        <v>45556</v>
      </c>
      <c r="CL46" s="1943" t="s">
        <v>7564</v>
      </c>
      <c r="CM46" s="1953">
        <v>10</v>
      </c>
      <c r="CN46" s="1956" t="s">
        <v>278</v>
      </c>
    </row>
    <row r="47" spans="1:92" ht="12.75">
      <c r="A47" s="982">
        <v>37513</v>
      </c>
      <c r="B47" s="1943" t="s">
        <v>7565</v>
      </c>
      <c r="C47" s="1944"/>
      <c r="D47" s="1945">
        <v>32</v>
      </c>
      <c r="E47" s="1955">
        <v>37878</v>
      </c>
      <c r="F47" s="1960" t="s">
        <v>7566</v>
      </c>
      <c r="G47" s="1944">
        <v>42</v>
      </c>
      <c r="H47" s="1945"/>
      <c r="I47" s="1955">
        <v>38256</v>
      </c>
      <c r="J47" s="1960" t="s">
        <v>7567</v>
      </c>
      <c r="K47" s="1944">
        <v>10</v>
      </c>
      <c r="L47" s="1945"/>
      <c r="M47" s="1955">
        <v>38605</v>
      </c>
      <c r="N47" s="1960" t="s">
        <v>7568</v>
      </c>
      <c r="O47" s="1969">
        <v>8</v>
      </c>
      <c r="P47" s="1957">
        <v>6</v>
      </c>
      <c r="Q47" s="1955"/>
      <c r="R47" s="1943"/>
      <c r="S47" s="1968"/>
      <c r="T47" s="1945"/>
      <c r="U47" s="1955">
        <v>39354</v>
      </c>
      <c r="V47" s="1943" t="s">
        <v>7569</v>
      </c>
      <c r="W47" s="1968">
        <v>7</v>
      </c>
      <c r="X47" s="1945"/>
      <c r="Y47" s="1955">
        <v>39711</v>
      </c>
      <c r="Z47" s="1943" t="s">
        <v>7570</v>
      </c>
      <c r="AA47" s="1968">
        <v>22</v>
      </c>
      <c r="AB47" s="1945"/>
      <c r="AC47" s="1955">
        <v>40084</v>
      </c>
      <c r="AD47" s="1943" t="s">
        <v>937</v>
      </c>
      <c r="AE47" s="1967">
        <v>13</v>
      </c>
      <c r="AF47" s="1945"/>
      <c r="AG47" s="1955">
        <v>40446</v>
      </c>
      <c r="AH47" s="1943" t="s">
        <v>781</v>
      </c>
      <c r="AI47" s="1967">
        <v>102</v>
      </c>
      <c r="AJ47" s="1945"/>
      <c r="AK47" s="1955"/>
      <c r="AL47" s="1943"/>
      <c r="AM47" s="1967"/>
      <c r="AN47" s="1945"/>
      <c r="AO47" s="1955">
        <v>41175</v>
      </c>
      <c r="AP47" s="1943" t="s">
        <v>5259</v>
      </c>
      <c r="AQ47" s="1967">
        <v>16</v>
      </c>
      <c r="AR47" s="1945"/>
      <c r="AS47" s="1955">
        <v>41545</v>
      </c>
      <c r="AT47" s="1943" t="s">
        <v>7571</v>
      </c>
      <c r="AU47" s="1967"/>
      <c r="AV47" s="1945"/>
      <c r="AW47" s="1955">
        <v>41902</v>
      </c>
      <c r="AX47" s="1943" t="s">
        <v>7572</v>
      </c>
      <c r="AY47" s="1967">
        <v>96</v>
      </c>
      <c r="AZ47" s="1945"/>
      <c r="BA47" s="1955">
        <v>42264</v>
      </c>
      <c r="BB47" s="1943" t="s">
        <v>998</v>
      </c>
      <c r="BC47" s="1967">
        <v>15</v>
      </c>
      <c r="BD47" s="1945"/>
      <c r="BE47" s="1955">
        <v>42637</v>
      </c>
      <c r="BF47" s="1943" t="s">
        <v>859</v>
      </c>
      <c r="BG47" s="1967">
        <v>27</v>
      </c>
      <c r="BH47" s="1945"/>
      <c r="BI47" s="1955">
        <v>42988</v>
      </c>
      <c r="BJ47" s="1943" t="s">
        <v>7573</v>
      </c>
      <c r="BK47" s="1967">
        <v>60</v>
      </c>
      <c r="BL47" s="1945"/>
      <c r="BM47" s="1955">
        <v>43355</v>
      </c>
      <c r="BN47" s="1943" t="s">
        <v>7574</v>
      </c>
      <c r="BO47" s="1968">
        <v>55</v>
      </c>
      <c r="BP47" s="1945"/>
      <c r="BQ47" s="1955">
        <v>43722</v>
      </c>
      <c r="BR47" s="1943" t="s">
        <v>7575</v>
      </c>
      <c r="BS47" s="1968">
        <v>12</v>
      </c>
      <c r="BT47" s="1956" t="s">
        <v>278</v>
      </c>
      <c r="BU47" s="1955">
        <v>44085</v>
      </c>
      <c r="BV47" s="1943" t="s">
        <v>7576</v>
      </c>
      <c r="BW47" s="1968">
        <v>26</v>
      </c>
      <c r="BX47" s="1956" t="s">
        <v>278</v>
      </c>
      <c r="BY47" s="1955">
        <v>44451</v>
      </c>
      <c r="BZ47" s="1943" t="s">
        <v>7577</v>
      </c>
      <c r="CA47" s="1953">
        <v>11</v>
      </c>
      <c r="CB47" s="1956" t="s">
        <v>414</v>
      </c>
      <c r="CC47" s="1955">
        <v>44822</v>
      </c>
      <c r="CD47" s="1943" t="s">
        <v>772</v>
      </c>
      <c r="CE47" s="1953">
        <v>8</v>
      </c>
      <c r="CF47" s="1956" t="s">
        <v>414</v>
      </c>
      <c r="CG47" s="1955">
        <v>45185</v>
      </c>
      <c r="CH47" s="1943" t="s">
        <v>781</v>
      </c>
      <c r="CI47" s="1953">
        <v>28</v>
      </c>
      <c r="CJ47" s="1956" t="s">
        <v>414</v>
      </c>
      <c r="CK47" s="1955">
        <v>45556</v>
      </c>
      <c r="CL47" s="1943" t="s">
        <v>7578</v>
      </c>
      <c r="CM47" s="1953">
        <v>6</v>
      </c>
      <c r="CN47" s="1956" t="s">
        <v>278</v>
      </c>
    </row>
    <row r="48" spans="1:92" ht="12.75">
      <c r="A48" s="982">
        <v>37513</v>
      </c>
      <c r="B48" s="1943" t="s">
        <v>7579</v>
      </c>
      <c r="C48" s="1944"/>
      <c r="D48" s="1945">
        <v>15</v>
      </c>
      <c r="E48" s="1955">
        <v>37878</v>
      </c>
      <c r="F48" s="1960" t="s">
        <v>772</v>
      </c>
      <c r="G48" s="1944">
        <v>22</v>
      </c>
      <c r="H48" s="1945"/>
      <c r="I48" s="1955">
        <v>38257</v>
      </c>
      <c r="J48" s="1960" t="s">
        <v>797</v>
      </c>
      <c r="K48" s="1944">
        <v>32</v>
      </c>
      <c r="L48" s="1945"/>
      <c r="M48" s="1955">
        <v>38605</v>
      </c>
      <c r="N48" s="1960" t="s">
        <v>7580</v>
      </c>
      <c r="O48" s="1969">
        <v>10</v>
      </c>
      <c r="P48" s="1957">
        <v>8</v>
      </c>
      <c r="Q48" s="1955"/>
      <c r="R48" s="1943"/>
      <c r="S48" s="1968"/>
      <c r="T48" s="1945"/>
      <c r="U48" s="1955">
        <v>39355</v>
      </c>
      <c r="V48" s="1943" t="s">
        <v>7581</v>
      </c>
      <c r="W48" s="1968">
        <v>10</v>
      </c>
      <c r="X48" s="1945"/>
      <c r="Y48" s="1955">
        <v>39711</v>
      </c>
      <c r="Z48" s="1943" t="s">
        <v>7582</v>
      </c>
      <c r="AA48" s="1968">
        <v>108</v>
      </c>
      <c r="AB48" s="1945"/>
      <c r="AC48" s="1955">
        <v>40084</v>
      </c>
      <c r="AD48" s="1943" t="s">
        <v>7583</v>
      </c>
      <c r="AE48" s="1968">
        <v>6</v>
      </c>
      <c r="AF48" s="1945"/>
      <c r="AG48" s="1955">
        <v>40446</v>
      </c>
      <c r="AH48" s="1943" t="s">
        <v>7584</v>
      </c>
      <c r="AI48" s="1967">
        <v>23</v>
      </c>
      <c r="AJ48" s="1945"/>
      <c r="AK48" s="1955"/>
      <c r="AL48" s="1943"/>
      <c r="AM48" s="1967"/>
      <c r="AN48" s="1945"/>
      <c r="AO48" s="1955">
        <v>41175</v>
      </c>
      <c r="AP48" s="1943" t="s">
        <v>5349</v>
      </c>
      <c r="AQ48" s="1967">
        <v>45</v>
      </c>
      <c r="AR48" s="1945"/>
      <c r="AS48" s="1955">
        <v>41545</v>
      </c>
      <c r="AT48" s="1943" t="s">
        <v>7585</v>
      </c>
      <c r="AU48" s="1967">
        <v>15</v>
      </c>
      <c r="AV48" s="1945"/>
      <c r="AW48" s="1955">
        <v>41902</v>
      </c>
      <c r="AX48" s="1943" t="s">
        <v>797</v>
      </c>
      <c r="AY48" s="1967">
        <v>63</v>
      </c>
      <c r="AZ48" s="1945"/>
      <c r="BA48" s="1955">
        <v>42265</v>
      </c>
      <c r="BB48" s="1943" t="s">
        <v>797</v>
      </c>
      <c r="BC48" s="1967">
        <v>37</v>
      </c>
      <c r="BD48" s="1945"/>
      <c r="BE48" s="1955">
        <v>42637</v>
      </c>
      <c r="BF48" s="1943" t="s">
        <v>7586</v>
      </c>
      <c r="BG48" s="1967">
        <v>10</v>
      </c>
      <c r="BH48" s="1945"/>
      <c r="BI48" s="1955">
        <v>42989</v>
      </c>
      <c r="BJ48" s="1943" t="s">
        <v>7587</v>
      </c>
      <c r="BK48" s="1968">
        <v>23</v>
      </c>
      <c r="BL48" s="1945"/>
      <c r="BM48" s="1955">
        <v>43356</v>
      </c>
      <c r="BN48" s="1943" t="s">
        <v>7588</v>
      </c>
      <c r="BO48" s="1968">
        <v>340</v>
      </c>
      <c r="BP48" s="1945"/>
      <c r="BQ48" s="1955">
        <v>43722</v>
      </c>
      <c r="BR48" s="1943" t="s">
        <v>7589</v>
      </c>
      <c r="BS48" s="1968">
        <v>23</v>
      </c>
      <c r="BT48" s="1956" t="s">
        <v>280</v>
      </c>
      <c r="BU48" s="1955">
        <v>44085</v>
      </c>
      <c r="BV48" s="1943" t="s">
        <v>7590</v>
      </c>
      <c r="BW48" s="1968">
        <v>27</v>
      </c>
      <c r="BX48" s="1956" t="s">
        <v>278</v>
      </c>
      <c r="BY48" s="1955">
        <v>44453</v>
      </c>
      <c r="BZ48" s="1943" t="s">
        <v>7591</v>
      </c>
      <c r="CA48" s="1953">
        <v>51</v>
      </c>
      <c r="CB48" s="1956" t="s">
        <v>414</v>
      </c>
      <c r="CC48" s="1955">
        <v>44822</v>
      </c>
      <c r="CD48" s="1943" t="s">
        <v>7592</v>
      </c>
      <c r="CE48" s="1953">
        <v>10</v>
      </c>
      <c r="CF48" s="1956" t="s">
        <v>280</v>
      </c>
      <c r="CG48" s="1955">
        <v>45185</v>
      </c>
      <c r="CH48" s="1943" t="s">
        <v>843</v>
      </c>
      <c r="CI48" s="1953">
        <v>7</v>
      </c>
      <c r="CJ48" s="1956" t="s">
        <v>414</v>
      </c>
      <c r="CK48" s="1955">
        <v>45556</v>
      </c>
      <c r="CL48" s="1943" t="s">
        <v>7593</v>
      </c>
      <c r="CM48" s="1953">
        <v>4</v>
      </c>
      <c r="CN48" s="1956" t="s">
        <v>278</v>
      </c>
    </row>
    <row r="49" spans="1:92" ht="12.75">
      <c r="A49" s="982">
        <v>37513</v>
      </c>
      <c r="B49" s="1943" t="s">
        <v>7594</v>
      </c>
      <c r="C49" s="1944"/>
      <c r="D49" s="1945">
        <v>28</v>
      </c>
      <c r="E49" s="1955">
        <v>37878</v>
      </c>
      <c r="F49" s="1960" t="s">
        <v>7595</v>
      </c>
      <c r="G49" s="1944">
        <v>14</v>
      </c>
      <c r="H49" s="1945"/>
      <c r="I49" s="1955">
        <v>38257</v>
      </c>
      <c r="J49" s="1960" t="s">
        <v>802</v>
      </c>
      <c r="K49" s="1944">
        <v>29</v>
      </c>
      <c r="L49" s="1945"/>
      <c r="M49" s="1973">
        <v>38605</v>
      </c>
      <c r="N49" s="1974" t="s">
        <v>7596</v>
      </c>
      <c r="O49" s="1975">
        <v>5</v>
      </c>
      <c r="P49" s="1976">
        <v>5</v>
      </c>
      <c r="Q49" s="1955"/>
      <c r="R49" s="1943"/>
      <c r="S49" s="1968"/>
      <c r="T49" s="1945"/>
      <c r="U49" s="1955">
        <v>39355</v>
      </c>
      <c r="V49" s="1943" t="s">
        <v>781</v>
      </c>
      <c r="W49" s="1968">
        <v>30</v>
      </c>
      <c r="X49" s="1945"/>
      <c r="Y49" s="1955">
        <v>39711</v>
      </c>
      <c r="Z49" s="1943" t="s">
        <v>797</v>
      </c>
      <c r="AA49" s="1968">
        <v>60</v>
      </c>
      <c r="AB49" s="1945"/>
      <c r="AC49" s="1955">
        <v>40084</v>
      </c>
      <c r="AD49" s="1943" t="s">
        <v>7597</v>
      </c>
      <c r="AE49" s="1968">
        <v>46</v>
      </c>
      <c r="AF49" s="1945"/>
      <c r="AG49" s="1955">
        <v>40446</v>
      </c>
      <c r="AH49" s="1943" t="s">
        <v>1845</v>
      </c>
      <c r="AI49" s="1968">
        <v>56</v>
      </c>
      <c r="AJ49" s="1945"/>
      <c r="AK49" s="1955"/>
      <c r="AL49" s="1943"/>
      <c r="AM49" s="1967"/>
      <c r="AN49" s="1945"/>
      <c r="AO49" s="1955">
        <v>41180</v>
      </c>
      <c r="AP49" s="1943" t="s">
        <v>7598</v>
      </c>
      <c r="AQ49" s="1967">
        <v>10</v>
      </c>
      <c r="AR49" s="1945"/>
      <c r="AS49" s="1955">
        <v>41545</v>
      </c>
      <c r="AT49" s="1943" t="s">
        <v>7599</v>
      </c>
      <c r="AU49" s="1967">
        <v>20</v>
      </c>
      <c r="AV49" s="1945"/>
      <c r="AW49" s="1955">
        <v>41902</v>
      </c>
      <c r="AX49" s="1943" t="s">
        <v>7600</v>
      </c>
      <c r="AY49" s="1967">
        <v>4</v>
      </c>
      <c r="AZ49" s="1945"/>
      <c r="BA49" s="1955">
        <v>42266</v>
      </c>
      <c r="BB49" s="1943" t="s">
        <v>1770</v>
      </c>
      <c r="BC49" s="1967">
        <v>1</v>
      </c>
      <c r="BD49" s="1945"/>
      <c r="BE49" s="1955">
        <v>42637</v>
      </c>
      <c r="BF49" s="1943" t="s">
        <v>2502</v>
      </c>
      <c r="BG49" s="1967">
        <v>90</v>
      </c>
      <c r="BH49" s="1945"/>
      <c r="BI49" s="1955">
        <v>42989</v>
      </c>
      <c r="BJ49" s="1943" t="s">
        <v>872</v>
      </c>
      <c r="BK49" s="1968">
        <v>10</v>
      </c>
      <c r="BL49" s="1945"/>
      <c r="BM49" s="1955">
        <v>43356</v>
      </c>
      <c r="BN49" s="1943" t="s">
        <v>4387</v>
      </c>
      <c r="BO49" s="1968">
        <v>279</v>
      </c>
      <c r="BP49" s="1945"/>
      <c r="BQ49" s="1955">
        <v>43722</v>
      </c>
      <c r="BR49" s="1943" t="s">
        <v>7601</v>
      </c>
      <c r="BS49" s="1968">
        <v>27</v>
      </c>
      <c r="BT49" s="1956" t="s">
        <v>280</v>
      </c>
      <c r="BU49" s="1955">
        <v>44086</v>
      </c>
      <c r="BV49" s="1943" t="s">
        <v>7602</v>
      </c>
      <c r="BW49" s="1968">
        <v>15</v>
      </c>
      <c r="BX49" s="1956" t="s">
        <v>414</v>
      </c>
      <c r="BY49" s="1955">
        <v>44453</v>
      </c>
      <c r="BZ49" s="1943" t="s">
        <v>7603</v>
      </c>
      <c r="CA49" s="1953">
        <v>42</v>
      </c>
      <c r="CB49" s="1956" t="s">
        <v>414</v>
      </c>
      <c r="CC49" s="1955">
        <v>44821</v>
      </c>
      <c r="CD49" s="1943" t="s">
        <v>7604</v>
      </c>
      <c r="CE49" s="1953">
        <v>42</v>
      </c>
      <c r="CF49" s="1956" t="s">
        <v>414</v>
      </c>
      <c r="CG49" s="1955">
        <v>45187</v>
      </c>
      <c r="CH49" s="1943" t="s">
        <v>772</v>
      </c>
      <c r="CI49" s="1953">
        <v>30</v>
      </c>
      <c r="CJ49" s="1956" t="s">
        <v>414</v>
      </c>
      <c r="CK49" s="1955">
        <v>45556</v>
      </c>
      <c r="CL49" s="1943" t="s">
        <v>797</v>
      </c>
      <c r="CM49" s="1953">
        <v>57</v>
      </c>
      <c r="CN49" s="1956" t="s">
        <v>278</v>
      </c>
    </row>
    <row r="50" spans="1:92" ht="12.75">
      <c r="A50" s="982">
        <v>37513</v>
      </c>
      <c r="B50" s="1943" t="s">
        <v>7605</v>
      </c>
      <c r="C50" s="1944"/>
      <c r="D50" s="1945">
        <v>20</v>
      </c>
      <c r="E50" s="1955">
        <v>37879</v>
      </c>
      <c r="F50" s="1960" t="s">
        <v>7326</v>
      </c>
      <c r="G50" s="1944">
        <v>25</v>
      </c>
      <c r="H50" s="1945"/>
      <c r="I50" s="1955">
        <v>38259</v>
      </c>
      <c r="J50" s="1960" t="s">
        <v>7606</v>
      </c>
      <c r="K50" s="1944">
        <v>4</v>
      </c>
      <c r="L50" s="1945"/>
      <c r="M50" s="1946">
        <v>38605</v>
      </c>
      <c r="N50" s="1964" t="s">
        <v>7607</v>
      </c>
      <c r="O50" s="1977"/>
      <c r="P50" s="1950">
        <v>34</v>
      </c>
      <c r="Q50" s="1955"/>
      <c r="R50" s="1943"/>
      <c r="S50" s="1968"/>
      <c r="T50" s="1945"/>
      <c r="U50" s="1955">
        <v>39355</v>
      </c>
      <c r="V50" s="1943" t="s">
        <v>867</v>
      </c>
      <c r="W50" s="1968">
        <v>30</v>
      </c>
      <c r="X50" s="1945"/>
      <c r="Y50" s="1955">
        <v>39711</v>
      </c>
      <c r="Z50" s="1943" t="s">
        <v>3500</v>
      </c>
      <c r="AA50" s="1968">
        <v>10</v>
      </c>
      <c r="AB50" s="1945"/>
      <c r="AC50" s="1955">
        <v>40084</v>
      </c>
      <c r="AD50" s="1943" t="s">
        <v>797</v>
      </c>
      <c r="AE50" s="1968">
        <v>37</v>
      </c>
      <c r="AF50" s="1945"/>
      <c r="AG50" s="1955">
        <v>40447</v>
      </c>
      <c r="AH50" s="1943" t="s">
        <v>7608</v>
      </c>
      <c r="AI50" s="1968">
        <v>20</v>
      </c>
      <c r="AJ50" s="1945"/>
      <c r="AK50" s="1955"/>
      <c r="AL50" s="1943"/>
      <c r="AM50" s="1967"/>
      <c r="AN50" s="1945"/>
      <c r="AO50" s="1955">
        <v>41180</v>
      </c>
      <c r="AP50" s="1943" t="s">
        <v>7609</v>
      </c>
      <c r="AQ50" s="1967">
        <v>25</v>
      </c>
      <c r="AR50" s="1945"/>
      <c r="AS50" s="1955">
        <v>41545</v>
      </c>
      <c r="AT50" s="1943" t="s">
        <v>802</v>
      </c>
      <c r="AU50" s="1967">
        <v>48</v>
      </c>
      <c r="AV50" s="1945"/>
      <c r="AW50" s="1955">
        <v>41903</v>
      </c>
      <c r="AX50" s="1943" t="s">
        <v>754</v>
      </c>
      <c r="AY50" s="1967">
        <v>70</v>
      </c>
      <c r="AZ50" s="1945"/>
      <c r="BA50" s="1955">
        <v>42266</v>
      </c>
      <c r="BB50" s="1943" t="s">
        <v>754</v>
      </c>
      <c r="BC50" s="1967">
        <v>70</v>
      </c>
      <c r="BD50" s="1945"/>
      <c r="BE50" s="1955">
        <v>42637</v>
      </c>
      <c r="BF50" s="1943" t="s">
        <v>7610</v>
      </c>
      <c r="BG50" s="1967">
        <v>30</v>
      </c>
      <c r="BH50" s="1945"/>
      <c r="BI50" s="1955">
        <v>42989</v>
      </c>
      <c r="BJ50" s="1943" t="s">
        <v>7611</v>
      </c>
      <c r="BK50" s="1968">
        <v>10</v>
      </c>
      <c r="BL50" s="1945"/>
      <c r="BM50" s="1955">
        <v>43356</v>
      </c>
      <c r="BN50" s="1943" t="s">
        <v>7612</v>
      </c>
      <c r="BO50" s="1968">
        <v>52</v>
      </c>
      <c r="BP50" s="1945"/>
      <c r="BQ50" s="1955">
        <v>43722</v>
      </c>
      <c r="BR50" s="1943" t="s">
        <v>797</v>
      </c>
      <c r="BS50" s="1968">
        <v>52</v>
      </c>
      <c r="BT50" s="1956" t="s">
        <v>410</v>
      </c>
      <c r="BU50" s="1955">
        <v>44086</v>
      </c>
      <c r="BV50" s="1943" t="s">
        <v>7613</v>
      </c>
      <c r="BW50" s="1968">
        <v>17</v>
      </c>
      <c r="BX50" s="1956" t="s">
        <v>414</v>
      </c>
      <c r="BY50" s="1955">
        <v>44453</v>
      </c>
      <c r="BZ50" s="1943" t="s">
        <v>7614</v>
      </c>
      <c r="CA50" s="1953">
        <v>7</v>
      </c>
      <c r="CB50" s="1956" t="s">
        <v>414</v>
      </c>
      <c r="CC50" s="1955">
        <v>44821</v>
      </c>
      <c r="CD50" s="1943" t="s">
        <v>1180</v>
      </c>
      <c r="CE50" s="1953">
        <v>100</v>
      </c>
      <c r="CF50" s="1956" t="s">
        <v>410</v>
      </c>
      <c r="CG50" s="1955">
        <v>45188</v>
      </c>
      <c r="CH50" s="1943" t="s">
        <v>797</v>
      </c>
      <c r="CI50" s="1953">
        <v>77</v>
      </c>
      <c r="CJ50" s="1956" t="s">
        <v>410</v>
      </c>
      <c r="CK50" s="1955">
        <v>45556</v>
      </c>
      <c r="CL50" s="1943" t="s">
        <v>7615</v>
      </c>
      <c r="CM50" s="1953">
        <v>34</v>
      </c>
      <c r="CN50" s="1956" t="s">
        <v>278</v>
      </c>
    </row>
    <row r="51" spans="1:92" ht="12.75">
      <c r="A51" s="982">
        <v>37514</v>
      </c>
      <c r="B51" s="1943" t="s">
        <v>7605</v>
      </c>
      <c r="C51" s="1944"/>
      <c r="D51" s="1945">
        <v>20</v>
      </c>
      <c r="E51" s="1955">
        <v>37880</v>
      </c>
      <c r="F51" s="1960" t="s">
        <v>7616</v>
      </c>
      <c r="G51" s="1944">
        <v>5</v>
      </c>
      <c r="H51" s="1945"/>
      <c r="I51" s="1955">
        <v>38259</v>
      </c>
      <c r="J51" s="1960" t="s">
        <v>7617</v>
      </c>
      <c r="K51" s="1944">
        <v>5</v>
      </c>
      <c r="L51" s="1945"/>
      <c r="M51" s="1955">
        <v>38605</v>
      </c>
      <c r="N51" s="1960" t="s">
        <v>1143</v>
      </c>
      <c r="O51" s="1969"/>
      <c r="P51" s="1957">
        <v>37</v>
      </c>
      <c r="Q51" s="1955"/>
      <c r="R51" s="1943"/>
      <c r="S51" s="1968"/>
      <c r="T51" s="1945"/>
      <c r="U51" s="1955"/>
      <c r="V51" s="1943"/>
      <c r="W51" s="1968"/>
      <c r="X51" s="1945"/>
      <c r="Y51" s="1955">
        <v>39711</v>
      </c>
      <c r="Z51" s="1943" t="s">
        <v>7618</v>
      </c>
      <c r="AA51" s="1967">
        <v>31</v>
      </c>
      <c r="AB51" s="1945"/>
      <c r="AC51" s="1955"/>
      <c r="AD51" s="1943"/>
      <c r="AE51" s="1968"/>
      <c r="AF51" s="1945"/>
      <c r="AG51" s="1955">
        <v>40447</v>
      </c>
      <c r="AH51" s="1943" t="s">
        <v>783</v>
      </c>
      <c r="AI51" s="1968">
        <v>7</v>
      </c>
      <c r="AJ51" s="1945"/>
      <c r="AK51" s="1955"/>
      <c r="AL51" s="1943"/>
      <c r="AM51" s="1968"/>
      <c r="AN51" s="1945"/>
      <c r="AO51" s="1955">
        <v>41180</v>
      </c>
      <c r="AP51" s="1943" t="s">
        <v>7619</v>
      </c>
      <c r="AQ51" s="1967">
        <v>10</v>
      </c>
      <c r="AR51" s="1945"/>
      <c r="AS51" s="1955">
        <v>41545</v>
      </c>
      <c r="AT51" s="1943" t="s">
        <v>797</v>
      </c>
      <c r="AU51" s="1967">
        <v>61</v>
      </c>
      <c r="AV51" s="1945"/>
      <c r="AW51" s="1955">
        <v>41903</v>
      </c>
      <c r="AX51" s="1943" t="s">
        <v>781</v>
      </c>
      <c r="AY51" s="1967">
        <v>76</v>
      </c>
      <c r="AZ51" s="1945"/>
      <c r="BA51" s="1955">
        <v>42266</v>
      </c>
      <c r="BB51" s="1943" t="s">
        <v>7620</v>
      </c>
      <c r="BC51" s="1967">
        <v>5</v>
      </c>
      <c r="BD51" s="1945"/>
      <c r="BE51" s="1955">
        <v>42637</v>
      </c>
      <c r="BF51" s="1943" t="s">
        <v>7621</v>
      </c>
      <c r="BG51" s="1967">
        <v>21</v>
      </c>
      <c r="BH51" s="1945"/>
      <c r="BI51" s="1955">
        <v>42989</v>
      </c>
      <c r="BJ51" s="1943" t="s">
        <v>7622</v>
      </c>
      <c r="BK51" s="1968">
        <v>15</v>
      </c>
      <c r="BL51" s="1945"/>
      <c r="BM51" s="1955">
        <v>43356</v>
      </c>
      <c r="BN51" s="1943" t="s">
        <v>7623</v>
      </c>
      <c r="BO51" s="1968">
        <v>3984</v>
      </c>
      <c r="BP51" s="1945"/>
      <c r="BQ51" s="1955">
        <v>43722</v>
      </c>
      <c r="BR51" s="1943" t="s">
        <v>7624</v>
      </c>
      <c r="BS51" s="1968">
        <v>71</v>
      </c>
      <c r="BT51" s="1956" t="s">
        <v>426</v>
      </c>
      <c r="BU51" s="1951">
        <v>44086</v>
      </c>
      <c r="BV51" s="1943" t="s">
        <v>7625</v>
      </c>
      <c r="BW51" s="1968">
        <v>55</v>
      </c>
      <c r="BX51" s="1956" t="s">
        <v>426</v>
      </c>
      <c r="BY51" s="1955">
        <v>44454</v>
      </c>
      <c r="BZ51" s="1943" t="s">
        <v>7626</v>
      </c>
      <c r="CA51" s="1953">
        <v>41</v>
      </c>
      <c r="CB51" s="1956" t="s">
        <v>700</v>
      </c>
      <c r="CC51" s="1955">
        <v>44821</v>
      </c>
      <c r="CD51" s="1943" t="s">
        <v>7627</v>
      </c>
      <c r="CE51" s="1953">
        <v>6</v>
      </c>
      <c r="CF51" s="1956" t="s">
        <v>698</v>
      </c>
      <c r="CG51" s="1955">
        <v>45188</v>
      </c>
      <c r="CH51" s="1943" t="s">
        <v>7628</v>
      </c>
      <c r="CI51" s="1953">
        <v>12</v>
      </c>
      <c r="CJ51" s="1956" t="s">
        <v>280</v>
      </c>
      <c r="CK51" s="1955">
        <v>45556</v>
      </c>
      <c r="CL51" s="1943" t="s">
        <v>7629</v>
      </c>
      <c r="CM51" s="1953">
        <v>16</v>
      </c>
      <c r="CN51" s="1956" t="s">
        <v>414</v>
      </c>
    </row>
    <row r="52" spans="1:92" ht="12.75">
      <c r="A52" s="982">
        <v>37514</v>
      </c>
      <c r="B52" s="1943" t="s">
        <v>7630</v>
      </c>
      <c r="C52" s="1944">
        <v>75</v>
      </c>
      <c r="D52" s="1945"/>
      <c r="E52" s="1955">
        <v>37880</v>
      </c>
      <c r="F52" s="1960" t="s">
        <v>7631</v>
      </c>
      <c r="G52" s="1944">
        <v>41</v>
      </c>
      <c r="H52" s="1945"/>
      <c r="I52" s="1955"/>
      <c r="J52" s="1960"/>
      <c r="K52" s="1944"/>
      <c r="L52" s="1945"/>
      <c r="M52" s="1955">
        <v>38605</v>
      </c>
      <c r="N52" s="1960" t="s">
        <v>7632</v>
      </c>
      <c r="O52" s="1969"/>
      <c r="P52" s="1957">
        <v>15</v>
      </c>
      <c r="Q52" s="1955"/>
      <c r="R52" s="1943"/>
      <c r="S52" s="1969"/>
      <c r="T52" s="1945"/>
      <c r="U52" s="1955"/>
      <c r="V52" s="1943"/>
      <c r="W52" s="1967"/>
      <c r="X52" s="1945"/>
      <c r="Y52" s="1955">
        <v>39712</v>
      </c>
      <c r="Z52" s="1943" t="s">
        <v>7633</v>
      </c>
      <c r="AA52" s="1967">
        <v>5</v>
      </c>
      <c r="AB52" s="1945"/>
      <c r="AC52" s="1955"/>
      <c r="AD52" s="1943"/>
      <c r="AE52" s="1968"/>
      <c r="AF52" s="1945"/>
      <c r="AG52" s="1955">
        <v>40447</v>
      </c>
      <c r="AH52" s="1943" t="s">
        <v>7634</v>
      </c>
      <c r="AI52" s="1968">
        <v>0</v>
      </c>
      <c r="AJ52" s="1945"/>
      <c r="AK52" s="1955"/>
      <c r="AL52" s="1943"/>
      <c r="AM52" s="1968"/>
      <c r="AN52" s="1945"/>
      <c r="AO52" s="1955">
        <v>41181</v>
      </c>
      <c r="AP52" s="1943" t="s">
        <v>7635</v>
      </c>
      <c r="AQ52" s="1967"/>
      <c r="AR52" s="1945"/>
      <c r="AS52" s="1955"/>
      <c r="AT52" s="1943"/>
      <c r="AU52" s="1967"/>
      <c r="AV52" s="1945"/>
      <c r="AW52" s="1955">
        <v>41904</v>
      </c>
      <c r="AX52" s="1943" t="s">
        <v>787</v>
      </c>
      <c r="AY52" s="1967">
        <v>5</v>
      </c>
      <c r="AZ52" s="1945"/>
      <c r="BA52" s="1955">
        <v>42267</v>
      </c>
      <c r="BB52" s="1943" t="s">
        <v>954</v>
      </c>
      <c r="BC52" s="1967">
        <v>47</v>
      </c>
      <c r="BD52" s="1945"/>
      <c r="BE52" s="1955">
        <v>42641</v>
      </c>
      <c r="BF52" s="1943" t="s">
        <v>781</v>
      </c>
      <c r="BG52" s="1967">
        <v>29</v>
      </c>
      <c r="BH52" s="1945"/>
      <c r="BI52" s="1955">
        <v>42989</v>
      </c>
      <c r="BJ52" s="1943" t="s">
        <v>7636</v>
      </c>
      <c r="BK52" s="1968">
        <v>7</v>
      </c>
      <c r="BL52" s="1945"/>
      <c r="BM52" s="1955">
        <v>43357</v>
      </c>
      <c r="BN52" s="1943" t="s">
        <v>823</v>
      </c>
      <c r="BO52" s="1968">
        <v>30</v>
      </c>
      <c r="BP52" s="1945"/>
      <c r="BQ52" s="1955">
        <v>43725</v>
      </c>
      <c r="BR52" s="1943" t="s">
        <v>867</v>
      </c>
      <c r="BS52" s="1968">
        <v>7</v>
      </c>
      <c r="BT52" s="1956" t="s">
        <v>280</v>
      </c>
      <c r="BU52" s="1951">
        <v>44086</v>
      </c>
      <c r="BV52" s="1943" t="s">
        <v>7637</v>
      </c>
      <c r="BW52" s="1968">
        <v>195</v>
      </c>
      <c r="BX52" s="1956" t="s">
        <v>701</v>
      </c>
      <c r="BY52" s="1955">
        <v>44454</v>
      </c>
      <c r="BZ52" s="1943" t="s">
        <v>7638</v>
      </c>
      <c r="CA52" s="1953">
        <v>99</v>
      </c>
      <c r="CB52" s="1956" t="s">
        <v>280</v>
      </c>
      <c r="CC52" s="1955">
        <v>44822</v>
      </c>
      <c r="CD52" s="1943" t="s">
        <v>7639</v>
      </c>
      <c r="CE52" s="1953">
        <v>5</v>
      </c>
      <c r="CF52" s="1956" t="s">
        <v>414</v>
      </c>
      <c r="CG52" s="1955">
        <v>45191</v>
      </c>
      <c r="CH52" s="1943" t="s">
        <v>7640</v>
      </c>
      <c r="CI52" s="1953">
        <v>20</v>
      </c>
      <c r="CJ52" s="1956" t="s">
        <v>280</v>
      </c>
      <c r="CK52" s="1955">
        <v>45556</v>
      </c>
      <c r="CL52" s="1943" t="s">
        <v>7641</v>
      </c>
      <c r="CM52" s="1953">
        <v>4</v>
      </c>
      <c r="CN52" s="1956" t="s">
        <v>698</v>
      </c>
    </row>
    <row r="53" spans="1:92" ht="12.75">
      <c r="A53" s="982">
        <v>37518</v>
      </c>
      <c r="B53" s="1943" t="s">
        <v>847</v>
      </c>
      <c r="C53" s="1944">
        <v>70</v>
      </c>
      <c r="D53" s="1945"/>
      <c r="E53" s="1955">
        <v>37882</v>
      </c>
      <c r="F53" s="1960" t="s">
        <v>7642</v>
      </c>
      <c r="G53" s="1944">
        <v>254</v>
      </c>
      <c r="H53" s="1945"/>
      <c r="I53" s="1955"/>
      <c r="J53" s="1960"/>
      <c r="K53" s="1944"/>
      <c r="L53" s="1945"/>
      <c r="M53" s="1955">
        <v>38605</v>
      </c>
      <c r="N53" s="1960" t="s">
        <v>7643</v>
      </c>
      <c r="O53" s="1944"/>
      <c r="P53" s="1957">
        <v>23</v>
      </c>
      <c r="Q53" s="1955"/>
      <c r="R53" s="1943"/>
      <c r="S53" s="1944"/>
      <c r="T53" s="1945"/>
      <c r="U53" s="1955"/>
      <c r="V53" s="1943"/>
      <c r="W53" s="1967"/>
      <c r="X53" s="1945"/>
      <c r="Y53" s="1955">
        <v>39712</v>
      </c>
      <c r="Z53" s="1943" t="s">
        <v>7644</v>
      </c>
      <c r="AA53" s="1967">
        <v>76</v>
      </c>
      <c r="AB53" s="1945"/>
      <c r="AC53" s="1955"/>
      <c r="AD53" s="1943"/>
      <c r="AE53" s="1968"/>
      <c r="AF53" s="1945"/>
      <c r="AG53" s="1955">
        <v>40447</v>
      </c>
      <c r="AH53" s="1943" t="s">
        <v>7645</v>
      </c>
      <c r="AI53" s="1968">
        <v>0</v>
      </c>
      <c r="AJ53" s="1945"/>
      <c r="AK53" s="1955"/>
      <c r="AL53" s="1943"/>
      <c r="AM53" s="1968"/>
      <c r="AN53" s="1945"/>
      <c r="AO53" s="1955">
        <v>41181</v>
      </c>
      <c r="AP53" s="1943" t="s">
        <v>754</v>
      </c>
      <c r="AQ53" s="1967">
        <v>10</v>
      </c>
      <c r="AR53" s="1945"/>
      <c r="AS53" s="1955"/>
      <c r="AT53" s="1943"/>
      <c r="AU53" s="1967"/>
      <c r="AV53" s="1945"/>
      <c r="AW53" s="1955">
        <v>41905</v>
      </c>
      <c r="AX53" s="1943" t="s">
        <v>802</v>
      </c>
      <c r="AY53" s="1967">
        <v>39</v>
      </c>
      <c r="AZ53" s="1945"/>
      <c r="BA53" s="1955">
        <v>42267</v>
      </c>
      <c r="BB53" s="1943" t="s">
        <v>7646</v>
      </c>
      <c r="BC53" s="1967">
        <v>240</v>
      </c>
      <c r="BD53" s="1945"/>
      <c r="BE53" s="1955">
        <v>42642</v>
      </c>
      <c r="BF53" s="1943" t="s">
        <v>2162</v>
      </c>
      <c r="BG53" s="1967">
        <v>12</v>
      </c>
      <c r="BH53" s="1945"/>
      <c r="BI53" s="1955">
        <v>42990</v>
      </c>
      <c r="BJ53" s="1943" t="s">
        <v>7647</v>
      </c>
      <c r="BK53" s="1968">
        <v>12</v>
      </c>
      <c r="BL53" s="1945"/>
      <c r="BM53" s="1955">
        <v>43357</v>
      </c>
      <c r="BN53" s="1943" t="s">
        <v>7648</v>
      </c>
      <c r="BO53" s="1967">
        <v>11</v>
      </c>
      <c r="BP53" s="1945"/>
      <c r="BQ53" s="1955">
        <v>43725</v>
      </c>
      <c r="BR53" s="1943" t="s">
        <v>7649</v>
      </c>
      <c r="BS53" s="1968">
        <v>30</v>
      </c>
      <c r="BT53" s="1956" t="s">
        <v>280</v>
      </c>
      <c r="BU53" s="1951">
        <v>44086</v>
      </c>
      <c r="BV53" s="1943" t="s">
        <v>7650</v>
      </c>
      <c r="BW53" s="1968">
        <v>100</v>
      </c>
      <c r="BX53" s="1956" t="s">
        <v>701</v>
      </c>
      <c r="BY53" s="1955">
        <v>44457</v>
      </c>
      <c r="BZ53" s="1943" t="s">
        <v>7651</v>
      </c>
      <c r="CA53" s="1953">
        <v>962</v>
      </c>
      <c r="CB53" s="1956" t="s">
        <v>284</v>
      </c>
      <c r="CC53" s="1955">
        <v>44822</v>
      </c>
      <c r="CD53" s="1943" t="s">
        <v>7652</v>
      </c>
      <c r="CE53" s="1953">
        <v>66</v>
      </c>
      <c r="CF53" s="1956" t="s">
        <v>414</v>
      </c>
      <c r="CG53" s="1955">
        <v>45191</v>
      </c>
      <c r="CH53" s="1943" t="s">
        <v>845</v>
      </c>
      <c r="CI53" s="1953">
        <v>36</v>
      </c>
      <c r="CJ53" s="1956" t="s">
        <v>414</v>
      </c>
      <c r="CK53" s="1955">
        <v>45556</v>
      </c>
      <c r="CL53" s="1943" t="s">
        <v>7653</v>
      </c>
      <c r="CM53" s="1953">
        <v>80</v>
      </c>
      <c r="CN53" s="1956" t="s">
        <v>414</v>
      </c>
    </row>
    <row r="54" spans="1:92" ht="12.75">
      <c r="A54" s="982">
        <v>37518</v>
      </c>
      <c r="B54" s="1943" t="s">
        <v>5530</v>
      </c>
      <c r="C54" s="1944"/>
      <c r="D54" s="1945"/>
      <c r="E54" s="1955">
        <v>37882</v>
      </c>
      <c r="F54" s="1960" t="s">
        <v>772</v>
      </c>
      <c r="G54" s="1944">
        <v>13</v>
      </c>
      <c r="H54" s="1945"/>
      <c r="I54" s="1955"/>
      <c r="J54" s="1960"/>
      <c r="K54" s="1944"/>
      <c r="L54" s="1945"/>
      <c r="M54" s="1955">
        <v>38606</v>
      </c>
      <c r="N54" s="1960" t="s">
        <v>7654</v>
      </c>
      <c r="O54" s="1944">
        <v>0</v>
      </c>
      <c r="P54" s="1957"/>
      <c r="Q54" s="1955"/>
      <c r="R54" s="1943"/>
      <c r="S54" s="1944"/>
      <c r="T54" s="1945"/>
      <c r="U54" s="1955"/>
      <c r="V54" s="1943"/>
      <c r="W54" s="1967"/>
      <c r="X54" s="1945"/>
      <c r="Y54" s="1955">
        <v>39712</v>
      </c>
      <c r="Z54" s="1943" t="s">
        <v>7655</v>
      </c>
      <c r="AA54" s="1967">
        <v>50</v>
      </c>
      <c r="AB54" s="1945"/>
      <c r="AC54" s="1955"/>
      <c r="AD54" s="1943"/>
      <c r="AE54" s="1968"/>
      <c r="AF54" s="1945"/>
      <c r="AG54" s="1955">
        <v>40447</v>
      </c>
      <c r="AH54" s="1943" t="s">
        <v>937</v>
      </c>
      <c r="AI54" s="1968">
        <v>39</v>
      </c>
      <c r="AJ54" s="1945"/>
      <c r="AK54" s="1955"/>
      <c r="AL54" s="1943"/>
      <c r="AM54" s="1968"/>
      <c r="AN54" s="1945"/>
      <c r="AO54" s="1955">
        <v>41181</v>
      </c>
      <c r="AP54" s="1943" t="s">
        <v>7656</v>
      </c>
      <c r="AQ54" s="1967">
        <v>15</v>
      </c>
      <c r="AR54" s="1945"/>
      <c r="AS54" s="1955"/>
      <c r="AT54" s="1943"/>
      <c r="AU54" s="1967"/>
      <c r="AV54" s="1945"/>
      <c r="AW54" s="1955">
        <v>41906</v>
      </c>
      <c r="AX54" s="1943" t="s">
        <v>925</v>
      </c>
      <c r="AY54" s="1967">
        <v>12</v>
      </c>
      <c r="AZ54" s="1945"/>
      <c r="BA54" s="1955">
        <v>42271</v>
      </c>
      <c r="BB54" s="1943" t="s">
        <v>797</v>
      </c>
      <c r="BC54" s="1968">
        <v>40</v>
      </c>
      <c r="BD54" s="1945"/>
      <c r="BE54" s="1955">
        <v>42642</v>
      </c>
      <c r="BF54" s="1943" t="s">
        <v>7657</v>
      </c>
      <c r="BG54" s="1968">
        <v>37</v>
      </c>
      <c r="BH54" s="1945"/>
      <c r="BI54" s="1955">
        <v>42991</v>
      </c>
      <c r="BJ54" s="1943" t="s">
        <v>7658</v>
      </c>
      <c r="BK54" s="1968"/>
      <c r="BL54" s="1945"/>
      <c r="BM54" s="1955">
        <v>43357</v>
      </c>
      <c r="BN54" s="1943" t="s">
        <v>7659</v>
      </c>
      <c r="BO54" s="1967">
        <v>333</v>
      </c>
      <c r="BP54" s="1945"/>
      <c r="BQ54" s="1955">
        <v>43726</v>
      </c>
      <c r="BR54" s="1943" t="s">
        <v>965</v>
      </c>
      <c r="BS54" s="1967">
        <v>13</v>
      </c>
      <c r="BT54" s="1956" t="s">
        <v>414</v>
      </c>
      <c r="BU54" s="1955">
        <v>44092</v>
      </c>
      <c r="BV54" s="1943" t="s">
        <v>7660</v>
      </c>
      <c r="BW54" s="1967"/>
      <c r="BX54" s="1956" t="s">
        <v>701</v>
      </c>
      <c r="BY54" s="1955">
        <v>44457</v>
      </c>
      <c r="BZ54" s="1943" t="s">
        <v>772</v>
      </c>
      <c r="CA54" s="1953">
        <v>7</v>
      </c>
      <c r="CB54" s="1956" t="s">
        <v>414</v>
      </c>
      <c r="CC54" s="1955">
        <v>44822</v>
      </c>
      <c r="CD54" s="1943" t="s">
        <v>3417</v>
      </c>
      <c r="CE54" s="1953">
        <v>63</v>
      </c>
      <c r="CF54" s="1956" t="s">
        <v>414</v>
      </c>
      <c r="CG54" s="1955">
        <v>45192</v>
      </c>
      <c r="CH54" s="1943" t="s">
        <v>845</v>
      </c>
      <c r="CI54" s="1953">
        <v>57</v>
      </c>
      <c r="CJ54" s="1956" t="s">
        <v>414</v>
      </c>
      <c r="CK54" s="1955">
        <v>45560</v>
      </c>
      <c r="CL54" s="1943" t="s">
        <v>781</v>
      </c>
      <c r="CM54" s="1953">
        <v>37</v>
      </c>
      <c r="CN54" s="1956" t="s">
        <v>414</v>
      </c>
    </row>
    <row r="55" spans="1:92" ht="12.75">
      <c r="A55" s="982">
        <v>37518</v>
      </c>
      <c r="B55" s="1943" t="s">
        <v>7661</v>
      </c>
      <c r="C55" s="1944"/>
      <c r="D55" s="1945">
        <v>10</v>
      </c>
      <c r="E55" s="1955">
        <v>37883</v>
      </c>
      <c r="F55" s="1960" t="s">
        <v>7326</v>
      </c>
      <c r="G55" s="1944">
        <v>11</v>
      </c>
      <c r="H55" s="1945"/>
      <c r="I55" s="1955"/>
      <c r="J55" s="1960"/>
      <c r="K55" s="1944"/>
      <c r="L55" s="1945"/>
      <c r="M55" s="1955">
        <v>38606</v>
      </c>
      <c r="N55" s="1960" t="s">
        <v>937</v>
      </c>
      <c r="O55" s="1944">
        <v>17</v>
      </c>
      <c r="P55" s="1957"/>
      <c r="Q55" s="1955"/>
      <c r="R55" s="1943"/>
      <c r="S55" s="1944"/>
      <c r="T55" s="1945"/>
      <c r="U55" s="1955"/>
      <c r="V55" s="1943"/>
      <c r="W55" s="1967"/>
      <c r="X55" s="1945"/>
      <c r="Y55" s="1955">
        <v>39712</v>
      </c>
      <c r="Z55" s="1943" t="s">
        <v>7662</v>
      </c>
      <c r="AA55" s="1967">
        <v>52</v>
      </c>
      <c r="AB55" s="1945"/>
      <c r="AC55" s="1955"/>
      <c r="AD55" s="1943"/>
      <c r="AE55" s="1968"/>
      <c r="AF55" s="1945"/>
      <c r="AG55" s="1955">
        <v>40447</v>
      </c>
      <c r="AH55" s="1943" t="s">
        <v>797</v>
      </c>
      <c r="AI55" s="1968">
        <v>39</v>
      </c>
      <c r="AJ55" s="1945"/>
      <c r="AK55" s="1955"/>
      <c r="AL55" s="1943"/>
      <c r="AM55" s="1968"/>
      <c r="AN55" s="1945"/>
      <c r="AO55" s="1955">
        <v>41181</v>
      </c>
      <c r="AP55" s="1943" t="s">
        <v>7663</v>
      </c>
      <c r="AQ55" s="1967">
        <v>10</v>
      </c>
      <c r="AR55" s="1945"/>
      <c r="AS55" s="1955"/>
      <c r="AT55" s="1943"/>
      <c r="AU55" s="1967"/>
      <c r="AV55" s="1945"/>
      <c r="AW55" s="1955">
        <v>41909</v>
      </c>
      <c r="AX55" s="1943" t="s">
        <v>7664</v>
      </c>
      <c r="AY55" s="1968">
        <v>35</v>
      </c>
      <c r="AZ55" s="1945"/>
      <c r="BA55" s="1955">
        <v>42273</v>
      </c>
      <c r="BB55" s="1943" t="s">
        <v>7665</v>
      </c>
      <c r="BC55" s="1968">
        <v>50</v>
      </c>
      <c r="BD55" s="1945"/>
      <c r="BE55" s="1955">
        <v>42642</v>
      </c>
      <c r="BF55" s="1943" t="s">
        <v>7504</v>
      </c>
      <c r="BG55" s="1968">
        <v>28</v>
      </c>
      <c r="BH55" s="1945"/>
      <c r="BI55" s="1955">
        <v>42992</v>
      </c>
      <c r="BJ55" s="1943" t="s">
        <v>7666</v>
      </c>
      <c r="BK55" s="1968">
        <v>26</v>
      </c>
      <c r="BL55" s="1945"/>
      <c r="BM55" s="1955">
        <v>43357</v>
      </c>
      <c r="BN55" s="1943" t="s">
        <v>7667</v>
      </c>
      <c r="BO55" s="1967">
        <v>20</v>
      </c>
      <c r="BP55" s="1945"/>
      <c r="BQ55" s="1955">
        <v>43727</v>
      </c>
      <c r="BR55" s="1943" t="s">
        <v>7668</v>
      </c>
      <c r="BS55" s="1967">
        <v>162</v>
      </c>
      <c r="BT55" s="1956" t="s">
        <v>280</v>
      </c>
      <c r="BU55" s="1955">
        <v>44092</v>
      </c>
      <c r="BV55" s="1943" t="s">
        <v>845</v>
      </c>
      <c r="BW55" s="1967">
        <v>81</v>
      </c>
      <c r="BX55" s="1956" t="s">
        <v>414</v>
      </c>
      <c r="BY55" s="1955">
        <v>44457</v>
      </c>
      <c r="BZ55" s="1943" t="s">
        <v>845</v>
      </c>
      <c r="CA55" s="1953">
        <v>38</v>
      </c>
      <c r="CB55" s="1956" t="s">
        <v>414</v>
      </c>
      <c r="CC55" s="1955">
        <v>44822</v>
      </c>
      <c r="CD55" s="1943" t="s">
        <v>7669</v>
      </c>
      <c r="CE55" s="1953">
        <v>12</v>
      </c>
      <c r="CF55" s="1956" t="s">
        <v>414</v>
      </c>
      <c r="CG55" s="1955">
        <v>45193</v>
      </c>
      <c r="CH55" s="1943" t="s">
        <v>1052</v>
      </c>
      <c r="CI55" s="1953">
        <v>32</v>
      </c>
      <c r="CJ55" s="1956" t="s">
        <v>280</v>
      </c>
      <c r="CK55" s="1955">
        <v>45561</v>
      </c>
      <c r="CL55" s="1943" t="s">
        <v>948</v>
      </c>
      <c r="CM55" s="1953">
        <v>14</v>
      </c>
      <c r="CN55" s="1956" t="s">
        <v>414</v>
      </c>
    </row>
    <row r="56" spans="1:92" ht="12.75">
      <c r="A56" s="982">
        <v>37519</v>
      </c>
      <c r="B56" s="1943" t="s">
        <v>7670</v>
      </c>
      <c r="C56" s="1944">
        <v>261</v>
      </c>
      <c r="D56" s="1945"/>
      <c r="E56" s="1955">
        <v>37883</v>
      </c>
      <c r="F56" s="1960" t="s">
        <v>1502</v>
      </c>
      <c r="G56" s="1944">
        <v>32</v>
      </c>
      <c r="H56" s="1945"/>
      <c r="I56" s="1955"/>
      <c r="J56" s="1960"/>
      <c r="K56" s="1944"/>
      <c r="L56" s="1945"/>
      <c r="M56" s="1955">
        <v>38606</v>
      </c>
      <c r="N56" s="1960" t="s">
        <v>1143</v>
      </c>
      <c r="O56" s="1944">
        <v>22</v>
      </c>
      <c r="P56" s="1957"/>
      <c r="Q56" s="1955"/>
      <c r="R56" s="1943"/>
      <c r="S56" s="1944"/>
      <c r="T56" s="1945"/>
      <c r="U56" s="1955"/>
      <c r="V56" s="1943"/>
      <c r="W56" s="1967"/>
      <c r="X56" s="1945"/>
      <c r="Y56" s="1955">
        <v>39712</v>
      </c>
      <c r="Z56" s="1943" t="s">
        <v>797</v>
      </c>
      <c r="AA56" s="1967">
        <v>40</v>
      </c>
      <c r="AB56" s="1945"/>
      <c r="AC56" s="1955"/>
      <c r="AD56" s="1943"/>
      <c r="AE56" s="1967"/>
      <c r="AF56" s="1945"/>
      <c r="AG56" s="1955">
        <v>40447</v>
      </c>
      <c r="AH56" s="1943" t="s">
        <v>772</v>
      </c>
      <c r="AI56" s="1968">
        <v>57</v>
      </c>
      <c r="AJ56" s="1945"/>
      <c r="AK56" s="1955"/>
      <c r="AL56" s="1943"/>
      <c r="AM56" s="1968"/>
      <c r="AN56" s="1945"/>
      <c r="AO56" s="1955">
        <v>41181</v>
      </c>
      <c r="AP56" s="1943" t="s">
        <v>7671</v>
      </c>
      <c r="AQ56" s="1967">
        <v>40</v>
      </c>
      <c r="AR56" s="1945"/>
      <c r="AS56" s="1955"/>
      <c r="AT56" s="1943"/>
      <c r="AU56" s="1967"/>
      <c r="AV56" s="1945"/>
      <c r="AW56" s="1955">
        <v>41909</v>
      </c>
      <c r="AX56" s="1943" t="s">
        <v>7672</v>
      </c>
      <c r="AY56" s="1968">
        <v>5</v>
      </c>
      <c r="AZ56" s="1945"/>
      <c r="BA56" s="1955">
        <v>42273</v>
      </c>
      <c r="BB56" s="1943" t="s">
        <v>7673</v>
      </c>
      <c r="BC56" s="1968">
        <v>30</v>
      </c>
      <c r="BD56" s="1945"/>
      <c r="BE56" s="1955"/>
      <c r="BF56" s="1943"/>
      <c r="BG56" s="1968"/>
      <c r="BH56" s="1945"/>
      <c r="BI56" s="1955">
        <v>42992</v>
      </c>
      <c r="BJ56" s="1943" t="s">
        <v>7674</v>
      </c>
      <c r="BK56" s="1967">
        <v>51</v>
      </c>
      <c r="BL56" s="1945"/>
      <c r="BM56" s="1955">
        <v>43358</v>
      </c>
      <c r="BN56" s="1943" t="s">
        <v>823</v>
      </c>
      <c r="BO56" s="1967">
        <v>4</v>
      </c>
      <c r="BP56" s="1945"/>
      <c r="BQ56" s="1955">
        <v>43729</v>
      </c>
      <c r="BR56" s="1943" t="s">
        <v>873</v>
      </c>
      <c r="BS56" s="1967">
        <v>14</v>
      </c>
      <c r="BT56" s="1956" t="s">
        <v>414</v>
      </c>
      <c r="BU56" s="1955">
        <v>44092</v>
      </c>
      <c r="BV56" s="1943" t="s">
        <v>2888</v>
      </c>
      <c r="BW56" s="1967">
        <v>43</v>
      </c>
      <c r="BX56" s="1956" t="s">
        <v>414</v>
      </c>
      <c r="BY56" s="1955">
        <v>44457</v>
      </c>
      <c r="BZ56" s="1943" t="s">
        <v>843</v>
      </c>
      <c r="CA56" s="1953">
        <v>33</v>
      </c>
      <c r="CB56" s="1956" t="s">
        <v>414</v>
      </c>
      <c r="CC56" s="1955">
        <v>44822</v>
      </c>
      <c r="CD56" s="1943" t="s">
        <v>7675</v>
      </c>
      <c r="CE56" s="1953">
        <v>10</v>
      </c>
      <c r="CF56" s="1956" t="s">
        <v>414</v>
      </c>
      <c r="CG56" s="1955">
        <v>45193</v>
      </c>
      <c r="CH56" s="1943" t="s">
        <v>843</v>
      </c>
      <c r="CI56" s="1953">
        <v>49</v>
      </c>
      <c r="CJ56" s="1956" t="s">
        <v>414</v>
      </c>
      <c r="CK56" s="1955">
        <v>45561</v>
      </c>
      <c r="CL56" s="1943" t="s">
        <v>828</v>
      </c>
      <c r="CM56" s="1953">
        <v>6</v>
      </c>
      <c r="CN56" s="1956" t="s">
        <v>414</v>
      </c>
    </row>
    <row r="57" spans="1:92" ht="12.75">
      <c r="A57" s="982">
        <v>37519</v>
      </c>
      <c r="B57" s="1943" t="s">
        <v>7676</v>
      </c>
      <c r="C57" s="1944">
        <v>40</v>
      </c>
      <c r="D57" s="1945"/>
      <c r="E57" s="1955">
        <v>37883</v>
      </c>
      <c r="F57" s="1960" t="s">
        <v>1810</v>
      </c>
      <c r="G57" s="1944">
        <v>3</v>
      </c>
      <c r="H57" s="1945"/>
      <c r="I57" s="1955"/>
      <c r="J57" s="1960"/>
      <c r="K57" s="1944"/>
      <c r="L57" s="1945"/>
      <c r="M57" s="1955">
        <v>38606</v>
      </c>
      <c r="N57" s="1960" t="s">
        <v>4490</v>
      </c>
      <c r="O57" s="1944">
        <v>27</v>
      </c>
      <c r="P57" s="1957"/>
      <c r="Q57" s="1955"/>
      <c r="R57" s="1943"/>
      <c r="S57" s="1944"/>
      <c r="T57" s="1945"/>
      <c r="U57" s="1955"/>
      <c r="V57" s="1943"/>
      <c r="W57" s="1967"/>
      <c r="X57" s="1945"/>
      <c r="Y57" s="1955">
        <v>39713</v>
      </c>
      <c r="Z57" s="1943" t="s">
        <v>797</v>
      </c>
      <c r="AA57" s="1967">
        <v>32</v>
      </c>
      <c r="AB57" s="1945"/>
      <c r="AC57" s="1955"/>
      <c r="AD57" s="1943"/>
      <c r="AE57" s="1967"/>
      <c r="AF57" s="1945"/>
      <c r="AG57" s="1955">
        <v>40447</v>
      </c>
      <c r="AH57" s="1943" t="s">
        <v>7677</v>
      </c>
      <c r="AI57" s="1968">
        <v>31</v>
      </c>
      <c r="AJ57" s="1945"/>
      <c r="AK57" s="1955"/>
      <c r="AL57" s="1943"/>
      <c r="AM57" s="1968"/>
      <c r="AN57" s="1945"/>
      <c r="AO57" s="1955">
        <v>41182</v>
      </c>
      <c r="AP57" s="1943" t="s">
        <v>7678</v>
      </c>
      <c r="AQ57" s="1968">
        <v>6</v>
      </c>
      <c r="AR57" s="1945"/>
      <c r="AS57" s="1955"/>
      <c r="AT57" s="1943"/>
      <c r="AU57" s="1968"/>
      <c r="AV57" s="1945"/>
      <c r="AW57" s="1955">
        <v>41909</v>
      </c>
      <c r="AX57" s="1943" t="s">
        <v>7679</v>
      </c>
      <c r="AY57" s="1968">
        <v>8</v>
      </c>
      <c r="AZ57" s="1945"/>
      <c r="BA57" s="1955">
        <v>42273</v>
      </c>
      <c r="BB57" s="1943" t="s">
        <v>7680</v>
      </c>
      <c r="BC57" s="1968">
        <v>17</v>
      </c>
      <c r="BD57" s="1945"/>
      <c r="BE57" s="1955"/>
      <c r="BF57" s="1943"/>
      <c r="BG57" s="1968"/>
      <c r="BH57" s="1945"/>
      <c r="BI57" s="1955">
        <v>42992</v>
      </c>
      <c r="BJ57" s="1943" t="s">
        <v>7681</v>
      </c>
      <c r="BK57" s="1967">
        <v>18</v>
      </c>
      <c r="BL57" s="1945"/>
      <c r="BM57" s="1955">
        <v>43358</v>
      </c>
      <c r="BN57" s="1943" t="s">
        <v>7682</v>
      </c>
      <c r="BO57" s="1967">
        <v>10</v>
      </c>
      <c r="BP57" s="1945"/>
      <c r="BQ57" s="1955">
        <v>43729</v>
      </c>
      <c r="BR57" s="1943" t="s">
        <v>859</v>
      </c>
      <c r="BS57" s="1967">
        <v>10</v>
      </c>
      <c r="BT57" s="1956" t="s">
        <v>414</v>
      </c>
      <c r="BU57" s="1955">
        <v>44094</v>
      </c>
      <c r="BV57" s="1943" t="s">
        <v>7683</v>
      </c>
      <c r="BW57" s="1967">
        <v>110</v>
      </c>
      <c r="BX57" s="1956" t="s">
        <v>414</v>
      </c>
      <c r="BY57" s="1955">
        <v>44457</v>
      </c>
      <c r="BZ57" s="1943" t="s">
        <v>828</v>
      </c>
      <c r="CA57" s="1953">
        <v>20</v>
      </c>
      <c r="CB57" s="1956" t="s">
        <v>414</v>
      </c>
      <c r="CC57" s="1955">
        <v>44822</v>
      </c>
      <c r="CD57" s="1943" t="s">
        <v>2469</v>
      </c>
      <c r="CE57" s="1953">
        <v>2</v>
      </c>
      <c r="CF57" s="1956" t="s">
        <v>414</v>
      </c>
      <c r="CG57" s="1955">
        <v>45193</v>
      </c>
      <c r="CH57" s="1943" t="s">
        <v>7684</v>
      </c>
      <c r="CI57" s="1953">
        <v>98</v>
      </c>
      <c r="CJ57" s="1956" t="s">
        <v>700</v>
      </c>
      <c r="CK57" s="1955">
        <v>45562</v>
      </c>
      <c r="CL57" s="1943" t="s">
        <v>845</v>
      </c>
      <c r="CM57" s="1953">
        <v>48</v>
      </c>
      <c r="CN57" s="1956" t="s">
        <v>414</v>
      </c>
    </row>
    <row r="58" spans="1:92" ht="12.75">
      <c r="A58" s="982">
        <v>37519</v>
      </c>
      <c r="B58" s="1943" t="s">
        <v>7685</v>
      </c>
      <c r="C58" s="1944">
        <v>30</v>
      </c>
      <c r="D58" s="1945">
        <v>93</v>
      </c>
      <c r="E58" s="1955">
        <v>37883</v>
      </c>
      <c r="F58" s="1960" t="s">
        <v>7686</v>
      </c>
      <c r="G58" s="1944">
        <v>7</v>
      </c>
      <c r="H58" s="1945"/>
      <c r="I58" s="1955"/>
      <c r="J58" s="1960"/>
      <c r="K58" s="1944"/>
      <c r="L58" s="1945"/>
      <c r="M58" s="1955">
        <v>38606</v>
      </c>
      <c r="N58" s="1960" t="s">
        <v>802</v>
      </c>
      <c r="O58" s="1944">
        <v>40</v>
      </c>
      <c r="P58" s="1957"/>
      <c r="Q58" s="1955"/>
      <c r="R58" s="1943"/>
      <c r="S58" s="1944"/>
      <c r="T58" s="1945"/>
      <c r="U58" s="1955"/>
      <c r="V58" s="1943"/>
      <c r="W58" s="1967"/>
      <c r="X58" s="1945"/>
      <c r="Y58" s="1955">
        <v>39713</v>
      </c>
      <c r="Z58" s="1943" t="s">
        <v>7687</v>
      </c>
      <c r="AA58" s="1967">
        <v>0</v>
      </c>
      <c r="AB58" s="1945"/>
      <c r="AC58" s="1955"/>
      <c r="AD58" s="1943"/>
      <c r="AE58" s="1967"/>
      <c r="AF58" s="1945"/>
      <c r="AG58" s="1955">
        <v>40448</v>
      </c>
      <c r="AH58" s="1943" t="s">
        <v>7688</v>
      </c>
      <c r="AI58" s="1968">
        <v>45</v>
      </c>
      <c r="AJ58" s="1945"/>
      <c r="AK58" s="1955"/>
      <c r="AL58" s="1943"/>
      <c r="AM58" s="1968"/>
      <c r="AN58" s="1945"/>
      <c r="AO58" s="1955">
        <v>41182</v>
      </c>
      <c r="AP58" s="1943" t="s">
        <v>7689</v>
      </c>
      <c r="AQ58" s="1968">
        <v>20</v>
      </c>
      <c r="AR58" s="1945"/>
      <c r="AS58" s="1955"/>
      <c r="AT58" s="1943"/>
      <c r="AU58" s="1968"/>
      <c r="AV58" s="1945"/>
      <c r="AW58" s="1955">
        <v>41909</v>
      </c>
      <c r="AX58" s="1943" t="s">
        <v>7690</v>
      </c>
      <c r="AY58" s="1968">
        <v>6</v>
      </c>
      <c r="AZ58" s="1945"/>
      <c r="BA58" s="1955">
        <v>42273</v>
      </c>
      <c r="BB58" s="1943" t="s">
        <v>7691</v>
      </c>
      <c r="BC58" s="1968">
        <v>0</v>
      </c>
      <c r="BD58" s="1945"/>
      <c r="BE58" s="1955"/>
      <c r="BF58" s="1943"/>
      <c r="BG58" s="1968"/>
      <c r="BH58" s="1945"/>
      <c r="BI58" s="1955">
        <v>42992</v>
      </c>
      <c r="BJ58" s="1943" t="s">
        <v>7692</v>
      </c>
      <c r="BK58" s="1967">
        <v>5</v>
      </c>
      <c r="BL58" s="1945"/>
      <c r="BM58" s="1955">
        <v>43358</v>
      </c>
      <c r="BN58" s="1943" t="s">
        <v>7693</v>
      </c>
      <c r="BO58" s="1967">
        <v>21</v>
      </c>
      <c r="BP58" s="1945"/>
      <c r="BQ58" s="1955">
        <v>43729</v>
      </c>
      <c r="BR58" s="1943" t="s">
        <v>845</v>
      </c>
      <c r="BS58" s="1967">
        <v>52</v>
      </c>
      <c r="BT58" s="1956" t="s">
        <v>414</v>
      </c>
      <c r="BU58" s="1955">
        <v>44094</v>
      </c>
      <c r="BV58" s="1943" t="s">
        <v>7694</v>
      </c>
      <c r="BW58" s="1967">
        <v>125</v>
      </c>
      <c r="BX58" s="1956" t="s">
        <v>701</v>
      </c>
      <c r="BY58" s="1955">
        <v>44457</v>
      </c>
      <c r="BZ58" s="1943" t="s">
        <v>828</v>
      </c>
      <c r="CA58" s="1953">
        <v>20</v>
      </c>
      <c r="CB58" s="1956" t="s">
        <v>414</v>
      </c>
      <c r="CC58" s="1955">
        <v>44822</v>
      </c>
      <c r="CD58" s="1943" t="s">
        <v>5032</v>
      </c>
      <c r="CE58" s="1953">
        <v>8</v>
      </c>
      <c r="CF58" s="1956" t="s">
        <v>414</v>
      </c>
      <c r="CG58" s="1955">
        <v>45193</v>
      </c>
      <c r="CH58" s="1943" t="s">
        <v>7695</v>
      </c>
      <c r="CI58" s="1953">
        <v>41</v>
      </c>
      <c r="CJ58" s="1956" t="s">
        <v>414</v>
      </c>
      <c r="CK58" s="1955">
        <v>45562</v>
      </c>
      <c r="CL58" s="1943" t="s">
        <v>948</v>
      </c>
      <c r="CM58" s="1953">
        <v>39</v>
      </c>
      <c r="CN58" s="1956" t="s">
        <v>414</v>
      </c>
    </row>
    <row r="59" spans="1:92" ht="12.75">
      <c r="A59" s="982">
        <v>37519</v>
      </c>
      <c r="B59" s="1943" t="s">
        <v>7696</v>
      </c>
      <c r="C59" s="1944">
        <v>12</v>
      </c>
      <c r="D59" s="1945"/>
      <c r="E59" s="1955">
        <v>37884</v>
      </c>
      <c r="F59" s="1960" t="s">
        <v>7697</v>
      </c>
      <c r="G59" s="1944">
        <v>16</v>
      </c>
      <c r="H59" s="1945"/>
      <c r="I59" s="1955"/>
      <c r="J59" s="1960"/>
      <c r="K59" s="1944"/>
      <c r="L59" s="1945"/>
      <c r="M59" s="1955">
        <v>38606</v>
      </c>
      <c r="N59" s="1960" t="s">
        <v>1108</v>
      </c>
      <c r="O59" s="1944">
        <v>66</v>
      </c>
      <c r="P59" s="1957"/>
      <c r="Q59" s="1955"/>
      <c r="R59" s="1943"/>
      <c r="S59" s="1944"/>
      <c r="T59" s="1945"/>
      <c r="U59" s="1955"/>
      <c r="V59" s="1943"/>
      <c r="W59" s="1967"/>
      <c r="X59" s="1945"/>
      <c r="Y59" s="1955">
        <v>39713</v>
      </c>
      <c r="Z59" s="1943" t="s">
        <v>7698</v>
      </c>
      <c r="AA59" s="1967">
        <v>0</v>
      </c>
      <c r="AB59" s="1945"/>
      <c r="AC59" s="1955"/>
      <c r="AD59" s="1943"/>
      <c r="AE59" s="1967"/>
      <c r="AF59" s="1945"/>
      <c r="AG59" s="1955">
        <v>40451</v>
      </c>
      <c r="AH59" s="1943" t="s">
        <v>7699</v>
      </c>
      <c r="AI59" s="1967">
        <v>59</v>
      </c>
      <c r="AJ59" s="1945"/>
      <c r="AK59" s="1955"/>
      <c r="AL59" s="1943"/>
      <c r="AM59" s="1968"/>
      <c r="AN59" s="1945"/>
      <c r="AO59" s="1955">
        <v>41182</v>
      </c>
      <c r="AP59" s="1943" t="s">
        <v>772</v>
      </c>
      <c r="AQ59" s="1968">
        <v>5</v>
      </c>
      <c r="AR59" s="1945"/>
      <c r="AS59" s="1955"/>
      <c r="AT59" s="1943"/>
      <c r="AU59" s="1968"/>
      <c r="AV59" s="1945"/>
      <c r="AW59" s="1955">
        <v>41910</v>
      </c>
      <c r="AX59" s="1943" t="s">
        <v>1052</v>
      </c>
      <c r="AY59" s="1968">
        <v>19</v>
      </c>
      <c r="AZ59" s="1945"/>
      <c r="BA59" s="1955">
        <v>42273</v>
      </c>
      <c r="BB59" s="1943" t="s">
        <v>7700</v>
      </c>
      <c r="BC59" s="1968">
        <v>0</v>
      </c>
      <c r="BD59" s="1945"/>
      <c r="BE59" s="1955"/>
      <c r="BF59" s="1943"/>
      <c r="BG59" s="1968"/>
      <c r="BH59" s="1945"/>
      <c r="BI59" s="1955">
        <v>42992</v>
      </c>
      <c r="BJ59" s="1943" t="s">
        <v>7701</v>
      </c>
      <c r="BK59" s="1967">
        <v>5</v>
      </c>
      <c r="BL59" s="1945"/>
      <c r="BM59" s="1955">
        <v>43358</v>
      </c>
      <c r="BN59" s="1943" t="s">
        <v>7702</v>
      </c>
      <c r="BO59" s="1967">
        <v>22</v>
      </c>
      <c r="BP59" s="1945"/>
      <c r="BQ59" s="1955">
        <v>43729</v>
      </c>
      <c r="BR59" s="1943" t="s">
        <v>872</v>
      </c>
      <c r="BS59" s="1967">
        <v>21</v>
      </c>
      <c r="BT59" s="1956" t="s">
        <v>414</v>
      </c>
      <c r="BU59" s="1955">
        <v>44094</v>
      </c>
      <c r="BV59" s="1943" t="s">
        <v>7703</v>
      </c>
      <c r="BW59" s="1967">
        <v>155</v>
      </c>
      <c r="BX59" s="1956" t="s">
        <v>701</v>
      </c>
      <c r="BY59" s="1955">
        <v>44461</v>
      </c>
      <c r="BZ59" s="1943" t="s">
        <v>797</v>
      </c>
      <c r="CA59" s="1953">
        <v>76</v>
      </c>
      <c r="CB59" s="1956" t="s">
        <v>410</v>
      </c>
      <c r="CC59" s="1955">
        <v>44822</v>
      </c>
      <c r="CD59" s="1943" t="s">
        <v>1200</v>
      </c>
      <c r="CE59" s="1953">
        <v>7</v>
      </c>
      <c r="CF59" s="1956" t="s">
        <v>414</v>
      </c>
      <c r="CG59" s="1955">
        <v>45193</v>
      </c>
      <c r="CH59" s="1943" t="s">
        <v>7704</v>
      </c>
      <c r="CI59" s="1953">
        <v>20</v>
      </c>
      <c r="CJ59" s="1956" t="s">
        <v>280</v>
      </c>
      <c r="CK59" s="1955">
        <v>45562</v>
      </c>
      <c r="CL59" s="1943" t="s">
        <v>1151</v>
      </c>
      <c r="CM59" s="1953">
        <v>9</v>
      </c>
      <c r="CN59" s="1956" t="s">
        <v>278</v>
      </c>
    </row>
    <row r="60" spans="1:92" ht="12.75">
      <c r="A60" s="982">
        <v>37519</v>
      </c>
      <c r="B60" s="1943" t="s">
        <v>915</v>
      </c>
      <c r="C60" s="1944">
        <v>17</v>
      </c>
      <c r="D60" s="1945"/>
      <c r="E60" s="1955">
        <v>37884</v>
      </c>
      <c r="F60" s="1960" t="s">
        <v>7705</v>
      </c>
      <c r="G60" s="1944">
        <v>40</v>
      </c>
      <c r="H60" s="1945"/>
      <c r="I60" s="1955"/>
      <c r="J60" s="1960"/>
      <c r="K60" s="1944"/>
      <c r="L60" s="1945"/>
      <c r="M60" s="1955">
        <v>38606</v>
      </c>
      <c r="N60" s="1960" t="s">
        <v>7706</v>
      </c>
      <c r="O60" s="1944">
        <v>6</v>
      </c>
      <c r="P60" s="1957"/>
      <c r="Q60" s="1955"/>
      <c r="R60" s="1943"/>
      <c r="S60" s="1944"/>
      <c r="T60" s="1945"/>
      <c r="U60" s="1955"/>
      <c r="V60" s="1943"/>
      <c r="W60" s="1967"/>
      <c r="X60" s="1945"/>
      <c r="Y60" s="1955">
        <v>39713</v>
      </c>
      <c r="Z60" s="1943" t="s">
        <v>7707</v>
      </c>
      <c r="AA60" s="1967">
        <v>250</v>
      </c>
      <c r="AB60" s="1945"/>
      <c r="AC60" s="1955"/>
      <c r="AD60" s="1943"/>
      <c r="AE60" s="1967"/>
      <c r="AF60" s="1945"/>
      <c r="AG60" s="1955">
        <v>40451</v>
      </c>
      <c r="AH60" s="1943" t="s">
        <v>7708</v>
      </c>
      <c r="AI60" s="1967">
        <v>15</v>
      </c>
      <c r="AJ60" s="1945"/>
      <c r="AK60" s="1955"/>
      <c r="AL60" s="1943"/>
      <c r="AM60" s="1968"/>
      <c r="AN60" s="1945"/>
      <c r="AO60" s="1955">
        <v>41182</v>
      </c>
      <c r="AP60" s="1943" t="s">
        <v>754</v>
      </c>
      <c r="AQ60" s="1968">
        <v>5</v>
      </c>
      <c r="AR60" s="1945"/>
      <c r="AS60" s="1955"/>
      <c r="AT60" s="1943"/>
      <c r="AU60" s="1968"/>
      <c r="AV60" s="1945"/>
      <c r="AW60" s="1955">
        <v>41910</v>
      </c>
      <c r="AX60" s="1943" t="s">
        <v>7709</v>
      </c>
      <c r="AY60" s="1968">
        <v>50</v>
      </c>
      <c r="AZ60" s="1945"/>
      <c r="BA60" s="1955">
        <v>42274</v>
      </c>
      <c r="BB60" s="1943" t="s">
        <v>7710</v>
      </c>
      <c r="BC60" s="1968">
        <v>10</v>
      </c>
      <c r="BD60" s="1945"/>
      <c r="BE60" s="1955"/>
      <c r="BF60" s="1943"/>
      <c r="BG60" s="1968"/>
      <c r="BH60" s="1945"/>
      <c r="BI60" s="1955">
        <v>42992</v>
      </c>
      <c r="BJ60" s="1943" t="s">
        <v>7711</v>
      </c>
      <c r="BK60" s="1967">
        <v>4</v>
      </c>
      <c r="BL60" s="1945"/>
      <c r="BM60" s="1955">
        <v>43359</v>
      </c>
      <c r="BN60" s="1943" t="s">
        <v>7712</v>
      </c>
      <c r="BO60" s="1967">
        <v>15</v>
      </c>
      <c r="BP60" s="1945"/>
      <c r="BQ60" s="1955">
        <v>43729</v>
      </c>
      <c r="BR60" s="1943" t="s">
        <v>772</v>
      </c>
      <c r="BS60" s="1967">
        <v>36</v>
      </c>
      <c r="BT60" s="1956" t="s">
        <v>414</v>
      </c>
      <c r="BU60" s="1955">
        <v>44094</v>
      </c>
      <c r="BV60" s="1943" t="s">
        <v>7713</v>
      </c>
      <c r="BW60" s="1967">
        <v>67</v>
      </c>
      <c r="BX60" s="1956" t="s">
        <v>701</v>
      </c>
      <c r="BY60" s="1955">
        <v>44463</v>
      </c>
      <c r="BZ60" s="1943" t="s">
        <v>843</v>
      </c>
      <c r="CA60" s="1953">
        <v>18</v>
      </c>
      <c r="CB60" s="1956" t="s">
        <v>414</v>
      </c>
      <c r="CC60" s="1955">
        <v>44822</v>
      </c>
      <c r="CD60" s="1943" t="s">
        <v>7714</v>
      </c>
      <c r="CE60" s="1953">
        <v>15</v>
      </c>
      <c r="CF60" s="1956" t="s">
        <v>414</v>
      </c>
      <c r="CG60" s="1955">
        <v>45193</v>
      </c>
      <c r="CH60" s="1943" t="s">
        <v>7715</v>
      </c>
      <c r="CI60" s="1953">
        <v>22</v>
      </c>
      <c r="CJ60" s="1956" t="s">
        <v>280</v>
      </c>
      <c r="CK60" s="1955">
        <v>45562</v>
      </c>
      <c r="CL60" s="1943" t="s">
        <v>7716</v>
      </c>
      <c r="CM60" s="1953">
        <v>5</v>
      </c>
      <c r="CN60" s="1956" t="s">
        <v>278</v>
      </c>
    </row>
    <row r="61" spans="1:92" ht="12.75">
      <c r="A61" s="982">
        <v>37519</v>
      </c>
      <c r="B61" s="1943" t="s">
        <v>1189</v>
      </c>
      <c r="C61" s="1944">
        <v>30</v>
      </c>
      <c r="D61" s="1945"/>
      <c r="E61" s="1955">
        <v>37885</v>
      </c>
      <c r="F61" s="1960" t="s">
        <v>7717</v>
      </c>
      <c r="G61" s="1944">
        <v>10</v>
      </c>
      <c r="H61" s="1945"/>
      <c r="I61" s="1955"/>
      <c r="J61" s="1960"/>
      <c r="K61" s="1944"/>
      <c r="L61" s="1945"/>
      <c r="M61" s="1955">
        <v>38610</v>
      </c>
      <c r="N61" s="1960" t="s">
        <v>7718</v>
      </c>
      <c r="O61" s="1944">
        <v>15</v>
      </c>
      <c r="P61" s="1957"/>
      <c r="Q61" s="1955"/>
      <c r="R61" s="1943"/>
      <c r="S61" s="1944"/>
      <c r="T61" s="1945"/>
      <c r="U61" s="1955"/>
      <c r="V61" s="1943"/>
      <c r="W61" s="1967"/>
      <c r="X61" s="1945"/>
      <c r="Y61" s="1955">
        <v>39714</v>
      </c>
      <c r="Z61" s="1943" t="s">
        <v>7719</v>
      </c>
      <c r="AA61" s="1967">
        <v>65</v>
      </c>
      <c r="AB61" s="1945"/>
      <c r="AC61" s="1955"/>
      <c r="AD61" s="1943"/>
      <c r="AE61" s="1967"/>
      <c r="AF61" s="1945"/>
      <c r="AG61" s="1955"/>
      <c r="AH61" s="1943"/>
      <c r="AI61" s="1967"/>
      <c r="AJ61" s="1945"/>
      <c r="AK61" s="1955"/>
      <c r="AL61" s="1943"/>
      <c r="AM61" s="1967"/>
      <c r="AN61" s="1945"/>
      <c r="AO61" s="1955">
        <v>41182</v>
      </c>
      <c r="AP61" s="1943" t="s">
        <v>1237</v>
      </c>
      <c r="AQ61" s="1968">
        <v>15</v>
      </c>
      <c r="AR61" s="1945"/>
      <c r="AS61" s="1955"/>
      <c r="AT61" s="1943"/>
      <c r="AU61" s="1968"/>
      <c r="AV61" s="1945"/>
      <c r="AW61" s="1955">
        <v>41910</v>
      </c>
      <c r="AX61" s="1943" t="s">
        <v>7720</v>
      </c>
      <c r="AY61" s="1968">
        <v>25</v>
      </c>
      <c r="AZ61" s="1945"/>
      <c r="BA61" s="1955">
        <v>42274</v>
      </c>
      <c r="BB61" s="1943" t="s">
        <v>754</v>
      </c>
      <c r="BC61" s="1968">
        <v>81</v>
      </c>
      <c r="BD61" s="1945"/>
      <c r="BE61" s="1955"/>
      <c r="BF61" s="1943"/>
      <c r="BG61" s="1968"/>
      <c r="BH61" s="1945"/>
      <c r="BI61" s="1955">
        <v>42992</v>
      </c>
      <c r="BJ61" s="1943" t="s">
        <v>7721</v>
      </c>
      <c r="BK61" s="1967">
        <v>10</v>
      </c>
      <c r="BL61" s="1945"/>
      <c r="BM61" s="1955">
        <v>43359</v>
      </c>
      <c r="BN61" s="1943" t="s">
        <v>873</v>
      </c>
      <c r="BO61" s="1967">
        <v>30</v>
      </c>
      <c r="BP61" s="1945"/>
      <c r="BQ61" s="1955">
        <v>43729</v>
      </c>
      <c r="BR61" s="1943" t="s">
        <v>7722</v>
      </c>
      <c r="BS61" s="1967">
        <v>12</v>
      </c>
      <c r="BT61" s="1956" t="s">
        <v>278</v>
      </c>
      <c r="BU61" s="1955">
        <v>44094</v>
      </c>
      <c r="BV61" s="1943" t="s">
        <v>7723</v>
      </c>
      <c r="BW61" s="1967">
        <v>64</v>
      </c>
      <c r="BX61" s="1956" t="s">
        <v>701</v>
      </c>
      <c r="BY61" s="1955">
        <v>44463</v>
      </c>
      <c r="BZ61" s="1943" t="s">
        <v>4372</v>
      </c>
      <c r="CA61" s="1953">
        <v>15</v>
      </c>
      <c r="CB61" s="1956" t="s">
        <v>414</v>
      </c>
      <c r="CC61" s="1955">
        <v>44822</v>
      </c>
      <c r="CD61" s="1943" t="s">
        <v>7724</v>
      </c>
      <c r="CE61" s="1953">
        <v>11</v>
      </c>
      <c r="CF61" s="1956" t="s">
        <v>414</v>
      </c>
      <c r="CG61" s="1955">
        <v>45193</v>
      </c>
      <c r="CH61" s="1943" t="s">
        <v>7725</v>
      </c>
      <c r="CI61" s="1953">
        <v>5</v>
      </c>
      <c r="CJ61" s="1956" t="s">
        <v>414</v>
      </c>
      <c r="CK61" s="1955">
        <v>45562</v>
      </c>
      <c r="CL61" s="1943" t="s">
        <v>7726</v>
      </c>
      <c r="CM61" s="1953">
        <v>31</v>
      </c>
      <c r="CN61" s="1956" t="s">
        <v>700</v>
      </c>
    </row>
    <row r="62" spans="1:92" ht="12.75">
      <c r="A62" s="982">
        <v>37519</v>
      </c>
      <c r="B62" s="1943" t="s">
        <v>7727</v>
      </c>
      <c r="C62" s="1944">
        <v>17</v>
      </c>
      <c r="D62" s="1945"/>
      <c r="E62" s="1955">
        <v>37886</v>
      </c>
      <c r="F62" s="1960" t="s">
        <v>7326</v>
      </c>
      <c r="G62" s="1944">
        <v>23</v>
      </c>
      <c r="H62" s="1945"/>
      <c r="I62" s="1955"/>
      <c r="J62" s="1960"/>
      <c r="K62" s="1944"/>
      <c r="L62" s="1945"/>
      <c r="M62" s="1955">
        <v>38610</v>
      </c>
      <c r="N62" s="1960" t="s">
        <v>802</v>
      </c>
      <c r="O62" s="1944">
        <v>40</v>
      </c>
      <c r="P62" s="1957"/>
      <c r="Q62" s="1955"/>
      <c r="R62" s="1943"/>
      <c r="S62" s="1944"/>
      <c r="T62" s="1945"/>
      <c r="U62" s="1955"/>
      <c r="V62" s="1943"/>
      <c r="W62" s="1967"/>
      <c r="X62" s="1945"/>
      <c r="Y62" s="1955">
        <v>39714</v>
      </c>
      <c r="Z62" s="1943" t="s">
        <v>965</v>
      </c>
      <c r="AA62" s="1967">
        <v>12</v>
      </c>
      <c r="AB62" s="1945"/>
      <c r="AC62" s="1955"/>
      <c r="AD62" s="1943"/>
      <c r="AE62" s="1967"/>
      <c r="AF62" s="1945"/>
      <c r="AG62" s="1955"/>
      <c r="AH62" s="1943"/>
      <c r="AI62" s="1967"/>
      <c r="AJ62" s="1945"/>
      <c r="AK62" s="1955"/>
      <c r="AL62" s="1943"/>
      <c r="AM62" s="1967"/>
      <c r="AN62" s="1945"/>
      <c r="AO62" s="1955">
        <v>41182</v>
      </c>
      <c r="AP62" s="1943" t="s">
        <v>754</v>
      </c>
      <c r="AQ62" s="1968">
        <v>25</v>
      </c>
      <c r="AR62" s="1945"/>
      <c r="AS62" s="1955"/>
      <c r="AT62" s="1943"/>
      <c r="AU62" s="1968"/>
      <c r="AV62" s="1945"/>
      <c r="AW62" s="1955">
        <v>41910</v>
      </c>
      <c r="AX62" s="1943" t="s">
        <v>781</v>
      </c>
      <c r="AY62" s="1968">
        <v>100</v>
      </c>
      <c r="AZ62" s="1945"/>
      <c r="BA62" s="1955">
        <v>42274</v>
      </c>
      <c r="BB62" s="1943" t="s">
        <v>781</v>
      </c>
      <c r="BC62" s="1967">
        <v>41</v>
      </c>
      <c r="BD62" s="1945"/>
      <c r="BE62" s="1955"/>
      <c r="BF62" s="1943"/>
      <c r="BG62" s="1967"/>
      <c r="BH62" s="1945"/>
      <c r="BI62" s="1955">
        <v>42992</v>
      </c>
      <c r="BJ62" s="1943" t="s">
        <v>7728</v>
      </c>
      <c r="BK62" s="1967">
        <v>35</v>
      </c>
      <c r="BL62" s="1945"/>
      <c r="BM62" s="1955">
        <v>43359</v>
      </c>
      <c r="BN62" s="1943" t="s">
        <v>7729</v>
      </c>
      <c r="BO62" s="1967">
        <v>5</v>
      </c>
      <c r="BP62" s="1945"/>
      <c r="BQ62" s="1955">
        <v>43730</v>
      </c>
      <c r="BR62" s="1943" t="s">
        <v>1732</v>
      </c>
      <c r="BS62" s="1967">
        <v>50</v>
      </c>
      <c r="BT62" s="1956" t="s">
        <v>700</v>
      </c>
      <c r="BU62" s="1955">
        <v>44094</v>
      </c>
      <c r="BV62" s="1943" t="s">
        <v>7730</v>
      </c>
      <c r="BW62" s="1967">
        <v>33</v>
      </c>
      <c r="BX62" s="1956" t="s">
        <v>701</v>
      </c>
      <c r="BY62" s="1955">
        <v>44464</v>
      </c>
      <c r="BZ62" s="1943" t="s">
        <v>828</v>
      </c>
      <c r="CA62" s="1953">
        <v>12</v>
      </c>
      <c r="CB62" s="1956" t="s">
        <v>414</v>
      </c>
      <c r="CC62" s="1955">
        <v>44822</v>
      </c>
      <c r="CD62" s="1943" t="s">
        <v>7731</v>
      </c>
      <c r="CE62" s="1953">
        <v>9</v>
      </c>
      <c r="CF62" s="1956" t="s">
        <v>692</v>
      </c>
      <c r="CG62" s="1955">
        <v>45193</v>
      </c>
      <c r="CH62" s="1943" t="s">
        <v>2564</v>
      </c>
      <c r="CI62" s="1953">
        <v>30</v>
      </c>
      <c r="CJ62" s="1956" t="s">
        <v>700</v>
      </c>
      <c r="CK62" s="1955">
        <v>45562</v>
      </c>
      <c r="CL62" s="1943" t="s">
        <v>7564</v>
      </c>
      <c r="CM62" s="1953">
        <v>9</v>
      </c>
      <c r="CN62" s="1956" t="s">
        <v>278</v>
      </c>
    </row>
    <row r="63" spans="1:92" ht="12.75">
      <c r="A63" s="982">
        <v>37519</v>
      </c>
      <c r="B63" s="1943" t="s">
        <v>7732</v>
      </c>
      <c r="C63" s="1944">
        <v>55</v>
      </c>
      <c r="D63" s="1945"/>
      <c r="E63" s="1955">
        <v>37887</v>
      </c>
      <c r="F63" s="1960" t="s">
        <v>772</v>
      </c>
      <c r="G63" s="1944">
        <v>25</v>
      </c>
      <c r="H63" s="1945"/>
      <c r="I63" s="1955"/>
      <c r="J63" s="1960"/>
      <c r="K63" s="1944"/>
      <c r="L63" s="1945"/>
      <c r="M63" s="1955">
        <v>38612</v>
      </c>
      <c r="N63" s="1960" t="s">
        <v>7521</v>
      </c>
      <c r="O63" s="1944">
        <v>24</v>
      </c>
      <c r="P63" s="1957"/>
      <c r="Q63" s="1955"/>
      <c r="R63" s="1943"/>
      <c r="S63" s="1944"/>
      <c r="T63" s="1945"/>
      <c r="U63" s="1955"/>
      <c r="V63" s="1943"/>
      <c r="W63" s="1967"/>
      <c r="X63" s="1945"/>
      <c r="Y63" s="1955">
        <v>39714</v>
      </c>
      <c r="Z63" s="1943" t="s">
        <v>852</v>
      </c>
      <c r="AA63" s="1967">
        <v>18</v>
      </c>
      <c r="AB63" s="1945"/>
      <c r="AC63" s="1955"/>
      <c r="AD63" s="1943"/>
      <c r="AE63" s="1967"/>
      <c r="AF63" s="1945"/>
      <c r="AG63" s="1955"/>
      <c r="AH63" s="1943"/>
      <c r="AI63" s="1967"/>
      <c r="AJ63" s="1945"/>
      <c r="AK63" s="1955"/>
      <c r="AL63" s="1943"/>
      <c r="AM63" s="1967"/>
      <c r="AN63" s="1945"/>
      <c r="AO63" s="1955">
        <v>41182</v>
      </c>
      <c r="AP63" s="1943" t="s">
        <v>781</v>
      </c>
      <c r="AQ63" s="1968">
        <v>111</v>
      </c>
      <c r="AR63" s="1945"/>
      <c r="AS63" s="1955"/>
      <c r="AT63" s="1943"/>
      <c r="AU63" s="1968"/>
      <c r="AV63" s="1945"/>
      <c r="AW63" s="1955">
        <v>41910</v>
      </c>
      <c r="AX63" s="1943" t="s">
        <v>772</v>
      </c>
      <c r="AY63" s="1968">
        <v>31</v>
      </c>
      <c r="AZ63" s="1945"/>
      <c r="BA63" s="1955">
        <v>42274</v>
      </c>
      <c r="BB63" s="1943" t="s">
        <v>7733</v>
      </c>
      <c r="BC63" s="1967">
        <v>30</v>
      </c>
      <c r="BD63" s="1945"/>
      <c r="BE63" s="1955"/>
      <c r="BF63" s="1943"/>
      <c r="BG63" s="1967"/>
      <c r="BH63" s="1945"/>
      <c r="BI63" s="1955">
        <v>42993</v>
      </c>
      <c r="BJ63" s="1943" t="s">
        <v>7611</v>
      </c>
      <c r="BK63" s="1967">
        <v>5</v>
      </c>
      <c r="BL63" s="1945"/>
      <c r="BM63" s="1955">
        <v>43359</v>
      </c>
      <c r="BN63" s="1943" t="s">
        <v>1901</v>
      </c>
      <c r="BO63" s="1967">
        <v>24</v>
      </c>
      <c r="BP63" s="1945"/>
      <c r="BQ63" s="1955">
        <v>43730</v>
      </c>
      <c r="BR63" s="1943" t="s">
        <v>7734</v>
      </c>
      <c r="BS63" s="1967">
        <v>8</v>
      </c>
      <c r="BT63" s="1956" t="s">
        <v>280</v>
      </c>
      <c r="BU63" s="1955">
        <v>44094</v>
      </c>
      <c r="BV63" s="1943" t="s">
        <v>7735</v>
      </c>
      <c r="BW63" s="1967">
        <v>40</v>
      </c>
      <c r="BX63" s="1956" t="s">
        <v>701</v>
      </c>
      <c r="BY63" s="1955">
        <v>44464</v>
      </c>
      <c r="BZ63" s="1943" t="s">
        <v>845</v>
      </c>
      <c r="CA63" s="1953">
        <v>51</v>
      </c>
      <c r="CB63" s="1956" t="s">
        <v>414</v>
      </c>
      <c r="CC63" s="1955">
        <v>44822</v>
      </c>
      <c r="CD63" s="1943" t="s">
        <v>7736</v>
      </c>
      <c r="CE63" s="1953">
        <v>28</v>
      </c>
      <c r="CF63" s="1956" t="s">
        <v>700</v>
      </c>
      <c r="CG63" s="1955">
        <v>45193</v>
      </c>
      <c r="CH63" s="1943" t="s">
        <v>7737</v>
      </c>
      <c r="CI63" s="1953">
        <v>42</v>
      </c>
      <c r="CJ63" s="1956" t="s">
        <v>280</v>
      </c>
      <c r="CK63" s="1955">
        <v>45562</v>
      </c>
      <c r="CL63" s="1943" t="s">
        <v>5861</v>
      </c>
      <c r="CM63" s="1953">
        <v>7</v>
      </c>
      <c r="CN63" s="1956" t="s">
        <v>414</v>
      </c>
    </row>
    <row r="64" spans="1:92" ht="12.75">
      <c r="A64" s="982">
        <v>37519</v>
      </c>
      <c r="B64" s="1943" t="s">
        <v>7738</v>
      </c>
      <c r="C64" s="1944">
        <v>34</v>
      </c>
      <c r="D64" s="1945"/>
      <c r="E64" s="1955">
        <v>37888</v>
      </c>
      <c r="F64" s="1960" t="s">
        <v>772</v>
      </c>
      <c r="G64" s="1944">
        <v>13</v>
      </c>
      <c r="H64" s="1945"/>
      <c r="I64" s="1955"/>
      <c r="J64" s="1960"/>
      <c r="K64" s="1944"/>
      <c r="L64" s="1945"/>
      <c r="M64" s="1955">
        <v>38612</v>
      </c>
      <c r="N64" s="1960" t="s">
        <v>7739</v>
      </c>
      <c r="O64" s="1944">
        <v>11</v>
      </c>
      <c r="P64" s="1957"/>
      <c r="Q64" s="1955"/>
      <c r="R64" s="1943"/>
      <c r="S64" s="1944"/>
      <c r="T64" s="1945"/>
      <c r="U64" s="1955"/>
      <c r="V64" s="1943"/>
      <c r="W64" s="1967"/>
      <c r="X64" s="1945"/>
      <c r="Y64" s="1955">
        <v>39715</v>
      </c>
      <c r="Z64" s="1943" t="s">
        <v>937</v>
      </c>
      <c r="AA64" s="1967">
        <v>24</v>
      </c>
      <c r="AB64" s="1945"/>
      <c r="AC64" s="1955"/>
      <c r="AD64" s="1943"/>
      <c r="AE64" s="1967"/>
      <c r="AF64" s="1945"/>
      <c r="AG64" s="1955"/>
      <c r="AH64" s="1943"/>
      <c r="AI64" s="1967"/>
      <c r="AJ64" s="1945"/>
      <c r="AK64" s="1955"/>
      <c r="AL64" s="1943"/>
      <c r="AM64" s="1967"/>
      <c r="AN64" s="1945"/>
      <c r="AO64" s="1955">
        <v>41182</v>
      </c>
      <c r="AP64" s="1943" t="s">
        <v>797</v>
      </c>
      <c r="AQ64" s="1968">
        <v>66</v>
      </c>
      <c r="AR64" s="1945"/>
      <c r="AS64" s="1955"/>
      <c r="AT64" s="1943"/>
      <c r="AU64" s="1968"/>
      <c r="AV64" s="1945"/>
      <c r="AW64" s="1955">
        <v>41910</v>
      </c>
      <c r="AX64" s="1943" t="s">
        <v>754</v>
      </c>
      <c r="AY64" s="1968">
        <v>55</v>
      </c>
      <c r="AZ64" s="1945"/>
      <c r="BA64" s="1955">
        <v>42274</v>
      </c>
      <c r="BB64" s="1943" t="s">
        <v>954</v>
      </c>
      <c r="BC64" s="1967">
        <v>32</v>
      </c>
      <c r="BD64" s="1945"/>
      <c r="BE64" s="1955"/>
      <c r="BF64" s="1943"/>
      <c r="BG64" s="1967"/>
      <c r="BH64" s="1945"/>
      <c r="BI64" s="1955">
        <v>42993</v>
      </c>
      <c r="BJ64" s="1943" t="s">
        <v>859</v>
      </c>
      <c r="BK64" s="1967">
        <v>10</v>
      </c>
      <c r="BL64" s="1945"/>
      <c r="BM64" s="1955">
        <v>43359</v>
      </c>
      <c r="BN64" s="1943" t="s">
        <v>931</v>
      </c>
      <c r="BO64" s="1967">
        <v>12</v>
      </c>
      <c r="BP64" s="1945"/>
      <c r="BQ64" s="1955">
        <v>43730</v>
      </c>
      <c r="BR64" s="1943" t="s">
        <v>7740</v>
      </c>
      <c r="BS64" s="1967">
        <v>1200</v>
      </c>
      <c r="BT64" s="1956"/>
      <c r="BU64" s="1955">
        <v>44094</v>
      </c>
      <c r="BV64" s="1943" t="s">
        <v>7741</v>
      </c>
      <c r="BW64" s="1967">
        <v>27</v>
      </c>
      <c r="BX64" s="1956" t="s">
        <v>414</v>
      </c>
      <c r="BY64" s="1955">
        <v>44464</v>
      </c>
      <c r="BZ64" s="1943" t="s">
        <v>843</v>
      </c>
      <c r="CA64" s="1953">
        <v>18</v>
      </c>
      <c r="CB64" s="1956" t="s">
        <v>414</v>
      </c>
      <c r="CC64" s="1955">
        <v>44824</v>
      </c>
      <c r="CD64" s="1943" t="s">
        <v>772</v>
      </c>
      <c r="CE64" s="1953">
        <v>45</v>
      </c>
      <c r="CF64" s="1956" t="s">
        <v>414</v>
      </c>
      <c r="CG64" s="1955">
        <v>45199</v>
      </c>
      <c r="CH64" s="1943" t="s">
        <v>845</v>
      </c>
      <c r="CI64" s="1953">
        <v>41</v>
      </c>
      <c r="CJ64" s="1956" t="s">
        <v>414</v>
      </c>
      <c r="CK64" s="1955">
        <v>45563</v>
      </c>
      <c r="CL64" s="1943" t="s">
        <v>7742</v>
      </c>
      <c r="CM64" s="1953">
        <v>39</v>
      </c>
      <c r="CN64" s="1956" t="s">
        <v>278</v>
      </c>
    </row>
    <row r="65" spans="1:92" ht="12.75">
      <c r="A65" s="982">
        <v>37519</v>
      </c>
      <c r="B65" s="1943" t="s">
        <v>410</v>
      </c>
      <c r="C65" s="1944">
        <v>23</v>
      </c>
      <c r="D65" s="1945"/>
      <c r="E65" s="1955">
        <v>37889</v>
      </c>
      <c r="F65" s="1960" t="s">
        <v>2527</v>
      </c>
      <c r="G65" s="1944">
        <v>10</v>
      </c>
      <c r="H65" s="1945"/>
      <c r="I65" s="1955"/>
      <c r="J65" s="1960"/>
      <c r="K65" s="1944"/>
      <c r="L65" s="1945"/>
      <c r="M65" s="1955">
        <v>38613</v>
      </c>
      <c r="N65" s="1960" t="s">
        <v>7743</v>
      </c>
      <c r="O65" s="1944">
        <v>18</v>
      </c>
      <c r="P65" s="1957"/>
      <c r="Q65" s="1955"/>
      <c r="R65" s="1943"/>
      <c r="S65" s="1944"/>
      <c r="T65" s="1945"/>
      <c r="U65" s="1955"/>
      <c r="V65" s="1943"/>
      <c r="W65" s="1967"/>
      <c r="X65" s="1945"/>
      <c r="Y65" s="1955">
        <v>39715</v>
      </c>
      <c r="Z65" s="1943" t="s">
        <v>802</v>
      </c>
      <c r="AA65" s="1967">
        <v>16</v>
      </c>
      <c r="AB65" s="1945"/>
      <c r="AC65" s="1955"/>
      <c r="AD65" s="1943"/>
      <c r="AE65" s="1967"/>
      <c r="AF65" s="1945"/>
      <c r="AG65" s="1955"/>
      <c r="AH65" s="1943"/>
      <c r="AI65" s="1967"/>
      <c r="AJ65" s="1945"/>
      <c r="AK65" s="1955"/>
      <c r="AL65" s="1943"/>
      <c r="AM65" s="1967"/>
      <c r="AN65" s="1945"/>
      <c r="AO65" s="1955"/>
      <c r="AP65" s="1943"/>
      <c r="AQ65" s="1968"/>
      <c r="AR65" s="1945"/>
      <c r="AS65" s="1955"/>
      <c r="AT65" s="1943"/>
      <c r="AU65" s="1968"/>
      <c r="AV65" s="1945"/>
      <c r="AW65" s="1955">
        <v>41910</v>
      </c>
      <c r="AX65" s="1943" t="s">
        <v>802</v>
      </c>
      <c r="AY65" s="1967">
        <v>54</v>
      </c>
      <c r="AZ65" s="1945"/>
      <c r="BA65" s="1955">
        <v>42274</v>
      </c>
      <c r="BB65" s="1943" t="s">
        <v>7744</v>
      </c>
      <c r="BC65" s="1967">
        <v>6</v>
      </c>
      <c r="BD65" s="1945"/>
      <c r="BE65" s="1955"/>
      <c r="BF65" s="1943"/>
      <c r="BG65" s="1967"/>
      <c r="BH65" s="1945"/>
      <c r="BI65" s="1955">
        <v>42994</v>
      </c>
      <c r="BJ65" s="1943" t="s">
        <v>872</v>
      </c>
      <c r="BK65" s="1967">
        <v>35</v>
      </c>
      <c r="BL65" s="1945"/>
      <c r="BM65" s="1955">
        <v>43359</v>
      </c>
      <c r="BN65" s="1943" t="s">
        <v>1391</v>
      </c>
      <c r="BO65" s="1967">
        <v>8</v>
      </c>
      <c r="BP65" s="1945"/>
      <c r="BQ65" s="1955">
        <v>43730</v>
      </c>
      <c r="BR65" s="1943" t="s">
        <v>7745</v>
      </c>
      <c r="BS65" s="1967">
        <v>0</v>
      </c>
      <c r="BT65" s="1956" t="s">
        <v>700</v>
      </c>
      <c r="BU65" s="1955">
        <v>44094</v>
      </c>
      <c r="BV65" s="1943" t="s">
        <v>7746</v>
      </c>
      <c r="BW65" s="1967">
        <v>20</v>
      </c>
      <c r="BX65" s="1956" t="s">
        <v>414</v>
      </c>
      <c r="BY65" s="1955">
        <v>44464</v>
      </c>
      <c r="BZ65" s="1943" t="s">
        <v>772</v>
      </c>
      <c r="CA65" s="1953">
        <v>13</v>
      </c>
      <c r="CB65" s="1956" t="s">
        <v>414</v>
      </c>
      <c r="CC65" s="1955">
        <v>44824</v>
      </c>
      <c r="CD65" s="1943" t="s">
        <v>7747</v>
      </c>
      <c r="CE65" s="1953">
        <v>6</v>
      </c>
      <c r="CF65" s="1956" t="s">
        <v>278</v>
      </c>
      <c r="CG65" s="1955">
        <v>45199</v>
      </c>
      <c r="CH65" s="1943" t="s">
        <v>843</v>
      </c>
      <c r="CI65" s="1953">
        <v>38</v>
      </c>
      <c r="CJ65" s="1956" t="s">
        <v>414</v>
      </c>
      <c r="CK65" s="1955">
        <v>45563</v>
      </c>
      <c r="CL65" s="1943" t="s">
        <v>1770</v>
      </c>
      <c r="CM65" s="1953">
        <v>15</v>
      </c>
      <c r="CN65" s="1956" t="s">
        <v>280</v>
      </c>
    </row>
    <row r="66" spans="1:92" ht="12.75">
      <c r="A66" s="982">
        <v>37519</v>
      </c>
      <c r="B66" s="1943" t="s">
        <v>415</v>
      </c>
      <c r="C66" s="1944"/>
      <c r="D66" s="1945">
        <v>70</v>
      </c>
      <c r="E66" s="1955">
        <v>37889</v>
      </c>
      <c r="F66" s="1960" t="s">
        <v>7748</v>
      </c>
      <c r="G66" s="1944">
        <v>10</v>
      </c>
      <c r="H66" s="1945"/>
      <c r="I66" s="1955"/>
      <c r="J66" s="1960"/>
      <c r="K66" s="1944"/>
      <c r="L66" s="1945"/>
      <c r="M66" s="1955">
        <v>38613</v>
      </c>
      <c r="N66" s="1960" t="s">
        <v>7749</v>
      </c>
      <c r="O66" s="1944">
        <v>16</v>
      </c>
      <c r="P66" s="1957"/>
      <c r="Q66" s="1955"/>
      <c r="R66" s="1943"/>
      <c r="S66" s="1944"/>
      <c r="T66" s="1945"/>
      <c r="U66" s="1955"/>
      <c r="V66" s="1943"/>
      <c r="W66" s="1967"/>
      <c r="X66" s="1945"/>
      <c r="Y66" s="1955">
        <v>39716</v>
      </c>
      <c r="Z66" s="1943" t="s">
        <v>7750</v>
      </c>
      <c r="AA66" s="1967">
        <v>25</v>
      </c>
      <c r="AB66" s="1945"/>
      <c r="AC66" s="1955"/>
      <c r="AD66" s="1943"/>
      <c r="AE66" s="1967"/>
      <c r="AF66" s="1945"/>
      <c r="AG66" s="1955"/>
      <c r="AH66" s="1943"/>
      <c r="AI66" s="1967"/>
      <c r="AJ66" s="1945"/>
      <c r="AK66" s="1955"/>
      <c r="AL66" s="1943"/>
      <c r="AM66" s="1967"/>
      <c r="AN66" s="1945"/>
      <c r="AO66" s="1955"/>
      <c r="AP66" s="1943"/>
      <c r="AQ66" s="1968"/>
      <c r="AR66" s="1945"/>
      <c r="AS66" s="1955"/>
      <c r="AT66" s="1943"/>
      <c r="AU66" s="1968"/>
      <c r="AV66" s="1945"/>
      <c r="AW66" s="1955">
        <v>41910</v>
      </c>
      <c r="AX66" s="1943" t="s">
        <v>925</v>
      </c>
      <c r="AY66" s="1967">
        <v>12</v>
      </c>
      <c r="AZ66" s="1945"/>
      <c r="BA66" s="1955">
        <v>42275</v>
      </c>
      <c r="BB66" s="1943" t="s">
        <v>7751</v>
      </c>
      <c r="BC66" s="1967">
        <v>11</v>
      </c>
      <c r="BD66" s="1945"/>
      <c r="BE66" s="1955"/>
      <c r="BF66" s="1943"/>
      <c r="BG66" s="1967"/>
      <c r="BH66" s="1945"/>
      <c r="BI66" s="1955">
        <v>42994</v>
      </c>
      <c r="BJ66" s="1943" t="s">
        <v>772</v>
      </c>
      <c r="BK66" s="1967">
        <v>43</v>
      </c>
      <c r="BL66" s="1945"/>
      <c r="BM66" s="1955">
        <v>43359</v>
      </c>
      <c r="BN66" s="1943" t="s">
        <v>7752</v>
      </c>
      <c r="BO66" s="1967">
        <v>1</v>
      </c>
      <c r="BP66" s="1945"/>
      <c r="BQ66" s="1955">
        <v>43730</v>
      </c>
      <c r="BR66" s="1943" t="s">
        <v>7753</v>
      </c>
      <c r="BS66" s="1967">
        <v>18</v>
      </c>
      <c r="BT66" s="1956" t="s">
        <v>280</v>
      </c>
      <c r="BU66" s="1955">
        <v>44094</v>
      </c>
      <c r="BV66" s="1943" t="s">
        <v>872</v>
      </c>
      <c r="BW66" s="1967">
        <v>13</v>
      </c>
      <c r="BX66" s="1956" t="s">
        <v>414</v>
      </c>
      <c r="BY66" s="1955">
        <v>44466</v>
      </c>
      <c r="BZ66" s="1943" t="s">
        <v>7754</v>
      </c>
      <c r="CA66" s="1953">
        <v>170</v>
      </c>
      <c r="CB66" s="1956" t="s">
        <v>280</v>
      </c>
      <c r="CC66" s="1955">
        <v>44824</v>
      </c>
      <c r="CD66" s="1943" t="s">
        <v>7755</v>
      </c>
      <c r="CE66" s="1953">
        <v>385</v>
      </c>
      <c r="CF66" s="1956" t="s">
        <v>426</v>
      </c>
      <c r="CG66" s="1955">
        <v>45199</v>
      </c>
      <c r="CH66" s="1943" t="s">
        <v>772</v>
      </c>
      <c r="CI66" s="1953">
        <v>57</v>
      </c>
      <c r="CJ66" s="1956" t="s">
        <v>414</v>
      </c>
      <c r="CK66" s="1955">
        <v>45563</v>
      </c>
      <c r="CL66" s="1943" t="s">
        <v>7756</v>
      </c>
      <c r="CM66" s="1953">
        <v>39</v>
      </c>
      <c r="CN66" s="1956" t="s">
        <v>280</v>
      </c>
    </row>
    <row r="67" spans="1:92" ht="12.75">
      <c r="A67" s="982">
        <v>37520</v>
      </c>
      <c r="B67" s="1943" t="s">
        <v>7757</v>
      </c>
      <c r="C67" s="1944">
        <v>94</v>
      </c>
      <c r="D67" s="1945"/>
      <c r="E67" s="1955">
        <v>37890</v>
      </c>
      <c r="F67" s="1960" t="s">
        <v>7758</v>
      </c>
      <c r="G67" s="1944">
        <v>20</v>
      </c>
      <c r="H67" s="1945"/>
      <c r="I67" s="1955"/>
      <c r="J67" s="1960"/>
      <c r="K67" s="1944"/>
      <c r="L67" s="1945"/>
      <c r="M67" s="1955">
        <v>38613</v>
      </c>
      <c r="N67" s="1960" t="s">
        <v>797</v>
      </c>
      <c r="O67" s="1944">
        <v>30</v>
      </c>
      <c r="P67" s="1957"/>
      <c r="Q67" s="1955"/>
      <c r="R67" s="1943"/>
      <c r="S67" s="1944"/>
      <c r="T67" s="1945"/>
      <c r="U67" s="1955"/>
      <c r="V67" s="1943"/>
      <c r="W67" s="1967"/>
      <c r="X67" s="1945"/>
      <c r="Y67" s="1955">
        <v>39716</v>
      </c>
      <c r="Z67" s="1943" t="s">
        <v>7759</v>
      </c>
      <c r="AA67" s="1967">
        <v>25</v>
      </c>
      <c r="AB67" s="1945"/>
      <c r="AC67" s="1955"/>
      <c r="AD67" s="1943"/>
      <c r="AE67" s="1967"/>
      <c r="AF67" s="1945"/>
      <c r="AG67" s="1955"/>
      <c r="AH67" s="1943"/>
      <c r="AI67" s="1967"/>
      <c r="AJ67" s="1945"/>
      <c r="AK67" s="1955"/>
      <c r="AL67" s="1943"/>
      <c r="AM67" s="1967"/>
      <c r="AN67" s="1945"/>
      <c r="AO67" s="1955"/>
      <c r="AP67" s="1943"/>
      <c r="AQ67" s="1967"/>
      <c r="AR67" s="1945"/>
      <c r="AS67" s="1955"/>
      <c r="AT67" s="1943"/>
      <c r="AU67" s="1967"/>
      <c r="AV67" s="1945"/>
      <c r="AW67" s="1955">
        <v>41911</v>
      </c>
      <c r="AX67" s="1943" t="s">
        <v>7760</v>
      </c>
      <c r="AY67" s="1967">
        <v>12</v>
      </c>
      <c r="AZ67" s="1945"/>
      <c r="BA67" s="1955">
        <v>42276</v>
      </c>
      <c r="BB67" s="1943" t="s">
        <v>802</v>
      </c>
      <c r="BC67" s="1967">
        <v>31</v>
      </c>
      <c r="BD67" s="1945"/>
      <c r="BE67" s="1955"/>
      <c r="BF67" s="1943"/>
      <c r="BG67" s="1967"/>
      <c r="BH67" s="1945"/>
      <c r="BI67" s="1955">
        <v>42994</v>
      </c>
      <c r="BJ67" s="1943" t="s">
        <v>823</v>
      </c>
      <c r="BK67" s="1967">
        <v>23</v>
      </c>
      <c r="BL67" s="1945"/>
      <c r="BM67" s="1955">
        <v>43359</v>
      </c>
      <c r="BN67" s="1943" t="s">
        <v>4498</v>
      </c>
      <c r="BO67" s="1967">
        <v>15</v>
      </c>
      <c r="BP67" s="1945"/>
      <c r="BQ67" s="1955">
        <v>43730</v>
      </c>
      <c r="BR67" s="1943" t="s">
        <v>1052</v>
      </c>
      <c r="BS67" s="1967">
        <v>24</v>
      </c>
      <c r="BT67" s="1956" t="s">
        <v>280</v>
      </c>
      <c r="BU67" s="1955">
        <v>44094</v>
      </c>
      <c r="BV67" s="1943" t="s">
        <v>772</v>
      </c>
      <c r="BW67" s="1967">
        <v>23</v>
      </c>
      <c r="BX67" s="1956" t="s">
        <v>414</v>
      </c>
      <c r="BY67" s="1955">
        <v>44466</v>
      </c>
      <c r="BZ67" s="1943" t="s">
        <v>7761</v>
      </c>
      <c r="CA67" s="1953">
        <v>4</v>
      </c>
      <c r="CB67" s="1956" t="s">
        <v>280</v>
      </c>
      <c r="CC67" s="1955">
        <v>44824</v>
      </c>
      <c r="CD67" s="1943" t="s">
        <v>7762</v>
      </c>
      <c r="CE67" s="1953">
        <v>37</v>
      </c>
      <c r="CF67" s="1956" t="s">
        <v>426</v>
      </c>
      <c r="CG67" s="1955">
        <v>45199</v>
      </c>
      <c r="CH67" s="1943" t="s">
        <v>805</v>
      </c>
      <c r="CI67" s="1953">
        <v>100</v>
      </c>
      <c r="CJ67" s="1956" t="s">
        <v>280</v>
      </c>
      <c r="CK67" s="1955">
        <v>45563</v>
      </c>
      <c r="CL67" s="1943" t="s">
        <v>7763</v>
      </c>
      <c r="CM67" s="1953">
        <v>60</v>
      </c>
      <c r="CN67" s="1956" t="s">
        <v>414</v>
      </c>
    </row>
    <row r="68" spans="1:92" ht="12.75">
      <c r="A68" s="982">
        <v>37520</v>
      </c>
      <c r="B68" s="1943" t="s">
        <v>797</v>
      </c>
      <c r="C68" s="1944">
        <v>22</v>
      </c>
      <c r="D68" s="1945"/>
      <c r="E68" s="1955">
        <v>37890</v>
      </c>
      <c r="F68" s="1960" t="s">
        <v>7764</v>
      </c>
      <c r="G68" s="1944">
        <v>30</v>
      </c>
      <c r="H68" s="1945"/>
      <c r="I68" s="1955"/>
      <c r="J68" s="1960"/>
      <c r="K68" s="1944"/>
      <c r="L68" s="1945"/>
      <c r="M68" s="1955">
        <v>38616</v>
      </c>
      <c r="N68" s="1960" t="s">
        <v>802</v>
      </c>
      <c r="O68" s="1944">
        <v>30</v>
      </c>
      <c r="P68" s="1957"/>
      <c r="Q68" s="1955"/>
      <c r="R68" s="1943"/>
      <c r="S68" s="1944"/>
      <c r="T68" s="1945"/>
      <c r="U68" s="1955"/>
      <c r="V68" s="1943"/>
      <c r="W68" s="1967"/>
      <c r="X68" s="1945"/>
      <c r="Y68" s="1955">
        <v>39716</v>
      </c>
      <c r="Z68" s="1943" t="s">
        <v>802</v>
      </c>
      <c r="AA68" s="1944">
        <v>47</v>
      </c>
      <c r="AB68" s="1945"/>
      <c r="AC68" s="1955"/>
      <c r="AD68" s="1943"/>
      <c r="AE68" s="1967"/>
      <c r="AF68" s="1945"/>
      <c r="AG68" s="1955"/>
      <c r="AH68" s="1943"/>
      <c r="AI68" s="1967"/>
      <c r="AJ68" s="1945"/>
      <c r="AK68" s="1955"/>
      <c r="AL68" s="1943"/>
      <c r="AM68" s="1967"/>
      <c r="AN68" s="1945"/>
      <c r="AO68" s="1955"/>
      <c r="AP68" s="1943"/>
      <c r="AQ68" s="1967"/>
      <c r="AR68" s="1945"/>
      <c r="AS68" s="1955"/>
      <c r="AT68" s="1943"/>
      <c r="AU68" s="1967"/>
      <c r="AV68" s="1945"/>
      <c r="AW68" s="1955"/>
      <c r="AX68" s="1943"/>
      <c r="AY68" s="1967"/>
      <c r="AZ68" s="1945"/>
      <c r="BA68" s="1955">
        <v>42277</v>
      </c>
      <c r="BB68" s="1943" t="s">
        <v>7765</v>
      </c>
      <c r="BC68" s="1967">
        <v>11</v>
      </c>
      <c r="BD68" s="1945"/>
      <c r="BE68" s="1955"/>
      <c r="BF68" s="1943"/>
      <c r="BG68" s="1967"/>
      <c r="BH68" s="1945"/>
      <c r="BI68" s="1955">
        <v>42995</v>
      </c>
      <c r="BJ68" s="1943" t="s">
        <v>7766</v>
      </c>
      <c r="BK68" s="1967">
        <v>18</v>
      </c>
      <c r="BL68" s="1945"/>
      <c r="BM68" s="1955">
        <v>43359</v>
      </c>
      <c r="BN68" s="1943" t="s">
        <v>1183</v>
      </c>
      <c r="BO68" s="1967">
        <v>6</v>
      </c>
      <c r="BP68" s="1945"/>
      <c r="BQ68" s="1955">
        <v>43730</v>
      </c>
      <c r="BR68" s="1943" t="s">
        <v>1180</v>
      </c>
      <c r="BS68" s="1967">
        <v>70</v>
      </c>
      <c r="BT68" s="1956" t="s">
        <v>410</v>
      </c>
      <c r="BU68" s="1955">
        <v>44094</v>
      </c>
      <c r="BV68" s="1943" t="s">
        <v>7767</v>
      </c>
      <c r="BW68" s="1967">
        <v>330</v>
      </c>
      <c r="BX68" s="1956" t="s">
        <v>701</v>
      </c>
      <c r="BY68" s="1955">
        <v>44466</v>
      </c>
      <c r="BZ68" s="1943" t="s">
        <v>7768</v>
      </c>
      <c r="CA68" s="1953">
        <v>10</v>
      </c>
      <c r="CB68" s="1956" t="s">
        <v>426</v>
      </c>
      <c r="CC68" s="1955">
        <v>44827</v>
      </c>
      <c r="CD68" s="1943" t="s">
        <v>7769</v>
      </c>
      <c r="CE68" s="1953">
        <v>48</v>
      </c>
      <c r="CF68" s="1956" t="s">
        <v>280</v>
      </c>
      <c r="CG68" s="1955">
        <v>45199</v>
      </c>
      <c r="CH68" s="1943" t="s">
        <v>7770</v>
      </c>
      <c r="CI68" s="1953">
        <v>150</v>
      </c>
      <c r="CJ68" s="1956" t="s">
        <v>280</v>
      </c>
      <c r="CK68" s="1955">
        <v>45563</v>
      </c>
      <c r="CL68" s="1943" t="s">
        <v>7771</v>
      </c>
      <c r="CM68" s="1953">
        <v>80</v>
      </c>
      <c r="CN68" s="1956" t="s">
        <v>414</v>
      </c>
    </row>
    <row r="69" spans="1:92" ht="12.75">
      <c r="A69" s="982">
        <v>37522</v>
      </c>
      <c r="B69" s="1943" t="s">
        <v>7772</v>
      </c>
      <c r="C69" s="1944">
        <v>14</v>
      </c>
      <c r="D69" s="1945"/>
      <c r="E69" s="1955">
        <v>37890</v>
      </c>
      <c r="F69" s="1960" t="s">
        <v>7326</v>
      </c>
      <c r="G69" s="1944">
        <v>24</v>
      </c>
      <c r="H69" s="1945"/>
      <c r="I69" s="1955"/>
      <c r="J69" s="1960"/>
      <c r="K69" s="1944"/>
      <c r="L69" s="1945"/>
      <c r="M69" s="1955">
        <v>38616</v>
      </c>
      <c r="N69" s="1960" t="s">
        <v>797</v>
      </c>
      <c r="O69" s="1944">
        <v>30</v>
      </c>
      <c r="P69" s="1957"/>
      <c r="Q69" s="1955"/>
      <c r="R69" s="1943"/>
      <c r="S69" s="1944"/>
      <c r="T69" s="1945"/>
      <c r="U69" s="1955"/>
      <c r="V69" s="1943"/>
      <c r="W69" s="1967"/>
      <c r="X69" s="1945"/>
      <c r="Y69" s="1955">
        <v>39718</v>
      </c>
      <c r="Z69" s="1943" t="s">
        <v>797</v>
      </c>
      <c r="AA69" s="1944">
        <v>60</v>
      </c>
      <c r="AB69" s="1945"/>
      <c r="AC69" s="1955"/>
      <c r="AD69" s="1943"/>
      <c r="AE69" s="1967"/>
      <c r="AF69" s="1945"/>
      <c r="AG69" s="1955"/>
      <c r="AH69" s="1943"/>
      <c r="AI69" s="1967"/>
      <c r="AJ69" s="1945"/>
      <c r="AK69" s="1955"/>
      <c r="AL69" s="1943"/>
      <c r="AM69" s="1967"/>
      <c r="AN69" s="1945"/>
      <c r="AO69" s="1955"/>
      <c r="AP69" s="1943"/>
      <c r="AQ69" s="1967"/>
      <c r="AR69" s="1945"/>
      <c r="AS69" s="1955"/>
      <c r="AT69" s="1943"/>
      <c r="AU69" s="1967"/>
      <c r="AV69" s="1945"/>
      <c r="AW69" s="1955"/>
      <c r="AX69" s="1943"/>
      <c r="AY69" s="1967"/>
      <c r="AZ69" s="1945"/>
      <c r="BA69" s="1955">
        <v>42277</v>
      </c>
      <c r="BB69" s="1943" t="s">
        <v>797</v>
      </c>
      <c r="BC69" s="1967">
        <v>40</v>
      </c>
      <c r="BD69" s="1945"/>
      <c r="BE69" s="1955"/>
      <c r="BF69" s="1943"/>
      <c r="BG69" s="1967"/>
      <c r="BH69" s="1945"/>
      <c r="BI69" s="1955">
        <v>42995</v>
      </c>
      <c r="BJ69" s="1943" t="s">
        <v>7773</v>
      </c>
      <c r="BK69" s="1967">
        <v>0</v>
      </c>
      <c r="BL69" s="1945"/>
      <c r="BM69" s="1955">
        <v>43359</v>
      </c>
      <c r="BN69" s="1943" t="s">
        <v>931</v>
      </c>
      <c r="BO69" s="1967">
        <v>13</v>
      </c>
      <c r="BP69" s="1945"/>
      <c r="BQ69" s="1955">
        <v>43730</v>
      </c>
      <c r="BR69" s="1943" t="s">
        <v>7774</v>
      </c>
      <c r="BS69" s="1967">
        <f>725*2</f>
        <v>1450</v>
      </c>
      <c r="BT69" s="1956" t="s">
        <v>436</v>
      </c>
      <c r="BU69" s="1955">
        <v>44094</v>
      </c>
      <c r="BV69" s="1943" t="s">
        <v>7775</v>
      </c>
      <c r="BW69" s="1967">
        <v>52</v>
      </c>
      <c r="BX69" s="1956" t="s">
        <v>701</v>
      </c>
      <c r="BY69" s="1955">
        <v>44467</v>
      </c>
      <c r="BZ69" s="1943" t="s">
        <v>7776</v>
      </c>
      <c r="CA69" s="1953">
        <v>19</v>
      </c>
      <c r="CB69" s="1956" t="s">
        <v>280</v>
      </c>
      <c r="CC69" s="1955">
        <v>44827</v>
      </c>
      <c r="CD69" s="1943" t="s">
        <v>7777</v>
      </c>
      <c r="CE69" s="1953">
        <v>79</v>
      </c>
      <c r="CF69" s="1956" t="s">
        <v>278</v>
      </c>
      <c r="CG69" s="1955">
        <v>45199</v>
      </c>
      <c r="CH69" s="1943" t="s">
        <v>7778</v>
      </c>
      <c r="CI69" s="1953">
        <v>60</v>
      </c>
      <c r="CJ69" s="1956" t="s">
        <v>280</v>
      </c>
      <c r="CK69" s="1955">
        <v>45563</v>
      </c>
      <c r="CL69" s="1943" t="s">
        <v>1710</v>
      </c>
      <c r="CM69" s="1953">
        <v>28</v>
      </c>
      <c r="CN69" s="1956" t="s">
        <v>414</v>
      </c>
    </row>
    <row r="70" spans="1:92" ht="12.75">
      <c r="A70" s="982">
        <v>37523</v>
      </c>
      <c r="B70" s="1943" t="s">
        <v>7779</v>
      </c>
      <c r="C70" s="1944">
        <v>40</v>
      </c>
      <c r="D70" s="1945"/>
      <c r="E70" s="1955">
        <v>37891</v>
      </c>
      <c r="F70" s="1960" t="s">
        <v>7326</v>
      </c>
      <c r="G70" s="1944">
        <v>14</v>
      </c>
      <c r="H70" s="1945"/>
      <c r="I70" s="1955"/>
      <c r="J70" s="1960"/>
      <c r="K70" s="1944"/>
      <c r="L70" s="1945"/>
      <c r="M70" s="1955">
        <v>38616</v>
      </c>
      <c r="N70" s="1960" t="s">
        <v>937</v>
      </c>
      <c r="O70" s="1944">
        <v>30</v>
      </c>
      <c r="P70" s="1957"/>
      <c r="Q70" s="1955"/>
      <c r="R70" s="1943"/>
      <c r="S70" s="1944"/>
      <c r="T70" s="1945"/>
      <c r="U70" s="1955"/>
      <c r="V70" s="1943"/>
      <c r="W70" s="1944"/>
      <c r="X70" s="1945"/>
      <c r="Y70" s="1955">
        <v>39718</v>
      </c>
      <c r="Z70" s="1943" t="s">
        <v>7780</v>
      </c>
      <c r="AA70" s="1944">
        <v>52</v>
      </c>
      <c r="AB70" s="1945"/>
      <c r="AC70" s="1955"/>
      <c r="AD70" s="1943"/>
      <c r="AE70" s="1967"/>
      <c r="AF70" s="1945"/>
      <c r="AG70" s="1955"/>
      <c r="AH70" s="1943"/>
      <c r="AI70" s="1967"/>
      <c r="AJ70" s="1945"/>
      <c r="AK70" s="1955"/>
      <c r="AL70" s="1943"/>
      <c r="AM70" s="1967"/>
      <c r="AN70" s="1945"/>
      <c r="AO70" s="1955"/>
      <c r="AP70" s="1943"/>
      <c r="AQ70" s="1967"/>
      <c r="AR70" s="1945"/>
      <c r="AS70" s="1955"/>
      <c r="AT70" s="1943"/>
      <c r="AU70" s="1967"/>
      <c r="AV70" s="1945"/>
      <c r="AW70" s="1955"/>
      <c r="AX70" s="1943"/>
      <c r="AY70" s="1967"/>
      <c r="AZ70" s="1945"/>
      <c r="BA70" s="1955">
        <v>42277</v>
      </c>
      <c r="BB70" s="1943" t="s">
        <v>7781</v>
      </c>
      <c r="BC70" s="1967">
        <v>22</v>
      </c>
      <c r="BD70" s="1945"/>
      <c r="BE70" s="1955"/>
      <c r="BF70" s="1943"/>
      <c r="BG70" s="1967"/>
      <c r="BH70" s="1945"/>
      <c r="BI70" s="1955">
        <v>42995</v>
      </c>
      <c r="BJ70" s="1943" t="s">
        <v>7782</v>
      </c>
      <c r="BK70" s="1967">
        <v>4</v>
      </c>
      <c r="BL70" s="1945"/>
      <c r="BM70" s="1955">
        <v>43359</v>
      </c>
      <c r="BN70" s="1943" t="s">
        <v>872</v>
      </c>
      <c r="BO70" s="1967">
        <v>43</v>
      </c>
      <c r="BP70" s="1945"/>
      <c r="BQ70" s="1955">
        <v>43733</v>
      </c>
      <c r="BR70" s="1943" t="s">
        <v>7783</v>
      </c>
      <c r="BS70" s="1967">
        <v>25</v>
      </c>
      <c r="BT70" s="1956" t="s">
        <v>280</v>
      </c>
      <c r="BU70" s="1955">
        <v>44094</v>
      </c>
      <c r="BV70" s="1943" t="s">
        <v>7784</v>
      </c>
      <c r="BW70" s="1967">
        <v>51</v>
      </c>
      <c r="BX70" s="1956" t="s">
        <v>701</v>
      </c>
      <c r="BY70" s="1955">
        <v>44467</v>
      </c>
      <c r="BZ70" s="1943" t="s">
        <v>7785</v>
      </c>
      <c r="CA70" s="1953">
        <v>18</v>
      </c>
      <c r="CB70" s="1956" t="s">
        <v>280</v>
      </c>
      <c r="CC70" s="1955">
        <v>44827</v>
      </c>
      <c r="CD70" s="1943" t="s">
        <v>845</v>
      </c>
      <c r="CE70" s="1953">
        <v>29</v>
      </c>
      <c r="CF70" s="1956" t="s">
        <v>414</v>
      </c>
      <c r="CG70" s="1955">
        <v>45199</v>
      </c>
      <c r="CH70" s="1943" t="s">
        <v>7695</v>
      </c>
      <c r="CI70" s="1953">
        <v>50</v>
      </c>
      <c r="CJ70" s="1956" t="s">
        <v>414</v>
      </c>
      <c r="CK70" s="1955">
        <v>45563</v>
      </c>
      <c r="CL70" s="1943" t="s">
        <v>7786</v>
      </c>
      <c r="CM70" s="1953">
        <v>23</v>
      </c>
      <c r="CN70" s="1956" t="s">
        <v>414</v>
      </c>
    </row>
    <row r="71" spans="1:92" ht="12.75">
      <c r="A71" s="982">
        <v>37523</v>
      </c>
      <c r="B71" s="1943" t="s">
        <v>7787</v>
      </c>
      <c r="C71" s="1944">
        <v>15</v>
      </c>
      <c r="D71" s="1945"/>
      <c r="E71" s="1955">
        <v>37891</v>
      </c>
      <c r="F71" s="1960" t="s">
        <v>7788</v>
      </c>
      <c r="G71" s="1944">
        <v>3</v>
      </c>
      <c r="H71" s="1945"/>
      <c r="I71" s="1955"/>
      <c r="J71" s="1960"/>
      <c r="K71" s="1944"/>
      <c r="L71" s="1945"/>
      <c r="M71" s="1955">
        <v>38616</v>
      </c>
      <c r="N71" s="1960" t="s">
        <v>7789</v>
      </c>
      <c r="O71" s="1944">
        <v>16</v>
      </c>
      <c r="P71" s="1957"/>
      <c r="Q71" s="1955"/>
      <c r="R71" s="1943"/>
      <c r="S71" s="1944"/>
      <c r="T71" s="1945"/>
      <c r="U71" s="1955"/>
      <c r="V71" s="1943"/>
      <c r="W71" s="1944"/>
      <c r="X71" s="1945"/>
      <c r="Y71" s="1955">
        <v>39718</v>
      </c>
      <c r="Z71" s="1943" t="s">
        <v>781</v>
      </c>
      <c r="AA71" s="1944">
        <v>50</v>
      </c>
      <c r="AB71" s="1945"/>
      <c r="AC71" s="1955"/>
      <c r="AD71" s="1943"/>
      <c r="AE71" s="1967"/>
      <c r="AF71" s="1945"/>
      <c r="AG71" s="1955"/>
      <c r="AH71" s="1943"/>
      <c r="AI71" s="1967"/>
      <c r="AJ71" s="1945"/>
      <c r="AK71" s="1955"/>
      <c r="AL71" s="1943"/>
      <c r="AM71" s="1967"/>
      <c r="AN71" s="1945"/>
      <c r="AO71" s="1955"/>
      <c r="AP71" s="1943"/>
      <c r="AQ71" s="1967"/>
      <c r="AR71" s="1945"/>
      <c r="AS71" s="1955"/>
      <c r="AT71" s="1943"/>
      <c r="AU71" s="1967"/>
      <c r="AV71" s="1945"/>
      <c r="AW71" s="1955"/>
      <c r="AX71" s="1943"/>
      <c r="AY71" s="1967"/>
      <c r="AZ71" s="1945"/>
      <c r="BA71" s="1955">
        <v>42277</v>
      </c>
      <c r="BB71" s="1943" t="s">
        <v>7790</v>
      </c>
      <c r="BC71" s="1967">
        <v>20</v>
      </c>
      <c r="BD71" s="1945"/>
      <c r="BE71" s="1955"/>
      <c r="BF71" s="1943"/>
      <c r="BG71" s="1967"/>
      <c r="BH71" s="1945"/>
      <c r="BI71" s="1955">
        <v>42996</v>
      </c>
      <c r="BJ71" s="1943" t="s">
        <v>873</v>
      </c>
      <c r="BK71" s="1967">
        <v>25</v>
      </c>
      <c r="BL71" s="1945"/>
      <c r="BM71" s="1955">
        <v>43359</v>
      </c>
      <c r="BN71" s="1943" t="s">
        <v>797</v>
      </c>
      <c r="BO71" s="1967">
        <v>51</v>
      </c>
      <c r="BP71" s="1945"/>
      <c r="BQ71" s="1955">
        <v>43735</v>
      </c>
      <c r="BR71" s="1943" t="s">
        <v>873</v>
      </c>
      <c r="BS71" s="1967">
        <v>31</v>
      </c>
      <c r="BT71" s="1956" t="s">
        <v>414</v>
      </c>
      <c r="BU71" s="1955">
        <v>44095</v>
      </c>
      <c r="BV71" s="1943" t="s">
        <v>7791</v>
      </c>
      <c r="BW71" s="1967">
        <v>178</v>
      </c>
      <c r="BX71" s="1956" t="s">
        <v>701</v>
      </c>
      <c r="BY71" s="1955">
        <v>44467</v>
      </c>
      <c r="BZ71" s="1943" t="s">
        <v>7792</v>
      </c>
      <c r="CA71" s="1953">
        <v>41</v>
      </c>
      <c r="CB71" s="1956" t="s">
        <v>702</v>
      </c>
      <c r="CC71" s="1955">
        <v>44827</v>
      </c>
      <c r="CD71" s="1943" t="s">
        <v>872</v>
      </c>
      <c r="CE71" s="1953">
        <v>15</v>
      </c>
      <c r="CF71" s="1956" t="s">
        <v>414</v>
      </c>
      <c r="CG71" s="1955">
        <v>45199</v>
      </c>
      <c r="CH71" s="1943" t="s">
        <v>7793</v>
      </c>
      <c r="CI71" s="1953">
        <v>41</v>
      </c>
      <c r="CJ71" s="1956" t="s">
        <v>700</v>
      </c>
      <c r="CK71" s="1955">
        <v>45563</v>
      </c>
      <c r="CL71" s="1943" t="s">
        <v>7794</v>
      </c>
      <c r="CM71" s="1953">
        <v>11</v>
      </c>
      <c r="CN71" s="1956" t="s">
        <v>414</v>
      </c>
    </row>
    <row r="72" spans="1:92" ht="12.75">
      <c r="A72" s="982">
        <v>39349</v>
      </c>
      <c r="B72" s="1943" t="s">
        <v>7795</v>
      </c>
      <c r="C72" s="1944">
        <v>6</v>
      </c>
      <c r="D72" s="1945"/>
      <c r="E72" s="1955">
        <v>37891</v>
      </c>
      <c r="F72" s="1960" t="s">
        <v>7796</v>
      </c>
      <c r="G72" s="1944">
        <v>25</v>
      </c>
      <c r="H72" s="1945"/>
      <c r="I72" s="1955"/>
      <c r="J72" s="1960"/>
      <c r="K72" s="1944"/>
      <c r="L72" s="1945"/>
      <c r="M72" s="1955">
        <v>38616</v>
      </c>
      <c r="N72" s="1960" t="s">
        <v>7797</v>
      </c>
      <c r="O72" s="1944">
        <v>41</v>
      </c>
      <c r="P72" s="1957"/>
      <c r="Q72" s="1955"/>
      <c r="R72" s="1943"/>
      <c r="S72" s="1944"/>
      <c r="T72" s="1945"/>
      <c r="U72" s="1955"/>
      <c r="V72" s="1943"/>
      <c r="W72" s="1944"/>
      <c r="X72" s="1945"/>
      <c r="Y72" s="1955">
        <v>39718</v>
      </c>
      <c r="Z72" s="1943" t="s">
        <v>7798</v>
      </c>
      <c r="AA72" s="1944">
        <v>15</v>
      </c>
      <c r="AB72" s="1945"/>
      <c r="AC72" s="1955"/>
      <c r="AD72" s="1943"/>
      <c r="AE72" s="1967"/>
      <c r="AF72" s="1945"/>
      <c r="AG72" s="1955"/>
      <c r="AH72" s="1943"/>
      <c r="AI72" s="1967"/>
      <c r="AJ72" s="1945"/>
      <c r="AK72" s="1955"/>
      <c r="AL72" s="1943"/>
      <c r="AM72" s="1967"/>
      <c r="AN72" s="1945"/>
      <c r="AO72" s="1955"/>
      <c r="AP72" s="1943"/>
      <c r="AQ72" s="1967"/>
      <c r="AR72" s="1945"/>
      <c r="AS72" s="1955"/>
      <c r="AT72" s="1943"/>
      <c r="AU72" s="1967"/>
      <c r="AV72" s="1945"/>
      <c r="AW72" s="1955"/>
      <c r="AX72" s="1943"/>
      <c r="AY72" s="1967"/>
      <c r="AZ72" s="1945"/>
      <c r="BA72" s="1955"/>
      <c r="BB72" s="1943"/>
      <c r="BC72" s="1967"/>
      <c r="BD72" s="1945"/>
      <c r="BE72" s="1955"/>
      <c r="BF72" s="1943"/>
      <c r="BG72" s="1967"/>
      <c r="BH72" s="1945"/>
      <c r="BI72" s="1955">
        <v>42996</v>
      </c>
      <c r="BJ72" s="1943" t="s">
        <v>890</v>
      </c>
      <c r="BK72" s="1967">
        <v>12</v>
      </c>
      <c r="BL72" s="1945"/>
      <c r="BM72" s="1955">
        <v>43360</v>
      </c>
      <c r="BN72" s="1943" t="s">
        <v>873</v>
      </c>
      <c r="BO72" s="1967">
        <v>7</v>
      </c>
      <c r="BP72" s="1945"/>
      <c r="BQ72" s="1955">
        <v>43736</v>
      </c>
      <c r="BR72" s="1943" t="s">
        <v>872</v>
      </c>
      <c r="BS72" s="1967">
        <v>14</v>
      </c>
      <c r="BT72" s="1956" t="s">
        <v>414</v>
      </c>
      <c r="BU72" s="1955">
        <v>44096</v>
      </c>
      <c r="BV72" s="1943" t="s">
        <v>1762</v>
      </c>
      <c r="BW72" s="1967">
        <v>189</v>
      </c>
      <c r="BX72" s="1956" t="s">
        <v>701</v>
      </c>
      <c r="BY72" s="1955">
        <v>44467</v>
      </c>
      <c r="BZ72" s="1943" t="s">
        <v>7799</v>
      </c>
      <c r="CA72" s="1953">
        <v>28</v>
      </c>
      <c r="CB72" s="1956" t="s">
        <v>702</v>
      </c>
      <c r="CC72" s="1955">
        <v>44827</v>
      </c>
      <c r="CD72" s="1943" t="s">
        <v>890</v>
      </c>
      <c r="CE72" s="1953">
        <v>33</v>
      </c>
      <c r="CF72" s="1956" t="s">
        <v>414</v>
      </c>
      <c r="CG72" s="1955">
        <v>45199</v>
      </c>
      <c r="CH72" s="1943" t="s">
        <v>7800</v>
      </c>
      <c r="CI72" s="1953">
        <v>32</v>
      </c>
      <c r="CJ72" s="1956" t="s">
        <v>700</v>
      </c>
      <c r="CK72" s="1955">
        <v>45563</v>
      </c>
      <c r="CL72" s="1943" t="s">
        <v>2215</v>
      </c>
      <c r="CM72" s="1953">
        <v>5</v>
      </c>
      <c r="CN72" s="1956" t="s">
        <v>414</v>
      </c>
    </row>
    <row r="73" spans="1:92" ht="12.75">
      <c r="A73" s="982">
        <v>39349</v>
      </c>
      <c r="B73" s="1943" t="s">
        <v>7801</v>
      </c>
      <c r="C73" s="1944"/>
      <c r="D73" s="1945">
        <v>10</v>
      </c>
      <c r="E73" s="1955">
        <v>37891</v>
      </c>
      <c r="F73" s="1960" t="s">
        <v>7802</v>
      </c>
      <c r="G73" s="1944">
        <v>12</v>
      </c>
      <c r="H73" s="1945"/>
      <c r="I73" s="1955"/>
      <c r="J73" s="1960"/>
      <c r="K73" s="1944"/>
      <c r="L73" s="1945"/>
      <c r="M73" s="1955">
        <v>38619</v>
      </c>
      <c r="N73" s="1960" t="s">
        <v>7803</v>
      </c>
      <c r="O73" s="1944">
        <v>222</v>
      </c>
      <c r="P73" s="1957"/>
      <c r="Q73" s="1955"/>
      <c r="R73" s="1943"/>
      <c r="S73" s="1944"/>
      <c r="T73" s="1945"/>
      <c r="U73" s="1955"/>
      <c r="V73" s="1943"/>
      <c r="W73" s="1944"/>
      <c r="X73" s="1945"/>
      <c r="Y73" s="1955">
        <v>39718</v>
      </c>
      <c r="Z73" s="1943" t="s">
        <v>7804</v>
      </c>
      <c r="AA73" s="1944">
        <v>16</v>
      </c>
      <c r="AB73" s="1945"/>
      <c r="AC73" s="1955"/>
      <c r="AD73" s="1943"/>
      <c r="AE73" s="1944"/>
      <c r="AF73" s="1945"/>
      <c r="AG73" s="1955"/>
      <c r="AH73" s="1943"/>
      <c r="AI73" s="1967"/>
      <c r="AJ73" s="1945"/>
      <c r="AK73" s="1955"/>
      <c r="AL73" s="1943"/>
      <c r="AM73" s="1967"/>
      <c r="AN73" s="1945"/>
      <c r="AO73" s="1955"/>
      <c r="AP73" s="1943"/>
      <c r="AQ73" s="1967"/>
      <c r="AR73" s="1945"/>
      <c r="AS73" s="1955"/>
      <c r="AT73" s="1943"/>
      <c r="AU73" s="1967"/>
      <c r="AV73" s="1945"/>
      <c r="AW73" s="1955"/>
      <c r="AX73" s="1943"/>
      <c r="AY73" s="1967"/>
      <c r="AZ73" s="1945"/>
      <c r="BA73" s="1955"/>
      <c r="BB73" s="1943"/>
      <c r="BC73" s="1967"/>
      <c r="BD73" s="1945"/>
      <c r="BE73" s="1955"/>
      <c r="BF73" s="1943"/>
      <c r="BG73" s="1967"/>
      <c r="BH73" s="1945"/>
      <c r="BI73" s="1955">
        <v>42997</v>
      </c>
      <c r="BJ73" s="1943" t="s">
        <v>797</v>
      </c>
      <c r="BK73" s="1967">
        <v>55</v>
      </c>
      <c r="BL73" s="1945"/>
      <c r="BM73" s="1955">
        <v>43361</v>
      </c>
      <c r="BN73" s="1943" t="s">
        <v>7805</v>
      </c>
      <c r="BO73" s="1967">
        <v>38</v>
      </c>
      <c r="BP73" s="1945"/>
      <c r="BQ73" s="1955">
        <v>43736</v>
      </c>
      <c r="BR73" s="1943" t="s">
        <v>772</v>
      </c>
      <c r="BS73" s="1967">
        <v>67</v>
      </c>
      <c r="BT73" s="1956" t="s">
        <v>414</v>
      </c>
      <c r="BU73" s="1955">
        <v>44096</v>
      </c>
      <c r="BV73" s="1943" t="s">
        <v>1762</v>
      </c>
      <c r="BW73" s="1967">
        <v>150</v>
      </c>
      <c r="BX73" s="1956" t="s">
        <v>701</v>
      </c>
      <c r="BY73" s="1955">
        <v>44467</v>
      </c>
      <c r="BZ73" s="1943" t="s">
        <v>7806</v>
      </c>
      <c r="CA73" s="1953">
        <v>17</v>
      </c>
      <c r="CB73" s="1956" t="s">
        <v>280</v>
      </c>
      <c r="CC73" s="1955">
        <v>44827</v>
      </c>
      <c r="CD73" s="1943" t="s">
        <v>7807</v>
      </c>
      <c r="CE73" s="1953">
        <v>200</v>
      </c>
      <c r="CF73" s="1956" t="s">
        <v>426</v>
      </c>
      <c r="CG73" s="1955">
        <v>45199</v>
      </c>
      <c r="CH73" s="1943" t="s">
        <v>7808</v>
      </c>
      <c r="CI73" s="1953">
        <v>30</v>
      </c>
      <c r="CJ73" s="1956" t="s">
        <v>280</v>
      </c>
      <c r="CK73" s="1955">
        <v>45563</v>
      </c>
      <c r="CL73" s="1943" t="s">
        <v>7809</v>
      </c>
      <c r="CM73" s="1953">
        <v>25</v>
      </c>
      <c r="CN73" s="1956" t="s">
        <v>414</v>
      </c>
    </row>
    <row r="74" spans="1:92" ht="12.75">
      <c r="A74" s="982">
        <v>37524</v>
      </c>
      <c r="B74" s="1943" t="s">
        <v>7810</v>
      </c>
      <c r="C74" s="1944">
        <v>10</v>
      </c>
      <c r="D74" s="1945"/>
      <c r="E74" s="1955">
        <v>37891</v>
      </c>
      <c r="F74" s="1960" t="s">
        <v>7811</v>
      </c>
      <c r="G74" s="1944">
        <v>42</v>
      </c>
      <c r="H74" s="1945"/>
      <c r="I74" s="1955"/>
      <c r="J74" s="1960"/>
      <c r="K74" s="1944"/>
      <c r="L74" s="1945"/>
      <c r="M74" s="1955">
        <v>38619</v>
      </c>
      <c r="N74" s="1960" t="s">
        <v>772</v>
      </c>
      <c r="O74" s="1944">
        <v>34</v>
      </c>
      <c r="P74" s="1957"/>
      <c r="Q74" s="1955"/>
      <c r="R74" s="1943"/>
      <c r="S74" s="1944"/>
      <c r="T74" s="1945"/>
      <c r="U74" s="1955"/>
      <c r="V74" s="1943"/>
      <c r="W74" s="1944"/>
      <c r="X74" s="1945"/>
      <c r="Y74" s="1955">
        <v>39718</v>
      </c>
      <c r="Z74" s="1943" t="s">
        <v>7812</v>
      </c>
      <c r="AA74" s="1944">
        <v>22</v>
      </c>
      <c r="AB74" s="1945"/>
      <c r="AC74" s="1955"/>
      <c r="AD74" s="1943"/>
      <c r="AE74" s="1944"/>
      <c r="AF74" s="1945"/>
      <c r="AG74" s="1955"/>
      <c r="AH74" s="1943"/>
      <c r="AI74" s="1967"/>
      <c r="AJ74" s="1945"/>
      <c r="AK74" s="1955"/>
      <c r="AL74" s="1943"/>
      <c r="AM74" s="1967"/>
      <c r="AN74" s="1945"/>
      <c r="AO74" s="1955"/>
      <c r="AP74" s="1943"/>
      <c r="AQ74" s="1967"/>
      <c r="AR74" s="1945"/>
      <c r="AS74" s="1955"/>
      <c r="AT74" s="1943"/>
      <c r="AU74" s="1967"/>
      <c r="AV74" s="1945"/>
      <c r="AW74" s="1955"/>
      <c r="AX74" s="1943"/>
      <c r="AY74" s="1967"/>
      <c r="AZ74" s="1945"/>
      <c r="BA74" s="1955"/>
      <c r="BB74" s="1943"/>
      <c r="BC74" s="1967"/>
      <c r="BD74" s="1945"/>
      <c r="BE74" s="1955"/>
      <c r="BF74" s="1943"/>
      <c r="BG74" s="1967"/>
      <c r="BH74" s="1945"/>
      <c r="BI74" s="1955">
        <v>42997</v>
      </c>
      <c r="BJ74" s="1943" t="s">
        <v>7813</v>
      </c>
      <c r="BK74" s="1967">
        <v>13</v>
      </c>
      <c r="BL74" s="1945"/>
      <c r="BM74" s="1955">
        <v>43362</v>
      </c>
      <c r="BN74" s="1943" t="s">
        <v>7814</v>
      </c>
      <c r="BO74" s="1967">
        <v>26</v>
      </c>
      <c r="BP74" s="1945"/>
      <c r="BQ74" s="1955">
        <v>43736</v>
      </c>
      <c r="BR74" s="1943" t="s">
        <v>7815</v>
      </c>
      <c r="BS74" s="1967">
        <v>29</v>
      </c>
      <c r="BT74" s="1956" t="s">
        <v>700</v>
      </c>
      <c r="BU74" s="1955">
        <v>44102</v>
      </c>
      <c r="BV74" s="1943" t="s">
        <v>7816</v>
      </c>
      <c r="BW74" s="1967">
        <v>1015</v>
      </c>
      <c r="BX74" s="1956" t="s">
        <v>701</v>
      </c>
      <c r="BY74" s="1955"/>
      <c r="BZ74" s="1943"/>
      <c r="CA74" s="1953"/>
      <c r="CB74" s="1956"/>
      <c r="CC74" s="1955">
        <v>44827</v>
      </c>
      <c r="CD74" s="1943" t="s">
        <v>7817</v>
      </c>
      <c r="CE74" s="1953">
        <v>120</v>
      </c>
      <c r="CF74" s="1956" t="s">
        <v>426</v>
      </c>
      <c r="CG74" s="1955">
        <v>45199</v>
      </c>
      <c r="CH74" s="1978" t="s">
        <v>7818</v>
      </c>
      <c r="CI74" s="1979">
        <v>200</v>
      </c>
      <c r="CJ74" s="1980" t="s">
        <v>689</v>
      </c>
      <c r="CK74" s="1955">
        <v>45563</v>
      </c>
      <c r="CL74" s="1943" t="s">
        <v>7819</v>
      </c>
      <c r="CM74" s="1953">
        <v>11</v>
      </c>
      <c r="CN74" s="1956" t="s">
        <v>414</v>
      </c>
    </row>
    <row r="75" spans="1:92" ht="12.75">
      <c r="A75" s="982">
        <v>37524</v>
      </c>
      <c r="B75" s="1943" t="s">
        <v>7820</v>
      </c>
      <c r="C75" s="1944">
        <v>50</v>
      </c>
      <c r="D75" s="1945"/>
      <c r="E75" s="1955">
        <v>37891</v>
      </c>
      <c r="F75" s="1960" t="s">
        <v>7821</v>
      </c>
      <c r="G75" s="1944">
        <v>5</v>
      </c>
      <c r="H75" s="1945"/>
      <c r="I75" s="1955"/>
      <c r="J75" s="1960"/>
      <c r="K75" s="1944"/>
      <c r="L75" s="1945"/>
      <c r="M75" s="1955">
        <v>38619</v>
      </c>
      <c r="N75" s="1960" t="s">
        <v>7822</v>
      </c>
      <c r="O75" s="1944">
        <v>15</v>
      </c>
      <c r="P75" s="1957"/>
      <c r="Q75" s="1955"/>
      <c r="R75" s="1943"/>
      <c r="S75" s="1944"/>
      <c r="T75" s="1945"/>
      <c r="U75" s="1955"/>
      <c r="V75" s="1943"/>
      <c r="W75" s="1944"/>
      <c r="X75" s="1945"/>
      <c r="Y75" s="1955">
        <v>39718</v>
      </c>
      <c r="Z75" s="1943" t="s">
        <v>7823</v>
      </c>
      <c r="AA75" s="1944">
        <v>40</v>
      </c>
      <c r="AB75" s="1945"/>
      <c r="AC75" s="1955"/>
      <c r="AD75" s="1943"/>
      <c r="AE75" s="1944"/>
      <c r="AF75" s="1945"/>
      <c r="AG75" s="1955"/>
      <c r="AH75" s="1943"/>
      <c r="AI75" s="1967"/>
      <c r="AJ75" s="1945"/>
      <c r="AK75" s="1955"/>
      <c r="AL75" s="1943"/>
      <c r="AM75" s="1967"/>
      <c r="AN75" s="1945"/>
      <c r="AO75" s="1955"/>
      <c r="AP75" s="1943"/>
      <c r="AQ75" s="1967"/>
      <c r="AR75" s="1945"/>
      <c r="AS75" s="1955"/>
      <c r="AT75" s="1943"/>
      <c r="AU75" s="1967"/>
      <c r="AV75" s="1945"/>
      <c r="AW75" s="1955"/>
      <c r="AX75" s="1943"/>
      <c r="AY75" s="1967"/>
      <c r="AZ75" s="1945"/>
      <c r="BA75" s="1955"/>
      <c r="BB75" s="1943"/>
      <c r="BC75" s="1967"/>
      <c r="BD75" s="1945"/>
      <c r="BE75" s="1955"/>
      <c r="BF75" s="1943"/>
      <c r="BG75" s="1967"/>
      <c r="BH75" s="1945"/>
      <c r="BI75" s="1955">
        <v>42997</v>
      </c>
      <c r="BJ75" s="1943" t="s">
        <v>1666</v>
      </c>
      <c r="BK75" s="1967">
        <v>10</v>
      </c>
      <c r="BL75" s="1945"/>
      <c r="BM75" s="1955">
        <v>43362</v>
      </c>
      <c r="BN75" s="1943" t="s">
        <v>7824</v>
      </c>
      <c r="BO75" s="1967">
        <v>2</v>
      </c>
      <c r="BP75" s="1945"/>
      <c r="BQ75" s="1955">
        <v>43737</v>
      </c>
      <c r="BR75" s="1943" t="s">
        <v>797</v>
      </c>
      <c r="BS75" s="1967">
        <v>51</v>
      </c>
      <c r="BT75" s="1956" t="s">
        <v>410</v>
      </c>
      <c r="BU75" s="1955">
        <v>44102</v>
      </c>
      <c r="BV75" s="1943" t="s">
        <v>7825</v>
      </c>
      <c r="BW75" s="1967">
        <v>300</v>
      </c>
      <c r="BX75" s="1956" t="s">
        <v>701</v>
      </c>
      <c r="BY75" s="1955"/>
      <c r="BZ75" s="1943"/>
      <c r="CA75" s="1953"/>
      <c r="CB75" s="1956"/>
      <c r="CC75" s="1955">
        <v>44827</v>
      </c>
      <c r="CD75" s="1943" t="s">
        <v>7826</v>
      </c>
      <c r="CE75" s="1953">
        <v>63</v>
      </c>
      <c r="CF75" s="1956" t="s">
        <v>700</v>
      </c>
      <c r="CG75" s="1955"/>
      <c r="CH75" s="1943"/>
      <c r="CI75" s="1953"/>
      <c r="CJ75" s="1956"/>
      <c r="CK75" s="1955">
        <v>45563</v>
      </c>
      <c r="CL75" s="1943" t="s">
        <v>7827</v>
      </c>
      <c r="CM75" s="1953">
        <v>21</v>
      </c>
      <c r="CN75" s="1956" t="s">
        <v>414</v>
      </c>
    </row>
    <row r="76" spans="1:92" ht="12.75">
      <c r="A76" s="982">
        <v>37524</v>
      </c>
      <c r="B76" s="1943" t="s">
        <v>7828</v>
      </c>
      <c r="C76" s="1944">
        <v>16</v>
      </c>
      <c r="D76" s="1945"/>
      <c r="E76" s="1955">
        <v>37892</v>
      </c>
      <c r="F76" s="1960" t="s">
        <v>7829</v>
      </c>
      <c r="G76" s="1944">
        <v>38</v>
      </c>
      <c r="H76" s="1945"/>
      <c r="I76" s="1955"/>
      <c r="J76" s="1960"/>
      <c r="K76" s="1944"/>
      <c r="L76" s="1945"/>
      <c r="M76" s="1955">
        <v>38619</v>
      </c>
      <c r="N76" s="1960" t="s">
        <v>937</v>
      </c>
      <c r="O76" s="1944">
        <v>10</v>
      </c>
      <c r="P76" s="1957"/>
      <c r="Q76" s="1955"/>
      <c r="R76" s="1943"/>
      <c r="S76" s="1944"/>
      <c r="T76" s="1945"/>
      <c r="U76" s="1955"/>
      <c r="V76" s="1943"/>
      <c r="W76" s="1944"/>
      <c r="X76" s="1945"/>
      <c r="Y76" s="1955">
        <v>39719</v>
      </c>
      <c r="Z76" s="1943" t="s">
        <v>7830</v>
      </c>
      <c r="AA76" s="1944">
        <v>0</v>
      </c>
      <c r="AB76" s="1945"/>
      <c r="AC76" s="1955"/>
      <c r="AD76" s="1943"/>
      <c r="AE76" s="1944"/>
      <c r="AF76" s="1945"/>
      <c r="AG76" s="1955"/>
      <c r="AH76" s="1943"/>
      <c r="AI76" s="1944"/>
      <c r="AJ76" s="1945"/>
      <c r="AK76" s="1955"/>
      <c r="AL76" s="1943"/>
      <c r="AM76" s="1967"/>
      <c r="AN76" s="1945"/>
      <c r="AO76" s="1955"/>
      <c r="AP76" s="1943"/>
      <c r="AQ76" s="1967"/>
      <c r="AR76" s="1945"/>
      <c r="AS76" s="1955"/>
      <c r="AT76" s="1943"/>
      <c r="AU76" s="1967"/>
      <c r="AV76" s="1945"/>
      <c r="AW76" s="1955"/>
      <c r="AX76" s="1943"/>
      <c r="AY76" s="1967"/>
      <c r="AZ76" s="1945"/>
      <c r="BA76" s="1955"/>
      <c r="BB76" s="1943"/>
      <c r="BC76" s="1967"/>
      <c r="BD76" s="1945"/>
      <c r="BE76" s="1955"/>
      <c r="BF76" s="1943"/>
      <c r="BG76" s="1967"/>
      <c r="BH76" s="1945"/>
      <c r="BI76" s="1955">
        <v>42998</v>
      </c>
      <c r="BJ76" s="1943" t="s">
        <v>7831</v>
      </c>
      <c r="BK76" s="1967">
        <v>5</v>
      </c>
      <c r="BL76" s="1945"/>
      <c r="BM76" s="1955">
        <v>43365</v>
      </c>
      <c r="BN76" s="1943" t="s">
        <v>7832</v>
      </c>
      <c r="BO76" s="1967">
        <v>6</v>
      </c>
      <c r="BP76" s="1945"/>
      <c r="BQ76" s="1955"/>
      <c r="BR76" s="1943"/>
      <c r="BS76" s="1967"/>
      <c r="BT76" s="1956"/>
      <c r="BU76" s="1955">
        <v>44102</v>
      </c>
      <c r="BV76" s="1943" t="s">
        <v>7833</v>
      </c>
      <c r="BW76" s="1967">
        <v>3430</v>
      </c>
      <c r="BX76" s="1956" t="s">
        <v>674</v>
      </c>
      <c r="BY76" s="1955"/>
      <c r="BZ76" s="1943"/>
      <c r="CA76" s="1953"/>
      <c r="CB76" s="1956"/>
      <c r="CC76" s="1955">
        <v>44827</v>
      </c>
      <c r="CD76" s="1943" t="s">
        <v>4490</v>
      </c>
      <c r="CE76" s="1953">
        <v>100</v>
      </c>
      <c r="CF76" s="1956" t="s">
        <v>410</v>
      </c>
      <c r="CG76" s="1955"/>
      <c r="CH76" s="1943"/>
      <c r="CI76" s="1953"/>
      <c r="CJ76" s="1956"/>
      <c r="CK76" s="1955">
        <v>45563</v>
      </c>
      <c r="CL76" s="1978" t="s">
        <v>7834</v>
      </c>
      <c r="CM76" s="1953">
        <v>15</v>
      </c>
      <c r="CN76" s="1956" t="s">
        <v>414</v>
      </c>
    </row>
    <row r="77" spans="1:92" ht="12.75">
      <c r="A77" s="982">
        <v>37524</v>
      </c>
      <c r="B77" s="1943" t="s">
        <v>7835</v>
      </c>
      <c r="C77" s="1944">
        <v>40</v>
      </c>
      <c r="D77" s="1945"/>
      <c r="E77" s="1955">
        <v>37892</v>
      </c>
      <c r="F77" s="1960" t="s">
        <v>7836</v>
      </c>
      <c r="G77" s="1944">
        <v>0</v>
      </c>
      <c r="H77" s="1945"/>
      <c r="I77" s="1955"/>
      <c r="J77" s="1960"/>
      <c r="K77" s="1944"/>
      <c r="L77" s="1945"/>
      <c r="M77" s="1955">
        <v>38619</v>
      </c>
      <c r="N77" s="1960" t="s">
        <v>2510</v>
      </c>
      <c r="O77" s="1944">
        <v>18</v>
      </c>
      <c r="P77" s="1957"/>
      <c r="Q77" s="1955"/>
      <c r="R77" s="1943"/>
      <c r="S77" s="1944"/>
      <c r="T77" s="1945"/>
      <c r="U77" s="1955"/>
      <c r="V77" s="1943"/>
      <c r="W77" s="1944"/>
      <c r="X77" s="1945"/>
      <c r="Y77" s="1955"/>
      <c r="Z77" s="1943"/>
      <c r="AA77" s="1944"/>
      <c r="AB77" s="1945"/>
      <c r="AC77" s="1955"/>
      <c r="AD77" s="1943"/>
      <c r="AE77" s="1944"/>
      <c r="AF77" s="1945"/>
      <c r="AG77" s="1955"/>
      <c r="AH77" s="1943"/>
      <c r="AI77" s="1944"/>
      <c r="AJ77" s="1945"/>
      <c r="AK77" s="1955"/>
      <c r="AL77" s="1943"/>
      <c r="AM77" s="1967"/>
      <c r="AN77" s="1945"/>
      <c r="AO77" s="1955"/>
      <c r="AP77" s="1943"/>
      <c r="AQ77" s="1967"/>
      <c r="AR77" s="1945"/>
      <c r="AS77" s="1955"/>
      <c r="AT77" s="1943"/>
      <c r="AU77" s="1967"/>
      <c r="AV77" s="1945"/>
      <c r="AW77" s="1955"/>
      <c r="AX77" s="1943"/>
      <c r="AY77" s="1967"/>
      <c r="AZ77" s="1945"/>
      <c r="BA77" s="1955"/>
      <c r="BB77" s="1943"/>
      <c r="BC77" s="1967"/>
      <c r="BD77" s="1945"/>
      <c r="BE77" s="1955"/>
      <c r="BF77" s="1943"/>
      <c r="BG77" s="1967"/>
      <c r="BH77" s="1945"/>
      <c r="BI77" s="1955">
        <v>42998</v>
      </c>
      <c r="BJ77" s="1943" t="s">
        <v>7837</v>
      </c>
      <c r="BK77" s="1967">
        <v>25</v>
      </c>
      <c r="BL77" s="1945"/>
      <c r="BM77" s="1955">
        <v>43365</v>
      </c>
      <c r="BN77" s="1943" t="s">
        <v>7838</v>
      </c>
      <c r="BO77" s="1967">
        <v>20</v>
      </c>
      <c r="BP77" s="1945"/>
      <c r="BQ77" s="1955"/>
      <c r="BR77" s="1943"/>
      <c r="BS77" s="1967"/>
      <c r="BT77" s="1956"/>
      <c r="BU77" s="1955">
        <v>44104</v>
      </c>
      <c r="BV77" s="1943" t="s">
        <v>7839</v>
      </c>
      <c r="BW77" s="1967">
        <v>1650</v>
      </c>
      <c r="BX77" s="1956" t="s">
        <v>674</v>
      </c>
      <c r="BY77" s="1955"/>
      <c r="BZ77" s="1943"/>
      <c r="CA77" s="1953"/>
      <c r="CB77" s="1956"/>
      <c r="CC77" s="1955">
        <v>44827</v>
      </c>
      <c r="CD77" s="1943" t="s">
        <v>7840</v>
      </c>
      <c r="CE77" s="1953">
        <v>7</v>
      </c>
      <c r="CF77" s="1956" t="s">
        <v>280</v>
      </c>
      <c r="CG77" s="1955"/>
      <c r="CH77" s="1943"/>
      <c r="CI77" s="1953"/>
      <c r="CJ77" s="1956"/>
      <c r="CK77" s="1955">
        <v>45564</v>
      </c>
      <c r="CL77" s="1943" t="s">
        <v>7841</v>
      </c>
      <c r="CM77" s="1953">
        <v>75</v>
      </c>
      <c r="CN77" s="1956" t="s">
        <v>278</v>
      </c>
    </row>
    <row r="78" spans="1:92" ht="12.75">
      <c r="A78" s="982">
        <v>37524</v>
      </c>
      <c r="B78" s="1943" t="s">
        <v>915</v>
      </c>
      <c r="C78" s="1944">
        <v>32</v>
      </c>
      <c r="D78" s="1945"/>
      <c r="E78" s="1955">
        <v>37892</v>
      </c>
      <c r="F78" s="1960" t="s">
        <v>7566</v>
      </c>
      <c r="G78" s="1944">
        <v>66</v>
      </c>
      <c r="H78" s="1945"/>
      <c r="I78" s="1955"/>
      <c r="J78" s="1960"/>
      <c r="K78" s="1944"/>
      <c r="L78" s="1945"/>
      <c r="M78" s="1955">
        <v>38619</v>
      </c>
      <c r="N78" s="1960" t="s">
        <v>7842</v>
      </c>
      <c r="O78" s="1944">
        <v>3</v>
      </c>
      <c r="P78" s="1957"/>
      <c r="Q78" s="1955"/>
      <c r="R78" s="1943"/>
      <c r="S78" s="1944"/>
      <c r="T78" s="1945"/>
      <c r="U78" s="1955"/>
      <c r="V78" s="1943"/>
      <c r="W78" s="1944"/>
      <c r="X78" s="1945"/>
      <c r="Y78" s="1955"/>
      <c r="Z78" s="1943"/>
      <c r="AA78" s="1944"/>
      <c r="AB78" s="1945"/>
      <c r="AC78" s="1955"/>
      <c r="AD78" s="1943"/>
      <c r="AE78" s="1944"/>
      <c r="AF78" s="1945"/>
      <c r="AG78" s="1955"/>
      <c r="AH78" s="1943"/>
      <c r="AI78" s="1944"/>
      <c r="AJ78" s="1945"/>
      <c r="AK78" s="1955"/>
      <c r="AL78" s="1943"/>
      <c r="AM78" s="1944"/>
      <c r="AN78" s="1945"/>
      <c r="AO78" s="1955"/>
      <c r="AP78" s="1943"/>
      <c r="AQ78" s="1967"/>
      <c r="AR78" s="1945"/>
      <c r="AS78" s="1955"/>
      <c r="AT78" s="1943"/>
      <c r="AU78" s="1967"/>
      <c r="AV78" s="1945"/>
      <c r="AW78" s="1955"/>
      <c r="AX78" s="1943"/>
      <c r="AY78" s="1967"/>
      <c r="AZ78" s="1945"/>
      <c r="BA78" s="1955"/>
      <c r="BB78" s="1943"/>
      <c r="BC78" s="1967"/>
      <c r="BD78" s="1945"/>
      <c r="BE78" s="1955"/>
      <c r="BF78" s="1943"/>
      <c r="BG78" s="1967"/>
      <c r="BH78" s="1945"/>
      <c r="BI78" s="1955">
        <v>42998</v>
      </c>
      <c r="BJ78" s="1943" t="s">
        <v>7843</v>
      </c>
      <c r="BK78" s="1967">
        <v>25</v>
      </c>
      <c r="BL78" s="1945"/>
      <c r="BM78" s="1955">
        <v>43366</v>
      </c>
      <c r="BN78" s="1943" t="s">
        <v>797</v>
      </c>
      <c r="BO78" s="1967">
        <v>37</v>
      </c>
      <c r="BP78" s="1945"/>
      <c r="BQ78" s="1955"/>
      <c r="BR78" s="1943"/>
      <c r="BS78" s="1967"/>
      <c r="BT78" s="1956"/>
      <c r="BU78" s="1955">
        <v>44104</v>
      </c>
      <c r="BV78" s="1943" t="s">
        <v>7844</v>
      </c>
      <c r="BW78" s="1967">
        <v>3000</v>
      </c>
      <c r="BX78" s="1956" t="s">
        <v>674</v>
      </c>
      <c r="BY78" s="1955"/>
      <c r="BZ78" s="1943"/>
      <c r="CA78" s="1953"/>
      <c r="CB78" s="1956"/>
      <c r="CC78" s="1955">
        <v>44827</v>
      </c>
      <c r="CD78" s="1943" t="s">
        <v>7845</v>
      </c>
      <c r="CE78" s="1953">
        <v>27</v>
      </c>
      <c r="CF78" s="1956" t="s">
        <v>426</v>
      </c>
      <c r="CG78" s="1955"/>
      <c r="CH78" s="1943"/>
      <c r="CI78" s="1953"/>
      <c r="CJ78" s="1956"/>
      <c r="CK78" s="1955">
        <v>45564</v>
      </c>
      <c r="CL78" s="1943" t="s">
        <v>7846</v>
      </c>
      <c r="CM78" s="1953">
        <v>8</v>
      </c>
      <c r="CN78" s="1956" t="s">
        <v>278</v>
      </c>
    </row>
    <row r="79" spans="1:92" ht="12.75">
      <c r="A79" s="982">
        <v>37527</v>
      </c>
      <c r="B79" s="1943" t="s">
        <v>410</v>
      </c>
      <c r="C79" s="1944"/>
      <c r="D79" s="1945">
        <v>28</v>
      </c>
      <c r="E79" s="1955">
        <v>37892</v>
      </c>
      <c r="F79" s="1960" t="s">
        <v>960</v>
      </c>
      <c r="G79" s="1944">
        <v>19</v>
      </c>
      <c r="H79" s="1945"/>
      <c r="I79" s="1955"/>
      <c r="J79" s="1960"/>
      <c r="K79" s="1944"/>
      <c r="L79" s="1945"/>
      <c r="M79" s="1955">
        <v>38619</v>
      </c>
      <c r="N79" s="1960" t="s">
        <v>7847</v>
      </c>
      <c r="O79" s="1944">
        <v>9</v>
      </c>
      <c r="P79" s="1957"/>
      <c r="Q79" s="1955"/>
      <c r="R79" s="1943"/>
      <c r="S79" s="1944"/>
      <c r="T79" s="1945"/>
      <c r="U79" s="1955"/>
      <c r="V79" s="1943"/>
      <c r="W79" s="1944"/>
      <c r="X79" s="1945"/>
      <c r="Y79" s="1955"/>
      <c r="Z79" s="1943"/>
      <c r="AA79" s="1944"/>
      <c r="AB79" s="1945"/>
      <c r="AC79" s="1955"/>
      <c r="AD79" s="1943"/>
      <c r="AE79" s="1944"/>
      <c r="AF79" s="1945"/>
      <c r="AG79" s="1955"/>
      <c r="AH79" s="1943"/>
      <c r="AI79" s="1944"/>
      <c r="AJ79" s="1945"/>
      <c r="AK79" s="1955"/>
      <c r="AL79" s="1943"/>
      <c r="AM79" s="1944"/>
      <c r="AN79" s="1945"/>
      <c r="AO79" s="1955"/>
      <c r="AP79" s="1943"/>
      <c r="AQ79" s="1967"/>
      <c r="AR79" s="1945"/>
      <c r="AS79" s="1955"/>
      <c r="AT79" s="1943"/>
      <c r="AU79" s="1967"/>
      <c r="AV79" s="1945"/>
      <c r="AW79" s="1955"/>
      <c r="AX79" s="1943"/>
      <c r="AY79" s="1967"/>
      <c r="AZ79" s="1945"/>
      <c r="BA79" s="1955"/>
      <c r="BB79" s="1943"/>
      <c r="BC79" s="1944"/>
      <c r="BD79" s="1945"/>
      <c r="BE79" s="1955"/>
      <c r="BF79" s="1943"/>
      <c r="BG79" s="1944"/>
      <c r="BH79" s="1945"/>
      <c r="BI79" s="1955">
        <v>42999</v>
      </c>
      <c r="BJ79" s="1943" t="s">
        <v>7848</v>
      </c>
      <c r="BK79" s="1967">
        <v>28</v>
      </c>
      <c r="BL79" s="1945"/>
      <c r="BM79" s="1955">
        <v>43366</v>
      </c>
      <c r="BN79" s="1943" t="s">
        <v>872</v>
      </c>
      <c r="BO79" s="1967">
        <v>21</v>
      </c>
      <c r="BP79" s="1945"/>
      <c r="BQ79" s="1955"/>
      <c r="BR79" s="1943"/>
      <c r="BS79" s="1967"/>
      <c r="BT79" s="1956"/>
      <c r="BU79" s="1955">
        <v>44104</v>
      </c>
      <c r="BV79" s="1943" t="s">
        <v>7849</v>
      </c>
      <c r="BW79" s="1967">
        <v>5997</v>
      </c>
      <c r="BX79" s="1956" t="s">
        <v>674</v>
      </c>
      <c r="BY79" s="1955"/>
      <c r="BZ79" s="1943"/>
      <c r="CA79" s="1953"/>
      <c r="CB79" s="1956"/>
      <c r="CC79" s="1955">
        <v>44828</v>
      </c>
      <c r="CD79" s="1943" t="s">
        <v>772</v>
      </c>
      <c r="CE79" s="1953">
        <v>7</v>
      </c>
      <c r="CF79" s="1956" t="s">
        <v>414</v>
      </c>
      <c r="CG79" s="1955"/>
      <c r="CH79" s="1943"/>
      <c r="CI79" s="1953"/>
      <c r="CJ79" s="1956"/>
      <c r="CK79" s="1955">
        <v>45564</v>
      </c>
      <c r="CL79" s="1943" t="s">
        <v>7850</v>
      </c>
      <c r="CM79" s="1953">
        <v>17</v>
      </c>
      <c r="CN79" s="1956" t="s">
        <v>278</v>
      </c>
    </row>
    <row r="80" spans="1:92" ht="12.75">
      <c r="A80" s="982">
        <v>37527</v>
      </c>
      <c r="B80" s="1943" t="s">
        <v>7851</v>
      </c>
      <c r="C80" s="1944"/>
      <c r="D80" s="1945">
        <v>5</v>
      </c>
      <c r="E80" s="1955">
        <v>37893</v>
      </c>
      <c r="F80" s="1960" t="s">
        <v>7566</v>
      </c>
      <c r="G80" s="1944">
        <v>9</v>
      </c>
      <c r="H80" s="1945"/>
      <c r="I80" s="1955"/>
      <c r="J80" s="1960"/>
      <c r="K80" s="1944"/>
      <c r="L80" s="1945"/>
      <c r="M80" s="1955">
        <v>38622</v>
      </c>
      <c r="N80" s="1960" t="s">
        <v>867</v>
      </c>
      <c r="O80" s="1944">
        <v>17</v>
      </c>
      <c r="P80" s="1957"/>
      <c r="Q80" s="1955"/>
      <c r="R80" s="1943"/>
      <c r="S80" s="1944"/>
      <c r="T80" s="1945"/>
      <c r="U80" s="1955"/>
      <c r="V80" s="1943"/>
      <c r="W80" s="1944"/>
      <c r="X80" s="1945"/>
      <c r="Y80" s="1955"/>
      <c r="Z80" s="1943"/>
      <c r="AA80" s="1944"/>
      <c r="AB80" s="1945"/>
      <c r="AC80" s="1955"/>
      <c r="AD80" s="1943"/>
      <c r="AE80" s="1944"/>
      <c r="AF80" s="1945"/>
      <c r="AG80" s="1955"/>
      <c r="AH80" s="1943"/>
      <c r="AI80" s="1944"/>
      <c r="AJ80" s="1945"/>
      <c r="AK80" s="1955"/>
      <c r="AL80" s="1943"/>
      <c r="AM80" s="1944"/>
      <c r="AN80" s="1945"/>
      <c r="AO80" s="1955"/>
      <c r="AP80" s="1943"/>
      <c r="AQ80" s="1967"/>
      <c r="AR80" s="1945"/>
      <c r="AS80" s="1955"/>
      <c r="AT80" s="1943"/>
      <c r="AU80" s="1967"/>
      <c r="AV80" s="1945"/>
      <c r="AW80" s="1955"/>
      <c r="AX80" s="1943"/>
      <c r="AY80" s="1967"/>
      <c r="AZ80" s="1945"/>
      <c r="BA80" s="1955"/>
      <c r="BB80" s="1943"/>
      <c r="BC80" s="1944"/>
      <c r="BD80" s="1945"/>
      <c r="BE80" s="1955"/>
      <c r="BF80" s="1943"/>
      <c r="BG80" s="1944"/>
      <c r="BH80" s="1945"/>
      <c r="BI80" s="1955">
        <v>43001</v>
      </c>
      <c r="BJ80" s="1943" t="s">
        <v>7611</v>
      </c>
      <c r="BK80" s="1967">
        <v>15</v>
      </c>
      <c r="BL80" s="1945"/>
      <c r="BM80" s="1955">
        <v>43366</v>
      </c>
      <c r="BN80" s="1943" t="s">
        <v>1427</v>
      </c>
      <c r="BO80" s="1967">
        <v>9</v>
      </c>
      <c r="BP80" s="1945"/>
      <c r="BQ80" s="1955"/>
      <c r="BR80" s="1943"/>
      <c r="BS80" s="1967"/>
      <c r="BT80" s="1956"/>
      <c r="BU80" s="1955">
        <v>44104</v>
      </c>
      <c r="BV80" s="1943" t="s">
        <v>7852</v>
      </c>
      <c r="BW80" s="1967">
        <v>3600</v>
      </c>
      <c r="BX80" s="1956" t="s">
        <v>674</v>
      </c>
      <c r="BY80" s="1955"/>
      <c r="BZ80" s="1943"/>
      <c r="CA80" s="1953"/>
      <c r="CB80" s="1956"/>
      <c r="CC80" s="1955">
        <v>44828</v>
      </c>
      <c r="CD80" s="1943" t="s">
        <v>843</v>
      </c>
      <c r="CE80" s="1953">
        <v>60</v>
      </c>
      <c r="CF80" s="1956" t="s">
        <v>414</v>
      </c>
      <c r="CG80" s="1955"/>
      <c r="CH80" s="1943"/>
      <c r="CI80" s="1953"/>
      <c r="CJ80" s="1956"/>
      <c r="CK80" s="1955">
        <v>45564</v>
      </c>
      <c r="CL80" s="1943" t="s">
        <v>7853</v>
      </c>
      <c r="CM80" s="1953">
        <v>13</v>
      </c>
      <c r="CN80" s="1956" t="s">
        <v>278</v>
      </c>
    </row>
    <row r="81" spans="1:92" ht="12.75">
      <c r="A81" s="982">
        <v>37528</v>
      </c>
      <c r="B81" s="1943" t="s">
        <v>7854</v>
      </c>
      <c r="C81" s="1944">
        <v>14</v>
      </c>
      <c r="D81" s="1945"/>
      <c r="E81" s="1955">
        <v>37893</v>
      </c>
      <c r="F81" s="1960" t="s">
        <v>7855</v>
      </c>
      <c r="G81" s="1944">
        <v>0</v>
      </c>
      <c r="H81" s="1945"/>
      <c r="I81" s="1955"/>
      <c r="J81" s="1960"/>
      <c r="K81" s="1944"/>
      <c r="L81" s="1945"/>
      <c r="M81" s="1955">
        <v>38622</v>
      </c>
      <c r="N81" s="1960" t="s">
        <v>7856</v>
      </c>
      <c r="O81" s="1944">
        <v>7</v>
      </c>
      <c r="P81" s="1957"/>
      <c r="Q81" s="1955"/>
      <c r="R81" s="1943"/>
      <c r="S81" s="1944"/>
      <c r="T81" s="1945"/>
      <c r="U81" s="1955"/>
      <c r="V81" s="1943"/>
      <c r="W81" s="1944"/>
      <c r="X81" s="1945"/>
      <c r="Y81" s="1955"/>
      <c r="Z81" s="1943"/>
      <c r="AA81" s="1944"/>
      <c r="AB81" s="1945"/>
      <c r="AC81" s="1955"/>
      <c r="AD81" s="1943"/>
      <c r="AE81" s="1944"/>
      <c r="AF81" s="1945"/>
      <c r="AG81" s="1955"/>
      <c r="AH81" s="1943"/>
      <c r="AI81" s="1944"/>
      <c r="AJ81" s="1945"/>
      <c r="AK81" s="1955"/>
      <c r="AL81" s="1943"/>
      <c r="AM81" s="1944"/>
      <c r="AN81" s="1945"/>
      <c r="AO81" s="1955"/>
      <c r="AP81" s="1943"/>
      <c r="AQ81" s="1967"/>
      <c r="AR81" s="1945"/>
      <c r="AS81" s="1955"/>
      <c r="AT81" s="1943"/>
      <c r="AU81" s="1967"/>
      <c r="AV81" s="1945"/>
      <c r="AW81" s="1955"/>
      <c r="AX81" s="1943"/>
      <c r="AY81" s="1967"/>
      <c r="AZ81" s="1945"/>
      <c r="BA81" s="1955"/>
      <c r="BB81" s="1943"/>
      <c r="BC81" s="1944"/>
      <c r="BD81" s="1945"/>
      <c r="BE81" s="1955"/>
      <c r="BF81" s="1943"/>
      <c r="BG81" s="1944"/>
      <c r="BH81" s="1945"/>
      <c r="BI81" s="1955">
        <v>43001</v>
      </c>
      <c r="BJ81" s="1943" t="s">
        <v>823</v>
      </c>
      <c r="BK81" s="1967">
        <v>11</v>
      </c>
      <c r="BL81" s="1945"/>
      <c r="BM81" s="1955">
        <v>43366</v>
      </c>
      <c r="BN81" s="1943" t="s">
        <v>873</v>
      </c>
      <c r="BO81" s="1967">
        <v>21</v>
      </c>
      <c r="BP81" s="1945"/>
      <c r="BQ81" s="1955"/>
      <c r="BR81" s="1943"/>
      <c r="BS81" s="1967"/>
      <c r="BT81" s="1956"/>
      <c r="BU81" s="1955">
        <v>44104</v>
      </c>
      <c r="BV81" s="1943" t="s">
        <v>7857</v>
      </c>
      <c r="BW81" s="1967">
        <v>4430</v>
      </c>
      <c r="BX81" s="1956" t="s">
        <v>674</v>
      </c>
      <c r="BY81" s="1955"/>
      <c r="BZ81" s="1943"/>
      <c r="CA81" s="1953"/>
      <c r="CB81" s="1956"/>
      <c r="CC81" s="1955">
        <v>44828</v>
      </c>
      <c r="CD81" s="1943" t="s">
        <v>7858</v>
      </c>
      <c r="CE81" s="1953">
        <v>100</v>
      </c>
      <c r="CF81" s="1956" t="s">
        <v>410</v>
      </c>
      <c r="CG81" s="1955"/>
      <c r="CH81" s="1943"/>
      <c r="CI81" s="1953"/>
      <c r="CJ81" s="1956"/>
      <c r="CK81" s="1955">
        <v>45565</v>
      </c>
      <c r="CL81" s="1943" t="s">
        <v>1180</v>
      </c>
      <c r="CM81" s="1953">
        <v>115</v>
      </c>
      <c r="CN81" s="1956" t="s">
        <v>410</v>
      </c>
    </row>
    <row r="82" spans="1:92" ht="12.75">
      <c r="A82" s="982">
        <v>37528</v>
      </c>
      <c r="B82" s="1943" t="s">
        <v>410</v>
      </c>
      <c r="C82" s="1944">
        <v>22</v>
      </c>
      <c r="D82" s="1945"/>
      <c r="E82" s="1955">
        <v>37893</v>
      </c>
      <c r="F82" s="1960" t="s">
        <v>410</v>
      </c>
      <c r="G82" s="1944">
        <v>23</v>
      </c>
      <c r="H82" s="1945"/>
      <c r="I82" s="1955"/>
      <c r="J82" s="1960"/>
      <c r="K82" s="1944"/>
      <c r="L82" s="1945"/>
      <c r="M82" s="1955">
        <v>38622</v>
      </c>
      <c r="N82" s="1960" t="s">
        <v>2439</v>
      </c>
      <c r="O82" s="1944">
        <v>32</v>
      </c>
      <c r="P82" s="1957"/>
      <c r="Q82" s="1955"/>
      <c r="R82" s="1943"/>
      <c r="S82" s="1944"/>
      <c r="T82" s="1945"/>
      <c r="U82" s="1955"/>
      <c r="V82" s="1943"/>
      <c r="W82" s="1944"/>
      <c r="X82" s="1945"/>
      <c r="Y82" s="1955"/>
      <c r="Z82" s="1943"/>
      <c r="AA82" s="1944"/>
      <c r="AB82" s="1945"/>
      <c r="AC82" s="1955"/>
      <c r="AD82" s="1943"/>
      <c r="AE82" s="1944"/>
      <c r="AF82" s="1945"/>
      <c r="AG82" s="1955"/>
      <c r="AH82" s="1943"/>
      <c r="AI82" s="1944"/>
      <c r="AJ82" s="1945"/>
      <c r="AK82" s="1955"/>
      <c r="AL82" s="1943"/>
      <c r="AM82" s="1944"/>
      <c r="AN82" s="1945"/>
      <c r="AO82" s="1955"/>
      <c r="AP82" s="1943"/>
      <c r="AQ82" s="1967"/>
      <c r="AR82" s="1945"/>
      <c r="AS82" s="1955"/>
      <c r="AT82" s="1943"/>
      <c r="AU82" s="1967"/>
      <c r="AV82" s="1945"/>
      <c r="AW82" s="1955"/>
      <c r="AX82" s="1943"/>
      <c r="AY82" s="1944"/>
      <c r="AZ82" s="1945"/>
      <c r="BA82" s="1955"/>
      <c r="BB82" s="1943"/>
      <c r="BC82" s="1944"/>
      <c r="BD82" s="1945"/>
      <c r="BE82" s="1955"/>
      <c r="BF82" s="1943"/>
      <c r="BG82" s="1944"/>
      <c r="BH82" s="1945"/>
      <c r="BI82" s="1955">
        <v>43001</v>
      </c>
      <c r="BJ82" s="1943" t="s">
        <v>873</v>
      </c>
      <c r="BK82" s="1967">
        <v>18</v>
      </c>
      <c r="BL82" s="1945"/>
      <c r="BM82" s="1955">
        <v>43367</v>
      </c>
      <c r="BN82" s="1943" t="s">
        <v>7859</v>
      </c>
      <c r="BO82" s="1967">
        <v>19</v>
      </c>
      <c r="BP82" s="1945"/>
      <c r="BQ82" s="1955"/>
      <c r="BR82" s="1943"/>
      <c r="BS82" s="1967"/>
      <c r="BT82" s="1956"/>
      <c r="BU82" s="1955">
        <v>44104</v>
      </c>
      <c r="BV82" s="1943" t="s">
        <v>7860</v>
      </c>
      <c r="BW82" s="1967">
        <v>5920</v>
      </c>
      <c r="BX82" s="1956" t="s">
        <v>674</v>
      </c>
      <c r="BY82" s="1955"/>
      <c r="BZ82" s="1943"/>
      <c r="CA82" s="1953"/>
      <c r="CB82" s="1956"/>
      <c r="CC82" s="1955">
        <v>44829</v>
      </c>
      <c r="CD82" s="1943" t="s">
        <v>2462</v>
      </c>
      <c r="CE82" s="1953">
        <v>30</v>
      </c>
      <c r="CF82" s="1956" t="s">
        <v>280</v>
      </c>
      <c r="CG82" s="1955"/>
      <c r="CH82" s="1943"/>
      <c r="CI82" s="1953"/>
      <c r="CJ82" s="1956"/>
      <c r="CK82" s="1955">
        <v>45565</v>
      </c>
      <c r="CL82" s="1943" t="s">
        <v>7861</v>
      </c>
      <c r="CM82" s="1953">
        <v>15</v>
      </c>
      <c r="CN82" s="1956" t="s">
        <v>278</v>
      </c>
    </row>
    <row r="83" spans="1:92" ht="12.75">
      <c r="A83" s="982">
        <v>37528</v>
      </c>
      <c r="B83" s="1943" t="s">
        <v>7862</v>
      </c>
      <c r="C83" s="1944">
        <v>950</v>
      </c>
      <c r="D83" s="1945"/>
      <c r="E83" s="1955">
        <v>37893</v>
      </c>
      <c r="F83" s="1960" t="s">
        <v>6181</v>
      </c>
      <c r="G83" s="1944">
        <v>6</v>
      </c>
      <c r="H83" s="1945"/>
      <c r="I83" s="1955"/>
      <c r="J83" s="1960"/>
      <c r="K83" s="1944"/>
      <c r="L83" s="1945"/>
      <c r="M83" s="1955">
        <v>38623</v>
      </c>
      <c r="N83" s="1960" t="s">
        <v>7863</v>
      </c>
      <c r="O83" s="1944">
        <v>10</v>
      </c>
      <c r="P83" s="1957"/>
      <c r="Q83" s="1955"/>
      <c r="R83" s="1943"/>
      <c r="S83" s="1944"/>
      <c r="T83" s="1945"/>
      <c r="U83" s="1955"/>
      <c r="V83" s="1943"/>
      <c r="W83" s="1944"/>
      <c r="X83" s="1945"/>
      <c r="Y83" s="1955"/>
      <c r="Z83" s="1943"/>
      <c r="AA83" s="1944"/>
      <c r="AB83" s="1945"/>
      <c r="AC83" s="1955"/>
      <c r="AD83" s="1943"/>
      <c r="AE83" s="1944"/>
      <c r="AF83" s="1945"/>
      <c r="AG83" s="1955"/>
      <c r="AH83" s="1943"/>
      <c r="AI83" s="1944"/>
      <c r="AJ83" s="1945"/>
      <c r="AK83" s="1955"/>
      <c r="AL83" s="1943"/>
      <c r="AM83" s="1944"/>
      <c r="AN83" s="1945"/>
      <c r="AO83" s="1955"/>
      <c r="AP83" s="1943"/>
      <c r="AQ83" s="1967"/>
      <c r="AR83" s="1945"/>
      <c r="AS83" s="1955"/>
      <c r="AT83" s="1943"/>
      <c r="AU83" s="1967"/>
      <c r="AV83" s="1945"/>
      <c r="AW83" s="1955"/>
      <c r="AX83" s="1943"/>
      <c r="AY83" s="1944"/>
      <c r="AZ83" s="1945"/>
      <c r="BA83" s="1955"/>
      <c r="BB83" s="1943"/>
      <c r="BC83" s="1944"/>
      <c r="BD83" s="1945"/>
      <c r="BE83" s="1955"/>
      <c r="BF83" s="1943"/>
      <c r="BG83" s="1944"/>
      <c r="BH83" s="1945"/>
      <c r="BI83" s="1955">
        <v>43003</v>
      </c>
      <c r="BJ83" s="1943" t="s">
        <v>872</v>
      </c>
      <c r="BK83" s="1967">
        <v>26</v>
      </c>
      <c r="BL83" s="1945"/>
      <c r="BM83" s="1955">
        <v>43367</v>
      </c>
      <c r="BN83" s="1943" t="s">
        <v>7864</v>
      </c>
      <c r="BO83" s="1967">
        <v>11</v>
      </c>
      <c r="BP83" s="1945"/>
      <c r="BQ83" s="1955"/>
      <c r="BR83" s="1943"/>
      <c r="BS83" s="1967"/>
      <c r="BT83" s="1956"/>
      <c r="BU83" s="1955">
        <v>44104</v>
      </c>
      <c r="BV83" s="1943" t="s">
        <v>7865</v>
      </c>
      <c r="BW83" s="1967">
        <v>255</v>
      </c>
      <c r="BX83" s="1956" t="s">
        <v>701</v>
      </c>
      <c r="BY83" s="1955"/>
      <c r="BZ83" s="1943"/>
      <c r="CA83" s="1953"/>
      <c r="CB83" s="1956"/>
      <c r="CC83" s="1955">
        <v>44829</v>
      </c>
      <c r="CD83" s="1943" t="s">
        <v>7866</v>
      </c>
      <c r="CE83" s="1953">
        <v>61</v>
      </c>
      <c r="CF83" s="1956" t="s">
        <v>700</v>
      </c>
      <c r="CG83" s="1955"/>
      <c r="CH83" s="1943"/>
      <c r="CI83" s="1953"/>
      <c r="CJ83" s="1956"/>
      <c r="CK83" s="1955">
        <v>45565</v>
      </c>
      <c r="CL83" s="1943" t="s">
        <v>7867</v>
      </c>
      <c r="CM83" s="1953">
        <v>80</v>
      </c>
      <c r="CN83" s="1956" t="s">
        <v>414</v>
      </c>
    </row>
    <row r="84" spans="1:92" ht="12.75">
      <c r="A84" s="982">
        <v>37528</v>
      </c>
      <c r="B84" s="1943" t="s">
        <v>7868</v>
      </c>
      <c r="C84" s="1958">
        <v>54</v>
      </c>
      <c r="D84" s="1945"/>
      <c r="E84" s="1955">
        <v>37894</v>
      </c>
      <c r="F84" s="1960" t="s">
        <v>2240</v>
      </c>
      <c r="G84" s="1944">
        <v>11</v>
      </c>
      <c r="H84" s="1945"/>
      <c r="I84" s="1955"/>
      <c r="J84" s="1960"/>
      <c r="K84" s="1944"/>
      <c r="L84" s="1945"/>
      <c r="M84" s="1955">
        <v>38623</v>
      </c>
      <c r="N84" s="1960" t="s">
        <v>7869</v>
      </c>
      <c r="O84" s="1944">
        <v>13</v>
      </c>
      <c r="P84" s="1957"/>
      <c r="Q84" s="1955"/>
      <c r="R84" s="1943"/>
      <c r="S84" s="1944"/>
      <c r="T84" s="1945"/>
      <c r="U84" s="1955"/>
      <c r="V84" s="1943"/>
      <c r="W84" s="1944"/>
      <c r="X84" s="1945"/>
      <c r="Y84" s="1955"/>
      <c r="Z84" s="1943"/>
      <c r="AA84" s="1944"/>
      <c r="AB84" s="1945"/>
      <c r="AC84" s="1955"/>
      <c r="AD84" s="1943"/>
      <c r="AE84" s="1944"/>
      <c r="AF84" s="1945"/>
      <c r="AG84" s="1955"/>
      <c r="AH84" s="1943"/>
      <c r="AI84" s="1944"/>
      <c r="AJ84" s="1945"/>
      <c r="AK84" s="1955"/>
      <c r="AL84" s="1943"/>
      <c r="AM84" s="1944"/>
      <c r="AN84" s="1945"/>
      <c r="AO84" s="1955"/>
      <c r="AP84" s="1943"/>
      <c r="AQ84" s="1944"/>
      <c r="AR84" s="1945"/>
      <c r="AS84" s="1955"/>
      <c r="AT84" s="1943"/>
      <c r="AU84" s="1944"/>
      <c r="AV84" s="1945"/>
      <c r="AW84" s="1955"/>
      <c r="AX84" s="1943"/>
      <c r="AY84" s="1944"/>
      <c r="AZ84" s="1945"/>
      <c r="BA84" s="1955"/>
      <c r="BB84" s="1943"/>
      <c r="BC84" s="1944"/>
      <c r="BD84" s="1945"/>
      <c r="BE84" s="1955"/>
      <c r="BF84" s="1943"/>
      <c r="BG84" s="1944"/>
      <c r="BH84" s="1945"/>
      <c r="BI84" s="1955">
        <v>43003</v>
      </c>
      <c r="BJ84" s="1943" t="s">
        <v>1052</v>
      </c>
      <c r="BK84" s="1967">
        <v>22</v>
      </c>
      <c r="BL84" s="1945"/>
      <c r="BM84" s="1955">
        <v>43367</v>
      </c>
      <c r="BN84" s="1943" t="s">
        <v>1903</v>
      </c>
      <c r="BO84" s="1967">
        <v>134</v>
      </c>
      <c r="BP84" s="1945"/>
      <c r="BQ84" s="1955"/>
      <c r="BR84" s="1943"/>
      <c r="BS84" s="1967"/>
      <c r="BT84" s="1956"/>
      <c r="BU84" s="1955">
        <v>44104</v>
      </c>
      <c r="BV84" s="1943" t="s">
        <v>7870</v>
      </c>
      <c r="BW84" s="1967">
        <v>275</v>
      </c>
      <c r="BX84" s="1956" t="s">
        <v>674</v>
      </c>
      <c r="BY84" s="1955"/>
      <c r="BZ84" s="1943"/>
      <c r="CA84" s="1953">
        <v>0</v>
      </c>
      <c r="CB84" s="1956"/>
      <c r="CC84" s="1955">
        <v>44830</v>
      </c>
      <c r="CD84" s="1943" t="s">
        <v>772</v>
      </c>
      <c r="CE84" s="1953">
        <v>55</v>
      </c>
      <c r="CF84" s="1956" t="s">
        <v>414</v>
      </c>
      <c r="CG84" s="1955"/>
      <c r="CH84" s="1943"/>
      <c r="CI84" s="1953"/>
      <c r="CJ84" s="1956"/>
      <c r="CK84" s="1955"/>
      <c r="CL84" s="1943"/>
      <c r="CM84" s="1953"/>
      <c r="CN84" s="1956"/>
    </row>
    <row r="85" spans="1:92" ht="12.75">
      <c r="A85" s="985">
        <v>37529</v>
      </c>
      <c r="B85" s="1943" t="s">
        <v>1189</v>
      </c>
      <c r="C85" s="1944">
        <v>35</v>
      </c>
      <c r="D85" s="1945"/>
      <c r="E85" s="1955">
        <v>37894</v>
      </c>
      <c r="F85" s="1960" t="s">
        <v>7871</v>
      </c>
      <c r="G85" s="1944"/>
      <c r="H85" s="1945">
        <v>545</v>
      </c>
      <c r="I85" s="1955"/>
      <c r="J85" s="1960"/>
      <c r="K85" s="1944"/>
      <c r="L85" s="1945"/>
      <c r="M85" s="1955">
        <v>38623</v>
      </c>
      <c r="N85" s="1960" t="s">
        <v>7872</v>
      </c>
      <c r="O85" s="1944">
        <v>38</v>
      </c>
      <c r="P85" s="1957"/>
      <c r="Q85" s="1955"/>
      <c r="R85" s="1943"/>
      <c r="S85" s="1944"/>
      <c r="T85" s="1945"/>
      <c r="U85" s="1955"/>
      <c r="V85" s="1943"/>
      <c r="W85" s="1944"/>
      <c r="X85" s="1945"/>
      <c r="Y85" s="1955"/>
      <c r="Z85" s="1943"/>
      <c r="AA85" s="1944"/>
      <c r="AB85" s="1945"/>
      <c r="AC85" s="1955"/>
      <c r="AD85" s="1943"/>
      <c r="AE85" s="1944"/>
      <c r="AF85" s="1945"/>
      <c r="AG85" s="1955"/>
      <c r="AH85" s="1943"/>
      <c r="AI85" s="1944"/>
      <c r="AJ85" s="1945"/>
      <c r="AK85" s="1955"/>
      <c r="AL85" s="1943"/>
      <c r="AM85" s="1944"/>
      <c r="AN85" s="1945"/>
      <c r="AO85" s="1955"/>
      <c r="AP85" s="1943"/>
      <c r="AQ85" s="1944"/>
      <c r="AR85" s="1945"/>
      <c r="AS85" s="1955"/>
      <c r="AT85" s="1943"/>
      <c r="AU85" s="1944"/>
      <c r="AV85" s="1945"/>
      <c r="AW85" s="1955"/>
      <c r="AX85" s="1943"/>
      <c r="AY85" s="1944"/>
      <c r="AZ85" s="1945"/>
      <c r="BA85" s="1955"/>
      <c r="BB85" s="1943"/>
      <c r="BC85" s="1944"/>
      <c r="BD85" s="1945"/>
      <c r="BE85" s="1955"/>
      <c r="BF85" s="1943"/>
      <c r="BG85" s="1944"/>
      <c r="BH85" s="1945"/>
      <c r="BI85" s="1955">
        <v>43003</v>
      </c>
      <c r="BJ85" s="1943" t="s">
        <v>7873</v>
      </c>
      <c r="BK85" s="1967">
        <v>0</v>
      </c>
      <c r="BL85" s="1945"/>
      <c r="BM85" s="1955">
        <v>43369</v>
      </c>
      <c r="BN85" s="1943" t="s">
        <v>859</v>
      </c>
      <c r="BO85" s="1967">
        <v>16</v>
      </c>
      <c r="BP85" s="1945"/>
      <c r="BQ85" s="1955"/>
      <c r="BR85" s="1943"/>
      <c r="BS85" s="1967"/>
      <c r="BT85" s="1956"/>
      <c r="BU85" s="1955">
        <v>44104</v>
      </c>
      <c r="BV85" s="1943" t="s">
        <v>7874</v>
      </c>
      <c r="BW85" s="1967">
        <v>240</v>
      </c>
      <c r="BX85" s="1956" t="s">
        <v>284</v>
      </c>
      <c r="BY85" s="1955"/>
      <c r="BZ85" s="1943"/>
      <c r="CA85" s="1953">
        <v>0</v>
      </c>
      <c r="CB85" s="1956"/>
      <c r="CC85" s="1955">
        <v>44830</v>
      </c>
      <c r="CD85" s="1943" t="s">
        <v>872</v>
      </c>
      <c r="CE85" s="1953">
        <v>29</v>
      </c>
      <c r="CF85" s="1956" t="s">
        <v>414</v>
      </c>
      <c r="CG85" s="1955"/>
      <c r="CH85" s="1943"/>
      <c r="CI85" s="1953"/>
      <c r="CJ85" s="1956"/>
      <c r="CK85" s="1955"/>
      <c r="CL85" s="1943"/>
      <c r="CM85" s="1953"/>
      <c r="CN85" s="1956"/>
    </row>
    <row r="86" spans="1:92" ht="12.75">
      <c r="A86" s="985">
        <v>37529</v>
      </c>
      <c r="B86" s="1943" t="s">
        <v>915</v>
      </c>
      <c r="C86" s="1944">
        <v>33</v>
      </c>
      <c r="D86" s="1945"/>
      <c r="E86" s="1955">
        <v>37894</v>
      </c>
      <c r="F86" s="1960" t="s">
        <v>7875</v>
      </c>
      <c r="G86" s="1944">
        <v>7</v>
      </c>
      <c r="H86" s="1945"/>
      <c r="I86" s="1955"/>
      <c r="J86" s="1960"/>
      <c r="K86" s="1944"/>
      <c r="L86" s="1945"/>
      <c r="M86" s="1955">
        <v>38625</v>
      </c>
      <c r="N86" s="1960" t="s">
        <v>7876</v>
      </c>
      <c r="O86" s="1944">
        <v>7</v>
      </c>
      <c r="P86" s="1957"/>
      <c r="Q86" s="1955"/>
      <c r="R86" s="1943"/>
      <c r="S86" s="1944"/>
      <c r="T86" s="1945"/>
      <c r="U86" s="1955"/>
      <c r="V86" s="1943"/>
      <c r="W86" s="1944"/>
      <c r="X86" s="1945"/>
      <c r="Y86" s="1955"/>
      <c r="Z86" s="1943"/>
      <c r="AA86" s="1944"/>
      <c r="AB86" s="1945"/>
      <c r="AC86" s="1955"/>
      <c r="AD86" s="1943"/>
      <c r="AE86" s="1944"/>
      <c r="AF86" s="1945"/>
      <c r="AG86" s="1955"/>
      <c r="AH86" s="1943"/>
      <c r="AI86" s="1944"/>
      <c r="AJ86" s="1945"/>
      <c r="AK86" s="1955"/>
      <c r="AL86" s="1943"/>
      <c r="AM86" s="1944"/>
      <c r="AN86" s="1945"/>
      <c r="AO86" s="1955"/>
      <c r="AP86" s="1943"/>
      <c r="AQ86" s="1944"/>
      <c r="AR86" s="1945"/>
      <c r="AS86" s="1955"/>
      <c r="AT86" s="1943"/>
      <c r="AU86" s="1944"/>
      <c r="AV86" s="1945"/>
      <c r="AW86" s="1955"/>
      <c r="AX86" s="1943"/>
      <c r="AY86" s="1944"/>
      <c r="AZ86" s="1945"/>
      <c r="BA86" s="1955"/>
      <c r="BB86" s="1943"/>
      <c r="BC86" s="1944"/>
      <c r="BD86" s="1945"/>
      <c r="BE86" s="1955"/>
      <c r="BF86" s="1943"/>
      <c r="BG86" s="1944"/>
      <c r="BH86" s="1945"/>
      <c r="BI86" s="1955">
        <v>43003</v>
      </c>
      <c r="BJ86" s="1943" t="s">
        <v>7877</v>
      </c>
      <c r="BK86" s="1967">
        <v>17</v>
      </c>
      <c r="BL86" s="1945"/>
      <c r="BM86" s="1955">
        <v>43370</v>
      </c>
      <c r="BN86" s="1943" t="s">
        <v>7878</v>
      </c>
      <c r="BO86" s="1967">
        <v>30</v>
      </c>
      <c r="BP86" s="1945"/>
      <c r="BQ86" s="1955"/>
      <c r="BR86" s="1943"/>
      <c r="BS86" s="1967"/>
      <c r="BT86" s="1956"/>
      <c r="BU86" s="1955">
        <v>44104</v>
      </c>
      <c r="BV86" s="1943" t="s">
        <v>7879</v>
      </c>
      <c r="BW86" s="1967">
        <v>765</v>
      </c>
      <c r="BX86" s="1956" t="s">
        <v>674</v>
      </c>
      <c r="BY86" s="1955"/>
      <c r="BZ86" s="1943"/>
      <c r="CA86" s="1953">
        <v>0</v>
      </c>
      <c r="CB86" s="1956"/>
      <c r="CC86" s="1955">
        <v>44830</v>
      </c>
      <c r="CD86" s="1943" t="s">
        <v>1713</v>
      </c>
      <c r="CE86" s="1953">
        <v>9</v>
      </c>
      <c r="CF86" s="1956" t="s">
        <v>414</v>
      </c>
      <c r="CG86" s="1955"/>
      <c r="CH86" s="1943"/>
      <c r="CI86" s="1953"/>
      <c r="CJ86" s="1956"/>
      <c r="CK86" s="1955"/>
      <c r="CL86" s="1943"/>
      <c r="CM86" s="1953"/>
      <c r="CN86" s="1956"/>
    </row>
    <row r="87" spans="1:92" ht="12.75">
      <c r="A87" s="985">
        <v>37529</v>
      </c>
      <c r="B87" s="1960" t="s">
        <v>1557</v>
      </c>
      <c r="C87" s="1944">
        <v>22</v>
      </c>
      <c r="D87" s="1945"/>
      <c r="E87" s="1955"/>
      <c r="F87" s="1960"/>
      <c r="G87" s="1944"/>
      <c r="H87" s="1945"/>
      <c r="I87" s="1955"/>
      <c r="J87" s="1960"/>
      <c r="K87" s="1944"/>
      <c r="L87" s="1945"/>
      <c r="M87" s="1955">
        <v>38625</v>
      </c>
      <c r="N87" s="1960" t="s">
        <v>7880</v>
      </c>
      <c r="O87" s="1944">
        <v>8</v>
      </c>
      <c r="P87" s="1957"/>
      <c r="Q87" s="1955"/>
      <c r="R87" s="1943"/>
      <c r="S87" s="1944"/>
      <c r="T87" s="1945"/>
      <c r="U87" s="1955"/>
      <c r="V87" s="1943"/>
      <c r="W87" s="1944"/>
      <c r="X87" s="1945"/>
      <c r="Y87" s="1955"/>
      <c r="Z87" s="1943"/>
      <c r="AA87" s="1944"/>
      <c r="AB87" s="1945"/>
      <c r="AC87" s="1955"/>
      <c r="AD87" s="1943"/>
      <c r="AE87" s="1944"/>
      <c r="AF87" s="1945"/>
      <c r="AG87" s="1955"/>
      <c r="AH87" s="1943"/>
      <c r="AI87" s="1944"/>
      <c r="AJ87" s="1945"/>
      <c r="AK87" s="1955"/>
      <c r="AL87" s="1943"/>
      <c r="AM87" s="1944"/>
      <c r="AN87" s="1945"/>
      <c r="AO87" s="1955"/>
      <c r="AP87" s="1943"/>
      <c r="AQ87" s="1944"/>
      <c r="AR87" s="1945"/>
      <c r="AS87" s="1955"/>
      <c r="AT87" s="1943"/>
      <c r="AU87" s="1944"/>
      <c r="AV87" s="1945"/>
      <c r="AW87" s="1955"/>
      <c r="AX87" s="1943"/>
      <c r="AY87" s="1944"/>
      <c r="AZ87" s="1945"/>
      <c r="BA87" s="1955"/>
      <c r="BB87" s="1943"/>
      <c r="BC87" s="1944"/>
      <c r="BD87" s="1945"/>
      <c r="BE87" s="1955"/>
      <c r="BF87" s="1943"/>
      <c r="BG87" s="1944"/>
      <c r="BH87" s="1945"/>
      <c r="BI87" s="1955">
        <v>43003</v>
      </c>
      <c r="BJ87" s="1943" t="s">
        <v>7881</v>
      </c>
      <c r="BK87" s="1967">
        <v>9</v>
      </c>
      <c r="BL87" s="1945"/>
      <c r="BM87" s="1955">
        <v>43370</v>
      </c>
      <c r="BN87" s="1943" t="s">
        <v>7882</v>
      </c>
      <c r="BO87" s="1967">
        <v>20</v>
      </c>
      <c r="BP87" s="1945"/>
      <c r="BQ87" s="1955"/>
      <c r="BR87" s="1943"/>
      <c r="BS87" s="1967"/>
      <c r="BT87" s="1956"/>
      <c r="BU87" s="1955">
        <v>44104</v>
      </c>
      <c r="BV87" s="1943" t="s">
        <v>7883</v>
      </c>
      <c r="BW87" s="1967">
        <v>6600</v>
      </c>
      <c r="BX87" s="1956" t="s">
        <v>674</v>
      </c>
      <c r="BY87" s="1955"/>
      <c r="BZ87" s="1943"/>
      <c r="CA87" s="1953">
        <v>0</v>
      </c>
      <c r="CB87" s="1956"/>
      <c r="CC87" s="1955">
        <v>44834</v>
      </c>
      <c r="CD87" s="1943" t="s">
        <v>845</v>
      </c>
      <c r="CE87" s="1953">
        <v>22</v>
      </c>
      <c r="CF87" s="1956" t="s">
        <v>414</v>
      </c>
      <c r="CG87" s="1955"/>
      <c r="CH87" s="1943"/>
      <c r="CI87" s="1953"/>
      <c r="CJ87" s="1956"/>
      <c r="CK87" s="1955"/>
      <c r="CL87" s="1943"/>
      <c r="CM87" s="1953"/>
      <c r="CN87" s="1956"/>
    </row>
    <row r="88" spans="1:92" ht="12.75">
      <c r="A88" s="985"/>
      <c r="B88" s="1971"/>
      <c r="C88" s="1981"/>
      <c r="D88" s="1945"/>
      <c r="E88" s="1955"/>
      <c r="F88" s="1960"/>
      <c r="G88" s="1944"/>
      <c r="H88" s="1945"/>
      <c r="I88" s="1955"/>
      <c r="J88" s="1960"/>
      <c r="K88" s="1944"/>
      <c r="L88" s="1945"/>
      <c r="M88" s="1955">
        <v>38625</v>
      </c>
      <c r="N88" s="1960" t="s">
        <v>797</v>
      </c>
      <c r="O88" s="1944">
        <v>46</v>
      </c>
      <c r="P88" s="1957"/>
      <c r="Q88" s="1955"/>
      <c r="R88" s="1943"/>
      <c r="S88" s="1944"/>
      <c r="T88" s="1945"/>
      <c r="U88" s="1955"/>
      <c r="V88" s="1943"/>
      <c r="W88" s="1944"/>
      <c r="X88" s="1945"/>
      <c r="Y88" s="1955"/>
      <c r="Z88" s="1943"/>
      <c r="AA88" s="1944"/>
      <c r="AB88" s="1945"/>
      <c r="AC88" s="1955"/>
      <c r="AD88" s="1943"/>
      <c r="AE88" s="1944"/>
      <c r="AF88" s="1945"/>
      <c r="AG88" s="1955"/>
      <c r="AH88" s="1943"/>
      <c r="AI88" s="1944"/>
      <c r="AJ88" s="1945"/>
      <c r="AK88" s="1955"/>
      <c r="AL88" s="1943"/>
      <c r="AM88" s="1944"/>
      <c r="AN88" s="1945"/>
      <c r="AO88" s="1955"/>
      <c r="AP88" s="1943"/>
      <c r="AQ88" s="1944"/>
      <c r="AR88" s="1945"/>
      <c r="AS88" s="1955"/>
      <c r="AT88" s="1943"/>
      <c r="AU88" s="1944"/>
      <c r="AV88" s="1945"/>
      <c r="AW88" s="1955"/>
      <c r="AX88" s="1943"/>
      <c r="AY88" s="1944"/>
      <c r="AZ88" s="1945"/>
      <c r="BA88" s="1955"/>
      <c r="BB88" s="1943"/>
      <c r="BC88" s="1944"/>
      <c r="BD88" s="1945"/>
      <c r="BE88" s="1955"/>
      <c r="BF88" s="1943"/>
      <c r="BG88" s="1944"/>
      <c r="BH88" s="1945"/>
      <c r="BI88" s="1955">
        <v>43007</v>
      </c>
      <c r="BJ88" s="1943" t="s">
        <v>7884</v>
      </c>
      <c r="BK88" s="1967">
        <v>71</v>
      </c>
      <c r="BL88" s="1945"/>
      <c r="BM88" s="1955">
        <v>43370</v>
      </c>
      <c r="BN88" s="1943" t="s">
        <v>7885</v>
      </c>
      <c r="BO88" s="1967">
        <v>15</v>
      </c>
      <c r="BP88" s="1945"/>
      <c r="BQ88" s="1955"/>
      <c r="BR88" s="1943"/>
      <c r="BS88" s="1967"/>
      <c r="BT88" s="1956"/>
      <c r="BU88" s="1955">
        <v>44104</v>
      </c>
      <c r="BV88" s="1943" t="s">
        <v>7886</v>
      </c>
      <c r="BW88" s="1967">
        <v>1875</v>
      </c>
      <c r="BX88" s="1956" t="s">
        <v>674</v>
      </c>
      <c r="BY88" s="1955"/>
      <c r="BZ88" s="1943"/>
      <c r="CA88" s="1953">
        <v>0</v>
      </c>
      <c r="CB88" s="1956"/>
      <c r="CC88" s="1955"/>
      <c r="CD88" s="1943"/>
      <c r="CE88" s="1953"/>
      <c r="CF88" s="1956"/>
      <c r="CG88" s="1955"/>
      <c r="CH88" s="1943"/>
      <c r="CI88" s="1953"/>
      <c r="CJ88" s="1956"/>
      <c r="CK88" s="1955"/>
      <c r="CL88" s="1943"/>
      <c r="CM88" s="1953"/>
      <c r="CN88" s="1956"/>
    </row>
    <row r="89" spans="1:92" ht="12.75">
      <c r="A89" s="986" t="s">
        <v>477</v>
      </c>
      <c r="B89" s="1982"/>
      <c r="C89" s="1983">
        <f>SUM(C4:C87)</f>
        <v>4379</v>
      </c>
      <c r="D89" s="1983">
        <f>SUM(D4:D84)</f>
        <v>2888</v>
      </c>
      <c r="E89" s="1984" t="s">
        <v>477</v>
      </c>
      <c r="F89" s="1982"/>
      <c r="G89" s="1983">
        <f>SUM(G4:G88)</f>
        <v>4969</v>
      </c>
      <c r="H89" s="1983">
        <f>SUM(H4:H88)</f>
        <v>1857</v>
      </c>
      <c r="I89" s="1984" t="s">
        <v>477</v>
      </c>
      <c r="J89" s="1982"/>
      <c r="K89" s="1983">
        <f>SUM(K4:K88)</f>
        <v>3924</v>
      </c>
      <c r="L89" s="1983">
        <f>SUM(L4:L88)</f>
        <v>525</v>
      </c>
      <c r="M89" s="1984" t="s">
        <v>477</v>
      </c>
      <c r="N89" s="1982"/>
      <c r="O89" s="1983">
        <f>SUM(O4:O88)</f>
        <v>2125</v>
      </c>
      <c r="P89" s="1985">
        <f>SUM(P4:P88)</f>
        <v>1052</v>
      </c>
      <c r="Q89" s="1984" t="s">
        <v>477</v>
      </c>
      <c r="R89" s="1982"/>
      <c r="S89" s="1983">
        <f>SUM(S4:S88)</f>
        <v>3050</v>
      </c>
      <c r="T89" s="1983">
        <f>SUM(T4:T88)</f>
        <v>0</v>
      </c>
      <c r="U89" s="1984" t="s">
        <v>477</v>
      </c>
      <c r="V89" s="1982"/>
      <c r="W89" s="1983">
        <f>SUM(W4:W88)</f>
        <v>3961</v>
      </c>
      <c r="X89" s="1983">
        <f>SUM(X4:X88)</f>
        <v>0</v>
      </c>
      <c r="Y89" s="1984" t="s">
        <v>477</v>
      </c>
      <c r="Z89" s="1982"/>
      <c r="AA89" s="1983">
        <f>SUM(AA4:AA88)</f>
        <v>2711</v>
      </c>
      <c r="AB89" s="1983">
        <f>SUM(AB4:AB88)</f>
        <v>0</v>
      </c>
      <c r="AC89" s="1984" t="s">
        <v>477</v>
      </c>
      <c r="AD89" s="1982"/>
      <c r="AE89" s="1983">
        <f>SUM(AE4:AE88)</f>
        <v>1958</v>
      </c>
      <c r="AF89" s="1983">
        <f>SUM(AF4:AF88)</f>
        <v>0</v>
      </c>
      <c r="AG89" s="1984" t="s">
        <v>477</v>
      </c>
      <c r="AH89" s="1982"/>
      <c r="AI89" s="1983">
        <f>SUM(AI4:AI88)</f>
        <v>1942</v>
      </c>
      <c r="AJ89" s="1983">
        <f>SUM(AJ4:AJ88)</f>
        <v>0</v>
      </c>
      <c r="AK89" s="1984" t="s">
        <v>477</v>
      </c>
      <c r="AL89" s="1982"/>
      <c r="AM89" s="1983">
        <f>SUM(AM4:AM88)</f>
        <v>2324</v>
      </c>
      <c r="AN89" s="1983">
        <f>SUM(AN4:AN88)</f>
        <v>0</v>
      </c>
      <c r="AO89" s="1984" t="s">
        <v>477</v>
      </c>
      <c r="AP89" s="1982"/>
      <c r="AQ89" s="1983">
        <f>SUM(AQ4:AQ88)</f>
        <v>3138</v>
      </c>
      <c r="AR89" s="1983">
        <f>SUM(AR4:AR88)</f>
        <v>0</v>
      </c>
      <c r="AS89" s="1984" t="s">
        <v>477</v>
      </c>
      <c r="AT89" s="1982"/>
      <c r="AU89" s="1983">
        <f>SUM(AU4:AU88)</f>
        <v>1326</v>
      </c>
      <c r="AV89" s="1983">
        <f>SUM(AV4:AV88)</f>
        <v>0</v>
      </c>
      <c r="AW89" s="1984" t="s">
        <v>477</v>
      </c>
      <c r="AX89" s="1982"/>
      <c r="AY89" s="1983">
        <f>SUM(AY4:AY88)</f>
        <v>2744</v>
      </c>
      <c r="AZ89" s="1983">
        <f>SUM(AZ4:AZ88)</f>
        <v>0</v>
      </c>
      <c r="BA89" s="1984" t="s">
        <v>477</v>
      </c>
      <c r="BB89" s="1982"/>
      <c r="BC89" s="1983">
        <f>SUM(BC4:BC88)</f>
        <v>10112</v>
      </c>
      <c r="BD89" s="1983">
        <f>SUM(BD4:BD88)</f>
        <v>0</v>
      </c>
      <c r="BE89" s="1984" t="s">
        <v>477</v>
      </c>
      <c r="BF89" s="1982"/>
      <c r="BG89" s="1983">
        <f>SUM(BG4:BG88)</f>
        <v>2000</v>
      </c>
      <c r="BH89" s="1983">
        <f>SUM(BH4:BH88)</f>
        <v>0</v>
      </c>
      <c r="BI89" s="1955">
        <v>43007</v>
      </c>
      <c r="BJ89" s="1943" t="s">
        <v>823</v>
      </c>
      <c r="BK89" s="1967">
        <v>27</v>
      </c>
      <c r="BL89" s="1945"/>
      <c r="BM89" s="1955">
        <v>43371</v>
      </c>
      <c r="BN89" s="1943" t="s">
        <v>7838</v>
      </c>
      <c r="BO89" s="1967">
        <v>27</v>
      </c>
      <c r="BP89" s="1945"/>
      <c r="BQ89" s="1955"/>
      <c r="BR89" s="1943"/>
      <c r="BS89" s="1967"/>
      <c r="BT89" s="1956"/>
      <c r="BU89" s="1955">
        <v>44104</v>
      </c>
      <c r="BV89" s="1943" t="s">
        <v>7887</v>
      </c>
      <c r="BW89" s="1967">
        <v>785</v>
      </c>
      <c r="BX89" s="1956" t="s">
        <v>674</v>
      </c>
      <c r="BY89" s="1955"/>
      <c r="BZ89" s="1943"/>
      <c r="CA89" s="1953">
        <v>0</v>
      </c>
      <c r="CB89" s="1956"/>
      <c r="CC89" s="1955"/>
      <c r="CD89" s="1943"/>
      <c r="CE89" s="1953"/>
      <c r="CF89" s="1956"/>
      <c r="CG89" s="1955"/>
      <c r="CH89" s="1943"/>
      <c r="CI89" s="1953"/>
      <c r="CJ89" s="1956"/>
      <c r="CK89" s="1955"/>
      <c r="CL89" s="1943"/>
      <c r="CM89" s="1953"/>
      <c r="CN89" s="1956"/>
    </row>
    <row r="90" spans="1:92" ht="12.75">
      <c r="A90" s="987" t="s">
        <v>1672</v>
      </c>
      <c r="B90" s="1986"/>
      <c r="C90" s="1987"/>
      <c r="D90" s="1988"/>
      <c r="E90" s="1989" t="s">
        <v>1672</v>
      </c>
      <c r="F90" s="1986"/>
      <c r="G90" s="1987"/>
      <c r="H90" s="1988"/>
      <c r="I90" s="1989" t="s">
        <v>1672</v>
      </c>
      <c r="J90" s="1986"/>
      <c r="K90" s="1987"/>
      <c r="L90" s="1988"/>
      <c r="M90" s="1989" t="s">
        <v>1672</v>
      </c>
      <c r="N90" s="1986"/>
      <c r="O90" s="1987"/>
      <c r="P90" s="1990"/>
      <c r="Q90" s="1989" t="s">
        <v>1672</v>
      </c>
      <c r="R90" s="1986"/>
      <c r="S90" s="1987"/>
      <c r="T90" s="1988"/>
      <c r="U90" s="1989" t="s">
        <v>1672</v>
      </c>
      <c r="V90" s="1986"/>
      <c r="W90" s="1987"/>
      <c r="X90" s="1988"/>
      <c r="Y90" s="1989" t="s">
        <v>1672</v>
      </c>
      <c r="Z90" s="1986"/>
      <c r="AA90" s="1987"/>
      <c r="AB90" s="1988"/>
      <c r="AC90" s="1989" t="s">
        <v>1672</v>
      </c>
      <c r="AD90" s="1986"/>
      <c r="AE90" s="1987"/>
      <c r="AF90" s="1988"/>
      <c r="AG90" s="1989" t="s">
        <v>1672</v>
      </c>
      <c r="AH90" s="1986"/>
      <c r="AI90" s="1987"/>
      <c r="AJ90" s="1988"/>
      <c r="AK90" s="1989" t="s">
        <v>1672</v>
      </c>
      <c r="AL90" s="1986"/>
      <c r="AM90" s="1987"/>
      <c r="AN90" s="1988"/>
      <c r="AO90" s="1989" t="s">
        <v>1672</v>
      </c>
      <c r="AP90" s="1986"/>
      <c r="AQ90" s="1987"/>
      <c r="AR90" s="1988"/>
      <c r="AS90" s="1989" t="s">
        <v>1672</v>
      </c>
      <c r="AT90" s="1986"/>
      <c r="AU90" s="1987"/>
      <c r="AV90" s="1988"/>
      <c r="AW90" s="1989" t="s">
        <v>1672</v>
      </c>
      <c r="AX90" s="1986"/>
      <c r="AY90" s="1987"/>
      <c r="AZ90" s="1988"/>
      <c r="BA90" s="1989" t="s">
        <v>1672</v>
      </c>
      <c r="BB90" s="1986"/>
      <c r="BC90" s="1987"/>
      <c r="BD90" s="1988"/>
      <c r="BE90" s="1989" t="s">
        <v>1672</v>
      </c>
      <c r="BF90" s="1986"/>
      <c r="BG90" s="1987"/>
      <c r="BH90" s="1988"/>
      <c r="BI90" s="1955">
        <v>43007</v>
      </c>
      <c r="BJ90" s="1943" t="s">
        <v>7611</v>
      </c>
      <c r="BK90" s="1967">
        <v>5</v>
      </c>
      <c r="BL90" s="1945"/>
      <c r="BM90" s="1955">
        <v>43371</v>
      </c>
      <c r="BN90" s="1943" t="s">
        <v>3535</v>
      </c>
      <c r="BO90" s="1967">
        <v>1</v>
      </c>
      <c r="BP90" s="1945"/>
      <c r="BQ90" s="1955"/>
      <c r="BR90" s="1943"/>
      <c r="BS90" s="1967"/>
      <c r="BT90" s="1956"/>
      <c r="BU90" s="1955">
        <v>44104</v>
      </c>
      <c r="BV90" s="1943" t="s">
        <v>7888</v>
      </c>
      <c r="BW90" s="1967">
        <v>4079</v>
      </c>
      <c r="BX90" s="1956" t="s">
        <v>674</v>
      </c>
      <c r="BY90" s="1955"/>
      <c r="BZ90" s="1943"/>
      <c r="CA90" s="1953">
        <v>0</v>
      </c>
      <c r="CB90" s="1956"/>
      <c r="CC90" s="1955"/>
      <c r="CD90" s="1943"/>
      <c r="CE90" s="1953"/>
      <c r="CF90" s="1956"/>
      <c r="CG90" s="1955"/>
      <c r="CH90" s="1943"/>
      <c r="CI90" s="1953"/>
      <c r="CJ90" s="1956"/>
      <c r="CK90" s="1955"/>
      <c r="CL90" s="1943"/>
      <c r="CM90" s="1953"/>
      <c r="CN90" s="1956"/>
    </row>
    <row r="91" spans="1:92" ht="12.75">
      <c r="A91" s="988" t="s">
        <v>138</v>
      </c>
      <c r="B91" s="1991"/>
      <c r="C91" s="1992">
        <f>SUM(C89,D89)</f>
        <v>7267</v>
      </c>
      <c r="D91" s="1993"/>
      <c r="E91" s="1994" t="s">
        <v>138</v>
      </c>
      <c r="F91" s="1991"/>
      <c r="G91" s="1995">
        <f>SUM(G89,H89)</f>
        <v>6826</v>
      </c>
      <c r="H91" s="1993"/>
      <c r="I91" s="1994" t="s">
        <v>138</v>
      </c>
      <c r="J91" s="1991"/>
      <c r="K91" s="1995">
        <f>SUM(K89,L89)</f>
        <v>4449</v>
      </c>
      <c r="L91" s="1993"/>
      <c r="M91" s="1994" t="s">
        <v>138</v>
      </c>
      <c r="N91" s="1991"/>
      <c r="O91" s="1995">
        <f>SUM(O89,P89)</f>
        <v>3177</v>
      </c>
      <c r="P91" s="1996"/>
      <c r="Q91" s="1994" t="s">
        <v>138</v>
      </c>
      <c r="R91" s="1991"/>
      <c r="S91" s="1995">
        <f>SUM(S89,T89)</f>
        <v>3050</v>
      </c>
      <c r="T91" s="1993"/>
      <c r="U91" s="1994" t="s">
        <v>138</v>
      </c>
      <c r="V91" s="1991"/>
      <c r="W91" s="1995">
        <f>SUM(W89,X89)</f>
        <v>3961</v>
      </c>
      <c r="X91" s="1993"/>
      <c r="Y91" s="1994" t="s">
        <v>138</v>
      </c>
      <c r="Z91" s="1991"/>
      <c r="AA91" s="1995">
        <f>SUM(AA89,AB89)</f>
        <v>2711</v>
      </c>
      <c r="AB91" s="1993"/>
      <c r="AC91" s="1994" t="s">
        <v>138</v>
      </c>
      <c r="AD91" s="1991"/>
      <c r="AE91" s="1995">
        <f>SUM(AE89,AF89)</f>
        <v>1958</v>
      </c>
      <c r="AF91" s="1993"/>
      <c r="AG91" s="1994" t="s">
        <v>138</v>
      </c>
      <c r="AH91" s="1991"/>
      <c r="AI91" s="1995">
        <f>SUM(AI89,AJ89)</f>
        <v>1942</v>
      </c>
      <c r="AJ91" s="1993"/>
      <c r="AK91" s="1994" t="s">
        <v>138</v>
      </c>
      <c r="AL91" s="1991"/>
      <c r="AM91" s="1995">
        <f>SUM(AM89,AN89)</f>
        <v>2324</v>
      </c>
      <c r="AN91" s="1993"/>
      <c r="AO91" s="1994" t="s">
        <v>138</v>
      </c>
      <c r="AP91" s="1991"/>
      <c r="AQ91" s="1995">
        <f>SUM(AQ89,AR89)</f>
        <v>3138</v>
      </c>
      <c r="AR91" s="1993"/>
      <c r="AS91" s="1994" t="s">
        <v>138</v>
      </c>
      <c r="AT91" s="1991"/>
      <c r="AU91" s="1995">
        <f>SUM(AU89,AV89)</f>
        <v>1326</v>
      </c>
      <c r="AV91" s="1993"/>
      <c r="AW91" s="1994" t="s">
        <v>138</v>
      </c>
      <c r="AX91" s="1991"/>
      <c r="AY91" s="1995">
        <f>SUM(AY89,AZ89)</f>
        <v>2744</v>
      </c>
      <c r="AZ91" s="1993"/>
      <c r="BA91" s="1994" t="s">
        <v>138</v>
      </c>
      <c r="BB91" s="1991"/>
      <c r="BC91" s="1995">
        <f>SUM(BC89,BD89)</f>
        <v>10112</v>
      </c>
      <c r="BD91" s="1993"/>
      <c r="BE91" s="1994" t="s">
        <v>138</v>
      </c>
      <c r="BF91" s="1991"/>
      <c r="BG91" s="1995">
        <f>SUM(BG89,BH89)</f>
        <v>2000</v>
      </c>
      <c r="BH91" s="1993"/>
      <c r="BI91" s="1955">
        <v>43008</v>
      </c>
      <c r="BJ91" s="1943" t="s">
        <v>772</v>
      </c>
      <c r="BK91" s="1967">
        <v>32</v>
      </c>
      <c r="BL91" s="1945"/>
      <c r="BM91" s="1955">
        <v>43371</v>
      </c>
      <c r="BN91" s="1943" t="s">
        <v>7889</v>
      </c>
      <c r="BO91" s="1967">
        <v>18</v>
      </c>
      <c r="BP91" s="1945"/>
      <c r="BQ91" s="1955"/>
      <c r="BR91" s="1943"/>
      <c r="BS91" s="1967"/>
      <c r="BT91" s="1956"/>
      <c r="BU91" s="1955">
        <v>44101</v>
      </c>
      <c r="BV91" s="1943" t="s">
        <v>845</v>
      </c>
      <c r="BW91" s="1967">
        <v>29</v>
      </c>
      <c r="BX91" s="1956" t="s">
        <v>414</v>
      </c>
      <c r="BY91" s="1955"/>
      <c r="BZ91" s="1943"/>
      <c r="CA91" s="1953">
        <v>0</v>
      </c>
      <c r="CB91" s="1956"/>
      <c r="CC91" s="1955"/>
      <c r="CD91" s="1943"/>
      <c r="CE91" s="1953"/>
      <c r="CF91" s="1956"/>
      <c r="CG91" s="1955"/>
      <c r="CH91" s="1943"/>
      <c r="CI91" s="1953"/>
      <c r="CJ91" s="1956"/>
      <c r="CK91" s="1955"/>
      <c r="CL91" s="1943"/>
      <c r="CM91" s="1953"/>
      <c r="CN91" s="1956"/>
    </row>
    <row r="92" spans="1:92">
      <c r="A92" s="989"/>
      <c r="B92" s="1997"/>
      <c r="C92" s="1997"/>
      <c r="D92" s="1997"/>
      <c r="E92" s="1997"/>
      <c r="F92" s="1997"/>
      <c r="G92" s="1997"/>
      <c r="H92" s="1997"/>
      <c r="I92" s="1997"/>
      <c r="J92" s="1997"/>
      <c r="K92" s="1997"/>
      <c r="L92" s="1997"/>
      <c r="M92" s="1997"/>
      <c r="N92" s="1997"/>
      <c r="O92" s="1997"/>
      <c r="P92" s="1997"/>
      <c r="Q92" s="1997"/>
      <c r="R92" s="1997"/>
      <c r="S92" s="1997"/>
      <c r="T92" s="1997"/>
      <c r="U92" s="1997"/>
      <c r="V92" s="1997"/>
      <c r="W92" s="1997"/>
      <c r="X92" s="1997"/>
      <c r="Y92" s="1997"/>
      <c r="Z92" s="1997"/>
      <c r="AA92" s="1997"/>
      <c r="AB92" s="1997"/>
      <c r="AC92" s="1997"/>
      <c r="AD92" s="1997"/>
      <c r="AE92" s="1997"/>
      <c r="AF92" s="1997"/>
      <c r="AG92" s="1997"/>
      <c r="AH92" s="1997"/>
      <c r="AI92" s="1997"/>
      <c r="AJ92" s="1997"/>
      <c r="AK92" s="1997"/>
      <c r="AL92" s="1997"/>
      <c r="AM92" s="1997"/>
      <c r="AN92" s="1997"/>
      <c r="AO92" s="1997"/>
      <c r="AP92" s="1997"/>
      <c r="AQ92" s="1997"/>
      <c r="AR92" s="1997"/>
      <c r="AS92" s="1997"/>
      <c r="AT92" s="1997"/>
      <c r="AU92" s="1997"/>
      <c r="AV92" s="1997"/>
      <c r="AW92" s="1997"/>
      <c r="AX92" s="1997"/>
      <c r="AY92" s="1997"/>
      <c r="AZ92" s="1997"/>
      <c r="BA92" s="1997"/>
      <c r="BB92" s="1997"/>
      <c r="BC92" s="1997"/>
      <c r="BD92" s="1997"/>
      <c r="BE92" s="1997"/>
      <c r="BF92" s="1997"/>
      <c r="BG92" s="1997"/>
      <c r="BH92" s="1997"/>
      <c r="BI92" s="1955">
        <v>43008</v>
      </c>
      <c r="BJ92" s="1943" t="s">
        <v>7890</v>
      </c>
      <c r="BK92" s="1967">
        <v>10</v>
      </c>
      <c r="BL92" s="1945"/>
      <c r="BM92" s="1955">
        <v>43372</v>
      </c>
      <c r="BN92" s="1943" t="s">
        <v>797</v>
      </c>
      <c r="BO92" s="1967">
        <v>41</v>
      </c>
      <c r="BP92" s="1945"/>
      <c r="BQ92" s="1955"/>
      <c r="BR92" s="1943"/>
      <c r="BS92" s="1967"/>
      <c r="BT92" s="1956"/>
      <c r="BU92" s="1955">
        <v>44102</v>
      </c>
      <c r="BV92" s="1943" t="s">
        <v>7891</v>
      </c>
      <c r="BW92" s="1967">
        <v>25</v>
      </c>
      <c r="BX92" s="1956" t="s">
        <v>701</v>
      </c>
      <c r="BY92" s="1955"/>
      <c r="BZ92" s="1943"/>
      <c r="CA92" s="1953">
        <v>0</v>
      </c>
      <c r="CB92" s="1956"/>
      <c r="CC92" s="1955"/>
      <c r="CD92" s="1943"/>
      <c r="CE92" s="1953"/>
      <c r="CF92" s="1956"/>
      <c r="CG92" s="1955"/>
      <c r="CH92" s="1943"/>
      <c r="CI92" s="1953"/>
      <c r="CJ92" s="1956"/>
      <c r="CK92" s="1955"/>
      <c r="CL92" s="1943"/>
      <c r="CM92" s="1953"/>
      <c r="CN92" s="1956"/>
    </row>
    <row r="93" spans="1:92">
      <c r="A93" s="989"/>
      <c r="B93" s="1997"/>
      <c r="C93" s="1997"/>
      <c r="D93" s="1997"/>
      <c r="E93" s="1997"/>
      <c r="F93" s="1997"/>
      <c r="G93" s="1997"/>
      <c r="H93" s="1997"/>
      <c r="I93" s="1997"/>
      <c r="J93" s="1997"/>
      <c r="K93" s="1997"/>
      <c r="L93" s="1997"/>
      <c r="M93" s="1997"/>
      <c r="N93" s="1997"/>
      <c r="O93" s="1997"/>
      <c r="P93" s="1997"/>
      <c r="Q93" s="1997"/>
      <c r="R93" s="1997"/>
      <c r="S93" s="1997"/>
      <c r="T93" s="1997"/>
      <c r="U93" s="1997"/>
      <c r="V93" s="1997"/>
      <c r="W93" s="1997"/>
      <c r="X93" s="1997"/>
      <c r="Y93" s="1997"/>
      <c r="Z93" s="1997"/>
      <c r="AA93" s="1997"/>
      <c r="AB93" s="1997"/>
      <c r="AC93" s="1997"/>
      <c r="AD93" s="1997"/>
      <c r="AE93" s="1997"/>
      <c r="AF93" s="1997"/>
      <c r="AG93" s="1997"/>
      <c r="AH93" s="1997"/>
      <c r="AI93" s="1997"/>
      <c r="AJ93" s="1997"/>
      <c r="AK93" s="1997"/>
      <c r="AL93" s="1997"/>
      <c r="AM93" s="1997"/>
      <c r="AN93" s="1997"/>
      <c r="AO93" s="1997"/>
      <c r="AP93" s="1997"/>
      <c r="AQ93" s="1997"/>
      <c r="AR93" s="1997"/>
      <c r="AS93" s="1997"/>
      <c r="AT93" s="1997"/>
      <c r="AU93" s="1997"/>
      <c r="AV93" s="1997"/>
      <c r="AW93" s="1997"/>
      <c r="AX93" s="1997"/>
      <c r="AY93" s="1997"/>
      <c r="AZ93" s="1997"/>
      <c r="BA93" s="1997"/>
      <c r="BB93" s="1997"/>
      <c r="BC93" s="1997"/>
      <c r="BD93" s="1997"/>
      <c r="BE93" s="1997"/>
      <c r="BF93" s="1997"/>
      <c r="BG93" s="1997"/>
      <c r="BH93" s="1997"/>
      <c r="BI93" s="1955"/>
      <c r="BJ93" s="1943"/>
      <c r="BK93" s="1944"/>
      <c r="BL93" s="1945"/>
      <c r="BM93" s="1955">
        <v>43372</v>
      </c>
      <c r="BN93" s="1943" t="s">
        <v>873</v>
      </c>
      <c r="BO93" s="1967">
        <v>60</v>
      </c>
      <c r="BP93" s="1945"/>
      <c r="BQ93" s="1955"/>
      <c r="BR93" s="1943"/>
      <c r="BS93" s="1967"/>
      <c r="BT93" s="1956"/>
      <c r="BU93" s="1955">
        <v>44102</v>
      </c>
      <c r="BV93" s="1943" t="s">
        <v>7892</v>
      </c>
      <c r="BW93" s="1967">
        <v>18</v>
      </c>
      <c r="BX93" s="1956" t="s">
        <v>701</v>
      </c>
      <c r="BY93" s="1955"/>
      <c r="BZ93" s="1943"/>
      <c r="CA93" s="1953">
        <v>0</v>
      </c>
      <c r="CB93" s="1956"/>
      <c r="CC93" s="1955"/>
      <c r="CD93" s="1943"/>
      <c r="CE93" s="1953"/>
      <c r="CF93" s="1956"/>
      <c r="CG93" s="1955"/>
      <c r="CH93" s="1943"/>
      <c r="CI93" s="1953"/>
      <c r="CJ93" s="1956"/>
      <c r="CK93" s="1955"/>
      <c r="CL93" s="1943"/>
      <c r="CM93" s="1953"/>
      <c r="CN93" s="1956"/>
    </row>
    <row r="94" spans="1:92">
      <c r="A94" s="989"/>
      <c r="B94" s="1997"/>
      <c r="C94" s="1997"/>
      <c r="D94" s="1997"/>
      <c r="E94" s="1997"/>
      <c r="F94" s="1997"/>
      <c r="G94" s="1997"/>
      <c r="H94" s="1997"/>
      <c r="I94" s="1997"/>
      <c r="J94" s="1997"/>
      <c r="K94" s="1997"/>
      <c r="L94" s="1997"/>
      <c r="M94" s="1997"/>
      <c r="N94" s="1997"/>
      <c r="O94" s="1997"/>
      <c r="P94" s="1997"/>
      <c r="Q94" s="1997"/>
      <c r="R94" s="1997"/>
      <c r="S94" s="1997"/>
      <c r="T94" s="1997"/>
      <c r="U94" s="1997"/>
      <c r="V94" s="1997"/>
      <c r="W94" s="1997"/>
      <c r="X94" s="1997"/>
      <c r="Y94" s="1997"/>
      <c r="Z94" s="1997"/>
      <c r="AA94" s="1997"/>
      <c r="AB94" s="1997"/>
      <c r="AC94" s="1997"/>
      <c r="AD94" s="1997"/>
      <c r="AE94" s="1997"/>
      <c r="AF94" s="1997"/>
      <c r="AG94" s="1997"/>
      <c r="AH94" s="1997"/>
      <c r="AI94" s="1997"/>
      <c r="AJ94" s="1997"/>
      <c r="AK94" s="1997"/>
      <c r="AL94" s="1997"/>
      <c r="AM94" s="1997"/>
      <c r="AN94" s="1997"/>
      <c r="AO94" s="1997"/>
      <c r="AP94" s="1997"/>
      <c r="AQ94" s="1997"/>
      <c r="AR94" s="1997"/>
      <c r="AS94" s="1997"/>
      <c r="AT94" s="1997"/>
      <c r="AU94" s="1997"/>
      <c r="AV94" s="1997"/>
      <c r="AW94" s="1997"/>
      <c r="AX94" s="1997"/>
      <c r="AY94" s="1997"/>
      <c r="AZ94" s="1997"/>
      <c r="BA94" s="1997"/>
      <c r="BB94" s="1997"/>
      <c r="BC94" s="1997"/>
      <c r="BD94" s="1997"/>
      <c r="BE94" s="1997"/>
      <c r="BF94" s="1997"/>
      <c r="BG94" s="1997"/>
      <c r="BH94" s="1997"/>
      <c r="BI94" s="1984" t="s">
        <v>477</v>
      </c>
      <c r="BJ94" s="1982"/>
      <c r="BK94" s="1983">
        <f>SUM(BK4:BK93)</f>
        <v>11130</v>
      </c>
      <c r="BL94" s="1983">
        <f>SUM(BL4:BL93)</f>
        <v>0</v>
      </c>
      <c r="BM94" s="1955">
        <v>43372</v>
      </c>
      <c r="BN94" s="1943" t="s">
        <v>872</v>
      </c>
      <c r="BO94" s="1967">
        <v>13</v>
      </c>
      <c r="BP94" s="1945"/>
      <c r="BQ94" s="1955"/>
      <c r="BR94" s="1943"/>
      <c r="BS94" s="1967"/>
      <c r="BT94" s="1956"/>
      <c r="BU94" s="1955">
        <v>44102</v>
      </c>
      <c r="BV94" s="1943" t="s">
        <v>7893</v>
      </c>
      <c r="BW94" s="1967">
        <v>0</v>
      </c>
      <c r="BX94" s="1956" t="s">
        <v>280</v>
      </c>
      <c r="BY94" s="1955"/>
      <c r="BZ94" s="1943"/>
      <c r="CA94" s="1953">
        <v>0</v>
      </c>
      <c r="CB94" s="1956"/>
      <c r="CC94" s="1955"/>
      <c r="CD94" s="1943"/>
      <c r="CE94" s="1953"/>
      <c r="CF94" s="1956"/>
      <c r="CG94" s="1955"/>
      <c r="CH94" s="1943"/>
      <c r="CI94" s="1953"/>
      <c r="CJ94" s="1956"/>
      <c r="CK94" s="1955"/>
      <c r="CL94" s="1943"/>
      <c r="CM94" s="1953"/>
      <c r="CN94" s="1956"/>
    </row>
    <row r="95" spans="1:92">
      <c r="A95" s="989"/>
      <c r="B95" s="1997"/>
      <c r="C95" s="1997"/>
      <c r="D95" s="1997"/>
      <c r="E95" s="1997"/>
      <c r="F95" s="1997"/>
      <c r="G95" s="1997"/>
      <c r="H95" s="1997"/>
      <c r="I95" s="1997"/>
      <c r="J95" s="1997"/>
      <c r="K95" s="1997"/>
      <c r="L95" s="1997"/>
      <c r="M95" s="1997"/>
      <c r="N95" s="1997"/>
      <c r="O95" s="1997"/>
      <c r="P95" s="1997"/>
      <c r="Q95" s="1997"/>
      <c r="R95" s="1997"/>
      <c r="S95" s="1997"/>
      <c r="T95" s="1997"/>
      <c r="U95" s="1997"/>
      <c r="V95" s="1997"/>
      <c r="W95" s="1997"/>
      <c r="X95" s="1997"/>
      <c r="Y95" s="1997"/>
      <c r="Z95" s="1997"/>
      <c r="AA95" s="1997"/>
      <c r="AB95" s="1997"/>
      <c r="AC95" s="1997"/>
      <c r="AD95" s="1997"/>
      <c r="AE95" s="1997"/>
      <c r="AF95" s="1997"/>
      <c r="AG95" s="1997"/>
      <c r="AH95" s="1997"/>
      <c r="AI95" s="1997"/>
      <c r="AJ95" s="1997"/>
      <c r="AK95" s="1997"/>
      <c r="AL95" s="1997"/>
      <c r="AM95" s="1997"/>
      <c r="AN95" s="1997"/>
      <c r="AO95" s="1997"/>
      <c r="AP95" s="1997"/>
      <c r="AQ95" s="1997"/>
      <c r="AR95" s="1997"/>
      <c r="AS95" s="1997"/>
      <c r="AT95" s="1997"/>
      <c r="AU95" s="1997"/>
      <c r="AV95" s="1997"/>
      <c r="AW95" s="1997"/>
      <c r="AX95" s="1997"/>
      <c r="AY95" s="1997"/>
      <c r="AZ95" s="1997"/>
      <c r="BA95" s="1997"/>
      <c r="BB95" s="1997"/>
      <c r="BC95" s="1997"/>
      <c r="BD95" s="1997"/>
      <c r="BE95" s="1997"/>
      <c r="BF95" s="1997"/>
      <c r="BG95" s="1997"/>
      <c r="BH95" s="1997"/>
      <c r="BI95" s="1989" t="s">
        <v>1672</v>
      </c>
      <c r="BJ95" s="1986"/>
      <c r="BK95" s="1987"/>
      <c r="BL95" s="1988"/>
      <c r="BM95" s="1955">
        <v>43372</v>
      </c>
      <c r="BN95" s="1943" t="s">
        <v>7894</v>
      </c>
      <c r="BO95" s="1967">
        <v>53</v>
      </c>
      <c r="BP95" s="1945"/>
      <c r="BQ95" s="1955"/>
      <c r="BR95" s="1943"/>
      <c r="BS95" s="1967"/>
      <c r="BT95" s="1956"/>
      <c r="BU95" s="1955">
        <v>44102</v>
      </c>
      <c r="BV95" s="1943" t="s">
        <v>1124</v>
      </c>
      <c r="BW95" s="1967">
        <v>0</v>
      </c>
      <c r="BX95" s="1956" t="s">
        <v>414</v>
      </c>
      <c r="BY95" s="1955"/>
      <c r="BZ95" s="1943"/>
      <c r="CA95" s="1953">
        <v>0</v>
      </c>
      <c r="CB95" s="1956"/>
      <c r="CC95" s="1955"/>
      <c r="CD95" s="1943"/>
      <c r="CE95" s="1953"/>
      <c r="CF95" s="1956"/>
      <c r="CG95" s="1955"/>
      <c r="CH95" s="1943"/>
      <c r="CI95" s="1953"/>
      <c r="CJ95" s="1956"/>
      <c r="CK95" s="1955"/>
      <c r="CL95" s="1943"/>
      <c r="CM95" s="1953"/>
      <c r="CN95" s="1956"/>
    </row>
    <row r="96" spans="1:92">
      <c r="A96" s="989"/>
      <c r="B96" s="1997"/>
      <c r="C96" s="1997"/>
      <c r="D96" s="1997"/>
      <c r="E96" s="1997"/>
      <c r="F96" s="1997"/>
      <c r="G96" s="1997"/>
      <c r="H96" s="1997"/>
      <c r="I96" s="1997"/>
      <c r="J96" s="1997"/>
      <c r="K96" s="1997"/>
      <c r="L96" s="1997"/>
      <c r="M96" s="1997"/>
      <c r="N96" s="1997"/>
      <c r="O96" s="1997"/>
      <c r="P96" s="1997"/>
      <c r="Q96" s="1997"/>
      <c r="R96" s="1997"/>
      <c r="S96" s="1997"/>
      <c r="T96" s="1997"/>
      <c r="U96" s="1997"/>
      <c r="V96" s="1997"/>
      <c r="W96" s="1997"/>
      <c r="X96" s="1997"/>
      <c r="Y96" s="1997"/>
      <c r="Z96" s="1997"/>
      <c r="AA96" s="1997"/>
      <c r="AB96" s="1997"/>
      <c r="AC96" s="1997"/>
      <c r="AD96" s="1997"/>
      <c r="AE96" s="1997"/>
      <c r="AF96" s="1997"/>
      <c r="AG96" s="1997"/>
      <c r="AH96" s="1997"/>
      <c r="AI96" s="1997"/>
      <c r="AJ96" s="1997"/>
      <c r="AK96" s="1997"/>
      <c r="AL96" s="1997"/>
      <c r="AM96" s="1997"/>
      <c r="AN96" s="1997"/>
      <c r="AO96" s="1997"/>
      <c r="AP96" s="1997"/>
      <c r="AQ96" s="1997"/>
      <c r="AR96" s="1997"/>
      <c r="AS96" s="1997"/>
      <c r="AT96" s="1997"/>
      <c r="AU96" s="1997"/>
      <c r="AV96" s="1997"/>
      <c r="AW96" s="1997"/>
      <c r="AX96" s="1997"/>
      <c r="AY96" s="1997"/>
      <c r="AZ96" s="1997"/>
      <c r="BA96" s="1997"/>
      <c r="BB96" s="1997"/>
      <c r="BC96" s="1997"/>
      <c r="BD96" s="1997"/>
      <c r="BE96" s="1997"/>
      <c r="BF96" s="1997"/>
      <c r="BG96" s="1997"/>
      <c r="BH96" s="1997"/>
      <c r="BI96" s="1994" t="s">
        <v>138</v>
      </c>
      <c r="BJ96" s="1991"/>
      <c r="BK96" s="1995">
        <f>SUM(BK94,BL94)</f>
        <v>11130</v>
      </c>
      <c r="BL96" s="1993"/>
      <c r="BM96" s="1955">
        <v>43373</v>
      </c>
      <c r="BN96" s="1943" t="s">
        <v>7895</v>
      </c>
      <c r="BO96" s="1967">
        <v>16</v>
      </c>
      <c r="BP96" s="1945"/>
      <c r="BQ96" s="1955"/>
      <c r="BR96" s="1943"/>
      <c r="BS96" s="1967"/>
      <c r="BT96" s="1956"/>
      <c r="BU96" s="1955">
        <v>44104</v>
      </c>
      <c r="BV96" s="1943" t="s">
        <v>7896</v>
      </c>
      <c r="BW96" s="1967">
        <v>0</v>
      </c>
      <c r="BX96" s="1956" t="s">
        <v>674</v>
      </c>
      <c r="BY96" s="1955"/>
      <c r="BZ96" s="1943"/>
      <c r="CA96" s="1953"/>
      <c r="CB96" s="1956"/>
      <c r="CC96" s="1955"/>
      <c r="CD96" s="1943"/>
      <c r="CE96" s="1953"/>
      <c r="CF96" s="1945"/>
      <c r="CG96" s="1955"/>
      <c r="CH96" s="1943"/>
      <c r="CI96" s="1953"/>
      <c r="CJ96" s="1945"/>
      <c r="CK96" s="1955"/>
      <c r="CL96" s="1943"/>
      <c r="CM96" s="1953"/>
      <c r="CN96" s="1956"/>
    </row>
    <row r="97" spans="1:92">
      <c r="A97" s="989"/>
      <c r="B97" s="1997"/>
      <c r="C97" s="1997"/>
      <c r="D97" s="1997"/>
      <c r="E97" s="1997"/>
      <c r="F97" s="1997"/>
      <c r="G97" s="1997"/>
      <c r="H97" s="1997"/>
      <c r="I97" s="1997"/>
      <c r="J97" s="1997"/>
      <c r="K97" s="1997"/>
      <c r="L97" s="1997"/>
      <c r="M97" s="1997"/>
      <c r="N97" s="1997"/>
      <c r="O97" s="1997"/>
      <c r="P97" s="1997"/>
      <c r="Q97" s="1997"/>
      <c r="R97" s="1997"/>
      <c r="S97" s="1997"/>
      <c r="T97" s="1997"/>
      <c r="U97" s="1997"/>
      <c r="V97" s="1997"/>
      <c r="W97" s="1997"/>
      <c r="X97" s="1997"/>
      <c r="Y97" s="1997"/>
      <c r="Z97" s="1997"/>
      <c r="AA97" s="1997"/>
      <c r="AB97" s="1997"/>
      <c r="AC97" s="1997"/>
      <c r="AD97" s="1997"/>
      <c r="AE97" s="1997"/>
      <c r="AF97" s="1997"/>
      <c r="AG97" s="1997"/>
      <c r="AH97" s="1997"/>
      <c r="AI97" s="1997"/>
      <c r="AJ97" s="1997"/>
      <c r="AK97" s="1997"/>
      <c r="AL97" s="1997"/>
      <c r="AM97" s="1997"/>
      <c r="AN97" s="1997"/>
      <c r="AO97" s="1997"/>
      <c r="AP97" s="1997"/>
      <c r="AQ97" s="1997"/>
      <c r="AR97" s="1997"/>
      <c r="AS97" s="1997"/>
      <c r="AT97" s="1997"/>
      <c r="AU97" s="1997"/>
      <c r="AV97" s="1997"/>
      <c r="AW97" s="1997"/>
      <c r="AX97" s="1997"/>
      <c r="AY97" s="1997"/>
      <c r="AZ97" s="1997"/>
      <c r="BA97" s="1997"/>
      <c r="BB97" s="1997"/>
      <c r="BC97" s="1997"/>
      <c r="BD97" s="1997"/>
      <c r="BE97" s="1997"/>
      <c r="BF97" s="1997"/>
      <c r="BG97" s="1997"/>
      <c r="BH97" s="1997"/>
      <c r="BI97" s="1997"/>
      <c r="BJ97" s="1997"/>
      <c r="BK97" s="1997"/>
      <c r="BL97" s="1997"/>
      <c r="BM97" s="1955">
        <v>43373</v>
      </c>
      <c r="BN97" s="1943" t="s">
        <v>7897</v>
      </c>
      <c r="BO97" s="1967">
        <v>24</v>
      </c>
      <c r="BP97" s="1945"/>
      <c r="BQ97" s="1955"/>
      <c r="BR97" s="1943"/>
      <c r="BS97" s="1967"/>
      <c r="BT97" s="1945"/>
      <c r="BU97" s="1955">
        <v>44104</v>
      </c>
      <c r="BV97" s="1943" t="s">
        <v>7898</v>
      </c>
      <c r="BW97" s="1967">
        <v>3100</v>
      </c>
      <c r="BX97" s="1956" t="s">
        <v>674</v>
      </c>
      <c r="BY97" s="1955"/>
      <c r="BZ97" s="1943"/>
      <c r="CA97" s="1953"/>
      <c r="CB97" s="1956"/>
      <c r="CC97" s="1955"/>
      <c r="CD97" s="1943"/>
      <c r="CE97" s="1953"/>
      <c r="CF97" s="1945"/>
      <c r="CG97" s="1955"/>
      <c r="CH97" s="1943"/>
      <c r="CI97" s="1953"/>
      <c r="CJ97" s="1945"/>
      <c r="CK97" s="1955"/>
      <c r="CL97" s="1943"/>
      <c r="CM97" s="1953"/>
      <c r="CN97" s="1956"/>
    </row>
    <row r="98" spans="1:92">
      <c r="A98" s="989"/>
      <c r="B98" s="1997"/>
      <c r="C98" s="1997"/>
      <c r="D98" s="1997"/>
      <c r="E98" s="1997"/>
      <c r="F98" s="1997"/>
      <c r="G98" s="1997"/>
      <c r="H98" s="1997"/>
      <c r="I98" s="1997"/>
      <c r="J98" s="1997"/>
      <c r="K98" s="1997"/>
      <c r="L98" s="1997"/>
      <c r="M98" s="1997"/>
      <c r="N98" s="1997"/>
      <c r="O98" s="1997"/>
      <c r="P98" s="1997"/>
      <c r="Q98" s="1997"/>
      <c r="R98" s="1997"/>
      <c r="S98" s="1997"/>
      <c r="T98" s="1997"/>
      <c r="U98" s="1997"/>
      <c r="V98" s="1997"/>
      <c r="W98" s="1997"/>
      <c r="X98" s="1997"/>
      <c r="Y98" s="1997"/>
      <c r="Z98" s="1997"/>
      <c r="AA98" s="1997"/>
      <c r="AB98" s="1997"/>
      <c r="AC98" s="1997"/>
      <c r="AD98" s="1997"/>
      <c r="AE98" s="1997"/>
      <c r="AF98" s="1997"/>
      <c r="AG98" s="1997"/>
      <c r="AH98" s="1997"/>
      <c r="AI98" s="1997"/>
      <c r="AJ98" s="1997"/>
      <c r="AK98" s="1997"/>
      <c r="AL98" s="1997"/>
      <c r="AM98" s="1997"/>
      <c r="AN98" s="1997"/>
      <c r="AO98" s="1997"/>
      <c r="AP98" s="1997"/>
      <c r="AQ98" s="1997"/>
      <c r="AR98" s="1997"/>
      <c r="AS98" s="1997"/>
      <c r="AT98" s="1997"/>
      <c r="AU98" s="1997"/>
      <c r="AV98" s="1997"/>
      <c r="AW98" s="1997"/>
      <c r="AX98" s="1997"/>
      <c r="AY98" s="1997"/>
      <c r="AZ98" s="1997"/>
      <c r="BA98" s="1997"/>
      <c r="BB98" s="1997"/>
      <c r="BC98" s="1997"/>
      <c r="BD98" s="1997"/>
      <c r="BE98" s="1997"/>
      <c r="BF98" s="1997"/>
      <c r="BG98" s="1997"/>
      <c r="BH98" s="1997"/>
      <c r="BI98" s="1997"/>
      <c r="BJ98" s="1997"/>
      <c r="BK98" s="1997"/>
      <c r="BL98" s="1997"/>
      <c r="BM98" s="1955">
        <v>43373</v>
      </c>
      <c r="BN98" s="1943" t="s">
        <v>7899</v>
      </c>
      <c r="BO98" s="1967">
        <v>20</v>
      </c>
      <c r="BP98" s="1945"/>
      <c r="BQ98" s="1955"/>
      <c r="BR98" s="1943"/>
      <c r="BS98" s="1967"/>
      <c r="BT98" s="1945"/>
      <c r="BU98" s="1955"/>
      <c r="BV98" s="1943"/>
      <c r="BW98" s="1967"/>
      <c r="BX98" s="1945"/>
      <c r="BY98" s="1955"/>
      <c r="BZ98" s="1943"/>
      <c r="CA98" s="1953">
        <v>0</v>
      </c>
      <c r="CB98" s="1945"/>
      <c r="CC98" s="1955"/>
      <c r="CD98" s="1943"/>
      <c r="CE98" s="1953"/>
      <c r="CF98" s="1945"/>
      <c r="CG98" s="1955"/>
      <c r="CH98" s="1943"/>
      <c r="CI98" s="1953"/>
      <c r="CJ98" s="1945"/>
      <c r="CK98" s="1955"/>
      <c r="CL98" s="1943"/>
      <c r="CM98" s="1953"/>
      <c r="CN98" s="1945"/>
    </row>
    <row r="99" spans="1:92">
      <c r="A99" s="989"/>
      <c r="B99" s="1997"/>
      <c r="C99" s="1997"/>
      <c r="D99" s="1997"/>
      <c r="E99" s="1997"/>
      <c r="F99" s="1997"/>
      <c r="G99" s="1997"/>
      <c r="H99" s="1997"/>
      <c r="I99" s="1997"/>
      <c r="J99" s="1997"/>
      <c r="K99" s="1997"/>
      <c r="L99" s="1997"/>
      <c r="M99" s="1997"/>
      <c r="N99" s="1997"/>
      <c r="O99" s="1997"/>
      <c r="P99" s="1997"/>
      <c r="Q99" s="1997"/>
      <c r="R99" s="1997"/>
      <c r="S99" s="1997"/>
      <c r="T99" s="1997"/>
      <c r="U99" s="1997"/>
      <c r="V99" s="1997"/>
      <c r="W99" s="1997"/>
      <c r="X99" s="1997"/>
      <c r="Y99" s="1997"/>
      <c r="Z99" s="1997"/>
      <c r="AA99" s="1997"/>
      <c r="AB99" s="1997"/>
      <c r="AC99" s="1997"/>
      <c r="AD99" s="1997"/>
      <c r="AE99" s="1997"/>
      <c r="AF99" s="1997"/>
      <c r="AG99" s="1997"/>
      <c r="AH99" s="1997"/>
      <c r="AI99" s="1997"/>
      <c r="AJ99" s="1997"/>
      <c r="AK99" s="1997"/>
      <c r="AL99" s="1997"/>
      <c r="AM99" s="1997"/>
      <c r="AN99" s="1997"/>
      <c r="AO99" s="1997"/>
      <c r="AP99" s="1997"/>
      <c r="AQ99" s="1997"/>
      <c r="AR99" s="1997"/>
      <c r="AS99" s="1997"/>
      <c r="AT99" s="1997"/>
      <c r="AU99" s="1997"/>
      <c r="AV99" s="1997"/>
      <c r="AW99" s="1997"/>
      <c r="AX99" s="1997"/>
      <c r="AY99" s="1997"/>
      <c r="AZ99" s="1997"/>
      <c r="BA99" s="1997"/>
      <c r="BB99" s="1997"/>
      <c r="BC99" s="1997"/>
      <c r="BD99" s="1997"/>
      <c r="BE99" s="1997"/>
      <c r="BF99" s="1997"/>
      <c r="BG99" s="1997"/>
      <c r="BH99" s="1997"/>
      <c r="BI99" s="1997"/>
      <c r="BJ99" s="1997"/>
      <c r="BK99" s="1997"/>
      <c r="BL99" s="1997"/>
      <c r="BM99" s="1955">
        <v>43373</v>
      </c>
      <c r="BN99" s="1943" t="s">
        <v>3944</v>
      </c>
      <c r="BO99" s="1967">
        <v>10</v>
      </c>
      <c r="BP99" s="1945"/>
      <c r="BQ99" s="1955"/>
      <c r="BR99" s="1943"/>
      <c r="BS99" s="1967"/>
      <c r="BT99" s="1945"/>
      <c r="BU99" s="1955"/>
      <c r="BV99" s="1943"/>
      <c r="BW99" s="1967"/>
      <c r="BX99" s="1945"/>
      <c r="BY99" s="1955"/>
      <c r="BZ99" s="1943"/>
      <c r="CA99" s="1953">
        <v>0</v>
      </c>
      <c r="CB99" s="1945"/>
      <c r="CC99" s="1955"/>
      <c r="CD99" s="1943"/>
      <c r="CE99" s="1953"/>
      <c r="CF99" s="1945"/>
      <c r="CG99" s="1955"/>
      <c r="CH99" s="1943"/>
      <c r="CI99" s="1953"/>
      <c r="CJ99" s="1945"/>
      <c r="CK99" s="1955"/>
      <c r="CL99" s="1943"/>
      <c r="CM99" s="1953"/>
      <c r="CN99" s="1945"/>
    </row>
    <row r="100" spans="1:92">
      <c r="A100" s="989"/>
      <c r="B100" s="1997"/>
      <c r="C100" s="1997"/>
      <c r="D100" s="1997"/>
      <c r="E100" s="1997"/>
      <c r="F100" s="1997"/>
      <c r="G100" s="1997"/>
      <c r="H100" s="1997"/>
      <c r="I100" s="1997"/>
      <c r="J100" s="1997"/>
      <c r="K100" s="1997"/>
      <c r="L100" s="1997"/>
      <c r="M100" s="1997"/>
      <c r="N100" s="1997"/>
      <c r="O100" s="1997"/>
      <c r="P100" s="1997"/>
      <c r="Q100" s="1997"/>
      <c r="R100" s="1997"/>
      <c r="S100" s="1997"/>
      <c r="T100" s="1997"/>
      <c r="U100" s="1997"/>
      <c r="V100" s="1997"/>
      <c r="W100" s="1997"/>
      <c r="X100" s="1997"/>
      <c r="Y100" s="1997"/>
      <c r="Z100" s="1997"/>
      <c r="AA100" s="1997"/>
      <c r="AB100" s="1997"/>
      <c r="AC100" s="1997"/>
      <c r="AD100" s="1997"/>
      <c r="AE100" s="1997"/>
      <c r="AF100" s="1997"/>
      <c r="AG100" s="1997"/>
      <c r="AH100" s="1997"/>
      <c r="AI100" s="1997"/>
      <c r="AJ100" s="1997"/>
      <c r="AK100" s="1997"/>
      <c r="AL100" s="1997"/>
      <c r="AM100" s="1997"/>
      <c r="AN100" s="1997"/>
      <c r="AO100" s="1997"/>
      <c r="AP100" s="1997"/>
      <c r="AQ100" s="1997"/>
      <c r="AR100" s="1997"/>
      <c r="AS100" s="1997"/>
      <c r="AT100" s="1997"/>
      <c r="AU100" s="1997"/>
      <c r="AV100" s="1997"/>
      <c r="AW100" s="1997"/>
      <c r="AX100" s="1997"/>
      <c r="AY100" s="1997"/>
      <c r="AZ100" s="1997"/>
      <c r="BA100" s="1997"/>
      <c r="BB100" s="1997"/>
      <c r="BC100" s="1997"/>
      <c r="BD100" s="1997"/>
      <c r="BE100" s="1997"/>
      <c r="BF100" s="1997"/>
      <c r="BG100" s="1997"/>
      <c r="BH100" s="1997"/>
      <c r="BI100" s="1997"/>
      <c r="BJ100" s="1997"/>
      <c r="BK100" s="1997"/>
      <c r="BL100" s="1997"/>
      <c r="BM100" s="1984" t="s">
        <v>477</v>
      </c>
      <c r="BN100" s="1982"/>
      <c r="BO100" s="1983">
        <f>SUM(BO4:BO99)</f>
        <v>26205</v>
      </c>
      <c r="BP100" s="1983">
        <f>SUM(BP4:BP99)</f>
        <v>0</v>
      </c>
      <c r="BQ100" s="1984" t="s">
        <v>477</v>
      </c>
      <c r="BR100" s="1982"/>
      <c r="BS100" s="1983">
        <f>SUM(BS4:BS99)</f>
        <v>9485</v>
      </c>
      <c r="BT100" s="1983">
        <f>SUM(BT4:BT99)</f>
        <v>0</v>
      </c>
      <c r="BU100" s="1984" t="s">
        <v>477</v>
      </c>
      <c r="BV100" s="1982"/>
      <c r="BW100" s="1983">
        <f>SUM(BW4:BW99)</f>
        <v>52733</v>
      </c>
      <c r="BX100" s="1983">
        <f>SUM(BX4:BX99)</f>
        <v>0</v>
      </c>
      <c r="BY100" s="1984" t="s">
        <v>477</v>
      </c>
      <c r="BZ100" s="1982"/>
      <c r="CA100" s="1983">
        <f>SUM(CA4:CA99)</f>
        <v>5354</v>
      </c>
      <c r="CB100" s="1983">
        <f>SUM(CB4:CB99)</f>
        <v>0</v>
      </c>
      <c r="CC100" s="1984" t="s">
        <v>477</v>
      </c>
      <c r="CD100" s="1982"/>
      <c r="CE100" s="1983">
        <f>SUM(CE4:CE99)</f>
        <v>6090</v>
      </c>
      <c r="CF100" s="1983">
        <f>SUM(CF4:CF99)</f>
        <v>0</v>
      </c>
      <c r="CG100" s="1984" t="s">
        <v>477</v>
      </c>
      <c r="CH100" s="1982"/>
      <c r="CI100" s="1983">
        <f>SUM(CI4:CI99)</f>
        <v>6626</v>
      </c>
      <c r="CJ100" s="1983">
        <f>SUM(CJ4:CJ99)</f>
        <v>0</v>
      </c>
      <c r="CK100" s="1955"/>
      <c r="CL100" s="1943"/>
      <c r="CM100" s="1953"/>
      <c r="CN100" s="1945"/>
    </row>
    <row r="101" spans="1:92">
      <c r="A101" s="989"/>
      <c r="B101" s="1997"/>
      <c r="C101" s="1997"/>
      <c r="D101" s="1997"/>
      <c r="E101" s="1997"/>
      <c r="F101" s="1997"/>
      <c r="G101" s="1997"/>
      <c r="H101" s="1997"/>
      <c r="I101" s="1997"/>
      <c r="J101" s="1997"/>
      <c r="K101" s="1997"/>
      <c r="L101" s="1997"/>
      <c r="M101" s="1997"/>
      <c r="N101" s="1997"/>
      <c r="O101" s="1997"/>
      <c r="P101" s="1997"/>
      <c r="Q101" s="1997"/>
      <c r="R101" s="1997"/>
      <c r="S101" s="1997"/>
      <c r="T101" s="1997"/>
      <c r="U101" s="1997"/>
      <c r="V101" s="1997"/>
      <c r="W101" s="1997"/>
      <c r="X101" s="1997"/>
      <c r="Y101" s="1997"/>
      <c r="Z101" s="1997"/>
      <c r="AA101" s="1997"/>
      <c r="AB101" s="1997"/>
      <c r="AC101" s="1997"/>
      <c r="AD101" s="1997"/>
      <c r="AE101" s="1997"/>
      <c r="AF101" s="1997"/>
      <c r="AG101" s="1997"/>
      <c r="AH101" s="1997"/>
      <c r="AI101" s="1997"/>
      <c r="AJ101" s="1997"/>
      <c r="AK101" s="1997"/>
      <c r="AL101" s="1997"/>
      <c r="AM101" s="1997"/>
      <c r="AN101" s="1997"/>
      <c r="AO101" s="1997"/>
      <c r="AP101" s="1997"/>
      <c r="AQ101" s="1997"/>
      <c r="AR101" s="1997"/>
      <c r="AS101" s="1997"/>
      <c r="AT101" s="1997"/>
      <c r="AU101" s="1997"/>
      <c r="AV101" s="1997"/>
      <c r="AW101" s="1997"/>
      <c r="AX101" s="1997"/>
      <c r="AY101" s="1997"/>
      <c r="AZ101" s="1997"/>
      <c r="BA101" s="1997"/>
      <c r="BB101" s="1997"/>
      <c r="BC101" s="1997"/>
      <c r="BD101" s="1997"/>
      <c r="BE101" s="1997"/>
      <c r="BF101" s="1997"/>
      <c r="BG101" s="1997"/>
      <c r="BH101" s="1997"/>
      <c r="BI101" s="1997"/>
      <c r="BJ101" s="1997"/>
      <c r="BK101" s="1997"/>
      <c r="BL101" s="1997"/>
      <c r="BM101" s="1989" t="s">
        <v>1672</v>
      </c>
      <c r="BN101" s="1986"/>
      <c r="BO101" s="1987"/>
      <c r="BP101" s="1988"/>
      <c r="BQ101" s="1989" t="s">
        <v>1672</v>
      </c>
      <c r="BR101" s="1986"/>
      <c r="BS101" s="1987"/>
      <c r="BT101" s="1988"/>
      <c r="BU101" s="1989" t="s">
        <v>1672</v>
      </c>
      <c r="BV101" s="1986"/>
      <c r="BW101" s="1987"/>
      <c r="BX101" s="1988"/>
      <c r="BY101" s="1989" t="s">
        <v>1672</v>
      </c>
      <c r="BZ101" s="1986"/>
      <c r="CA101" s="1987"/>
      <c r="CB101" s="1988"/>
      <c r="CC101" s="1989" t="s">
        <v>1672</v>
      </c>
      <c r="CD101" s="1986"/>
      <c r="CE101" s="1987"/>
      <c r="CF101" s="1988"/>
      <c r="CG101" s="1989" t="s">
        <v>1672</v>
      </c>
      <c r="CH101" s="1986"/>
      <c r="CI101" s="1987"/>
      <c r="CJ101" s="1988"/>
      <c r="CK101" s="1955"/>
      <c r="CL101" s="1943"/>
      <c r="CM101" s="1953"/>
      <c r="CN101" s="1945"/>
    </row>
    <row r="102" spans="1:92">
      <c r="A102" s="989"/>
      <c r="B102" s="1997"/>
      <c r="C102" s="1997"/>
      <c r="D102" s="1997"/>
      <c r="E102" s="1997"/>
      <c r="F102" s="1997"/>
      <c r="G102" s="1997"/>
      <c r="H102" s="1997"/>
      <c r="I102" s="1997"/>
      <c r="J102" s="1997"/>
      <c r="K102" s="1997"/>
      <c r="L102" s="1997"/>
      <c r="M102" s="1997"/>
      <c r="N102" s="1997"/>
      <c r="O102" s="1997"/>
      <c r="P102" s="1997"/>
      <c r="Q102" s="1997"/>
      <c r="R102" s="1997"/>
      <c r="S102" s="1997"/>
      <c r="T102" s="1997"/>
      <c r="U102" s="1997"/>
      <c r="V102" s="1997"/>
      <c r="W102" s="1997"/>
      <c r="X102" s="1997"/>
      <c r="Y102" s="1997"/>
      <c r="Z102" s="1997"/>
      <c r="AA102" s="1997"/>
      <c r="AB102" s="1997"/>
      <c r="AC102" s="1997"/>
      <c r="AD102" s="1997"/>
      <c r="AE102" s="1997"/>
      <c r="AF102" s="1997"/>
      <c r="AG102" s="1997"/>
      <c r="AH102" s="1997"/>
      <c r="AI102" s="1997"/>
      <c r="AJ102" s="1997"/>
      <c r="AK102" s="1997"/>
      <c r="AL102" s="1997"/>
      <c r="AM102" s="1997"/>
      <c r="AN102" s="1997"/>
      <c r="AO102" s="1997"/>
      <c r="AP102" s="1997"/>
      <c r="AQ102" s="1997"/>
      <c r="AR102" s="1997"/>
      <c r="AS102" s="1997"/>
      <c r="AT102" s="1997"/>
      <c r="AU102" s="1997"/>
      <c r="AV102" s="1997"/>
      <c r="AW102" s="1997"/>
      <c r="AX102" s="1997"/>
      <c r="AY102" s="1997"/>
      <c r="AZ102" s="1997"/>
      <c r="BA102" s="1997"/>
      <c r="BB102" s="1997"/>
      <c r="BC102" s="1997"/>
      <c r="BD102" s="1997"/>
      <c r="BE102" s="1997"/>
      <c r="BF102" s="1997"/>
      <c r="BG102" s="1997"/>
      <c r="BH102" s="1997"/>
      <c r="BI102" s="1997"/>
      <c r="BJ102" s="1997"/>
      <c r="BK102" s="1997"/>
      <c r="BL102" s="1997"/>
      <c r="BM102" s="1994" t="s">
        <v>138</v>
      </c>
      <c r="BN102" s="1991"/>
      <c r="BO102" s="1995">
        <f>SUM(BO100,BP100)</f>
        <v>26205</v>
      </c>
      <c r="BP102" s="1993"/>
      <c r="BQ102" s="1994" t="s">
        <v>138</v>
      </c>
      <c r="BR102" s="1991"/>
      <c r="BS102" s="1995">
        <f>SUM(BS100,BT100)</f>
        <v>9485</v>
      </c>
      <c r="BT102" s="1993"/>
      <c r="BU102" s="1994" t="s">
        <v>138</v>
      </c>
      <c r="BV102" s="1991"/>
      <c r="BW102" s="1995">
        <f>SUM(BW100,BX100)</f>
        <v>52733</v>
      </c>
      <c r="BX102" s="1993"/>
      <c r="BY102" s="1994" t="s">
        <v>138</v>
      </c>
      <c r="BZ102" s="1991"/>
      <c r="CA102" s="1995">
        <f>SUM(CA100,CB100)</f>
        <v>5354</v>
      </c>
      <c r="CB102" s="1993"/>
      <c r="CC102" s="1994" t="s">
        <v>138</v>
      </c>
      <c r="CD102" s="1991"/>
      <c r="CE102" s="1995">
        <f>SUM(CE100,CF100)</f>
        <v>6090</v>
      </c>
      <c r="CF102" s="1993"/>
      <c r="CG102" s="1994" t="s">
        <v>138</v>
      </c>
      <c r="CH102" s="1991"/>
      <c r="CI102" s="1995">
        <f>SUM(CI100,CJ100)</f>
        <v>6626</v>
      </c>
      <c r="CJ102" s="1993"/>
      <c r="CK102" s="1984" t="s">
        <v>477</v>
      </c>
      <c r="CL102" s="1982"/>
      <c r="CM102" s="1983">
        <f>SUM(CM4:CM101)</f>
        <v>4076</v>
      </c>
      <c r="CN102" s="1983">
        <f>SUM(CN4:CN101)</f>
        <v>0</v>
      </c>
    </row>
    <row r="103" spans="1:92">
      <c r="BY103" s="1997"/>
      <c r="BZ103" s="1997"/>
      <c r="CA103" s="1997"/>
      <c r="CB103" s="1997"/>
      <c r="CC103" s="1997"/>
      <c r="CD103" s="1997"/>
      <c r="CE103" s="1997"/>
      <c r="CF103" s="1997"/>
      <c r="CG103" s="1997"/>
      <c r="CH103" s="1997"/>
      <c r="CI103" s="1997"/>
      <c r="CJ103" s="1997"/>
      <c r="CK103" s="1989" t="s">
        <v>1672</v>
      </c>
      <c r="CL103" s="1986"/>
      <c r="CM103" s="1987"/>
      <c r="CN103" s="1988"/>
    </row>
    <row r="104" spans="1:92">
      <c r="BY104" s="1997"/>
      <c r="BZ104" s="1997"/>
      <c r="CA104" s="1997"/>
      <c r="CB104" s="1997"/>
      <c r="CC104" s="1997"/>
      <c r="CD104" s="1997"/>
      <c r="CE104" s="1997"/>
      <c r="CF104" s="1997"/>
      <c r="CG104" s="1997"/>
      <c r="CH104" s="1997"/>
      <c r="CI104" s="1997"/>
      <c r="CJ104" s="1997"/>
      <c r="CK104" s="1994" t="s">
        <v>138</v>
      </c>
      <c r="CL104" s="1991"/>
      <c r="CM104" s="1995">
        <f>SUM(CM102,CN102)</f>
        <v>4076</v>
      </c>
      <c r="CN104" s="1993"/>
    </row>
    <row r="105" spans="1:92">
      <c r="CK105" s="1997"/>
      <c r="CL105" s="1997"/>
      <c r="CM105" s="1997"/>
      <c r="CN105" s="1997"/>
    </row>
    <row r="106" spans="1:92">
      <c r="CK106" s="1997"/>
      <c r="CL106" s="1997"/>
      <c r="CM106" s="1997"/>
      <c r="CN106" s="1997"/>
    </row>
  </sheetData>
  <phoneticPr fontId="4" type="noConversion"/>
  <hyperlinks>
    <hyperlink ref="V1" location="Monthly!A1" display="Sep'07" xr:uid="{00000000-0004-0000-1000-000000000000}"/>
    <hyperlink ref="Z1" location="Monthly!A1" display="Sep'08" xr:uid="{00000000-0004-0000-1000-000001000000}"/>
    <hyperlink ref="AD1" location="Monthly!A1" display="Sep'08" xr:uid="{00000000-0004-0000-1000-000002000000}"/>
    <hyperlink ref="AH1" location="Monthly!A1" display="Sep'10" xr:uid="{00000000-0004-0000-1000-000003000000}"/>
    <hyperlink ref="AL1" location="Monthly!A1" display="Sep'11" xr:uid="{00000000-0004-0000-1000-000004000000}"/>
    <hyperlink ref="AP1" location="Monthly!A1" display="Sep'12" xr:uid="{00000000-0004-0000-1000-000005000000}"/>
    <hyperlink ref="AT1" location="Monthly!A1" display="Sep'13" xr:uid="{00000000-0004-0000-1000-000006000000}"/>
    <hyperlink ref="AX1" location="Monthly!A1" display="Sep'14" xr:uid="{00000000-0004-0000-1000-000007000000}"/>
    <hyperlink ref="BB1" location="Monthly!A1" display="Sep'14" xr:uid="{00000000-0004-0000-1000-000008000000}"/>
    <hyperlink ref="BF1" location="Monthly!A1" display="Sep'14" xr:uid="{00000000-0004-0000-1000-000009000000}"/>
    <hyperlink ref="BJ1" location="Monthly!A1" display="Sep'14" xr:uid="{00000000-0004-0000-1000-00000A000000}"/>
    <hyperlink ref="BN1" location="Monthly!A1" display="Sep'14" xr:uid="{00000000-0004-0000-1000-00000B000000}"/>
    <hyperlink ref="BR1" location="Monthly!A1" display="Sep'14" xr:uid="{00000000-0004-0000-1000-00000C000000}"/>
    <hyperlink ref="BV1" location="Monthly!A1" display="Sep'14" xr:uid="{81D8B454-2433-7C49-ADFF-672B05882EA2}"/>
    <hyperlink ref="BZ1" location="Monthly!A1" display="Sep'14" xr:uid="{0AE6425A-9EB0-D14A-AD96-D83520949BAD}"/>
    <hyperlink ref="CD1" location="Monthly!A1" display="Sep'14" xr:uid="{3C1ED417-E63E-4250-B298-7782444FC88F}"/>
    <hyperlink ref="CH1" location="Monthly!A1" display="Sep'14" xr:uid="{DC4C3933-7C56-4A1C-9D10-634B2992F9BF}"/>
    <hyperlink ref="CL1" location="Monthly!A1" display="Sep'14" xr:uid="{A2747DB2-614C-4438-9DF2-7CDE2735BDFA}"/>
  </hyperlinks>
  <pageMargins left="0.75" right="0.75" top="1" bottom="1" header="0.5" footer="0.5"/>
  <pageSetup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Monthly!$V$556:$V$584</xm:f>
          </x14:formula1>
          <xm:sqref>BT5:BT96 BX5:BX97 CB4:CB97 CF4:CF95 CJ4:CJ95 CN4:CN97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>
    <tabColor indexed="11"/>
  </sheetPr>
  <dimension ref="A1:CN138"/>
  <sheetViews>
    <sheetView topLeftCell="CF1" zoomScale="158" zoomScaleNormal="158" workbookViewId="0">
      <selection activeCell="CN76" sqref="CN76"/>
    </sheetView>
  </sheetViews>
  <sheetFormatPr defaultColWidth="8.85546875" defaultRowHeight="13.5" customHeight="1"/>
  <cols>
    <col min="1" max="1" width="9" style="1000" bestFit="1" customWidth="1"/>
    <col min="2" max="2" width="29.28515625" style="1000" customWidth="1"/>
    <col min="3" max="3" width="13" style="1000" customWidth="1"/>
    <col min="4" max="4" width="12.140625" style="1000" customWidth="1"/>
    <col min="5" max="5" width="9" style="1000" bestFit="1" customWidth="1"/>
    <col min="6" max="6" width="32.85546875" style="1000" customWidth="1"/>
    <col min="7" max="7" width="13.85546875" style="1000" customWidth="1"/>
    <col min="8" max="8" width="12.28515625" style="1000" customWidth="1"/>
    <col min="9" max="9" width="11.28515625" style="1000" customWidth="1"/>
    <col min="10" max="10" width="28" style="1000" customWidth="1"/>
    <col min="11" max="11" width="12.85546875" style="1000" customWidth="1"/>
    <col min="12" max="12" width="11.7109375" style="1000" customWidth="1"/>
    <col min="13" max="13" width="9" style="1000" bestFit="1" customWidth="1"/>
    <col min="14" max="14" width="39" style="1000" customWidth="1"/>
    <col min="15" max="15" width="15.85546875" style="1000" customWidth="1"/>
    <col min="16" max="16" width="11.42578125" style="1000" customWidth="1"/>
    <col min="17" max="17" width="9" style="1000" bestFit="1" customWidth="1"/>
    <col min="18" max="18" width="40" style="1000" customWidth="1"/>
    <col min="19" max="19" width="14.7109375" style="1000" customWidth="1"/>
    <col min="20" max="20" width="9.42578125" style="1000" customWidth="1"/>
    <col min="21" max="21" width="9.85546875" style="1000" customWidth="1"/>
    <col min="22" max="22" width="58.28515625" style="1000" customWidth="1"/>
    <col min="23" max="23" width="13.42578125" style="1000" customWidth="1"/>
    <col min="24" max="24" width="9" style="1000" bestFit="1" customWidth="1"/>
    <col min="25" max="25" width="11.42578125" style="1000" customWidth="1"/>
    <col min="26" max="26" width="58" style="1000" customWidth="1"/>
    <col min="27" max="27" width="12.28515625" style="1000" customWidth="1"/>
    <col min="28" max="29" width="9" style="1000" bestFit="1" customWidth="1"/>
    <col min="30" max="30" width="46.28515625" style="1000" customWidth="1"/>
    <col min="31" max="31" width="11.140625" style="1000" customWidth="1"/>
    <col min="32" max="33" width="9" style="1000" bestFit="1" customWidth="1"/>
    <col min="34" max="34" width="54.7109375" style="1000" customWidth="1"/>
    <col min="35" max="35" width="12" style="1000" customWidth="1"/>
    <col min="36" max="37" width="9" style="1000" bestFit="1" customWidth="1"/>
    <col min="38" max="38" width="37.140625" style="1000" customWidth="1"/>
    <col min="39" max="39" width="9.42578125" style="1000" bestFit="1" customWidth="1"/>
    <col min="40" max="41" width="9" style="1000" bestFit="1" customWidth="1"/>
    <col min="42" max="42" width="50.42578125" style="1000" customWidth="1"/>
    <col min="43" max="43" width="9.42578125" style="1000" bestFit="1" customWidth="1"/>
    <col min="44" max="45" width="9" style="1000" bestFit="1" customWidth="1"/>
    <col min="46" max="46" width="43.42578125" style="1000" customWidth="1"/>
    <col min="47" max="47" width="10.140625" style="1000" bestFit="1" customWidth="1"/>
    <col min="48" max="49" width="9" style="1000" bestFit="1" customWidth="1"/>
    <col min="50" max="50" width="47.28515625" style="1000" customWidth="1"/>
    <col min="51" max="51" width="9.42578125" style="1000" bestFit="1" customWidth="1"/>
    <col min="52" max="53" width="9" style="1000" bestFit="1" customWidth="1"/>
    <col min="54" max="54" width="47.28515625" style="1000" customWidth="1"/>
    <col min="55" max="55" width="9.42578125" style="1000" bestFit="1" customWidth="1"/>
    <col min="56" max="57" width="9" style="1000" bestFit="1" customWidth="1"/>
    <col min="58" max="58" width="47.28515625" style="1000" customWidth="1"/>
    <col min="59" max="59" width="9.42578125" style="1000" bestFit="1" customWidth="1"/>
    <col min="60" max="61" width="9" style="1000" bestFit="1" customWidth="1"/>
    <col min="62" max="62" width="53.28515625" style="1000" customWidth="1"/>
    <col min="63" max="63" width="9.42578125" style="1000" bestFit="1" customWidth="1"/>
    <col min="64" max="65" width="9" style="1000" bestFit="1" customWidth="1"/>
    <col min="66" max="66" width="58.140625" style="1000" customWidth="1"/>
    <col min="67" max="67" width="9.42578125" style="1000" bestFit="1" customWidth="1"/>
    <col min="68" max="69" width="9" style="1000" bestFit="1" customWidth="1"/>
    <col min="70" max="70" width="51" style="1000" customWidth="1"/>
    <col min="71" max="71" width="13.42578125" style="1000" customWidth="1"/>
    <col min="72" max="72" width="11.42578125" style="1000" customWidth="1"/>
    <col min="73" max="73" width="9" style="1000" bestFit="1" customWidth="1"/>
    <col min="74" max="74" width="51" style="1000" customWidth="1"/>
    <col min="75" max="75" width="13.42578125" style="1000" customWidth="1"/>
    <col min="76" max="76" width="11.42578125" style="1000" customWidth="1"/>
    <col min="77" max="77" width="9" style="1000" bestFit="1" customWidth="1"/>
    <col min="78" max="78" width="51" style="1000" customWidth="1"/>
    <col min="79" max="79" width="13.42578125" style="1000" customWidth="1"/>
    <col min="80" max="80" width="11.42578125" style="1000" customWidth="1"/>
    <col min="81" max="81" width="9" style="1000" bestFit="1" customWidth="1"/>
    <col min="82" max="82" width="51" style="1000" customWidth="1"/>
    <col min="83" max="83" width="13.42578125" style="1000" customWidth="1"/>
    <col min="84" max="84" width="11.42578125" style="1000" customWidth="1"/>
    <col min="85" max="85" width="9" style="1000" bestFit="1" customWidth="1"/>
    <col min="86" max="86" width="51" style="1000" customWidth="1"/>
    <col min="87" max="87" width="13.42578125" style="1000" customWidth="1"/>
    <col min="88" max="88" width="11.42578125" style="1000" customWidth="1"/>
    <col min="89" max="89" width="8.85546875" style="1000"/>
    <col min="90" max="90" width="58.85546875" style="1000" customWidth="1"/>
    <col min="91" max="92" width="13" style="1000" customWidth="1"/>
    <col min="93" max="16384" width="8.85546875" style="1000"/>
  </cols>
  <sheetData>
    <row r="1" spans="1:92" ht="13.5" customHeight="1">
      <c r="A1" s="991"/>
      <c r="B1" s="992" t="s">
        <v>7900</v>
      </c>
      <c r="C1" s="993"/>
      <c r="D1" s="994"/>
      <c r="E1" s="995"/>
      <c r="F1" s="996" t="s">
        <v>7901</v>
      </c>
      <c r="G1" s="995"/>
      <c r="H1" s="997"/>
      <c r="I1" s="995"/>
      <c r="J1" s="996" t="s">
        <v>7902</v>
      </c>
      <c r="K1" s="995"/>
      <c r="L1" s="997"/>
      <c r="M1" s="995"/>
      <c r="N1" s="996" t="s">
        <v>7903</v>
      </c>
      <c r="O1" s="995"/>
      <c r="P1" s="997"/>
      <c r="Q1" s="995"/>
      <c r="R1" s="996" t="s">
        <v>7904</v>
      </c>
      <c r="S1" s="995"/>
      <c r="T1" s="997"/>
      <c r="U1" s="995"/>
      <c r="V1" s="998" t="s">
        <v>7905</v>
      </c>
      <c r="W1" s="995"/>
      <c r="X1" s="997"/>
      <c r="Y1" s="995"/>
      <c r="Z1" s="998" t="s">
        <v>7906</v>
      </c>
      <c r="AA1" s="995"/>
      <c r="AB1" s="997"/>
      <c r="AC1" s="995"/>
      <c r="AD1" s="998" t="s">
        <v>7907</v>
      </c>
      <c r="AE1" s="995"/>
      <c r="AF1" s="997"/>
      <c r="AG1" s="995"/>
      <c r="AH1" s="998" t="s">
        <v>7908</v>
      </c>
      <c r="AI1" s="995"/>
      <c r="AJ1" s="997"/>
      <c r="AK1" s="995"/>
      <c r="AL1" s="998" t="s">
        <v>7909</v>
      </c>
      <c r="AM1" s="995"/>
      <c r="AN1" s="997"/>
      <c r="AO1" s="995"/>
      <c r="AP1" s="998" t="s">
        <v>7910</v>
      </c>
      <c r="AQ1" s="995"/>
      <c r="AR1" s="997"/>
      <c r="AS1" s="995"/>
      <c r="AT1" s="998" t="s">
        <v>7911</v>
      </c>
      <c r="AU1" s="995"/>
      <c r="AV1" s="997"/>
      <c r="AW1" s="995"/>
      <c r="AX1" s="998" t="s">
        <v>7912</v>
      </c>
      <c r="AY1" s="995"/>
      <c r="AZ1" s="997"/>
      <c r="BA1" s="995"/>
      <c r="BB1" s="998" t="s">
        <v>7913</v>
      </c>
      <c r="BC1" s="995"/>
      <c r="BD1" s="997"/>
      <c r="BE1" s="995"/>
      <c r="BF1" s="998" t="s">
        <v>7914</v>
      </c>
      <c r="BG1" s="995"/>
      <c r="BH1" s="997"/>
      <c r="BI1" s="995"/>
      <c r="BJ1" s="998" t="s">
        <v>7915</v>
      </c>
      <c r="BK1" s="995"/>
      <c r="BL1" s="997"/>
      <c r="BM1" s="995"/>
      <c r="BN1" s="998" t="s">
        <v>7915</v>
      </c>
      <c r="BO1" s="995"/>
      <c r="BP1" s="997"/>
      <c r="BQ1" s="999"/>
      <c r="BR1" s="998" t="s">
        <v>7916</v>
      </c>
      <c r="BS1" s="995"/>
      <c r="BT1" s="997"/>
      <c r="BU1" s="999"/>
      <c r="BV1" s="998" t="s">
        <v>7917</v>
      </c>
      <c r="BW1" s="995"/>
      <c r="BX1" s="997"/>
      <c r="BY1" s="999"/>
      <c r="BZ1" s="998" t="s">
        <v>7918</v>
      </c>
      <c r="CA1" s="995"/>
      <c r="CB1" s="997"/>
      <c r="CC1" s="999"/>
      <c r="CD1" s="998" t="s">
        <v>7919</v>
      </c>
      <c r="CE1" s="995"/>
      <c r="CF1" s="997"/>
      <c r="CG1" s="999"/>
      <c r="CH1" s="998" t="s">
        <v>7920</v>
      </c>
      <c r="CI1" s="995"/>
      <c r="CJ1" s="997"/>
      <c r="CK1" s="999"/>
      <c r="CL1" s="998" t="s">
        <v>7921</v>
      </c>
      <c r="CM1" s="995"/>
      <c r="CN1" s="997"/>
    </row>
    <row r="2" spans="1:92" ht="14.25">
      <c r="A2" s="1001" t="s">
        <v>740</v>
      </c>
      <c r="B2" s="1002" t="s">
        <v>138</v>
      </c>
      <c r="C2" s="1003" t="s">
        <v>741</v>
      </c>
      <c r="D2" s="1004" t="s">
        <v>742</v>
      </c>
      <c r="E2" s="1001" t="s">
        <v>740</v>
      </c>
      <c r="F2" s="1002" t="s">
        <v>138</v>
      </c>
      <c r="G2" s="1003" t="s">
        <v>741</v>
      </c>
      <c r="H2" s="1004" t="s">
        <v>742</v>
      </c>
      <c r="I2" s="1001" t="s">
        <v>740</v>
      </c>
      <c r="J2" s="1002" t="s">
        <v>138</v>
      </c>
      <c r="K2" s="1003" t="s">
        <v>741</v>
      </c>
      <c r="L2" s="1004" t="s">
        <v>742</v>
      </c>
      <c r="M2" s="1001" t="s">
        <v>740</v>
      </c>
      <c r="N2" s="1002" t="s">
        <v>138</v>
      </c>
      <c r="O2" s="1003" t="s">
        <v>741</v>
      </c>
      <c r="P2" s="1004" t="s">
        <v>742</v>
      </c>
      <c r="Q2" s="1001" t="s">
        <v>740</v>
      </c>
      <c r="R2" s="1002" t="s">
        <v>138</v>
      </c>
      <c r="S2" s="1003" t="s">
        <v>741</v>
      </c>
      <c r="T2" s="1004" t="s">
        <v>742</v>
      </c>
      <c r="U2" s="1001" t="s">
        <v>740</v>
      </c>
      <c r="V2" s="1002" t="s">
        <v>138</v>
      </c>
      <c r="W2" s="1003" t="s">
        <v>741</v>
      </c>
      <c r="X2" s="1004" t="s">
        <v>742</v>
      </c>
      <c r="Y2" s="1001" t="s">
        <v>740</v>
      </c>
      <c r="Z2" s="1002" t="s">
        <v>138</v>
      </c>
      <c r="AA2" s="1003" t="s">
        <v>741</v>
      </c>
      <c r="AB2" s="1004" t="s">
        <v>742</v>
      </c>
      <c r="AC2" s="1001" t="s">
        <v>740</v>
      </c>
      <c r="AD2" s="1002" t="s">
        <v>138</v>
      </c>
      <c r="AE2" s="1003" t="s">
        <v>741</v>
      </c>
      <c r="AF2" s="1004" t="s">
        <v>742</v>
      </c>
      <c r="AG2" s="1001" t="s">
        <v>740</v>
      </c>
      <c r="AH2" s="1002" t="s">
        <v>138</v>
      </c>
      <c r="AI2" s="1003" t="s">
        <v>741</v>
      </c>
      <c r="AJ2" s="1004" t="s">
        <v>742</v>
      </c>
      <c r="AK2" s="1001" t="s">
        <v>740</v>
      </c>
      <c r="AL2" s="1002" t="s">
        <v>138</v>
      </c>
      <c r="AM2" s="1003" t="s">
        <v>741</v>
      </c>
      <c r="AN2" s="1004" t="s">
        <v>742</v>
      </c>
      <c r="AO2" s="1001" t="s">
        <v>740</v>
      </c>
      <c r="AP2" s="1002" t="s">
        <v>138</v>
      </c>
      <c r="AQ2" s="1003" t="s">
        <v>741</v>
      </c>
      <c r="AR2" s="1004" t="s">
        <v>742</v>
      </c>
      <c r="AS2" s="1001" t="s">
        <v>740</v>
      </c>
      <c r="AT2" s="1002" t="s">
        <v>138</v>
      </c>
      <c r="AU2" s="1003" t="s">
        <v>741</v>
      </c>
      <c r="AV2" s="1004" t="s">
        <v>742</v>
      </c>
      <c r="AW2" s="1001" t="s">
        <v>740</v>
      </c>
      <c r="AX2" s="1002" t="s">
        <v>138</v>
      </c>
      <c r="AY2" s="1003" t="s">
        <v>741</v>
      </c>
      <c r="AZ2" s="1004" t="s">
        <v>742</v>
      </c>
      <c r="BA2" s="1001" t="s">
        <v>740</v>
      </c>
      <c r="BB2" s="1002" t="s">
        <v>138</v>
      </c>
      <c r="BC2" s="1003" t="s">
        <v>741</v>
      </c>
      <c r="BD2" s="1004" t="s">
        <v>742</v>
      </c>
      <c r="BE2" s="1001" t="s">
        <v>740</v>
      </c>
      <c r="BF2" s="1002" t="s">
        <v>138</v>
      </c>
      <c r="BG2" s="1003" t="s">
        <v>741</v>
      </c>
      <c r="BH2" s="1004" t="s">
        <v>742</v>
      </c>
      <c r="BI2" s="1001" t="s">
        <v>740</v>
      </c>
      <c r="BJ2" s="1002" t="s">
        <v>138</v>
      </c>
      <c r="BK2" s="1003" t="s">
        <v>741</v>
      </c>
      <c r="BL2" s="1004" t="s">
        <v>742</v>
      </c>
      <c r="BM2" s="1001" t="s">
        <v>740</v>
      </c>
      <c r="BN2" s="1002" t="s">
        <v>138</v>
      </c>
      <c r="BO2" s="1003" t="s">
        <v>741</v>
      </c>
      <c r="BP2" s="1004" t="s">
        <v>742</v>
      </c>
      <c r="BQ2" s="1005" t="s">
        <v>740</v>
      </c>
      <c r="BR2" s="1006" t="s">
        <v>138</v>
      </c>
      <c r="BS2" s="1007" t="s">
        <v>741</v>
      </c>
      <c r="BT2" s="1004" t="s">
        <v>742</v>
      </c>
      <c r="BU2" s="1005" t="s">
        <v>740</v>
      </c>
      <c r="BV2" s="1006" t="s">
        <v>138</v>
      </c>
      <c r="BW2" s="1007" t="s">
        <v>741</v>
      </c>
      <c r="BX2" s="1004" t="s">
        <v>742</v>
      </c>
      <c r="BY2" s="1005" t="s">
        <v>740</v>
      </c>
      <c r="BZ2" s="1006" t="s">
        <v>138</v>
      </c>
      <c r="CA2" s="1007" t="s">
        <v>741</v>
      </c>
      <c r="CB2" s="1004" t="s">
        <v>742</v>
      </c>
      <c r="CC2" s="1005" t="s">
        <v>740</v>
      </c>
      <c r="CD2" s="1006" t="s">
        <v>138</v>
      </c>
      <c r="CE2" s="1007" t="s">
        <v>741</v>
      </c>
      <c r="CF2" s="1004" t="s">
        <v>742</v>
      </c>
      <c r="CG2" s="1005" t="s">
        <v>740</v>
      </c>
      <c r="CH2" s="1006" t="s">
        <v>138</v>
      </c>
      <c r="CI2" s="1007" t="s">
        <v>741</v>
      </c>
      <c r="CJ2" s="1004" t="s">
        <v>742</v>
      </c>
      <c r="CK2" s="1005" t="s">
        <v>740</v>
      </c>
      <c r="CL2" s="1006" t="s">
        <v>138</v>
      </c>
      <c r="CM2" s="1007" t="s">
        <v>741</v>
      </c>
      <c r="CN2" s="1004" t="s">
        <v>742</v>
      </c>
    </row>
    <row r="3" spans="1:92" ht="14.25">
      <c r="A3" s="1008"/>
      <c r="B3" s="1008"/>
      <c r="C3" s="1009"/>
      <c r="D3" s="1010"/>
      <c r="E3" s="1011"/>
      <c r="F3" s="1012"/>
      <c r="G3" s="1013"/>
      <c r="H3" s="1011"/>
      <c r="I3" s="1011"/>
      <c r="J3" s="1012"/>
      <c r="K3" s="1013"/>
      <c r="L3" s="1011"/>
      <c r="M3" s="1011"/>
      <c r="N3" s="1012"/>
      <c r="O3" s="1013"/>
      <c r="P3" s="1011"/>
      <c r="Q3" s="1011"/>
      <c r="R3" s="1012"/>
      <c r="S3" s="1013"/>
      <c r="T3" s="1011"/>
      <c r="U3" s="1011"/>
      <c r="V3" s="1012"/>
      <c r="W3" s="1013"/>
      <c r="X3" s="1011"/>
      <c r="Y3" s="1011"/>
      <c r="Z3" s="1012"/>
      <c r="AA3" s="1013"/>
      <c r="AB3" s="1011"/>
      <c r="AC3" s="1011"/>
      <c r="AD3" s="1012"/>
      <c r="AE3" s="1013"/>
      <c r="AF3" s="1011"/>
      <c r="AG3" s="1011"/>
      <c r="AH3" s="1012"/>
      <c r="AI3" s="1013"/>
      <c r="AJ3" s="1011"/>
      <c r="AK3" s="1011"/>
      <c r="AL3" s="1012"/>
      <c r="AM3" s="1013"/>
      <c r="AN3" s="1011"/>
      <c r="AO3" s="1011"/>
      <c r="AP3" s="1012"/>
      <c r="AQ3" s="1013"/>
      <c r="AR3" s="1011"/>
      <c r="AS3" s="1011"/>
      <c r="AT3" s="1012"/>
      <c r="AU3" s="1013"/>
      <c r="AV3" s="1011"/>
      <c r="AW3" s="1011"/>
      <c r="AX3" s="1012"/>
      <c r="AY3" s="1013"/>
      <c r="AZ3" s="1011"/>
      <c r="BA3" s="1011"/>
      <c r="BB3" s="1012"/>
      <c r="BC3" s="1013"/>
      <c r="BD3" s="1011"/>
      <c r="BE3" s="1011"/>
      <c r="BF3" s="1012"/>
      <c r="BG3" s="1013"/>
      <c r="BH3" s="1011"/>
      <c r="BI3" s="1011"/>
      <c r="BJ3" s="1012"/>
      <c r="BK3" s="1013"/>
      <c r="BL3" s="1011"/>
      <c r="BM3" s="1011"/>
      <c r="BN3" s="1012"/>
      <c r="BO3" s="1013"/>
      <c r="BP3" s="1011"/>
      <c r="BQ3" s="1014"/>
      <c r="BR3" s="1012"/>
      <c r="BS3" s="1015"/>
      <c r="BT3" s="1016"/>
      <c r="BU3" s="1014"/>
      <c r="BV3" s="1012"/>
      <c r="BW3" s="1015"/>
      <c r="BX3" s="1016"/>
      <c r="BY3" s="1014"/>
      <c r="BZ3" s="1012"/>
      <c r="CA3" s="1015"/>
      <c r="CB3" s="1016"/>
      <c r="CC3" s="1014"/>
      <c r="CD3" s="1012"/>
      <c r="CE3" s="1015"/>
      <c r="CF3" s="1016"/>
      <c r="CG3" s="1014"/>
      <c r="CH3" s="1012"/>
      <c r="CI3" s="1015"/>
      <c r="CJ3" s="1016"/>
      <c r="CK3" s="1014"/>
      <c r="CL3" s="1012"/>
      <c r="CM3" s="1015"/>
      <c r="CN3" s="1016"/>
    </row>
    <row r="4" spans="1:92" ht="14.25">
      <c r="A4" s="2011">
        <v>37530</v>
      </c>
      <c r="B4" s="2012" t="s">
        <v>238</v>
      </c>
      <c r="C4" s="2013"/>
      <c r="D4" s="1399"/>
      <c r="E4" s="1391"/>
      <c r="F4" s="1412"/>
      <c r="G4" s="2014"/>
      <c r="H4" s="1399"/>
      <c r="I4" s="1391"/>
      <c r="J4" s="1412"/>
      <c r="K4" s="2014"/>
      <c r="L4" s="1399"/>
      <c r="M4" s="1391"/>
      <c r="N4" s="1412"/>
      <c r="O4" s="2014"/>
      <c r="P4" s="1399"/>
      <c r="Q4" s="1391"/>
      <c r="R4" s="1412"/>
      <c r="S4" s="2014"/>
      <c r="T4" s="1399"/>
      <c r="U4" s="1391"/>
      <c r="V4" s="1412"/>
      <c r="W4" s="2014"/>
      <c r="X4" s="1399"/>
      <c r="Y4" s="1391"/>
      <c r="Z4" s="1412"/>
      <c r="AA4" s="2014"/>
      <c r="AB4" s="1399"/>
      <c r="AC4" s="1391"/>
      <c r="AD4" s="1412"/>
      <c r="AE4" s="2014"/>
      <c r="AF4" s="1399"/>
      <c r="AG4" s="1391"/>
      <c r="AH4" s="1412"/>
      <c r="AI4" s="2014"/>
      <c r="AJ4" s="1399"/>
      <c r="AK4" s="1391"/>
      <c r="AL4" s="1412"/>
      <c r="AM4" s="2014"/>
      <c r="AN4" s="1399"/>
      <c r="AO4" s="1391"/>
      <c r="AP4" s="1412"/>
      <c r="AQ4" s="2014"/>
      <c r="AR4" s="1399"/>
      <c r="AS4" s="1391"/>
      <c r="AT4" s="1412"/>
      <c r="AU4" s="2014"/>
      <c r="AV4" s="1399"/>
      <c r="AW4" s="1391"/>
      <c r="AX4" s="1412"/>
      <c r="AY4" s="2014"/>
      <c r="AZ4" s="1399"/>
      <c r="BA4" s="1391"/>
      <c r="BB4" s="1412"/>
      <c r="BC4" s="2014"/>
      <c r="BD4" s="1399"/>
      <c r="BE4" s="1391"/>
      <c r="BF4" s="1412"/>
      <c r="BG4" s="2014"/>
      <c r="BH4" s="1399"/>
      <c r="BI4" s="1391"/>
      <c r="BJ4" s="1412"/>
      <c r="BK4" s="2014"/>
      <c r="BL4" s="1399"/>
      <c r="BM4" s="1391"/>
      <c r="BN4" s="1412"/>
      <c r="BO4" s="2014"/>
      <c r="BP4" s="1399"/>
      <c r="BQ4" s="1388">
        <v>43739</v>
      </c>
      <c r="BR4" s="1389" t="s">
        <v>759</v>
      </c>
      <c r="BS4" s="1390">
        <v>295</v>
      </c>
      <c r="BT4" s="1392" t="s">
        <v>689</v>
      </c>
      <c r="BU4" s="1388">
        <v>43739</v>
      </c>
      <c r="BV4" s="1389" t="s">
        <v>759</v>
      </c>
      <c r="BW4" s="1390">
        <v>295</v>
      </c>
      <c r="BX4" s="1429" t="s">
        <v>689</v>
      </c>
      <c r="BY4" s="1391">
        <v>44470</v>
      </c>
      <c r="BZ4" s="1393" t="s">
        <v>7047</v>
      </c>
      <c r="CA4" s="1390">
        <v>632</v>
      </c>
      <c r="CB4" s="1392" t="s">
        <v>689</v>
      </c>
      <c r="CC4" s="1391">
        <v>44470</v>
      </c>
      <c r="CD4" s="1393" t="s">
        <v>7047</v>
      </c>
      <c r="CE4" s="1390">
        <v>632</v>
      </c>
      <c r="CF4" s="1392" t="s">
        <v>689</v>
      </c>
      <c r="CG4" s="2003">
        <v>45200</v>
      </c>
      <c r="CH4" s="1402" t="s">
        <v>7057</v>
      </c>
      <c r="CI4" s="1403">
        <v>250</v>
      </c>
      <c r="CJ4" s="1392" t="s">
        <v>689</v>
      </c>
      <c r="CK4" s="2003">
        <v>45200</v>
      </c>
      <c r="CL4" s="2015" t="s">
        <v>7057</v>
      </c>
      <c r="CM4" s="1403">
        <v>250</v>
      </c>
      <c r="CN4" s="1392" t="s">
        <v>689</v>
      </c>
    </row>
    <row r="5" spans="1:92" ht="14.25">
      <c r="A5" s="2011">
        <v>37530</v>
      </c>
      <c r="B5" s="1393" t="s">
        <v>556</v>
      </c>
      <c r="C5" s="2014">
        <v>1075</v>
      </c>
      <c r="D5" s="1399"/>
      <c r="E5" s="1391">
        <v>37895</v>
      </c>
      <c r="F5" s="1393" t="s">
        <v>556</v>
      </c>
      <c r="G5" s="2014">
        <v>1075</v>
      </c>
      <c r="H5" s="1399"/>
      <c r="I5" s="1391">
        <v>37895</v>
      </c>
      <c r="J5" s="1393" t="s">
        <v>556</v>
      </c>
      <c r="K5" s="2014">
        <v>1075</v>
      </c>
      <c r="L5" s="1399"/>
      <c r="M5" s="2016">
        <v>38630</v>
      </c>
      <c r="N5" s="2012" t="s">
        <v>7922</v>
      </c>
      <c r="O5" s="2017">
        <v>900</v>
      </c>
      <c r="P5" s="2018">
        <f t="shared" ref="P5:P14" si="0">O5/43</f>
        <v>20.930232558139537</v>
      </c>
      <c r="Q5" s="1391">
        <v>38991</v>
      </c>
      <c r="R5" s="1393" t="s">
        <v>797</v>
      </c>
      <c r="S5" s="2014">
        <v>37</v>
      </c>
      <c r="T5" s="1399"/>
      <c r="U5" s="1391">
        <v>39359</v>
      </c>
      <c r="V5" s="1412" t="s">
        <v>802</v>
      </c>
      <c r="W5" s="2014">
        <v>40</v>
      </c>
      <c r="X5" s="1399"/>
      <c r="Y5" s="1391">
        <v>39722</v>
      </c>
      <c r="Z5" s="1412" t="s">
        <v>7923</v>
      </c>
      <c r="AA5" s="2014">
        <v>180</v>
      </c>
      <c r="AB5" s="1399"/>
      <c r="AC5" s="1391">
        <v>40087</v>
      </c>
      <c r="AD5" s="1412" t="s">
        <v>802</v>
      </c>
      <c r="AE5" s="2014">
        <v>22</v>
      </c>
      <c r="AF5" s="1399"/>
      <c r="AG5" s="1391">
        <v>40452</v>
      </c>
      <c r="AH5" s="1412" t="s">
        <v>937</v>
      </c>
      <c r="AI5" s="2014">
        <v>18</v>
      </c>
      <c r="AJ5" s="1399"/>
      <c r="AK5" s="1391">
        <v>40817</v>
      </c>
      <c r="AL5" s="1412" t="s">
        <v>7924</v>
      </c>
      <c r="AM5" s="2014">
        <v>75</v>
      </c>
      <c r="AN5" s="1399"/>
      <c r="AO5" s="1391">
        <v>41183</v>
      </c>
      <c r="AP5" s="1412" t="s">
        <v>7925</v>
      </c>
      <c r="AQ5" s="2014">
        <v>12</v>
      </c>
      <c r="AR5" s="1399"/>
      <c r="AS5" s="1391">
        <v>41552</v>
      </c>
      <c r="AT5" s="1397" t="s">
        <v>7926</v>
      </c>
      <c r="AU5" s="2014">
        <v>50</v>
      </c>
      <c r="AV5" s="1399"/>
      <c r="AW5" s="1391">
        <v>41913</v>
      </c>
      <c r="AX5" s="1397" t="s">
        <v>7927</v>
      </c>
      <c r="AY5" s="2014">
        <v>20</v>
      </c>
      <c r="AZ5" s="1399"/>
      <c r="BA5" s="1391">
        <v>41913</v>
      </c>
      <c r="BB5" s="1397" t="s">
        <v>7927</v>
      </c>
      <c r="BC5" s="2014">
        <v>20</v>
      </c>
      <c r="BD5" s="1399"/>
      <c r="BE5" s="1391">
        <v>42644</v>
      </c>
      <c r="BF5" s="1397" t="s">
        <v>7928</v>
      </c>
      <c r="BG5" s="2014"/>
      <c r="BH5" s="1399"/>
      <c r="BI5" s="1391">
        <v>43009</v>
      </c>
      <c r="BJ5" s="1397" t="s">
        <v>872</v>
      </c>
      <c r="BK5" s="2014">
        <v>19</v>
      </c>
      <c r="BL5" s="1399"/>
      <c r="BM5" s="1391">
        <v>43377</v>
      </c>
      <c r="BN5" s="1397" t="s">
        <v>7824</v>
      </c>
      <c r="BO5" s="2014">
        <v>18</v>
      </c>
      <c r="BP5" s="1399"/>
      <c r="BQ5" s="1391">
        <v>43739</v>
      </c>
      <c r="BR5" s="1393" t="s">
        <v>7056</v>
      </c>
      <c r="BS5" s="2014">
        <v>1495</v>
      </c>
      <c r="BT5" s="1392" t="s">
        <v>706</v>
      </c>
      <c r="BU5" s="1391">
        <v>43739</v>
      </c>
      <c r="BV5" s="1393" t="s">
        <v>777</v>
      </c>
      <c r="BW5" s="2014">
        <v>288</v>
      </c>
      <c r="BX5" s="1392" t="s">
        <v>689</v>
      </c>
      <c r="BY5" s="1391">
        <v>44470</v>
      </c>
      <c r="BZ5" s="1393" t="s">
        <v>4004</v>
      </c>
      <c r="CA5" s="1390">
        <v>400</v>
      </c>
      <c r="CB5" s="1392" t="s">
        <v>689</v>
      </c>
      <c r="CC5" s="1391">
        <v>44470</v>
      </c>
      <c r="CD5" s="1393" t="s">
        <v>4004</v>
      </c>
      <c r="CE5" s="1390" t="s">
        <v>37</v>
      </c>
      <c r="CF5" s="1392" t="s">
        <v>689</v>
      </c>
      <c r="CG5" s="2003">
        <v>45200</v>
      </c>
      <c r="CH5" s="1402" t="s">
        <v>7064</v>
      </c>
      <c r="CI5" s="1403">
        <v>850</v>
      </c>
      <c r="CJ5" s="1392" t="s">
        <v>689</v>
      </c>
      <c r="CK5" s="2003">
        <v>45200</v>
      </c>
      <c r="CL5" s="2015" t="s">
        <v>7064</v>
      </c>
      <c r="CM5" s="1403">
        <v>850</v>
      </c>
      <c r="CN5" s="1392" t="s">
        <v>689</v>
      </c>
    </row>
    <row r="6" spans="1:92" ht="14.25">
      <c r="A6" s="2011">
        <v>37530</v>
      </c>
      <c r="B6" s="1393" t="s">
        <v>276</v>
      </c>
      <c r="C6" s="2014">
        <v>422</v>
      </c>
      <c r="D6" s="1399">
        <v>386</v>
      </c>
      <c r="E6" s="1391">
        <v>37895</v>
      </c>
      <c r="F6" s="1393" t="s">
        <v>276</v>
      </c>
      <c r="G6" s="2014">
        <v>421</v>
      </c>
      <c r="H6" s="1399">
        <v>3000</v>
      </c>
      <c r="I6" s="1391">
        <v>37895</v>
      </c>
      <c r="J6" s="1393" t="s">
        <v>276</v>
      </c>
      <c r="K6" s="2014">
        <v>421</v>
      </c>
      <c r="L6" s="1399">
        <v>3000</v>
      </c>
      <c r="M6" s="1391">
        <v>38630</v>
      </c>
      <c r="N6" s="1393" t="s">
        <v>7929</v>
      </c>
      <c r="O6" s="2019">
        <v>1000</v>
      </c>
      <c r="P6" s="1399">
        <f t="shared" si="0"/>
        <v>23.255813953488371</v>
      </c>
      <c r="Q6" s="1391">
        <v>38991</v>
      </c>
      <c r="R6" s="1393" t="s">
        <v>1157</v>
      </c>
      <c r="S6" s="2014">
        <v>38</v>
      </c>
      <c r="T6" s="1399"/>
      <c r="U6" s="1391">
        <v>39361</v>
      </c>
      <c r="V6" s="1393" t="s">
        <v>797</v>
      </c>
      <c r="W6" s="2014">
        <v>30</v>
      </c>
      <c r="X6" s="1399"/>
      <c r="Y6" s="1391">
        <v>39722</v>
      </c>
      <c r="Z6" s="1393" t="s">
        <v>7930</v>
      </c>
      <c r="AA6" s="2014">
        <v>15</v>
      </c>
      <c r="AB6" s="1399"/>
      <c r="AC6" s="1391">
        <v>40087</v>
      </c>
      <c r="AD6" s="1393" t="s">
        <v>7931</v>
      </c>
      <c r="AE6" s="2014">
        <v>10</v>
      </c>
      <c r="AF6" s="1399"/>
      <c r="AG6" s="1391">
        <v>40452</v>
      </c>
      <c r="AH6" s="1393" t="s">
        <v>802</v>
      </c>
      <c r="AI6" s="2014">
        <v>37</v>
      </c>
      <c r="AJ6" s="1399"/>
      <c r="AK6" s="1391">
        <v>40817</v>
      </c>
      <c r="AL6" s="1393" t="s">
        <v>772</v>
      </c>
      <c r="AM6" s="2014">
        <v>60</v>
      </c>
      <c r="AN6" s="1399"/>
      <c r="AO6" s="1391">
        <v>41183</v>
      </c>
      <c r="AP6" s="1393" t="s">
        <v>1944</v>
      </c>
      <c r="AQ6" s="2014">
        <v>20</v>
      </c>
      <c r="AR6" s="1399"/>
      <c r="AS6" s="1391">
        <v>41552</v>
      </c>
      <c r="AT6" s="1397" t="s">
        <v>7932</v>
      </c>
      <c r="AU6" s="2014">
        <v>50</v>
      </c>
      <c r="AV6" s="1399"/>
      <c r="AW6" s="1391">
        <v>41913</v>
      </c>
      <c r="AX6" s="1397" t="s">
        <v>7933</v>
      </c>
      <c r="AY6" s="2014">
        <v>40</v>
      </c>
      <c r="AZ6" s="1399"/>
      <c r="BA6" s="1391">
        <v>42278</v>
      </c>
      <c r="BB6" s="1397" t="s">
        <v>7934</v>
      </c>
      <c r="BC6" s="2014">
        <v>180</v>
      </c>
      <c r="BD6" s="1399"/>
      <c r="BE6" s="1391">
        <v>42644</v>
      </c>
      <c r="BF6" s="1397" t="s">
        <v>7935</v>
      </c>
      <c r="BG6" s="2014">
        <v>288</v>
      </c>
      <c r="BH6" s="1399"/>
      <c r="BI6" s="1391">
        <v>43009</v>
      </c>
      <c r="BJ6" s="1397" t="s">
        <v>873</v>
      </c>
      <c r="BK6" s="2014">
        <v>16</v>
      </c>
      <c r="BL6" s="1399"/>
      <c r="BM6" s="1391">
        <v>43378</v>
      </c>
      <c r="BN6" s="1397" t="s">
        <v>7814</v>
      </c>
      <c r="BO6" s="2014">
        <v>31</v>
      </c>
      <c r="BP6" s="1399"/>
      <c r="BQ6" s="1391">
        <v>43739</v>
      </c>
      <c r="BR6" s="1393" t="s">
        <v>6814</v>
      </c>
      <c r="BS6" s="2014">
        <v>15</v>
      </c>
      <c r="BT6" s="1392"/>
      <c r="BU6" s="1391">
        <v>43739</v>
      </c>
      <c r="BV6" s="1393" t="s">
        <v>792</v>
      </c>
      <c r="BW6" s="2014">
        <v>30</v>
      </c>
      <c r="BX6" s="1392" t="s">
        <v>689</v>
      </c>
      <c r="BY6" s="1391">
        <v>44470</v>
      </c>
      <c r="BZ6" s="1393" t="s">
        <v>7936</v>
      </c>
      <c r="CA6" s="1390">
        <v>1276</v>
      </c>
      <c r="CB6" s="1392" t="s">
        <v>689</v>
      </c>
      <c r="CC6" s="1391">
        <v>44470</v>
      </c>
      <c r="CD6" s="1393" t="s">
        <v>7936</v>
      </c>
      <c r="CE6" s="1390" t="s">
        <v>37</v>
      </c>
      <c r="CF6" s="1392" t="s">
        <v>689</v>
      </c>
      <c r="CG6" s="2003">
        <v>45200</v>
      </c>
      <c r="CH6" s="1402" t="s">
        <v>794</v>
      </c>
      <c r="CI6" s="1403">
        <v>2400</v>
      </c>
      <c r="CJ6" s="1392" t="s">
        <v>689</v>
      </c>
      <c r="CK6" s="2003">
        <v>45200</v>
      </c>
      <c r="CL6" s="2015" t="s">
        <v>794</v>
      </c>
      <c r="CM6" s="1403">
        <v>2400</v>
      </c>
      <c r="CN6" s="1392" t="s">
        <v>689</v>
      </c>
    </row>
    <row r="7" spans="1:92" ht="14.25">
      <c r="A7" s="2011">
        <v>37530</v>
      </c>
      <c r="B7" s="1393" t="s">
        <v>400</v>
      </c>
      <c r="C7" s="2014">
        <v>0</v>
      </c>
      <c r="D7" s="1399">
        <v>0</v>
      </c>
      <c r="E7" s="1391">
        <v>37895</v>
      </c>
      <c r="F7" s="1393" t="s">
        <v>400</v>
      </c>
      <c r="G7" s="2014">
        <v>0</v>
      </c>
      <c r="H7" s="1399">
        <v>0</v>
      </c>
      <c r="I7" s="1391">
        <v>37895</v>
      </c>
      <c r="J7" s="1393" t="s">
        <v>400</v>
      </c>
      <c r="K7" s="2014">
        <v>0</v>
      </c>
      <c r="L7" s="1399">
        <v>0</v>
      </c>
      <c r="M7" s="1391">
        <v>38630</v>
      </c>
      <c r="N7" s="1393" t="s">
        <v>7937</v>
      </c>
      <c r="O7" s="2019">
        <v>25000</v>
      </c>
      <c r="P7" s="1399">
        <f t="shared" si="0"/>
        <v>581.39534883720933</v>
      </c>
      <c r="Q7" s="1391">
        <v>38991</v>
      </c>
      <c r="R7" s="1393" t="s">
        <v>7938</v>
      </c>
      <c r="S7" s="2014">
        <v>3</v>
      </c>
      <c r="T7" s="1399"/>
      <c r="U7" s="1391">
        <v>39361</v>
      </c>
      <c r="V7" s="1393" t="s">
        <v>7939</v>
      </c>
      <c r="W7" s="2014">
        <v>9</v>
      </c>
      <c r="X7" s="1399"/>
      <c r="Y7" s="1391">
        <v>39722</v>
      </c>
      <c r="Z7" s="1393" t="s">
        <v>937</v>
      </c>
      <c r="AA7" s="2014">
        <v>18</v>
      </c>
      <c r="AB7" s="1399"/>
      <c r="AC7" s="1391">
        <v>40089</v>
      </c>
      <c r="AD7" s="1393" t="s">
        <v>781</v>
      </c>
      <c r="AE7" s="2014">
        <v>120</v>
      </c>
      <c r="AF7" s="1399"/>
      <c r="AG7" s="1391">
        <v>40453</v>
      </c>
      <c r="AH7" s="1393" t="s">
        <v>7940</v>
      </c>
      <c r="AI7" s="2014">
        <v>37</v>
      </c>
      <c r="AJ7" s="1399"/>
      <c r="AK7" s="1391">
        <v>40817</v>
      </c>
      <c r="AL7" s="1393" t="s">
        <v>7941</v>
      </c>
      <c r="AM7" s="2014">
        <v>60</v>
      </c>
      <c r="AN7" s="1399"/>
      <c r="AO7" s="1391">
        <v>41183</v>
      </c>
      <c r="AP7" s="1393" t="s">
        <v>1770</v>
      </c>
      <c r="AQ7" s="2014">
        <v>30</v>
      </c>
      <c r="AR7" s="1399"/>
      <c r="AS7" s="1391">
        <v>41553</v>
      </c>
      <c r="AT7" s="1397" t="s">
        <v>7942</v>
      </c>
      <c r="AU7" s="2014">
        <v>11</v>
      </c>
      <c r="AV7" s="1399"/>
      <c r="AW7" s="1391">
        <v>41915</v>
      </c>
      <c r="AX7" s="1397" t="s">
        <v>7943</v>
      </c>
      <c r="AY7" s="2014">
        <v>8</v>
      </c>
      <c r="AZ7" s="1399"/>
      <c r="BA7" s="1391">
        <v>42278</v>
      </c>
      <c r="BB7" s="1397" t="s">
        <v>998</v>
      </c>
      <c r="BC7" s="2014">
        <v>25</v>
      </c>
      <c r="BD7" s="1399"/>
      <c r="BE7" s="1391">
        <v>42644</v>
      </c>
      <c r="BF7" s="1397" t="s">
        <v>7944</v>
      </c>
      <c r="BG7" s="2014">
        <v>83</v>
      </c>
      <c r="BH7" s="1399"/>
      <c r="BI7" s="1391">
        <v>43011</v>
      </c>
      <c r="BJ7" s="1397" t="s">
        <v>6087</v>
      </c>
      <c r="BK7" s="2014">
        <v>20</v>
      </c>
      <c r="BL7" s="1399"/>
      <c r="BM7" s="1391">
        <v>43379</v>
      </c>
      <c r="BN7" s="1397" t="s">
        <v>872</v>
      </c>
      <c r="BO7" s="2014">
        <v>14</v>
      </c>
      <c r="BP7" s="1399"/>
      <c r="BQ7" s="1391">
        <v>43739</v>
      </c>
      <c r="BR7" s="1393" t="s">
        <v>7945</v>
      </c>
      <c r="BS7" s="2014">
        <v>25</v>
      </c>
      <c r="BT7" s="1392" t="s">
        <v>414</v>
      </c>
      <c r="BU7" s="1391">
        <v>43739</v>
      </c>
      <c r="BV7" s="1393" t="s">
        <v>4004</v>
      </c>
      <c r="BW7" s="2014">
        <v>398</v>
      </c>
      <c r="BX7" s="1392" t="s">
        <v>689</v>
      </c>
      <c r="BY7" s="1391">
        <v>44470</v>
      </c>
      <c r="BZ7" s="1393" t="s">
        <v>7946</v>
      </c>
      <c r="CA7" s="1390">
        <v>331</v>
      </c>
      <c r="CB7" s="1392" t="s">
        <v>280</v>
      </c>
      <c r="CC7" s="1391">
        <v>44470</v>
      </c>
      <c r="CD7" s="1393" t="s">
        <v>760</v>
      </c>
      <c r="CE7" s="1390">
        <v>30</v>
      </c>
      <c r="CF7" s="1392" t="s">
        <v>689</v>
      </c>
      <c r="CG7" s="2003">
        <v>45200</v>
      </c>
      <c r="CH7" s="1402" t="s">
        <v>760</v>
      </c>
      <c r="CI7" s="1403">
        <v>75</v>
      </c>
      <c r="CJ7" s="1392" t="s">
        <v>689</v>
      </c>
      <c r="CK7" s="2003">
        <v>45200</v>
      </c>
      <c r="CL7" s="2015" t="s">
        <v>760</v>
      </c>
      <c r="CM7" s="1403">
        <v>75</v>
      </c>
      <c r="CN7" s="1392" t="s">
        <v>689</v>
      </c>
    </row>
    <row r="8" spans="1:92" ht="14.25">
      <c r="A8" s="2011">
        <v>37530</v>
      </c>
      <c r="B8" s="1393" t="s">
        <v>413</v>
      </c>
      <c r="C8" s="2008">
        <v>25</v>
      </c>
      <c r="D8" s="1408">
        <v>25</v>
      </c>
      <c r="E8" s="1391">
        <v>37895</v>
      </c>
      <c r="F8" s="1393" t="s">
        <v>413</v>
      </c>
      <c r="G8" s="2008">
        <v>5</v>
      </c>
      <c r="H8" s="1408">
        <v>25</v>
      </c>
      <c r="I8" s="1391">
        <v>37895</v>
      </c>
      <c r="J8" s="1393" t="s">
        <v>413</v>
      </c>
      <c r="K8" s="2008">
        <v>5</v>
      </c>
      <c r="L8" s="1408">
        <v>25</v>
      </c>
      <c r="M8" s="1391">
        <v>38631</v>
      </c>
      <c r="N8" s="1393" t="s">
        <v>7947</v>
      </c>
      <c r="O8" s="2020">
        <v>9200</v>
      </c>
      <c r="P8" s="1399">
        <f t="shared" si="0"/>
        <v>213.95348837209303</v>
      </c>
      <c r="Q8" s="1391">
        <v>38991</v>
      </c>
      <c r="R8" s="1393" t="s">
        <v>7948</v>
      </c>
      <c r="S8" s="2008">
        <v>0</v>
      </c>
      <c r="T8" s="1408"/>
      <c r="U8" s="1391">
        <v>39361</v>
      </c>
      <c r="V8" s="1393" t="s">
        <v>7949</v>
      </c>
      <c r="W8" s="2014">
        <v>30</v>
      </c>
      <c r="X8" s="1399"/>
      <c r="Y8" s="1391">
        <v>39724</v>
      </c>
      <c r="Z8" s="1393" t="s">
        <v>7950</v>
      </c>
      <c r="AA8" s="2014">
        <v>4</v>
      </c>
      <c r="AB8" s="1399"/>
      <c r="AC8" s="1391">
        <v>40089</v>
      </c>
      <c r="AD8" s="1393" t="s">
        <v>767</v>
      </c>
      <c r="AE8" s="2014">
        <v>16</v>
      </c>
      <c r="AF8" s="1399"/>
      <c r="AG8" s="1391">
        <v>40454</v>
      </c>
      <c r="AH8" s="1393" t="s">
        <v>7951</v>
      </c>
      <c r="AI8" s="2014">
        <v>30</v>
      </c>
      <c r="AJ8" s="1399"/>
      <c r="AK8" s="1391">
        <v>40817</v>
      </c>
      <c r="AL8" s="1393" t="s">
        <v>7952</v>
      </c>
      <c r="AM8" s="2014">
        <v>81</v>
      </c>
      <c r="AN8" s="1399"/>
      <c r="AO8" s="1391">
        <v>41183</v>
      </c>
      <c r="AP8" s="1393" t="s">
        <v>7953</v>
      </c>
      <c r="AQ8" s="2014">
        <v>21</v>
      </c>
      <c r="AR8" s="1399"/>
      <c r="AS8" s="1391">
        <v>41553</v>
      </c>
      <c r="AT8" s="1397" t="s">
        <v>7954</v>
      </c>
      <c r="AU8" s="2014">
        <v>34</v>
      </c>
      <c r="AV8" s="1399"/>
      <c r="AW8" s="1391">
        <v>41916</v>
      </c>
      <c r="AX8" s="1397" t="s">
        <v>772</v>
      </c>
      <c r="AY8" s="2014">
        <v>90</v>
      </c>
      <c r="AZ8" s="1399"/>
      <c r="BA8" s="1391">
        <v>42278</v>
      </c>
      <c r="BB8" s="1397" t="s">
        <v>7955</v>
      </c>
      <c r="BC8" s="2014">
        <v>82</v>
      </c>
      <c r="BD8" s="1399"/>
      <c r="BE8" s="1391">
        <v>42644</v>
      </c>
      <c r="BF8" s="1397" t="s">
        <v>823</v>
      </c>
      <c r="BG8" s="2014">
        <v>19</v>
      </c>
      <c r="BH8" s="1399"/>
      <c r="BI8" s="1391">
        <v>43011</v>
      </c>
      <c r="BJ8" s="1397" t="s">
        <v>7956</v>
      </c>
      <c r="BK8" s="2014">
        <v>32</v>
      </c>
      <c r="BL8" s="1399"/>
      <c r="BM8" s="1391">
        <v>43379</v>
      </c>
      <c r="BN8" s="1397" t="s">
        <v>859</v>
      </c>
      <c r="BO8" s="2014">
        <v>19</v>
      </c>
      <c r="BP8" s="1399"/>
      <c r="BQ8" s="1391">
        <v>43739</v>
      </c>
      <c r="BR8" s="1393" t="s">
        <v>7957</v>
      </c>
      <c r="BS8" s="2008">
        <v>60</v>
      </c>
      <c r="BT8" s="1392" t="s">
        <v>414</v>
      </c>
      <c r="BU8" s="1391">
        <v>44106</v>
      </c>
      <c r="BV8" s="1393" t="s">
        <v>7958</v>
      </c>
      <c r="BW8" s="2014"/>
      <c r="BX8" s="1392"/>
      <c r="BY8" s="1391">
        <v>44470</v>
      </c>
      <c r="BZ8" s="1393" t="s">
        <v>7959</v>
      </c>
      <c r="CA8" s="2014">
        <v>21</v>
      </c>
      <c r="CB8" s="1392" t="s">
        <v>414</v>
      </c>
      <c r="CC8" s="1391">
        <v>44470</v>
      </c>
      <c r="CD8" s="1393" t="s">
        <v>7960</v>
      </c>
      <c r="CE8" s="1390">
        <v>50</v>
      </c>
      <c r="CF8" s="1392" t="s">
        <v>414</v>
      </c>
      <c r="CG8" s="2003">
        <v>45200</v>
      </c>
      <c r="CH8" s="1402" t="s">
        <v>7095</v>
      </c>
      <c r="CI8" s="1403">
        <v>125</v>
      </c>
      <c r="CJ8" s="1392" t="s">
        <v>689</v>
      </c>
      <c r="CK8" s="2003">
        <v>45200</v>
      </c>
      <c r="CL8" s="2015" t="s">
        <v>7095</v>
      </c>
      <c r="CM8" s="1403">
        <v>125</v>
      </c>
      <c r="CN8" s="1392" t="s">
        <v>689</v>
      </c>
    </row>
    <row r="9" spans="1:92" ht="14.25">
      <c r="A9" s="2011">
        <v>37530</v>
      </c>
      <c r="B9" s="1397" t="s">
        <v>811</v>
      </c>
      <c r="C9" s="2014"/>
      <c r="D9" s="1399">
        <v>200</v>
      </c>
      <c r="E9" s="1391">
        <v>37895</v>
      </c>
      <c r="F9" s="1397" t="s">
        <v>811</v>
      </c>
      <c r="G9" s="2014"/>
      <c r="H9" s="1399">
        <v>0</v>
      </c>
      <c r="I9" s="1391">
        <v>37895</v>
      </c>
      <c r="J9" s="1397" t="s">
        <v>811</v>
      </c>
      <c r="K9" s="2014"/>
      <c r="L9" s="1399">
        <v>0</v>
      </c>
      <c r="M9" s="1391">
        <v>38631</v>
      </c>
      <c r="N9" s="1397" t="s">
        <v>7961</v>
      </c>
      <c r="O9" s="2019">
        <v>1990</v>
      </c>
      <c r="P9" s="1399">
        <f t="shared" si="0"/>
        <v>46.279069767441861</v>
      </c>
      <c r="Q9" s="1391">
        <v>38992</v>
      </c>
      <c r="R9" s="1397" t="s">
        <v>7962</v>
      </c>
      <c r="S9" s="2014">
        <v>95</v>
      </c>
      <c r="T9" s="1399"/>
      <c r="U9" s="1391">
        <v>39361</v>
      </c>
      <c r="V9" s="1393" t="s">
        <v>7963</v>
      </c>
      <c r="W9" s="2008">
        <v>23</v>
      </c>
      <c r="X9" s="1408"/>
      <c r="Y9" s="1391">
        <v>39724</v>
      </c>
      <c r="Z9" s="1393" t="s">
        <v>7964</v>
      </c>
      <c r="AA9" s="2008">
        <v>3</v>
      </c>
      <c r="AB9" s="1408"/>
      <c r="AC9" s="1391">
        <v>40090</v>
      </c>
      <c r="AD9" s="1397" t="s">
        <v>797</v>
      </c>
      <c r="AE9" s="2014">
        <v>41</v>
      </c>
      <c r="AF9" s="1399"/>
      <c r="AG9" s="1391">
        <v>40453</v>
      </c>
      <c r="AH9" s="1397" t="s">
        <v>1052</v>
      </c>
      <c r="AI9" s="2014">
        <v>20</v>
      </c>
      <c r="AJ9" s="1399"/>
      <c r="AK9" s="1391">
        <v>40820</v>
      </c>
      <c r="AL9" s="1397" t="s">
        <v>7965</v>
      </c>
      <c r="AM9" s="2014">
        <v>65</v>
      </c>
      <c r="AN9" s="1399"/>
      <c r="AO9" s="1391">
        <v>41183</v>
      </c>
      <c r="AP9" s="1397" t="s">
        <v>867</v>
      </c>
      <c r="AQ9" s="2014">
        <v>12</v>
      </c>
      <c r="AR9" s="1399"/>
      <c r="AS9" s="1391">
        <v>41554</v>
      </c>
      <c r="AT9" s="1397" t="s">
        <v>885</v>
      </c>
      <c r="AU9" s="2014">
        <v>32</v>
      </c>
      <c r="AV9" s="1399"/>
      <c r="AW9" s="1391">
        <v>41916</v>
      </c>
      <c r="AX9" s="1397" t="s">
        <v>7966</v>
      </c>
      <c r="AY9" s="2014">
        <v>6</v>
      </c>
      <c r="AZ9" s="1399"/>
      <c r="BA9" s="1391">
        <v>42279</v>
      </c>
      <c r="BB9" s="1397" t="s">
        <v>7967</v>
      </c>
      <c r="BC9" s="2014">
        <v>20</v>
      </c>
      <c r="BD9" s="1399"/>
      <c r="BE9" s="1391">
        <v>42644</v>
      </c>
      <c r="BF9" s="1397" t="s">
        <v>859</v>
      </c>
      <c r="BG9" s="2014">
        <v>14</v>
      </c>
      <c r="BH9" s="1399"/>
      <c r="BI9" s="1391">
        <v>43011</v>
      </c>
      <c r="BJ9" s="1397" t="s">
        <v>7968</v>
      </c>
      <c r="BK9" s="2014">
        <v>108</v>
      </c>
      <c r="BL9" s="1399"/>
      <c r="BM9" s="1391">
        <v>43379</v>
      </c>
      <c r="BN9" s="1397" t="s">
        <v>797</v>
      </c>
      <c r="BO9" s="2014">
        <v>41</v>
      </c>
      <c r="BP9" s="1399"/>
      <c r="BQ9" s="1391">
        <v>43739</v>
      </c>
      <c r="BR9" s="1393" t="s">
        <v>7969</v>
      </c>
      <c r="BS9" s="2008">
        <v>15</v>
      </c>
      <c r="BT9" s="1392" t="s">
        <v>414</v>
      </c>
      <c r="BU9" s="1391">
        <v>44106</v>
      </c>
      <c r="BV9" s="1393" t="s">
        <v>7970</v>
      </c>
      <c r="BW9" s="2008">
        <v>1900</v>
      </c>
      <c r="BX9" s="1392" t="s">
        <v>701</v>
      </c>
      <c r="BY9" s="1391">
        <v>44470</v>
      </c>
      <c r="BZ9" s="1393" t="s">
        <v>7971</v>
      </c>
      <c r="CA9" s="2008">
        <v>9</v>
      </c>
      <c r="CB9" s="1392" t="s">
        <v>414</v>
      </c>
      <c r="CC9" s="1391">
        <v>44470</v>
      </c>
      <c r="CD9" s="1393" t="s">
        <v>7972</v>
      </c>
      <c r="CE9" s="2014">
        <v>100</v>
      </c>
      <c r="CF9" s="1392" t="s">
        <v>414</v>
      </c>
      <c r="CG9" s="2003">
        <v>45200</v>
      </c>
      <c r="CH9" s="1402" t="s">
        <v>7109</v>
      </c>
      <c r="CI9" s="1403">
        <v>25</v>
      </c>
      <c r="CJ9" s="1392" t="s">
        <v>689</v>
      </c>
      <c r="CK9" s="2003">
        <v>45200</v>
      </c>
      <c r="CL9" s="2015" t="s">
        <v>7109</v>
      </c>
      <c r="CM9" s="1403">
        <v>25</v>
      </c>
      <c r="CN9" s="1392" t="s">
        <v>689</v>
      </c>
    </row>
    <row r="10" spans="1:92" ht="14.25">
      <c r="A10" s="2011">
        <v>37530</v>
      </c>
      <c r="B10" s="1397" t="s">
        <v>7973</v>
      </c>
      <c r="C10" s="2014">
        <v>14</v>
      </c>
      <c r="D10" s="1399"/>
      <c r="E10" s="1391">
        <v>37895</v>
      </c>
      <c r="F10" s="1397" t="s">
        <v>415</v>
      </c>
      <c r="G10" s="2014">
        <v>53</v>
      </c>
      <c r="H10" s="1399"/>
      <c r="I10" s="1391">
        <v>37895</v>
      </c>
      <c r="J10" s="1397" t="s">
        <v>415</v>
      </c>
      <c r="K10" s="2014">
        <v>53</v>
      </c>
      <c r="L10" s="1399"/>
      <c r="M10" s="1391">
        <v>38631</v>
      </c>
      <c r="N10" s="1397" t="s">
        <v>7974</v>
      </c>
      <c r="O10" s="2019">
        <v>290</v>
      </c>
      <c r="P10" s="1399">
        <f t="shared" si="0"/>
        <v>6.7441860465116283</v>
      </c>
      <c r="Q10" s="1391">
        <v>38992</v>
      </c>
      <c r="R10" s="1397" t="s">
        <v>7975</v>
      </c>
      <c r="S10" s="2014">
        <v>10</v>
      </c>
      <c r="T10" s="1399"/>
      <c r="U10" s="1391">
        <v>39361</v>
      </c>
      <c r="V10" s="1397" t="s">
        <v>937</v>
      </c>
      <c r="W10" s="2014">
        <v>8</v>
      </c>
      <c r="X10" s="1399"/>
      <c r="Y10" s="1391">
        <v>39724</v>
      </c>
      <c r="Z10" s="1397" t="s">
        <v>781</v>
      </c>
      <c r="AA10" s="2014">
        <v>15</v>
      </c>
      <c r="AB10" s="1399"/>
      <c r="AC10" s="1391">
        <v>40093</v>
      </c>
      <c r="AD10" s="1397" t="s">
        <v>797</v>
      </c>
      <c r="AE10" s="2014">
        <v>37</v>
      </c>
      <c r="AF10" s="1399"/>
      <c r="AG10" s="1391">
        <v>40454</v>
      </c>
      <c r="AH10" s="1397" t="s">
        <v>7976</v>
      </c>
      <c r="AI10" s="2014">
        <v>24</v>
      </c>
      <c r="AJ10" s="1399"/>
      <c r="AK10" s="1391">
        <v>40820</v>
      </c>
      <c r="AL10" s="1397" t="s">
        <v>7977</v>
      </c>
      <c r="AM10" s="2014">
        <v>14</v>
      </c>
      <c r="AN10" s="1399"/>
      <c r="AO10" s="1391">
        <v>41184</v>
      </c>
      <c r="AP10" s="1397" t="s">
        <v>1944</v>
      </c>
      <c r="AQ10" s="2014">
        <v>9</v>
      </c>
      <c r="AR10" s="1399"/>
      <c r="AS10" s="1391">
        <v>41554</v>
      </c>
      <c r="AT10" s="1397" t="s">
        <v>7978</v>
      </c>
      <c r="AU10" s="2014">
        <v>9</v>
      </c>
      <c r="AV10" s="1399"/>
      <c r="AW10" s="1391">
        <v>41916</v>
      </c>
      <c r="AX10" s="1397" t="s">
        <v>5708</v>
      </c>
      <c r="AY10" s="2014">
        <v>49</v>
      </c>
      <c r="AZ10" s="1399"/>
      <c r="BA10" s="1391">
        <v>42279</v>
      </c>
      <c r="BB10" s="1397" t="s">
        <v>855</v>
      </c>
      <c r="BC10" s="2014">
        <v>7</v>
      </c>
      <c r="BD10" s="1399"/>
      <c r="BE10" s="1391">
        <v>42644</v>
      </c>
      <c r="BF10" s="1397" t="s">
        <v>7979</v>
      </c>
      <c r="BG10" s="2014">
        <v>26</v>
      </c>
      <c r="BH10" s="1399"/>
      <c r="BI10" s="1391">
        <v>43013</v>
      </c>
      <c r="BJ10" s="1397" t="s">
        <v>872</v>
      </c>
      <c r="BK10" s="2014">
        <v>23</v>
      </c>
      <c r="BL10" s="1399"/>
      <c r="BM10" s="1391">
        <v>43380</v>
      </c>
      <c r="BN10" s="1397" t="s">
        <v>873</v>
      </c>
      <c r="BO10" s="2014">
        <v>23</v>
      </c>
      <c r="BP10" s="1399"/>
      <c r="BQ10" s="1391">
        <v>43739</v>
      </c>
      <c r="BR10" s="1393" t="s">
        <v>1138</v>
      </c>
      <c r="BS10" s="2008">
        <v>10</v>
      </c>
      <c r="BT10" s="1392" t="s">
        <v>414</v>
      </c>
      <c r="BU10" s="1391">
        <v>44107</v>
      </c>
      <c r="BV10" s="1393" t="s">
        <v>1427</v>
      </c>
      <c r="BW10" s="2008">
        <v>11</v>
      </c>
      <c r="BX10" s="1392" t="s">
        <v>414</v>
      </c>
      <c r="BY10" s="1391">
        <v>44470</v>
      </c>
      <c r="BZ10" s="1393" t="s">
        <v>7980</v>
      </c>
      <c r="CA10" s="2008">
        <v>16</v>
      </c>
      <c r="CB10" s="1392" t="s">
        <v>414</v>
      </c>
      <c r="CC10" s="1391">
        <v>44470</v>
      </c>
      <c r="CD10" s="1393" t="s">
        <v>843</v>
      </c>
      <c r="CE10" s="2008">
        <v>27</v>
      </c>
      <c r="CF10" s="1392" t="s">
        <v>414</v>
      </c>
      <c r="CG10" s="2003">
        <v>45200</v>
      </c>
      <c r="CH10" s="1393" t="s">
        <v>7981</v>
      </c>
      <c r="CI10" s="2008">
        <v>8</v>
      </c>
      <c r="CJ10" s="1392" t="s">
        <v>280</v>
      </c>
      <c r="CK10" s="2003">
        <v>45200</v>
      </c>
      <c r="CL10" s="2005" t="s">
        <v>7982</v>
      </c>
      <c r="CM10" s="2008">
        <v>35</v>
      </c>
      <c r="CN10" s="1392" t="s">
        <v>381</v>
      </c>
    </row>
    <row r="11" spans="1:92" ht="14.25">
      <c r="A11" s="2011">
        <v>37531</v>
      </c>
      <c r="B11" s="1397" t="s">
        <v>797</v>
      </c>
      <c r="C11" s="2014">
        <v>28</v>
      </c>
      <c r="D11" s="1399"/>
      <c r="E11" s="1391">
        <v>37895</v>
      </c>
      <c r="F11" s="1397" t="s">
        <v>847</v>
      </c>
      <c r="G11" s="2014">
        <v>70</v>
      </c>
      <c r="H11" s="1399"/>
      <c r="I11" s="1391">
        <v>37895</v>
      </c>
      <c r="J11" s="1397" t="s">
        <v>847</v>
      </c>
      <c r="K11" s="2014">
        <v>70</v>
      </c>
      <c r="L11" s="1399"/>
      <c r="M11" s="1391">
        <v>38632</v>
      </c>
      <c r="N11" s="1397" t="s">
        <v>7983</v>
      </c>
      <c r="O11" s="2019">
        <v>500</v>
      </c>
      <c r="P11" s="1399">
        <f t="shared" si="0"/>
        <v>11.627906976744185</v>
      </c>
      <c r="Q11" s="1391">
        <v>38992</v>
      </c>
      <c r="R11" s="1397" t="s">
        <v>802</v>
      </c>
      <c r="S11" s="2014">
        <v>38</v>
      </c>
      <c r="T11" s="1399"/>
      <c r="U11" s="1391">
        <v>39365</v>
      </c>
      <c r="V11" s="1397" t="s">
        <v>7984</v>
      </c>
      <c r="W11" s="2014">
        <v>270</v>
      </c>
      <c r="X11" s="1399"/>
      <c r="Y11" s="1391">
        <v>39725</v>
      </c>
      <c r="Z11" s="1397" t="s">
        <v>781</v>
      </c>
      <c r="AA11" s="2014">
        <v>8</v>
      </c>
      <c r="AB11" s="1399"/>
      <c r="AC11" s="1391">
        <v>40095</v>
      </c>
      <c r="AD11" s="1397" t="s">
        <v>781</v>
      </c>
      <c r="AE11" s="2014">
        <v>83</v>
      </c>
      <c r="AF11" s="1399"/>
      <c r="AG11" s="1391">
        <v>40455</v>
      </c>
      <c r="AH11" s="1397" t="s">
        <v>7985</v>
      </c>
      <c r="AI11" s="2014">
        <v>4</v>
      </c>
      <c r="AJ11" s="1399"/>
      <c r="AK11" s="1391">
        <v>40821</v>
      </c>
      <c r="AL11" s="1397" t="s">
        <v>767</v>
      </c>
      <c r="AM11" s="2014">
        <v>4</v>
      </c>
      <c r="AN11" s="1399"/>
      <c r="AO11" s="1391">
        <v>41185</v>
      </c>
      <c r="AP11" s="1397" t="s">
        <v>3386</v>
      </c>
      <c r="AQ11" s="2014">
        <v>15</v>
      </c>
      <c r="AR11" s="1399"/>
      <c r="AS11" s="1391">
        <v>41554</v>
      </c>
      <c r="AT11" s="1397" t="s">
        <v>7986</v>
      </c>
      <c r="AU11" s="2014">
        <v>9</v>
      </c>
      <c r="AV11" s="1399"/>
      <c r="AW11" s="1391">
        <v>41916</v>
      </c>
      <c r="AX11" s="1397" t="s">
        <v>7987</v>
      </c>
      <c r="AY11" s="2014">
        <v>45</v>
      </c>
      <c r="AZ11" s="1399"/>
      <c r="BA11" s="1391">
        <v>42280</v>
      </c>
      <c r="BB11" s="1397" t="s">
        <v>2439</v>
      </c>
      <c r="BC11" s="2014">
        <v>52</v>
      </c>
      <c r="BD11" s="1399"/>
      <c r="BE11" s="1391">
        <v>42645</v>
      </c>
      <c r="BF11" s="1397" t="s">
        <v>797</v>
      </c>
      <c r="BG11" s="2014">
        <v>28</v>
      </c>
      <c r="BH11" s="1399"/>
      <c r="BI11" s="1391">
        <v>43013</v>
      </c>
      <c r="BJ11" s="1397" t="s">
        <v>7988</v>
      </c>
      <c r="BK11" s="2014">
        <v>3</v>
      </c>
      <c r="BL11" s="1399"/>
      <c r="BM11" s="1391">
        <v>43380</v>
      </c>
      <c r="BN11" s="1397" t="s">
        <v>7838</v>
      </c>
      <c r="BO11" s="2014">
        <v>50</v>
      </c>
      <c r="BP11" s="1399"/>
      <c r="BQ11" s="1391">
        <v>43739</v>
      </c>
      <c r="BR11" s="1393" t="s">
        <v>7989</v>
      </c>
      <c r="BS11" s="2014">
        <v>8</v>
      </c>
      <c r="BT11" s="1392" t="s">
        <v>414</v>
      </c>
      <c r="BU11" s="1391">
        <v>44107</v>
      </c>
      <c r="BV11" s="1393" t="s">
        <v>7990</v>
      </c>
      <c r="BW11" s="2008">
        <v>45</v>
      </c>
      <c r="BX11" s="1392" t="s">
        <v>414</v>
      </c>
      <c r="BY11" s="1391">
        <v>44470</v>
      </c>
      <c r="BZ11" s="1393" t="s">
        <v>7991</v>
      </c>
      <c r="CA11" s="2008">
        <v>50</v>
      </c>
      <c r="CB11" s="1392" t="s">
        <v>414</v>
      </c>
      <c r="CC11" s="1391">
        <v>44470</v>
      </c>
      <c r="CD11" s="1393" t="s">
        <v>772</v>
      </c>
      <c r="CE11" s="2008">
        <v>30</v>
      </c>
      <c r="CF11" s="1392" t="s">
        <v>414</v>
      </c>
      <c r="CG11" s="2003">
        <v>45200</v>
      </c>
      <c r="CH11" s="1393" t="s">
        <v>7992</v>
      </c>
      <c r="CI11" s="2008">
        <v>45</v>
      </c>
      <c r="CJ11" s="1392" t="s">
        <v>414</v>
      </c>
      <c r="CK11" s="2003">
        <v>45200</v>
      </c>
      <c r="CL11" s="2005" t="s">
        <v>7993</v>
      </c>
      <c r="CM11" s="2008">
        <v>26</v>
      </c>
      <c r="CN11" s="1392" t="s">
        <v>698</v>
      </c>
    </row>
    <row r="12" spans="1:92" ht="14.25">
      <c r="A12" s="2011">
        <v>37533</v>
      </c>
      <c r="B12" s="1397" t="s">
        <v>7217</v>
      </c>
      <c r="C12" s="2014">
        <v>500</v>
      </c>
      <c r="D12" s="1399">
        <v>250</v>
      </c>
      <c r="E12" s="1391">
        <v>37895</v>
      </c>
      <c r="F12" s="1397" t="s">
        <v>864</v>
      </c>
      <c r="G12" s="2014">
        <v>30</v>
      </c>
      <c r="H12" s="1399">
        <v>50</v>
      </c>
      <c r="I12" s="1391">
        <v>37895</v>
      </c>
      <c r="J12" s="1397" t="s">
        <v>864</v>
      </c>
      <c r="K12" s="2014">
        <v>30</v>
      </c>
      <c r="L12" s="1399">
        <v>50</v>
      </c>
      <c r="M12" s="1391">
        <v>38632</v>
      </c>
      <c r="N12" s="1397" t="s">
        <v>7994</v>
      </c>
      <c r="O12" s="2019">
        <v>500</v>
      </c>
      <c r="P12" s="1399">
        <f t="shared" si="0"/>
        <v>11.627906976744185</v>
      </c>
      <c r="Q12" s="1391">
        <v>38995</v>
      </c>
      <c r="R12" s="1397" t="s">
        <v>7995</v>
      </c>
      <c r="S12" s="2014">
        <v>15</v>
      </c>
      <c r="T12" s="1399"/>
      <c r="U12" s="1391">
        <v>39368</v>
      </c>
      <c r="V12" s="1397" t="s">
        <v>797</v>
      </c>
      <c r="W12" s="2014">
        <v>49</v>
      </c>
      <c r="X12" s="1399"/>
      <c r="Y12" s="1391">
        <v>39725</v>
      </c>
      <c r="Z12" s="1397" t="s">
        <v>7996</v>
      </c>
      <c r="AA12" s="2014">
        <v>5</v>
      </c>
      <c r="AB12" s="1399"/>
      <c r="AC12" s="1391">
        <v>40096</v>
      </c>
      <c r="AD12" s="1397" t="s">
        <v>772</v>
      </c>
      <c r="AE12" s="2014">
        <v>82</v>
      </c>
      <c r="AF12" s="1399"/>
      <c r="AG12" s="1391">
        <v>40458</v>
      </c>
      <c r="AH12" s="1397" t="s">
        <v>7997</v>
      </c>
      <c r="AI12" s="2014">
        <v>13</v>
      </c>
      <c r="AJ12" s="1399"/>
      <c r="AK12" s="1391">
        <v>40821</v>
      </c>
      <c r="AL12" s="1397" t="s">
        <v>7998</v>
      </c>
      <c r="AM12" s="2014">
        <v>30</v>
      </c>
      <c r="AN12" s="1399"/>
      <c r="AO12" s="1391">
        <v>41185</v>
      </c>
      <c r="AP12" s="1397" t="s">
        <v>802</v>
      </c>
      <c r="AQ12" s="2014">
        <v>35</v>
      </c>
      <c r="AR12" s="1399"/>
      <c r="AS12" s="1391">
        <v>41554</v>
      </c>
      <c r="AT12" s="1397" t="s">
        <v>7999</v>
      </c>
      <c r="AU12" s="2014">
        <v>5</v>
      </c>
      <c r="AV12" s="1399"/>
      <c r="AW12" s="1391">
        <v>41916</v>
      </c>
      <c r="AX12" s="1397" t="s">
        <v>754</v>
      </c>
      <c r="AY12" s="2014">
        <v>50</v>
      </c>
      <c r="AZ12" s="1399"/>
      <c r="BA12" s="1391">
        <v>42280</v>
      </c>
      <c r="BB12" s="1397" t="s">
        <v>8000</v>
      </c>
      <c r="BC12" s="2014">
        <v>3</v>
      </c>
      <c r="BD12" s="1399"/>
      <c r="BE12" s="1391">
        <v>42645</v>
      </c>
      <c r="BF12" s="1397" t="s">
        <v>5422</v>
      </c>
      <c r="BG12" s="2014">
        <v>40</v>
      </c>
      <c r="BH12" s="1399"/>
      <c r="BI12" s="1391">
        <v>43013</v>
      </c>
      <c r="BJ12" s="1397" t="s">
        <v>8001</v>
      </c>
      <c r="BK12" s="2014">
        <v>33</v>
      </c>
      <c r="BL12" s="1399"/>
      <c r="BM12" s="1391">
        <v>43380</v>
      </c>
      <c r="BN12" s="1397" t="s">
        <v>8002</v>
      </c>
      <c r="BO12" s="2014">
        <v>10</v>
      </c>
      <c r="BP12" s="1399"/>
      <c r="BQ12" s="1391">
        <v>43739</v>
      </c>
      <c r="BR12" s="1393" t="s">
        <v>8003</v>
      </c>
      <c r="BS12" s="2014">
        <v>19</v>
      </c>
      <c r="BT12" s="1392" t="s">
        <v>414</v>
      </c>
      <c r="BU12" s="1391">
        <v>44107</v>
      </c>
      <c r="BV12" s="1393" t="s">
        <v>8004</v>
      </c>
      <c r="BW12" s="2014">
        <v>15</v>
      </c>
      <c r="BX12" s="1392" t="s">
        <v>414</v>
      </c>
      <c r="BY12" s="1391">
        <v>44470</v>
      </c>
      <c r="BZ12" s="1393" t="s">
        <v>8005</v>
      </c>
      <c r="CA12" s="2014">
        <v>16</v>
      </c>
      <c r="CB12" s="1392" t="s">
        <v>414</v>
      </c>
      <c r="CC12" s="1391">
        <v>44470</v>
      </c>
      <c r="CD12" s="1393" t="s">
        <v>872</v>
      </c>
      <c r="CE12" s="2008">
        <v>18</v>
      </c>
      <c r="CF12" s="1392" t="s">
        <v>414</v>
      </c>
      <c r="CG12" s="2003">
        <v>45200</v>
      </c>
      <c r="CH12" s="1393" t="s">
        <v>8006</v>
      </c>
      <c r="CI12" s="2008">
        <v>75</v>
      </c>
      <c r="CJ12" s="1392" t="s">
        <v>280</v>
      </c>
      <c r="CK12" s="2003">
        <v>45200</v>
      </c>
      <c r="CL12" s="2005" t="s">
        <v>4574</v>
      </c>
      <c r="CM12" s="2008">
        <v>24</v>
      </c>
      <c r="CN12" s="1392" t="s">
        <v>278</v>
      </c>
    </row>
    <row r="13" spans="1:92" ht="14.25">
      <c r="A13" s="2011">
        <v>37534</v>
      </c>
      <c r="B13" s="1397" t="s">
        <v>8007</v>
      </c>
      <c r="C13" s="2014"/>
      <c r="D13" s="1399">
        <v>64</v>
      </c>
      <c r="E13" s="1391">
        <v>37895</v>
      </c>
      <c r="F13" s="1397" t="s">
        <v>419</v>
      </c>
      <c r="G13" s="2014">
        <v>268</v>
      </c>
      <c r="H13" s="1399">
        <v>30</v>
      </c>
      <c r="I13" s="1391">
        <v>37895</v>
      </c>
      <c r="J13" s="1397" t="s">
        <v>419</v>
      </c>
      <c r="K13" s="2014">
        <v>268</v>
      </c>
      <c r="L13" s="1399">
        <v>30</v>
      </c>
      <c r="M13" s="1391">
        <v>38633</v>
      </c>
      <c r="N13" s="1397" t="s">
        <v>7994</v>
      </c>
      <c r="O13" s="2019">
        <v>1000</v>
      </c>
      <c r="P13" s="1399">
        <f t="shared" si="0"/>
        <v>23.255813953488371</v>
      </c>
      <c r="Q13" s="1391">
        <v>38995</v>
      </c>
      <c r="R13" s="1397" t="s">
        <v>8008</v>
      </c>
      <c r="S13" s="2014">
        <v>14</v>
      </c>
      <c r="T13" s="1399"/>
      <c r="U13" s="1391">
        <v>39368</v>
      </c>
      <c r="V13" s="1397" t="s">
        <v>1810</v>
      </c>
      <c r="W13" s="2014">
        <v>49</v>
      </c>
      <c r="X13" s="1399"/>
      <c r="Y13" s="1391">
        <v>39725</v>
      </c>
      <c r="Z13" s="1397" t="s">
        <v>8009</v>
      </c>
      <c r="AA13" s="2014">
        <v>0</v>
      </c>
      <c r="AB13" s="1399"/>
      <c r="AC13" s="1391">
        <v>40096</v>
      </c>
      <c r="AD13" s="1397" t="s">
        <v>4378</v>
      </c>
      <c r="AE13" s="2014">
        <v>15</v>
      </c>
      <c r="AF13" s="1399"/>
      <c r="AG13" s="1391">
        <v>40460</v>
      </c>
      <c r="AH13" s="1397" t="s">
        <v>802</v>
      </c>
      <c r="AI13" s="2014">
        <v>10</v>
      </c>
      <c r="AJ13" s="1399"/>
      <c r="AK13" s="1391">
        <v>40824</v>
      </c>
      <c r="AL13" s="1397" t="s">
        <v>7952</v>
      </c>
      <c r="AM13" s="2014">
        <v>102</v>
      </c>
      <c r="AN13" s="1399"/>
      <c r="AO13" s="1391">
        <v>41185</v>
      </c>
      <c r="AP13" s="1397" t="s">
        <v>8010</v>
      </c>
      <c r="AQ13" s="2014">
        <v>7</v>
      </c>
      <c r="AR13" s="1399"/>
      <c r="AS13" s="1391">
        <v>41554</v>
      </c>
      <c r="AT13" s="1397" t="s">
        <v>8011</v>
      </c>
      <c r="AU13" s="2014">
        <v>11</v>
      </c>
      <c r="AV13" s="1399"/>
      <c r="AW13" s="1391">
        <v>41916</v>
      </c>
      <c r="AX13" s="1397" t="s">
        <v>2691</v>
      </c>
      <c r="AY13" s="2014">
        <v>77</v>
      </c>
      <c r="AZ13" s="1399"/>
      <c r="BA13" s="1391">
        <v>42281</v>
      </c>
      <c r="BB13" s="1397" t="s">
        <v>8012</v>
      </c>
      <c r="BC13" s="2014">
        <v>20</v>
      </c>
      <c r="BD13" s="1399"/>
      <c r="BE13" s="1391">
        <v>42645</v>
      </c>
      <c r="BF13" s="1397" t="s">
        <v>8013</v>
      </c>
      <c r="BG13" s="2014">
        <v>125</v>
      </c>
      <c r="BH13" s="1399"/>
      <c r="BI13" s="1391">
        <v>43014</v>
      </c>
      <c r="BJ13" s="1397" t="s">
        <v>859</v>
      </c>
      <c r="BK13" s="2014">
        <v>29</v>
      </c>
      <c r="BL13" s="1399"/>
      <c r="BM13" s="1391">
        <v>43381</v>
      </c>
      <c r="BN13" s="1397" t="s">
        <v>7814</v>
      </c>
      <c r="BO13" s="2014">
        <v>20</v>
      </c>
      <c r="BP13" s="1399"/>
      <c r="BQ13" s="1391">
        <v>43739</v>
      </c>
      <c r="BR13" s="1393" t="s">
        <v>4085</v>
      </c>
      <c r="BS13" s="2014">
        <v>8</v>
      </c>
      <c r="BT13" s="1392" t="s">
        <v>414</v>
      </c>
      <c r="BU13" s="1391">
        <v>43739</v>
      </c>
      <c r="BV13" s="1393" t="s">
        <v>8014</v>
      </c>
      <c r="BW13" s="2014">
        <v>35</v>
      </c>
      <c r="BX13" s="1392" t="s">
        <v>414</v>
      </c>
      <c r="BY13" s="1391">
        <v>44470</v>
      </c>
      <c r="BZ13" s="1393" t="s">
        <v>8015</v>
      </c>
      <c r="CA13" s="2014">
        <v>25</v>
      </c>
      <c r="CB13" s="1392" t="s">
        <v>414</v>
      </c>
      <c r="CC13" s="1391">
        <v>44470</v>
      </c>
      <c r="CD13" s="1393" t="s">
        <v>2079</v>
      </c>
      <c r="CE13" s="2014">
        <v>8</v>
      </c>
      <c r="CF13" s="1392" t="s">
        <v>414</v>
      </c>
      <c r="CG13" s="2003">
        <v>45200</v>
      </c>
      <c r="CH13" s="1393" t="s">
        <v>8016</v>
      </c>
      <c r="CI13" s="2008">
        <v>82</v>
      </c>
      <c r="CJ13" s="1392" t="s">
        <v>700</v>
      </c>
      <c r="CK13" s="2003">
        <v>45200</v>
      </c>
      <c r="CL13" s="2005" t="s">
        <v>8017</v>
      </c>
      <c r="CM13" s="2008">
        <v>40</v>
      </c>
      <c r="CN13" s="1392" t="s">
        <v>426</v>
      </c>
    </row>
    <row r="14" spans="1:92" ht="14.25">
      <c r="A14" s="2011">
        <v>37534</v>
      </c>
      <c r="B14" s="1397" t="s">
        <v>410</v>
      </c>
      <c r="C14" s="2014">
        <v>24</v>
      </c>
      <c r="D14" s="1399"/>
      <c r="E14" s="1391">
        <v>37895</v>
      </c>
      <c r="F14" s="1397" t="s">
        <v>2447</v>
      </c>
      <c r="G14" s="2014">
        <v>500</v>
      </c>
      <c r="H14" s="1399">
        <v>260</v>
      </c>
      <c r="I14" s="1391">
        <v>37895</v>
      </c>
      <c r="J14" s="1397" t="s">
        <v>2447</v>
      </c>
      <c r="K14" s="2014">
        <v>500</v>
      </c>
      <c r="L14" s="1399">
        <v>260</v>
      </c>
      <c r="M14" s="1391">
        <v>38634</v>
      </c>
      <c r="N14" s="1397" t="s">
        <v>7994</v>
      </c>
      <c r="O14" s="2019">
        <v>1000</v>
      </c>
      <c r="P14" s="1399">
        <f t="shared" si="0"/>
        <v>23.255813953488371</v>
      </c>
      <c r="Q14" s="1391">
        <v>38995</v>
      </c>
      <c r="R14" s="1397" t="s">
        <v>8018</v>
      </c>
      <c r="S14" s="2014">
        <v>2</v>
      </c>
      <c r="T14" s="1399"/>
      <c r="U14" s="1391">
        <v>39368</v>
      </c>
      <c r="V14" s="1397" t="s">
        <v>1157</v>
      </c>
      <c r="W14" s="2014">
        <v>42</v>
      </c>
      <c r="X14" s="1399"/>
      <c r="Y14" s="1391">
        <v>39725</v>
      </c>
      <c r="Z14" s="1397" t="s">
        <v>8019</v>
      </c>
      <c r="AA14" s="2014">
        <v>12</v>
      </c>
      <c r="AB14" s="1399"/>
      <c r="AC14" s="1391">
        <v>40096</v>
      </c>
      <c r="AD14" s="1397" t="s">
        <v>8020</v>
      </c>
      <c r="AE14" s="2014">
        <v>4</v>
      </c>
      <c r="AF14" s="1399"/>
      <c r="AG14" s="1391">
        <v>40460</v>
      </c>
      <c r="AH14" s="1397" t="s">
        <v>797</v>
      </c>
      <c r="AI14" s="2014">
        <v>47</v>
      </c>
      <c r="AJ14" s="1399"/>
      <c r="AK14" s="1391">
        <v>40824</v>
      </c>
      <c r="AL14" s="1397" t="s">
        <v>802</v>
      </c>
      <c r="AM14" s="2014">
        <v>54</v>
      </c>
      <c r="AN14" s="1399"/>
      <c r="AO14" s="1391">
        <v>41186</v>
      </c>
      <c r="AP14" s="1397" t="s">
        <v>781</v>
      </c>
      <c r="AQ14" s="2014">
        <v>112</v>
      </c>
      <c r="AR14" s="1399"/>
      <c r="AS14" s="1391">
        <v>41554</v>
      </c>
      <c r="AT14" s="1397" t="s">
        <v>8021</v>
      </c>
      <c r="AU14" s="2014">
        <v>20</v>
      </c>
      <c r="AV14" s="1399"/>
      <c r="AW14" s="1391">
        <v>41920</v>
      </c>
      <c r="AX14" s="1397" t="s">
        <v>8022</v>
      </c>
      <c r="AY14" s="2014">
        <v>21</v>
      </c>
      <c r="AZ14" s="1399"/>
      <c r="BA14" s="1391">
        <v>42281</v>
      </c>
      <c r="BB14" s="1397" t="s">
        <v>8023</v>
      </c>
      <c r="BC14" s="2014">
        <v>13</v>
      </c>
      <c r="BD14" s="1399"/>
      <c r="BE14" s="1391">
        <v>42645</v>
      </c>
      <c r="BF14" s="1397" t="s">
        <v>872</v>
      </c>
      <c r="BG14" s="2014">
        <v>18</v>
      </c>
      <c r="BH14" s="1399"/>
      <c r="BI14" s="1391">
        <v>43014</v>
      </c>
      <c r="BJ14" s="1397" t="s">
        <v>873</v>
      </c>
      <c r="BK14" s="2014">
        <v>20</v>
      </c>
      <c r="BL14" s="1399"/>
      <c r="BM14" s="1391">
        <v>43382</v>
      </c>
      <c r="BN14" s="1397" t="s">
        <v>8024</v>
      </c>
      <c r="BO14" s="2014">
        <v>42</v>
      </c>
      <c r="BP14" s="1399"/>
      <c r="BQ14" s="1391">
        <v>43739</v>
      </c>
      <c r="BR14" s="1393" t="s">
        <v>4571</v>
      </c>
      <c r="BS14" s="2014">
        <v>10</v>
      </c>
      <c r="BT14" s="1392" t="s">
        <v>414</v>
      </c>
      <c r="BU14" s="1391">
        <v>43739</v>
      </c>
      <c r="BV14" s="1393" t="s">
        <v>8025</v>
      </c>
      <c r="BW14" s="2014">
        <v>65</v>
      </c>
      <c r="BX14" s="1392" t="s">
        <v>414</v>
      </c>
      <c r="BY14" s="1391">
        <v>44470</v>
      </c>
      <c r="BZ14" s="1393" t="s">
        <v>7124</v>
      </c>
      <c r="CA14" s="2014">
        <v>21</v>
      </c>
      <c r="CB14" s="1392" t="s">
        <v>414</v>
      </c>
      <c r="CC14" s="1391">
        <v>44470</v>
      </c>
      <c r="CD14" s="1393" t="s">
        <v>8026</v>
      </c>
      <c r="CE14" s="2014">
        <v>12</v>
      </c>
      <c r="CF14" s="1392" t="s">
        <v>414</v>
      </c>
      <c r="CG14" s="2003">
        <v>45200</v>
      </c>
      <c r="CH14" s="1393" t="s">
        <v>2013</v>
      </c>
      <c r="CI14" s="2014">
        <v>50</v>
      </c>
      <c r="CJ14" s="1392" t="s">
        <v>700</v>
      </c>
      <c r="CK14" s="2003">
        <v>45200</v>
      </c>
      <c r="CL14" s="2005" t="s">
        <v>8027</v>
      </c>
      <c r="CM14" s="2008">
        <v>25</v>
      </c>
      <c r="CN14" s="1392" t="s">
        <v>699</v>
      </c>
    </row>
    <row r="15" spans="1:92" ht="14.25">
      <c r="A15" s="2011">
        <v>37535</v>
      </c>
      <c r="B15" s="1397" t="s">
        <v>6699</v>
      </c>
      <c r="C15" s="2014">
        <v>20</v>
      </c>
      <c r="D15" s="1399"/>
      <c r="E15" s="1391">
        <v>37897</v>
      </c>
      <c r="F15" s="1397" t="s">
        <v>8028</v>
      </c>
      <c r="G15" s="2014">
        <v>60</v>
      </c>
      <c r="H15" s="1399"/>
      <c r="I15" s="1391">
        <v>38263</v>
      </c>
      <c r="J15" s="1397" t="s">
        <v>867</v>
      </c>
      <c r="K15" s="2014">
        <v>22</v>
      </c>
      <c r="L15" s="1399"/>
      <c r="M15" s="1391">
        <v>38635</v>
      </c>
      <c r="N15" s="1397" t="s">
        <v>280</v>
      </c>
      <c r="O15" s="2019">
        <v>1000</v>
      </c>
      <c r="P15" s="1399">
        <f t="shared" ref="P15:P20" si="1">O15/43</f>
        <v>23.255813953488371</v>
      </c>
      <c r="Q15" s="1391">
        <v>38997</v>
      </c>
      <c r="R15" s="1397" t="s">
        <v>8029</v>
      </c>
      <c r="S15" s="2014">
        <v>36</v>
      </c>
      <c r="T15" s="1399"/>
      <c r="U15" s="1391">
        <v>39372</v>
      </c>
      <c r="V15" s="1397" t="s">
        <v>8030</v>
      </c>
      <c r="W15" s="2014">
        <v>775</v>
      </c>
      <c r="X15" s="1399"/>
      <c r="Y15" s="1391">
        <v>39725</v>
      </c>
      <c r="Z15" s="1397" t="s">
        <v>797</v>
      </c>
      <c r="AA15" s="2014">
        <v>57</v>
      </c>
      <c r="AB15" s="1399"/>
      <c r="AC15" s="1391">
        <v>40097</v>
      </c>
      <c r="AD15" s="1397" t="s">
        <v>8031</v>
      </c>
      <c r="AE15" s="2014">
        <v>0</v>
      </c>
      <c r="AF15" s="1399"/>
      <c r="AG15" s="1391">
        <v>40460</v>
      </c>
      <c r="AH15" s="1397" t="s">
        <v>8032</v>
      </c>
      <c r="AI15" s="2014">
        <v>20</v>
      </c>
      <c r="AJ15" s="1399"/>
      <c r="AK15" s="1391">
        <v>40824</v>
      </c>
      <c r="AL15" s="1397" t="s">
        <v>8033</v>
      </c>
      <c r="AM15" s="2014">
        <v>83</v>
      </c>
      <c r="AN15" s="1399"/>
      <c r="AO15" s="1391">
        <v>41186</v>
      </c>
      <c r="AP15" s="1397" t="s">
        <v>8034</v>
      </c>
      <c r="AQ15" s="2014">
        <v>482</v>
      </c>
      <c r="AR15" s="1399"/>
      <c r="AS15" s="1391">
        <v>41554</v>
      </c>
      <c r="AT15" s="1397" t="s">
        <v>8035</v>
      </c>
      <c r="AU15" s="2014">
        <v>18</v>
      </c>
      <c r="AV15" s="1399"/>
      <c r="AW15" s="1391">
        <v>41920</v>
      </c>
      <c r="AX15" s="1397" t="s">
        <v>4994</v>
      </c>
      <c r="AY15" s="2014">
        <v>21</v>
      </c>
      <c r="AZ15" s="1399"/>
      <c r="BA15" s="1391">
        <v>42282</v>
      </c>
      <c r="BB15" s="1397" t="s">
        <v>8036</v>
      </c>
      <c r="BC15" s="2014">
        <v>16</v>
      </c>
      <c r="BD15" s="1399"/>
      <c r="BE15" s="1391">
        <v>42645</v>
      </c>
      <c r="BF15" s="1397" t="s">
        <v>2409</v>
      </c>
      <c r="BG15" s="2014">
        <v>20</v>
      </c>
      <c r="BH15" s="1399"/>
      <c r="BI15" s="1391">
        <v>43014</v>
      </c>
      <c r="BJ15" s="1397" t="s">
        <v>823</v>
      </c>
      <c r="BK15" s="2014">
        <v>29</v>
      </c>
      <c r="BL15" s="1399"/>
      <c r="BM15" s="1391">
        <v>43382</v>
      </c>
      <c r="BN15" s="1397" t="s">
        <v>8037</v>
      </c>
      <c r="BO15" s="2014">
        <v>8</v>
      </c>
      <c r="BP15" s="1399"/>
      <c r="BQ15" s="1391">
        <v>43739</v>
      </c>
      <c r="BR15" s="1393" t="s">
        <v>8038</v>
      </c>
      <c r="BS15" s="2014">
        <v>9</v>
      </c>
      <c r="BT15" s="1392" t="s">
        <v>414</v>
      </c>
      <c r="BU15" s="1391">
        <v>43739</v>
      </c>
      <c r="BV15" s="1393" t="s">
        <v>1693</v>
      </c>
      <c r="BW15" s="2014"/>
      <c r="BX15" s="1392" t="s">
        <v>414</v>
      </c>
      <c r="BY15" s="1391">
        <v>44470</v>
      </c>
      <c r="BZ15" s="1393" t="s">
        <v>8039</v>
      </c>
      <c r="CA15" s="2014">
        <v>19</v>
      </c>
      <c r="CB15" s="1392" t="s">
        <v>414</v>
      </c>
      <c r="CC15" s="1391">
        <v>44470</v>
      </c>
      <c r="CD15" s="1393" t="s">
        <v>8040</v>
      </c>
      <c r="CE15" s="2014">
        <v>0</v>
      </c>
      <c r="CF15" s="1392" t="s">
        <v>414</v>
      </c>
      <c r="CG15" s="2003">
        <v>45200</v>
      </c>
      <c r="CH15" s="1393" t="s">
        <v>8041</v>
      </c>
      <c r="CI15" s="2014">
        <v>16</v>
      </c>
      <c r="CJ15" s="1392" t="s">
        <v>414</v>
      </c>
      <c r="CK15" s="2003">
        <v>45569</v>
      </c>
      <c r="CL15" s="2005" t="s">
        <v>8042</v>
      </c>
      <c r="CM15" s="2008">
        <v>46</v>
      </c>
      <c r="CN15" s="1392" t="s">
        <v>414</v>
      </c>
    </row>
    <row r="16" spans="1:92" ht="14.25">
      <c r="A16" s="2011">
        <v>37535</v>
      </c>
      <c r="B16" s="1397" t="s">
        <v>8043</v>
      </c>
      <c r="C16" s="2014">
        <v>8</v>
      </c>
      <c r="D16" s="1399"/>
      <c r="E16" s="1391">
        <v>37897</v>
      </c>
      <c r="F16" s="1397" t="s">
        <v>8044</v>
      </c>
      <c r="G16" s="2014">
        <v>15</v>
      </c>
      <c r="H16" s="1399"/>
      <c r="I16" s="1391">
        <v>38264</v>
      </c>
      <c r="J16" s="1397" t="s">
        <v>1157</v>
      </c>
      <c r="K16" s="2014">
        <v>31</v>
      </c>
      <c r="L16" s="1399"/>
      <c r="M16" s="1391">
        <v>38635</v>
      </c>
      <c r="N16" s="1397" t="s">
        <v>8045</v>
      </c>
      <c r="O16" s="2019">
        <v>200</v>
      </c>
      <c r="P16" s="1399">
        <f t="shared" si="1"/>
        <v>4.6511627906976747</v>
      </c>
      <c r="Q16" s="1391">
        <v>38998</v>
      </c>
      <c r="R16" s="1397" t="s">
        <v>8046</v>
      </c>
      <c r="S16" s="2014">
        <v>10</v>
      </c>
      <c r="T16" s="1399"/>
      <c r="U16" s="1391">
        <v>39374</v>
      </c>
      <c r="V16" s="1397" t="s">
        <v>867</v>
      </c>
      <c r="W16" s="2014">
        <v>18</v>
      </c>
      <c r="X16" s="1399"/>
      <c r="Y16" s="1391">
        <v>39726</v>
      </c>
      <c r="Z16" s="1397" t="s">
        <v>8047</v>
      </c>
      <c r="AA16" s="2014">
        <v>45</v>
      </c>
      <c r="AB16" s="1399"/>
      <c r="AC16" s="1391">
        <v>40097</v>
      </c>
      <c r="AD16" s="1397" t="s">
        <v>8048</v>
      </c>
      <c r="AE16" s="2014">
        <v>4</v>
      </c>
      <c r="AF16" s="1399"/>
      <c r="AG16" s="1391">
        <v>40460</v>
      </c>
      <c r="AH16" s="1397" t="s">
        <v>783</v>
      </c>
      <c r="AI16" s="2014">
        <v>20</v>
      </c>
      <c r="AJ16" s="1399"/>
      <c r="AK16" s="1391">
        <v>40826</v>
      </c>
      <c r="AL16" s="1397" t="s">
        <v>8049</v>
      </c>
      <c r="AM16" s="2014"/>
      <c r="AN16" s="1399"/>
      <c r="AO16" s="1391">
        <v>41188</v>
      </c>
      <c r="AP16" s="1397" t="s">
        <v>1052</v>
      </c>
      <c r="AQ16" s="2014">
        <v>20</v>
      </c>
      <c r="AR16" s="1399"/>
      <c r="AS16" s="1391">
        <v>41554</v>
      </c>
      <c r="AT16" s="1397" t="s">
        <v>797</v>
      </c>
      <c r="AU16" s="2014">
        <v>57</v>
      </c>
      <c r="AV16" s="1399"/>
      <c r="AW16" s="1391">
        <v>41921</v>
      </c>
      <c r="AX16" s="1397" t="s">
        <v>8050</v>
      </c>
      <c r="AY16" s="2014">
        <v>120</v>
      </c>
      <c r="AZ16" s="1399"/>
      <c r="BA16" s="1391">
        <v>42282</v>
      </c>
      <c r="BB16" s="1397" t="s">
        <v>8051</v>
      </c>
      <c r="BC16" s="2014">
        <v>20</v>
      </c>
      <c r="BD16" s="1399"/>
      <c r="BE16" s="1391">
        <v>42649</v>
      </c>
      <c r="BF16" s="1397" t="s">
        <v>5708</v>
      </c>
      <c r="BG16" s="2014">
        <v>99</v>
      </c>
      <c r="BH16" s="1399"/>
      <c r="BI16" s="1391">
        <v>43015</v>
      </c>
      <c r="BJ16" s="1397" t="s">
        <v>8052</v>
      </c>
      <c r="BK16" s="2014">
        <v>50</v>
      </c>
      <c r="BL16" s="1399"/>
      <c r="BM16" s="1391">
        <v>43383</v>
      </c>
      <c r="BN16" s="1397" t="s">
        <v>8053</v>
      </c>
      <c r="BO16" s="2014"/>
      <c r="BP16" s="1399"/>
      <c r="BQ16" s="1391">
        <v>43739</v>
      </c>
      <c r="BR16" s="1393" t="s">
        <v>3352</v>
      </c>
      <c r="BS16" s="2014">
        <v>17</v>
      </c>
      <c r="BT16" s="1392" t="s">
        <v>414</v>
      </c>
      <c r="BU16" s="1391">
        <v>43739</v>
      </c>
      <c r="BV16" s="1393" t="s">
        <v>8054</v>
      </c>
      <c r="BW16" s="2014">
        <v>17</v>
      </c>
      <c r="BX16" s="1392" t="s">
        <v>414</v>
      </c>
      <c r="BY16" s="1391">
        <v>44470</v>
      </c>
      <c r="BZ16" s="1393" t="s">
        <v>8055</v>
      </c>
      <c r="CA16" s="2014">
        <v>3</v>
      </c>
      <c r="CB16" s="1392" t="s">
        <v>414</v>
      </c>
      <c r="CC16" s="1391">
        <v>44470</v>
      </c>
      <c r="CD16" s="1393" t="s">
        <v>8056</v>
      </c>
      <c r="CE16" s="2014">
        <v>23</v>
      </c>
      <c r="CF16" s="1392" t="s">
        <v>414</v>
      </c>
      <c r="CG16" s="2003">
        <v>45200</v>
      </c>
      <c r="CH16" s="1393" t="s">
        <v>8057</v>
      </c>
      <c r="CI16" s="2014">
        <v>16</v>
      </c>
      <c r="CJ16" s="1392" t="s">
        <v>414</v>
      </c>
      <c r="CK16" s="2003">
        <v>45569</v>
      </c>
      <c r="CL16" s="2005" t="s">
        <v>1694</v>
      </c>
      <c r="CM16" s="2008">
        <v>175</v>
      </c>
      <c r="CN16" s="1392" t="s">
        <v>426</v>
      </c>
    </row>
    <row r="17" spans="1:92" ht="14.25">
      <c r="A17" s="2011">
        <v>37535</v>
      </c>
      <c r="B17" s="1397" t="s">
        <v>8058</v>
      </c>
      <c r="C17" s="2014">
        <v>15</v>
      </c>
      <c r="D17" s="1399"/>
      <c r="E17" s="1391">
        <v>37897</v>
      </c>
      <c r="F17" s="1397" t="s">
        <v>8059</v>
      </c>
      <c r="G17" s="2014">
        <v>21</v>
      </c>
      <c r="H17" s="1399"/>
      <c r="I17" s="1391">
        <v>38264</v>
      </c>
      <c r="J17" s="1397" t="s">
        <v>802</v>
      </c>
      <c r="K17" s="2014">
        <v>28</v>
      </c>
      <c r="L17" s="1399"/>
      <c r="M17" s="1391">
        <v>38635</v>
      </c>
      <c r="N17" s="1397" t="s">
        <v>8060</v>
      </c>
      <c r="O17" s="2019">
        <v>14000</v>
      </c>
      <c r="P17" s="1399">
        <f t="shared" si="1"/>
        <v>325.58139534883719</v>
      </c>
      <c r="Q17" s="1391">
        <v>38998</v>
      </c>
      <c r="R17" s="1397" t="s">
        <v>1427</v>
      </c>
      <c r="S17" s="2014">
        <v>5</v>
      </c>
      <c r="T17" s="1399"/>
      <c r="U17" s="1391">
        <v>39374</v>
      </c>
      <c r="V17" s="1397" t="s">
        <v>1052</v>
      </c>
      <c r="W17" s="2014">
        <v>30</v>
      </c>
      <c r="X17" s="1399"/>
      <c r="Y17" s="1391">
        <v>39726</v>
      </c>
      <c r="Z17" s="1397" t="s">
        <v>8061</v>
      </c>
      <c r="AA17" s="2014">
        <v>1</v>
      </c>
      <c r="AB17" s="1399"/>
      <c r="AC17" s="1391">
        <v>40097</v>
      </c>
      <c r="AD17" s="1397" t="s">
        <v>937</v>
      </c>
      <c r="AE17" s="2014">
        <v>14</v>
      </c>
      <c r="AF17" s="1399"/>
      <c r="AG17" s="1391">
        <v>40460</v>
      </c>
      <c r="AH17" s="1397" t="s">
        <v>781</v>
      </c>
      <c r="AI17" s="2014">
        <v>88</v>
      </c>
      <c r="AJ17" s="1399"/>
      <c r="AK17" s="1391">
        <v>40826</v>
      </c>
      <c r="AL17" s="1397" t="s">
        <v>8062</v>
      </c>
      <c r="AM17" s="2014">
        <v>6</v>
      </c>
      <c r="AN17" s="1399"/>
      <c r="AO17" s="1391">
        <v>41188</v>
      </c>
      <c r="AP17" s="1397" t="s">
        <v>781</v>
      </c>
      <c r="AQ17" s="2014">
        <v>54</v>
      </c>
      <c r="AR17" s="1399"/>
      <c r="AS17" s="1391">
        <v>41557</v>
      </c>
      <c r="AT17" s="1412" t="s">
        <v>8063</v>
      </c>
      <c r="AU17" s="2014">
        <f>SUM(AU18:AU25)</f>
        <v>2716</v>
      </c>
      <c r="AV17" s="1399"/>
      <c r="AW17" s="1391">
        <v>41921</v>
      </c>
      <c r="AX17" s="1412" t="s">
        <v>754</v>
      </c>
      <c r="AY17" s="2014">
        <v>67</v>
      </c>
      <c r="AZ17" s="1399"/>
      <c r="BA17" s="1391">
        <v>42282</v>
      </c>
      <c r="BB17" s="1412" t="s">
        <v>8064</v>
      </c>
      <c r="BC17" s="2014">
        <v>10</v>
      </c>
      <c r="BD17" s="1399"/>
      <c r="BE17" s="1391">
        <v>42650</v>
      </c>
      <c r="BF17" s="1397" t="s">
        <v>8065</v>
      </c>
      <c r="BG17" s="2014">
        <v>12</v>
      </c>
      <c r="BH17" s="1399"/>
      <c r="BI17" s="1391">
        <v>43016</v>
      </c>
      <c r="BJ17" s="1397" t="s">
        <v>872</v>
      </c>
      <c r="BK17" s="2014">
        <v>20</v>
      </c>
      <c r="BL17" s="1399"/>
      <c r="BM17" s="1391">
        <v>43383</v>
      </c>
      <c r="BN17" s="1397" t="s">
        <v>8066</v>
      </c>
      <c r="BO17" s="2014">
        <v>14</v>
      </c>
      <c r="BP17" s="1399"/>
      <c r="BQ17" s="1391">
        <v>43739</v>
      </c>
      <c r="BR17" s="1393" t="s">
        <v>8067</v>
      </c>
      <c r="BS17" s="2014">
        <v>3</v>
      </c>
      <c r="BT17" s="1392" t="s">
        <v>414</v>
      </c>
      <c r="BU17" s="1391">
        <v>43739</v>
      </c>
      <c r="BV17" s="1393" t="s">
        <v>2196</v>
      </c>
      <c r="BW17" s="2014">
        <v>25</v>
      </c>
      <c r="BX17" s="1392" t="s">
        <v>414</v>
      </c>
      <c r="BY17" s="1391">
        <v>44470</v>
      </c>
      <c r="BZ17" s="1393" t="s">
        <v>7184</v>
      </c>
      <c r="CA17" s="2014">
        <v>13</v>
      </c>
      <c r="CB17" s="1392" t="s">
        <v>414</v>
      </c>
      <c r="CC17" s="1391">
        <v>44470</v>
      </c>
      <c r="CD17" s="1393" t="s">
        <v>8068</v>
      </c>
      <c r="CE17" s="2014">
        <v>12</v>
      </c>
      <c r="CF17" s="1392" t="s">
        <v>414</v>
      </c>
      <c r="CG17" s="2003">
        <v>45200</v>
      </c>
      <c r="CH17" s="1393" t="s">
        <v>8069</v>
      </c>
      <c r="CI17" s="2014">
        <v>46</v>
      </c>
      <c r="CJ17" s="1392" t="s">
        <v>414</v>
      </c>
      <c r="CK17" s="2003">
        <v>45569</v>
      </c>
      <c r="CL17" s="2005" t="s">
        <v>8070</v>
      </c>
      <c r="CM17" s="2008">
        <v>6</v>
      </c>
      <c r="CN17" s="1392" t="s">
        <v>278</v>
      </c>
    </row>
    <row r="18" spans="1:92" ht="14.25">
      <c r="A18" s="2011">
        <v>37535</v>
      </c>
      <c r="B18" s="1397" t="s">
        <v>915</v>
      </c>
      <c r="C18" s="2014"/>
      <c r="D18" s="1399">
        <v>8</v>
      </c>
      <c r="E18" s="1391">
        <v>37897</v>
      </c>
      <c r="F18" s="1397" t="s">
        <v>8071</v>
      </c>
      <c r="G18" s="2014">
        <v>26</v>
      </c>
      <c r="H18" s="1399"/>
      <c r="I18" s="1391">
        <v>38268</v>
      </c>
      <c r="J18" s="1397" t="s">
        <v>2778</v>
      </c>
      <c r="K18" s="2014">
        <v>20</v>
      </c>
      <c r="L18" s="1399"/>
      <c r="M18" s="1391">
        <v>38635</v>
      </c>
      <c r="N18" s="1397" t="s">
        <v>8072</v>
      </c>
      <c r="O18" s="2019">
        <v>1000</v>
      </c>
      <c r="P18" s="1399">
        <f t="shared" si="1"/>
        <v>23.255813953488371</v>
      </c>
      <c r="Q18" s="1391">
        <v>38998</v>
      </c>
      <c r="R18" s="1397" t="s">
        <v>8073</v>
      </c>
      <c r="S18" s="2014">
        <v>7</v>
      </c>
      <c r="T18" s="1399"/>
      <c r="U18" s="1391">
        <v>39374</v>
      </c>
      <c r="V18" s="1397" t="s">
        <v>1810</v>
      </c>
      <c r="W18" s="2014">
        <v>25</v>
      </c>
      <c r="X18" s="1399"/>
      <c r="Y18" s="1391">
        <v>39726</v>
      </c>
      <c r="Z18" s="1397" t="s">
        <v>7441</v>
      </c>
      <c r="AA18" s="2014">
        <v>22</v>
      </c>
      <c r="AB18" s="1399"/>
      <c r="AC18" s="1391">
        <v>40098</v>
      </c>
      <c r="AD18" s="1397" t="s">
        <v>797</v>
      </c>
      <c r="AE18" s="2014">
        <v>25</v>
      </c>
      <c r="AF18" s="1399"/>
      <c r="AG18" s="1391">
        <v>40462</v>
      </c>
      <c r="AH18" s="1397" t="s">
        <v>802</v>
      </c>
      <c r="AI18" s="2014">
        <v>16</v>
      </c>
      <c r="AJ18" s="1399"/>
      <c r="AK18" s="1391">
        <v>40828</v>
      </c>
      <c r="AL18" s="1397" t="s">
        <v>8074</v>
      </c>
      <c r="AM18" s="2014"/>
      <c r="AN18" s="1399"/>
      <c r="AO18" s="1391">
        <v>41188</v>
      </c>
      <c r="AP18" s="1397" t="s">
        <v>8075</v>
      </c>
      <c r="AQ18" s="2014">
        <v>77</v>
      </c>
      <c r="AR18" s="1399"/>
      <c r="AS18" s="1391"/>
      <c r="AT18" s="1393" t="s">
        <v>8076</v>
      </c>
      <c r="AU18" s="2014">
        <v>1049</v>
      </c>
      <c r="AV18" s="1399"/>
      <c r="AW18" s="1391">
        <v>41922</v>
      </c>
      <c r="AX18" s="1397" t="s">
        <v>8077</v>
      </c>
      <c r="AY18" s="1400" t="s">
        <v>37</v>
      </c>
      <c r="AZ18" s="1399"/>
      <c r="BA18" s="1391">
        <v>42284</v>
      </c>
      <c r="BB18" s="1397" t="s">
        <v>8078</v>
      </c>
      <c r="BC18" s="2021">
        <v>12</v>
      </c>
      <c r="BD18" s="1399"/>
      <c r="BE18" s="1391">
        <v>42650</v>
      </c>
      <c r="BF18" s="1397" t="s">
        <v>8079</v>
      </c>
      <c r="BG18" s="2022">
        <v>15</v>
      </c>
      <c r="BH18" s="1399"/>
      <c r="BI18" s="1391">
        <v>43016</v>
      </c>
      <c r="BJ18" s="1397" t="s">
        <v>772</v>
      </c>
      <c r="BK18" s="2014">
        <v>21</v>
      </c>
      <c r="BL18" s="1399"/>
      <c r="BM18" s="1391">
        <v>43383</v>
      </c>
      <c r="BN18" s="1397" t="s">
        <v>8080</v>
      </c>
      <c r="BO18" s="2014">
        <v>45</v>
      </c>
      <c r="BP18" s="1399"/>
      <c r="BQ18" s="1391">
        <v>43739</v>
      </c>
      <c r="BR18" s="1393" t="s">
        <v>8081</v>
      </c>
      <c r="BS18" s="2023">
        <v>12</v>
      </c>
      <c r="BT18" s="1392" t="s">
        <v>414</v>
      </c>
      <c r="BU18" s="1391">
        <v>43739</v>
      </c>
      <c r="BV18" s="1393" t="s">
        <v>8082</v>
      </c>
      <c r="BW18" s="2014">
        <v>4</v>
      </c>
      <c r="BX18" s="1392" t="s">
        <v>414</v>
      </c>
      <c r="BY18" s="1391">
        <v>44470</v>
      </c>
      <c r="BZ18" s="1393" t="s">
        <v>8083</v>
      </c>
      <c r="CA18" s="2014">
        <v>12</v>
      </c>
      <c r="CB18" s="1392" t="s">
        <v>414</v>
      </c>
      <c r="CC18" s="1391">
        <v>44470</v>
      </c>
      <c r="CD18" s="1393" t="s">
        <v>5032</v>
      </c>
      <c r="CE18" s="2014">
        <v>8</v>
      </c>
      <c r="CF18" s="1392" t="s">
        <v>414</v>
      </c>
      <c r="CG18" s="2003">
        <v>45200</v>
      </c>
      <c r="CH18" s="1393" t="s">
        <v>8084</v>
      </c>
      <c r="CI18" s="2014">
        <v>46</v>
      </c>
      <c r="CJ18" s="1392" t="s">
        <v>414</v>
      </c>
      <c r="CK18" s="2003">
        <v>45570</v>
      </c>
      <c r="CL18" s="2006" t="s">
        <v>843</v>
      </c>
      <c r="CM18" s="2009">
        <v>51</v>
      </c>
      <c r="CN18" s="1392" t="s">
        <v>414</v>
      </c>
    </row>
    <row r="19" spans="1:92" ht="14.25">
      <c r="A19" s="2011">
        <v>37537</v>
      </c>
      <c r="B19" s="1397" t="s">
        <v>8085</v>
      </c>
      <c r="C19" s="2014"/>
      <c r="D19" s="1399">
        <v>35</v>
      </c>
      <c r="E19" s="1391">
        <v>37897</v>
      </c>
      <c r="F19" s="1397" t="s">
        <v>7326</v>
      </c>
      <c r="G19" s="2014">
        <v>24</v>
      </c>
      <c r="H19" s="1399"/>
      <c r="I19" s="1391">
        <v>38268</v>
      </c>
      <c r="J19" s="1397" t="s">
        <v>1157</v>
      </c>
      <c r="K19" s="2014">
        <v>3</v>
      </c>
      <c r="L19" s="1399"/>
      <c r="M19" s="1391">
        <v>38635</v>
      </c>
      <c r="N19" s="1397" t="s">
        <v>8086</v>
      </c>
      <c r="O19" s="2019">
        <v>300</v>
      </c>
      <c r="P19" s="1399">
        <f t="shared" si="1"/>
        <v>6.9767441860465116</v>
      </c>
      <c r="Q19" s="1391">
        <v>38999</v>
      </c>
      <c r="R19" s="1397" t="s">
        <v>797</v>
      </c>
      <c r="S19" s="2014">
        <v>35</v>
      </c>
      <c r="T19" s="1399"/>
      <c r="U19" s="1391">
        <v>39375</v>
      </c>
      <c r="V19" s="1397" t="s">
        <v>797</v>
      </c>
      <c r="W19" s="2014">
        <v>28</v>
      </c>
      <c r="X19" s="1399"/>
      <c r="Y19" s="1391">
        <v>39726</v>
      </c>
      <c r="Z19" s="1397" t="s">
        <v>797</v>
      </c>
      <c r="AA19" s="2014">
        <v>44</v>
      </c>
      <c r="AB19" s="1399"/>
      <c r="AC19" s="1391">
        <v>40098</v>
      </c>
      <c r="AD19" s="1397" t="s">
        <v>8087</v>
      </c>
      <c r="AE19" s="2014">
        <v>55</v>
      </c>
      <c r="AF19" s="1399"/>
      <c r="AG19" s="1391">
        <v>40463</v>
      </c>
      <c r="AH19" s="1397" t="s">
        <v>937</v>
      </c>
      <c r="AI19" s="2014">
        <v>13</v>
      </c>
      <c r="AJ19" s="1399"/>
      <c r="AK19" s="1391">
        <v>40828</v>
      </c>
      <c r="AL19" s="1397" t="s">
        <v>8088</v>
      </c>
      <c r="AM19" s="2014">
        <v>20</v>
      </c>
      <c r="AN19" s="1399"/>
      <c r="AO19" s="1391">
        <v>41188</v>
      </c>
      <c r="AP19" s="1397" t="s">
        <v>8089</v>
      </c>
      <c r="AQ19" s="2014">
        <v>2</v>
      </c>
      <c r="AR19" s="1399"/>
      <c r="AS19" s="1391"/>
      <c r="AT19" s="1393" t="s">
        <v>6035</v>
      </c>
      <c r="AU19" s="2014">
        <v>397</v>
      </c>
      <c r="AV19" s="1399"/>
      <c r="AW19" s="1391">
        <v>41922</v>
      </c>
      <c r="AX19" s="1397" t="s">
        <v>8090</v>
      </c>
      <c r="AY19" s="1400" t="s">
        <v>37</v>
      </c>
      <c r="AZ19" s="1399"/>
      <c r="BA19" s="1391">
        <v>42286</v>
      </c>
      <c r="BB19" s="1397" t="s">
        <v>797</v>
      </c>
      <c r="BC19" s="2014">
        <v>22</v>
      </c>
      <c r="BD19" s="1399"/>
      <c r="BE19" s="1391">
        <v>42650</v>
      </c>
      <c r="BF19" s="1397" t="s">
        <v>8091</v>
      </c>
      <c r="BG19" s="2022">
        <v>2</v>
      </c>
      <c r="BH19" s="1399"/>
      <c r="BI19" s="1391">
        <v>43016</v>
      </c>
      <c r="BJ19" s="1397" t="s">
        <v>8092</v>
      </c>
      <c r="BK19" s="2022">
        <v>17</v>
      </c>
      <c r="BL19" s="1399"/>
      <c r="BM19" s="1391">
        <v>43385</v>
      </c>
      <c r="BN19" s="1397" t="s">
        <v>797</v>
      </c>
      <c r="BO19" s="2014">
        <v>34</v>
      </c>
      <c r="BP19" s="1399"/>
      <c r="BQ19" s="1391">
        <v>43739</v>
      </c>
      <c r="BR19" s="1393" t="s">
        <v>8093</v>
      </c>
      <c r="BS19" s="2023">
        <v>7</v>
      </c>
      <c r="BT19" s="1392" t="s">
        <v>414</v>
      </c>
      <c r="BU19" s="1391">
        <v>43739</v>
      </c>
      <c r="BV19" s="1393" t="s">
        <v>8094</v>
      </c>
      <c r="BW19" s="2023">
        <v>4</v>
      </c>
      <c r="BX19" s="1392" t="s">
        <v>414</v>
      </c>
      <c r="BY19" s="1391">
        <v>44470</v>
      </c>
      <c r="BZ19" s="1393" t="s">
        <v>8095</v>
      </c>
      <c r="CA19" s="2023">
        <v>9</v>
      </c>
      <c r="CB19" s="1392" t="s">
        <v>414</v>
      </c>
      <c r="CC19" s="1391">
        <v>44470</v>
      </c>
      <c r="CD19" s="1393" t="s">
        <v>8096</v>
      </c>
      <c r="CE19" s="2023">
        <v>0</v>
      </c>
      <c r="CF19" s="1392" t="s">
        <v>414</v>
      </c>
      <c r="CG19" s="2003">
        <v>45200</v>
      </c>
      <c r="CH19" s="1393" t="s">
        <v>8097</v>
      </c>
      <c r="CI19" s="2014">
        <v>27</v>
      </c>
      <c r="CJ19" s="1392" t="s">
        <v>414</v>
      </c>
      <c r="CK19" s="2003">
        <v>45570</v>
      </c>
      <c r="CL19" s="2007" t="s">
        <v>772</v>
      </c>
      <c r="CM19" s="2009">
        <v>47</v>
      </c>
      <c r="CN19" s="1392" t="s">
        <v>414</v>
      </c>
    </row>
    <row r="20" spans="1:92" ht="14.25">
      <c r="A20" s="2011">
        <v>37537</v>
      </c>
      <c r="B20" s="1397" t="s">
        <v>1189</v>
      </c>
      <c r="C20" s="2014"/>
      <c r="D20" s="1399">
        <v>25</v>
      </c>
      <c r="E20" s="1391">
        <v>37898</v>
      </c>
      <c r="F20" s="1397" t="s">
        <v>772</v>
      </c>
      <c r="G20" s="2014">
        <v>28</v>
      </c>
      <c r="H20" s="1399"/>
      <c r="I20" s="1391">
        <v>38268</v>
      </c>
      <c r="J20" s="1397" t="s">
        <v>8098</v>
      </c>
      <c r="K20" s="2014">
        <v>7</v>
      </c>
      <c r="L20" s="1399"/>
      <c r="M20" s="1391">
        <v>38635</v>
      </c>
      <c r="N20" s="1397" t="s">
        <v>8099</v>
      </c>
      <c r="O20" s="2019">
        <v>5500</v>
      </c>
      <c r="P20" s="1399">
        <f t="shared" si="1"/>
        <v>127.90697674418605</v>
      </c>
      <c r="Q20" s="1391">
        <v>38999</v>
      </c>
      <c r="R20" s="1397" t="s">
        <v>802</v>
      </c>
      <c r="S20" s="2014">
        <v>32</v>
      </c>
      <c r="T20" s="1399"/>
      <c r="U20" s="1391">
        <v>39376</v>
      </c>
      <c r="V20" s="1397" t="s">
        <v>1810</v>
      </c>
      <c r="W20" s="2014">
        <v>22</v>
      </c>
      <c r="X20" s="1399"/>
      <c r="Y20" s="1391">
        <v>39730</v>
      </c>
      <c r="Z20" s="1397" t="s">
        <v>890</v>
      </c>
      <c r="AA20" s="2014">
        <v>82</v>
      </c>
      <c r="AB20" s="1399"/>
      <c r="AC20" s="1391">
        <v>40099</v>
      </c>
      <c r="AD20" s="1397" t="s">
        <v>8100</v>
      </c>
      <c r="AE20" s="2014"/>
      <c r="AF20" s="1399"/>
      <c r="AG20" s="1391">
        <v>40464</v>
      </c>
      <c r="AH20" s="1397" t="s">
        <v>802</v>
      </c>
      <c r="AI20" s="2014">
        <v>38</v>
      </c>
      <c r="AJ20" s="1399"/>
      <c r="AK20" s="1391">
        <v>40828</v>
      </c>
      <c r="AL20" s="1397" t="s">
        <v>8101</v>
      </c>
      <c r="AM20" s="2014">
        <v>13</v>
      </c>
      <c r="AN20" s="1399"/>
      <c r="AO20" s="1391">
        <v>41188</v>
      </c>
      <c r="AP20" s="1397" t="s">
        <v>754</v>
      </c>
      <c r="AQ20" s="2014">
        <v>123</v>
      </c>
      <c r="AR20" s="1399"/>
      <c r="AS20" s="1391"/>
      <c r="AT20" s="1397" t="s">
        <v>278</v>
      </c>
      <c r="AU20" s="2014">
        <v>218</v>
      </c>
      <c r="AV20" s="1399"/>
      <c r="AW20" s="1391">
        <v>41922</v>
      </c>
      <c r="AX20" s="1397" t="s">
        <v>8102</v>
      </c>
      <c r="AY20" s="2014">
        <v>214</v>
      </c>
      <c r="AZ20" s="1399"/>
      <c r="BA20" s="1391">
        <v>42286</v>
      </c>
      <c r="BB20" s="1397" t="s">
        <v>8103</v>
      </c>
      <c r="BC20" s="2014">
        <v>41</v>
      </c>
      <c r="BD20" s="1399"/>
      <c r="BE20" s="1391">
        <v>42650</v>
      </c>
      <c r="BF20" s="1397" t="s">
        <v>8104</v>
      </c>
      <c r="BG20" s="2022">
        <v>38</v>
      </c>
      <c r="BH20" s="1399"/>
      <c r="BI20" s="1391">
        <v>43016</v>
      </c>
      <c r="BJ20" s="1397" t="s">
        <v>797</v>
      </c>
      <c r="BK20" s="2022">
        <v>60</v>
      </c>
      <c r="BL20" s="1399"/>
      <c r="BM20" s="1391">
        <v>43385</v>
      </c>
      <c r="BN20" s="1397" t="s">
        <v>8105</v>
      </c>
      <c r="BO20" s="2022">
        <v>20</v>
      </c>
      <c r="BP20" s="1399"/>
      <c r="BQ20" s="1391">
        <v>43739</v>
      </c>
      <c r="BR20" s="1393" t="s">
        <v>1357</v>
      </c>
      <c r="BS20" s="2023">
        <v>16</v>
      </c>
      <c r="BT20" s="1392" t="s">
        <v>414</v>
      </c>
      <c r="BU20" s="1391">
        <v>43739</v>
      </c>
      <c r="BV20" s="1393" t="s">
        <v>8106</v>
      </c>
      <c r="BW20" s="2023">
        <v>6600</v>
      </c>
      <c r="BX20" s="1392" t="s">
        <v>674</v>
      </c>
      <c r="BY20" s="1391">
        <v>44470</v>
      </c>
      <c r="BZ20" s="1393" t="s">
        <v>8107</v>
      </c>
      <c r="CA20" s="2023">
        <v>16</v>
      </c>
      <c r="CB20" s="1392" t="s">
        <v>414</v>
      </c>
      <c r="CC20" s="1391">
        <v>44838</v>
      </c>
      <c r="CD20" s="1393" t="s">
        <v>8108</v>
      </c>
      <c r="CE20" s="2023">
        <v>5</v>
      </c>
      <c r="CF20" s="1392" t="s">
        <v>414</v>
      </c>
      <c r="CG20" s="2003">
        <v>45200</v>
      </c>
      <c r="CH20" s="1393" t="s">
        <v>3503</v>
      </c>
      <c r="CI20" s="2023">
        <v>20</v>
      </c>
      <c r="CJ20" s="1392" t="s">
        <v>414</v>
      </c>
      <c r="CK20" s="2003">
        <v>45571</v>
      </c>
      <c r="CL20" s="2007" t="s">
        <v>781</v>
      </c>
      <c r="CM20" s="2009">
        <v>50</v>
      </c>
      <c r="CN20" s="1392" t="s">
        <v>414</v>
      </c>
    </row>
    <row r="21" spans="1:92" ht="14.25">
      <c r="A21" s="2011">
        <v>37537</v>
      </c>
      <c r="B21" s="1397" t="s">
        <v>915</v>
      </c>
      <c r="C21" s="2014"/>
      <c r="D21" s="1399">
        <v>10</v>
      </c>
      <c r="E21" s="1391">
        <v>37898</v>
      </c>
      <c r="F21" s="1397" t="s">
        <v>802</v>
      </c>
      <c r="G21" s="2014">
        <v>28</v>
      </c>
      <c r="H21" s="1399"/>
      <c r="I21" s="1391">
        <v>38268</v>
      </c>
      <c r="J21" s="1397" t="s">
        <v>8109</v>
      </c>
      <c r="K21" s="2014">
        <v>5</v>
      </c>
      <c r="L21" s="1399"/>
      <c r="M21" s="1391">
        <v>38636</v>
      </c>
      <c r="N21" s="1397" t="s">
        <v>8110</v>
      </c>
      <c r="O21" s="2019">
        <v>1000</v>
      </c>
      <c r="P21" s="1399">
        <f t="shared" ref="P21:P57" si="2">O21/43</f>
        <v>23.255813953488371</v>
      </c>
      <c r="Q21" s="1391">
        <v>38999</v>
      </c>
      <c r="R21" s="1397" t="s">
        <v>783</v>
      </c>
      <c r="S21" s="2014">
        <v>20</v>
      </c>
      <c r="T21" s="1399"/>
      <c r="U21" s="1391">
        <v>39376</v>
      </c>
      <c r="V21" s="1397" t="s">
        <v>797</v>
      </c>
      <c r="W21" s="2014">
        <v>40</v>
      </c>
      <c r="X21" s="1399"/>
      <c r="Y21" s="1391">
        <v>39730</v>
      </c>
      <c r="Z21" s="1397" t="s">
        <v>8111</v>
      </c>
      <c r="AA21" s="2014">
        <v>15</v>
      </c>
      <c r="AB21" s="1399"/>
      <c r="AC21" s="1391">
        <v>40101</v>
      </c>
      <c r="AD21" s="1397" t="s">
        <v>8112</v>
      </c>
      <c r="AE21" s="2014">
        <v>175</v>
      </c>
      <c r="AF21" s="1399"/>
      <c r="AG21" s="1391">
        <v>40465</v>
      </c>
      <c r="AH21" s="1397" t="s">
        <v>8113</v>
      </c>
      <c r="AI21" s="2014">
        <v>14</v>
      </c>
      <c r="AJ21" s="1399"/>
      <c r="AK21" s="1391">
        <v>40828</v>
      </c>
      <c r="AL21" s="1397" t="s">
        <v>8114</v>
      </c>
      <c r="AM21" s="2014">
        <v>11</v>
      </c>
      <c r="AN21" s="1399"/>
      <c r="AO21" s="1391">
        <v>41188</v>
      </c>
      <c r="AP21" s="1397" t="s">
        <v>6025</v>
      </c>
      <c r="AQ21" s="2014">
        <v>15</v>
      </c>
      <c r="AR21" s="1399"/>
      <c r="AS21" s="1391"/>
      <c r="AT21" s="1397" t="s">
        <v>2288</v>
      </c>
      <c r="AU21" s="2014">
        <v>220</v>
      </c>
      <c r="AV21" s="1399"/>
      <c r="AW21" s="1391">
        <v>41922</v>
      </c>
      <c r="AX21" s="1397" t="s">
        <v>8115</v>
      </c>
      <c r="AY21" s="2014">
        <v>94</v>
      </c>
      <c r="AZ21" s="1399"/>
      <c r="BA21" s="1391">
        <v>42286</v>
      </c>
      <c r="BB21" s="1397" t="s">
        <v>8116</v>
      </c>
      <c r="BC21" s="2014">
        <v>3</v>
      </c>
      <c r="BD21" s="1399"/>
      <c r="BE21" s="1391">
        <v>42651</v>
      </c>
      <c r="BF21" s="1397" t="s">
        <v>8117</v>
      </c>
      <c r="BG21" s="2024">
        <v>30</v>
      </c>
      <c r="BH21" s="1399"/>
      <c r="BI21" s="1391">
        <v>43016</v>
      </c>
      <c r="BJ21" s="1397" t="s">
        <v>8118</v>
      </c>
      <c r="BK21" s="2022">
        <v>8</v>
      </c>
      <c r="BL21" s="1399"/>
      <c r="BM21" s="1391">
        <v>43385</v>
      </c>
      <c r="BN21" s="1397" t="s">
        <v>1180</v>
      </c>
      <c r="BO21" s="2022">
        <v>62</v>
      </c>
      <c r="BP21" s="1399"/>
      <c r="BQ21" s="1391">
        <v>43743</v>
      </c>
      <c r="BR21" s="1393" t="s">
        <v>772</v>
      </c>
      <c r="BS21" s="2023">
        <v>55</v>
      </c>
      <c r="BT21" s="1392" t="s">
        <v>414</v>
      </c>
      <c r="BU21" s="1391">
        <v>43739</v>
      </c>
      <c r="BV21" s="1393" t="s">
        <v>1180</v>
      </c>
      <c r="BW21" s="2023">
        <v>71</v>
      </c>
      <c r="BX21" s="1392" t="s">
        <v>410</v>
      </c>
      <c r="BY21" s="1391">
        <v>44470</v>
      </c>
      <c r="BZ21" s="1393" t="s">
        <v>8119</v>
      </c>
      <c r="CA21" s="2023">
        <v>14</v>
      </c>
      <c r="CB21" s="1392" t="s">
        <v>414</v>
      </c>
      <c r="CC21" s="1391">
        <v>44838</v>
      </c>
      <c r="CD21" s="1393" t="s">
        <v>1713</v>
      </c>
      <c r="CE21" s="2023">
        <v>9</v>
      </c>
      <c r="CF21" s="1392" t="s">
        <v>414</v>
      </c>
      <c r="CG21" s="2003">
        <v>45200</v>
      </c>
      <c r="CH21" s="1393" t="s">
        <v>8120</v>
      </c>
      <c r="CI21" s="2023">
        <v>15</v>
      </c>
      <c r="CJ21" s="1392" t="s">
        <v>414</v>
      </c>
      <c r="CK21" s="2003">
        <v>45572</v>
      </c>
      <c r="CL21" s="2007" t="s">
        <v>8121</v>
      </c>
      <c r="CM21" s="2009">
        <v>78</v>
      </c>
      <c r="CN21" s="1392" t="s">
        <v>414</v>
      </c>
    </row>
    <row r="22" spans="1:92" ht="14.25">
      <c r="A22" s="2011">
        <v>37539</v>
      </c>
      <c r="B22" s="1397" t="s">
        <v>410</v>
      </c>
      <c r="C22" s="2014"/>
      <c r="D22" s="1399">
        <v>28</v>
      </c>
      <c r="E22" s="1391">
        <v>37898</v>
      </c>
      <c r="F22" s="1397" t="s">
        <v>8122</v>
      </c>
      <c r="G22" s="2014">
        <v>5</v>
      </c>
      <c r="H22" s="1399"/>
      <c r="I22" s="1391">
        <v>38269</v>
      </c>
      <c r="J22" s="1397" t="s">
        <v>797</v>
      </c>
      <c r="K22" s="2014">
        <v>32</v>
      </c>
      <c r="L22" s="1399"/>
      <c r="M22" s="1391">
        <v>38638</v>
      </c>
      <c r="N22" s="1397" t="s">
        <v>7994</v>
      </c>
      <c r="O22" s="2019">
        <v>500</v>
      </c>
      <c r="P22" s="1399">
        <f t="shared" si="2"/>
        <v>11.627906976744185</v>
      </c>
      <c r="Q22" s="1391">
        <v>39002</v>
      </c>
      <c r="R22" s="1397" t="s">
        <v>8123</v>
      </c>
      <c r="S22" s="2014">
        <v>210</v>
      </c>
      <c r="T22" s="1399"/>
      <c r="U22" s="1391">
        <v>39378</v>
      </c>
      <c r="V22" s="1397" t="s">
        <v>8124</v>
      </c>
      <c r="W22" s="2014">
        <v>0</v>
      </c>
      <c r="X22" s="1399"/>
      <c r="Y22" s="1391">
        <v>39730</v>
      </c>
      <c r="Z22" s="1397" t="s">
        <v>8125</v>
      </c>
      <c r="AA22" s="2014">
        <v>2</v>
      </c>
      <c r="AB22" s="1399"/>
      <c r="AC22" s="1391">
        <v>40101</v>
      </c>
      <c r="AD22" s="1397" t="s">
        <v>8126</v>
      </c>
      <c r="AE22" s="2014">
        <v>11</v>
      </c>
      <c r="AF22" s="1399"/>
      <c r="AG22" s="1391">
        <v>40468</v>
      </c>
      <c r="AH22" s="1397" t="s">
        <v>937</v>
      </c>
      <c r="AI22" s="2014">
        <v>28</v>
      </c>
      <c r="AJ22" s="1399"/>
      <c r="AK22" s="1391">
        <v>40828</v>
      </c>
      <c r="AL22" s="1397" t="s">
        <v>8127</v>
      </c>
      <c r="AM22" s="2014">
        <v>15</v>
      </c>
      <c r="AN22" s="1399"/>
      <c r="AO22" s="1391">
        <v>41189</v>
      </c>
      <c r="AP22" s="1397" t="s">
        <v>8128</v>
      </c>
      <c r="AQ22" s="2014">
        <v>24</v>
      </c>
      <c r="AR22" s="1399"/>
      <c r="AS22" s="1391"/>
      <c r="AT22" s="1397" t="s">
        <v>410</v>
      </c>
      <c r="AU22" s="2014">
        <v>70</v>
      </c>
      <c r="AV22" s="1399"/>
      <c r="AW22" s="1391">
        <v>41922</v>
      </c>
      <c r="AX22" s="1397" t="s">
        <v>797</v>
      </c>
      <c r="AY22" s="2014">
        <v>21</v>
      </c>
      <c r="AZ22" s="1399"/>
      <c r="BA22" s="1391">
        <v>42287</v>
      </c>
      <c r="BB22" s="1397" t="s">
        <v>8129</v>
      </c>
      <c r="BC22" s="2014">
        <v>34</v>
      </c>
      <c r="BD22" s="1399"/>
      <c r="BE22" s="1391">
        <v>42651</v>
      </c>
      <c r="BF22" s="1397" t="s">
        <v>8130</v>
      </c>
      <c r="BG22" s="2014">
        <v>350</v>
      </c>
      <c r="BH22" s="1399"/>
      <c r="BI22" s="1391">
        <v>43017</v>
      </c>
      <c r="BJ22" s="1397" t="s">
        <v>3449</v>
      </c>
      <c r="BK22" s="2024">
        <v>8</v>
      </c>
      <c r="BL22" s="1399"/>
      <c r="BM22" s="1391">
        <v>43385</v>
      </c>
      <c r="BN22" s="1397" t="s">
        <v>8131</v>
      </c>
      <c r="BO22" s="2024">
        <v>0</v>
      </c>
      <c r="BP22" s="1399"/>
      <c r="BQ22" s="1391">
        <v>43743</v>
      </c>
      <c r="BR22" s="1393" t="s">
        <v>8132</v>
      </c>
      <c r="BS22" s="2023">
        <v>16</v>
      </c>
      <c r="BT22" s="1392" t="s">
        <v>700</v>
      </c>
      <c r="BU22" s="1391">
        <v>44107</v>
      </c>
      <c r="BV22" s="1393" t="s">
        <v>8133</v>
      </c>
      <c r="BW22" s="2023">
        <v>27</v>
      </c>
      <c r="BX22" s="1392" t="s">
        <v>280</v>
      </c>
      <c r="BY22" s="1391">
        <v>44471</v>
      </c>
      <c r="BZ22" s="1393" t="s">
        <v>5778</v>
      </c>
      <c r="CA22" s="2023">
        <v>21</v>
      </c>
      <c r="CB22" s="1392" t="s">
        <v>700</v>
      </c>
      <c r="CC22" s="1391">
        <v>44838</v>
      </c>
      <c r="CD22" s="1393" t="s">
        <v>1696</v>
      </c>
      <c r="CE22" s="2023">
        <v>69</v>
      </c>
      <c r="CF22" s="1392" t="s">
        <v>700</v>
      </c>
      <c r="CG22" s="2003">
        <v>45200</v>
      </c>
      <c r="CH22" s="1393" t="s">
        <v>1768</v>
      </c>
      <c r="CI22" s="2023">
        <v>26</v>
      </c>
      <c r="CJ22" s="1392" t="s">
        <v>414</v>
      </c>
      <c r="CK22" s="2003">
        <v>45573</v>
      </c>
      <c r="CL22" s="2007" t="s">
        <v>8134</v>
      </c>
      <c r="CM22" s="2009">
        <v>20</v>
      </c>
      <c r="CN22" s="1392" t="s">
        <v>280</v>
      </c>
    </row>
    <row r="23" spans="1:92" ht="14.25">
      <c r="A23" s="2011">
        <v>37540</v>
      </c>
      <c r="B23" s="1397" t="s">
        <v>1189</v>
      </c>
      <c r="C23" s="2014"/>
      <c r="D23" s="1399">
        <v>32</v>
      </c>
      <c r="E23" s="1391">
        <v>37900</v>
      </c>
      <c r="F23" s="1397" t="s">
        <v>1810</v>
      </c>
      <c r="G23" s="2014">
        <v>48</v>
      </c>
      <c r="H23" s="1399"/>
      <c r="I23" s="1391">
        <v>38269</v>
      </c>
      <c r="J23" s="1397" t="s">
        <v>8135</v>
      </c>
      <c r="K23" s="2014">
        <v>25</v>
      </c>
      <c r="L23" s="1399"/>
      <c r="M23" s="1391">
        <v>38639</v>
      </c>
      <c r="N23" s="1397" t="s">
        <v>8136</v>
      </c>
      <c r="O23" s="2019">
        <v>125</v>
      </c>
      <c r="P23" s="1399">
        <f t="shared" si="2"/>
        <v>2.9069767441860463</v>
      </c>
      <c r="Q23" s="1391">
        <v>39003</v>
      </c>
      <c r="R23" s="1397" t="s">
        <v>8137</v>
      </c>
      <c r="S23" s="2014">
        <v>15</v>
      </c>
      <c r="T23" s="1399"/>
      <c r="U23" s="1391">
        <v>39379</v>
      </c>
      <c r="V23" s="1397" t="s">
        <v>8138</v>
      </c>
      <c r="W23" s="2014">
        <v>0</v>
      </c>
      <c r="X23" s="1399"/>
      <c r="Y23" s="1391">
        <v>39731</v>
      </c>
      <c r="Z23" s="1397" t="s">
        <v>8139</v>
      </c>
      <c r="AA23" s="2014">
        <v>20</v>
      </c>
      <c r="AB23" s="1399"/>
      <c r="AC23" s="1391">
        <v>40101</v>
      </c>
      <c r="AD23" s="1397" t="s">
        <v>8140</v>
      </c>
      <c r="AE23" s="2014">
        <v>240</v>
      </c>
      <c r="AF23" s="1399"/>
      <c r="AG23" s="1391">
        <v>40468</v>
      </c>
      <c r="AH23" s="1397" t="s">
        <v>781</v>
      </c>
      <c r="AI23" s="2014">
        <v>68</v>
      </c>
      <c r="AJ23" s="1399"/>
      <c r="AK23" s="1391">
        <v>40828</v>
      </c>
      <c r="AL23" s="1397" t="s">
        <v>8141</v>
      </c>
      <c r="AM23" s="2014">
        <v>14</v>
      </c>
      <c r="AN23" s="1399"/>
      <c r="AO23" s="1391">
        <v>41190</v>
      </c>
      <c r="AP23" s="1397" t="s">
        <v>797</v>
      </c>
      <c r="AQ23" s="2014">
        <v>66</v>
      </c>
      <c r="AR23" s="1399"/>
      <c r="AS23" s="1391"/>
      <c r="AT23" s="1397" t="s">
        <v>8142</v>
      </c>
      <c r="AU23" s="2014">
        <v>132</v>
      </c>
      <c r="AV23" s="1399"/>
      <c r="AW23" s="1391">
        <v>41923</v>
      </c>
      <c r="AX23" s="1397" t="s">
        <v>8143</v>
      </c>
      <c r="AY23" s="2014">
        <v>44</v>
      </c>
      <c r="AZ23" s="1399"/>
      <c r="BA23" s="1391">
        <v>42287</v>
      </c>
      <c r="BB23" s="1397" t="s">
        <v>8144</v>
      </c>
      <c r="BC23" s="2014">
        <v>52</v>
      </c>
      <c r="BD23" s="1399"/>
      <c r="BE23" s="1391">
        <v>42651</v>
      </c>
      <c r="BF23" s="1397" t="s">
        <v>8145</v>
      </c>
      <c r="BG23" s="2014">
        <v>119</v>
      </c>
      <c r="BH23" s="1399"/>
      <c r="BI23" s="1391">
        <v>43018</v>
      </c>
      <c r="BJ23" s="1397" t="s">
        <v>859</v>
      </c>
      <c r="BK23" s="2014">
        <v>18</v>
      </c>
      <c r="BL23" s="1399"/>
      <c r="BM23" s="1391">
        <v>43386</v>
      </c>
      <c r="BN23" s="1397" t="s">
        <v>8146</v>
      </c>
      <c r="BO23" s="2014">
        <v>20</v>
      </c>
      <c r="BP23" s="1399"/>
      <c r="BQ23" s="1391">
        <v>43743</v>
      </c>
      <c r="BR23" s="1393" t="s">
        <v>8147</v>
      </c>
      <c r="BS23" s="2023">
        <v>27</v>
      </c>
      <c r="BT23" s="1392" t="s">
        <v>280</v>
      </c>
      <c r="BU23" s="1391">
        <v>44107</v>
      </c>
      <c r="BV23" s="1393" t="s">
        <v>8148</v>
      </c>
      <c r="BW23" s="2023">
        <v>27</v>
      </c>
      <c r="BX23" s="1392" t="s">
        <v>414</v>
      </c>
      <c r="BY23" s="1391">
        <v>44471</v>
      </c>
      <c r="BZ23" s="1393" t="s">
        <v>8149</v>
      </c>
      <c r="CA23" s="2023">
        <v>8</v>
      </c>
      <c r="CB23" s="1392" t="s">
        <v>414</v>
      </c>
      <c r="CC23" s="1391">
        <v>44838</v>
      </c>
      <c r="CD23" s="1393" t="s">
        <v>8150</v>
      </c>
      <c r="CE23" s="2023">
        <v>0</v>
      </c>
      <c r="CF23" s="1392" t="s">
        <v>700</v>
      </c>
      <c r="CG23" s="2003">
        <v>45200</v>
      </c>
      <c r="CH23" s="1393" t="s">
        <v>3128</v>
      </c>
      <c r="CI23" s="2023">
        <v>21</v>
      </c>
      <c r="CJ23" s="1392" t="s">
        <v>414</v>
      </c>
      <c r="CK23" s="2003">
        <v>45574</v>
      </c>
      <c r="CL23" s="2007" t="s">
        <v>8151</v>
      </c>
      <c r="CM23" s="2009">
        <v>20</v>
      </c>
      <c r="CN23" s="1392" t="s">
        <v>280</v>
      </c>
    </row>
    <row r="24" spans="1:92" ht="14.25">
      <c r="A24" s="2011">
        <v>37540</v>
      </c>
      <c r="B24" s="1397" t="s">
        <v>915</v>
      </c>
      <c r="C24" s="2014"/>
      <c r="D24" s="1399">
        <v>18</v>
      </c>
      <c r="E24" s="1391">
        <v>37902</v>
      </c>
      <c r="F24" s="1397" t="s">
        <v>8152</v>
      </c>
      <c r="G24" s="2014">
        <v>9</v>
      </c>
      <c r="H24" s="1399"/>
      <c r="I24" s="1391">
        <v>38271</v>
      </c>
      <c r="J24" s="1397" t="s">
        <v>1052</v>
      </c>
      <c r="K24" s="2014">
        <v>28</v>
      </c>
      <c r="L24" s="1399"/>
      <c r="M24" s="1391">
        <v>38640</v>
      </c>
      <c r="N24" s="1397" t="s">
        <v>7994</v>
      </c>
      <c r="O24" s="2019">
        <v>500</v>
      </c>
      <c r="P24" s="1399">
        <f t="shared" si="2"/>
        <v>11.627906976744185</v>
      </c>
      <c r="Q24" s="1391">
        <v>39004</v>
      </c>
      <c r="R24" s="1397" t="s">
        <v>8153</v>
      </c>
      <c r="S24" s="2014">
        <v>18</v>
      </c>
      <c r="T24" s="1399"/>
      <c r="U24" s="1391">
        <v>39379</v>
      </c>
      <c r="V24" s="1397" t="s">
        <v>8154</v>
      </c>
      <c r="W24" s="2014">
        <v>19</v>
      </c>
      <c r="X24" s="1399"/>
      <c r="Y24" s="1391">
        <v>39732</v>
      </c>
      <c r="Z24" s="1397" t="s">
        <v>8155</v>
      </c>
      <c r="AA24" s="2014">
        <v>4</v>
      </c>
      <c r="AB24" s="1399"/>
      <c r="AC24" s="1391">
        <v>40102</v>
      </c>
      <c r="AD24" s="1397" t="s">
        <v>8156</v>
      </c>
      <c r="AE24" s="2014">
        <v>145</v>
      </c>
      <c r="AF24" s="1399"/>
      <c r="AG24" s="1391">
        <v>40468</v>
      </c>
      <c r="AH24" s="1397" t="s">
        <v>797</v>
      </c>
      <c r="AI24" s="2014">
        <v>37</v>
      </c>
      <c r="AJ24" s="1399"/>
      <c r="AK24" s="1391">
        <v>40828</v>
      </c>
      <c r="AL24" s="1397" t="s">
        <v>8157</v>
      </c>
      <c r="AM24" s="2014">
        <v>33</v>
      </c>
      <c r="AN24" s="1399"/>
      <c r="AO24" s="1391">
        <v>41190</v>
      </c>
      <c r="AP24" s="1397" t="s">
        <v>6025</v>
      </c>
      <c r="AQ24" s="2014">
        <v>21</v>
      </c>
      <c r="AR24" s="1399"/>
      <c r="AS24" s="1391"/>
      <c r="AT24" s="1397" t="s">
        <v>381</v>
      </c>
      <c r="AU24" s="2014">
        <v>614</v>
      </c>
      <c r="AV24" s="1399"/>
      <c r="AW24" s="1391">
        <v>41923</v>
      </c>
      <c r="AX24" s="1397" t="s">
        <v>8158</v>
      </c>
      <c r="AY24" s="2014">
        <v>20</v>
      </c>
      <c r="AZ24" s="1399"/>
      <c r="BA24" s="1391">
        <v>42287</v>
      </c>
      <c r="BB24" s="1397" t="s">
        <v>8159</v>
      </c>
      <c r="BC24" s="2014">
        <v>13</v>
      </c>
      <c r="BD24" s="1399"/>
      <c r="BE24" s="1391">
        <v>42651</v>
      </c>
      <c r="BF24" s="1397" t="s">
        <v>8160</v>
      </c>
      <c r="BG24" s="2014">
        <v>368</v>
      </c>
      <c r="BH24" s="1399"/>
      <c r="BI24" s="1391">
        <v>43018</v>
      </c>
      <c r="BJ24" s="1397" t="s">
        <v>823</v>
      </c>
      <c r="BK24" s="2014">
        <v>42</v>
      </c>
      <c r="BL24" s="1399"/>
      <c r="BM24" s="1391">
        <v>43386</v>
      </c>
      <c r="BN24" s="1397" t="s">
        <v>8161</v>
      </c>
      <c r="BO24" s="2014">
        <v>22</v>
      </c>
      <c r="BP24" s="1399"/>
      <c r="BQ24" s="1391">
        <v>43743</v>
      </c>
      <c r="BR24" s="1393" t="s">
        <v>823</v>
      </c>
      <c r="BS24" s="2023">
        <v>73</v>
      </c>
      <c r="BT24" s="1392" t="s">
        <v>414</v>
      </c>
      <c r="BU24" s="1391">
        <v>44107</v>
      </c>
      <c r="BV24" s="1393" t="s">
        <v>8162</v>
      </c>
      <c r="BW24" s="2023">
        <v>17</v>
      </c>
      <c r="BX24" s="1392" t="s">
        <v>414</v>
      </c>
      <c r="BY24" s="1391">
        <v>44471</v>
      </c>
      <c r="BZ24" s="1393" t="s">
        <v>8163</v>
      </c>
      <c r="CA24" s="2023">
        <v>13</v>
      </c>
      <c r="CB24" s="1392" t="s">
        <v>414</v>
      </c>
      <c r="CC24" s="1391">
        <v>44838</v>
      </c>
      <c r="CD24" s="1393" t="s">
        <v>8164</v>
      </c>
      <c r="CE24" s="2023">
        <v>87</v>
      </c>
      <c r="CF24" s="1392" t="s">
        <v>426</v>
      </c>
      <c r="CG24" s="2003">
        <v>45200</v>
      </c>
      <c r="CH24" s="1393" t="s">
        <v>6741</v>
      </c>
      <c r="CI24" s="2023">
        <v>12</v>
      </c>
      <c r="CJ24" s="1392" t="s">
        <v>414</v>
      </c>
      <c r="CK24" s="2003">
        <v>45574</v>
      </c>
      <c r="CL24" s="2005" t="s">
        <v>1770</v>
      </c>
      <c r="CM24" s="2009">
        <v>11</v>
      </c>
      <c r="CN24" s="1392" t="s">
        <v>280</v>
      </c>
    </row>
    <row r="25" spans="1:92" ht="14.25">
      <c r="A25" s="2011">
        <v>37541</v>
      </c>
      <c r="B25" s="1397" t="s">
        <v>8165</v>
      </c>
      <c r="C25" s="2014">
        <v>120</v>
      </c>
      <c r="D25" s="1399"/>
      <c r="E25" s="1391">
        <v>37902</v>
      </c>
      <c r="F25" s="1397" t="s">
        <v>8166</v>
      </c>
      <c r="G25" s="2014">
        <v>8</v>
      </c>
      <c r="H25" s="1399"/>
      <c r="I25" s="1391">
        <v>38271</v>
      </c>
      <c r="J25" s="1397" t="s">
        <v>6427</v>
      </c>
      <c r="K25" s="2014">
        <v>4</v>
      </c>
      <c r="L25" s="1399"/>
      <c r="M25" s="1391">
        <v>38640</v>
      </c>
      <c r="N25" s="1397" t="s">
        <v>8167</v>
      </c>
      <c r="O25" s="2019">
        <v>400</v>
      </c>
      <c r="P25" s="1399">
        <f t="shared" si="2"/>
        <v>9.3023255813953494</v>
      </c>
      <c r="Q25" s="1391">
        <v>39004</v>
      </c>
      <c r="R25" s="1397" t="s">
        <v>767</v>
      </c>
      <c r="S25" s="2014">
        <v>7</v>
      </c>
      <c r="T25" s="1399"/>
      <c r="U25" s="1391">
        <v>39380</v>
      </c>
      <c r="V25" s="1397" t="s">
        <v>8168</v>
      </c>
      <c r="W25" s="2014">
        <v>10</v>
      </c>
      <c r="X25" s="1399"/>
      <c r="Y25" s="1391">
        <v>39732</v>
      </c>
      <c r="Z25" s="1397" t="s">
        <v>1957</v>
      </c>
      <c r="AA25" s="2014">
        <v>18</v>
      </c>
      <c r="AB25" s="1399"/>
      <c r="AC25" s="1391">
        <v>40102</v>
      </c>
      <c r="AD25" s="1397" t="s">
        <v>772</v>
      </c>
      <c r="AE25" s="2014">
        <v>81</v>
      </c>
      <c r="AF25" s="1399"/>
      <c r="AG25" s="1391">
        <v>40468</v>
      </c>
      <c r="AH25" s="1397" t="s">
        <v>802</v>
      </c>
      <c r="AI25" s="2014">
        <v>40</v>
      </c>
      <c r="AJ25" s="1399"/>
      <c r="AK25" s="1391">
        <v>40828</v>
      </c>
      <c r="AL25" s="1397" t="s">
        <v>797</v>
      </c>
      <c r="AM25" s="2014">
        <v>25</v>
      </c>
      <c r="AN25" s="1399"/>
      <c r="AO25" s="1391">
        <v>41190</v>
      </c>
      <c r="AP25" s="1397" t="s">
        <v>8169</v>
      </c>
      <c r="AQ25" s="2014">
        <v>105</v>
      </c>
      <c r="AR25" s="1399"/>
      <c r="AS25" s="1391"/>
      <c r="AT25" s="1397" t="s">
        <v>280</v>
      </c>
      <c r="AU25" s="2014">
        <v>16</v>
      </c>
      <c r="AV25" s="1399"/>
      <c r="AW25" s="1391">
        <v>41923</v>
      </c>
      <c r="AX25" s="1397" t="s">
        <v>8170</v>
      </c>
      <c r="AY25" s="2014">
        <v>22</v>
      </c>
      <c r="AZ25" s="1399"/>
      <c r="BA25" s="1391">
        <v>42287</v>
      </c>
      <c r="BB25" s="1397" t="s">
        <v>8171</v>
      </c>
      <c r="BC25" s="2022">
        <v>8</v>
      </c>
      <c r="BD25" s="1399"/>
      <c r="BE25" s="1391">
        <v>42651</v>
      </c>
      <c r="BF25" s="1397" t="s">
        <v>8172</v>
      </c>
      <c r="BG25" s="2014">
        <v>14</v>
      </c>
      <c r="BH25" s="1399"/>
      <c r="BI25" s="1391">
        <v>43018</v>
      </c>
      <c r="BJ25" s="1397" t="s">
        <v>8173</v>
      </c>
      <c r="BK25" s="2014"/>
      <c r="BL25" s="1399"/>
      <c r="BM25" s="1391">
        <v>43387</v>
      </c>
      <c r="BN25" s="1397" t="s">
        <v>8174</v>
      </c>
      <c r="BO25" s="2014">
        <v>0</v>
      </c>
      <c r="BP25" s="1399"/>
      <c r="BQ25" s="1391">
        <v>43743</v>
      </c>
      <c r="BR25" s="1393" t="s">
        <v>873</v>
      </c>
      <c r="BS25" s="2023">
        <v>30</v>
      </c>
      <c r="BT25" s="1392" t="s">
        <v>414</v>
      </c>
      <c r="BU25" s="1391">
        <v>44107</v>
      </c>
      <c r="BV25" s="1393" t="s">
        <v>1975</v>
      </c>
      <c r="BW25" s="2023">
        <v>3</v>
      </c>
      <c r="BX25" s="1392" t="s">
        <v>414</v>
      </c>
      <c r="BY25" s="1391">
        <v>44471</v>
      </c>
      <c r="BZ25" s="1393" t="s">
        <v>845</v>
      </c>
      <c r="CA25" s="2023">
        <v>68</v>
      </c>
      <c r="CB25" s="1392" t="s">
        <v>414</v>
      </c>
      <c r="CC25" s="1391">
        <v>44840</v>
      </c>
      <c r="CD25" s="1393" t="s">
        <v>805</v>
      </c>
      <c r="CE25" s="2023">
        <v>53</v>
      </c>
      <c r="CF25" s="1392" t="s">
        <v>280</v>
      </c>
      <c r="CG25" s="2003">
        <v>45200</v>
      </c>
      <c r="CH25" s="1393" t="s">
        <v>8175</v>
      </c>
      <c r="CI25" s="2023">
        <v>60</v>
      </c>
      <c r="CJ25" s="1392" t="s">
        <v>414</v>
      </c>
      <c r="CK25" s="2003">
        <v>45574</v>
      </c>
      <c r="CL25" s="2005" t="s">
        <v>8176</v>
      </c>
      <c r="CM25" s="2009">
        <v>63</v>
      </c>
      <c r="CN25" s="1392" t="s">
        <v>280</v>
      </c>
    </row>
    <row r="26" spans="1:92" ht="14.25">
      <c r="A26" s="2011">
        <v>37541</v>
      </c>
      <c r="B26" s="1397" t="s">
        <v>797</v>
      </c>
      <c r="C26" s="2014">
        <v>28</v>
      </c>
      <c r="D26" s="1399"/>
      <c r="E26" s="1391">
        <v>37902</v>
      </c>
      <c r="F26" s="1397" t="s">
        <v>772</v>
      </c>
      <c r="G26" s="2014">
        <v>15</v>
      </c>
      <c r="H26" s="1399"/>
      <c r="I26" s="1391">
        <v>38273</v>
      </c>
      <c r="J26" s="1397" t="s">
        <v>1001</v>
      </c>
      <c r="K26" s="2014">
        <v>4</v>
      </c>
      <c r="L26" s="1399"/>
      <c r="M26" s="1391">
        <v>38643</v>
      </c>
      <c r="N26" s="1397" t="s">
        <v>8177</v>
      </c>
      <c r="O26" s="2019">
        <v>50</v>
      </c>
      <c r="P26" s="1399">
        <f t="shared" si="2"/>
        <v>1.1627906976744187</v>
      </c>
      <c r="Q26" s="1391">
        <v>39004</v>
      </c>
      <c r="R26" s="1397" t="s">
        <v>8178</v>
      </c>
      <c r="S26" s="2014">
        <v>3</v>
      </c>
      <c r="T26" s="1399"/>
      <c r="U26" s="1391">
        <v>39380</v>
      </c>
      <c r="V26" s="1397" t="s">
        <v>8179</v>
      </c>
      <c r="W26" s="2014">
        <v>18</v>
      </c>
      <c r="X26" s="1399"/>
      <c r="Y26" s="1391">
        <v>39732</v>
      </c>
      <c r="Z26" s="1397" t="s">
        <v>8180</v>
      </c>
      <c r="AA26" s="2014">
        <v>35</v>
      </c>
      <c r="AB26" s="1399"/>
      <c r="AC26" s="1391">
        <v>40102</v>
      </c>
      <c r="AD26" s="1397" t="s">
        <v>7643</v>
      </c>
      <c r="AE26" s="2014">
        <v>37</v>
      </c>
      <c r="AF26" s="1399"/>
      <c r="AG26" s="1391">
        <v>40468</v>
      </c>
      <c r="AH26" s="1397" t="s">
        <v>960</v>
      </c>
      <c r="AI26" s="2014">
        <v>3</v>
      </c>
      <c r="AJ26" s="1399"/>
      <c r="AK26" s="1391">
        <v>40829</v>
      </c>
      <c r="AL26" s="1397" t="s">
        <v>781</v>
      </c>
      <c r="AM26" s="2014">
        <v>40</v>
      </c>
      <c r="AN26" s="1399"/>
      <c r="AO26" s="1391">
        <v>41192</v>
      </c>
      <c r="AP26" s="1397" t="s">
        <v>8181</v>
      </c>
      <c r="AQ26" s="2014"/>
      <c r="AR26" s="1399"/>
      <c r="AS26" s="1391">
        <v>41548</v>
      </c>
      <c r="AT26" s="1397" t="s">
        <v>8182</v>
      </c>
      <c r="AU26" s="2014">
        <v>1049</v>
      </c>
      <c r="AV26" s="1399"/>
      <c r="AW26" s="1391">
        <v>41924</v>
      </c>
      <c r="AX26" s="1397" t="s">
        <v>8183</v>
      </c>
      <c r="AY26" s="2014">
        <v>5</v>
      </c>
      <c r="AZ26" s="1399"/>
      <c r="BA26" s="1391">
        <v>42287</v>
      </c>
      <c r="BB26" s="1397" t="s">
        <v>8184</v>
      </c>
      <c r="BC26" s="2024">
        <v>45</v>
      </c>
      <c r="BD26" s="1399"/>
      <c r="BE26" s="1391">
        <v>42651</v>
      </c>
      <c r="BF26" s="1397" t="s">
        <v>8185</v>
      </c>
      <c r="BG26" s="2014">
        <v>42</v>
      </c>
      <c r="BH26" s="1399"/>
      <c r="BI26" s="1391">
        <v>43018</v>
      </c>
      <c r="BJ26" s="1397" t="s">
        <v>8186</v>
      </c>
      <c r="BK26" s="2014">
        <v>4</v>
      </c>
      <c r="BL26" s="1399"/>
      <c r="BM26" s="1391">
        <v>43387</v>
      </c>
      <c r="BN26" s="1397" t="s">
        <v>1180</v>
      </c>
      <c r="BO26" s="2014">
        <v>95</v>
      </c>
      <c r="BP26" s="1399"/>
      <c r="BQ26" s="1391">
        <v>43743</v>
      </c>
      <c r="BR26" s="1393" t="s">
        <v>872</v>
      </c>
      <c r="BS26" s="2023">
        <v>37</v>
      </c>
      <c r="BT26" s="1392" t="s">
        <v>414</v>
      </c>
      <c r="BU26" s="1391">
        <v>44107</v>
      </c>
      <c r="BV26" s="1393" t="s">
        <v>3276</v>
      </c>
      <c r="BW26" s="2023">
        <v>13</v>
      </c>
      <c r="BX26" s="1392" t="s">
        <v>414</v>
      </c>
      <c r="BY26" s="1391">
        <v>44471</v>
      </c>
      <c r="BZ26" s="1393" t="s">
        <v>843</v>
      </c>
      <c r="CA26" s="2023">
        <v>33</v>
      </c>
      <c r="CB26" s="1392" t="s">
        <v>414</v>
      </c>
      <c r="CC26" s="1391">
        <v>44840</v>
      </c>
      <c r="CD26" s="1393" t="s">
        <v>867</v>
      </c>
      <c r="CE26" s="2023">
        <v>55</v>
      </c>
      <c r="CF26" s="1392" t="s">
        <v>280</v>
      </c>
      <c r="CG26" s="2003">
        <v>45200</v>
      </c>
      <c r="CH26" s="1393" t="s">
        <v>5424</v>
      </c>
      <c r="CI26" s="2023">
        <v>6</v>
      </c>
      <c r="CJ26" s="1392" t="s">
        <v>414</v>
      </c>
      <c r="CK26" s="2003">
        <v>45574</v>
      </c>
      <c r="CL26" s="2005" t="s">
        <v>8187</v>
      </c>
      <c r="CM26" s="2009">
        <v>25</v>
      </c>
      <c r="CN26" s="1392" t="s">
        <v>278</v>
      </c>
    </row>
    <row r="27" spans="1:92" ht="14.25">
      <c r="A27" s="2011">
        <v>37541</v>
      </c>
      <c r="B27" s="1397" t="s">
        <v>8188</v>
      </c>
      <c r="C27" s="2014"/>
      <c r="D27" s="1399">
        <v>83</v>
      </c>
      <c r="E27" s="1391">
        <v>37904</v>
      </c>
      <c r="F27" s="1397" t="s">
        <v>8189</v>
      </c>
      <c r="G27" s="2014"/>
      <c r="H27" s="1399">
        <v>10</v>
      </c>
      <c r="I27" s="1391">
        <v>38273</v>
      </c>
      <c r="J27" s="1397" t="s">
        <v>8190</v>
      </c>
      <c r="K27" s="2014">
        <v>20</v>
      </c>
      <c r="L27" s="1399"/>
      <c r="M27" s="1391">
        <v>38643</v>
      </c>
      <c r="N27" s="1397" t="s">
        <v>8191</v>
      </c>
      <c r="O27" s="2019">
        <v>450</v>
      </c>
      <c r="P27" s="1399">
        <f t="shared" si="2"/>
        <v>10.465116279069768</v>
      </c>
      <c r="Q27" s="1391">
        <v>39004</v>
      </c>
      <c r="R27" s="1397" t="s">
        <v>8192</v>
      </c>
      <c r="S27" s="2014">
        <v>8</v>
      </c>
      <c r="T27" s="1399"/>
      <c r="U27" s="1391">
        <v>39380</v>
      </c>
      <c r="V27" s="1397" t="s">
        <v>802</v>
      </c>
      <c r="W27" s="2014">
        <v>44</v>
      </c>
      <c r="X27" s="1399"/>
      <c r="Y27" s="1391">
        <v>39733</v>
      </c>
      <c r="Z27" s="1397" t="s">
        <v>787</v>
      </c>
      <c r="AA27" s="2014">
        <v>45</v>
      </c>
      <c r="AB27" s="1399"/>
      <c r="AC27" s="1391">
        <v>40102</v>
      </c>
      <c r="AD27" s="1397" t="s">
        <v>781</v>
      </c>
      <c r="AE27" s="2014">
        <v>4</v>
      </c>
      <c r="AF27" s="1399"/>
      <c r="AG27" s="1391">
        <v>40469</v>
      </c>
      <c r="AH27" s="1397" t="s">
        <v>8193</v>
      </c>
      <c r="AI27" s="2014">
        <v>4</v>
      </c>
      <c r="AJ27" s="1399"/>
      <c r="AK27" s="1391">
        <v>40830</v>
      </c>
      <c r="AL27" s="1397" t="s">
        <v>7952</v>
      </c>
      <c r="AM27" s="2014">
        <v>53</v>
      </c>
      <c r="AN27" s="1399"/>
      <c r="AO27" s="1391"/>
      <c r="AP27" s="1397" t="s">
        <v>8194</v>
      </c>
      <c r="AQ27" s="2014"/>
      <c r="AR27" s="1399"/>
      <c r="AS27" s="1391">
        <v>41554</v>
      </c>
      <c r="AT27" s="1397" t="s">
        <v>8195</v>
      </c>
      <c r="AU27" s="2014">
        <v>208</v>
      </c>
      <c r="AV27" s="1399"/>
      <c r="AW27" s="1391">
        <v>41924</v>
      </c>
      <c r="AX27" s="1397" t="s">
        <v>8196</v>
      </c>
      <c r="AY27" s="2014">
        <v>26</v>
      </c>
      <c r="AZ27" s="1399"/>
      <c r="BA27" s="1391">
        <v>42287</v>
      </c>
      <c r="BB27" s="1397" t="s">
        <v>8197</v>
      </c>
      <c r="BC27" s="2014">
        <v>4</v>
      </c>
      <c r="BD27" s="1399"/>
      <c r="BE27" s="1391">
        <v>42651</v>
      </c>
      <c r="BF27" s="1397" t="s">
        <v>8198</v>
      </c>
      <c r="BG27" s="2014">
        <v>29</v>
      </c>
      <c r="BH27" s="1399"/>
      <c r="BI27" s="1391">
        <v>43019</v>
      </c>
      <c r="BJ27" s="1397" t="s">
        <v>781</v>
      </c>
      <c r="BK27" s="2014">
        <v>12</v>
      </c>
      <c r="BL27" s="1399"/>
      <c r="BM27" s="1391">
        <v>43387</v>
      </c>
      <c r="BN27" s="1397" t="s">
        <v>8199</v>
      </c>
      <c r="BO27" s="2014">
        <v>42</v>
      </c>
      <c r="BP27" s="1399"/>
      <c r="BQ27" s="1391">
        <v>43743</v>
      </c>
      <c r="BR27" s="1412" t="s">
        <v>8003</v>
      </c>
      <c r="BS27" s="2023">
        <v>120</v>
      </c>
      <c r="BT27" s="1392" t="s">
        <v>280</v>
      </c>
      <c r="BU27" s="1391">
        <v>44107</v>
      </c>
      <c r="BV27" s="1393" t="s">
        <v>8200</v>
      </c>
      <c r="BW27" s="2023">
        <v>35</v>
      </c>
      <c r="BX27" s="1392" t="s">
        <v>414</v>
      </c>
      <c r="BY27" s="1391">
        <v>44471</v>
      </c>
      <c r="BZ27" s="1393" t="s">
        <v>872</v>
      </c>
      <c r="CA27" s="2023">
        <v>13</v>
      </c>
      <c r="CB27" s="1392" t="s">
        <v>414</v>
      </c>
      <c r="CC27" s="1391">
        <v>44840</v>
      </c>
      <c r="CD27" s="1393" t="s">
        <v>8201</v>
      </c>
      <c r="CE27" s="2023">
        <v>25</v>
      </c>
      <c r="CF27" s="1392" t="s">
        <v>280</v>
      </c>
      <c r="CG27" s="2003">
        <v>45200</v>
      </c>
      <c r="CH27" s="1393" t="s">
        <v>1722</v>
      </c>
      <c r="CI27" s="2023">
        <v>12</v>
      </c>
      <c r="CJ27" s="1392" t="s">
        <v>414</v>
      </c>
      <c r="CK27" s="2003">
        <v>45574</v>
      </c>
      <c r="CL27" s="2005" t="s">
        <v>797</v>
      </c>
      <c r="CM27" s="2009">
        <v>75</v>
      </c>
      <c r="CN27" s="1392" t="s">
        <v>410</v>
      </c>
    </row>
    <row r="28" spans="1:92" ht="14.25">
      <c r="A28" s="2011">
        <v>37541</v>
      </c>
      <c r="B28" s="1397" t="s">
        <v>8202</v>
      </c>
      <c r="C28" s="2014"/>
      <c r="D28" s="1399">
        <v>5</v>
      </c>
      <c r="E28" s="1391">
        <v>37904</v>
      </c>
      <c r="F28" s="1397" t="s">
        <v>8203</v>
      </c>
      <c r="G28" s="2014">
        <v>18</v>
      </c>
      <c r="H28" s="1399"/>
      <c r="I28" s="1391">
        <v>38273</v>
      </c>
      <c r="J28" s="1397" t="s">
        <v>802</v>
      </c>
      <c r="K28" s="2014">
        <v>30</v>
      </c>
      <c r="L28" s="1399"/>
      <c r="M28" s="1391">
        <v>38643</v>
      </c>
      <c r="N28" s="1397" t="s">
        <v>8204</v>
      </c>
      <c r="O28" s="2019">
        <v>560</v>
      </c>
      <c r="P28" s="1399">
        <f t="shared" si="2"/>
        <v>13.023255813953488</v>
      </c>
      <c r="Q28" s="1391">
        <v>39005</v>
      </c>
      <c r="R28" s="1397" t="s">
        <v>8205</v>
      </c>
      <c r="S28" s="2014">
        <v>7</v>
      </c>
      <c r="T28" s="1399"/>
      <c r="U28" s="1391">
        <v>39380</v>
      </c>
      <c r="V28" s="1397" t="s">
        <v>8206</v>
      </c>
      <c r="W28" s="2014">
        <v>12</v>
      </c>
      <c r="X28" s="1399"/>
      <c r="Y28" s="1391">
        <v>39733</v>
      </c>
      <c r="Z28" s="1397" t="s">
        <v>8207</v>
      </c>
      <c r="AA28" s="2014">
        <v>8</v>
      </c>
      <c r="AB28" s="1399"/>
      <c r="AC28" s="1391">
        <v>40102</v>
      </c>
      <c r="AD28" s="1397" t="s">
        <v>8208</v>
      </c>
      <c r="AE28" s="2014">
        <v>5</v>
      </c>
      <c r="AF28" s="1399"/>
      <c r="AG28" s="1391">
        <v>40472</v>
      </c>
      <c r="AH28" s="1397" t="s">
        <v>8209</v>
      </c>
      <c r="AI28" s="2014">
        <v>13</v>
      </c>
      <c r="AJ28" s="1399"/>
      <c r="AK28" s="1391">
        <v>40831</v>
      </c>
      <c r="AL28" s="1397" t="s">
        <v>7952</v>
      </c>
      <c r="AM28" s="2014">
        <v>35</v>
      </c>
      <c r="AN28" s="1399"/>
      <c r="AO28" s="1391">
        <v>41192</v>
      </c>
      <c r="AP28" s="1397" t="s">
        <v>8210</v>
      </c>
      <c r="AQ28" s="2014">
        <v>7</v>
      </c>
      <c r="AR28" s="1399"/>
      <c r="AS28" s="1391">
        <v>41555</v>
      </c>
      <c r="AT28" s="1397" t="s">
        <v>8211</v>
      </c>
      <c r="AU28" s="2014">
        <v>25</v>
      </c>
      <c r="AV28" s="1399"/>
      <c r="AW28" s="1391">
        <v>41924</v>
      </c>
      <c r="AX28" s="1397" t="s">
        <v>8212</v>
      </c>
      <c r="AY28" s="2014">
        <v>28</v>
      </c>
      <c r="AZ28" s="1399"/>
      <c r="BA28" s="1391">
        <v>42287</v>
      </c>
      <c r="BB28" s="1397" t="s">
        <v>8213</v>
      </c>
      <c r="BC28" s="2014">
        <v>44</v>
      </c>
      <c r="BD28" s="1399"/>
      <c r="BE28" s="1391">
        <v>42651</v>
      </c>
      <c r="BF28" s="1397" t="s">
        <v>8214</v>
      </c>
      <c r="BG28" s="2014">
        <v>24</v>
      </c>
      <c r="BH28" s="1399"/>
      <c r="BI28" s="1391">
        <v>43019</v>
      </c>
      <c r="BJ28" s="1397" t="s">
        <v>8215</v>
      </c>
      <c r="BK28" s="2014">
        <v>32</v>
      </c>
      <c r="BL28" s="1399"/>
      <c r="BM28" s="1391">
        <v>43387</v>
      </c>
      <c r="BN28" s="1397" t="s">
        <v>8216</v>
      </c>
      <c r="BO28" s="2014"/>
      <c r="BP28" s="1399"/>
      <c r="BQ28" s="1391">
        <v>43743</v>
      </c>
      <c r="BR28" s="1412" t="s">
        <v>1770</v>
      </c>
      <c r="BS28" s="2023">
        <v>14</v>
      </c>
      <c r="BT28" s="1392" t="s">
        <v>414</v>
      </c>
      <c r="BU28" s="1391">
        <v>43743</v>
      </c>
      <c r="BV28" s="1393" t="s">
        <v>772</v>
      </c>
      <c r="BW28" s="2023">
        <v>47</v>
      </c>
      <c r="BX28" s="1392" t="s">
        <v>414</v>
      </c>
      <c r="BY28" s="1391">
        <v>44471</v>
      </c>
      <c r="BZ28" s="1393" t="s">
        <v>772</v>
      </c>
      <c r="CA28" s="2023">
        <v>5</v>
      </c>
      <c r="CB28" s="1392" t="s">
        <v>414</v>
      </c>
      <c r="CC28" s="1391">
        <v>44840</v>
      </c>
      <c r="CD28" s="1393" t="s">
        <v>8217</v>
      </c>
      <c r="CE28" s="2023">
        <v>80</v>
      </c>
      <c r="CF28" s="1392" t="s">
        <v>695</v>
      </c>
      <c r="CG28" s="2003">
        <v>45200</v>
      </c>
      <c r="CH28" s="1393" t="s">
        <v>1198</v>
      </c>
      <c r="CI28" s="2023">
        <v>20</v>
      </c>
      <c r="CJ28" s="1392" t="s">
        <v>414</v>
      </c>
      <c r="CK28" s="2003">
        <v>45575</v>
      </c>
      <c r="CL28" s="2005" t="s">
        <v>8218</v>
      </c>
      <c r="CM28" s="2009">
        <v>10</v>
      </c>
      <c r="CN28" s="1392" t="s">
        <v>278</v>
      </c>
    </row>
    <row r="29" spans="1:92" ht="14.25">
      <c r="A29" s="2011">
        <v>37542</v>
      </c>
      <c r="B29" s="1397" t="s">
        <v>8219</v>
      </c>
      <c r="C29" s="2014"/>
      <c r="D29" s="1399">
        <v>10</v>
      </c>
      <c r="E29" s="1391">
        <v>37905</v>
      </c>
      <c r="F29" s="1397" t="s">
        <v>772</v>
      </c>
      <c r="G29" s="2014">
        <v>22</v>
      </c>
      <c r="H29" s="1399"/>
      <c r="I29" s="1391">
        <v>38276</v>
      </c>
      <c r="J29" s="1397" t="s">
        <v>8220</v>
      </c>
      <c r="K29" s="2014">
        <v>80</v>
      </c>
      <c r="L29" s="1399"/>
      <c r="M29" s="1391">
        <v>38643</v>
      </c>
      <c r="N29" s="1397" t="s">
        <v>8221</v>
      </c>
      <c r="O29" s="2019">
        <v>260</v>
      </c>
      <c r="P29" s="1399">
        <f t="shared" si="2"/>
        <v>6.0465116279069768</v>
      </c>
      <c r="Q29" s="1391">
        <v>39006</v>
      </c>
      <c r="R29" s="1397" t="s">
        <v>8222</v>
      </c>
      <c r="S29" s="2014">
        <v>5</v>
      </c>
      <c r="T29" s="1399"/>
      <c r="U29" s="1391">
        <v>39380</v>
      </c>
      <c r="V29" s="1397" t="s">
        <v>8223</v>
      </c>
      <c r="W29" s="2014">
        <v>7</v>
      </c>
      <c r="X29" s="1399"/>
      <c r="Y29" s="1391">
        <v>39733</v>
      </c>
      <c r="Z29" s="1397" t="s">
        <v>802</v>
      </c>
      <c r="AA29" s="2014">
        <v>42</v>
      </c>
      <c r="AB29" s="1399"/>
      <c r="AC29" s="1391">
        <v>40104</v>
      </c>
      <c r="AD29" s="1397" t="s">
        <v>8224</v>
      </c>
      <c r="AE29" s="2014">
        <v>37</v>
      </c>
      <c r="AF29" s="1399"/>
      <c r="AG29" s="1391">
        <v>40474</v>
      </c>
      <c r="AH29" s="1397" t="s">
        <v>772</v>
      </c>
      <c r="AI29" s="2014">
        <v>92</v>
      </c>
      <c r="AJ29" s="1399"/>
      <c r="AK29" s="1391">
        <v>40832</v>
      </c>
      <c r="AL29" s="1397" t="s">
        <v>8225</v>
      </c>
      <c r="AM29" s="2014">
        <v>20</v>
      </c>
      <c r="AN29" s="1399"/>
      <c r="AO29" s="1391">
        <v>41192</v>
      </c>
      <c r="AP29" s="1397" t="s">
        <v>8226</v>
      </c>
      <c r="AQ29" s="2014">
        <v>11</v>
      </c>
      <c r="AR29" s="1399"/>
      <c r="AS29" s="1391">
        <v>41555</v>
      </c>
      <c r="AT29" s="1397" t="s">
        <v>8227</v>
      </c>
      <c r="AU29" s="2014">
        <v>97</v>
      </c>
      <c r="AV29" s="1399"/>
      <c r="AW29" s="1391">
        <v>41924</v>
      </c>
      <c r="AX29" s="1397" t="s">
        <v>797</v>
      </c>
      <c r="AY29" s="2014">
        <v>31</v>
      </c>
      <c r="AZ29" s="1399"/>
      <c r="BA29" s="1391">
        <v>42288</v>
      </c>
      <c r="BB29" s="1397" t="s">
        <v>8228</v>
      </c>
      <c r="BC29" s="2022">
        <v>40</v>
      </c>
      <c r="BD29" s="1399"/>
      <c r="BE29" s="1391">
        <v>42651</v>
      </c>
      <c r="BF29" s="1397" t="s">
        <v>8229</v>
      </c>
      <c r="BG29" s="2014">
        <v>18</v>
      </c>
      <c r="BH29" s="1399"/>
      <c r="BI29" s="1391">
        <v>43021</v>
      </c>
      <c r="BJ29" s="1397" t="s">
        <v>873</v>
      </c>
      <c r="BK29" s="2014">
        <v>15</v>
      </c>
      <c r="BL29" s="1399"/>
      <c r="BM29" s="1391">
        <v>43387</v>
      </c>
      <c r="BN29" s="1397" t="s">
        <v>8230</v>
      </c>
      <c r="BO29" s="2014">
        <v>267</v>
      </c>
      <c r="BP29" s="1399"/>
      <c r="BQ29" s="1391">
        <v>43744</v>
      </c>
      <c r="BR29" s="1393" t="s">
        <v>8231</v>
      </c>
      <c r="BS29" s="2023">
        <v>25</v>
      </c>
      <c r="BT29" s="1392" t="s">
        <v>414</v>
      </c>
      <c r="BU29" s="1391">
        <v>43743</v>
      </c>
      <c r="BV29" s="1393" t="s">
        <v>828</v>
      </c>
      <c r="BW29" s="2023">
        <v>9</v>
      </c>
      <c r="BX29" s="1392" t="s">
        <v>414</v>
      </c>
      <c r="BY29" s="1391">
        <v>44471</v>
      </c>
      <c r="BZ29" s="1393" t="s">
        <v>8232</v>
      </c>
      <c r="CA29" s="2023">
        <v>4</v>
      </c>
      <c r="CB29" s="1392" t="s">
        <v>414</v>
      </c>
      <c r="CC29" s="1391">
        <v>44841</v>
      </c>
      <c r="CD29" s="1393" t="s">
        <v>772</v>
      </c>
      <c r="CE29" s="2023">
        <v>20</v>
      </c>
      <c r="CF29" s="1392" t="s">
        <v>414</v>
      </c>
      <c r="CG29" s="2003">
        <v>45200</v>
      </c>
      <c r="CH29" s="1393" t="s">
        <v>8233</v>
      </c>
      <c r="CI29" s="2023">
        <v>15</v>
      </c>
      <c r="CJ29" s="1392" t="s">
        <v>414</v>
      </c>
      <c r="CK29" s="2003">
        <v>45575</v>
      </c>
      <c r="CL29" s="2005" t="s">
        <v>8234</v>
      </c>
      <c r="CM29" s="2009">
        <v>40</v>
      </c>
      <c r="CN29" s="1392" t="s">
        <v>278</v>
      </c>
    </row>
    <row r="30" spans="1:92" ht="14.25">
      <c r="A30" s="2011">
        <v>37542</v>
      </c>
      <c r="B30" s="1397" t="s">
        <v>8235</v>
      </c>
      <c r="C30" s="2014"/>
      <c r="D30" s="1399">
        <v>10</v>
      </c>
      <c r="E30" s="1391">
        <v>37905</v>
      </c>
      <c r="F30" s="1397" t="s">
        <v>8236</v>
      </c>
      <c r="G30" s="2014">
        <v>33</v>
      </c>
      <c r="H30" s="1399"/>
      <c r="I30" s="1391">
        <v>38276</v>
      </c>
      <c r="J30" s="1397" t="s">
        <v>8237</v>
      </c>
      <c r="K30" s="2014">
        <v>0</v>
      </c>
      <c r="L30" s="1399"/>
      <c r="M30" s="1391">
        <v>38643</v>
      </c>
      <c r="N30" s="1397" t="s">
        <v>8238</v>
      </c>
      <c r="O30" s="2019">
        <v>22</v>
      </c>
      <c r="P30" s="1399">
        <f t="shared" si="2"/>
        <v>0.51162790697674421</v>
      </c>
      <c r="Q30" s="1391">
        <v>39006</v>
      </c>
      <c r="R30" s="1397" t="s">
        <v>8239</v>
      </c>
      <c r="S30" s="2014">
        <v>9</v>
      </c>
      <c r="T30" s="1399"/>
      <c r="U30" s="1391">
        <v>39380</v>
      </c>
      <c r="V30" s="1397" t="s">
        <v>8240</v>
      </c>
      <c r="W30" s="2014">
        <v>10</v>
      </c>
      <c r="X30" s="1399"/>
      <c r="Y30" s="1391">
        <v>39734</v>
      </c>
      <c r="Z30" s="1397" t="s">
        <v>797</v>
      </c>
      <c r="AA30" s="2014">
        <v>54</v>
      </c>
      <c r="AB30" s="1399"/>
      <c r="AC30" s="1391">
        <v>40104</v>
      </c>
      <c r="AD30" s="1397" t="s">
        <v>797</v>
      </c>
      <c r="AE30" s="2014">
        <v>39</v>
      </c>
      <c r="AF30" s="1399"/>
      <c r="AG30" s="1391">
        <v>40475</v>
      </c>
      <c r="AH30" s="1397" t="s">
        <v>937</v>
      </c>
      <c r="AI30" s="2014">
        <v>52</v>
      </c>
      <c r="AJ30" s="1399"/>
      <c r="AK30" s="1391">
        <v>40832</v>
      </c>
      <c r="AL30" s="1397" t="s">
        <v>802</v>
      </c>
      <c r="AM30" s="2014">
        <v>7</v>
      </c>
      <c r="AN30" s="1399"/>
      <c r="AO30" s="1391">
        <v>41192</v>
      </c>
      <c r="AP30" s="1397" t="s">
        <v>754</v>
      </c>
      <c r="AQ30" s="2014">
        <v>9</v>
      </c>
      <c r="AR30" s="1399"/>
      <c r="AS30" s="1391">
        <v>41555</v>
      </c>
      <c r="AT30" s="1397" t="s">
        <v>8241</v>
      </c>
      <c r="AU30" s="2014">
        <v>220</v>
      </c>
      <c r="AV30" s="1399"/>
      <c r="AW30" s="1391">
        <v>41924</v>
      </c>
      <c r="AX30" s="1397" t="s">
        <v>8242</v>
      </c>
      <c r="AY30" s="2014">
        <v>2</v>
      </c>
      <c r="AZ30" s="1399"/>
      <c r="BA30" s="1391">
        <v>42288</v>
      </c>
      <c r="BB30" s="1397" t="s">
        <v>8243</v>
      </c>
      <c r="BC30" s="2022">
        <v>10</v>
      </c>
      <c r="BD30" s="1399"/>
      <c r="BE30" s="1391">
        <v>42652</v>
      </c>
      <c r="BF30" s="1397" t="s">
        <v>8244</v>
      </c>
      <c r="BG30" s="2014">
        <v>0</v>
      </c>
      <c r="BH30" s="1399"/>
      <c r="BI30" s="1391">
        <v>43021</v>
      </c>
      <c r="BJ30" s="1397" t="s">
        <v>823</v>
      </c>
      <c r="BK30" s="2014">
        <v>10</v>
      </c>
      <c r="BL30" s="1399"/>
      <c r="BM30" s="1391">
        <v>43388</v>
      </c>
      <c r="BN30" s="1397" t="s">
        <v>8245</v>
      </c>
      <c r="BO30" s="2014">
        <v>11</v>
      </c>
      <c r="BP30" s="1399"/>
      <c r="BQ30" s="1391">
        <v>43744</v>
      </c>
      <c r="BR30" s="1393" t="s">
        <v>8246</v>
      </c>
      <c r="BS30" s="2023">
        <v>13</v>
      </c>
      <c r="BT30" s="1392" t="s">
        <v>278</v>
      </c>
      <c r="BU30" s="1391">
        <v>43743</v>
      </c>
      <c r="BV30" s="1393" t="s">
        <v>8247</v>
      </c>
      <c r="BW30" s="2023">
        <v>25</v>
      </c>
      <c r="BX30" s="1392" t="s">
        <v>414</v>
      </c>
      <c r="BY30" s="1391">
        <v>44471</v>
      </c>
      <c r="BZ30" s="1393" t="s">
        <v>8248</v>
      </c>
      <c r="CA30" s="2023">
        <v>80</v>
      </c>
      <c r="CB30" s="1392" t="s">
        <v>700</v>
      </c>
      <c r="CC30" s="1391">
        <v>44841</v>
      </c>
      <c r="CD30" s="1393" t="s">
        <v>772</v>
      </c>
      <c r="CE30" s="2023">
        <v>13</v>
      </c>
      <c r="CF30" s="1392" t="s">
        <v>414</v>
      </c>
      <c r="CG30" s="2003">
        <v>45207</v>
      </c>
      <c r="CH30" s="1393" t="s">
        <v>8249</v>
      </c>
      <c r="CI30" s="2023">
        <v>250</v>
      </c>
      <c r="CJ30" s="1392" t="s">
        <v>278</v>
      </c>
      <c r="CK30" s="2003">
        <v>45575</v>
      </c>
      <c r="CL30" s="2005" t="s">
        <v>8250</v>
      </c>
      <c r="CM30" s="2009">
        <v>20</v>
      </c>
      <c r="CN30" s="1392" t="s">
        <v>278</v>
      </c>
    </row>
    <row r="31" spans="1:92" ht="14.25">
      <c r="A31" s="2011">
        <v>37542</v>
      </c>
      <c r="B31" s="1397" t="s">
        <v>410</v>
      </c>
      <c r="C31" s="2014"/>
      <c r="D31" s="1399">
        <v>15</v>
      </c>
      <c r="E31" s="1391">
        <v>37907</v>
      </c>
      <c r="F31" s="1397" t="s">
        <v>8251</v>
      </c>
      <c r="G31" s="2014">
        <v>50</v>
      </c>
      <c r="H31" s="1399"/>
      <c r="I31" s="1391">
        <v>38277</v>
      </c>
      <c r="J31" s="1397" t="s">
        <v>8252</v>
      </c>
      <c r="K31" s="2014">
        <v>25</v>
      </c>
      <c r="L31" s="1399"/>
      <c r="M31" s="1391">
        <v>38643</v>
      </c>
      <c r="N31" s="1397" t="s">
        <v>8253</v>
      </c>
      <c r="O31" s="2019">
        <v>35</v>
      </c>
      <c r="P31" s="1399">
        <f t="shared" si="2"/>
        <v>0.81395348837209303</v>
      </c>
      <c r="Q31" s="1391">
        <v>39009</v>
      </c>
      <c r="R31" s="1397" t="s">
        <v>797</v>
      </c>
      <c r="S31" s="2014">
        <v>32</v>
      </c>
      <c r="T31" s="1399"/>
      <c r="U31" s="1391">
        <v>39380</v>
      </c>
      <c r="V31" s="1397" t="s">
        <v>797</v>
      </c>
      <c r="W31" s="2014">
        <v>43</v>
      </c>
      <c r="X31" s="1399"/>
      <c r="Y31" s="1391">
        <v>39734</v>
      </c>
      <c r="Z31" s="1397" t="s">
        <v>8254</v>
      </c>
      <c r="AA31" s="2014">
        <v>20</v>
      </c>
      <c r="AB31" s="1399"/>
      <c r="AC31" s="1391">
        <v>40104</v>
      </c>
      <c r="AD31" s="1397" t="s">
        <v>3108</v>
      </c>
      <c r="AE31" s="2014">
        <v>40</v>
      </c>
      <c r="AF31" s="1399"/>
      <c r="AG31" s="1391">
        <v>40475</v>
      </c>
      <c r="AH31" s="1397" t="s">
        <v>8255</v>
      </c>
      <c r="AI31" s="2014">
        <v>3</v>
      </c>
      <c r="AJ31" s="1399"/>
      <c r="AK31" s="1391">
        <v>40832</v>
      </c>
      <c r="AL31" s="1397" t="s">
        <v>8256</v>
      </c>
      <c r="AM31" s="2014">
        <v>120</v>
      </c>
      <c r="AN31" s="1399"/>
      <c r="AO31" s="1391">
        <v>41195</v>
      </c>
      <c r="AP31" s="1397" t="s">
        <v>8257</v>
      </c>
      <c r="AQ31" s="2014"/>
      <c r="AR31" s="1399"/>
      <c r="AS31" s="1391">
        <v>41555</v>
      </c>
      <c r="AT31" s="1397" t="s">
        <v>8258</v>
      </c>
      <c r="AU31" s="2014">
        <v>90</v>
      </c>
      <c r="AV31" s="1399"/>
      <c r="AW31" s="1391">
        <v>41924</v>
      </c>
      <c r="AX31" s="1397" t="s">
        <v>8259</v>
      </c>
      <c r="AY31" s="2014">
        <v>3</v>
      </c>
      <c r="AZ31" s="1399"/>
      <c r="BA31" s="1391">
        <v>42288</v>
      </c>
      <c r="BB31" s="1397" t="s">
        <v>8260</v>
      </c>
      <c r="BC31" s="2022">
        <v>12</v>
      </c>
      <c r="BD31" s="1399"/>
      <c r="BE31" s="1391">
        <v>42652</v>
      </c>
      <c r="BF31" s="1397" t="s">
        <v>8261</v>
      </c>
      <c r="BG31" s="2014">
        <v>4</v>
      </c>
      <c r="BH31" s="1399"/>
      <c r="BI31" s="1391">
        <v>43022</v>
      </c>
      <c r="BJ31" s="1397" t="s">
        <v>872</v>
      </c>
      <c r="BK31" s="2014">
        <v>38</v>
      </c>
      <c r="BL31" s="1399"/>
      <c r="BM31" s="1391">
        <v>43388</v>
      </c>
      <c r="BN31" s="1397" t="s">
        <v>8262</v>
      </c>
      <c r="BO31" s="2014">
        <v>21</v>
      </c>
      <c r="BP31" s="1399"/>
      <c r="BQ31" s="1391">
        <v>43745</v>
      </c>
      <c r="BR31" s="1393" t="s">
        <v>2226</v>
      </c>
      <c r="BS31" s="2023">
        <v>13</v>
      </c>
      <c r="BT31" s="1392" t="s">
        <v>280</v>
      </c>
      <c r="BU31" s="1391">
        <v>43743</v>
      </c>
      <c r="BV31" s="1393" t="s">
        <v>823</v>
      </c>
      <c r="BW31" s="2023">
        <v>54</v>
      </c>
      <c r="BX31" s="1392" t="s">
        <v>414</v>
      </c>
      <c r="BY31" s="1391">
        <v>44471</v>
      </c>
      <c r="BZ31" s="1393" t="s">
        <v>859</v>
      </c>
      <c r="CA31" s="2023">
        <v>31</v>
      </c>
      <c r="CB31" s="1392" t="s">
        <v>414</v>
      </c>
      <c r="CC31" s="1391">
        <v>44841</v>
      </c>
      <c r="CD31" s="1393" t="s">
        <v>8263</v>
      </c>
      <c r="CE31" s="2023">
        <v>29</v>
      </c>
      <c r="CF31" s="1392" t="s">
        <v>278</v>
      </c>
      <c r="CG31" s="2003">
        <v>45207</v>
      </c>
      <c r="CH31" s="1393" t="s">
        <v>8264</v>
      </c>
      <c r="CI31" s="2023">
        <v>85</v>
      </c>
      <c r="CJ31" s="1392" t="s">
        <v>700</v>
      </c>
      <c r="CK31" s="2003">
        <v>45575</v>
      </c>
      <c r="CL31" s="2005" t="s">
        <v>8265</v>
      </c>
      <c r="CM31" s="2009">
        <v>8</v>
      </c>
      <c r="CN31" s="1392" t="s">
        <v>278</v>
      </c>
    </row>
    <row r="32" spans="1:92" ht="14.25">
      <c r="A32" s="2011">
        <v>37542</v>
      </c>
      <c r="B32" s="1397" t="s">
        <v>8266</v>
      </c>
      <c r="C32" s="2014"/>
      <c r="D32" s="1399">
        <v>10</v>
      </c>
      <c r="E32" s="1391">
        <v>37907</v>
      </c>
      <c r="F32" s="1397" t="s">
        <v>8267</v>
      </c>
      <c r="G32" s="2014">
        <v>63</v>
      </c>
      <c r="H32" s="1399"/>
      <c r="I32" s="1391">
        <v>38277</v>
      </c>
      <c r="J32" s="1397" t="s">
        <v>8268</v>
      </c>
      <c r="K32" s="2014">
        <v>4</v>
      </c>
      <c r="L32" s="1399"/>
      <c r="M32" s="1391">
        <v>38643</v>
      </c>
      <c r="N32" s="1397" t="s">
        <v>8269</v>
      </c>
      <c r="O32" s="2019">
        <v>25</v>
      </c>
      <c r="P32" s="1399">
        <f t="shared" si="2"/>
        <v>0.58139534883720934</v>
      </c>
      <c r="Q32" s="1391">
        <v>39010</v>
      </c>
      <c r="R32" s="1397" t="s">
        <v>802</v>
      </c>
      <c r="S32" s="2014">
        <v>22</v>
      </c>
      <c r="T32" s="1399"/>
      <c r="U32" s="1391">
        <v>39380</v>
      </c>
      <c r="V32" s="1397" t="s">
        <v>8270</v>
      </c>
      <c r="W32" s="2014">
        <v>12</v>
      </c>
      <c r="X32" s="1399"/>
      <c r="Y32" s="1391">
        <v>39738</v>
      </c>
      <c r="Z32" s="1397" t="s">
        <v>772</v>
      </c>
      <c r="AA32" s="2014">
        <v>106</v>
      </c>
      <c r="AB32" s="1399"/>
      <c r="AC32" s="1391">
        <v>40104</v>
      </c>
      <c r="AD32" s="1397" t="s">
        <v>867</v>
      </c>
      <c r="AE32" s="2014">
        <v>45</v>
      </c>
      <c r="AF32" s="1399"/>
      <c r="AG32" s="1391">
        <v>40475</v>
      </c>
      <c r="AH32" s="1397" t="s">
        <v>797</v>
      </c>
      <c r="AI32" s="2014">
        <v>37</v>
      </c>
      <c r="AJ32" s="1399"/>
      <c r="AK32" s="1391">
        <v>40834</v>
      </c>
      <c r="AL32" s="1397" t="s">
        <v>797</v>
      </c>
      <c r="AM32" s="2014">
        <v>54</v>
      </c>
      <c r="AN32" s="1399"/>
      <c r="AO32" s="1391">
        <v>41194</v>
      </c>
      <c r="AP32" s="1397" t="s">
        <v>1126</v>
      </c>
      <c r="AQ32" s="2014">
        <v>13</v>
      </c>
      <c r="AR32" s="1399"/>
      <c r="AS32" s="1391">
        <v>41556</v>
      </c>
      <c r="AT32" s="1397" t="s">
        <v>8271</v>
      </c>
      <c r="AU32" s="2014">
        <v>295</v>
      </c>
      <c r="AV32" s="1399"/>
      <c r="AW32" s="1391">
        <v>41924</v>
      </c>
      <c r="AX32" s="1397" t="s">
        <v>754</v>
      </c>
      <c r="AY32" s="2014">
        <v>39</v>
      </c>
      <c r="AZ32" s="1399"/>
      <c r="BA32" s="1391">
        <v>42288</v>
      </c>
      <c r="BB32" s="1397" t="s">
        <v>8272</v>
      </c>
      <c r="BC32" s="2024">
        <v>12</v>
      </c>
      <c r="BD32" s="1399"/>
      <c r="BE32" s="1391">
        <v>42652</v>
      </c>
      <c r="BF32" s="1397" t="s">
        <v>8273</v>
      </c>
      <c r="BG32" s="2014">
        <v>10</v>
      </c>
      <c r="BH32" s="1399"/>
      <c r="BI32" s="1391">
        <v>43022</v>
      </c>
      <c r="BJ32" s="1397" t="s">
        <v>2162</v>
      </c>
      <c r="BK32" s="2014">
        <v>7</v>
      </c>
      <c r="BL32" s="1399"/>
      <c r="BM32" s="1391">
        <v>43388</v>
      </c>
      <c r="BN32" s="1397" t="s">
        <v>8274</v>
      </c>
      <c r="BO32" s="2014">
        <v>99</v>
      </c>
      <c r="BP32" s="1399"/>
      <c r="BQ32" s="1391">
        <v>43746</v>
      </c>
      <c r="BR32" s="1393" t="s">
        <v>873</v>
      </c>
      <c r="BS32" s="2023">
        <v>6</v>
      </c>
      <c r="BT32" s="1392" t="s">
        <v>414</v>
      </c>
      <c r="BU32" s="1391">
        <v>43743</v>
      </c>
      <c r="BV32" s="1393" t="s">
        <v>772</v>
      </c>
      <c r="BW32" s="2023">
        <v>54</v>
      </c>
      <c r="BX32" s="1392" t="s">
        <v>414</v>
      </c>
      <c r="BY32" s="1391">
        <v>44476</v>
      </c>
      <c r="BZ32" s="1393" t="s">
        <v>8275</v>
      </c>
      <c r="CA32" s="2023">
        <v>94</v>
      </c>
      <c r="CB32" s="1392" t="s">
        <v>700</v>
      </c>
      <c r="CC32" s="1391">
        <v>44842</v>
      </c>
      <c r="CD32" s="1393" t="s">
        <v>8276</v>
      </c>
      <c r="CE32" s="2023">
        <v>27</v>
      </c>
      <c r="CF32" s="1392" t="s">
        <v>414</v>
      </c>
      <c r="CG32" s="2003">
        <v>45207</v>
      </c>
      <c r="CH32" s="1393" t="s">
        <v>8277</v>
      </c>
      <c r="CI32" s="2023">
        <v>55</v>
      </c>
      <c r="CJ32" s="1392" t="s">
        <v>700</v>
      </c>
      <c r="CK32" s="2003">
        <v>45575</v>
      </c>
      <c r="CL32" s="2005" t="s">
        <v>8278</v>
      </c>
      <c r="CM32" s="2009">
        <v>16</v>
      </c>
      <c r="CN32" s="1392" t="s">
        <v>278</v>
      </c>
    </row>
    <row r="33" spans="1:92" ht="14.25">
      <c r="A33" s="2011">
        <v>37543</v>
      </c>
      <c r="B33" s="1397" t="s">
        <v>8279</v>
      </c>
      <c r="C33" s="2014">
        <v>25</v>
      </c>
      <c r="D33" s="1399"/>
      <c r="E33" s="1391">
        <v>37907</v>
      </c>
      <c r="F33" s="1397" t="s">
        <v>1299</v>
      </c>
      <c r="G33" s="2014">
        <v>56</v>
      </c>
      <c r="H33" s="1399"/>
      <c r="I33" s="1391">
        <v>38281</v>
      </c>
      <c r="J33" s="1397" t="s">
        <v>802</v>
      </c>
      <c r="K33" s="2014">
        <v>26</v>
      </c>
      <c r="L33" s="1399"/>
      <c r="M33" s="1391">
        <v>38643</v>
      </c>
      <c r="N33" s="1397" t="s">
        <v>8280</v>
      </c>
      <c r="O33" s="2025">
        <v>17</v>
      </c>
      <c r="P33" s="1399">
        <f t="shared" si="2"/>
        <v>0.39534883720930231</v>
      </c>
      <c r="Q33" s="1391">
        <v>39010</v>
      </c>
      <c r="R33" s="1397" t="s">
        <v>8281</v>
      </c>
      <c r="S33" s="2014">
        <v>11</v>
      </c>
      <c r="T33" s="1399"/>
      <c r="U33" s="1391">
        <v>39381</v>
      </c>
      <c r="V33" s="1397" t="s">
        <v>8282</v>
      </c>
      <c r="W33" s="2014">
        <v>24</v>
      </c>
      <c r="X33" s="1399"/>
      <c r="Y33" s="1391">
        <v>39738</v>
      </c>
      <c r="Z33" s="1397" t="s">
        <v>8283</v>
      </c>
      <c r="AA33" s="2014">
        <v>30</v>
      </c>
      <c r="AB33" s="1399"/>
      <c r="AC33" s="1391">
        <v>40104</v>
      </c>
      <c r="AD33" s="1397" t="s">
        <v>8284</v>
      </c>
      <c r="AE33" s="2014">
        <v>36</v>
      </c>
      <c r="AF33" s="1399"/>
      <c r="AG33" s="1391">
        <v>40476</v>
      </c>
      <c r="AH33" s="1397" t="s">
        <v>802</v>
      </c>
      <c r="AI33" s="2014">
        <v>39</v>
      </c>
      <c r="AJ33" s="1399"/>
      <c r="AK33" s="1391">
        <v>40837</v>
      </c>
      <c r="AL33" s="1397" t="s">
        <v>8285</v>
      </c>
      <c r="AM33" s="2014">
        <v>30</v>
      </c>
      <c r="AN33" s="1399"/>
      <c r="AO33" s="1391">
        <v>41194</v>
      </c>
      <c r="AP33" s="1397" t="s">
        <v>802</v>
      </c>
      <c r="AQ33" s="2014">
        <v>45</v>
      </c>
      <c r="AR33" s="1399"/>
      <c r="AS33" s="1391">
        <v>41556</v>
      </c>
      <c r="AT33" s="1397" t="s">
        <v>8286</v>
      </c>
      <c r="AU33" s="2014">
        <v>31</v>
      </c>
      <c r="AV33" s="1399"/>
      <c r="AW33" s="1391">
        <v>41924</v>
      </c>
      <c r="AX33" s="1397" t="s">
        <v>2773</v>
      </c>
      <c r="AY33" s="2014">
        <v>4</v>
      </c>
      <c r="AZ33" s="1399"/>
      <c r="BA33" s="1391">
        <v>42288</v>
      </c>
      <c r="BB33" s="1397" t="s">
        <v>8287</v>
      </c>
      <c r="BC33" s="2014">
        <v>20</v>
      </c>
      <c r="BD33" s="1399"/>
      <c r="BE33" s="1391">
        <v>42652</v>
      </c>
      <c r="BF33" s="1397" t="s">
        <v>8288</v>
      </c>
      <c r="BG33" s="2014">
        <v>25</v>
      </c>
      <c r="BH33" s="1399"/>
      <c r="BI33" s="1391">
        <v>43022</v>
      </c>
      <c r="BJ33" s="1397" t="s">
        <v>8289</v>
      </c>
      <c r="BK33" s="2014">
        <v>15</v>
      </c>
      <c r="BL33" s="1399"/>
      <c r="BM33" s="1391">
        <v>43385</v>
      </c>
      <c r="BN33" s="1397" t="s">
        <v>8216</v>
      </c>
      <c r="BO33" s="2014"/>
      <c r="BP33" s="1399"/>
      <c r="BQ33" s="1391">
        <v>43746</v>
      </c>
      <c r="BR33" s="1393" t="s">
        <v>8290</v>
      </c>
      <c r="BS33" s="2023">
        <v>30</v>
      </c>
      <c r="BT33" s="1392" t="s">
        <v>280</v>
      </c>
      <c r="BU33" s="1391">
        <v>43748</v>
      </c>
      <c r="BV33" s="1393" t="s">
        <v>8291</v>
      </c>
      <c r="BW33" s="2023">
        <v>65</v>
      </c>
      <c r="BX33" s="1392" t="s">
        <v>700</v>
      </c>
      <c r="BY33" s="1391">
        <v>44476</v>
      </c>
      <c r="BZ33" s="1393" t="s">
        <v>8292</v>
      </c>
      <c r="CA33" s="2023">
        <v>45</v>
      </c>
      <c r="CB33" s="1392" t="s">
        <v>700</v>
      </c>
      <c r="CC33" s="1391">
        <v>44842</v>
      </c>
      <c r="CD33" s="1393" t="s">
        <v>845</v>
      </c>
      <c r="CE33" s="2023">
        <v>47</v>
      </c>
      <c r="CF33" s="1392" t="s">
        <v>414</v>
      </c>
      <c r="CG33" s="2003">
        <v>45207</v>
      </c>
      <c r="CH33" s="1393" t="s">
        <v>2253</v>
      </c>
      <c r="CI33" s="2023">
        <v>15</v>
      </c>
      <c r="CJ33" s="1392" t="s">
        <v>414</v>
      </c>
      <c r="CK33" s="2003">
        <v>45575</v>
      </c>
      <c r="CL33" s="2005" t="s">
        <v>8293</v>
      </c>
      <c r="CM33" s="2009">
        <v>63</v>
      </c>
      <c r="CN33" s="1392" t="s">
        <v>278</v>
      </c>
    </row>
    <row r="34" spans="1:92" ht="14.25">
      <c r="A34" s="2011">
        <v>37543</v>
      </c>
      <c r="B34" s="1397" t="s">
        <v>915</v>
      </c>
      <c r="C34" s="2014">
        <v>14</v>
      </c>
      <c r="D34" s="1399"/>
      <c r="E34" s="1391">
        <v>37907</v>
      </c>
      <c r="F34" s="1397" t="s">
        <v>8294</v>
      </c>
      <c r="G34" s="2014">
        <v>8</v>
      </c>
      <c r="H34" s="1399"/>
      <c r="I34" s="1391">
        <v>38283</v>
      </c>
      <c r="J34" s="1397" t="s">
        <v>8295</v>
      </c>
      <c r="K34" s="2014">
        <v>41</v>
      </c>
      <c r="L34" s="1399"/>
      <c r="M34" s="1391">
        <v>38643</v>
      </c>
      <c r="N34" s="1397" t="s">
        <v>8296</v>
      </c>
      <c r="O34" s="2025">
        <v>12</v>
      </c>
      <c r="P34" s="1399">
        <f t="shared" si="2"/>
        <v>0.27906976744186046</v>
      </c>
      <c r="Q34" s="1391">
        <v>39010</v>
      </c>
      <c r="R34" s="1397" t="s">
        <v>8297</v>
      </c>
      <c r="S34" s="2014">
        <v>17</v>
      </c>
      <c r="T34" s="1399"/>
      <c r="U34" s="1391">
        <v>39381</v>
      </c>
      <c r="V34" s="1397" t="s">
        <v>8298</v>
      </c>
      <c r="W34" s="2014">
        <v>12</v>
      </c>
      <c r="X34" s="1399"/>
      <c r="Y34" s="1391">
        <v>39739</v>
      </c>
      <c r="Z34" s="1397" t="s">
        <v>1052</v>
      </c>
      <c r="AA34" s="2014">
        <v>34</v>
      </c>
      <c r="AB34" s="1399"/>
      <c r="AC34" s="1391">
        <v>40105</v>
      </c>
      <c r="AD34" s="1397" t="s">
        <v>8299</v>
      </c>
      <c r="AE34" s="2014">
        <v>15</v>
      </c>
      <c r="AF34" s="1399"/>
      <c r="AG34" s="1391">
        <v>40481</v>
      </c>
      <c r="AH34" s="1397" t="s">
        <v>802</v>
      </c>
      <c r="AI34" s="2014">
        <v>40</v>
      </c>
      <c r="AJ34" s="1399"/>
      <c r="AK34" s="1391">
        <v>40837</v>
      </c>
      <c r="AL34" s="1397" t="s">
        <v>7952</v>
      </c>
      <c r="AM34" s="2014">
        <v>40</v>
      </c>
      <c r="AN34" s="1399"/>
      <c r="AO34" s="1391">
        <v>41194</v>
      </c>
      <c r="AP34" s="1397" t="s">
        <v>1126</v>
      </c>
      <c r="AQ34" s="2014">
        <v>16</v>
      </c>
      <c r="AR34" s="1399"/>
      <c r="AS34" s="1391">
        <v>41556</v>
      </c>
      <c r="AT34" s="1397" t="s">
        <v>8300</v>
      </c>
      <c r="AU34" s="2014">
        <v>11</v>
      </c>
      <c r="AV34" s="1399"/>
      <c r="AW34" s="1391">
        <v>41926</v>
      </c>
      <c r="AX34" s="1397" t="s">
        <v>925</v>
      </c>
      <c r="AY34" s="2014">
        <v>5</v>
      </c>
      <c r="AZ34" s="1399"/>
      <c r="BA34" s="1391">
        <v>42288</v>
      </c>
      <c r="BB34" s="1397" t="s">
        <v>797</v>
      </c>
      <c r="BC34" s="2014">
        <v>55</v>
      </c>
      <c r="BD34" s="1399"/>
      <c r="BE34" s="1391">
        <v>42653</v>
      </c>
      <c r="BF34" s="1397" t="s">
        <v>8301</v>
      </c>
      <c r="BG34" s="2014">
        <f>-BG22</f>
        <v>-350</v>
      </c>
      <c r="BH34" s="1399"/>
      <c r="BI34" s="1391">
        <v>43022</v>
      </c>
      <c r="BJ34" s="1397" t="s">
        <v>873</v>
      </c>
      <c r="BK34" s="2014">
        <v>15</v>
      </c>
      <c r="BL34" s="1399"/>
      <c r="BM34" s="1391">
        <v>43385</v>
      </c>
      <c r="BN34" s="1397" t="s">
        <v>8230</v>
      </c>
      <c r="BO34" s="2014">
        <v>300</v>
      </c>
      <c r="BP34" s="1399"/>
      <c r="BQ34" s="1391">
        <v>43748</v>
      </c>
      <c r="BR34" s="1393" t="s">
        <v>3169</v>
      </c>
      <c r="BS34" s="2023">
        <v>16</v>
      </c>
      <c r="BT34" s="1392" t="s">
        <v>278</v>
      </c>
      <c r="BU34" s="1391">
        <v>43748</v>
      </c>
      <c r="BV34" s="1393" t="s">
        <v>8302</v>
      </c>
      <c r="BW34" s="2023">
        <v>54</v>
      </c>
      <c r="BX34" s="1392" t="s">
        <v>701</v>
      </c>
      <c r="BY34" s="1391">
        <v>44476</v>
      </c>
      <c r="BZ34" s="1393" t="s">
        <v>8303</v>
      </c>
      <c r="CA34" s="2023">
        <v>27</v>
      </c>
      <c r="CB34" s="1392" t="s">
        <v>414</v>
      </c>
      <c r="CC34" s="1391">
        <v>44842</v>
      </c>
      <c r="CD34" s="1393" t="s">
        <v>772</v>
      </c>
      <c r="CE34" s="2023">
        <v>30</v>
      </c>
      <c r="CF34" s="1392" t="s">
        <v>414</v>
      </c>
      <c r="CG34" s="2003">
        <v>45207</v>
      </c>
      <c r="CH34" s="1393" t="s">
        <v>8304</v>
      </c>
      <c r="CI34" s="2023">
        <v>15</v>
      </c>
      <c r="CJ34" s="1392" t="s">
        <v>414</v>
      </c>
      <c r="CK34" s="2003">
        <v>45575</v>
      </c>
      <c r="CL34" s="2005" t="s">
        <v>8305</v>
      </c>
      <c r="CM34" s="2009">
        <v>100</v>
      </c>
      <c r="CN34" s="1392" t="s">
        <v>381</v>
      </c>
    </row>
    <row r="35" spans="1:92" ht="14.25">
      <c r="A35" s="2011"/>
      <c r="B35" s="1397"/>
      <c r="C35" s="2014"/>
      <c r="D35" s="1399"/>
      <c r="E35" s="1391"/>
      <c r="F35" s="1397"/>
      <c r="G35" s="2014"/>
      <c r="H35" s="1399"/>
      <c r="I35" s="1391"/>
      <c r="J35" s="1397"/>
      <c r="K35" s="2014"/>
      <c r="L35" s="1399"/>
      <c r="M35" s="1391"/>
      <c r="N35" s="1397"/>
      <c r="O35" s="2025"/>
      <c r="P35" s="1399"/>
      <c r="Q35" s="1391"/>
      <c r="R35" s="1397"/>
      <c r="S35" s="2014"/>
      <c r="T35" s="1399"/>
      <c r="U35" s="1391"/>
      <c r="V35" s="1397"/>
      <c r="W35" s="2014"/>
      <c r="X35" s="1399"/>
      <c r="Y35" s="1391"/>
      <c r="Z35" s="1397"/>
      <c r="AA35" s="2014"/>
      <c r="AB35" s="1399"/>
      <c r="AC35" s="1391"/>
      <c r="AD35" s="1397"/>
      <c r="AE35" s="2014"/>
      <c r="AF35" s="1399"/>
      <c r="AG35" s="1391"/>
      <c r="AH35" s="1397"/>
      <c r="AI35" s="2014"/>
      <c r="AJ35" s="1399"/>
      <c r="AK35" s="1391"/>
      <c r="AL35" s="1397"/>
      <c r="AM35" s="2014"/>
      <c r="AN35" s="1399"/>
      <c r="AO35" s="1391"/>
      <c r="AP35" s="1397"/>
      <c r="AQ35" s="2014"/>
      <c r="AR35" s="1399"/>
      <c r="AS35" s="1391"/>
      <c r="AT35" s="1397"/>
      <c r="AU35" s="2014"/>
      <c r="AV35" s="1399"/>
      <c r="AW35" s="1391"/>
      <c r="AX35" s="1397"/>
      <c r="AY35" s="2014"/>
      <c r="AZ35" s="1399"/>
      <c r="BA35" s="1391"/>
      <c r="BB35" s="1397"/>
      <c r="BC35" s="2014"/>
      <c r="BD35" s="1399"/>
      <c r="BE35" s="1391"/>
      <c r="BF35" s="1397"/>
      <c r="BG35" s="2014"/>
      <c r="BH35" s="1399"/>
      <c r="BI35" s="1391"/>
      <c r="BJ35" s="1397"/>
      <c r="BK35" s="2014"/>
      <c r="BL35" s="1399"/>
      <c r="BM35" s="1391"/>
      <c r="BN35" s="1397"/>
      <c r="BO35" s="2014"/>
      <c r="BP35" s="1399"/>
      <c r="BQ35" s="1391"/>
      <c r="BR35" s="1393"/>
      <c r="BS35" s="2023"/>
      <c r="BT35" s="1392"/>
      <c r="BU35" s="1391"/>
      <c r="BV35" s="1393"/>
      <c r="BW35" s="2023"/>
      <c r="BX35" s="1392"/>
      <c r="BY35" s="1391"/>
      <c r="BZ35" s="1393"/>
      <c r="CA35" s="2023"/>
      <c r="CB35" s="1392"/>
      <c r="CC35" s="1391"/>
      <c r="CD35" s="1393"/>
      <c r="CE35" s="2023"/>
      <c r="CF35" s="1392"/>
      <c r="CG35" s="2003"/>
      <c r="CH35" s="1393"/>
      <c r="CI35" s="2023"/>
      <c r="CJ35" s="1392"/>
      <c r="CK35" s="2003">
        <v>45576</v>
      </c>
      <c r="CL35" s="2005" t="s">
        <v>8306</v>
      </c>
      <c r="CM35" s="2009">
        <v>81</v>
      </c>
      <c r="CN35" s="1392" t="s">
        <v>700</v>
      </c>
    </row>
    <row r="36" spans="1:92" ht="14.25">
      <c r="A36" s="2011">
        <v>37543</v>
      </c>
      <c r="B36" s="1397" t="s">
        <v>410</v>
      </c>
      <c r="C36" s="2014">
        <v>24</v>
      </c>
      <c r="D36" s="1399"/>
      <c r="E36" s="1391">
        <v>37908</v>
      </c>
      <c r="F36" s="1397" t="s">
        <v>8307</v>
      </c>
      <c r="G36" s="2014">
        <v>14</v>
      </c>
      <c r="H36" s="1399"/>
      <c r="I36" s="1391">
        <v>38283</v>
      </c>
      <c r="J36" s="1397" t="s">
        <v>8308</v>
      </c>
      <c r="K36" s="2014">
        <v>13</v>
      </c>
      <c r="L36" s="1399"/>
      <c r="M36" s="1391">
        <v>38643</v>
      </c>
      <c r="N36" s="1397" t="s">
        <v>8309</v>
      </c>
      <c r="O36" s="2025">
        <v>25</v>
      </c>
      <c r="P36" s="1399">
        <f t="shared" si="2"/>
        <v>0.58139534883720934</v>
      </c>
      <c r="Q36" s="1391">
        <v>39010</v>
      </c>
      <c r="R36" s="1397" t="s">
        <v>8310</v>
      </c>
      <c r="S36" s="2014">
        <v>22</v>
      </c>
      <c r="T36" s="1399"/>
      <c r="U36" s="1391">
        <v>39381</v>
      </c>
      <c r="V36" s="1397" t="s">
        <v>797</v>
      </c>
      <c r="W36" s="2014">
        <v>35</v>
      </c>
      <c r="X36" s="1399"/>
      <c r="Y36" s="1391">
        <v>39740</v>
      </c>
      <c r="Z36" s="1397" t="s">
        <v>783</v>
      </c>
      <c r="AA36" s="2014">
        <v>21</v>
      </c>
      <c r="AB36" s="1399"/>
      <c r="AC36" s="1391">
        <v>40105</v>
      </c>
      <c r="AD36" s="1397" t="s">
        <v>8311</v>
      </c>
      <c r="AE36" s="2014">
        <v>23</v>
      </c>
      <c r="AF36" s="1399"/>
      <c r="AG36" s="1391">
        <v>40481</v>
      </c>
      <c r="AH36" s="1397" t="s">
        <v>1130</v>
      </c>
      <c r="AI36" s="2014">
        <v>14</v>
      </c>
      <c r="AJ36" s="1399"/>
      <c r="AK36" s="1391">
        <v>40837</v>
      </c>
      <c r="AL36" s="1397" t="s">
        <v>8312</v>
      </c>
      <c r="AM36" s="2014">
        <v>148</v>
      </c>
      <c r="AN36" s="1399"/>
      <c r="AO36" s="1391">
        <v>41194</v>
      </c>
      <c r="AP36" s="1397" t="s">
        <v>6433</v>
      </c>
      <c r="AQ36" s="2014">
        <v>25</v>
      </c>
      <c r="AR36" s="1399"/>
      <c r="AS36" s="1391">
        <v>41556</v>
      </c>
      <c r="AT36" s="1397" t="s">
        <v>8313</v>
      </c>
      <c r="AU36" s="2014">
        <v>300</v>
      </c>
      <c r="AV36" s="1399"/>
      <c r="AW36" s="1391">
        <v>41926</v>
      </c>
      <c r="AX36" s="1397" t="s">
        <v>8314</v>
      </c>
      <c r="AY36" s="2014">
        <v>241</v>
      </c>
      <c r="AZ36" s="1399"/>
      <c r="BA36" s="1391">
        <v>42288</v>
      </c>
      <c r="BB36" s="1397" t="s">
        <v>8315</v>
      </c>
      <c r="BC36" s="2014">
        <v>11</v>
      </c>
      <c r="BD36" s="1399"/>
      <c r="BE36" s="1391">
        <v>42653</v>
      </c>
      <c r="BF36" s="1397" t="s">
        <v>8316</v>
      </c>
      <c r="BG36" s="2014">
        <f>BG23+BG33</f>
        <v>144</v>
      </c>
      <c r="BH36" s="1399"/>
      <c r="BI36" s="1391">
        <v>43023</v>
      </c>
      <c r="BJ36" s="1397" t="s">
        <v>859</v>
      </c>
      <c r="BK36" s="2014">
        <v>24</v>
      </c>
      <c r="BL36" s="1399"/>
      <c r="BM36" s="1391">
        <v>43391</v>
      </c>
      <c r="BN36" s="1397" t="s">
        <v>7814</v>
      </c>
      <c r="BO36" s="2014">
        <v>43</v>
      </c>
      <c r="BP36" s="1399"/>
      <c r="BQ36" s="1391">
        <v>43748</v>
      </c>
      <c r="BR36" s="1393" t="s">
        <v>4585</v>
      </c>
      <c r="BS36" s="2023">
        <v>17</v>
      </c>
      <c r="BT36" s="1392" t="s">
        <v>280</v>
      </c>
      <c r="BU36" s="1391">
        <v>43748</v>
      </c>
      <c r="BV36" s="1393" t="s">
        <v>8317</v>
      </c>
      <c r="BW36" s="2023">
        <v>20</v>
      </c>
      <c r="BX36" s="1392" t="s">
        <v>700</v>
      </c>
      <c r="BY36" s="1391">
        <v>44476</v>
      </c>
      <c r="BZ36" s="1393" t="s">
        <v>1033</v>
      </c>
      <c r="CA36" s="2023">
        <v>12</v>
      </c>
      <c r="CB36" s="1392" t="s">
        <v>414</v>
      </c>
      <c r="CC36" s="1391">
        <v>44842</v>
      </c>
      <c r="CD36" s="1393" t="s">
        <v>872</v>
      </c>
      <c r="CE36" s="2023">
        <v>7</v>
      </c>
      <c r="CF36" s="1392" t="s">
        <v>414</v>
      </c>
      <c r="CG36" s="2003">
        <v>45207</v>
      </c>
      <c r="CH36" s="1393" t="s">
        <v>1660</v>
      </c>
      <c r="CI36" s="2023">
        <v>47</v>
      </c>
      <c r="CJ36" s="1392" t="s">
        <v>414</v>
      </c>
      <c r="CK36" s="2003">
        <v>45576</v>
      </c>
      <c r="CL36" s="2005" t="s">
        <v>1180</v>
      </c>
      <c r="CM36" s="2009">
        <v>116</v>
      </c>
      <c r="CN36" s="1392" t="s">
        <v>410</v>
      </c>
    </row>
    <row r="37" spans="1:92" ht="14.25">
      <c r="A37" s="2011">
        <v>37543</v>
      </c>
      <c r="B37" s="1397" t="s">
        <v>864</v>
      </c>
      <c r="C37" s="2014">
        <v>31</v>
      </c>
      <c r="D37" s="1399">
        <v>114</v>
      </c>
      <c r="E37" s="1391">
        <v>37908</v>
      </c>
      <c r="F37" s="1397" t="s">
        <v>797</v>
      </c>
      <c r="G37" s="2014">
        <v>32</v>
      </c>
      <c r="H37" s="1399"/>
      <c r="I37" s="1391">
        <v>38283</v>
      </c>
      <c r="J37" s="1397" t="s">
        <v>990</v>
      </c>
      <c r="K37" s="2014">
        <v>61</v>
      </c>
      <c r="L37" s="1399"/>
      <c r="M37" s="1391">
        <v>38643</v>
      </c>
      <c r="N37" s="1397" t="s">
        <v>8318</v>
      </c>
      <c r="O37" s="2025">
        <v>35</v>
      </c>
      <c r="P37" s="1399">
        <f t="shared" si="2"/>
        <v>0.81395348837209303</v>
      </c>
      <c r="Q37" s="1391">
        <v>39011</v>
      </c>
      <c r="R37" s="1397" t="s">
        <v>2170</v>
      </c>
      <c r="S37" s="2014">
        <v>5</v>
      </c>
      <c r="T37" s="1399"/>
      <c r="U37" s="1391">
        <v>39381</v>
      </c>
      <c r="V37" s="1397" t="s">
        <v>8319</v>
      </c>
      <c r="W37" s="2014">
        <v>118</v>
      </c>
      <c r="X37" s="1399"/>
      <c r="Y37" s="1391">
        <v>39740</v>
      </c>
      <c r="Z37" s="1397" t="s">
        <v>781</v>
      </c>
      <c r="AA37" s="2014">
        <v>61</v>
      </c>
      <c r="AB37" s="1399"/>
      <c r="AC37" s="1391">
        <v>40105</v>
      </c>
      <c r="AD37" s="1397" t="s">
        <v>767</v>
      </c>
      <c r="AE37" s="2014">
        <v>5</v>
      </c>
      <c r="AF37" s="1399"/>
      <c r="AG37" s="1391">
        <v>40482</v>
      </c>
      <c r="AH37" s="1397" t="s">
        <v>8320</v>
      </c>
      <c r="AI37" s="2014">
        <v>11</v>
      </c>
      <c r="AJ37" s="1399"/>
      <c r="AK37" s="1391">
        <v>40837</v>
      </c>
      <c r="AL37" s="1397" t="s">
        <v>8321</v>
      </c>
      <c r="AM37" s="2014">
        <v>51</v>
      </c>
      <c r="AN37" s="1399"/>
      <c r="AO37" s="1391">
        <v>41194</v>
      </c>
      <c r="AP37" s="1397" t="s">
        <v>1052</v>
      </c>
      <c r="AQ37" s="2014">
        <v>19</v>
      </c>
      <c r="AR37" s="1399"/>
      <c r="AS37" s="1391">
        <v>41557</v>
      </c>
      <c r="AT37" s="1397" t="s">
        <v>8322</v>
      </c>
      <c r="AU37" s="2014">
        <v>15</v>
      </c>
      <c r="AV37" s="1399"/>
      <c r="AW37" s="1391">
        <v>41926</v>
      </c>
      <c r="AX37" s="1397" t="s">
        <v>8323</v>
      </c>
      <c r="AY37" s="2014">
        <v>36</v>
      </c>
      <c r="AZ37" s="1399"/>
      <c r="BA37" s="1391">
        <v>42288</v>
      </c>
      <c r="BB37" s="1397" t="s">
        <v>8324</v>
      </c>
      <c r="BC37" s="2014">
        <v>15</v>
      </c>
      <c r="BD37" s="1399"/>
      <c r="BE37" s="1391">
        <v>42653</v>
      </c>
      <c r="BF37" s="1397" t="s">
        <v>378</v>
      </c>
      <c r="BG37" s="2014">
        <f>BG6</f>
        <v>288</v>
      </c>
      <c r="BH37" s="1399"/>
      <c r="BI37" s="1391">
        <v>43023</v>
      </c>
      <c r="BJ37" s="1397" t="s">
        <v>8325</v>
      </c>
      <c r="BK37" s="2014">
        <f>SUM(BK38:BK40)</f>
        <v>137</v>
      </c>
      <c r="BL37" s="1399"/>
      <c r="BM37" s="1391">
        <v>43391</v>
      </c>
      <c r="BN37" s="1397" t="s">
        <v>8326</v>
      </c>
      <c r="BO37" s="2014">
        <v>32</v>
      </c>
      <c r="BP37" s="1399"/>
      <c r="BQ37" s="1391">
        <v>43748</v>
      </c>
      <c r="BR37" s="1393" t="s">
        <v>8327</v>
      </c>
      <c r="BS37" s="2023">
        <v>43</v>
      </c>
      <c r="BT37" s="1392" t="s">
        <v>280</v>
      </c>
      <c r="BU37" s="1391">
        <v>43748</v>
      </c>
      <c r="BV37" s="1393" t="s">
        <v>873</v>
      </c>
      <c r="BW37" s="2023">
        <v>26</v>
      </c>
      <c r="BX37" s="1392" t="s">
        <v>414</v>
      </c>
      <c r="BY37" s="1391">
        <v>44478</v>
      </c>
      <c r="BZ37" s="1393" t="s">
        <v>872</v>
      </c>
      <c r="CA37" s="2023">
        <v>29</v>
      </c>
      <c r="CB37" s="1392" t="s">
        <v>414</v>
      </c>
      <c r="CC37" s="1391">
        <v>44842</v>
      </c>
      <c r="CD37" s="1393" t="s">
        <v>979</v>
      </c>
      <c r="CE37" s="2023">
        <v>19</v>
      </c>
      <c r="CF37" s="1392" t="s">
        <v>700</v>
      </c>
      <c r="CG37" s="2003">
        <v>45207</v>
      </c>
      <c r="CH37" s="1393" t="s">
        <v>8328</v>
      </c>
      <c r="CI37" s="2023">
        <v>20</v>
      </c>
      <c r="CJ37" s="1392" t="s">
        <v>414</v>
      </c>
      <c r="CK37" s="2003">
        <v>45577</v>
      </c>
      <c r="CL37" s="2005" t="s">
        <v>8329</v>
      </c>
      <c r="CM37" s="2009">
        <v>48</v>
      </c>
      <c r="CN37" s="1392" t="s">
        <v>700</v>
      </c>
    </row>
    <row r="38" spans="1:92" ht="14.25">
      <c r="A38" s="2011">
        <v>37543</v>
      </c>
      <c r="B38" s="1397" t="s">
        <v>8330</v>
      </c>
      <c r="C38" s="2014">
        <v>23</v>
      </c>
      <c r="D38" s="1399"/>
      <c r="E38" s="1391">
        <v>37911</v>
      </c>
      <c r="F38" s="1397" t="s">
        <v>8331</v>
      </c>
      <c r="G38" s="2014">
        <v>33</v>
      </c>
      <c r="H38" s="1399"/>
      <c r="I38" s="1391">
        <v>38285</v>
      </c>
      <c r="J38" s="1397" t="s">
        <v>8332</v>
      </c>
      <c r="K38" s="2014">
        <v>24</v>
      </c>
      <c r="L38" s="1399"/>
      <c r="M38" s="1391">
        <v>38643</v>
      </c>
      <c r="N38" s="1397" t="s">
        <v>8333</v>
      </c>
      <c r="O38" s="2025">
        <v>198</v>
      </c>
      <c r="P38" s="1399">
        <f t="shared" si="2"/>
        <v>4.6046511627906979</v>
      </c>
      <c r="Q38" s="1391">
        <v>39011</v>
      </c>
      <c r="R38" s="1397" t="s">
        <v>1352</v>
      </c>
      <c r="S38" s="2014">
        <v>14</v>
      </c>
      <c r="T38" s="1399"/>
      <c r="U38" s="1391">
        <v>39381</v>
      </c>
      <c r="V38" s="1397" t="s">
        <v>8334</v>
      </c>
      <c r="W38" s="2014">
        <v>1</v>
      </c>
      <c r="X38" s="1399"/>
      <c r="Y38" s="1391">
        <v>39740</v>
      </c>
      <c r="Z38" s="1397" t="s">
        <v>8335</v>
      </c>
      <c r="AA38" s="2014">
        <v>10</v>
      </c>
      <c r="AB38" s="1399"/>
      <c r="AC38" s="1391">
        <v>40105</v>
      </c>
      <c r="AD38" s="1397" t="s">
        <v>8336</v>
      </c>
      <c r="AE38" s="2014">
        <v>18</v>
      </c>
      <c r="AF38" s="1399"/>
      <c r="AG38" s="1391">
        <v>40482</v>
      </c>
      <c r="AH38" s="1397" t="s">
        <v>8337</v>
      </c>
      <c r="AI38" s="2014">
        <v>21</v>
      </c>
      <c r="AJ38" s="1399"/>
      <c r="AK38" s="1391">
        <v>40838</v>
      </c>
      <c r="AL38" s="1397" t="s">
        <v>8338</v>
      </c>
      <c r="AM38" s="2014">
        <v>30</v>
      </c>
      <c r="AN38" s="1399"/>
      <c r="AO38" s="1391">
        <v>41194</v>
      </c>
      <c r="AP38" s="1397" t="s">
        <v>8339</v>
      </c>
      <c r="AQ38" s="2014">
        <v>168</v>
      </c>
      <c r="AR38" s="1399"/>
      <c r="AS38" s="1391">
        <v>41557</v>
      </c>
      <c r="AT38" s="1397" t="s">
        <v>8340</v>
      </c>
      <c r="AU38" s="2014">
        <v>10</v>
      </c>
      <c r="AV38" s="1399"/>
      <c r="AW38" s="1391">
        <v>41928</v>
      </c>
      <c r="AX38" s="1397" t="s">
        <v>802</v>
      </c>
      <c r="AY38" s="2014">
        <v>45</v>
      </c>
      <c r="AZ38" s="1399"/>
      <c r="BA38" s="1391">
        <v>42288</v>
      </c>
      <c r="BB38" s="1397" t="s">
        <v>8341</v>
      </c>
      <c r="BC38" s="2014">
        <v>10</v>
      </c>
      <c r="BD38" s="1399"/>
      <c r="BE38" s="1391">
        <v>42653</v>
      </c>
      <c r="BF38" s="1397" t="s">
        <v>278</v>
      </c>
      <c r="BG38" s="2014">
        <f>BG17+BG18+BG20+BG25+BG27+BG28+BG31+BG32</f>
        <v>146</v>
      </c>
      <c r="BH38" s="1399"/>
      <c r="BI38" s="1391">
        <v>43023</v>
      </c>
      <c r="BJ38" s="2026" t="s">
        <v>8342</v>
      </c>
      <c r="BK38" s="2014">
        <v>26</v>
      </c>
      <c r="BL38" s="1399"/>
      <c r="BM38" s="1391">
        <v>43392</v>
      </c>
      <c r="BN38" s="1397" t="s">
        <v>1290</v>
      </c>
      <c r="BO38" s="2014">
        <v>33</v>
      </c>
      <c r="BP38" s="1399"/>
      <c r="BQ38" s="1391">
        <v>43748</v>
      </c>
      <c r="BR38" s="1393" t="s">
        <v>8343</v>
      </c>
      <c r="BS38" s="2023">
        <v>24</v>
      </c>
      <c r="BT38" s="1392" t="s">
        <v>414</v>
      </c>
      <c r="BU38" s="1391">
        <v>43748</v>
      </c>
      <c r="BV38" s="1393" t="s">
        <v>853</v>
      </c>
      <c r="BW38" s="2023">
        <v>19</v>
      </c>
      <c r="BX38" s="1392" t="s">
        <v>278</v>
      </c>
      <c r="BY38" s="1391">
        <v>44478</v>
      </c>
      <c r="BZ38" s="1393" t="s">
        <v>843</v>
      </c>
      <c r="CA38" s="2023">
        <v>26</v>
      </c>
      <c r="CB38" s="1392" t="s">
        <v>414</v>
      </c>
      <c r="CC38" s="1391">
        <v>44842</v>
      </c>
      <c r="CD38" s="1393" t="s">
        <v>2282</v>
      </c>
      <c r="CE38" s="2023">
        <v>30</v>
      </c>
      <c r="CF38" s="1392" t="s">
        <v>700</v>
      </c>
      <c r="CG38" s="2003">
        <v>45207</v>
      </c>
      <c r="CH38" s="1393" t="s">
        <v>8344</v>
      </c>
      <c r="CI38" s="2023">
        <v>78</v>
      </c>
      <c r="CJ38" s="1392" t="s">
        <v>700</v>
      </c>
      <c r="CK38" s="2003">
        <v>45577</v>
      </c>
      <c r="CL38" s="2005" t="s">
        <v>948</v>
      </c>
      <c r="CM38" s="2009">
        <v>31</v>
      </c>
      <c r="CN38" s="1392" t="s">
        <v>414</v>
      </c>
    </row>
    <row r="39" spans="1:92" ht="14.25">
      <c r="A39" s="2011">
        <v>37544</v>
      </c>
      <c r="B39" s="1397" t="s">
        <v>1220</v>
      </c>
      <c r="C39" s="2014">
        <v>23</v>
      </c>
      <c r="D39" s="1399"/>
      <c r="E39" s="1391">
        <v>37912</v>
      </c>
      <c r="F39" s="1397" t="s">
        <v>1380</v>
      </c>
      <c r="G39" s="2014">
        <v>38</v>
      </c>
      <c r="H39" s="1399"/>
      <c r="I39" s="1391">
        <v>38285</v>
      </c>
      <c r="J39" s="1397" t="s">
        <v>8345</v>
      </c>
      <c r="K39" s="2014">
        <v>10</v>
      </c>
      <c r="L39" s="1399"/>
      <c r="M39" s="1391">
        <v>38643</v>
      </c>
      <c r="N39" s="1397" t="s">
        <v>8346</v>
      </c>
      <c r="O39" s="2025">
        <v>370</v>
      </c>
      <c r="P39" s="1399">
        <f t="shared" si="2"/>
        <v>8.604651162790697</v>
      </c>
      <c r="Q39" s="1391">
        <v>39011</v>
      </c>
      <c r="R39" s="1397" t="s">
        <v>8347</v>
      </c>
      <c r="S39" s="2014">
        <v>15</v>
      </c>
      <c r="T39" s="1399"/>
      <c r="U39" s="1391">
        <v>39381</v>
      </c>
      <c r="V39" s="1397" t="s">
        <v>8348</v>
      </c>
      <c r="W39" s="2014">
        <v>20</v>
      </c>
      <c r="X39" s="1399"/>
      <c r="Y39" s="1391">
        <v>39740</v>
      </c>
      <c r="Z39" s="1397" t="s">
        <v>8349</v>
      </c>
      <c r="AA39" s="2014">
        <v>13</v>
      </c>
      <c r="AB39" s="1399"/>
      <c r="AC39" s="1391">
        <v>40107</v>
      </c>
      <c r="AD39" s="1397" t="s">
        <v>8350</v>
      </c>
      <c r="AE39" s="2014">
        <v>15</v>
      </c>
      <c r="AF39" s="1399"/>
      <c r="AG39" s="1391">
        <v>40482</v>
      </c>
      <c r="AH39" s="1397" t="s">
        <v>1427</v>
      </c>
      <c r="AI39" s="2014">
        <v>35</v>
      </c>
      <c r="AJ39" s="1399"/>
      <c r="AK39" s="1391">
        <v>40841</v>
      </c>
      <c r="AL39" s="1397" t="s">
        <v>767</v>
      </c>
      <c r="AM39" s="2014">
        <v>6</v>
      </c>
      <c r="AN39" s="1399"/>
      <c r="AO39" s="1391">
        <v>41194</v>
      </c>
      <c r="AP39" s="1397" t="s">
        <v>802</v>
      </c>
      <c r="AQ39" s="2014">
        <v>31</v>
      </c>
      <c r="AR39" s="1399"/>
      <c r="AS39" s="1391">
        <v>41557</v>
      </c>
      <c r="AT39" s="1397" t="s">
        <v>8351</v>
      </c>
      <c r="AU39" s="2014">
        <v>18</v>
      </c>
      <c r="AV39" s="1399"/>
      <c r="AW39" s="1391">
        <v>41929</v>
      </c>
      <c r="AX39" s="1397" t="s">
        <v>754</v>
      </c>
      <c r="AY39" s="2014">
        <v>71</v>
      </c>
      <c r="AZ39" s="1399"/>
      <c r="BA39" s="1391">
        <v>42288</v>
      </c>
      <c r="BB39" s="1397" t="s">
        <v>8352</v>
      </c>
      <c r="BC39" s="2014">
        <v>2</v>
      </c>
      <c r="BD39" s="1399"/>
      <c r="BE39" s="1391">
        <v>42653</v>
      </c>
      <c r="BF39" s="1397" t="s">
        <v>381</v>
      </c>
      <c r="BG39" s="2014">
        <f>BG24</f>
        <v>368</v>
      </c>
      <c r="BH39" s="1399"/>
      <c r="BI39" s="1391">
        <v>43023</v>
      </c>
      <c r="BJ39" s="2026" t="s">
        <v>8353</v>
      </c>
      <c r="BK39" s="2014">
        <v>36</v>
      </c>
      <c r="BL39" s="1399"/>
      <c r="BM39" s="1391">
        <v>43392</v>
      </c>
      <c r="BN39" s="1397" t="s">
        <v>8354</v>
      </c>
      <c r="BO39" s="2014">
        <v>9</v>
      </c>
      <c r="BP39" s="1399"/>
      <c r="BQ39" s="1391">
        <v>43748</v>
      </c>
      <c r="BR39" s="1393" t="s">
        <v>797</v>
      </c>
      <c r="BS39" s="2023">
        <v>22</v>
      </c>
      <c r="BT39" s="1392" t="s">
        <v>410</v>
      </c>
      <c r="BU39" s="1391">
        <v>43748</v>
      </c>
      <c r="BV39" s="1393" t="s">
        <v>3813</v>
      </c>
      <c r="BW39" s="2023">
        <v>11</v>
      </c>
      <c r="BX39" s="1392" t="s">
        <v>278</v>
      </c>
      <c r="BY39" s="1391">
        <v>44478</v>
      </c>
      <c r="BZ39" s="1393" t="s">
        <v>4372</v>
      </c>
      <c r="CA39" s="2023">
        <v>13</v>
      </c>
      <c r="CB39" s="1392" t="s">
        <v>414</v>
      </c>
      <c r="CC39" s="1391">
        <v>44842</v>
      </c>
      <c r="CD39" s="1393" t="s">
        <v>8355</v>
      </c>
      <c r="CE39" s="2023">
        <v>47</v>
      </c>
      <c r="CF39" s="1392" t="s">
        <v>426</v>
      </c>
      <c r="CG39" s="1391">
        <v>45209</v>
      </c>
      <c r="CH39" s="1393" t="s">
        <v>8356</v>
      </c>
      <c r="CI39" s="2023">
        <v>45</v>
      </c>
      <c r="CJ39" s="1392" t="s">
        <v>278</v>
      </c>
      <c r="CK39" s="2003">
        <v>45577</v>
      </c>
      <c r="CL39" s="2005" t="s">
        <v>828</v>
      </c>
      <c r="CM39" s="2009">
        <v>6</v>
      </c>
      <c r="CN39" s="1392" t="s">
        <v>414</v>
      </c>
    </row>
    <row r="40" spans="1:92" ht="14.25">
      <c r="A40" s="2011">
        <v>37544</v>
      </c>
      <c r="B40" s="1397" t="s">
        <v>1189</v>
      </c>
      <c r="C40" s="2014">
        <v>12</v>
      </c>
      <c r="D40" s="1399"/>
      <c r="E40" s="1391">
        <v>37914</v>
      </c>
      <c r="F40" s="1397" t="s">
        <v>8357</v>
      </c>
      <c r="G40" s="2014">
        <v>16</v>
      </c>
      <c r="H40" s="1399"/>
      <c r="I40" s="1391">
        <v>38285</v>
      </c>
      <c r="J40" s="1397" t="s">
        <v>1041</v>
      </c>
      <c r="K40" s="2014">
        <v>7</v>
      </c>
      <c r="L40" s="1399"/>
      <c r="M40" s="1391">
        <v>38644</v>
      </c>
      <c r="N40" s="1397" t="s">
        <v>5921</v>
      </c>
      <c r="O40" s="2025">
        <v>240</v>
      </c>
      <c r="P40" s="1399">
        <f t="shared" si="2"/>
        <v>5.5813953488372094</v>
      </c>
      <c r="Q40" s="1391">
        <v>39011</v>
      </c>
      <c r="R40" s="1397" t="s">
        <v>772</v>
      </c>
      <c r="S40" s="2014">
        <v>33</v>
      </c>
      <c r="T40" s="1399"/>
      <c r="U40" s="1391">
        <v>39381</v>
      </c>
      <c r="V40" s="1397" t="s">
        <v>8358</v>
      </c>
      <c r="W40" s="2014">
        <v>48</v>
      </c>
      <c r="X40" s="1399"/>
      <c r="Y40" s="1391">
        <v>39740</v>
      </c>
      <c r="Z40" s="1397" t="s">
        <v>8359</v>
      </c>
      <c r="AA40" s="2014">
        <v>29</v>
      </c>
      <c r="AB40" s="1399"/>
      <c r="AC40" s="1391">
        <v>40107</v>
      </c>
      <c r="AD40" s="1397" t="s">
        <v>8360</v>
      </c>
      <c r="AE40" s="2014">
        <v>15</v>
      </c>
      <c r="AF40" s="1399"/>
      <c r="AG40" s="1391"/>
      <c r="AH40" s="1397"/>
      <c r="AI40" s="2014"/>
      <c r="AJ40" s="1399"/>
      <c r="AK40" s="1391">
        <v>40841</v>
      </c>
      <c r="AL40" s="1397" t="s">
        <v>754</v>
      </c>
      <c r="AM40" s="2014">
        <v>48</v>
      </c>
      <c r="AN40" s="1399"/>
      <c r="AO40" s="1391">
        <v>41194</v>
      </c>
      <c r="AP40" s="1397" t="s">
        <v>8361</v>
      </c>
      <c r="AQ40" s="2014">
        <v>125</v>
      </c>
      <c r="AR40" s="1399"/>
      <c r="AS40" s="1391">
        <v>41557</v>
      </c>
      <c r="AT40" s="1397" t="s">
        <v>8362</v>
      </c>
      <c r="AU40" s="2014">
        <v>1</v>
      </c>
      <c r="AV40" s="1399"/>
      <c r="AW40" s="1391">
        <v>41930</v>
      </c>
      <c r="AX40" s="1393" t="s">
        <v>8363</v>
      </c>
      <c r="AY40" s="2014">
        <f>SUM(AY41:AY49)</f>
        <v>410</v>
      </c>
      <c r="AZ40" s="1399"/>
      <c r="BA40" s="1391">
        <v>42288</v>
      </c>
      <c r="BB40" s="1397" t="s">
        <v>8364</v>
      </c>
      <c r="BC40" s="2014">
        <v>280</v>
      </c>
      <c r="BD40" s="1399"/>
      <c r="BE40" s="1391">
        <v>42653</v>
      </c>
      <c r="BF40" s="1397" t="s">
        <v>8365</v>
      </c>
      <c r="BG40" s="2014">
        <f>SUM(BG17:BG33) + BG6</f>
        <v>1388</v>
      </c>
      <c r="BH40" s="1399"/>
      <c r="BI40" s="1391">
        <v>43023</v>
      </c>
      <c r="BJ40" s="2026" t="s">
        <v>8366</v>
      </c>
      <c r="BK40" s="2014">
        <v>75</v>
      </c>
      <c r="BL40" s="1399"/>
      <c r="BM40" s="1391">
        <v>43392</v>
      </c>
      <c r="BN40" s="1397" t="s">
        <v>8367</v>
      </c>
      <c r="BO40" s="2014">
        <v>10</v>
      </c>
      <c r="BP40" s="1399"/>
      <c r="BQ40" s="1391">
        <v>43750</v>
      </c>
      <c r="BR40" s="1393" t="s">
        <v>8368</v>
      </c>
      <c r="BS40" s="2023"/>
      <c r="BT40" s="1392"/>
      <c r="BU40" s="1391">
        <v>44115</v>
      </c>
      <c r="BV40" s="1393" t="s">
        <v>8369</v>
      </c>
      <c r="BW40" s="2023">
        <v>25</v>
      </c>
      <c r="BX40" s="1392" t="s">
        <v>278</v>
      </c>
      <c r="BY40" s="1391">
        <v>44478</v>
      </c>
      <c r="BZ40" s="1393" t="s">
        <v>845</v>
      </c>
      <c r="CA40" s="2023">
        <v>49</v>
      </c>
      <c r="CB40" s="1392" t="s">
        <v>414</v>
      </c>
      <c r="CC40" s="1391">
        <v>44842</v>
      </c>
      <c r="CD40" s="1393" t="s">
        <v>1696</v>
      </c>
      <c r="CE40" s="2023">
        <v>77</v>
      </c>
      <c r="CF40" s="1392" t="s">
        <v>700</v>
      </c>
      <c r="CG40" s="1391">
        <v>45209</v>
      </c>
      <c r="CH40" s="1393" t="s">
        <v>8370</v>
      </c>
      <c r="CI40" s="2023">
        <v>27</v>
      </c>
      <c r="CJ40" s="1392" t="s">
        <v>278</v>
      </c>
      <c r="CK40" s="2003">
        <v>45577</v>
      </c>
      <c r="CL40" s="2010" t="s">
        <v>8371</v>
      </c>
      <c r="CM40" s="2004">
        <v>37</v>
      </c>
      <c r="CN40" s="1392" t="s">
        <v>278</v>
      </c>
    </row>
    <row r="41" spans="1:92" ht="14.25">
      <c r="A41" s="2011">
        <v>37544</v>
      </c>
      <c r="B41" s="1397" t="s">
        <v>1189</v>
      </c>
      <c r="C41" s="2014"/>
      <c r="D41" s="1399">
        <v>12</v>
      </c>
      <c r="E41" s="1391">
        <v>37916</v>
      </c>
      <c r="F41" s="1397" t="s">
        <v>772</v>
      </c>
      <c r="G41" s="2014">
        <v>18</v>
      </c>
      <c r="H41" s="1399"/>
      <c r="I41" s="1391">
        <v>38287</v>
      </c>
      <c r="J41" s="1397" t="s">
        <v>8372</v>
      </c>
      <c r="K41" s="2014">
        <v>3</v>
      </c>
      <c r="L41" s="1399"/>
      <c r="M41" s="1391">
        <v>38644</v>
      </c>
      <c r="N41" s="1397" t="s">
        <v>8269</v>
      </c>
      <c r="O41" s="2025">
        <v>25</v>
      </c>
      <c r="P41" s="1399">
        <f t="shared" si="2"/>
        <v>0.58139534883720934</v>
      </c>
      <c r="Q41" s="1391">
        <v>39011</v>
      </c>
      <c r="R41" s="1397" t="s">
        <v>767</v>
      </c>
      <c r="S41" s="2014">
        <v>50</v>
      </c>
      <c r="T41" s="1399"/>
      <c r="U41" s="1391">
        <v>39382</v>
      </c>
      <c r="V41" s="1397" t="s">
        <v>8373</v>
      </c>
      <c r="W41" s="2014">
        <v>203</v>
      </c>
      <c r="X41" s="1399"/>
      <c r="Y41" s="1391">
        <v>39740</v>
      </c>
      <c r="Z41" s="1397" t="s">
        <v>797</v>
      </c>
      <c r="AA41" s="2014">
        <v>41</v>
      </c>
      <c r="AB41" s="1399"/>
      <c r="AC41" s="1391">
        <v>40107</v>
      </c>
      <c r="AD41" s="1397" t="s">
        <v>8112</v>
      </c>
      <c r="AE41" s="2014">
        <v>100</v>
      </c>
      <c r="AF41" s="1399"/>
      <c r="AG41" s="1391"/>
      <c r="AH41" s="1397"/>
      <c r="AI41" s="2014"/>
      <c r="AJ41" s="1399"/>
      <c r="AK41" s="1391">
        <v>40844</v>
      </c>
      <c r="AL41" s="1397" t="s">
        <v>7952</v>
      </c>
      <c r="AM41" s="2014">
        <v>114</v>
      </c>
      <c r="AN41" s="1399"/>
      <c r="AO41" s="1391">
        <v>41197</v>
      </c>
      <c r="AP41" s="1397" t="s">
        <v>754</v>
      </c>
      <c r="AQ41" s="2014">
        <v>85</v>
      </c>
      <c r="AR41" s="1399"/>
      <c r="AS41" s="1391">
        <v>41557</v>
      </c>
      <c r="AT41" s="1397" t="s">
        <v>8374</v>
      </c>
      <c r="AU41" s="2014"/>
      <c r="AV41" s="1399"/>
      <c r="AW41" s="1391"/>
      <c r="AX41" s="2027" t="s">
        <v>6125</v>
      </c>
      <c r="AY41" s="2014">
        <v>12</v>
      </c>
      <c r="AZ41" s="1399"/>
      <c r="BA41" s="1391">
        <v>42289</v>
      </c>
      <c r="BB41" s="1397" t="s">
        <v>787</v>
      </c>
      <c r="BC41" s="2014">
        <v>2</v>
      </c>
      <c r="BD41" s="1399"/>
      <c r="BE41" s="1391">
        <v>42653</v>
      </c>
      <c r="BF41" s="1397" t="s">
        <v>8375</v>
      </c>
      <c r="BG41" s="2014"/>
      <c r="BH41" s="1399"/>
      <c r="BI41" s="1391">
        <v>43023</v>
      </c>
      <c r="BJ41" s="2027" t="s">
        <v>8376</v>
      </c>
      <c r="BK41" s="2014">
        <v>30</v>
      </c>
      <c r="BL41" s="1399"/>
      <c r="BM41" s="1391">
        <v>43392</v>
      </c>
      <c r="BN41" s="1397" t="s">
        <v>8377</v>
      </c>
      <c r="BO41" s="2014">
        <v>10</v>
      </c>
      <c r="BP41" s="1399"/>
      <c r="BQ41" s="1391">
        <v>43750</v>
      </c>
      <c r="BR41" s="1393" t="s">
        <v>8378</v>
      </c>
      <c r="BS41" s="2023">
        <v>60</v>
      </c>
      <c r="BT41" s="1392" t="s">
        <v>381</v>
      </c>
      <c r="BU41" s="1391">
        <v>44115</v>
      </c>
      <c r="BV41" s="1393" t="s">
        <v>8379</v>
      </c>
      <c r="BW41" s="2023">
        <v>112</v>
      </c>
      <c r="BX41" s="1392" t="s">
        <v>701</v>
      </c>
      <c r="BY41" s="1391">
        <v>44478</v>
      </c>
      <c r="BZ41" s="1393" t="s">
        <v>772</v>
      </c>
      <c r="CA41" s="2023">
        <v>21</v>
      </c>
      <c r="CB41" s="1392" t="s">
        <v>414</v>
      </c>
      <c r="CC41" s="1391">
        <v>44843</v>
      </c>
      <c r="CD41" s="1393" t="s">
        <v>867</v>
      </c>
      <c r="CE41" s="2028">
        <v>67</v>
      </c>
      <c r="CF41" s="1392" t="s">
        <v>280</v>
      </c>
      <c r="CG41" s="1391">
        <v>45209</v>
      </c>
      <c r="CH41" s="1393" t="s">
        <v>8380</v>
      </c>
      <c r="CI41" s="2023">
        <v>8</v>
      </c>
      <c r="CJ41" s="1392" t="s">
        <v>278</v>
      </c>
      <c r="CK41" s="1391">
        <v>45578</v>
      </c>
      <c r="CL41" s="2005" t="s">
        <v>2439</v>
      </c>
      <c r="CM41" s="2009">
        <v>36</v>
      </c>
      <c r="CN41" s="1392" t="s">
        <v>280</v>
      </c>
    </row>
    <row r="42" spans="1:92" ht="14.25">
      <c r="A42" s="2011">
        <v>37544</v>
      </c>
      <c r="B42" s="1397" t="s">
        <v>410</v>
      </c>
      <c r="C42" s="2014"/>
      <c r="D42" s="1399">
        <v>32</v>
      </c>
      <c r="E42" s="1391">
        <v>37916</v>
      </c>
      <c r="F42" s="1397" t="s">
        <v>797</v>
      </c>
      <c r="G42" s="2014">
        <v>30</v>
      </c>
      <c r="H42" s="1399"/>
      <c r="I42" s="1391">
        <v>38287</v>
      </c>
      <c r="J42" s="1397" t="s">
        <v>957</v>
      </c>
      <c r="K42" s="2014">
        <v>20</v>
      </c>
      <c r="L42" s="1399"/>
      <c r="M42" s="1391">
        <v>38644</v>
      </c>
      <c r="N42" s="1397" t="s">
        <v>8381</v>
      </c>
      <c r="O42" s="2025">
        <v>25</v>
      </c>
      <c r="P42" s="1399">
        <f t="shared" si="2"/>
        <v>0.58139534883720934</v>
      </c>
      <c r="Q42" s="1391">
        <v>39011</v>
      </c>
      <c r="R42" s="1397" t="s">
        <v>8382</v>
      </c>
      <c r="S42" s="2014">
        <v>13</v>
      </c>
      <c r="T42" s="1399"/>
      <c r="U42" s="1391">
        <v>39382</v>
      </c>
      <c r="V42" s="1397" t="s">
        <v>797</v>
      </c>
      <c r="W42" s="2014">
        <v>33</v>
      </c>
      <c r="X42" s="1399"/>
      <c r="Y42" s="1391">
        <v>39744</v>
      </c>
      <c r="Z42" s="1397" t="s">
        <v>781</v>
      </c>
      <c r="AA42" s="2014">
        <v>66</v>
      </c>
      <c r="AB42" s="1399"/>
      <c r="AC42" s="1391">
        <v>40107</v>
      </c>
      <c r="AD42" s="1397" t="s">
        <v>8383</v>
      </c>
      <c r="AE42" s="2014">
        <v>20</v>
      </c>
      <c r="AF42" s="1399"/>
      <c r="AG42" s="1391"/>
      <c r="AH42" s="1397"/>
      <c r="AI42" s="2014"/>
      <c r="AJ42" s="1399"/>
      <c r="AK42" s="1391">
        <v>40844</v>
      </c>
      <c r="AL42" s="1397" t="s">
        <v>867</v>
      </c>
      <c r="AM42" s="2014">
        <v>20</v>
      </c>
      <c r="AN42" s="1399"/>
      <c r="AO42" s="1391">
        <v>41197</v>
      </c>
      <c r="AP42" s="1397" t="s">
        <v>8384</v>
      </c>
      <c r="AQ42" s="2014">
        <v>15</v>
      </c>
      <c r="AR42" s="1399"/>
      <c r="AS42" s="1391">
        <v>41557</v>
      </c>
      <c r="AT42" s="1397" t="s">
        <v>8385</v>
      </c>
      <c r="AU42" s="2014">
        <v>35</v>
      </c>
      <c r="AV42" s="1399"/>
      <c r="AW42" s="1391"/>
      <c r="AX42" s="2026" t="s">
        <v>6125</v>
      </c>
      <c r="AY42" s="2014">
        <v>45</v>
      </c>
      <c r="AZ42" s="1399"/>
      <c r="BA42" s="1391">
        <v>42289</v>
      </c>
      <c r="BB42" s="1397" t="s">
        <v>4378</v>
      </c>
      <c r="BC42" s="2014">
        <v>40</v>
      </c>
      <c r="BD42" s="1399"/>
      <c r="BE42" s="1391">
        <v>42653</v>
      </c>
      <c r="BF42" s="1397" t="s">
        <v>8386</v>
      </c>
      <c r="BG42" s="2014"/>
      <c r="BH42" s="1399"/>
      <c r="BI42" s="1391">
        <v>43023</v>
      </c>
      <c r="BJ42" s="2027" t="s">
        <v>8376</v>
      </c>
      <c r="BK42" s="2014">
        <v>15</v>
      </c>
      <c r="BL42" s="1399"/>
      <c r="BM42" s="1391">
        <v>43392</v>
      </c>
      <c r="BN42" s="2029" t="s">
        <v>8387</v>
      </c>
      <c r="BO42" s="2014">
        <v>24</v>
      </c>
      <c r="BP42" s="1399"/>
      <c r="BQ42" s="1391">
        <v>43750</v>
      </c>
      <c r="BR42" s="1393" t="s">
        <v>1180</v>
      </c>
      <c r="BS42" s="2023">
        <v>70</v>
      </c>
      <c r="BT42" s="1392" t="s">
        <v>410</v>
      </c>
      <c r="BU42" s="1391">
        <v>44115</v>
      </c>
      <c r="BV42" s="1393" t="s">
        <v>8388</v>
      </c>
      <c r="BW42" s="2023">
        <v>75</v>
      </c>
      <c r="BX42" s="1392" t="s">
        <v>280</v>
      </c>
      <c r="BY42" s="1391">
        <v>44478</v>
      </c>
      <c r="BZ42" s="1393" t="s">
        <v>8389</v>
      </c>
      <c r="CA42" s="2023">
        <v>15</v>
      </c>
      <c r="CB42" s="1392" t="s">
        <v>278</v>
      </c>
      <c r="CC42" s="1391">
        <v>44844</v>
      </c>
      <c r="CD42" s="1393" t="s">
        <v>8390</v>
      </c>
      <c r="CE42" s="2028"/>
      <c r="CF42" s="1392"/>
      <c r="CG42" s="1391">
        <v>45212</v>
      </c>
      <c r="CH42" s="1393" t="s">
        <v>8391</v>
      </c>
      <c r="CI42" s="2028">
        <v>70</v>
      </c>
      <c r="CJ42" s="1392" t="s">
        <v>280</v>
      </c>
      <c r="CK42" s="1391">
        <v>45578</v>
      </c>
      <c r="CL42" s="2005" t="s">
        <v>8392</v>
      </c>
      <c r="CM42" s="2009">
        <v>10</v>
      </c>
      <c r="CN42" s="1392" t="s">
        <v>414</v>
      </c>
    </row>
    <row r="43" spans="1:92" ht="14.25">
      <c r="A43" s="2011">
        <v>37548</v>
      </c>
      <c r="B43" s="1397" t="s">
        <v>410</v>
      </c>
      <c r="C43" s="2014">
        <v>24</v>
      </c>
      <c r="D43" s="1399"/>
      <c r="E43" s="1391">
        <v>37916</v>
      </c>
      <c r="F43" s="1397" t="s">
        <v>802</v>
      </c>
      <c r="G43" s="2014">
        <v>27</v>
      </c>
      <c r="H43" s="1399"/>
      <c r="I43" s="1391">
        <v>38287</v>
      </c>
      <c r="J43" s="1397" t="s">
        <v>867</v>
      </c>
      <c r="K43" s="2014">
        <v>8</v>
      </c>
      <c r="L43" s="1399"/>
      <c r="M43" s="1391">
        <v>38644</v>
      </c>
      <c r="N43" s="1397" t="s">
        <v>8393</v>
      </c>
      <c r="O43" s="2025">
        <v>500</v>
      </c>
      <c r="P43" s="1399">
        <f t="shared" si="2"/>
        <v>11.627906976744185</v>
      </c>
      <c r="Q43" s="1391">
        <v>39012</v>
      </c>
      <c r="R43" s="1397" t="s">
        <v>8394</v>
      </c>
      <c r="S43" s="2014">
        <v>26</v>
      </c>
      <c r="T43" s="1399"/>
      <c r="U43" s="1391">
        <v>39384</v>
      </c>
      <c r="V43" s="1397" t="s">
        <v>937</v>
      </c>
      <c r="W43" s="2014">
        <v>30</v>
      </c>
      <c r="X43" s="1399"/>
      <c r="Y43" s="1391">
        <v>39744</v>
      </c>
      <c r="Z43" s="1397" t="s">
        <v>8395</v>
      </c>
      <c r="AA43" s="2014">
        <v>35</v>
      </c>
      <c r="AB43" s="1399"/>
      <c r="AC43" s="1391">
        <v>40111</v>
      </c>
      <c r="AD43" s="1397" t="s">
        <v>797</v>
      </c>
      <c r="AE43" s="2014">
        <v>45</v>
      </c>
      <c r="AF43" s="1399"/>
      <c r="AG43" s="1391"/>
      <c r="AH43" s="1397"/>
      <c r="AI43" s="2014"/>
      <c r="AJ43" s="1399"/>
      <c r="AK43" s="1391">
        <v>40844</v>
      </c>
      <c r="AL43" s="1397" t="s">
        <v>922</v>
      </c>
      <c r="AM43" s="2014">
        <v>22</v>
      </c>
      <c r="AN43" s="1399"/>
      <c r="AO43" s="1391">
        <v>41197</v>
      </c>
      <c r="AP43" s="1397" t="s">
        <v>787</v>
      </c>
      <c r="AQ43" s="2014">
        <v>27</v>
      </c>
      <c r="AR43" s="1399"/>
      <c r="AS43" s="1391">
        <v>41558</v>
      </c>
      <c r="AT43" s="1397" t="s">
        <v>8396</v>
      </c>
      <c r="AU43" s="2014">
        <v>10</v>
      </c>
      <c r="AV43" s="1399"/>
      <c r="AW43" s="1391"/>
      <c r="AX43" s="2026" t="s">
        <v>8397</v>
      </c>
      <c r="AY43" s="2014">
        <v>33</v>
      </c>
      <c r="AZ43" s="1399"/>
      <c r="BA43" s="1391">
        <v>42289</v>
      </c>
      <c r="BB43" s="1397" t="s">
        <v>772</v>
      </c>
      <c r="BC43" s="2014">
        <v>11</v>
      </c>
      <c r="BD43" s="1399"/>
      <c r="BE43" s="1391">
        <v>42653</v>
      </c>
      <c r="BF43" s="1397" t="s">
        <v>8398</v>
      </c>
      <c r="BG43" s="2014">
        <v>22</v>
      </c>
      <c r="BH43" s="1399"/>
      <c r="BI43" s="1391">
        <v>43023</v>
      </c>
      <c r="BJ43" s="2026" t="s">
        <v>8399</v>
      </c>
      <c r="BK43" s="2014">
        <v>11</v>
      </c>
      <c r="BL43" s="1399"/>
      <c r="BM43" s="1391">
        <v>43392</v>
      </c>
      <c r="BN43" s="1397" t="s">
        <v>872</v>
      </c>
      <c r="BO43" s="2014">
        <v>24</v>
      </c>
      <c r="BP43" s="1399"/>
      <c r="BQ43" s="1391">
        <v>43750</v>
      </c>
      <c r="BR43" s="1393" t="s">
        <v>8400</v>
      </c>
      <c r="BS43" s="2023">
        <v>20</v>
      </c>
      <c r="BT43" s="1392" t="s">
        <v>278</v>
      </c>
      <c r="BU43" s="1391">
        <v>44115</v>
      </c>
      <c r="BV43" s="1393" t="s">
        <v>8401</v>
      </c>
      <c r="BW43" s="2023">
        <v>0</v>
      </c>
      <c r="BX43" s="1392" t="s">
        <v>674</v>
      </c>
      <c r="BY43" s="1391">
        <v>44478</v>
      </c>
      <c r="BZ43" s="1393" t="s">
        <v>8402</v>
      </c>
      <c r="CA43" s="2023">
        <v>15</v>
      </c>
      <c r="CB43" s="1392" t="s">
        <v>278</v>
      </c>
      <c r="CC43" s="1391">
        <v>44844</v>
      </c>
      <c r="CD43" s="1393" t="s">
        <v>8403</v>
      </c>
      <c r="CE43" s="2028"/>
      <c r="CF43" s="1392"/>
      <c r="CG43" s="1391">
        <v>45212</v>
      </c>
      <c r="CH43" s="1393" t="s">
        <v>890</v>
      </c>
      <c r="CI43" s="2028">
        <v>15</v>
      </c>
      <c r="CJ43" s="1392" t="s">
        <v>414</v>
      </c>
      <c r="CK43" s="1391">
        <v>45578</v>
      </c>
      <c r="CL43" s="2005" t="s">
        <v>4039</v>
      </c>
      <c r="CM43" s="2009">
        <v>16</v>
      </c>
      <c r="CN43" s="1392" t="s">
        <v>414</v>
      </c>
    </row>
    <row r="44" spans="1:92" ht="14.25">
      <c r="A44" s="2011">
        <v>37549</v>
      </c>
      <c r="B44" s="1397" t="s">
        <v>8404</v>
      </c>
      <c r="C44" s="2014">
        <v>214</v>
      </c>
      <c r="D44" s="1399"/>
      <c r="E44" s="1391">
        <v>37917</v>
      </c>
      <c r="F44" s="1397" t="s">
        <v>772</v>
      </c>
      <c r="G44" s="2014">
        <v>2</v>
      </c>
      <c r="H44" s="1399"/>
      <c r="I44" s="1391">
        <v>38287</v>
      </c>
      <c r="J44" s="1397" t="s">
        <v>797</v>
      </c>
      <c r="K44" s="2014">
        <v>34</v>
      </c>
      <c r="L44" s="1399"/>
      <c r="M44" s="1391">
        <v>38644</v>
      </c>
      <c r="N44" s="1397" t="s">
        <v>8253</v>
      </c>
      <c r="O44" s="2025">
        <v>40</v>
      </c>
      <c r="P44" s="1399">
        <f t="shared" si="2"/>
        <v>0.93023255813953487</v>
      </c>
      <c r="Q44" s="1391">
        <v>39015</v>
      </c>
      <c r="R44" s="1397" t="s">
        <v>8405</v>
      </c>
      <c r="S44" s="2014">
        <v>9</v>
      </c>
      <c r="T44" s="1399"/>
      <c r="U44" s="1391">
        <v>39384</v>
      </c>
      <c r="V44" s="1397" t="s">
        <v>8406</v>
      </c>
      <c r="W44" s="2014">
        <v>3</v>
      </c>
      <c r="X44" s="1399"/>
      <c r="Y44" s="1391">
        <v>39745</v>
      </c>
      <c r="Z44" s="1397" t="s">
        <v>8407</v>
      </c>
      <c r="AA44" s="2014">
        <v>0</v>
      </c>
      <c r="AB44" s="1399"/>
      <c r="AC44" s="1391">
        <v>40111</v>
      </c>
      <c r="AD44" s="1397" t="s">
        <v>781</v>
      </c>
      <c r="AE44" s="2014">
        <v>110</v>
      </c>
      <c r="AF44" s="1399"/>
      <c r="AG44" s="1391"/>
      <c r="AH44" s="1397"/>
      <c r="AI44" s="2014"/>
      <c r="AJ44" s="1399"/>
      <c r="AK44" s="1391">
        <v>40844</v>
      </c>
      <c r="AL44" s="1397" t="s">
        <v>8408</v>
      </c>
      <c r="AM44" s="2014">
        <v>15</v>
      </c>
      <c r="AN44" s="1399"/>
      <c r="AO44" s="1391">
        <v>41199</v>
      </c>
      <c r="AP44" s="1397" t="s">
        <v>802</v>
      </c>
      <c r="AQ44" s="2014">
        <v>45</v>
      </c>
      <c r="AR44" s="1399"/>
      <c r="AS44" s="1391">
        <v>41558</v>
      </c>
      <c r="AT44" s="1397" t="s">
        <v>8409</v>
      </c>
      <c r="AU44" s="2014">
        <v>30</v>
      </c>
      <c r="AV44" s="1399"/>
      <c r="AW44" s="1391"/>
      <c r="AX44" s="2026" t="s">
        <v>8410</v>
      </c>
      <c r="AY44" s="2014">
        <v>15</v>
      </c>
      <c r="AZ44" s="1399"/>
      <c r="BA44" s="1391">
        <v>42289</v>
      </c>
      <c r="BB44" s="1397" t="s">
        <v>754</v>
      </c>
      <c r="BC44" s="2014">
        <v>45</v>
      </c>
      <c r="BD44" s="1399"/>
      <c r="BE44" s="1391">
        <v>42654</v>
      </c>
      <c r="BF44" s="1397" t="s">
        <v>859</v>
      </c>
      <c r="BG44" s="2014">
        <v>20</v>
      </c>
      <c r="BH44" s="1399"/>
      <c r="BI44" s="1391">
        <v>43024</v>
      </c>
      <c r="BJ44" s="1397" t="s">
        <v>8411</v>
      </c>
      <c r="BK44" s="2014">
        <v>65</v>
      </c>
      <c r="BL44" s="1399"/>
      <c r="BM44" s="1391">
        <v>43393</v>
      </c>
      <c r="BN44" s="1397" t="s">
        <v>8412</v>
      </c>
      <c r="BO44" s="2014">
        <v>40</v>
      </c>
      <c r="BP44" s="1399"/>
      <c r="BQ44" s="1391">
        <v>43750</v>
      </c>
      <c r="BR44" s="1393" t="s">
        <v>8413</v>
      </c>
      <c r="BS44" s="2023">
        <v>12</v>
      </c>
      <c r="BT44" s="1392" t="s">
        <v>278</v>
      </c>
      <c r="BU44" s="1391">
        <v>44115</v>
      </c>
      <c r="BV44" s="1393" t="s">
        <v>6827</v>
      </c>
      <c r="BW44" s="2028">
        <v>23</v>
      </c>
      <c r="BX44" s="1392" t="s">
        <v>689</v>
      </c>
      <c r="BY44" s="1391">
        <v>44478</v>
      </c>
      <c r="BZ44" s="1393" t="s">
        <v>8414</v>
      </c>
      <c r="CA44" s="2028">
        <v>90</v>
      </c>
      <c r="CB44" s="1392" t="s">
        <v>280</v>
      </c>
      <c r="CC44" s="1391">
        <v>44844</v>
      </c>
      <c r="CD44" s="1393" t="s">
        <v>8415</v>
      </c>
      <c r="CE44" s="2028">
        <v>33</v>
      </c>
      <c r="CF44" s="1392" t="s">
        <v>278</v>
      </c>
      <c r="CG44" s="1391">
        <v>45212</v>
      </c>
      <c r="CH44" s="1393" t="s">
        <v>1459</v>
      </c>
      <c r="CI44" s="2028">
        <v>25</v>
      </c>
      <c r="CJ44" s="1392" t="s">
        <v>284</v>
      </c>
      <c r="CK44" s="1391">
        <v>45578</v>
      </c>
      <c r="CL44" s="2005" t="s">
        <v>8416</v>
      </c>
      <c r="CM44" s="2009">
        <v>16</v>
      </c>
      <c r="CN44" s="1392" t="s">
        <v>414</v>
      </c>
    </row>
    <row r="45" spans="1:92" ht="14.25">
      <c r="A45" s="2011">
        <v>37549</v>
      </c>
      <c r="B45" s="1397" t="s">
        <v>7676</v>
      </c>
      <c r="C45" s="2014">
        <v>35</v>
      </c>
      <c r="D45" s="1399"/>
      <c r="E45" s="1391">
        <v>37918</v>
      </c>
      <c r="F45" s="1397" t="s">
        <v>772</v>
      </c>
      <c r="G45" s="2014">
        <v>20</v>
      </c>
      <c r="H45" s="1399"/>
      <c r="I45" s="1391">
        <v>38287</v>
      </c>
      <c r="J45" s="1397" t="s">
        <v>802</v>
      </c>
      <c r="K45" s="2014">
        <v>28</v>
      </c>
      <c r="L45" s="1399"/>
      <c r="M45" s="1391">
        <v>38644</v>
      </c>
      <c r="N45" s="1393" t="s">
        <v>8346</v>
      </c>
      <c r="O45" s="2025">
        <v>40</v>
      </c>
      <c r="P45" s="1399">
        <f t="shared" si="2"/>
        <v>0.93023255813953487</v>
      </c>
      <c r="Q45" s="1391">
        <v>39017</v>
      </c>
      <c r="R45" s="1397" t="s">
        <v>797</v>
      </c>
      <c r="S45" s="2014">
        <v>33</v>
      </c>
      <c r="T45" s="1399"/>
      <c r="U45" s="1391">
        <v>39384</v>
      </c>
      <c r="V45" s="1397" t="s">
        <v>8417</v>
      </c>
      <c r="W45" s="2014">
        <v>30</v>
      </c>
      <c r="X45" s="1399"/>
      <c r="Y45" s="1391">
        <v>39746</v>
      </c>
      <c r="Z45" s="1397" t="s">
        <v>8418</v>
      </c>
      <c r="AA45" s="2014">
        <v>180</v>
      </c>
      <c r="AB45" s="1399"/>
      <c r="AC45" s="1391">
        <v>40111</v>
      </c>
      <c r="AD45" s="1397" t="s">
        <v>1459</v>
      </c>
      <c r="AE45" s="2014">
        <v>13</v>
      </c>
      <c r="AF45" s="1399"/>
      <c r="AG45" s="1391"/>
      <c r="AH45" s="1397"/>
      <c r="AI45" s="2014"/>
      <c r="AJ45" s="1399"/>
      <c r="AK45" s="1391">
        <v>40845</v>
      </c>
      <c r="AL45" s="1397" t="s">
        <v>1052</v>
      </c>
      <c r="AM45" s="2014">
        <v>20</v>
      </c>
      <c r="AN45" s="1399"/>
      <c r="AO45" s="1391">
        <v>41201</v>
      </c>
      <c r="AP45" s="1397" t="s">
        <v>1770</v>
      </c>
      <c r="AQ45" s="2014">
        <v>12</v>
      </c>
      <c r="AR45" s="1399"/>
      <c r="AS45" s="1391">
        <v>41558</v>
      </c>
      <c r="AT45" s="1397" t="s">
        <v>8419</v>
      </c>
      <c r="AU45" s="2014">
        <v>13</v>
      </c>
      <c r="AV45" s="1399"/>
      <c r="AW45" s="1391"/>
      <c r="AX45" s="2026" t="s">
        <v>4224</v>
      </c>
      <c r="AY45" s="2014">
        <v>61</v>
      </c>
      <c r="AZ45" s="1399"/>
      <c r="BA45" s="1391">
        <v>42289</v>
      </c>
      <c r="BB45" s="1397" t="s">
        <v>802</v>
      </c>
      <c r="BC45" s="2014">
        <v>28</v>
      </c>
      <c r="BD45" s="1399"/>
      <c r="BE45" s="1391">
        <v>42654</v>
      </c>
      <c r="BF45" s="1397" t="s">
        <v>8420</v>
      </c>
      <c r="BG45" s="2014">
        <v>15</v>
      </c>
      <c r="BH45" s="1399"/>
      <c r="BI45" s="1391">
        <v>43024</v>
      </c>
      <c r="BJ45" s="1397" t="s">
        <v>8421</v>
      </c>
      <c r="BK45" s="2014">
        <v>105</v>
      </c>
      <c r="BL45" s="1399"/>
      <c r="BM45" s="1391">
        <v>43393</v>
      </c>
      <c r="BN45" s="1397" t="s">
        <v>797</v>
      </c>
      <c r="BO45" s="2014">
        <v>37</v>
      </c>
      <c r="BP45" s="1399"/>
      <c r="BQ45" s="1391">
        <v>43751</v>
      </c>
      <c r="BR45" s="1393" t="s">
        <v>823</v>
      </c>
      <c r="BS45" s="2023">
        <v>0</v>
      </c>
      <c r="BT45" s="1392" t="s">
        <v>414</v>
      </c>
      <c r="BU45" s="1391">
        <v>44115</v>
      </c>
      <c r="BV45" s="1393" t="s">
        <v>8422</v>
      </c>
      <c r="BW45" s="2028">
        <v>95</v>
      </c>
      <c r="BX45" s="1392" t="s">
        <v>689</v>
      </c>
      <c r="BY45" s="1391">
        <v>44478</v>
      </c>
      <c r="BZ45" s="1393" t="s">
        <v>8423</v>
      </c>
      <c r="CA45" s="2028">
        <v>55</v>
      </c>
      <c r="CB45" s="1392" t="s">
        <v>280</v>
      </c>
      <c r="CC45" s="1391">
        <v>44844</v>
      </c>
      <c r="CD45" s="1393" t="s">
        <v>1823</v>
      </c>
      <c r="CE45" s="2028">
        <v>11</v>
      </c>
      <c r="CF45" s="1392" t="s">
        <v>278</v>
      </c>
      <c r="CG45" s="1391">
        <v>45212</v>
      </c>
      <c r="CH45" s="1393" t="s">
        <v>8424</v>
      </c>
      <c r="CI45" s="2028">
        <v>41</v>
      </c>
      <c r="CJ45" s="1392" t="s">
        <v>280</v>
      </c>
      <c r="CK45" s="1391">
        <v>45578</v>
      </c>
      <c r="CL45" s="2030" t="s">
        <v>8425</v>
      </c>
      <c r="CM45" s="2009">
        <v>0</v>
      </c>
      <c r="CN45" s="1392" t="s">
        <v>414</v>
      </c>
    </row>
    <row r="46" spans="1:92" ht="14.25">
      <c r="A46" s="2011">
        <v>37549</v>
      </c>
      <c r="B46" s="1397" t="s">
        <v>1189</v>
      </c>
      <c r="C46" s="2014">
        <v>37</v>
      </c>
      <c r="D46" s="1399"/>
      <c r="E46" s="1391">
        <v>37918</v>
      </c>
      <c r="F46" s="1397" t="s">
        <v>937</v>
      </c>
      <c r="G46" s="2014">
        <v>49</v>
      </c>
      <c r="H46" s="1399"/>
      <c r="I46" s="1391">
        <v>38289</v>
      </c>
      <c r="J46" s="1397" t="s">
        <v>1157</v>
      </c>
      <c r="K46" s="2014">
        <v>15</v>
      </c>
      <c r="L46" s="1399"/>
      <c r="M46" s="1391">
        <v>38644</v>
      </c>
      <c r="N46" s="1397" t="s">
        <v>8426</v>
      </c>
      <c r="O46" s="2025">
        <v>25</v>
      </c>
      <c r="P46" s="1399">
        <f t="shared" si="2"/>
        <v>0.58139534883720934</v>
      </c>
      <c r="Q46" s="1391">
        <v>39018</v>
      </c>
      <c r="R46" s="1397" t="s">
        <v>8427</v>
      </c>
      <c r="S46" s="2014">
        <v>35</v>
      </c>
      <c r="T46" s="1399"/>
      <c r="U46" s="1391">
        <v>39384</v>
      </c>
      <c r="V46" s="1397" t="s">
        <v>8428</v>
      </c>
      <c r="W46" s="2014">
        <v>15</v>
      </c>
      <c r="X46" s="1399"/>
      <c r="Y46" s="1391">
        <v>39746</v>
      </c>
      <c r="Z46" s="1397" t="s">
        <v>797</v>
      </c>
      <c r="AA46" s="2014">
        <v>40</v>
      </c>
      <c r="AB46" s="1399"/>
      <c r="AC46" s="1391">
        <v>40112</v>
      </c>
      <c r="AD46" s="1397" t="s">
        <v>802</v>
      </c>
      <c r="AE46" s="2014">
        <v>30</v>
      </c>
      <c r="AF46" s="1399"/>
      <c r="AG46" s="1391"/>
      <c r="AH46" s="1397"/>
      <c r="AI46" s="2014"/>
      <c r="AJ46" s="1399"/>
      <c r="AK46" s="1391">
        <v>40845</v>
      </c>
      <c r="AL46" s="1397" t="s">
        <v>8429</v>
      </c>
      <c r="AM46" s="2014">
        <v>30</v>
      </c>
      <c r="AN46" s="1399"/>
      <c r="AO46" s="1391">
        <v>41202</v>
      </c>
      <c r="AP46" s="1397" t="s">
        <v>797</v>
      </c>
      <c r="AQ46" s="2014">
        <v>66</v>
      </c>
      <c r="AR46" s="1399"/>
      <c r="AS46" s="1391">
        <v>41558</v>
      </c>
      <c r="AT46" s="1397" t="s">
        <v>8430</v>
      </c>
      <c r="AU46" s="2014">
        <v>15</v>
      </c>
      <c r="AV46" s="1399"/>
      <c r="AW46" s="1391"/>
      <c r="AX46" s="2026" t="s">
        <v>8431</v>
      </c>
      <c r="AY46" s="2014">
        <v>46</v>
      </c>
      <c r="AZ46" s="1399"/>
      <c r="BA46" s="1391">
        <v>42289</v>
      </c>
      <c r="BB46" s="1397" t="s">
        <v>772</v>
      </c>
      <c r="BC46" s="2014">
        <v>15</v>
      </c>
      <c r="BD46" s="1399"/>
      <c r="BE46" s="1391">
        <v>42654</v>
      </c>
      <c r="BF46" s="1397" t="s">
        <v>8432</v>
      </c>
      <c r="BG46" s="2014">
        <v>0</v>
      </c>
      <c r="BH46" s="1399"/>
      <c r="BI46" s="1391">
        <v>43024</v>
      </c>
      <c r="BJ46" s="1397" t="s">
        <v>8433</v>
      </c>
      <c r="BK46" s="2014">
        <v>14</v>
      </c>
      <c r="BL46" s="1399"/>
      <c r="BM46" s="1391">
        <v>43394</v>
      </c>
      <c r="BN46" s="1397" t="s">
        <v>873</v>
      </c>
      <c r="BO46" s="2014">
        <v>29</v>
      </c>
      <c r="BP46" s="1399"/>
      <c r="BQ46" s="1391">
        <v>43751</v>
      </c>
      <c r="BR46" s="1393" t="s">
        <v>873</v>
      </c>
      <c r="BS46" s="2028">
        <v>21</v>
      </c>
      <c r="BT46" s="1392" t="s">
        <v>414</v>
      </c>
      <c r="BU46" s="1391">
        <v>44115</v>
      </c>
      <c r="BV46" s="1393" t="s">
        <v>1333</v>
      </c>
      <c r="BW46" s="2028">
        <v>25</v>
      </c>
      <c r="BX46" s="1392" t="s">
        <v>414</v>
      </c>
      <c r="BY46" s="1391">
        <v>44479</v>
      </c>
      <c r="BZ46" s="1393" t="s">
        <v>8434</v>
      </c>
      <c r="CA46" s="2028">
        <v>52</v>
      </c>
      <c r="CB46" s="1392" t="s">
        <v>280</v>
      </c>
      <c r="CC46" s="1391">
        <v>44844</v>
      </c>
      <c r="CD46" s="1393" t="s">
        <v>1235</v>
      </c>
      <c r="CE46" s="2028">
        <v>9</v>
      </c>
      <c r="CF46" s="1392" t="s">
        <v>278</v>
      </c>
      <c r="CG46" s="1391">
        <v>45213</v>
      </c>
      <c r="CH46" s="1393" t="s">
        <v>8257</v>
      </c>
      <c r="CI46" s="2028">
        <v>700</v>
      </c>
      <c r="CJ46" s="1392" t="s">
        <v>381</v>
      </c>
      <c r="CK46" s="1391">
        <v>45578</v>
      </c>
      <c r="CL46" s="2030" t="s">
        <v>8435</v>
      </c>
      <c r="CM46" s="2009">
        <v>81</v>
      </c>
      <c r="CN46" s="1392" t="s">
        <v>414</v>
      </c>
    </row>
    <row r="47" spans="1:92" ht="14.25">
      <c r="A47" s="2011">
        <v>37549</v>
      </c>
      <c r="B47" s="1397" t="s">
        <v>915</v>
      </c>
      <c r="C47" s="2014">
        <v>33</v>
      </c>
      <c r="D47" s="1399"/>
      <c r="E47" s="1391">
        <v>37919</v>
      </c>
      <c r="F47" s="1397" t="s">
        <v>8436</v>
      </c>
      <c r="G47" s="2014">
        <v>16</v>
      </c>
      <c r="H47" s="1399"/>
      <c r="I47" s="1391">
        <v>38290</v>
      </c>
      <c r="J47" s="1397" t="s">
        <v>1156</v>
      </c>
      <c r="K47" s="2014">
        <v>4</v>
      </c>
      <c r="L47" s="1399"/>
      <c r="M47" s="1391">
        <v>38644</v>
      </c>
      <c r="N47" s="1397" t="s">
        <v>8437</v>
      </c>
      <c r="O47" s="2025">
        <v>25</v>
      </c>
      <c r="P47" s="1399">
        <f t="shared" si="2"/>
        <v>0.58139534883720934</v>
      </c>
      <c r="Q47" s="1391">
        <v>39018</v>
      </c>
      <c r="R47" s="1397" t="s">
        <v>802</v>
      </c>
      <c r="S47" s="2014">
        <v>32</v>
      </c>
      <c r="T47" s="1399"/>
      <c r="U47" s="1391">
        <v>39385</v>
      </c>
      <c r="V47" s="1397" t="s">
        <v>797</v>
      </c>
      <c r="W47" s="2014">
        <v>15</v>
      </c>
      <c r="X47" s="1399"/>
      <c r="Y47" s="1391">
        <v>39747</v>
      </c>
      <c r="Z47" s="1397" t="s">
        <v>8438</v>
      </c>
      <c r="AA47" s="2014">
        <v>28</v>
      </c>
      <c r="AB47" s="1399"/>
      <c r="AC47" s="1391">
        <v>40112</v>
      </c>
      <c r="AD47" s="1397" t="s">
        <v>8439</v>
      </c>
      <c r="AE47" s="2014"/>
      <c r="AF47" s="1399"/>
      <c r="AG47" s="1391"/>
      <c r="AH47" s="1397"/>
      <c r="AI47" s="2014"/>
      <c r="AJ47" s="1399"/>
      <c r="AK47" s="1391">
        <v>40845</v>
      </c>
      <c r="AL47" s="1397" t="s">
        <v>8440</v>
      </c>
      <c r="AM47" s="2014">
        <v>18</v>
      </c>
      <c r="AN47" s="1399"/>
      <c r="AO47" s="1391">
        <v>41202</v>
      </c>
      <c r="AP47" s="1397" t="s">
        <v>8441</v>
      </c>
      <c r="AQ47" s="2014">
        <v>35</v>
      </c>
      <c r="AR47" s="1399"/>
      <c r="AS47" s="1391">
        <v>41558</v>
      </c>
      <c r="AT47" s="1397" t="s">
        <v>8442</v>
      </c>
      <c r="AU47" s="2014">
        <v>15</v>
      </c>
      <c r="AV47" s="1399"/>
      <c r="AW47" s="1391"/>
      <c r="AX47" s="2026" t="s">
        <v>8397</v>
      </c>
      <c r="AY47" s="2014">
        <v>9</v>
      </c>
      <c r="AZ47" s="1399"/>
      <c r="BA47" s="1391">
        <v>42289</v>
      </c>
      <c r="BB47" s="1397" t="s">
        <v>797</v>
      </c>
      <c r="BC47" s="2014">
        <v>32</v>
      </c>
      <c r="BD47" s="1399"/>
      <c r="BE47" s="1391">
        <v>42654</v>
      </c>
      <c r="BF47" s="1397" t="s">
        <v>8443</v>
      </c>
      <c r="BG47" s="2014">
        <v>20</v>
      </c>
      <c r="BH47" s="1399"/>
      <c r="BI47" s="1391">
        <v>43024</v>
      </c>
      <c r="BJ47" s="1397" t="s">
        <v>8444</v>
      </c>
      <c r="BK47" s="2014">
        <v>5</v>
      </c>
      <c r="BL47" s="1399"/>
      <c r="BM47" s="1391">
        <v>43394</v>
      </c>
      <c r="BN47" s="1397" t="s">
        <v>1052</v>
      </c>
      <c r="BO47" s="2014">
        <v>23</v>
      </c>
      <c r="BP47" s="1399"/>
      <c r="BQ47" s="1391">
        <v>43751</v>
      </c>
      <c r="BR47" s="1393" t="s">
        <v>872</v>
      </c>
      <c r="BS47" s="2028">
        <v>10</v>
      </c>
      <c r="BT47" s="1392" t="s">
        <v>414</v>
      </c>
      <c r="BU47" s="1391">
        <v>44115</v>
      </c>
      <c r="BV47" s="1393" t="s">
        <v>8445</v>
      </c>
      <c r="BW47" s="2028">
        <v>97</v>
      </c>
      <c r="BX47" s="1392" t="s">
        <v>701</v>
      </c>
      <c r="BY47" s="1391">
        <v>44479</v>
      </c>
      <c r="BZ47" s="1393" t="s">
        <v>8446</v>
      </c>
      <c r="CA47" s="2028">
        <v>18</v>
      </c>
      <c r="CB47" s="1392" t="s">
        <v>278</v>
      </c>
      <c r="CC47" s="1391">
        <v>44844</v>
      </c>
      <c r="CD47" s="1393" t="s">
        <v>8447</v>
      </c>
      <c r="CE47" s="2028">
        <v>11</v>
      </c>
      <c r="CF47" s="1392" t="s">
        <v>278</v>
      </c>
      <c r="CG47" s="1391">
        <v>45213</v>
      </c>
      <c r="CH47" s="1393" t="s">
        <v>8448</v>
      </c>
      <c r="CI47" s="2028">
        <v>38</v>
      </c>
      <c r="CJ47" s="1392" t="s">
        <v>278</v>
      </c>
      <c r="CK47" s="1391">
        <v>45578</v>
      </c>
      <c r="CL47" s="2030" t="s">
        <v>987</v>
      </c>
      <c r="CM47" s="2009">
        <v>16</v>
      </c>
      <c r="CN47" s="1392" t="s">
        <v>414</v>
      </c>
    </row>
    <row r="48" spans="1:92" ht="14.25">
      <c r="A48" s="2011">
        <v>37549</v>
      </c>
      <c r="B48" s="1397" t="s">
        <v>847</v>
      </c>
      <c r="C48" s="2014">
        <v>70</v>
      </c>
      <c r="D48" s="1399"/>
      <c r="E48" s="1391">
        <v>37920</v>
      </c>
      <c r="F48" s="1397" t="s">
        <v>2240</v>
      </c>
      <c r="G48" s="2014">
        <v>10</v>
      </c>
      <c r="H48" s="1399"/>
      <c r="I48" s="1391"/>
      <c r="J48" s="1397"/>
      <c r="K48" s="2014"/>
      <c r="L48" s="1399"/>
      <c r="M48" s="1391">
        <v>38645</v>
      </c>
      <c r="N48" s="1397" t="s">
        <v>8449</v>
      </c>
      <c r="O48" s="2025">
        <v>25</v>
      </c>
      <c r="P48" s="1399">
        <f t="shared" si="2"/>
        <v>0.58139534883720934</v>
      </c>
      <c r="Q48" s="1391">
        <v>39018</v>
      </c>
      <c r="R48" s="1397" t="s">
        <v>8450</v>
      </c>
      <c r="S48" s="2014">
        <v>3</v>
      </c>
      <c r="T48" s="1399"/>
      <c r="U48" s="1391">
        <v>39386</v>
      </c>
      <c r="V48" s="1397" t="s">
        <v>797</v>
      </c>
      <c r="W48" s="2014">
        <v>30</v>
      </c>
      <c r="X48" s="1399"/>
      <c r="Y48" s="1391">
        <v>39747</v>
      </c>
      <c r="Z48" s="1397" t="s">
        <v>8451</v>
      </c>
      <c r="AA48" s="2014">
        <v>4</v>
      </c>
      <c r="AB48" s="1399"/>
      <c r="AC48" s="1391">
        <v>40112</v>
      </c>
      <c r="AD48" s="1397" t="s">
        <v>1656</v>
      </c>
      <c r="AE48" s="2014">
        <v>35</v>
      </c>
      <c r="AF48" s="1399"/>
      <c r="AG48" s="1391"/>
      <c r="AH48" s="1397"/>
      <c r="AI48" s="2014"/>
      <c r="AJ48" s="1399"/>
      <c r="AK48" s="1391">
        <v>40846</v>
      </c>
      <c r="AL48" s="1397" t="s">
        <v>8452</v>
      </c>
      <c r="AM48" s="2014">
        <v>300</v>
      </c>
      <c r="AN48" s="1399"/>
      <c r="AO48" s="1391">
        <v>41203</v>
      </c>
      <c r="AP48" s="1397" t="s">
        <v>754</v>
      </c>
      <c r="AQ48" s="2014">
        <v>110</v>
      </c>
      <c r="AR48" s="1399"/>
      <c r="AS48" s="1391">
        <v>41558</v>
      </c>
      <c r="AT48" s="1397" t="s">
        <v>8453</v>
      </c>
      <c r="AU48" s="2014">
        <v>25</v>
      </c>
      <c r="AV48" s="1399"/>
      <c r="AW48" s="1391"/>
      <c r="AX48" s="2026" t="s">
        <v>6125</v>
      </c>
      <c r="AY48" s="2014">
        <v>14</v>
      </c>
      <c r="AZ48" s="1399"/>
      <c r="BA48" s="1391">
        <v>42289</v>
      </c>
      <c r="BB48" s="1397" t="s">
        <v>954</v>
      </c>
      <c r="BC48" s="2014">
        <v>46</v>
      </c>
      <c r="BD48" s="1399"/>
      <c r="BE48" s="1391">
        <v>42654</v>
      </c>
      <c r="BF48" s="1397" t="s">
        <v>1052</v>
      </c>
      <c r="BG48" s="2014">
        <v>20</v>
      </c>
      <c r="BH48" s="1399"/>
      <c r="BI48" s="1391">
        <v>43025</v>
      </c>
      <c r="BJ48" s="1397" t="s">
        <v>797</v>
      </c>
      <c r="BK48" s="2014">
        <v>30</v>
      </c>
      <c r="BL48" s="1399"/>
      <c r="BM48" s="1391">
        <v>43395</v>
      </c>
      <c r="BN48" s="1397" t="s">
        <v>8454</v>
      </c>
      <c r="BO48" s="2014">
        <v>11</v>
      </c>
      <c r="BP48" s="1399"/>
      <c r="BQ48" s="1391">
        <v>43751</v>
      </c>
      <c r="BR48" s="1393" t="s">
        <v>772</v>
      </c>
      <c r="BS48" s="2028">
        <v>27</v>
      </c>
      <c r="BT48" s="1392" t="s">
        <v>414</v>
      </c>
      <c r="BU48" s="1391">
        <v>44115</v>
      </c>
      <c r="BV48" s="1393" t="s">
        <v>823</v>
      </c>
      <c r="BW48" s="2028">
        <v>33</v>
      </c>
      <c r="BX48" s="1392" t="s">
        <v>414</v>
      </c>
      <c r="BY48" s="1391">
        <v>44479</v>
      </c>
      <c r="BZ48" s="1393" t="s">
        <v>8455</v>
      </c>
      <c r="CA48" s="2028">
        <v>15</v>
      </c>
      <c r="CB48" s="1392" t="s">
        <v>278</v>
      </c>
      <c r="CC48" s="1391">
        <v>44844</v>
      </c>
      <c r="CD48" s="1393" t="s">
        <v>8456</v>
      </c>
      <c r="CE48" s="2023">
        <v>17</v>
      </c>
      <c r="CF48" s="1392" t="s">
        <v>426</v>
      </c>
      <c r="CG48" s="1391">
        <v>45213</v>
      </c>
      <c r="CH48" s="1393" t="s">
        <v>772</v>
      </c>
      <c r="CI48" s="2028">
        <v>63</v>
      </c>
      <c r="CJ48" s="1392" t="s">
        <v>414</v>
      </c>
      <c r="CK48" s="1391">
        <v>45578</v>
      </c>
      <c r="CL48" s="2030" t="s">
        <v>8457</v>
      </c>
      <c r="CM48" s="2009">
        <v>21</v>
      </c>
      <c r="CN48" s="1392" t="s">
        <v>414</v>
      </c>
    </row>
    <row r="49" spans="1:92" ht="14.25">
      <c r="A49" s="2011">
        <v>37549</v>
      </c>
      <c r="B49" s="1397" t="s">
        <v>8458</v>
      </c>
      <c r="C49" s="2014">
        <v>20</v>
      </c>
      <c r="D49" s="1399"/>
      <c r="E49" s="1391">
        <v>37922</v>
      </c>
      <c r="F49" s="1397" t="s">
        <v>2240</v>
      </c>
      <c r="G49" s="2014">
        <v>20</v>
      </c>
      <c r="H49" s="1399"/>
      <c r="I49" s="1391"/>
      <c r="J49" s="1397"/>
      <c r="K49" s="2014"/>
      <c r="L49" s="1399"/>
      <c r="M49" s="1391">
        <v>38645</v>
      </c>
      <c r="N49" s="1397" t="s">
        <v>8269</v>
      </c>
      <c r="O49" s="2025">
        <v>25</v>
      </c>
      <c r="P49" s="1399">
        <f t="shared" si="2"/>
        <v>0.58139534883720934</v>
      </c>
      <c r="Q49" s="1391"/>
      <c r="R49" s="1397"/>
      <c r="S49" s="2014"/>
      <c r="T49" s="1399"/>
      <c r="U49" s="1391">
        <v>39386</v>
      </c>
      <c r="V49" s="1397" t="s">
        <v>8459</v>
      </c>
      <c r="W49" s="2014">
        <v>3</v>
      </c>
      <c r="X49" s="1399"/>
      <c r="Y49" s="1391">
        <v>39749</v>
      </c>
      <c r="Z49" s="1397" t="s">
        <v>786</v>
      </c>
      <c r="AA49" s="2014">
        <v>7</v>
      </c>
      <c r="AB49" s="1399"/>
      <c r="AC49" s="1391">
        <v>40112</v>
      </c>
      <c r="AD49" s="1397" t="s">
        <v>767</v>
      </c>
      <c r="AE49" s="2014">
        <v>8</v>
      </c>
      <c r="AF49" s="1399"/>
      <c r="AG49" s="1391"/>
      <c r="AH49" s="1397"/>
      <c r="AI49" s="2014"/>
      <c r="AJ49" s="1399"/>
      <c r="AK49" s="1391">
        <v>40846</v>
      </c>
      <c r="AL49" s="1397" t="s">
        <v>8460</v>
      </c>
      <c r="AM49" s="2014">
        <v>8</v>
      </c>
      <c r="AN49" s="1399"/>
      <c r="AO49" s="1391">
        <v>41203</v>
      </c>
      <c r="AP49" s="1397" t="s">
        <v>772</v>
      </c>
      <c r="AQ49" s="2014">
        <v>60</v>
      </c>
      <c r="AR49" s="1399"/>
      <c r="AS49" s="1391">
        <v>41558</v>
      </c>
      <c r="AT49" s="1397" t="s">
        <v>8461</v>
      </c>
      <c r="AU49" s="2014">
        <v>8</v>
      </c>
      <c r="AV49" s="1399"/>
      <c r="AW49" s="1391"/>
      <c r="AX49" s="2026" t="s">
        <v>8462</v>
      </c>
      <c r="AY49" s="2014">
        <v>175</v>
      </c>
      <c r="AZ49" s="1399"/>
      <c r="BA49" s="1391">
        <v>42289</v>
      </c>
      <c r="BB49" s="1397" t="s">
        <v>8463</v>
      </c>
      <c r="BC49" s="2014">
        <v>1</v>
      </c>
      <c r="BD49" s="1399"/>
      <c r="BE49" s="1391">
        <v>42658</v>
      </c>
      <c r="BF49" s="1397" t="s">
        <v>823</v>
      </c>
      <c r="BG49" s="2014">
        <v>65</v>
      </c>
      <c r="BH49" s="1399"/>
      <c r="BI49" s="1391">
        <v>43025</v>
      </c>
      <c r="BJ49" s="1397" t="s">
        <v>1180</v>
      </c>
      <c r="BK49" s="2014">
        <v>70</v>
      </c>
      <c r="BL49" s="1399"/>
      <c r="BM49" s="1391">
        <v>43395</v>
      </c>
      <c r="BN49" s="1397" t="s">
        <v>8464</v>
      </c>
      <c r="BO49" s="2014">
        <v>41</v>
      </c>
      <c r="BP49" s="1399"/>
      <c r="BQ49" s="1391">
        <v>43751</v>
      </c>
      <c r="BR49" s="1393" t="s">
        <v>859</v>
      </c>
      <c r="BS49" s="2028">
        <v>10</v>
      </c>
      <c r="BT49" s="1392" t="s">
        <v>414</v>
      </c>
      <c r="BU49" s="1391">
        <v>44115</v>
      </c>
      <c r="BV49" s="1393" t="s">
        <v>828</v>
      </c>
      <c r="BW49" s="2028">
        <v>14</v>
      </c>
      <c r="BX49" s="1392" t="s">
        <v>414</v>
      </c>
      <c r="BY49" s="1391">
        <v>44479</v>
      </c>
      <c r="BZ49" s="1393" t="s">
        <v>8465</v>
      </c>
      <c r="CA49" s="2028">
        <v>40</v>
      </c>
      <c r="CB49" s="1392" t="s">
        <v>278</v>
      </c>
      <c r="CC49" s="1391">
        <v>44844</v>
      </c>
      <c r="CD49" s="1393" t="s">
        <v>797</v>
      </c>
      <c r="CE49" s="2023">
        <v>98</v>
      </c>
      <c r="CF49" s="1392" t="s">
        <v>410</v>
      </c>
      <c r="CG49" s="1391">
        <v>45213</v>
      </c>
      <c r="CH49" s="1393" t="s">
        <v>845</v>
      </c>
      <c r="CI49" s="2023">
        <v>58</v>
      </c>
      <c r="CJ49" s="1392" t="s">
        <v>414</v>
      </c>
      <c r="CK49" s="1391">
        <v>45578</v>
      </c>
      <c r="CL49" s="2030" t="s">
        <v>8466</v>
      </c>
      <c r="CM49" s="2009">
        <v>31</v>
      </c>
      <c r="CN49" s="1392" t="s">
        <v>414</v>
      </c>
    </row>
    <row r="50" spans="1:92" ht="14.25">
      <c r="A50" s="2011">
        <v>37550</v>
      </c>
      <c r="B50" s="1397" t="s">
        <v>8467</v>
      </c>
      <c r="C50" s="2014">
        <v>30</v>
      </c>
      <c r="D50" s="1399"/>
      <c r="E50" s="1391">
        <v>37922</v>
      </c>
      <c r="F50" s="1397" t="s">
        <v>937</v>
      </c>
      <c r="G50" s="2014">
        <v>37</v>
      </c>
      <c r="H50" s="1399"/>
      <c r="I50" s="1391"/>
      <c r="J50" s="1397"/>
      <c r="K50" s="2014"/>
      <c r="L50" s="1399"/>
      <c r="M50" s="1391">
        <v>38645</v>
      </c>
      <c r="N50" s="1397" t="s">
        <v>8381</v>
      </c>
      <c r="O50" s="2025">
        <v>25</v>
      </c>
      <c r="P50" s="1399">
        <f t="shared" si="2"/>
        <v>0.58139534883720934</v>
      </c>
      <c r="Q50" s="1391"/>
      <c r="R50" s="1397"/>
      <c r="S50" s="2014"/>
      <c r="T50" s="1399"/>
      <c r="U50" s="1391"/>
      <c r="V50" s="1397"/>
      <c r="W50" s="2014"/>
      <c r="X50" s="1399"/>
      <c r="Y50" s="1391">
        <v>39749</v>
      </c>
      <c r="Z50" s="1397" t="s">
        <v>802</v>
      </c>
      <c r="AA50" s="2014">
        <v>21</v>
      </c>
      <c r="AB50" s="1399"/>
      <c r="AC50" s="1391">
        <v>40113</v>
      </c>
      <c r="AD50" s="1397" t="s">
        <v>8468</v>
      </c>
      <c r="AE50" s="2014">
        <v>10</v>
      </c>
      <c r="AF50" s="1399"/>
      <c r="AG50" s="1391"/>
      <c r="AH50" s="1397"/>
      <c r="AI50" s="2014"/>
      <c r="AJ50" s="1399"/>
      <c r="AK50" s="1391">
        <v>40846</v>
      </c>
      <c r="AL50" s="1397" t="s">
        <v>797</v>
      </c>
      <c r="AM50" s="2014">
        <v>57</v>
      </c>
      <c r="AN50" s="1399"/>
      <c r="AO50" s="1391">
        <v>41208</v>
      </c>
      <c r="AP50" s="1397" t="s">
        <v>8469</v>
      </c>
      <c r="AQ50" s="2014">
        <v>30</v>
      </c>
      <c r="AR50" s="1399"/>
      <c r="AS50" s="1391">
        <v>41559</v>
      </c>
      <c r="AT50" s="1397" t="s">
        <v>8470</v>
      </c>
      <c r="AU50" s="2014">
        <v>68</v>
      </c>
      <c r="AV50" s="1399"/>
      <c r="AW50" s="1391">
        <v>41931</v>
      </c>
      <c r="AX50" s="1397" t="s">
        <v>772</v>
      </c>
      <c r="AY50" s="2014">
        <v>29</v>
      </c>
      <c r="AZ50" s="1399"/>
      <c r="BA50" s="1391">
        <v>42289</v>
      </c>
      <c r="BB50" s="1397" t="s">
        <v>8471</v>
      </c>
      <c r="BC50" s="2014">
        <v>10</v>
      </c>
      <c r="BD50" s="1399"/>
      <c r="BE50" s="1391">
        <v>42658</v>
      </c>
      <c r="BF50" s="1397" t="s">
        <v>872</v>
      </c>
      <c r="BG50" s="2014">
        <v>29</v>
      </c>
      <c r="BH50" s="1399"/>
      <c r="BI50" s="1391">
        <v>43027</v>
      </c>
      <c r="BJ50" s="1397" t="s">
        <v>873</v>
      </c>
      <c r="BK50" s="2014">
        <v>30</v>
      </c>
      <c r="BL50" s="1399"/>
      <c r="BM50" s="1391">
        <v>43400</v>
      </c>
      <c r="BN50" s="1397" t="s">
        <v>872</v>
      </c>
      <c r="BO50" s="2014">
        <v>19</v>
      </c>
      <c r="BP50" s="1399"/>
      <c r="BQ50" s="1391">
        <v>43751</v>
      </c>
      <c r="BR50" s="1393" t="s">
        <v>8472</v>
      </c>
      <c r="BS50" s="2028">
        <v>0</v>
      </c>
      <c r="BT50" s="1392" t="s">
        <v>280</v>
      </c>
      <c r="BU50" s="1391">
        <v>44115</v>
      </c>
      <c r="BV50" s="1393" t="s">
        <v>859</v>
      </c>
      <c r="BW50" s="2028">
        <v>15</v>
      </c>
      <c r="BX50" s="1392" t="s">
        <v>414</v>
      </c>
      <c r="BY50" s="1391">
        <v>44479</v>
      </c>
      <c r="BZ50" s="1393" t="s">
        <v>8473</v>
      </c>
      <c r="CA50" s="2028">
        <v>29</v>
      </c>
      <c r="CB50" s="1392" t="s">
        <v>278</v>
      </c>
      <c r="CC50" s="1391">
        <v>44844</v>
      </c>
      <c r="CD50" s="1393" t="s">
        <v>843</v>
      </c>
      <c r="CE50" s="2023">
        <v>6</v>
      </c>
      <c r="CF50" s="1392" t="s">
        <v>414</v>
      </c>
      <c r="CG50" s="1391">
        <v>45213</v>
      </c>
      <c r="CH50" s="1393" t="s">
        <v>843</v>
      </c>
      <c r="CI50" s="2023">
        <v>43</v>
      </c>
      <c r="CJ50" s="1392" t="s">
        <v>414</v>
      </c>
      <c r="CK50" s="1391">
        <v>45578</v>
      </c>
      <c r="CL50" s="2005" t="s">
        <v>8474</v>
      </c>
      <c r="CM50" s="2009">
        <v>0</v>
      </c>
      <c r="CN50" s="1392" t="s">
        <v>414</v>
      </c>
    </row>
    <row r="51" spans="1:92" ht="14.25">
      <c r="A51" s="2011">
        <v>37550</v>
      </c>
      <c r="B51" s="1397" t="s">
        <v>8475</v>
      </c>
      <c r="C51" s="2014">
        <v>32</v>
      </c>
      <c r="D51" s="1399"/>
      <c r="E51" s="1391">
        <v>37922</v>
      </c>
      <c r="F51" s="1397" t="s">
        <v>8476</v>
      </c>
      <c r="G51" s="2014">
        <v>10</v>
      </c>
      <c r="H51" s="1399"/>
      <c r="I51" s="1391"/>
      <c r="J51" s="1397"/>
      <c r="K51" s="2014"/>
      <c r="L51" s="1399"/>
      <c r="M51" s="1391">
        <v>38645</v>
      </c>
      <c r="N51" s="1397" t="s">
        <v>8477</v>
      </c>
      <c r="O51" s="2025">
        <v>90</v>
      </c>
      <c r="P51" s="1399">
        <f t="shared" si="2"/>
        <v>2.0930232558139537</v>
      </c>
      <c r="Q51" s="1391"/>
      <c r="R51" s="1397"/>
      <c r="S51" s="2014"/>
      <c r="T51" s="1399"/>
      <c r="U51" s="1391"/>
      <c r="V51" s="1397"/>
      <c r="W51" s="2014"/>
      <c r="X51" s="1399"/>
      <c r="Y51" s="1391">
        <v>39750</v>
      </c>
      <c r="Z51" s="1397" t="s">
        <v>802</v>
      </c>
      <c r="AA51" s="2014">
        <v>24</v>
      </c>
      <c r="AB51" s="1399"/>
      <c r="AC51" s="1391">
        <v>40116</v>
      </c>
      <c r="AD51" s="1397" t="s">
        <v>937</v>
      </c>
      <c r="AE51" s="2014">
        <v>9</v>
      </c>
      <c r="AF51" s="1399"/>
      <c r="AG51" s="1391"/>
      <c r="AH51" s="1397"/>
      <c r="AI51" s="2014"/>
      <c r="AJ51" s="1399"/>
      <c r="AK51" s="1391">
        <v>40847</v>
      </c>
      <c r="AL51" s="1397" t="s">
        <v>8478</v>
      </c>
      <c r="AM51" s="2014">
        <v>40</v>
      </c>
      <c r="AN51" s="1399"/>
      <c r="AO51" s="1391">
        <v>41208</v>
      </c>
      <c r="AP51" s="1397" t="s">
        <v>1868</v>
      </c>
      <c r="AQ51" s="2014">
        <v>105</v>
      </c>
      <c r="AR51" s="1399"/>
      <c r="AS51" s="1391">
        <v>41559</v>
      </c>
      <c r="AT51" s="1397" t="s">
        <v>8479</v>
      </c>
      <c r="AU51" s="2014">
        <v>15</v>
      </c>
      <c r="AV51" s="1399"/>
      <c r="AW51" s="1391">
        <v>41931</v>
      </c>
      <c r="AX51" s="1397" t="s">
        <v>8480</v>
      </c>
      <c r="AY51" s="2014">
        <v>23</v>
      </c>
      <c r="AZ51" s="1399"/>
      <c r="BA51" s="1391">
        <v>42292</v>
      </c>
      <c r="BB51" s="1397" t="s">
        <v>1288</v>
      </c>
      <c r="BC51" s="2014">
        <v>5</v>
      </c>
      <c r="BD51" s="1399"/>
      <c r="BE51" s="1391">
        <v>42658</v>
      </c>
      <c r="BF51" s="1397" t="s">
        <v>7183</v>
      </c>
      <c r="BG51" s="2014">
        <v>24</v>
      </c>
      <c r="BH51" s="1399"/>
      <c r="BI51" s="1391">
        <v>43027</v>
      </c>
      <c r="BJ51" s="1397" t="s">
        <v>3449</v>
      </c>
      <c r="BK51" s="2014">
        <v>8</v>
      </c>
      <c r="BL51" s="1399"/>
      <c r="BM51" s="1391">
        <v>43400</v>
      </c>
      <c r="BN51" s="1397" t="s">
        <v>8481</v>
      </c>
      <c r="BO51" s="2014">
        <v>25</v>
      </c>
      <c r="BP51" s="1399"/>
      <c r="BQ51" s="1391">
        <v>43755</v>
      </c>
      <c r="BR51" s="1393" t="s">
        <v>8482</v>
      </c>
      <c r="BS51" s="2028"/>
      <c r="BT51" s="1399"/>
      <c r="BU51" s="1391">
        <v>44115</v>
      </c>
      <c r="BV51" s="1393" t="s">
        <v>772</v>
      </c>
      <c r="BW51" s="2023">
        <v>29</v>
      </c>
      <c r="BX51" s="1392" t="s">
        <v>414</v>
      </c>
      <c r="BY51" s="1391">
        <v>44479</v>
      </c>
      <c r="BZ51" s="1393" t="s">
        <v>797</v>
      </c>
      <c r="CA51" s="2023">
        <v>77</v>
      </c>
      <c r="CB51" s="1392" t="s">
        <v>410</v>
      </c>
      <c r="CC51" s="1391">
        <v>44846</v>
      </c>
      <c r="CD51" s="1393" t="s">
        <v>8483</v>
      </c>
      <c r="CE51" s="2023">
        <v>38</v>
      </c>
      <c r="CF51" s="1392" t="s">
        <v>426</v>
      </c>
      <c r="CG51" s="1391">
        <v>45213</v>
      </c>
      <c r="CH51" s="1393" t="s">
        <v>8484</v>
      </c>
      <c r="CI51" s="2023">
        <v>60</v>
      </c>
      <c r="CJ51" s="1392" t="s">
        <v>414</v>
      </c>
      <c r="CK51" s="1391">
        <v>45578</v>
      </c>
      <c r="CL51" s="2005" t="s">
        <v>2637</v>
      </c>
      <c r="CM51" s="2009">
        <v>36</v>
      </c>
      <c r="CN51" s="1392" t="s">
        <v>414</v>
      </c>
    </row>
    <row r="52" spans="1:92" ht="14.25">
      <c r="A52" s="2011">
        <v>37550</v>
      </c>
      <c r="B52" s="1397" t="s">
        <v>915</v>
      </c>
      <c r="C52" s="2014">
        <v>15</v>
      </c>
      <c r="D52" s="1399"/>
      <c r="E52" s="1391">
        <v>37924</v>
      </c>
      <c r="F52" s="1397" t="s">
        <v>797</v>
      </c>
      <c r="G52" s="2014">
        <v>30</v>
      </c>
      <c r="H52" s="1399"/>
      <c r="I52" s="1391"/>
      <c r="J52" s="1397"/>
      <c r="K52" s="2014"/>
      <c r="L52" s="1399"/>
      <c r="M52" s="1391">
        <v>38645</v>
      </c>
      <c r="N52" s="1397" t="s">
        <v>8485</v>
      </c>
      <c r="O52" s="2025">
        <v>100</v>
      </c>
      <c r="P52" s="1399">
        <f t="shared" si="2"/>
        <v>2.3255813953488373</v>
      </c>
      <c r="Q52" s="1391"/>
      <c r="R52" s="1397"/>
      <c r="S52" s="2014"/>
      <c r="T52" s="1399"/>
      <c r="U52" s="1391"/>
      <c r="V52" s="1397"/>
      <c r="W52" s="2014"/>
      <c r="X52" s="1399"/>
      <c r="Y52" s="1391">
        <v>39750</v>
      </c>
      <c r="Z52" s="1397" t="s">
        <v>6107</v>
      </c>
      <c r="AA52" s="2014">
        <v>16</v>
      </c>
      <c r="AB52" s="1399"/>
      <c r="AC52" s="1391">
        <v>40117</v>
      </c>
      <c r="AD52" s="1397" t="s">
        <v>772</v>
      </c>
      <c r="AE52" s="2014">
        <v>75</v>
      </c>
      <c r="AF52" s="1399"/>
      <c r="AG52" s="1391"/>
      <c r="AH52" s="1397"/>
      <c r="AI52" s="2014"/>
      <c r="AJ52" s="1399"/>
      <c r="AK52" s="1391">
        <v>40847</v>
      </c>
      <c r="AL52" s="1397" t="s">
        <v>8486</v>
      </c>
      <c r="AM52" s="2014">
        <v>17</v>
      </c>
      <c r="AN52" s="1399"/>
      <c r="AO52" s="1391">
        <v>41210</v>
      </c>
      <c r="AP52" s="1397" t="s">
        <v>797</v>
      </c>
      <c r="AQ52" s="2014">
        <v>50</v>
      </c>
      <c r="AR52" s="1399"/>
      <c r="AS52" s="1391">
        <v>41559</v>
      </c>
      <c r="AT52" s="1397" t="s">
        <v>8487</v>
      </c>
      <c r="AU52" s="2014">
        <v>6</v>
      </c>
      <c r="AV52" s="1399"/>
      <c r="AW52" s="1391">
        <v>41931</v>
      </c>
      <c r="AX52" s="1397" t="s">
        <v>8488</v>
      </c>
      <c r="AY52" s="2014">
        <v>7</v>
      </c>
      <c r="AZ52" s="1399"/>
      <c r="BA52" s="1391">
        <v>42292</v>
      </c>
      <c r="BB52" s="1397" t="s">
        <v>8489</v>
      </c>
      <c r="BC52" s="2014">
        <v>30</v>
      </c>
      <c r="BD52" s="1399"/>
      <c r="BE52" s="1391">
        <v>42658</v>
      </c>
      <c r="BF52" s="1397" t="s">
        <v>797</v>
      </c>
      <c r="BG52" s="2014">
        <v>48</v>
      </c>
      <c r="BH52" s="1399"/>
      <c r="BI52" s="1391">
        <v>43029</v>
      </c>
      <c r="BJ52" s="1397" t="s">
        <v>823</v>
      </c>
      <c r="BK52" s="2014">
        <v>22</v>
      </c>
      <c r="BL52" s="1399"/>
      <c r="BM52" s="1391">
        <v>43400</v>
      </c>
      <c r="BN52" s="1397" t="s">
        <v>797</v>
      </c>
      <c r="BO52" s="2014">
        <v>35</v>
      </c>
      <c r="BP52" s="1399"/>
      <c r="BQ52" s="1391">
        <v>43755</v>
      </c>
      <c r="BR52" s="1393" t="s">
        <v>8490</v>
      </c>
      <c r="BS52" s="2028">
        <v>8</v>
      </c>
      <c r="BT52" s="1392" t="s">
        <v>280</v>
      </c>
      <c r="BU52" s="1391">
        <v>44115</v>
      </c>
      <c r="BV52" s="1393" t="s">
        <v>2282</v>
      </c>
      <c r="BW52" s="2023">
        <v>42</v>
      </c>
      <c r="BX52" s="1392" t="s">
        <v>700</v>
      </c>
      <c r="BY52" s="1391">
        <v>44479</v>
      </c>
      <c r="BZ52" s="1393" t="s">
        <v>8491</v>
      </c>
      <c r="CA52" s="2023">
        <v>25</v>
      </c>
      <c r="CB52" s="1392" t="s">
        <v>698</v>
      </c>
      <c r="CC52" s="1391">
        <v>44846</v>
      </c>
      <c r="CD52" s="1393" t="s">
        <v>772</v>
      </c>
      <c r="CE52" s="2023">
        <v>25</v>
      </c>
      <c r="CF52" s="1392" t="s">
        <v>414</v>
      </c>
      <c r="CG52" s="1391">
        <v>45213</v>
      </c>
      <c r="CH52" s="1393" t="s">
        <v>772</v>
      </c>
      <c r="CI52" s="2023">
        <v>40</v>
      </c>
      <c r="CJ52" s="1392" t="s">
        <v>414</v>
      </c>
      <c r="CK52" s="1391">
        <v>45578</v>
      </c>
      <c r="CL52" s="2005" t="s">
        <v>8492</v>
      </c>
      <c r="CM52" s="2009">
        <v>25</v>
      </c>
      <c r="CN52" s="1392" t="s">
        <v>414</v>
      </c>
    </row>
    <row r="53" spans="1:92" ht="14.25">
      <c r="A53" s="2011">
        <v>37550</v>
      </c>
      <c r="B53" s="1393" t="s">
        <v>415</v>
      </c>
      <c r="C53" s="2014">
        <v>54</v>
      </c>
      <c r="D53" s="1399"/>
      <c r="E53" s="1391">
        <v>37924</v>
      </c>
      <c r="F53" s="1397" t="s">
        <v>8493</v>
      </c>
      <c r="G53" s="2014">
        <v>10</v>
      </c>
      <c r="H53" s="1399"/>
      <c r="I53" s="1391"/>
      <c r="J53" s="1397"/>
      <c r="K53" s="2014"/>
      <c r="L53" s="1399"/>
      <c r="M53" s="1391">
        <v>38645</v>
      </c>
      <c r="N53" s="1397" t="s">
        <v>8494</v>
      </c>
      <c r="O53" s="2025">
        <v>9</v>
      </c>
      <c r="P53" s="1399">
        <f t="shared" si="2"/>
        <v>0.20930232558139536</v>
      </c>
      <c r="Q53" s="1391"/>
      <c r="R53" s="1397"/>
      <c r="S53" s="2014"/>
      <c r="T53" s="1399"/>
      <c r="U53" s="1391"/>
      <c r="V53" s="1397"/>
      <c r="W53" s="2014"/>
      <c r="X53" s="1399"/>
      <c r="Y53" s="1391">
        <v>39751</v>
      </c>
      <c r="Z53" s="1397" t="s">
        <v>797</v>
      </c>
      <c r="AA53" s="2014">
        <v>44</v>
      </c>
      <c r="AB53" s="1399"/>
      <c r="AC53" s="1391">
        <v>40117</v>
      </c>
      <c r="AD53" s="1397" t="s">
        <v>8495</v>
      </c>
      <c r="AE53" s="2014">
        <v>118</v>
      </c>
      <c r="AF53" s="1399"/>
      <c r="AG53" s="1391"/>
      <c r="AH53" s="1397"/>
      <c r="AI53" s="2014"/>
      <c r="AJ53" s="1399"/>
      <c r="AK53" s="1391">
        <v>40847</v>
      </c>
      <c r="AL53" s="1397" t="s">
        <v>8496</v>
      </c>
      <c r="AM53" s="2014">
        <v>7</v>
      </c>
      <c r="AN53" s="1399"/>
      <c r="AO53" s="1391">
        <v>41210</v>
      </c>
      <c r="AP53" s="1397" t="s">
        <v>8497</v>
      </c>
      <c r="AQ53" s="2014">
        <v>67</v>
      </c>
      <c r="AR53" s="1399"/>
      <c r="AS53" s="1391">
        <v>41559</v>
      </c>
      <c r="AT53" s="1397" t="s">
        <v>8498</v>
      </c>
      <c r="AU53" s="2014">
        <v>26</v>
      </c>
      <c r="AV53" s="1399"/>
      <c r="AW53" s="1391">
        <v>41932</v>
      </c>
      <c r="AX53" s="1397" t="s">
        <v>797</v>
      </c>
      <c r="AY53" s="2014">
        <v>60</v>
      </c>
      <c r="AZ53" s="1399"/>
      <c r="BA53" s="1391">
        <v>42292</v>
      </c>
      <c r="BB53" s="1397" t="s">
        <v>8499</v>
      </c>
      <c r="BC53" s="2014">
        <v>300</v>
      </c>
      <c r="BD53" s="1399"/>
      <c r="BE53" s="1391">
        <v>42658</v>
      </c>
      <c r="BF53" s="1397" t="s">
        <v>8500</v>
      </c>
      <c r="BG53" s="2014">
        <v>34</v>
      </c>
      <c r="BH53" s="1399"/>
      <c r="BI53" s="1391">
        <v>43029</v>
      </c>
      <c r="BJ53" s="1397" t="s">
        <v>872</v>
      </c>
      <c r="BK53" s="2014">
        <v>38</v>
      </c>
      <c r="BL53" s="1399"/>
      <c r="BM53" s="1391">
        <v>43400</v>
      </c>
      <c r="BN53" s="1397" t="s">
        <v>8501</v>
      </c>
      <c r="BO53" s="2014">
        <v>20</v>
      </c>
      <c r="BP53" s="1399"/>
      <c r="BQ53" s="1391">
        <v>43757</v>
      </c>
      <c r="BR53" s="1393" t="s">
        <v>8502</v>
      </c>
      <c r="BS53" s="2023">
        <v>44</v>
      </c>
      <c r="BT53" s="1392"/>
      <c r="BU53" s="1391">
        <v>44115</v>
      </c>
      <c r="BV53" s="1393" t="s">
        <v>8503</v>
      </c>
      <c r="BW53" s="2023">
        <v>25</v>
      </c>
      <c r="BX53" s="1392" t="s">
        <v>701</v>
      </c>
      <c r="BY53" s="1391">
        <v>44480</v>
      </c>
      <c r="BZ53" s="1393" t="s">
        <v>8504</v>
      </c>
      <c r="CA53" s="2023">
        <v>12</v>
      </c>
      <c r="CB53" s="1392" t="s">
        <v>280</v>
      </c>
      <c r="CC53" s="1391">
        <v>44846</v>
      </c>
      <c r="CD53" s="1389" t="s">
        <v>8505</v>
      </c>
      <c r="CE53" s="2023">
        <v>10</v>
      </c>
      <c r="CF53" s="1392" t="s">
        <v>426</v>
      </c>
      <c r="CG53" s="1391">
        <v>45213</v>
      </c>
      <c r="CH53" s="1393" t="s">
        <v>828</v>
      </c>
      <c r="CI53" s="2023">
        <v>11</v>
      </c>
      <c r="CJ53" s="1392" t="s">
        <v>414</v>
      </c>
      <c r="CK53" s="1391">
        <v>45578</v>
      </c>
      <c r="CL53" s="2005" t="s">
        <v>3418</v>
      </c>
      <c r="CM53" s="2009">
        <v>25</v>
      </c>
      <c r="CN53" s="1392" t="s">
        <v>414</v>
      </c>
    </row>
    <row r="54" spans="1:92" ht="14.25">
      <c r="A54" s="2011">
        <v>37552</v>
      </c>
      <c r="B54" s="1397" t="s">
        <v>1189</v>
      </c>
      <c r="C54" s="2014"/>
      <c r="D54" s="2014">
        <v>8</v>
      </c>
      <c r="E54" s="1391"/>
      <c r="F54" s="1397"/>
      <c r="G54" s="2014"/>
      <c r="H54" s="1399"/>
      <c r="I54" s="1391"/>
      <c r="J54" s="1397"/>
      <c r="K54" s="2014"/>
      <c r="L54" s="1399"/>
      <c r="M54" s="1391">
        <v>38645</v>
      </c>
      <c r="N54" s="1397" t="s">
        <v>8506</v>
      </c>
      <c r="O54" s="2025">
        <v>9</v>
      </c>
      <c r="P54" s="1399">
        <f t="shared" si="2"/>
        <v>0.20930232558139536</v>
      </c>
      <c r="Q54" s="1391"/>
      <c r="R54" s="1397"/>
      <c r="S54" s="2014"/>
      <c r="T54" s="1399"/>
      <c r="U54" s="1391"/>
      <c r="V54" s="1397"/>
      <c r="W54" s="2014"/>
      <c r="X54" s="1399"/>
      <c r="Y54" s="1391"/>
      <c r="Z54" s="1397"/>
      <c r="AA54" s="2014"/>
      <c r="AB54" s="1399"/>
      <c r="AC54" s="1391">
        <v>40117</v>
      </c>
      <c r="AD54" s="1397" t="s">
        <v>8495</v>
      </c>
      <c r="AE54" s="2014">
        <v>118</v>
      </c>
      <c r="AF54" s="1399"/>
      <c r="AG54" s="1391"/>
      <c r="AH54" s="1397"/>
      <c r="AI54" s="2014"/>
      <c r="AJ54" s="1399"/>
      <c r="AK54" s="1391"/>
      <c r="AL54" s="1397"/>
      <c r="AM54" s="2014"/>
      <c r="AN54" s="1399"/>
      <c r="AO54" s="1391">
        <v>41210</v>
      </c>
      <c r="AP54" s="1397" t="s">
        <v>1573</v>
      </c>
      <c r="AQ54" s="2014">
        <v>125</v>
      </c>
      <c r="AR54" s="1399"/>
      <c r="AS54" s="1391">
        <v>41559</v>
      </c>
      <c r="AT54" s="1397" t="s">
        <v>8507</v>
      </c>
      <c r="AU54" s="2014">
        <v>15</v>
      </c>
      <c r="AV54" s="1399"/>
      <c r="AW54" s="1391">
        <v>41932</v>
      </c>
      <c r="AX54" s="1397" t="s">
        <v>925</v>
      </c>
      <c r="AY54" s="2014">
        <v>10</v>
      </c>
      <c r="AZ54" s="1399"/>
      <c r="BA54" s="1391">
        <v>42292</v>
      </c>
      <c r="BB54" s="1397" t="s">
        <v>8051</v>
      </c>
      <c r="BC54" s="2014">
        <v>20</v>
      </c>
      <c r="BD54" s="1399"/>
      <c r="BE54" s="1391">
        <v>42659</v>
      </c>
      <c r="BF54" s="1397" t="s">
        <v>859</v>
      </c>
      <c r="BG54" s="2014">
        <v>21</v>
      </c>
      <c r="BH54" s="1399"/>
      <c r="BI54" s="1391">
        <v>43029</v>
      </c>
      <c r="BJ54" s="1397" t="s">
        <v>772</v>
      </c>
      <c r="BK54" s="2014">
        <v>2</v>
      </c>
      <c r="BL54" s="1399"/>
      <c r="BM54" s="1391">
        <v>43403</v>
      </c>
      <c r="BN54" s="1397" t="s">
        <v>8508</v>
      </c>
      <c r="BO54" s="2014">
        <v>29</v>
      </c>
      <c r="BP54" s="1399"/>
      <c r="BQ54" s="1391">
        <v>43757</v>
      </c>
      <c r="BR54" s="1393" t="s">
        <v>890</v>
      </c>
      <c r="BS54" s="2023">
        <v>16</v>
      </c>
      <c r="BT54" s="1392" t="s">
        <v>414</v>
      </c>
      <c r="BU54" s="1391">
        <v>44115</v>
      </c>
      <c r="BV54" s="1393" t="s">
        <v>8509</v>
      </c>
      <c r="BW54" s="2023">
        <v>349</v>
      </c>
      <c r="BX54" s="1392" t="s">
        <v>701</v>
      </c>
      <c r="BY54" s="1391">
        <v>44480</v>
      </c>
      <c r="BZ54" s="1393" t="s">
        <v>8510</v>
      </c>
      <c r="CA54" s="2023">
        <v>30</v>
      </c>
      <c r="CB54" s="1392" t="s">
        <v>280</v>
      </c>
      <c r="CC54" s="1391">
        <v>44846</v>
      </c>
      <c r="CD54" s="1389" t="s">
        <v>1770</v>
      </c>
      <c r="CE54" s="2023">
        <v>26</v>
      </c>
      <c r="CF54" s="1392" t="s">
        <v>414</v>
      </c>
      <c r="CG54" s="1391">
        <v>45214</v>
      </c>
      <c r="CH54" s="1389" t="s">
        <v>862</v>
      </c>
      <c r="CI54" s="2023">
        <v>20</v>
      </c>
      <c r="CJ54" s="1392" t="s">
        <v>414</v>
      </c>
      <c r="CK54" s="1391">
        <v>45578</v>
      </c>
      <c r="CL54" s="2005" t="s">
        <v>8511</v>
      </c>
      <c r="CM54" s="2009">
        <v>0</v>
      </c>
      <c r="CN54" s="1392" t="s">
        <v>414</v>
      </c>
    </row>
    <row r="55" spans="1:92" ht="14.25">
      <c r="A55" s="2011">
        <v>37552</v>
      </c>
      <c r="B55" s="1397" t="s">
        <v>8512</v>
      </c>
      <c r="C55" s="2014"/>
      <c r="D55" s="2014">
        <v>70</v>
      </c>
      <c r="E55" s="1391"/>
      <c r="F55" s="1397"/>
      <c r="G55" s="2014"/>
      <c r="H55" s="1399"/>
      <c r="I55" s="1391"/>
      <c r="J55" s="1397"/>
      <c r="K55" s="2014"/>
      <c r="L55" s="1399"/>
      <c r="M55" s="1391">
        <v>38646</v>
      </c>
      <c r="N55" s="1397" t="s">
        <v>8449</v>
      </c>
      <c r="O55" s="2025">
        <v>25</v>
      </c>
      <c r="P55" s="1399">
        <f t="shared" si="2"/>
        <v>0.58139534883720934</v>
      </c>
      <c r="Q55" s="1391"/>
      <c r="R55" s="1397"/>
      <c r="S55" s="2014"/>
      <c r="T55" s="1399"/>
      <c r="U55" s="1391"/>
      <c r="V55" s="1397"/>
      <c r="W55" s="2014"/>
      <c r="X55" s="1399"/>
      <c r="Y55" s="1391"/>
      <c r="Z55" s="1397"/>
      <c r="AA55" s="2014"/>
      <c r="AB55" s="1399"/>
      <c r="AC55" s="1391">
        <v>40117</v>
      </c>
      <c r="AD55" s="1397" t="s">
        <v>8513</v>
      </c>
      <c r="AE55" s="2014">
        <v>572</v>
      </c>
      <c r="AF55" s="1399"/>
      <c r="AG55" s="1391"/>
      <c r="AH55" s="1397"/>
      <c r="AI55" s="2014"/>
      <c r="AJ55" s="1399"/>
      <c r="AK55" s="1391"/>
      <c r="AL55" s="1397"/>
      <c r="AM55" s="2014"/>
      <c r="AN55" s="1399"/>
      <c r="AO55" s="1391">
        <v>41210</v>
      </c>
      <c r="AP55" s="1397" t="s">
        <v>781</v>
      </c>
      <c r="AQ55" s="2014">
        <v>50</v>
      </c>
      <c r="AR55" s="1399"/>
      <c r="AS55" s="1391">
        <v>41559</v>
      </c>
      <c r="AT55" s="1397" t="s">
        <v>8514</v>
      </c>
      <c r="AU55" s="2014">
        <v>6</v>
      </c>
      <c r="AV55" s="1399"/>
      <c r="AW55" s="1391">
        <v>41934</v>
      </c>
      <c r="AX55" s="1397" t="s">
        <v>1100</v>
      </c>
      <c r="AY55" s="2014">
        <v>15</v>
      </c>
      <c r="AZ55" s="1399"/>
      <c r="BA55" s="1391">
        <v>42292</v>
      </c>
      <c r="BB55" s="1397" t="s">
        <v>867</v>
      </c>
      <c r="BC55" s="2014">
        <v>31</v>
      </c>
      <c r="BD55" s="1399"/>
      <c r="BE55" s="1391">
        <v>42659</v>
      </c>
      <c r="BF55" s="1397" t="s">
        <v>8515</v>
      </c>
      <c r="BG55" s="2014">
        <v>14</v>
      </c>
      <c r="BH55" s="1399"/>
      <c r="BI55" s="1391">
        <v>43029</v>
      </c>
      <c r="BJ55" s="1397" t="s">
        <v>2226</v>
      </c>
      <c r="BK55" s="2014">
        <v>27</v>
      </c>
      <c r="BL55" s="1399"/>
      <c r="BM55" s="1391"/>
      <c r="BN55" s="1397"/>
      <c r="BO55" s="2014"/>
      <c r="BP55" s="1399"/>
      <c r="BQ55" s="1391">
        <v>43757</v>
      </c>
      <c r="BR55" s="1393" t="s">
        <v>873</v>
      </c>
      <c r="BS55" s="2023">
        <v>57</v>
      </c>
      <c r="BT55" s="1392" t="s">
        <v>414</v>
      </c>
      <c r="BU55" s="1391">
        <v>44115</v>
      </c>
      <c r="BV55" s="1393" t="s">
        <v>8516</v>
      </c>
      <c r="BW55" s="2023">
        <v>15</v>
      </c>
      <c r="BX55" s="1392" t="s">
        <v>280</v>
      </c>
      <c r="BY55" s="1391">
        <v>44483</v>
      </c>
      <c r="BZ55" s="1393" t="s">
        <v>8517</v>
      </c>
      <c r="CA55" s="2023">
        <v>0</v>
      </c>
      <c r="CB55" s="1392" t="s">
        <v>414</v>
      </c>
      <c r="CC55" s="1391">
        <v>44846</v>
      </c>
      <c r="CD55" s="1389" t="s">
        <v>8518</v>
      </c>
      <c r="CE55" s="2023">
        <v>26</v>
      </c>
      <c r="CF55" s="1392" t="s">
        <v>426</v>
      </c>
      <c r="CG55" s="1391">
        <v>45214</v>
      </c>
      <c r="CH55" s="1389" t="s">
        <v>8519</v>
      </c>
      <c r="CI55" s="2023">
        <v>12</v>
      </c>
      <c r="CJ55" s="1392" t="s">
        <v>700</v>
      </c>
      <c r="CK55" s="1391">
        <v>45578</v>
      </c>
      <c r="CL55" s="2005" t="s">
        <v>8520</v>
      </c>
      <c r="CM55" s="2009">
        <v>10</v>
      </c>
      <c r="CN55" s="1392" t="s">
        <v>414</v>
      </c>
    </row>
    <row r="56" spans="1:92" ht="14.25">
      <c r="A56" s="2011">
        <v>37552</v>
      </c>
      <c r="B56" s="1397" t="s">
        <v>410</v>
      </c>
      <c r="C56" s="2014"/>
      <c r="D56" s="1399">
        <v>33</v>
      </c>
      <c r="E56" s="1391"/>
      <c r="F56" s="1397"/>
      <c r="G56" s="2014"/>
      <c r="H56" s="1399"/>
      <c r="I56" s="1391"/>
      <c r="J56" s="1397"/>
      <c r="K56" s="2014"/>
      <c r="L56" s="1399"/>
      <c r="M56" s="1391">
        <v>38646</v>
      </c>
      <c r="N56" s="1397" t="s">
        <v>8521</v>
      </c>
      <c r="O56" s="2025">
        <v>15</v>
      </c>
      <c r="P56" s="1399">
        <f t="shared" si="2"/>
        <v>0.34883720930232559</v>
      </c>
      <c r="Q56" s="1391"/>
      <c r="R56" s="1397"/>
      <c r="S56" s="2014"/>
      <c r="T56" s="1399"/>
      <c r="U56" s="1391"/>
      <c r="V56" s="1397"/>
      <c r="W56" s="2014"/>
      <c r="X56" s="1399"/>
      <c r="Y56" s="1391"/>
      <c r="Z56" s="1397"/>
      <c r="AA56" s="2014"/>
      <c r="AB56" s="1399"/>
      <c r="AC56" s="1391"/>
      <c r="AD56" s="1397"/>
      <c r="AE56" s="2014"/>
      <c r="AF56" s="1399"/>
      <c r="AG56" s="1391"/>
      <c r="AH56" s="1397"/>
      <c r="AI56" s="2014"/>
      <c r="AJ56" s="1399"/>
      <c r="AK56" s="1391"/>
      <c r="AL56" s="1397"/>
      <c r="AM56" s="2014"/>
      <c r="AN56" s="1399"/>
      <c r="AO56" s="1391">
        <v>41213</v>
      </c>
      <c r="AP56" s="1397" t="s">
        <v>8522</v>
      </c>
      <c r="AQ56" s="2014">
        <v>17</v>
      </c>
      <c r="AR56" s="1399"/>
      <c r="AS56" s="1391">
        <v>41559</v>
      </c>
      <c r="AT56" s="1397" t="s">
        <v>8523</v>
      </c>
      <c r="AU56" s="2014">
        <v>12</v>
      </c>
      <c r="AV56" s="1399"/>
      <c r="AW56" s="1391">
        <v>41934</v>
      </c>
      <c r="AX56" s="1397" t="s">
        <v>802</v>
      </c>
      <c r="AY56" s="2014">
        <v>45</v>
      </c>
      <c r="AZ56" s="1399"/>
      <c r="BA56" s="1391">
        <v>42292</v>
      </c>
      <c r="BB56" s="1397" t="s">
        <v>8524</v>
      </c>
      <c r="BC56" s="2014">
        <v>127</v>
      </c>
      <c r="BD56" s="1399"/>
      <c r="BE56" s="1391">
        <v>42664</v>
      </c>
      <c r="BF56" s="1397" t="s">
        <v>823</v>
      </c>
      <c r="BG56" s="2014">
        <v>25</v>
      </c>
      <c r="BH56" s="1399"/>
      <c r="BI56" s="1391">
        <v>43030</v>
      </c>
      <c r="BJ56" s="1397" t="s">
        <v>8525</v>
      </c>
      <c r="BK56" s="2014">
        <v>7</v>
      </c>
      <c r="BL56" s="1399"/>
      <c r="BM56" s="1391"/>
      <c r="BN56" s="1397"/>
      <c r="BO56" s="2014"/>
      <c r="BP56" s="1399"/>
      <c r="BQ56" s="1391">
        <v>43757</v>
      </c>
      <c r="BR56" s="1393" t="s">
        <v>872</v>
      </c>
      <c r="BS56" s="2023">
        <v>20</v>
      </c>
      <c r="BT56" s="1392" t="s">
        <v>414</v>
      </c>
      <c r="BU56" s="1391">
        <v>44115</v>
      </c>
      <c r="BV56" s="1393" t="s">
        <v>8526</v>
      </c>
      <c r="BW56" s="2023">
        <v>13</v>
      </c>
      <c r="BX56" s="1392" t="s">
        <v>701</v>
      </c>
      <c r="BY56" s="1391">
        <v>44485</v>
      </c>
      <c r="BZ56" s="1389" t="s">
        <v>872</v>
      </c>
      <c r="CA56" s="2023">
        <v>21</v>
      </c>
      <c r="CB56" s="1392" t="s">
        <v>414</v>
      </c>
      <c r="CC56" s="1391">
        <v>44846</v>
      </c>
      <c r="CD56" s="1389" t="s">
        <v>8527</v>
      </c>
      <c r="CE56" s="2023">
        <v>38</v>
      </c>
      <c r="CF56" s="1392" t="s">
        <v>426</v>
      </c>
      <c r="CG56" s="1391">
        <v>45216</v>
      </c>
      <c r="CH56" s="1389" t="s">
        <v>797</v>
      </c>
      <c r="CI56" s="2023">
        <v>82</v>
      </c>
      <c r="CJ56" s="1392" t="s">
        <v>410</v>
      </c>
      <c r="CK56" s="1391">
        <v>45578</v>
      </c>
      <c r="CL56" s="2005" t="s">
        <v>8528</v>
      </c>
      <c r="CM56" s="2009">
        <v>8</v>
      </c>
      <c r="CN56" s="1392" t="s">
        <v>414</v>
      </c>
    </row>
    <row r="57" spans="1:92" ht="14.25">
      <c r="A57" s="2011">
        <v>37555</v>
      </c>
      <c r="B57" s="1397" t="s">
        <v>410</v>
      </c>
      <c r="C57" s="2014">
        <v>22</v>
      </c>
      <c r="D57" s="1399"/>
      <c r="E57" s="1391"/>
      <c r="F57" s="1397"/>
      <c r="G57" s="2014"/>
      <c r="H57" s="1399"/>
      <c r="I57" s="1391"/>
      <c r="J57" s="1397"/>
      <c r="K57" s="2014"/>
      <c r="L57" s="1399"/>
      <c r="M57" s="1391">
        <v>38646</v>
      </c>
      <c r="N57" s="1397" t="s">
        <v>8529</v>
      </c>
      <c r="O57" s="2025">
        <v>700</v>
      </c>
      <c r="P57" s="1399">
        <f t="shared" si="2"/>
        <v>16.279069767441861</v>
      </c>
      <c r="Q57" s="1391"/>
      <c r="R57" s="1397"/>
      <c r="S57" s="2014"/>
      <c r="T57" s="1399"/>
      <c r="U57" s="1391"/>
      <c r="V57" s="1397"/>
      <c r="W57" s="2014"/>
      <c r="X57" s="1399"/>
      <c r="Y57" s="1391"/>
      <c r="Z57" s="1397"/>
      <c r="AA57" s="2014"/>
      <c r="AB57" s="1399"/>
      <c r="AC57" s="1391"/>
      <c r="AD57" s="1397"/>
      <c r="AE57" s="2014"/>
      <c r="AF57" s="1399"/>
      <c r="AG57" s="1391"/>
      <c r="AH57" s="1397"/>
      <c r="AI57" s="2014"/>
      <c r="AJ57" s="1399"/>
      <c r="AK57" s="1391"/>
      <c r="AL57" s="1397"/>
      <c r="AM57" s="2014"/>
      <c r="AN57" s="1399"/>
      <c r="AO57" s="1391"/>
      <c r="AP57" s="1397"/>
      <c r="AQ57" s="2014"/>
      <c r="AR57" s="1399"/>
      <c r="AS57" s="1391">
        <v>41559</v>
      </c>
      <c r="AT57" s="1397" t="s">
        <v>8530</v>
      </c>
      <c r="AU57" s="2014">
        <v>10</v>
      </c>
      <c r="AV57" s="1399"/>
      <c r="AW57" s="1391">
        <v>41934</v>
      </c>
      <c r="AX57" s="1397" t="s">
        <v>781</v>
      </c>
      <c r="AY57" s="2014">
        <v>60</v>
      </c>
      <c r="AZ57" s="1399"/>
      <c r="BA57" s="1391">
        <v>42293</v>
      </c>
      <c r="BB57" s="1397" t="s">
        <v>754</v>
      </c>
      <c r="BC57" s="2014">
        <v>90</v>
      </c>
      <c r="BD57" s="1399"/>
      <c r="BE57" s="1391">
        <v>42664</v>
      </c>
      <c r="BF57" s="1393" t="s">
        <v>872</v>
      </c>
      <c r="BG57" s="2014">
        <v>14</v>
      </c>
      <c r="BH57" s="1399"/>
      <c r="BI57" s="1391">
        <v>43030</v>
      </c>
      <c r="BJ57" s="1397" t="s">
        <v>6833</v>
      </c>
      <c r="BK57" s="2014">
        <v>28</v>
      </c>
      <c r="BL57" s="1399"/>
      <c r="BM57" s="1391"/>
      <c r="BN57" s="1397"/>
      <c r="BO57" s="2014"/>
      <c r="BP57" s="1399"/>
      <c r="BQ57" s="1391">
        <v>43757</v>
      </c>
      <c r="BR57" s="1393" t="s">
        <v>772</v>
      </c>
      <c r="BS57" s="2023">
        <v>65</v>
      </c>
      <c r="BT57" s="1392" t="s">
        <v>414</v>
      </c>
      <c r="BU57" s="1391">
        <v>44115</v>
      </c>
      <c r="BV57" s="1393" t="s">
        <v>1231</v>
      </c>
      <c r="BW57" s="2023">
        <v>40</v>
      </c>
      <c r="BX57" s="1392" t="s">
        <v>414</v>
      </c>
      <c r="BY57" s="1391">
        <v>44485</v>
      </c>
      <c r="BZ57" s="1389" t="s">
        <v>843</v>
      </c>
      <c r="CA57" s="2023">
        <v>24</v>
      </c>
      <c r="CB57" s="1392" t="s">
        <v>414</v>
      </c>
      <c r="CC57" s="1391">
        <v>44846</v>
      </c>
      <c r="CD57" s="1389" t="s">
        <v>8531</v>
      </c>
      <c r="CE57" s="2023">
        <v>0</v>
      </c>
      <c r="CF57" s="1392" t="s">
        <v>280</v>
      </c>
      <c r="CG57" s="1391">
        <v>45219</v>
      </c>
      <c r="CH57" s="1389" t="s">
        <v>8532</v>
      </c>
      <c r="CI57" s="2023">
        <v>90</v>
      </c>
      <c r="CJ57" s="1392" t="s">
        <v>700</v>
      </c>
      <c r="CK57" s="1391">
        <v>45578</v>
      </c>
      <c r="CL57" s="2005" t="s">
        <v>8533</v>
      </c>
      <c r="CM57" s="2009">
        <v>35</v>
      </c>
      <c r="CN57" s="1392" t="s">
        <v>426</v>
      </c>
    </row>
    <row r="58" spans="1:92" ht="14.25">
      <c r="A58" s="2011"/>
      <c r="B58" s="1397"/>
      <c r="C58" s="2014"/>
      <c r="D58" s="1399"/>
      <c r="E58" s="1391"/>
      <c r="F58" s="1397"/>
      <c r="G58" s="2014"/>
      <c r="H58" s="1399"/>
      <c r="I58" s="1391"/>
      <c r="J58" s="1397"/>
      <c r="K58" s="2014"/>
      <c r="L58" s="1399"/>
      <c r="M58" s="1391">
        <v>38652</v>
      </c>
      <c r="N58" s="1397" t="s">
        <v>8534</v>
      </c>
      <c r="O58" s="2023">
        <v>26</v>
      </c>
      <c r="P58" s="1408"/>
      <c r="Q58" s="1415" t="s">
        <v>477</v>
      </c>
      <c r="R58" s="1416"/>
      <c r="S58" s="2031">
        <f>SUM(S4:S57)</f>
        <v>1051</v>
      </c>
      <c r="T58" s="2031">
        <f>SUM(T4:T57)</f>
        <v>0</v>
      </c>
      <c r="U58" s="1415" t="s">
        <v>477</v>
      </c>
      <c r="V58" s="1416"/>
      <c r="W58" s="2031">
        <f>SUM(W4:W57)</f>
        <v>2283</v>
      </c>
      <c r="X58" s="2031">
        <f>SUM(X4:X57)</f>
        <v>0</v>
      </c>
      <c r="Y58" s="1415" t="s">
        <v>477</v>
      </c>
      <c r="Z58" s="1416"/>
      <c r="AA58" s="2031">
        <f>SUM(AA4:AA57)</f>
        <v>1584</v>
      </c>
      <c r="AB58" s="2031">
        <f>SUM(AB4:AB57)</f>
        <v>0</v>
      </c>
      <c r="AC58" s="1415" t="s">
        <v>477</v>
      </c>
      <c r="AD58" s="1416"/>
      <c r="AE58" s="2031">
        <f>SUM(AE4:AE57)</f>
        <v>2777</v>
      </c>
      <c r="AF58" s="2031">
        <f>SUM(AF4:AF57)</f>
        <v>0</v>
      </c>
      <c r="AG58" s="1415" t="s">
        <v>477</v>
      </c>
      <c r="AH58" s="1416"/>
      <c r="AI58" s="2031">
        <f>SUM(AI4:AI57)</f>
        <v>986</v>
      </c>
      <c r="AJ58" s="2031">
        <f>SUM(AJ4:AJ57)</f>
        <v>0</v>
      </c>
      <c r="AK58" s="1415" t="s">
        <v>477</v>
      </c>
      <c r="AL58" s="1416"/>
      <c r="AM58" s="2031">
        <f>SUM(AM4:AM57)</f>
        <v>2115</v>
      </c>
      <c r="AN58" s="2031">
        <f>SUM(AN4:AN57)</f>
        <v>0</v>
      </c>
      <c r="AO58" s="1415" t="s">
        <v>477</v>
      </c>
      <c r="AP58" s="1416"/>
      <c r="AQ58" s="2031">
        <f>SUM(AQ4:AQ57)</f>
        <v>2630</v>
      </c>
      <c r="AR58" s="2031">
        <f>SUM(AR4:AR57)</f>
        <v>0</v>
      </c>
      <c r="AS58" s="1391">
        <v>41559</v>
      </c>
      <c r="AT58" s="1397" t="s">
        <v>8385</v>
      </c>
      <c r="AU58" s="2014">
        <v>35</v>
      </c>
      <c r="AV58" s="1399"/>
      <c r="AW58" s="1391">
        <v>41936</v>
      </c>
      <c r="AX58" s="1397" t="s">
        <v>8535</v>
      </c>
      <c r="AY58" s="2014">
        <v>43</v>
      </c>
      <c r="AZ58" s="1399"/>
      <c r="BA58" s="1391">
        <v>42293</v>
      </c>
      <c r="BB58" s="1397" t="s">
        <v>805</v>
      </c>
      <c r="BC58" s="2014">
        <v>15</v>
      </c>
      <c r="BD58" s="1399"/>
      <c r="BE58" s="1391">
        <v>42665</v>
      </c>
      <c r="BF58" s="2032" t="s">
        <v>8536</v>
      </c>
      <c r="BG58" s="2014">
        <v>12</v>
      </c>
      <c r="BH58" s="1399"/>
      <c r="BI58" s="1391">
        <v>43030</v>
      </c>
      <c r="BJ58" s="1397" t="s">
        <v>8537</v>
      </c>
      <c r="BK58" s="2014">
        <v>17</v>
      </c>
      <c r="BL58" s="1399"/>
      <c r="BM58" s="1391"/>
      <c r="BN58" s="1397"/>
      <c r="BO58" s="2014"/>
      <c r="BP58" s="1399"/>
      <c r="BQ58" s="1391">
        <v>43758</v>
      </c>
      <c r="BR58" s="1393" t="s">
        <v>8538</v>
      </c>
      <c r="BS58" s="2023"/>
      <c r="BT58" s="1399"/>
      <c r="BU58" s="1391">
        <v>44115</v>
      </c>
      <c r="BV58" s="1393" t="s">
        <v>8539</v>
      </c>
      <c r="BW58" s="2023">
        <v>15</v>
      </c>
      <c r="BX58" s="1392" t="s">
        <v>700</v>
      </c>
      <c r="BY58" s="1391">
        <v>44485</v>
      </c>
      <c r="BZ58" s="1389" t="s">
        <v>4372</v>
      </c>
      <c r="CA58" s="2023">
        <v>0</v>
      </c>
      <c r="CB58" s="1392" t="s">
        <v>414</v>
      </c>
      <c r="CC58" s="1391">
        <v>44847</v>
      </c>
      <c r="CD58" s="1393" t="s">
        <v>8540</v>
      </c>
      <c r="CE58" s="2023">
        <v>30</v>
      </c>
      <c r="CF58" s="1392" t="s">
        <v>414</v>
      </c>
      <c r="CG58" s="1391">
        <v>45219</v>
      </c>
      <c r="CH58" s="1389" t="s">
        <v>8541</v>
      </c>
      <c r="CI58" s="2023">
        <v>25</v>
      </c>
      <c r="CJ58" s="1392" t="s">
        <v>280</v>
      </c>
      <c r="CK58" s="1391">
        <v>45578</v>
      </c>
      <c r="CL58" s="2005" t="s">
        <v>1006</v>
      </c>
      <c r="CM58" s="2009">
        <v>75</v>
      </c>
      <c r="CN58" s="1392" t="s">
        <v>700</v>
      </c>
    </row>
    <row r="59" spans="1:92" ht="14.25">
      <c r="A59" s="2011"/>
      <c r="B59" s="1397"/>
      <c r="C59" s="2014"/>
      <c r="D59" s="1399"/>
      <c r="E59" s="1391"/>
      <c r="F59" s="1397"/>
      <c r="G59" s="2014"/>
      <c r="H59" s="1399"/>
      <c r="I59" s="1391"/>
      <c r="J59" s="1397"/>
      <c r="K59" s="2014"/>
      <c r="L59" s="1399"/>
      <c r="M59" s="1391">
        <v>38653</v>
      </c>
      <c r="N59" s="1397" t="s">
        <v>8542</v>
      </c>
      <c r="O59" s="2023">
        <v>14</v>
      </c>
      <c r="P59" s="1408"/>
      <c r="Q59" s="1419" t="s">
        <v>1672</v>
      </c>
      <c r="R59" s="1420"/>
      <c r="S59" s="2033"/>
      <c r="T59" s="2034"/>
      <c r="U59" s="1419" t="s">
        <v>1672</v>
      </c>
      <c r="V59" s="1420"/>
      <c r="W59" s="2033"/>
      <c r="X59" s="2034"/>
      <c r="Y59" s="1419" t="s">
        <v>1672</v>
      </c>
      <c r="Z59" s="1420"/>
      <c r="AA59" s="2033"/>
      <c r="AB59" s="2034"/>
      <c r="AC59" s="1419" t="s">
        <v>1672</v>
      </c>
      <c r="AD59" s="1420"/>
      <c r="AE59" s="2033"/>
      <c r="AF59" s="2034"/>
      <c r="AG59" s="1419" t="s">
        <v>1672</v>
      </c>
      <c r="AH59" s="1420"/>
      <c r="AI59" s="2033"/>
      <c r="AJ59" s="2034"/>
      <c r="AK59" s="1419" t="s">
        <v>1672</v>
      </c>
      <c r="AL59" s="1420"/>
      <c r="AM59" s="2033"/>
      <c r="AN59" s="2034"/>
      <c r="AO59" s="1419" t="s">
        <v>1672</v>
      </c>
      <c r="AP59" s="1420"/>
      <c r="AQ59" s="2033"/>
      <c r="AR59" s="2034"/>
      <c r="AS59" s="1391">
        <v>41560</v>
      </c>
      <c r="AT59" s="1397" t="s">
        <v>754</v>
      </c>
      <c r="AU59" s="2014">
        <v>60</v>
      </c>
      <c r="AV59" s="1399"/>
      <c r="AW59" s="1391">
        <v>41937</v>
      </c>
      <c r="AX59" s="1397" t="s">
        <v>772</v>
      </c>
      <c r="AY59" s="2014">
        <v>45</v>
      </c>
      <c r="AZ59" s="1399"/>
      <c r="BA59" s="1391">
        <v>42294</v>
      </c>
      <c r="BB59" s="1393" t="s">
        <v>8363</v>
      </c>
      <c r="BC59" s="2014">
        <f>SUM(BC61:BC66)</f>
        <v>470</v>
      </c>
      <c r="BD59" s="1399"/>
      <c r="BE59" s="1391">
        <v>42665</v>
      </c>
      <c r="BF59" s="2029" t="s">
        <v>867</v>
      </c>
      <c r="BG59" s="2014">
        <v>38</v>
      </c>
      <c r="BH59" s="1399"/>
      <c r="BI59" s="1391">
        <v>43030</v>
      </c>
      <c r="BJ59" s="1397" t="s">
        <v>4571</v>
      </c>
      <c r="BK59" s="2014">
        <v>5</v>
      </c>
      <c r="BL59" s="1399"/>
      <c r="BM59" s="1391"/>
      <c r="BN59" s="1397"/>
      <c r="BO59" s="2014"/>
      <c r="BP59" s="1399"/>
      <c r="BQ59" s="1391">
        <v>43758</v>
      </c>
      <c r="BR59" s="1393" t="s">
        <v>5085</v>
      </c>
      <c r="BS59" s="2023">
        <v>20</v>
      </c>
      <c r="BT59" s="1392" t="s">
        <v>458</v>
      </c>
      <c r="BU59" s="1391">
        <v>44115</v>
      </c>
      <c r="BV59" s="1393" t="s">
        <v>8543</v>
      </c>
      <c r="BW59" s="2023">
        <v>21</v>
      </c>
      <c r="BX59" s="1392" t="s">
        <v>700</v>
      </c>
      <c r="BY59" s="1391">
        <v>44485</v>
      </c>
      <c r="BZ59" s="1389" t="s">
        <v>845</v>
      </c>
      <c r="CA59" s="2023">
        <v>57</v>
      </c>
      <c r="CB59" s="1392" t="s">
        <v>414</v>
      </c>
      <c r="CC59" s="1391">
        <v>44847</v>
      </c>
      <c r="CD59" s="1393" t="s">
        <v>1053</v>
      </c>
      <c r="CE59" s="2023">
        <v>60</v>
      </c>
      <c r="CF59" s="1392" t="s">
        <v>414</v>
      </c>
      <c r="CG59" s="1391">
        <v>45219</v>
      </c>
      <c r="CH59" s="1393" t="s">
        <v>8544</v>
      </c>
      <c r="CI59" s="2023">
        <v>35</v>
      </c>
      <c r="CJ59" s="1392" t="s">
        <v>700</v>
      </c>
      <c r="CK59" s="1391">
        <v>45578</v>
      </c>
      <c r="CL59" s="2005" t="s">
        <v>8424</v>
      </c>
      <c r="CM59" s="2009">
        <v>15</v>
      </c>
      <c r="CN59" s="1392" t="s">
        <v>280</v>
      </c>
    </row>
    <row r="60" spans="1:92" ht="14.25">
      <c r="A60" s="2011"/>
      <c r="B60" s="1397"/>
      <c r="C60" s="2014"/>
      <c r="D60" s="1399"/>
      <c r="E60" s="1391"/>
      <c r="F60" s="1397"/>
      <c r="G60" s="2014"/>
      <c r="H60" s="1399"/>
      <c r="I60" s="1391"/>
      <c r="J60" s="1397"/>
      <c r="K60" s="2014"/>
      <c r="L60" s="1399"/>
      <c r="M60" s="1391">
        <v>38653</v>
      </c>
      <c r="N60" s="1397" t="s">
        <v>8545</v>
      </c>
      <c r="O60" s="2023">
        <v>30</v>
      </c>
      <c r="P60" s="1408"/>
      <c r="Q60" s="1423" t="s">
        <v>138</v>
      </c>
      <c r="R60" s="1424"/>
      <c r="S60" s="2035">
        <f>SUM(S58,T58)</f>
        <v>1051</v>
      </c>
      <c r="T60" s="2036"/>
      <c r="U60" s="1423" t="s">
        <v>138</v>
      </c>
      <c r="V60" s="1424"/>
      <c r="W60" s="2035">
        <f>SUM(W58,X58)</f>
        <v>2283</v>
      </c>
      <c r="X60" s="2036"/>
      <c r="Y60" s="1423" t="s">
        <v>138</v>
      </c>
      <c r="Z60" s="1424"/>
      <c r="AA60" s="2035">
        <f>SUM(AA58,AB58)</f>
        <v>1584</v>
      </c>
      <c r="AB60" s="2036"/>
      <c r="AC60" s="1423" t="s">
        <v>138</v>
      </c>
      <c r="AD60" s="1424"/>
      <c r="AE60" s="2035">
        <f>SUM(AE58,AF58)</f>
        <v>2777</v>
      </c>
      <c r="AF60" s="2036"/>
      <c r="AG60" s="1430"/>
      <c r="AH60" s="1430"/>
      <c r="AI60" s="1430"/>
      <c r="AJ60" s="1430"/>
      <c r="AK60" s="1430"/>
      <c r="AL60" s="1430"/>
      <c r="AM60" s="1430"/>
      <c r="AN60" s="1430"/>
      <c r="AO60" s="1430"/>
      <c r="AP60" s="1430"/>
      <c r="AQ60" s="1430"/>
      <c r="AR60" s="1430"/>
      <c r="AS60" s="1391">
        <v>41560</v>
      </c>
      <c r="AT60" s="1397" t="s">
        <v>772</v>
      </c>
      <c r="AU60" s="2014">
        <v>71</v>
      </c>
      <c r="AV60" s="1399"/>
      <c r="AW60" s="1391">
        <v>41937</v>
      </c>
      <c r="AX60" s="1397" t="s">
        <v>754</v>
      </c>
      <c r="AY60" s="2014">
        <v>55</v>
      </c>
      <c r="AZ60" s="1399"/>
      <c r="BA60" s="1391">
        <v>42294</v>
      </c>
      <c r="BB60" s="2032" t="s">
        <v>8546</v>
      </c>
      <c r="BC60" s="2014">
        <v>110</v>
      </c>
      <c r="BD60" s="1399"/>
      <c r="BE60" s="1391">
        <v>42665</v>
      </c>
      <c r="BF60" s="2029" t="s">
        <v>1180</v>
      </c>
      <c r="BG60" s="2014">
        <v>65</v>
      </c>
      <c r="BH60" s="1399"/>
      <c r="BI60" s="1391">
        <v>43030</v>
      </c>
      <c r="BJ60" s="1397" t="s">
        <v>8547</v>
      </c>
      <c r="BK60" s="2014">
        <v>8</v>
      </c>
      <c r="BL60" s="1399"/>
      <c r="BM60" s="1391"/>
      <c r="BN60" s="1397"/>
      <c r="BO60" s="2014"/>
      <c r="BP60" s="1399"/>
      <c r="BQ60" s="1391">
        <v>43758</v>
      </c>
      <c r="BR60" s="1393" t="s">
        <v>853</v>
      </c>
      <c r="BS60" s="2023">
        <v>25</v>
      </c>
      <c r="BT60" s="1392" t="s">
        <v>278</v>
      </c>
      <c r="BU60" s="1391">
        <v>44115</v>
      </c>
      <c r="BV60" s="1393" t="s">
        <v>8548</v>
      </c>
      <c r="BW60" s="2023">
        <v>75</v>
      </c>
      <c r="BX60" s="1392" t="s">
        <v>280</v>
      </c>
      <c r="BY60" s="1391">
        <v>44485</v>
      </c>
      <c r="BZ60" s="1389" t="s">
        <v>772</v>
      </c>
      <c r="CA60" s="2023">
        <v>44</v>
      </c>
      <c r="CB60" s="1392" t="s">
        <v>414</v>
      </c>
      <c r="CC60" s="1391">
        <v>44847</v>
      </c>
      <c r="CD60" s="1393" t="s">
        <v>7731</v>
      </c>
      <c r="CE60" s="2023">
        <v>10</v>
      </c>
      <c r="CF60" s="1392" t="s">
        <v>692</v>
      </c>
      <c r="CG60" s="1391">
        <v>45220</v>
      </c>
      <c r="CH60" s="1393" t="s">
        <v>8549</v>
      </c>
      <c r="CI60" s="2023">
        <v>58</v>
      </c>
      <c r="CJ60" s="1392" t="s">
        <v>414</v>
      </c>
      <c r="CK60" s="1391">
        <v>45583</v>
      </c>
      <c r="CL60" s="2005" t="s">
        <v>845</v>
      </c>
      <c r="CM60" s="2009">
        <v>28</v>
      </c>
      <c r="CN60" s="1392" t="s">
        <v>414</v>
      </c>
    </row>
    <row r="61" spans="1:92" ht="14.25">
      <c r="A61" s="2011"/>
      <c r="B61" s="1397"/>
      <c r="C61" s="2014"/>
      <c r="D61" s="1399"/>
      <c r="E61" s="1391"/>
      <c r="F61" s="1397"/>
      <c r="G61" s="2014"/>
      <c r="H61" s="1399"/>
      <c r="I61" s="1391"/>
      <c r="J61" s="1397"/>
      <c r="K61" s="2014"/>
      <c r="L61" s="1399"/>
      <c r="M61" s="1391">
        <v>38653</v>
      </c>
      <c r="N61" s="1397" t="s">
        <v>8550</v>
      </c>
      <c r="O61" s="2023">
        <v>0</v>
      </c>
      <c r="P61" s="1408"/>
      <c r="Q61" s="1430"/>
      <c r="R61" s="1430"/>
      <c r="S61" s="1430"/>
      <c r="T61" s="1430"/>
      <c r="U61" s="1430"/>
      <c r="V61" s="1430"/>
      <c r="W61" s="1430"/>
      <c r="X61" s="1430"/>
      <c r="Y61" s="1430"/>
      <c r="Z61" s="1430"/>
      <c r="AA61" s="1430"/>
      <c r="AB61" s="1430"/>
      <c r="AC61" s="1430"/>
      <c r="AD61" s="1430"/>
      <c r="AE61" s="1430"/>
      <c r="AF61" s="1430"/>
      <c r="AG61" s="1430"/>
      <c r="AH61" s="1430"/>
      <c r="AI61" s="1430"/>
      <c r="AJ61" s="1430"/>
      <c r="AK61" s="1430"/>
      <c r="AL61" s="1430"/>
      <c r="AM61" s="1430"/>
      <c r="AN61" s="1430"/>
      <c r="AO61" s="1430"/>
      <c r="AP61" s="1430"/>
      <c r="AQ61" s="1430"/>
      <c r="AR61" s="1430"/>
      <c r="AS61" s="1391">
        <v>41563</v>
      </c>
      <c r="AT61" s="1397" t="s">
        <v>8551</v>
      </c>
      <c r="AU61" s="2014">
        <v>2</v>
      </c>
      <c r="AV61" s="1399"/>
      <c r="AW61" s="1391">
        <v>41937</v>
      </c>
      <c r="AX61" s="1397" t="s">
        <v>8552</v>
      </c>
      <c r="AY61" s="2014">
        <v>2</v>
      </c>
      <c r="AZ61" s="1399"/>
      <c r="BA61" s="1391">
        <v>42294</v>
      </c>
      <c r="BB61" s="2029" t="s">
        <v>8553</v>
      </c>
      <c r="BC61" s="2014">
        <v>14</v>
      </c>
      <c r="BD61" s="1399"/>
      <c r="BE61" s="1391">
        <v>42666</v>
      </c>
      <c r="BF61" s="2029" t="s">
        <v>859</v>
      </c>
      <c r="BG61" s="2014">
        <v>4</v>
      </c>
      <c r="BH61" s="1399"/>
      <c r="BI61" s="1391">
        <v>43031</v>
      </c>
      <c r="BJ61" s="1397" t="s">
        <v>8554</v>
      </c>
      <c r="BK61" s="2014">
        <v>8</v>
      </c>
      <c r="BL61" s="1399"/>
      <c r="BM61" s="1391"/>
      <c r="BN61" s="1397"/>
      <c r="BO61" s="2014"/>
      <c r="BP61" s="1399"/>
      <c r="BQ61" s="1391">
        <v>43758</v>
      </c>
      <c r="BR61" s="1393" t="s">
        <v>8555</v>
      </c>
      <c r="BS61" s="2023">
        <v>14</v>
      </c>
      <c r="BT61" s="1392" t="s">
        <v>278</v>
      </c>
      <c r="BU61" s="1391">
        <v>44120</v>
      </c>
      <c r="BV61" s="1393" t="s">
        <v>8556</v>
      </c>
      <c r="BW61" s="2023">
        <v>41</v>
      </c>
      <c r="BX61" s="1392" t="s">
        <v>701</v>
      </c>
      <c r="BY61" s="1391">
        <v>44485</v>
      </c>
      <c r="BZ61" s="1393" t="s">
        <v>8557</v>
      </c>
      <c r="CA61" s="2023">
        <v>0</v>
      </c>
      <c r="CB61" s="1392" t="s">
        <v>280</v>
      </c>
      <c r="CC61" s="1391">
        <v>44847</v>
      </c>
      <c r="CD61" s="1393" t="s">
        <v>1693</v>
      </c>
      <c r="CE61" s="2023">
        <v>20</v>
      </c>
      <c r="CF61" s="1392" t="s">
        <v>414</v>
      </c>
      <c r="CG61" s="1391">
        <v>45220</v>
      </c>
      <c r="CH61" s="1393" t="s">
        <v>828</v>
      </c>
      <c r="CI61" s="2023">
        <v>7</v>
      </c>
      <c r="CJ61" s="1392" t="s">
        <v>414</v>
      </c>
      <c r="CK61" s="1391">
        <v>45584</v>
      </c>
      <c r="CL61" s="2005" t="s">
        <v>843</v>
      </c>
      <c r="CM61" s="2009">
        <v>42</v>
      </c>
      <c r="CN61" s="1392" t="s">
        <v>414</v>
      </c>
    </row>
    <row r="62" spans="1:92" ht="14.25">
      <c r="A62" s="2011"/>
      <c r="B62" s="1397"/>
      <c r="C62" s="2014"/>
      <c r="D62" s="1399"/>
      <c r="E62" s="1391"/>
      <c r="F62" s="1397"/>
      <c r="G62" s="2014"/>
      <c r="H62" s="1399"/>
      <c r="I62" s="1391"/>
      <c r="J62" s="1397"/>
      <c r="K62" s="2014"/>
      <c r="L62" s="1399"/>
      <c r="M62" s="1391">
        <v>38653</v>
      </c>
      <c r="N62" s="1397" t="s">
        <v>8558</v>
      </c>
      <c r="O62" s="2023">
        <v>10</v>
      </c>
      <c r="P62" s="1408"/>
      <c r="Q62" s="1430"/>
      <c r="R62" s="1430"/>
      <c r="S62" s="1430"/>
      <c r="T62" s="1430"/>
      <c r="U62" s="1430"/>
      <c r="V62" s="1430"/>
      <c r="W62" s="1430"/>
      <c r="X62" s="1430"/>
      <c r="Y62" s="1430"/>
      <c r="Z62" s="1430"/>
      <c r="AA62" s="1430"/>
      <c r="AB62" s="1430"/>
      <c r="AC62" s="1430"/>
      <c r="AD62" s="1430"/>
      <c r="AE62" s="1430"/>
      <c r="AF62" s="1430"/>
      <c r="AG62" s="1430"/>
      <c r="AH62" s="1430"/>
      <c r="AI62" s="1430"/>
      <c r="AJ62" s="1430"/>
      <c r="AK62" s="1430"/>
      <c r="AL62" s="1430"/>
      <c r="AM62" s="1430"/>
      <c r="AN62" s="1430"/>
      <c r="AO62" s="1430"/>
      <c r="AP62" s="1430"/>
      <c r="AQ62" s="1430"/>
      <c r="AR62" s="1430"/>
      <c r="AS62" s="1391">
        <v>41563</v>
      </c>
      <c r="AT62" s="1397" t="s">
        <v>886</v>
      </c>
      <c r="AU62" s="2014">
        <v>15</v>
      </c>
      <c r="AV62" s="1399"/>
      <c r="AW62" s="1391">
        <v>41937</v>
      </c>
      <c r="AX62" s="1397" t="s">
        <v>922</v>
      </c>
      <c r="AY62" s="2014">
        <v>5</v>
      </c>
      <c r="AZ62" s="1399"/>
      <c r="BA62" s="1391">
        <v>42294</v>
      </c>
      <c r="BB62" s="2029" t="s">
        <v>8410</v>
      </c>
      <c r="BC62" s="2014">
        <v>10</v>
      </c>
      <c r="BD62" s="1399"/>
      <c r="BE62" s="1391">
        <v>42671</v>
      </c>
      <c r="BF62" s="2029" t="s">
        <v>8559</v>
      </c>
      <c r="BG62" s="2014">
        <v>10</v>
      </c>
      <c r="BH62" s="1399"/>
      <c r="BI62" s="1391">
        <v>43033</v>
      </c>
      <c r="BJ62" s="1397" t="s">
        <v>8560</v>
      </c>
      <c r="BK62" s="2014">
        <v>20</v>
      </c>
      <c r="BL62" s="1399"/>
      <c r="BM62" s="1391"/>
      <c r="BN62" s="1397"/>
      <c r="BO62" s="2014"/>
      <c r="BP62" s="1399"/>
      <c r="BQ62" s="1391">
        <v>43759</v>
      </c>
      <c r="BR62" s="1393" t="s">
        <v>8561</v>
      </c>
      <c r="BS62" s="2023">
        <v>35</v>
      </c>
      <c r="BT62" s="1392" t="s">
        <v>414</v>
      </c>
      <c r="BU62" s="1391">
        <v>44120</v>
      </c>
      <c r="BV62" s="1393" t="s">
        <v>8562</v>
      </c>
      <c r="BW62" s="2023">
        <v>165</v>
      </c>
      <c r="BX62" s="1392" t="s">
        <v>701</v>
      </c>
      <c r="BY62" s="1391">
        <v>44485</v>
      </c>
      <c r="BZ62" s="1393" t="s">
        <v>8563</v>
      </c>
      <c r="CA62" s="2023">
        <v>12</v>
      </c>
      <c r="CB62" s="1392" t="s">
        <v>280</v>
      </c>
      <c r="CC62" s="1391">
        <v>44847</v>
      </c>
      <c r="CD62" s="1393" t="s">
        <v>2445</v>
      </c>
      <c r="CE62" s="2023">
        <v>34</v>
      </c>
      <c r="CF62" s="1392" t="s">
        <v>414</v>
      </c>
      <c r="CG62" s="1391">
        <v>45220</v>
      </c>
      <c r="CH62" s="1393" t="s">
        <v>843</v>
      </c>
      <c r="CI62" s="2023">
        <v>45</v>
      </c>
      <c r="CJ62" s="1392" t="s">
        <v>414</v>
      </c>
      <c r="CK62" s="1391">
        <v>45584</v>
      </c>
      <c r="CL62" s="2005" t="s">
        <v>772</v>
      </c>
      <c r="CM62" s="2009">
        <v>31</v>
      </c>
      <c r="CN62" s="1392" t="s">
        <v>414</v>
      </c>
    </row>
    <row r="63" spans="1:92" ht="14.25">
      <c r="A63" s="2011"/>
      <c r="B63" s="1397"/>
      <c r="C63" s="2014"/>
      <c r="D63" s="1399"/>
      <c r="E63" s="1391"/>
      <c r="F63" s="1397"/>
      <c r="G63" s="2014"/>
      <c r="H63" s="1399"/>
      <c r="I63" s="1391"/>
      <c r="J63" s="1397"/>
      <c r="K63" s="2014"/>
      <c r="L63" s="1399"/>
      <c r="M63" s="1391">
        <v>38654</v>
      </c>
      <c r="N63" s="1397" t="s">
        <v>1157</v>
      </c>
      <c r="O63" s="2023">
        <v>75</v>
      </c>
      <c r="P63" s="1408"/>
      <c r="Q63" s="1430"/>
      <c r="R63" s="1430"/>
      <c r="S63" s="1430"/>
      <c r="T63" s="1430"/>
      <c r="U63" s="1430"/>
      <c r="V63" s="1430"/>
      <c r="W63" s="1430"/>
      <c r="X63" s="1430"/>
      <c r="Y63" s="1430"/>
      <c r="Z63" s="1430"/>
      <c r="AA63" s="1430"/>
      <c r="AB63" s="1430"/>
      <c r="AC63" s="1430"/>
      <c r="AD63" s="1430"/>
      <c r="AE63" s="1430"/>
      <c r="AF63" s="1430"/>
      <c r="AG63" s="1430"/>
      <c r="AH63" s="1430"/>
      <c r="AI63" s="1430"/>
      <c r="AJ63" s="1430"/>
      <c r="AK63" s="1430"/>
      <c r="AL63" s="1430"/>
      <c r="AM63" s="1430"/>
      <c r="AN63" s="1430"/>
      <c r="AO63" s="1430"/>
      <c r="AP63" s="1430"/>
      <c r="AQ63" s="1430"/>
      <c r="AR63" s="1430"/>
      <c r="AS63" s="1391">
        <v>41563</v>
      </c>
      <c r="AT63" s="1397" t="s">
        <v>787</v>
      </c>
      <c r="AU63" s="2014">
        <v>10</v>
      </c>
      <c r="AV63" s="1399"/>
      <c r="AW63" s="1391">
        <v>41937</v>
      </c>
      <c r="AX63" s="1397" t="s">
        <v>1944</v>
      </c>
      <c r="AY63" s="2014">
        <v>5</v>
      </c>
      <c r="AZ63" s="1399"/>
      <c r="BA63" s="1391">
        <v>42294</v>
      </c>
      <c r="BB63" s="2029" t="s">
        <v>4224</v>
      </c>
      <c r="BC63" s="2014">
        <v>67</v>
      </c>
      <c r="BD63" s="1399"/>
      <c r="BE63" s="1391">
        <v>42672</v>
      </c>
      <c r="BF63" s="2029" t="s">
        <v>823</v>
      </c>
      <c r="BG63" s="2014">
        <v>33</v>
      </c>
      <c r="BH63" s="1399"/>
      <c r="BI63" s="1391">
        <v>43033</v>
      </c>
      <c r="BJ63" s="1397" t="s">
        <v>823</v>
      </c>
      <c r="BK63" s="2014">
        <v>22</v>
      </c>
      <c r="BL63" s="1399"/>
      <c r="BM63" s="1391"/>
      <c r="BN63" s="1397"/>
      <c r="BO63" s="2014"/>
      <c r="BP63" s="1399"/>
      <c r="BQ63" s="1391">
        <v>43760</v>
      </c>
      <c r="BR63" s="1393" t="s">
        <v>8564</v>
      </c>
      <c r="BS63" s="2023">
        <v>25</v>
      </c>
      <c r="BT63" s="1392" t="s">
        <v>280</v>
      </c>
      <c r="BU63" s="1391">
        <v>44120</v>
      </c>
      <c r="BV63" s="1393" t="s">
        <v>8565</v>
      </c>
      <c r="BW63" s="2023">
        <v>21</v>
      </c>
      <c r="BX63" s="1392" t="s">
        <v>414</v>
      </c>
      <c r="BY63" s="1391">
        <v>44485</v>
      </c>
      <c r="BZ63" s="1393" t="s">
        <v>8163</v>
      </c>
      <c r="CA63" s="2023">
        <v>13</v>
      </c>
      <c r="CB63" s="1392" t="s">
        <v>414</v>
      </c>
      <c r="CC63" s="1391">
        <v>44847</v>
      </c>
      <c r="CD63" s="1393" t="s">
        <v>8040</v>
      </c>
      <c r="CE63" s="2023">
        <v>24</v>
      </c>
      <c r="CF63" s="1392" t="s">
        <v>414</v>
      </c>
      <c r="CG63" s="1391">
        <v>45220</v>
      </c>
      <c r="CH63" s="1393" t="s">
        <v>8566</v>
      </c>
      <c r="CI63" s="2023">
        <v>77</v>
      </c>
      <c r="CJ63" s="1392" t="s">
        <v>414</v>
      </c>
      <c r="CK63" s="1391">
        <v>45584</v>
      </c>
      <c r="CL63" s="2005" t="s">
        <v>8567</v>
      </c>
      <c r="CM63" s="2009">
        <v>20</v>
      </c>
      <c r="CN63" s="1392" t="s">
        <v>280</v>
      </c>
    </row>
    <row r="64" spans="1:92" ht="14.25">
      <c r="A64" s="2011"/>
      <c r="B64" s="1397"/>
      <c r="C64" s="2014"/>
      <c r="D64" s="1399"/>
      <c r="E64" s="1391"/>
      <c r="F64" s="1397"/>
      <c r="G64" s="2014"/>
      <c r="H64" s="1399"/>
      <c r="I64" s="1391"/>
      <c r="J64" s="1397"/>
      <c r="K64" s="2014"/>
      <c r="L64" s="1399"/>
      <c r="M64" s="1391">
        <v>38654</v>
      </c>
      <c r="N64" s="1397" t="s">
        <v>8568</v>
      </c>
      <c r="O64" s="2023">
        <v>11</v>
      </c>
      <c r="P64" s="1408"/>
      <c r="Q64" s="1430"/>
      <c r="R64" s="1430"/>
      <c r="S64" s="1430"/>
      <c r="T64" s="1430"/>
      <c r="U64" s="1430"/>
      <c r="V64" s="1430"/>
      <c r="W64" s="1430"/>
      <c r="X64" s="1430"/>
      <c r="Y64" s="1430"/>
      <c r="Z64" s="1430"/>
      <c r="AA64" s="1430"/>
      <c r="AB64" s="1430"/>
      <c r="AC64" s="1430"/>
      <c r="AD64" s="1430"/>
      <c r="AE64" s="1430"/>
      <c r="AF64" s="1430"/>
      <c r="AG64" s="1430"/>
      <c r="AH64" s="1430"/>
      <c r="AI64" s="1430"/>
      <c r="AJ64" s="1430"/>
      <c r="AK64" s="1430"/>
      <c r="AL64" s="1430"/>
      <c r="AM64" s="1430"/>
      <c r="AN64" s="1430"/>
      <c r="AO64" s="1430"/>
      <c r="AP64" s="1430"/>
      <c r="AQ64" s="1430"/>
      <c r="AR64" s="1430"/>
      <c r="AS64" s="1391">
        <v>41564</v>
      </c>
      <c r="AT64" s="1397" t="s">
        <v>754</v>
      </c>
      <c r="AU64" s="2014">
        <v>6</v>
      </c>
      <c r="AV64" s="1399"/>
      <c r="AW64" s="1391">
        <v>41938</v>
      </c>
      <c r="AX64" s="1397" t="s">
        <v>6003</v>
      </c>
      <c r="AY64" s="2014">
        <v>11</v>
      </c>
      <c r="AZ64" s="1399"/>
      <c r="BA64" s="1391">
        <v>42294</v>
      </c>
      <c r="BB64" s="2029" t="s">
        <v>8431</v>
      </c>
      <c r="BC64" s="2014">
        <v>39</v>
      </c>
      <c r="BD64" s="1399"/>
      <c r="BE64" s="1391">
        <v>42672</v>
      </c>
      <c r="BF64" s="2029" t="s">
        <v>859</v>
      </c>
      <c r="BG64" s="2014">
        <v>27</v>
      </c>
      <c r="BH64" s="1399"/>
      <c r="BI64" s="1391">
        <v>43035</v>
      </c>
      <c r="BJ64" s="1397" t="s">
        <v>8569</v>
      </c>
      <c r="BK64" s="2014">
        <v>11</v>
      </c>
      <c r="BL64" s="1399"/>
      <c r="BM64" s="1391"/>
      <c r="BN64" s="1397"/>
      <c r="BO64" s="2014"/>
      <c r="BP64" s="1399"/>
      <c r="BQ64" s="1391">
        <v>43763</v>
      </c>
      <c r="BR64" s="1393" t="s">
        <v>1180</v>
      </c>
      <c r="BS64" s="2023">
        <v>93</v>
      </c>
      <c r="BT64" s="1392" t="s">
        <v>410</v>
      </c>
      <c r="BU64" s="1391">
        <v>44120</v>
      </c>
      <c r="BV64" s="1393" t="s">
        <v>1873</v>
      </c>
      <c r="BW64" s="2023">
        <v>57</v>
      </c>
      <c r="BX64" s="1392" t="s">
        <v>414</v>
      </c>
      <c r="BY64" s="1391">
        <v>44485</v>
      </c>
      <c r="BZ64" s="1393" t="s">
        <v>890</v>
      </c>
      <c r="CA64" s="2023">
        <v>45</v>
      </c>
      <c r="CB64" s="1392" t="s">
        <v>414</v>
      </c>
      <c r="CC64" s="1391">
        <v>44847</v>
      </c>
      <c r="CD64" s="1393" t="s">
        <v>8570</v>
      </c>
      <c r="CE64" s="2023">
        <v>18</v>
      </c>
      <c r="CF64" s="1392" t="s">
        <v>414</v>
      </c>
      <c r="CG64" s="1391">
        <v>45220</v>
      </c>
      <c r="CH64" s="1393" t="s">
        <v>772</v>
      </c>
      <c r="CI64" s="2023">
        <v>90</v>
      </c>
      <c r="CJ64" s="1392" t="s">
        <v>414</v>
      </c>
      <c r="CK64" s="1391">
        <v>45584</v>
      </c>
      <c r="CL64" s="2005" t="s">
        <v>8571</v>
      </c>
      <c r="CM64" s="2009">
        <v>160</v>
      </c>
      <c r="CN64" s="1392" t="s">
        <v>689</v>
      </c>
    </row>
    <row r="65" spans="1:92" ht="14.25">
      <c r="A65" s="2011"/>
      <c r="B65" s="1397"/>
      <c r="C65" s="2014"/>
      <c r="D65" s="1399"/>
      <c r="E65" s="1391"/>
      <c r="F65" s="1397"/>
      <c r="G65" s="2014"/>
      <c r="H65" s="1399"/>
      <c r="I65" s="1391"/>
      <c r="J65" s="1397"/>
      <c r="K65" s="2014"/>
      <c r="L65" s="1399"/>
      <c r="M65" s="1391">
        <v>38654</v>
      </c>
      <c r="N65" s="1397" t="s">
        <v>8572</v>
      </c>
      <c r="O65" s="2023">
        <v>10</v>
      </c>
      <c r="P65" s="1408"/>
      <c r="Q65" s="1430"/>
      <c r="R65" s="1430"/>
      <c r="S65" s="1430"/>
      <c r="T65" s="1430"/>
      <c r="U65" s="1430"/>
      <c r="V65" s="1430"/>
      <c r="W65" s="1430"/>
      <c r="X65" s="1430"/>
      <c r="Y65" s="1430"/>
      <c r="Z65" s="1430"/>
      <c r="AA65" s="1430"/>
      <c r="AB65" s="1430"/>
      <c r="AC65" s="1430"/>
      <c r="AD65" s="1430"/>
      <c r="AE65" s="1430"/>
      <c r="AF65" s="1430"/>
      <c r="AG65" s="1430"/>
      <c r="AH65" s="1430"/>
      <c r="AI65" s="1430"/>
      <c r="AJ65" s="1430"/>
      <c r="AK65" s="1430"/>
      <c r="AL65" s="1430"/>
      <c r="AM65" s="1430"/>
      <c r="AN65" s="1430"/>
      <c r="AO65" s="1430"/>
      <c r="AP65" s="1430"/>
      <c r="AQ65" s="1430"/>
      <c r="AR65" s="1430"/>
      <c r="AS65" s="1391">
        <v>41564</v>
      </c>
      <c r="AT65" s="1397" t="s">
        <v>8573</v>
      </c>
      <c r="AU65" s="2014">
        <v>150</v>
      </c>
      <c r="AV65" s="1399"/>
      <c r="AW65" s="1391">
        <v>41938</v>
      </c>
      <c r="AX65" s="1397" t="s">
        <v>8574</v>
      </c>
      <c r="AY65" s="2014">
        <v>35</v>
      </c>
      <c r="AZ65" s="1399"/>
      <c r="BA65" s="1391">
        <v>42294</v>
      </c>
      <c r="BB65" s="2029" t="s">
        <v>6125</v>
      </c>
      <c r="BC65" s="2014">
        <v>15</v>
      </c>
      <c r="BD65" s="1399"/>
      <c r="BE65" s="1391">
        <v>42672</v>
      </c>
      <c r="BF65" s="2029" t="s">
        <v>8398</v>
      </c>
      <c r="BG65" s="2014">
        <v>21</v>
      </c>
      <c r="BH65" s="1399"/>
      <c r="BI65" s="1391">
        <v>43036</v>
      </c>
      <c r="BJ65" s="1397" t="s">
        <v>859</v>
      </c>
      <c r="BK65" s="2014">
        <v>15</v>
      </c>
      <c r="BL65" s="1399"/>
      <c r="BM65" s="1391"/>
      <c r="BN65" s="2029"/>
      <c r="BO65" s="2014"/>
      <c r="BP65" s="1399"/>
      <c r="BQ65" s="1391">
        <v>43763</v>
      </c>
      <c r="BR65" s="1393" t="s">
        <v>8575</v>
      </c>
      <c r="BS65" s="2023">
        <v>12</v>
      </c>
      <c r="BT65" s="1392" t="s">
        <v>278</v>
      </c>
      <c r="BU65" s="1391">
        <v>44120</v>
      </c>
      <c r="BV65" s="1393" t="s">
        <v>8576</v>
      </c>
      <c r="BW65" s="2023">
        <v>16</v>
      </c>
      <c r="BX65" s="1392" t="s">
        <v>414</v>
      </c>
      <c r="BY65" s="1391">
        <v>44485</v>
      </c>
      <c r="BZ65" s="1393" t="s">
        <v>8577</v>
      </c>
      <c r="CA65" s="2023">
        <v>12</v>
      </c>
      <c r="CB65" s="1392" t="s">
        <v>414</v>
      </c>
      <c r="CC65" s="1391">
        <v>44847</v>
      </c>
      <c r="CD65" s="1393" t="s">
        <v>8578</v>
      </c>
      <c r="CE65" s="2023">
        <v>30</v>
      </c>
      <c r="CF65" s="1392" t="s">
        <v>693</v>
      </c>
      <c r="CG65" s="1391">
        <v>45220</v>
      </c>
      <c r="CH65" s="1393" t="s">
        <v>1180</v>
      </c>
      <c r="CI65" s="2023">
        <v>125</v>
      </c>
      <c r="CJ65" s="1392" t="s">
        <v>410</v>
      </c>
      <c r="CK65" s="1391">
        <v>45584</v>
      </c>
      <c r="CL65" s="2037" t="s">
        <v>2079</v>
      </c>
      <c r="CM65" s="2009">
        <v>10</v>
      </c>
      <c r="CN65" s="1392" t="s">
        <v>414</v>
      </c>
    </row>
    <row r="66" spans="1:92" ht="14.25">
      <c r="A66" s="2011"/>
      <c r="B66" s="1397"/>
      <c r="C66" s="2014"/>
      <c r="D66" s="1399"/>
      <c r="E66" s="1391"/>
      <c r="F66" s="1397"/>
      <c r="G66" s="2014"/>
      <c r="H66" s="1399"/>
      <c r="I66" s="1391"/>
      <c r="J66" s="1397"/>
      <c r="K66" s="2014"/>
      <c r="L66" s="1399"/>
      <c r="M66" s="1391">
        <v>38654</v>
      </c>
      <c r="N66" s="1397" t="s">
        <v>937</v>
      </c>
      <c r="O66" s="2023">
        <v>3</v>
      </c>
      <c r="P66" s="1408"/>
      <c r="Q66" s="1430"/>
      <c r="R66" s="1430"/>
      <c r="S66" s="1430"/>
      <c r="T66" s="1430"/>
      <c r="U66" s="1430"/>
      <c r="V66" s="1430"/>
      <c r="W66" s="1430"/>
      <c r="X66" s="1430"/>
      <c r="Y66" s="1430"/>
      <c r="Z66" s="1430"/>
      <c r="AA66" s="1430"/>
      <c r="AB66" s="1430"/>
      <c r="AC66" s="1430"/>
      <c r="AD66" s="1430"/>
      <c r="AE66" s="1430"/>
      <c r="AF66" s="1430"/>
      <c r="AG66" s="1430"/>
      <c r="AH66" s="1430"/>
      <c r="AI66" s="1430"/>
      <c r="AJ66" s="1430"/>
      <c r="AK66" s="1430"/>
      <c r="AL66" s="1430"/>
      <c r="AM66" s="1430"/>
      <c r="AN66" s="1430"/>
      <c r="AO66" s="1430"/>
      <c r="AP66" s="1430"/>
      <c r="AQ66" s="1430"/>
      <c r="AR66" s="1430"/>
      <c r="AS66" s="1391">
        <v>41564</v>
      </c>
      <c r="AT66" s="1397" t="s">
        <v>8579</v>
      </c>
      <c r="AU66" s="2014">
        <v>12</v>
      </c>
      <c r="AV66" s="1399"/>
      <c r="AW66" s="1391">
        <v>41939</v>
      </c>
      <c r="AX66" s="1397" t="s">
        <v>8580</v>
      </c>
      <c r="AY66" s="2014">
        <v>35</v>
      </c>
      <c r="AZ66" s="1399"/>
      <c r="BA66" s="1391">
        <v>42294</v>
      </c>
      <c r="BB66" s="2029" t="s">
        <v>8462</v>
      </c>
      <c r="BC66" s="2014">
        <v>325</v>
      </c>
      <c r="BD66" s="1399"/>
      <c r="BE66" s="1391">
        <v>42672</v>
      </c>
      <c r="BF66" s="2029" t="s">
        <v>872</v>
      </c>
      <c r="BG66" s="2014">
        <v>17</v>
      </c>
      <c r="BH66" s="1399"/>
      <c r="BI66" s="1391">
        <v>43037</v>
      </c>
      <c r="BJ66" s="2029" t="s">
        <v>872</v>
      </c>
      <c r="BK66" s="2014">
        <v>25</v>
      </c>
      <c r="BL66" s="1399"/>
      <c r="BM66" s="1391"/>
      <c r="BN66" s="2029"/>
      <c r="BO66" s="2014"/>
      <c r="BP66" s="1399"/>
      <c r="BQ66" s="1391">
        <v>43763</v>
      </c>
      <c r="BR66" s="1393" t="s">
        <v>873</v>
      </c>
      <c r="BS66" s="2023">
        <v>18</v>
      </c>
      <c r="BT66" s="1392" t="s">
        <v>414</v>
      </c>
      <c r="BU66" s="1391">
        <v>44120</v>
      </c>
      <c r="BV66" s="1393" t="s">
        <v>8581</v>
      </c>
      <c r="BW66" s="2023">
        <v>32</v>
      </c>
      <c r="BX66" s="1392" t="s">
        <v>701</v>
      </c>
      <c r="BY66" s="1391">
        <v>44485</v>
      </c>
      <c r="BZ66" s="1393" t="s">
        <v>8582</v>
      </c>
      <c r="CA66" s="2023">
        <v>12</v>
      </c>
      <c r="CB66" s="1392" t="s">
        <v>280</v>
      </c>
      <c r="CC66" s="1391">
        <v>44847</v>
      </c>
      <c r="CD66" s="1393" t="s">
        <v>8583</v>
      </c>
      <c r="CE66" s="2023">
        <v>38</v>
      </c>
      <c r="CF66" s="1392" t="s">
        <v>693</v>
      </c>
      <c r="CG66" s="1391">
        <v>45220</v>
      </c>
      <c r="CH66" s="1393" t="s">
        <v>797</v>
      </c>
      <c r="CI66" s="2023">
        <v>82</v>
      </c>
      <c r="CJ66" s="1392" t="s">
        <v>410</v>
      </c>
      <c r="CK66" s="1391">
        <v>45584</v>
      </c>
      <c r="CL66" s="2037" t="s">
        <v>8584</v>
      </c>
      <c r="CM66" s="2009">
        <v>250</v>
      </c>
      <c r="CN66" s="1392" t="s">
        <v>436</v>
      </c>
    </row>
    <row r="67" spans="1:92" ht="14.25">
      <c r="A67" s="2011"/>
      <c r="B67" s="1397"/>
      <c r="C67" s="2014"/>
      <c r="D67" s="1399"/>
      <c r="E67" s="1391"/>
      <c r="F67" s="1397"/>
      <c r="G67" s="2014"/>
      <c r="H67" s="1399"/>
      <c r="I67" s="1391"/>
      <c r="J67" s="1397"/>
      <c r="K67" s="2014"/>
      <c r="L67" s="1399"/>
      <c r="M67" s="1391">
        <v>38654</v>
      </c>
      <c r="N67" s="1397" t="s">
        <v>8585</v>
      </c>
      <c r="O67" s="2014">
        <v>12</v>
      </c>
      <c r="P67" s="1399"/>
      <c r="Q67" s="1430"/>
      <c r="R67" s="1430"/>
      <c r="S67" s="1430"/>
      <c r="T67" s="1430"/>
      <c r="U67" s="1430"/>
      <c r="V67" s="1430"/>
      <c r="W67" s="1430"/>
      <c r="X67" s="1430"/>
      <c r="Y67" s="1430"/>
      <c r="Z67" s="1430"/>
      <c r="AA67" s="1430"/>
      <c r="AB67" s="1430"/>
      <c r="AC67" s="1430"/>
      <c r="AD67" s="1430"/>
      <c r="AE67" s="1430"/>
      <c r="AF67" s="1430"/>
      <c r="AG67" s="1430"/>
      <c r="AH67" s="1430"/>
      <c r="AI67" s="1430"/>
      <c r="AJ67" s="1430"/>
      <c r="AK67" s="1430"/>
      <c r="AL67" s="1430"/>
      <c r="AM67" s="1430"/>
      <c r="AN67" s="1430"/>
      <c r="AO67" s="1430"/>
      <c r="AP67" s="1430"/>
      <c r="AQ67" s="1430"/>
      <c r="AR67" s="1430"/>
      <c r="AS67" s="1391">
        <v>41564</v>
      </c>
      <c r="AT67" s="1397" t="s">
        <v>802</v>
      </c>
      <c r="AU67" s="2014">
        <v>48</v>
      </c>
      <c r="AV67" s="1399"/>
      <c r="AW67" s="1391">
        <v>41942</v>
      </c>
      <c r="AX67" s="1397" t="s">
        <v>8586</v>
      </c>
      <c r="AY67" s="2014">
        <v>10</v>
      </c>
      <c r="AZ67" s="1399"/>
      <c r="BA67" s="1391">
        <v>42294</v>
      </c>
      <c r="BB67" s="1397" t="s">
        <v>8587</v>
      </c>
      <c r="BC67" s="2014">
        <v>325</v>
      </c>
      <c r="BD67" s="1399"/>
      <c r="BE67" s="1391">
        <v>42672</v>
      </c>
      <c r="BF67" s="2029" t="s">
        <v>797</v>
      </c>
      <c r="BG67" s="2014">
        <v>33</v>
      </c>
      <c r="BH67" s="1399"/>
      <c r="BI67" s="1391">
        <v>43039</v>
      </c>
      <c r="BJ67" s="2029" t="s">
        <v>781</v>
      </c>
      <c r="BK67" s="2014">
        <v>3</v>
      </c>
      <c r="BL67" s="1399"/>
      <c r="BM67" s="1391"/>
      <c r="BN67" s="2029"/>
      <c r="BO67" s="2014"/>
      <c r="BP67" s="1399"/>
      <c r="BQ67" s="1391">
        <v>43764</v>
      </c>
      <c r="BR67" s="1393" t="s">
        <v>872</v>
      </c>
      <c r="BS67" s="2023">
        <v>22</v>
      </c>
      <c r="BT67" s="1392" t="s">
        <v>414</v>
      </c>
      <c r="BU67" s="1391">
        <v>44120</v>
      </c>
      <c r="BV67" s="1393" t="s">
        <v>4633</v>
      </c>
      <c r="BW67" s="2023">
        <v>42</v>
      </c>
      <c r="BX67" s="1392" t="s">
        <v>700</v>
      </c>
      <c r="BY67" s="1391">
        <v>44485</v>
      </c>
      <c r="BZ67" s="1393" t="s">
        <v>8588</v>
      </c>
      <c r="CA67" s="2023">
        <v>0</v>
      </c>
      <c r="CB67" s="1392" t="s">
        <v>280</v>
      </c>
      <c r="CC67" s="1391">
        <v>44847</v>
      </c>
      <c r="CD67" s="1393" t="s">
        <v>1849</v>
      </c>
      <c r="CE67" s="2023">
        <v>12</v>
      </c>
      <c r="CF67" s="1392" t="s">
        <v>414</v>
      </c>
      <c r="CG67" s="1391">
        <v>45220</v>
      </c>
      <c r="CH67" s="1393" t="s">
        <v>8589</v>
      </c>
      <c r="CI67" s="2023">
        <v>125</v>
      </c>
      <c r="CJ67" s="1392" t="s">
        <v>689</v>
      </c>
      <c r="CK67" s="1391">
        <v>45585</v>
      </c>
      <c r="CL67" s="2037" t="s">
        <v>797</v>
      </c>
      <c r="CM67" s="2009">
        <v>73</v>
      </c>
      <c r="CN67" s="1392" t="s">
        <v>410</v>
      </c>
    </row>
    <row r="68" spans="1:92" ht="14.25">
      <c r="A68" s="2011"/>
      <c r="B68" s="1397"/>
      <c r="C68" s="2014"/>
      <c r="D68" s="1399"/>
      <c r="E68" s="1391"/>
      <c r="F68" s="1397"/>
      <c r="G68" s="2014"/>
      <c r="H68" s="1399"/>
      <c r="I68" s="1391"/>
      <c r="J68" s="1397"/>
      <c r="K68" s="2014"/>
      <c r="L68" s="1399"/>
      <c r="M68" s="1391">
        <v>38655</v>
      </c>
      <c r="N68" s="1397" t="s">
        <v>8590</v>
      </c>
      <c r="O68" s="2014">
        <v>65</v>
      </c>
      <c r="P68" s="1399"/>
      <c r="Q68" s="1430"/>
      <c r="R68" s="1430"/>
      <c r="S68" s="1430"/>
      <c r="T68" s="1430"/>
      <c r="U68" s="1430"/>
      <c r="V68" s="1430"/>
      <c r="W68" s="1430"/>
      <c r="X68" s="1430"/>
      <c r="Y68" s="1430"/>
      <c r="Z68" s="1430"/>
      <c r="AA68" s="1430"/>
      <c r="AB68" s="1430"/>
      <c r="AC68" s="1430"/>
      <c r="AD68" s="1430"/>
      <c r="AE68" s="1430"/>
      <c r="AF68" s="1430"/>
      <c r="AG68" s="1430"/>
      <c r="AH68" s="1430"/>
      <c r="AI68" s="1430"/>
      <c r="AJ68" s="1430"/>
      <c r="AK68" s="1430"/>
      <c r="AL68" s="1430"/>
      <c r="AM68" s="1430"/>
      <c r="AN68" s="1430"/>
      <c r="AO68" s="1430"/>
      <c r="AP68" s="1430"/>
      <c r="AQ68" s="1430"/>
      <c r="AR68" s="1430"/>
      <c r="AS68" s="1391">
        <v>41565</v>
      </c>
      <c r="AT68" s="1397" t="s">
        <v>797</v>
      </c>
      <c r="AU68" s="2014">
        <v>28</v>
      </c>
      <c r="AV68" s="1399"/>
      <c r="AW68" s="1391">
        <v>41942</v>
      </c>
      <c r="AX68" s="1397" t="s">
        <v>797</v>
      </c>
      <c r="AY68" s="2014">
        <v>49</v>
      </c>
      <c r="AZ68" s="1399"/>
      <c r="BA68" s="1391">
        <v>42294</v>
      </c>
      <c r="BB68" s="1397" t="s">
        <v>8591</v>
      </c>
      <c r="BC68" s="2014">
        <v>67</v>
      </c>
      <c r="BD68" s="1399"/>
      <c r="BE68" s="1391">
        <v>42673</v>
      </c>
      <c r="BF68" s="2029" t="s">
        <v>859</v>
      </c>
      <c r="BG68" s="2014">
        <v>8</v>
      </c>
      <c r="BH68" s="1399"/>
      <c r="BI68" s="1391"/>
      <c r="BJ68" s="2029"/>
      <c r="BK68" s="2014"/>
      <c r="BL68" s="1399"/>
      <c r="BM68" s="1391"/>
      <c r="BN68" s="2029"/>
      <c r="BO68" s="2014"/>
      <c r="BP68" s="1399"/>
      <c r="BQ68" s="1391">
        <v>43764</v>
      </c>
      <c r="BR68" s="1393" t="s">
        <v>797</v>
      </c>
      <c r="BS68" s="2023">
        <v>29</v>
      </c>
      <c r="BT68" s="1392" t="s">
        <v>410</v>
      </c>
      <c r="BU68" s="1391">
        <v>44120</v>
      </c>
      <c r="BV68" s="1393" t="s">
        <v>8592</v>
      </c>
      <c r="BW68" s="2023">
        <v>42</v>
      </c>
      <c r="BX68" s="1392" t="s">
        <v>414</v>
      </c>
      <c r="BY68" s="1391">
        <v>44485</v>
      </c>
      <c r="BZ68" s="1393" t="s">
        <v>8593</v>
      </c>
      <c r="CA68" s="2023">
        <v>0</v>
      </c>
      <c r="CB68" s="1392" t="s">
        <v>700</v>
      </c>
      <c r="CC68" s="1391">
        <v>44847</v>
      </c>
      <c r="CD68" s="1393" t="s">
        <v>2051</v>
      </c>
      <c r="CE68" s="2023">
        <v>21</v>
      </c>
      <c r="CF68" s="1392" t="s">
        <v>414</v>
      </c>
      <c r="CG68" s="1391">
        <v>45221</v>
      </c>
      <c r="CH68" s="1393" t="s">
        <v>890</v>
      </c>
      <c r="CI68" s="2023">
        <v>60</v>
      </c>
      <c r="CJ68" s="1392" t="s">
        <v>414</v>
      </c>
      <c r="CK68" s="1391">
        <v>45585</v>
      </c>
      <c r="CL68" s="2037" t="s">
        <v>8594</v>
      </c>
      <c r="CM68" s="2009">
        <v>900</v>
      </c>
      <c r="CN68" s="1392" t="s">
        <v>280</v>
      </c>
    </row>
    <row r="69" spans="1:92" ht="14.25">
      <c r="A69" s="2011"/>
      <c r="B69" s="1397"/>
      <c r="C69" s="2014"/>
      <c r="D69" s="1399"/>
      <c r="E69" s="1391"/>
      <c r="F69" s="1397"/>
      <c r="G69" s="2014"/>
      <c r="H69" s="1399"/>
      <c r="I69" s="1391"/>
      <c r="J69" s="1397"/>
      <c r="K69" s="2014"/>
      <c r="L69" s="1399"/>
      <c r="M69" s="1391">
        <v>38656</v>
      </c>
      <c r="N69" s="1397" t="s">
        <v>8595</v>
      </c>
      <c r="O69" s="2014">
        <v>25</v>
      </c>
      <c r="P69" s="1399"/>
      <c r="Q69" s="1430"/>
      <c r="R69" s="1430"/>
      <c r="S69" s="1430"/>
      <c r="T69" s="1430"/>
      <c r="U69" s="1430"/>
      <c r="V69" s="1430"/>
      <c r="W69" s="1430"/>
      <c r="X69" s="1430"/>
      <c r="Y69" s="1430"/>
      <c r="Z69" s="1430"/>
      <c r="AA69" s="1430"/>
      <c r="AB69" s="1430"/>
      <c r="AC69" s="1430"/>
      <c r="AD69" s="1430"/>
      <c r="AE69" s="1430"/>
      <c r="AF69" s="1430"/>
      <c r="AG69" s="1430"/>
      <c r="AH69" s="1430"/>
      <c r="AI69" s="1430"/>
      <c r="AJ69" s="1430"/>
      <c r="AK69" s="1430"/>
      <c r="AL69" s="1430"/>
      <c r="AM69" s="1430"/>
      <c r="AN69" s="1430"/>
      <c r="AO69" s="1430"/>
      <c r="AP69" s="1430"/>
      <c r="AQ69" s="1430"/>
      <c r="AR69" s="1430"/>
      <c r="AS69" s="1391">
        <v>41565</v>
      </c>
      <c r="AT69" s="1397" t="s">
        <v>8596</v>
      </c>
      <c r="AU69" s="2014">
        <v>9</v>
      </c>
      <c r="AV69" s="1399"/>
      <c r="AW69" s="1391">
        <v>41942</v>
      </c>
      <c r="AX69" s="1397" t="s">
        <v>8597</v>
      </c>
      <c r="AY69" s="2014">
        <v>75</v>
      </c>
      <c r="AZ69" s="1399"/>
      <c r="BA69" s="1391">
        <v>42294</v>
      </c>
      <c r="BB69" s="1397" t="s">
        <v>954</v>
      </c>
      <c r="BC69" s="2014">
        <v>57</v>
      </c>
      <c r="BD69" s="1399"/>
      <c r="BE69" s="1391"/>
      <c r="BF69" s="2029"/>
      <c r="BG69" s="2014"/>
      <c r="BH69" s="1399"/>
      <c r="BI69" s="1391"/>
      <c r="BJ69" s="2029"/>
      <c r="BK69" s="2014"/>
      <c r="BL69" s="1399"/>
      <c r="BM69" s="1391"/>
      <c r="BN69" s="2029"/>
      <c r="BO69" s="2014"/>
      <c r="BP69" s="1399"/>
      <c r="BQ69" s="1391">
        <v>43764</v>
      </c>
      <c r="BR69" s="1393" t="s">
        <v>8598</v>
      </c>
      <c r="BS69" s="2023">
        <v>187</v>
      </c>
      <c r="BT69" s="1392" t="s">
        <v>280</v>
      </c>
      <c r="BU69" s="1391">
        <v>44121</v>
      </c>
      <c r="BV69" s="1393" t="s">
        <v>8599</v>
      </c>
      <c r="BW69" s="2023">
        <v>310</v>
      </c>
      <c r="BX69" s="1392" t="s">
        <v>701</v>
      </c>
      <c r="BY69" s="1391">
        <v>44485</v>
      </c>
      <c r="BZ69" s="1393" t="s">
        <v>8600</v>
      </c>
      <c r="CA69" s="2023">
        <v>21</v>
      </c>
      <c r="CB69" s="1392" t="s">
        <v>414</v>
      </c>
      <c r="CC69" s="1391">
        <v>44847</v>
      </c>
      <c r="CD69" s="1393" t="s">
        <v>8601</v>
      </c>
      <c r="CE69" s="2023">
        <v>13</v>
      </c>
      <c r="CF69" s="1392" t="s">
        <v>414</v>
      </c>
      <c r="CG69" s="1391">
        <v>45221</v>
      </c>
      <c r="CH69" s="1393" t="s">
        <v>4432</v>
      </c>
      <c r="CI69" s="2023">
        <v>9</v>
      </c>
      <c r="CJ69" s="1392" t="s">
        <v>414</v>
      </c>
      <c r="CK69" s="1391">
        <v>45585</v>
      </c>
      <c r="CL69" s="2037" t="s">
        <v>8602</v>
      </c>
      <c r="CM69" s="2009">
        <v>40</v>
      </c>
      <c r="CN69" s="1392" t="s">
        <v>426</v>
      </c>
    </row>
    <row r="70" spans="1:92" ht="14.25">
      <c r="A70" s="2011"/>
      <c r="B70" s="1397"/>
      <c r="C70" s="2014"/>
      <c r="D70" s="1399"/>
      <c r="E70" s="1391"/>
      <c r="F70" s="1397"/>
      <c r="G70" s="2014"/>
      <c r="H70" s="1399"/>
      <c r="I70" s="1391"/>
      <c r="J70" s="1397"/>
      <c r="K70" s="2014"/>
      <c r="L70" s="1399"/>
      <c r="M70" s="1391">
        <v>38656</v>
      </c>
      <c r="N70" s="1397" t="s">
        <v>8603</v>
      </c>
      <c r="O70" s="2014">
        <v>40</v>
      </c>
      <c r="P70" s="1399"/>
      <c r="Q70" s="1430"/>
      <c r="R70" s="1430"/>
      <c r="S70" s="1430"/>
      <c r="T70" s="1430"/>
      <c r="U70" s="1430"/>
      <c r="V70" s="1430"/>
      <c r="W70" s="1430"/>
      <c r="X70" s="1430"/>
      <c r="Y70" s="1430"/>
      <c r="Z70" s="1430"/>
      <c r="AA70" s="1430"/>
      <c r="AB70" s="1430"/>
      <c r="AC70" s="1430"/>
      <c r="AD70" s="1430"/>
      <c r="AE70" s="1430"/>
      <c r="AF70" s="1430"/>
      <c r="AG70" s="1430"/>
      <c r="AH70" s="1430"/>
      <c r="AI70" s="1430"/>
      <c r="AJ70" s="1430"/>
      <c r="AK70" s="1430"/>
      <c r="AL70" s="1430"/>
      <c r="AM70" s="1430"/>
      <c r="AN70" s="1430"/>
      <c r="AO70" s="1430"/>
      <c r="AP70" s="1430"/>
      <c r="AQ70" s="1430"/>
      <c r="AR70" s="1430"/>
      <c r="AS70" s="1391">
        <v>41565</v>
      </c>
      <c r="AT70" s="1397" t="s">
        <v>8604</v>
      </c>
      <c r="AU70" s="2014">
        <v>11</v>
      </c>
      <c r="AV70" s="1399"/>
      <c r="AW70" s="1391">
        <v>41943</v>
      </c>
      <c r="AX70" s="1397" t="s">
        <v>781</v>
      </c>
      <c r="AY70" s="2014">
        <v>59</v>
      </c>
      <c r="AZ70" s="1399"/>
      <c r="BA70" s="1391">
        <v>42294</v>
      </c>
      <c r="BB70" s="1397" t="s">
        <v>781</v>
      </c>
      <c r="BC70" s="2014">
        <v>38</v>
      </c>
      <c r="BD70" s="1399"/>
      <c r="BE70" s="1391"/>
      <c r="BF70" s="2029"/>
      <c r="BG70" s="2014"/>
      <c r="BH70" s="1399"/>
      <c r="BI70" s="1391"/>
      <c r="BJ70" s="2029"/>
      <c r="BK70" s="2014"/>
      <c r="BL70" s="1399"/>
      <c r="BM70" s="1391"/>
      <c r="BN70" s="2029"/>
      <c r="BO70" s="2014"/>
      <c r="BP70" s="1399"/>
      <c r="BQ70" s="1391">
        <v>43764</v>
      </c>
      <c r="BR70" s="1393" t="s">
        <v>772</v>
      </c>
      <c r="BS70" s="2023">
        <v>27</v>
      </c>
      <c r="BT70" s="1392" t="s">
        <v>414</v>
      </c>
      <c r="BU70" s="1391">
        <v>44121</v>
      </c>
      <c r="BV70" s="1393" t="s">
        <v>8605</v>
      </c>
      <c r="BW70" s="2023">
        <v>100</v>
      </c>
      <c r="BX70" s="1392" t="s">
        <v>701</v>
      </c>
      <c r="BY70" s="1391">
        <v>44485</v>
      </c>
      <c r="BZ70" s="1393" t="s">
        <v>8606</v>
      </c>
      <c r="CA70" s="2023">
        <v>21</v>
      </c>
      <c r="CB70" s="1392" t="s">
        <v>414</v>
      </c>
      <c r="CC70" s="1391">
        <v>44847</v>
      </c>
      <c r="CD70" s="1393" t="s">
        <v>8607</v>
      </c>
      <c r="CE70" s="2023">
        <v>30</v>
      </c>
      <c r="CF70" s="1392" t="s">
        <v>414</v>
      </c>
      <c r="CG70" s="1391">
        <v>45221</v>
      </c>
      <c r="CH70" s="1393" t="s">
        <v>8608</v>
      </c>
      <c r="CI70" s="2023">
        <v>36</v>
      </c>
      <c r="CJ70" s="1392" t="s">
        <v>280</v>
      </c>
      <c r="CK70" s="1391">
        <v>45586</v>
      </c>
      <c r="CL70" s="2005" t="s">
        <v>971</v>
      </c>
      <c r="CM70" s="2009">
        <v>60</v>
      </c>
      <c r="CN70" s="1392" t="s">
        <v>414</v>
      </c>
    </row>
    <row r="71" spans="1:92" ht="14.25">
      <c r="A71" s="2011"/>
      <c r="B71" s="1397"/>
      <c r="C71" s="2014"/>
      <c r="D71" s="1399"/>
      <c r="E71" s="1391"/>
      <c r="F71" s="1397"/>
      <c r="G71" s="2014"/>
      <c r="H71" s="1399"/>
      <c r="I71" s="1391"/>
      <c r="J71" s="1397"/>
      <c r="K71" s="2014"/>
      <c r="L71" s="1399"/>
      <c r="M71" s="1391"/>
      <c r="N71" s="1397"/>
      <c r="O71" s="2014"/>
      <c r="P71" s="1399"/>
      <c r="Q71" s="1430"/>
      <c r="R71" s="1430"/>
      <c r="S71" s="1430"/>
      <c r="T71" s="1430"/>
      <c r="U71" s="1430"/>
      <c r="V71" s="1430"/>
      <c r="W71" s="1430"/>
      <c r="X71" s="1430"/>
      <c r="Y71" s="1430"/>
      <c r="Z71" s="1430"/>
      <c r="AA71" s="1430"/>
      <c r="AB71" s="1430"/>
      <c r="AC71" s="1430"/>
      <c r="AD71" s="1430"/>
      <c r="AE71" s="1430"/>
      <c r="AF71" s="1430"/>
      <c r="AG71" s="1430"/>
      <c r="AH71" s="1430"/>
      <c r="AI71" s="1430"/>
      <c r="AJ71" s="1430"/>
      <c r="AK71" s="1430"/>
      <c r="AL71" s="1430"/>
      <c r="AM71" s="1430"/>
      <c r="AN71" s="1430"/>
      <c r="AO71" s="1430"/>
      <c r="AP71" s="1430"/>
      <c r="AQ71" s="1430"/>
      <c r="AR71" s="1430"/>
      <c r="AS71" s="1391">
        <v>41565</v>
      </c>
      <c r="AT71" s="1397" t="s">
        <v>8609</v>
      </c>
      <c r="AU71" s="2014">
        <v>1</v>
      </c>
      <c r="AV71" s="1399"/>
      <c r="AW71" s="1391">
        <v>41943</v>
      </c>
      <c r="AX71" s="1397" t="s">
        <v>802</v>
      </c>
      <c r="AY71" s="2014">
        <v>29</v>
      </c>
      <c r="AZ71" s="1399"/>
      <c r="BA71" s="1391">
        <v>42294</v>
      </c>
      <c r="BB71" s="1397" t="s">
        <v>1573</v>
      </c>
      <c r="BC71" s="2014">
        <v>20</v>
      </c>
      <c r="BD71" s="1399"/>
      <c r="BE71" s="1391"/>
      <c r="BF71" s="2029"/>
      <c r="BG71" s="2014"/>
      <c r="BH71" s="1399"/>
      <c r="BI71" s="1391"/>
      <c r="BJ71" s="2029"/>
      <c r="BK71" s="2014"/>
      <c r="BL71" s="1399"/>
      <c r="BM71" s="1391"/>
      <c r="BN71" s="2029"/>
      <c r="BO71" s="2014"/>
      <c r="BP71" s="1399"/>
      <c r="BQ71" s="1391">
        <v>43764</v>
      </c>
      <c r="BR71" s="1393" t="s">
        <v>2979</v>
      </c>
      <c r="BS71" s="2023">
        <v>45</v>
      </c>
      <c r="BT71" s="1392"/>
      <c r="BU71" s="1391">
        <v>44121</v>
      </c>
      <c r="BV71" s="1393" t="s">
        <v>8610</v>
      </c>
      <c r="BW71" s="2023">
        <v>10</v>
      </c>
      <c r="BX71" s="1392" t="s">
        <v>278</v>
      </c>
      <c r="BY71" s="1391">
        <v>44485</v>
      </c>
      <c r="BZ71" s="1393" t="s">
        <v>8517</v>
      </c>
      <c r="CA71" s="2023">
        <v>21</v>
      </c>
      <c r="CB71" s="1392" t="s">
        <v>414</v>
      </c>
      <c r="CC71" s="1391">
        <v>44847</v>
      </c>
      <c r="CD71" s="1393" t="s">
        <v>8611</v>
      </c>
      <c r="CE71" s="2023">
        <v>20</v>
      </c>
      <c r="CF71" s="1392" t="s">
        <v>414</v>
      </c>
      <c r="CG71" s="1391">
        <v>45221</v>
      </c>
      <c r="CH71" s="1393" t="s">
        <v>8612</v>
      </c>
      <c r="CI71" s="2023">
        <v>21</v>
      </c>
      <c r="CJ71" s="1392" t="s">
        <v>280</v>
      </c>
      <c r="CK71" s="1391">
        <v>45586</v>
      </c>
      <c r="CL71" s="2005" t="s">
        <v>8613</v>
      </c>
      <c r="CM71" s="2009">
        <v>10</v>
      </c>
      <c r="CN71" s="1392" t="s">
        <v>712</v>
      </c>
    </row>
    <row r="72" spans="1:92" ht="14.25">
      <c r="A72" s="2011"/>
      <c r="B72" s="1397"/>
      <c r="C72" s="2014"/>
      <c r="D72" s="1399"/>
      <c r="E72" s="1391"/>
      <c r="F72" s="1397"/>
      <c r="G72" s="2014"/>
      <c r="H72" s="1399"/>
      <c r="I72" s="1391"/>
      <c r="J72" s="1397"/>
      <c r="K72" s="2014"/>
      <c r="L72" s="1399"/>
      <c r="M72" s="1391"/>
      <c r="N72" s="1397"/>
      <c r="O72" s="2014"/>
      <c r="P72" s="1399"/>
      <c r="Q72" s="1430"/>
      <c r="R72" s="1430"/>
      <c r="S72" s="1430"/>
      <c r="T72" s="1430"/>
      <c r="U72" s="1430"/>
      <c r="V72" s="1430"/>
      <c r="W72" s="1430"/>
      <c r="X72" s="1430"/>
      <c r="Y72" s="1430"/>
      <c r="Z72" s="1430"/>
      <c r="AA72" s="1430"/>
      <c r="AB72" s="1430"/>
      <c r="AC72" s="1430"/>
      <c r="AD72" s="1430"/>
      <c r="AE72" s="1430"/>
      <c r="AF72" s="1430"/>
      <c r="AG72" s="1430"/>
      <c r="AH72" s="1430"/>
      <c r="AI72" s="1430"/>
      <c r="AJ72" s="1430"/>
      <c r="AK72" s="1430"/>
      <c r="AL72" s="1430"/>
      <c r="AM72" s="1430"/>
      <c r="AN72" s="1430"/>
      <c r="AO72" s="1430"/>
      <c r="AP72" s="1430"/>
      <c r="AQ72" s="1430"/>
      <c r="AR72" s="1430"/>
      <c r="AS72" s="1391">
        <v>41566</v>
      </c>
      <c r="AT72" s="1397" t="s">
        <v>8614</v>
      </c>
      <c r="AU72" s="2014">
        <v>50</v>
      </c>
      <c r="AV72" s="1399"/>
      <c r="AW72" s="1391">
        <v>41943</v>
      </c>
      <c r="AX72" s="1397" t="s">
        <v>8615</v>
      </c>
      <c r="AY72" s="2014">
        <v>4</v>
      </c>
      <c r="AZ72" s="1399"/>
      <c r="BA72" s="1391">
        <v>42294</v>
      </c>
      <c r="BB72" s="1397" t="s">
        <v>8616</v>
      </c>
      <c r="BC72" s="2014">
        <v>16</v>
      </c>
      <c r="BD72" s="1399"/>
      <c r="BE72" s="1391"/>
      <c r="BF72" s="2029"/>
      <c r="BG72" s="2014"/>
      <c r="BH72" s="1399"/>
      <c r="BI72" s="1391"/>
      <c r="BJ72" s="2029"/>
      <c r="BK72" s="2014"/>
      <c r="BL72" s="1399"/>
      <c r="BM72" s="1391"/>
      <c r="BN72" s="2029"/>
      <c r="BO72" s="2014"/>
      <c r="BP72" s="1399"/>
      <c r="BQ72" s="1391">
        <v>43764</v>
      </c>
      <c r="BR72" s="1393" t="s">
        <v>8617</v>
      </c>
      <c r="BS72" s="2023">
        <v>40</v>
      </c>
      <c r="BT72" s="1392"/>
      <c r="BU72" s="1391">
        <v>44121</v>
      </c>
      <c r="BV72" s="1393" t="s">
        <v>8618</v>
      </c>
      <c r="BW72" s="2023">
        <v>18</v>
      </c>
      <c r="BX72" s="1392" t="s">
        <v>414</v>
      </c>
      <c r="BY72" s="1391">
        <v>44486</v>
      </c>
      <c r="BZ72" s="1393" t="s">
        <v>8619</v>
      </c>
      <c r="CA72" s="2023">
        <v>25</v>
      </c>
      <c r="CB72" s="1392" t="s">
        <v>414</v>
      </c>
      <c r="CC72" s="1391">
        <v>44847</v>
      </c>
      <c r="CD72" s="1393" t="s">
        <v>8620</v>
      </c>
      <c r="CE72" s="2023">
        <v>22</v>
      </c>
      <c r="CF72" s="1392" t="s">
        <v>414</v>
      </c>
      <c r="CG72" s="1391">
        <v>45221</v>
      </c>
      <c r="CH72" s="1393" t="s">
        <v>8621</v>
      </c>
      <c r="CI72" s="2023">
        <v>25</v>
      </c>
      <c r="CJ72" s="1392" t="s">
        <v>700</v>
      </c>
      <c r="CK72" s="1391">
        <v>45588</v>
      </c>
      <c r="CL72" s="2005" t="s">
        <v>8070</v>
      </c>
      <c r="CM72" s="2009">
        <v>20</v>
      </c>
      <c r="CN72" s="1392" t="s">
        <v>278</v>
      </c>
    </row>
    <row r="73" spans="1:92" ht="14.25">
      <c r="A73" s="2011"/>
      <c r="B73" s="1397"/>
      <c r="C73" s="2014"/>
      <c r="D73" s="1399"/>
      <c r="E73" s="1391"/>
      <c r="F73" s="1397"/>
      <c r="G73" s="2014"/>
      <c r="H73" s="1399"/>
      <c r="I73" s="1391"/>
      <c r="J73" s="1397"/>
      <c r="K73" s="2014"/>
      <c r="L73" s="1399"/>
      <c r="M73" s="1391"/>
      <c r="N73" s="1397"/>
      <c r="O73" s="2014"/>
      <c r="P73" s="1399"/>
      <c r="Q73" s="1430"/>
      <c r="R73" s="1430"/>
      <c r="S73" s="1430"/>
      <c r="T73" s="1430"/>
      <c r="U73" s="1430"/>
      <c r="V73" s="1430"/>
      <c r="W73" s="1430"/>
      <c r="X73" s="1430"/>
      <c r="Y73" s="1430"/>
      <c r="Z73" s="1430"/>
      <c r="AA73" s="1430"/>
      <c r="AB73" s="1430"/>
      <c r="AC73" s="1430"/>
      <c r="AD73" s="1430"/>
      <c r="AE73" s="1430"/>
      <c r="AF73" s="1430"/>
      <c r="AG73" s="1430"/>
      <c r="AH73" s="1430"/>
      <c r="AI73" s="1430"/>
      <c r="AJ73" s="1430"/>
      <c r="AK73" s="1430"/>
      <c r="AL73" s="1430"/>
      <c r="AM73" s="1430"/>
      <c r="AN73" s="1430"/>
      <c r="AO73" s="1430"/>
      <c r="AP73" s="1430"/>
      <c r="AQ73" s="1430"/>
      <c r="AR73" s="1430"/>
      <c r="AS73" s="1391">
        <v>41566</v>
      </c>
      <c r="AT73" s="1397" t="s">
        <v>8622</v>
      </c>
      <c r="AU73" s="2014">
        <v>15</v>
      </c>
      <c r="AV73" s="1399"/>
      <c r="AW73" s="1391">
        <v>41943</v>
      </c>
      <c r="AX73" s="1397" t="s">
        <v>8623</v>
      </c>
      <c r="AY73" s="2014">
        <v>4</v>
      </c>
      <c r="AZ73" s="1399"/>
      <c r="BA73" s="1391">
        <v>42295</v>
      </c>
      <c r="BB73" s="1397" t="s">
        <v>8624</v>
      </c>
      <c r="BC73" s="2014">
        <v>21</v>
      </c>
      <c r="BD73" s="1399"/>
      <c r="BE73" s="1391"/>
      <c r="BF73" s="2029"/>
      <c r="BG73" s="2014"/>
      <c r="BH73" s="1399"/>
      <c r="BI73" s="1391"/>
      <c r="BJ73" s="2029"/>
      <c r="BK73" s="2014"/>
      <c r="BL73" s="1399"/>
      <c r="BM73" s="1391"/>
      <c r="BN73" s="2029"/>
      <c r="BO73" s="2014"/>
      <c r="BP73" s="1399"/>
      <c r="BQ73" s="1391">
        <v>43764</v>
      </c>
      <c r="BR73" s="1393" t="s">
        <v>1770</v>
      </c>
      <c r="BS73" s="2023">
        <v>15</v>
      </c>
      <c r="BT73" s="1392" t="s">
        <v>280</v>
      </c>
      <c r="BU73" s="1391">
        <v>44121</v>
      </c>
      <c r="BV73" s="1393" t="s">
        <v>8625</v>
      </c>
      <c r="BW73" s="2023">
        <v>100</v>
      </c>
      <c r="BX73" s="1392" t="s">
        <v>701</v>
      </c>
      <c r="BY73" s="1391">
        <v>44489</v>
      </c>
      <c r="BZ73" s="1393" t="s">
        <v>8626</v>
      </c>
      <c r="CA73" s="2023">
        <v>21</v>
      </c>
      <c r="CB73" s="1392" t="s">
        <v>280</v>
      </c>
      <c r="CC73" s="1391">
        <v>44847</v>
      </c>
      <c r="CD73" s="2032" t="s">
        <v>8627</v>
      </c>
      <c r="CE73" s="2023">
        <v>0</v>
      </c>
      <c r="CF73" s="1392" t="s">
        <v>414</v>
      </c>
      <c r="CG73" s="1391">
        <v>45223</v>
      </c>
      <c r="CH73" s="1393" t="s">
        <v>8628</v>
      </c>
      <c r="CI73" s="2023">
        <v>195</v>
      </c>
      <c r="CJ73" s="1392" t="s">
        <v>700</v>
      </c>
      <c r="CK73" s="1391">
        <v>45590</v>
      </c>
      <c r="CL73" s="2005" t="s">
        <v>8629</v>
      </c>
      <c r="CM73" s="2009">
        <v>250</v>
      </c>
      <c r="CN73" s="1392" t="s">
        <v>284</v>
      </c>
    </row>
    <row r="74" spans="1:92" ht="14.25">
      <c r="A74" s="2011"/>
      <c r="B74" s="1397"/>
      <c r="C74" s="2014"/>
      <c r="D74" s="1399"/>
      <c r="E74" s="1391"/>
      <c r="F74" s="1397"/>
      <c r="G74" s="2014"/>
      <c r="H74" s="1399"/>
      <c r="I74" s="1391"/>
      <c r="J74" s="1397"/>
      <c r="K74" s="2014"/>
      <c r="L74" s="1399"/>
      <c r="M74" s="1391"/>
      <c r="N74" s="1397"/>
      <c r="O74" s="2014"/>
      <c r="P74" s="1399"/>
      <c r="Q74" s="1430"/>
      <c r="R74" s="1430"/>
      <c r="S74" s="1430"/>
      <c r="T74" s="1430"/>
      <c r="U74" s="1430"/>
      <c r="V74" s="1430"/>
      <c r="W74" s="1430"/>
      <c r="X74" s="1430"/>
      <c r="Y74" s="1430"/>
      <c r="Z74" s="1430"/>
      <c r="AA74" s="1430"/>
      <c r="AB74" s="1430"/>
      <c r="AC74" s="1430"/>
      <c r="AD74" s="1430"/>
      <c r="AE74" s="1430"/>
      <c r="AF74" s="1430"/>
      <c r="AG74" s="1430"/>
      <c r="AH74" s="1430"/>
      <c r="AI74" s="1430"/>
      <c r="AJ74" s="1430"/>
      <c r="AK74" s="1430"/>
      <c r="AL74" s="1430"/>
      <c r="AM74" s="1430"/>
      <c r="AN74" s="1430"/>
      <c r="AO74" s="1430"/>
      <c r="AP74" s="1430"/>
      <c r="AQ74" s="1430"/>
      <c r="AR74" s="1430"/>
      <c r="AS74" s="1391">
        <v>41566</v>
      </c>
      <c r="AT74" s="1397" t="s">
        <v>8630</v>
      </c>
      <c r="AU74" s="2014">
        <v>84</v>
      </c>
      <c r="AV74" s="1399"/>
      <c r="AW74" s="1391">
        <v>41943</v>
      </c>
      <c r="AX74" s="1397" t="s">
        <v>8631</v>
      </c>
      <c r="AY74" s="2014">
        <v>50</v>
      </c>
      <c r="AZ74" s="1399"/>
      <c r="BA74" s="1391">
        <v>42295</v>
      </c>
      <c r="BB74" s="1397" t="s">
        <v>8632</v>
      </c>
      <c r="BC74" s="2014">
        <v>170</v>
      </c>
      <c r="BD74" s="1399"/>
      <c r="BE74" s="1391"/>
      <c r="BF74" s="2029"/>
      <c r="BG74" s="2014"/>
      <c r="BH74" s="2038"/>
      <c r="BI74" s="1391"/>
      <c r="BJ74" s="2029"/>
      <c r="BK74" s="2014"/>
      <c r="BL74" s="1399"/>
      <c r="BM74" s="1391"/>
      <c r="BN74" s="2029"/>
      <c r="BO74" s="2014"/>
      <c r="BP74" s="1399"/>
      <c r="BQ74" s="1391">
        <v>43765</v>
      </c>
      <c r="BR74" s="1393" t="s">
        <v>2226</v>
      </c>
      <c r="BS74" s="2023">
        <v>20</v>
      </c>
      <c r="BT74" s="1392" t="s">
        <v>280</v>
      </c>
      <c r="BU74" s="1391">
        <v>44121</v>
      </c>
      <c r="BV74" s="1393" t="s">
        <v>823</v>
      </c>
      <c r="BW74" s="2023"/>
      <c r="BX74" s="1392" t="s">
        <v>414</v>
      </c>
      <c r="BY74" s="1391">
        <v>44491</v>
      </c>
      <c r="BZ74" s="1393" t="s">
        <v>8633</v>
      </c>
      <c r="CA74" s="2023">
        <v>410</v>
      </c>
      <c r="CB74" s="1392" t="s">
        <v>280</v>
      </c>
      <c r="CC74" s="1391">
        <v>44847</v>
      </c>
      <c r="CD74" s="2032" t="s">
        <v>2157</v>
      </c>
      <c r="CE74" s="2023">
        <v>22</v>
      </c>
      <c r="CF74" s="1392" t="s">
        <v>414</v>
      </c>
      <c r="CG74" s="1391">
        <v>45224</v>
      </c>
      <c r="CH74" s="2032" t="s">
        <v>2040</v>
      </c>
      <c r="CI74" s="2023">
        <v>21</v>
      </c>
      <c r="CJ74" s="1392" t="s">
        <v>414</v>
      </c>
      <c r="CK74" s="1391">
        <v>45592</v>
      </c>
      <c r="CL74" s="2037" t="s">
        <v>8634</v>
      </c>
      <c r="CM74" s="2009">
        <v>34</v>
      </c>
      <c r="CN74" s="1392" t="s">
        <v>280</v>
      </c>
    </row>
    <row r="75" spans="1:92" ht="14.25">
      <c r="A75" s="2011"/>
      <c r="B75" s="1397"/>
      <c r="C75" s="2014"/>
      <c r="D75" s="1399"/>
      <c r="E75" s="1391"/>
      <c r="F75" s="1397"/>
      <c r="G75" s="2014"/>
      <c r="H75" s="1399"/>
      <c r="I75" s="1391"/>
      <c r="J75" s="1397"/>
      <c r="K75" s="2014"/>
      <c r="L75" s="1399"/>
      <c r="M75" s="1391"/>
      <c r="N75" s="1397"/>
      <c r="O75" s="2014"/>
      <c r="P75" s="1399"/>
      <c r="Q75" s="1430"/>
      <c r="R75" s="1430"/>
      <c r="S75" s="1430"/>
      <c r="T75" s="1430"/>
      <c r="U75" s="1430"/>
      <c r="V75" s="1430"/>
      <c r="W75" s="1430"/>
      <c r="X75" s="1430"/>
      <c r="Y75" s="1430"/>
      <c r="Z75" s="1430"/>
      <c r="AA75" s="1430"/>
      <c r="AB75" s="1430"/>
      <c r="AC75" s="1430"/>
      <c r="AD75" s="1430"/>
      <c r="AE75" s="1430"/>
      <c r="AF75" s="1430"/>
      <c r="AG75" s="1430"/>
      <c r="AH75" s="1430"/>
      <c r="AI75" s="1430"/>
      <c r="AJ75" s="1430"/>
      <c r="AK75" s="1430"/>
      <c r="AL75" s="1430"/>
      <c r="AM75" s="1430"/>
      <c r="AN75" s="1430"/>
      <c r="AO75" s="1430"/>
      <c r="AP75" s="1430"/>
      <c r="AQ75" s="1430"/>
      <c r="AR75" s="1430"/>
      <c r="AS75" s="1391">
        <v>41567</v>
      </c>
      <c r="AT75" s="1397" t="s">
        <v>754</v>
      </c>
      <c r="AU75" s="2014">
        <v>87</v>
      </c>
      <c r="AV75" s="1399"/>
      <c r="AW75" s="1391">
        <v>41943</v>
      </c>
      <c r="AX75" s="1397" t="s">
        <v>8635</v>
      </c>
      <c r="AY75" s="2014">
        <v>85</v>
      </c>
      <c r="AZ75" s="1399"/>
      <c r="BA75" s="1391">
        <v>42295</v>
      </c>
      <c r="BB75" s="1397" t="s">
        <v>8636</v>
      </c>
      <c r="BC75" s="2014">
        <v>20</v>
      </c>
      <c r="BD75" s="1399"/>
      <c r="BE75" s="1391"/>
      <c r="BF75" s="2029"/>
      <c r="BG75" s="2014"/>
      <c r="BH75" s="1399"/>
      <c r="BI75" s="1391"/>
      <c r="BJ75" s="2029"/>
      <c r="BK75" s="2014"/>
      <c r="BL75" s="1399"/>
      <c r="BM75" s="1391"/>
      <c r="BN75" s="2029"/>
      <c r="BO75" s="2014"/>
      <c r="BP75" s="2038"/>
      <c r="BQ75" s="1391">
        <v>43765</v>
      </c>
      <c r="BR75" s="1393" t="s">
        <v>873</v>
      </c>
      <c r="BS75" s="2023">
        <v>19</v>
      </c>
      <c r="BT75" s="1392" t="s">
        <v>414</v>
      </c>
      <c r="BU75" s="1391">
        <v>44122</v>
      </c>
      <c r="BV75" s="1393" t="s">
        <v>772</v>
      </c>
      <c r="BW75" s="2023">
        <v>21</v>
      </c>
      <c r="BX75" s="1392" t="s">
        <v>414</v>
      </c>
      <c r="BY75" s="1391">
        <v>44491</v>
      </c>
      <c r="BZ75" s="1393" t="s">
        <v>3503</v>
      </c>
      <c r="CA75" s="2023">
        <v>21</v>
      </c>
      <c r="CB75" s="1392" t="s">
        <v>414</v>
      </c>
      <c r="CC75" s="1391">
        <v>44848</v>
      </c>
      <c r="CD75" s="2032" t="s">
        <v>772</v>
      </c>
      <c r="CE75" s="2023">
        <v>50</v>
      </c>
      <c r="CF75" s="1392" t="s">
        <v>414</v>
      </c>
      <c r="CG75" s="1391">
        <v>45225</v>
      </c>
      <c r="CH75" s="2032" t="s">
        <v>781</v>
      </c>
      <c r="CI75" s="2023">
        <v>90</v>
      </c>
      <c r="CJ75" s="1392" t="s">
        <v>414</v>
      </c>
      <c r="CK75" s="1391">
        <v>45592</v>
      </c>
      <c r="CL75" s="2037" t="s">
        <v>8637</v>
      </c>
      <c r="CM75" s="2009">
        <v>25</v>
      </c>
      <c r="CN75" s="1392" t="s">
        <v>414</v>
      </c>
    </row>
    <row r="76" spans="1:92" ht="14.25">
      <c r="A76" s="2011"/>
      <c r="B76" s="1397"/>
      <c r="C76" s="2014"/>
      <c r="D76" s="1399"/>
      <c r="E76" s="1391"/>
      <c r="F76" s="1397"/>
      <c r="G76" s="2014"/>
      <c r="H76" s="1399"/>
      <c r="I76" s="1391"/>
      <c r="J76" s="1397"/>
      <c r="K76" s="2014"/>
      <c r="L76" s="1399"/>
      <c r="M76" s="1391"/>
      <c r="N76" s="1397"/>
      <c r="O76" s="2014"/>
      <c r="P76" s="1399"/>
      <c r="Q76" s="1430"/>
      <c r="R76" s="1430"/>
      <c r="S76" s="1430"/>
      <c r="T76" s="1430"/>
      <c r="U76" s="1430"/>
      <c r="V76" s="1430"/>
      <c r="W76" s="1430"/>
      <c r="X76" s="1430"/>
      <c r="Y76" s="1430"/>
      <c r="Z76" s="1430"/>
      <c r="AA76" s="1430"/>
      <c r="AB76" s="1430"/>
      <c r="AC76" s="1430"/>
      <c r="AD76" s="1430"/>
      <c r="AE76" s="1430"/>
      <c r="AF76" s="1430"/>
      <c r="AG76" s="1430"/>
      <c r="AH76" s="1430"/>
      <c r="AI76" s="1430"/>
      <c r="AJ76" s="1430"/>
      <c r="AK76" s="1430"/>
      <c r="AL76" s="1430"/>
      <c r="AM76" s="1430"/>
      <c r="AN76" s="1430"/>
      <c r="AO76" s="1430"/>
      <c r="AP76" s="1430"/>
      <c r="AQ76" s="1430"/>
      <c r="AR76" s="1430"/>
      <c r="AS76" s="1391">
        <v>41567</v>
      </c>
      <c r="AT76" s="1397" t="s">
        <v>8638</v>
      </c>
      <c r="AU76" s="2014">
        <v>0</v>
      </c>
      <c r="AV76" s="1399"/>
      <c r="AW76" s="1391"/>
      <c r="AX76" s="1397"/>
      <c r="AY76" s="2014"/>
      <c r="AZ76" s="1399"/>
      <c r="BA76" s="1391">
        <v>42296</v>
      </c>
      <c r="BB76" s="1397" t="s">
        <v>748</v>
      </c>
      <c r="BC76" s="2014">
        <v>10</v>
      </c>
      <c r="BD76" s="2038"/>
      <c r="BE76" s="1391"/>
      <c r="BF76" s="2029"/>
      <c r="BG76" s="2014"/>
      <c r="BH76" s="1399"/>
      <c r="BI76" s="1391"/>
      <c r="BJ76" s="2029"/>
      <c r="BK76" s="2014"/>
      <c r="BL76" s="2038"/>
      <c r="BM76" s="1391"/>
      <c r="BN76" s="2029"/>
      <c r="BO76" s="2014"/>
      <c r="BP76" s="1399"/>
      <c r="BQ76" s="1391">
        <v>43765</v>
      </c>
      <c r="BR76" s="1393" t="s">
        <v>6833</v>
      </c>
      <c r="BS76" s="2023">
        <v>20</v>
      </c>
      <c r="BT76" s="1392" t="s">
        <v>414</v>
      </c>
      <c r="BU76" s="1391">
        <v>44122</v>
      </c>
      <c r="BV76" s="1393" t="s">
        <v>828</v>
      </c>
      <c r="BW76" s="2023">
        <v>17</v>
      </c>
      <c r="BX76" s="1392" t="s">
        <v>414</v>
      </c>
      <c r="BY76" s="1391">
        <v>44491</v>
      </c>
      <c r="BZ76" s="1393" t="s">
        <v>1391</v>
      </c>
      <c r="CA76" s="2023">
        <v>12</v>
      </c>
      <c r="CB76" s="1392" t="s">
        <v>414</v>
      </c>
      <c r="CC76" s="1391">
        <v>44848</v>
      </c>
      <c r="CD76" s="2032" t="s">
        <v>948</v>
      </c>
      <c r="CE76" s="2023">
        <v>23</v>
      </c>
      <c r="CF76" s="1392" t="s">
        <v>414</v>
      </c>
      <c r="CG76" s="1391">
        <v>45225</v>
      </c>
      <c r="CH76" s="2032" t="s">
        <v>4088</v>
      </c>
      <c r="CI76" s="2023">
        <v>97</v>
      </c>
      <c r="CJ76" s="1392" t="s">
        <v>700</v>
      </c>
      <c r="CK76" s="1391">
        <v>45592</v>
      </c>
      <c r="CL76" s="2037" t="s">
        <v>8639</v>
      </c>
      <c r="CM76" s="2009">
        <v>150</v>
      </c>
      <c r="CN76" s="1392" t="s">
        <v>280</v>
      </c>
    </row>
    <row r="77" spans="1:92" ht="14.25">
      <c r="A77" s="2011"/>
      <c r="B77" s="1397"/>
      <c r="C77" s="2014"/>
      <c r="D77" s="1399"/>
      <c r="E77" s="1391"/>
      <c r="F77" s="1397"/>
      <c r="G77" s="2014"/>
      <c r="H77" s="1399"/>
      <c r="I77" s="1391"/>
      <c r="J77" s="1397"/>
      <c r="K77" s="2014"/>
      <c r="L77" s="1399"/>
      <c r="M77" s="1391"/>
      <c r="N77" s="1397"/>
      <c r="O77" s="2014"/>
      <c r="P77" s="1399"/>
      <c r="Q77" s="1430"/>
      <c r="R77" s="1430"/>
      <c r="S77" s="1430"/>
      <c r="T77" s="1430"/>
      <c r="U77" s="1430"/>
      <c r="V77" s="1430"/>
      <c r="W77" s="1430"/>
      <c r="X77" s="1430"/>
      <c r="Y77" s="1430"/>
      <c r="Z77" s="1430"/>
      <c r="AA77" s="1430"/>
      <c r="AB77" s="1430"/>
      <c r="AC77" s="1430"/>
      <c r="AD77" s="1430"/>
      <c r="AE77" s="1430"/>
      <c r="AF77" s="1430"/>
      <c r="AG77" s="1430"/>
      <c r="AH77" s="1430"/>
      <c r="AI77" s="1430"/>
      <c r="AJ77" s="1430"/>
      <c r="AK77" s="1430"/>
      <c r="AL77" s="1430"/>
      <c r="AM77" s="1430"/>
      <c r="AN77" s="1430"/>
      <c r="AO77" s="1430"/>
      <c r="AP77" s="1430"/>
      <c r="AQ77" s="1430"/>
      <c r="AR77" s="1430"/>
      <c r="AS77" s="1391">
        <v>41567</v>
      </c>
      <c r="AT77" s="1397" t="s">
        <v>8640</v>
      </c>
      <c r="AU77" s="2014">
        <v>3</v>
      </c>
      <c r="AV77" s="1399"/>
      <c r="AW77" s="1391"/>
      <c r="AX77" s="1397"/>
      <c r="AY77" s="2014"/>
      <c r="AZ77" s="1399"/>
      <c r="BA77" s="1391">
        <v>42296</v>
      </c>
      <c r="BB77" s="1397" t="s">
        <v>8641</v>
      </c>
      <c r="BC77" s="2014">
        <v>7</v>
      </c>
      <c r="BD77" s="1399"/>
      <c r="BE77" s="1391"/>
      <c r="BF77" s="2029"/>
      <c r="BG77" s="2014"/>
      <c r="BH77" s="1399"/>
      <c r="BI77" s="1391"/>
      <c r="BJ77" s="2029"/>
      <c r="BK77" s="2014"/>
      <c r="BL77" s="1399"/>
      <c r="BM77" s="1391"/>
      <c r="BN77" s="2029"/>
      <c r="BO77" s="2014"/>
      <c r="BP77" s="1399"/>
      <c r="BQ77" s="1391">
        <v>43766</v>
      </c>
      <c r="BR77" s="1393" t="s">
        <v>8642</v>
      </c>
      <c r="BS77" s="2023">
        <v>27</v>
      </c>
      <c r="BT77" s="1392" t="s">
        <v>414</v>
      </c>
      <c r="BU77" s="1391">
        <v>44122</v>
      </c>
      <c r="BV77" s="1393" t="s">
        <v>873</v>
      </c>
      <c r="BW77" s="2023"/>
      <c r="BX77" s="1392" t="s">
        <v>414</v>
      </c>
      <c r="BY77" s="1391">
        <v>44491</v>
      </c>
      <c r="BZ77" s="1393" t="s">
        <v>8643</v>
      </c>
      <c r="CA77" s="2023">
        <v>78</v>
      </c>
      <c r="CB77" s="1392" t="s">
        <v>280</v>
      </c>
      <c r="CC77" s="1391">
        <v>44848</v>
      </c>
      <c r="CD77" s="2032" t="s">
        <v>845</v>
      </c>
      <c r="CE77" s="2023">
        <v>29</v>
      </c>
      <c r="CF77" s="1392" t="s">
        <v>414</v>
      </c>
      <c r="CG77" s="1391">
        <v>45225</v>
      </c>
      <c r="CH77" s="2032" t="s">
        <v>4088</v>
      </c>
      <c r="CI77" s="2023">
        <v>150</v>
      </c>
      <c r="CJ77" s="1392" t="s">
        <v>700</v>
      </c>
      <c r="CK77" s="1391">
        <v>45592</v>
      </c>
      <c r="CL77" s="2037" t="s">
        <v>781</v>
      </c>
      <c r="CM77" s="2009">
        <v>108</v>
      </c>
      <c r="CN77" s="1392" t="s">
        <v>414</v>
      </c>
    </row>
    <row r="78" spans="1:92" ht="14.25">
      <c r="A78" s="2011"/>
      <c r="B78" s="1397"/>
      <c r="C78" s="2014"/>
      <c r="D78" s="1399"/>
      <c r="E78" s="1391"/>
      <c r="F78" s="1397"/>
      <c r="G78" s="2014"/>
      <c r="H78" s="1399"/>
      <c r="I78" s="1391"/>
      <c r="J78" s="1397"/>
      <c r="K78" s="2014"/>
      <c r="L78" s="1399"/>
      <c r="M78" s="1391"/>
      <c r="N78" s="1397"/>
      <c r="O78" s="2014"/>
      <c r="P78" s="1399"/>
      <c r="Q78" s="1430"/>
      <c r="R78" s="1430"/>
      <c r="S78" s="1430"/>
      <c r="T78" s="1430"/>
      <c r="U78" s="1430"/>
      <c r="V78" s="1430"/>
      <c r="W78" s="1430"/>
      <c r="X78" s="1430"/>
      <c r="Y78" s="1430"/>
      <c r="Z78" s="1430"/>
      <c r="AA78" s="1430"/>
      <c r="AB78" s="1430"/>
      <c r="AC78" s="1430"/>
      <c r="AD78" s="1430"/>
      <c r="AE78" s="1430"/>
      <c r="AF78" s="1430"/>
      <c r="AG78" s="1430"/>
      <c r="AH78" s="1430"/>
      <c r="AI78" s="1430"/>
      <c r="AJ78" s="1430"/>
      <c r="AK78" s="1430"/>
      <c r="AL78" s="1430"/>
      <c r="AM78" s="1430"/>
      <c r="AN78" s="1430"/>
      <c r="AO78" s="1430"/>
      <c r="AP78" s="1430"/>
      <c r="AQ78" s="1430"/>
      <c r="AR78" s="1430"/>
      <c r="AS78" s="1391">
        <v>41567</v>
      </c>
      <c r="AT78" s="1397" t="s">
        <v>802</v>
      </c>
      <c r="AU78" s="2014">
        <v>13</v>
      </c>
      <c r="AV78" s="1399"/>
      <c r="AW78" s="1391"/>
      <c r="AX78" s="1397"/>
      <c r="AY78" s="2014"/>
      <c r="AZ78" s="1399"/>
      <c r="BA78" s="1391">
        <v>42296</v>
      </c>
      <c r="BB78" s="1397" t="s">
        <v>802</v>
      </c>
      <c r="BC78" s="2014">
        <v>27</v>
      </c>
      <c r="BD78" s="1399"/>
      <c r="BE78" s="1391"/>
      <c r="BF78" s="2029"/>
      <c r="BG78" s="2014"/>
      <c r="BH78" s="1399"/>
      <c r="BI78" s="1391"/>
      <c r="BJ78" s="2029"/>
      <c r="BK78" s="2014"/>
      <c r="BL78" s="1399"/>
      <c r="BM78" s="1391"/>
      <c r="BN78" s="2029"/>
      <c r="BO78" s="2014"/>
      <c r="BP78" s="1399"/>
      <c r="BQ78" s="1391">
        <v>43766</v>
      </c>
      <c r="BR78" s="1393" t="s">
        <v>8644</v>
      </c>
      <c r="BS78" s="2023">
        <v>22</v>
      </c>
      <c r="BT78" s="1392" t="s">
        <v>702</v>
      </c>
      <c r="BU78" s="1391">
        <v>44122</v>
      </c>
      <c r="BV78" s="1393" t="s">
        <v>859</v>
      </c>
      <c r="BW78" s="2023">
        <v>20</v>
      </c>
      <c r="BX78" s="1392" t="s">
        <v>414</v>
      </c>
      <c r="BY78" s="1391">
        <v>44491</v>
      </c>
      <c r="BZ78" s="1393" t="s">
        <v>8645</v>
      </c>
      <c r="CA78" s="2023">
        <v>7</v>
      </c>
      <c r="CB78" s="1392" t="s">
        <v>280</v>
      </c>
      <c r="CC78" s="1391">
        <v>44849</v>
      </c>
      <c r="CD78" s="1393" t="s">
        <v>8646</v>
      </c>
      <c r="CE78" s="2023">
        <v>16</v>
      </c>
      <c r="CF78" s="1392" t="s">
        <v>280</v>
      </c>
      <c r="CG78" s="1391">
        <v>45225</v>
      </c>
      <c r="CH78" s="2032" t="s">
        <v>4088</v>
      </c>
      <c r="CI78" s="2023">
        <v>150</v>
      </c>
      <c r="CJ78" s="1392" t="s">
        <v>700</v>
      </c>
      <c r="CK78" s="1391">
        <v>45592</v>
      </c>
      <c r="CL78" s="2037" t="s">
        <v>772</v>
      </c>
      <c r="CM78" s="2009">
        <v>83</v>
      </c>
      <c r="CN78" s="1392" t="s">
        <v>414</v>
      </c>
    </row>
    <row r="79" spans="1:92" ht="14.25">
      <c r="A79" s="2011"/>
      <c r="B79" s="1397"/>
      <c r="C79" s="2014"/>
      <c r="D79" s="1399"/>
      <c r="E79" s="1391"/>
      <c r="F79" s="1397"/>
      <c r="G79" s="2014"/>
      <c r="H79" s="1399"/>
      <c r="I79" s="1391"/>
      <c r="J79" s="1397"/>
      <c r="K79" s="2014"/>
      <c r="L79" s="1399"/>
      <c r="M79" s="1391"/>
      <c r="N79" s="1397"/>
      <c r="O79" s="2014"/>
      <c r="P79" s="1399"/>
      <c r="Q79" s="1430"/>
      <c r="R79" s="1430"/>
      <c r="S79" s="1430"/>
      <c r="T79" s="1430"/>
      <c r="U79" s="1430"/>
      <c r="V79" s="1430"/>
      <c r="W79" s="1430"/>
      <c r="X79" s="1430"/>
      <c r="Y79" s="1430"/>
      <c r="Z79" s="1430"/>
      <c r="AA79" s="1430"/>
      <c r="AB79" s="1430"/>
      <c r="AC79" s="1430"/>
      <c r="AD79" s="1430"/>
      <c r="AE79" s="1430"/>
      <c r="AF79" s="1430"/>
      <c r="AG79" s="1430"/>
      <c r="AH79" s="1430"/>
      <c r="AI79" s="1430"/>
      <c r="AJ79" s="1430"/>
      <c r="AK79" s="1430"/>
      <c r="AL79" s="1430"/>
      <c r="AM79" s="1430"/>
      <c r="AN79" s="1430"/>
      <c r="AO79" s="1430"/>
      <c r="AP79" s="1430"/>
      <c r="AQ79" s="1430"/>
      <c r="AR79" s="1430"/>
      <c r="AS79" s="1391">
        <v>41569</v>
      </c>
      <c r="AT79" s="1397" t="s">
        <v>8647</v>
      </c>
      <c r="AU79" s="2014">
        <v>15</v>
      </c>
      <c r="AV79" s="1399"/>
      <c r="AW79" s="1391"/>
      <c r="AX79" s="1397"/>
      <c r="AY79" s="2014"/>
      <c r="AZ79" s="1399"/>
      <c r="BA79" s="1391">
        <v>42297</v>
      </c>
      <c r="BB79" s="1397" t="s">
        <v>8648</v>
      </c>
      <c r="BC79" s="2014">
        <v>18</v>
      </c>
      <c r="BD79" s="1399"/>
      <c r="BE79" s="1391"/>
      <c r="BF79" s="2029"/>
      <c r="BG79" s="2014"/>
      <c r="BH79" s="1399"/>
      <c r="BI79" s="1391"/>
      <c r="BJ79" s="2029"/>
      <c r="BK79" s="2014"/>
      <c r="BL79" s="1399"/>
      <c r="BM79" s="1391"/>
      <c r="BN79" s="2029"/>
      <c r="BO79" s="2014"/>
      <c r="BP79" s="1399"/>
      <c r="BQ79" s="1391"/>
      <c r="BR79" s="1393"/>
      <c r="BS79" s="2023"/>
      <c r="BT79" s="1399"/>
      <c r="BU79" s="1391">
        <v>44122</v>
      </c>
      <c r="BV79" s="1393" t="s">
        <v>8649</v>
      </c>
      <c r="BW79" s="2023">
        <v>157</v>
      </c>
      <c r="BX79" s="1392" t="s">
        <v>701</v>
      </c>
      <c r="BY79" s="1391">
        <v>44491</v>
      </c>
      <c r="BZ79" s="1393" t="s">
        <v>8650</v>
      </c>
      <c r="CA79" s="2023">
        <v>0</v>
      </c>
      <c r="CB79" s="1392" t="s">
        <v>280</v>
      </c>
      <c r="CC79" s="1391">
        <v>44849</v>
      </c>
      <c r="CD79" s="1393" t="s">
        <v>8363</v>
      </c>
      <c r="CE79" s="2023"/>
      <c r="CF79" s="1392"/>
      <c r="CG79" s="1391">
        <v>45225</v>
      </c>
      <c r="CH79" s="1393" t="s">
        <v>8651</v>
      </c>
      <c r="CI79" s="2023">
        <v>40</v>
      </c>
      <c r="CJ79" s="1392" t="s">
        <v>700</v>
      </c>
      <c r="CK79" s="1391">
        <v>45592</v>
      </c>
      <c r="CL79" s="2037" t="s">
        <v>948</v>
      </c>
      <c r="CM79" s="2009">
        <v>29</v>
      </c>
      <c r="CN79" s="1392" t="s">
        <v>414</v>
      </c>
    </row>
    <row r="80" spans="1:92" ht="14.25">
      <c r="A80" s="1415" t="s">
        <v>477</v>
      </c>
      <c r="B80" s="1416"/>
      <c r="C80" s="2031">
        <f>SUM(C4:C79)</f>
        <v>3017</v>
      </c>
      <c r="D80" s="2031">
        <f>SUM(D4:D79)</f>
        <v>1483</v>
      </c>
      <c r="E80" s="1415" t="s">
        <v>477</v>
      </c>
      <c r="F80" s="1416"/>
      <c r="G80" s="2031">
        <f>SUM(G4:G79)</f>
        <v>3371</v>
      </c>
      <c r="H80" s="2031">
        <f>SUM(H4:H79)</f>
        <v>3375</v>
      </c>
      <c r="I80" s="1415" t="s">
        <v>477</v>
      </c>
      <c r="J80" s="1416"/>
      <c r="K80" s="2031">
        <f>SUM(K4:K79)</f>
        <v>3084</v>
      </c>
      <c r="L80" s="2031">
        <f>SUM(L4:L79)</f>
        <v>3365</v>
      </c>
      <c r="M80" s="1415" t="s">
        <v>477</v>
      </c>
      <c r="N80" s="1416"/>
      <c r="O80" s="2031">
        <f>SUM(O4:O79)</f>
        <v>70228</v>
      </c>
      <c r="P80" s="2031">
        <f>SUM(P4:P79)</f>
        <v>1625.7441860465124</v>
      </c>
      <c r="Q80" s="1430"/>
      <c r="R80" s="1430"/>
      <c r="S80" s="1430"/>
      <c r="T80" s="1430"/>
      <c r="U80" s="1430"/>
      <c r="V80" s="1430"/>
      <c r="W80" s="1430"/>
      <c r="X80" s="1430"/>
      <c r="Y80" s="1430"/>
      <c r="Z80" s="1430"/>
      <c r="AA80" s="1430"/>
      <c r="AB80" s="1430"/>
      <c r="AC80" s="1430"/>
      <c r="AD80" s="1430"/>
      <c r="AE80" s="1430"/>
      <c r="AF80" s="1430"/>
      <c r="AG80" s="1430"/>
      <c r="AH80" s="1430"/>
      <c r="AI80" s="1430"/>
      <c r="AJ80" s="1430"/>
      <c r="AK80" s="1430"/>
      <c r="AL80" s="1430"/>
      <c r="AM80" s="1430"/>
      <c r="AN80" s="1430"/>
      <c r="AO80" s="1430"/>
      <c r="AP80" s="1430"/>
      <c r="AQ80" s="1430"/>
      <c r="AR80" s="1430"/>
      <c r="AS80" s="1391">
        <v>41569</v>
      </c>
      <c r="AT80" s="1397" t="s">
        <v>1903</v>
      </c>
      <c r="AU80" s="2014">
        <v>68</v>
      </c>
      <c r="AV80" s="1399"/>
      <c r="AW80" s="1391"/>
      <c r="AX80" s="1397"/>
      <c r="AY80" s="2014"/>
      <c r="AZ80" s="1399"/>
      <c r="BA80" s="1391">
        <v>42297</v>
      </c>
      <c r="BB80" s="1397" t="s">
        <v>8652</v>
      </c>
      <c r="BC80" s="2014">
        <v>25</v>
      </c>
      <c r="BD80" s="1399"/>
      <c r="BE80" s="1391"/>
      <c r="BF80" s="2029"/>
      <c r="BG80" s="2014"/>
      <c r="BH80" s="1399"/>
      <c r="BI80" s="1391"/>
      <c r="BJ80" s="2029"/>
      <c r="BK80" s="2014"/>
      <c r="BL80" s="1399"/>
      <c r="BM80" s="1391"/>
      <c r="BN80" s="2029"/>
      <c r="BO80" s="2014"/>
      <c r="BP80" s="1399"/>
      <c r="BQ80" s="1391"/>
      <c r="BR80" s="1393"/>
      <c r="BS80" s="2023"/>
      <c r="BT80" s="1399"/>
      <c r="BU80" s="1391">
        <v>44122</v>
      </c>
      <c r="BV80" s="1393" t="s">
        <v>8653</v>
      </c>
      <c r="BW80" s="2023">
        <v>1200</v>
      </c>
      <c r="BX80" s="1392" t="s">
        <v>701</v>
      </c>
      <c r="BY80" s="1391">
        <v>44492</v>
      </c>
      <c r="BZ80" s="1393" t="s">
        <v>843</v>
      </c>
      <c r="CA80" s="2023">
        <v>27</v>
      </c>
      <c r="CB80" s="1392" t="s">
        <v>414</v>
      </c>
      <c r="CC80" s="1391">
        <v>44849</v>
      </c>
      <c r="CD80" s="2027" t="s">
        <v>8654</v>
      </c>
      <c r="CE80" s="2023">
        <v>58</v>
      </c>
      <c r="CF80" s="1392" t="s">
        <v>426</v>
      </c>
      <c r="CG80" s="1391">
        <v>45225</v>
      </c>
      <c r="CH80" s="1393" t="s">
        <v>8655</v>
      </c>
      <c r="CI80" s="2023">
        <v>56</v>
      </c>
      <c r="CJ80" s="1392" t="s">
        <v>700</v>
      </c>
      <c r="CK80" s="1391">
        <v>45592</v>
      </c>
      <c r="CL80" s="2037" t="s">
        <v>845</v>
      </c>
      <c r="CM80" s="2009">
        <v>67</v>
      </c>
      <c r="CN80" s="1392" t="s">
        <v>414</v>
      </c>
    </row>
    <row r="81" spans="1:92" ht="14.25">
      <c r="A81" s="1419" t="s">
        <v>1672</v>
      </c>
      <c r="B81" s="1420"/>
      <c r="C81" s="2033"/>
      <c r="D81" s="2034"/>
      <c r="E81" s="1419" t="s">
        <v>1672</v>
      </c>
      <c r="F81" s="1420"/>
      <c r="G81" s="2033"/>
      <c r="H81" s="2034"/>
      <c r="I81" s="1419" t="s">
        <v>1672</v>
      </c>
      <c r="J81" s="1420"/>
      <c r="K81" s="2033"/>
      <c r="L81" s="2034"/>
      <c r="M81" s="1419" t="s">
        <v>1672</v>
      </c>
      <c r="N81" s="1420"/>
      <c r="O81" s="2033"/>
      <c r="P81" s="2034"/>
      <c r="Q81" s="1430"/>
      <c r="R81" s="1430"/>
      <c r="S81" s="1430"/>
      <c r="T81" s="1430"/>
      <c r="U81" s="1430"/>
      <c r="V81" s="1430"/>
      <c r="W81" s="1430"/>
      <c r="X81" s="1430"/>
      <c r="Y81" s="1430"/>
      <c r="Z81" s="1430"/>
      <c r="AA81" s="1430"/>
      <c r="AB81" s="1430"/>
      <c r="AC81" s="1430"/>
      <c r="AD81" s="1430"/>
      <c r="AE81" s="1430"/>
      <c r="AF81" s="1430"/>
      <c r="AG81" s="1430"/>
      <c r="AH81" s="1430"/>
      <c r="AI81" s="1430"/>
      <c r="AJ81" s="1430"/>
      <c r="AK81" s="1430"/>
      <c r="AL81" s="1430"/>
      <c r="AM81" s="1430"/>
      <c r="AN81" s="1430"/>
      <c r="AO81" s="1430"/>
      <c r="AP81" s="1430"/>
      <c r="AQ81" s="1430"/>
      <c r="AR81" s="1430"/>
      <c r="AS81" s="1391">
        <v>41570</v>
      </c>
      <c r="AT81" s="1397" t="s">
        <v>797</v>
      </c>
      <c r="AU81" s="2014">
        <v>43</v>
      </c>
      <c r="AV81" s="1399"/>
      <c r="AW81" s="1391"/>
      <c r="AX81" s="1397"/>
      <c r="AY81" s="2014"/>
      <c r="AZ81" s="1399"/>
      <c r="BA81" s="1391">
        <v>42297</v>
      </c>
      <c r="BB81" s="1397" t="s">
        <v>8524</v>
      </c>
      <c r="BC81" s="2014">
        <v>35</v>
      </c>
      <c r="BD81" s="1399"/>
      <c r="BE81" s="1391"/>
      <c r="BF81" s="2029"/>
      <c r="BG81" s="2014"/>
      <c r="BH81" s="1399"/>
      <c r="BI81" s="1391"/>
      <c r="BJ81" s="2029"/>
      <c r="BK81" s="2014"/>
      <c r="BL81" s="1399"/>
      <c r="BM81" s="1391"/>
      <c r="BN81" s="2029"/>
      <c r="BO81" s="2014"/>
      <c r="BP81" s="1399"/>
      <c r="BQ81" s="1391"/>
      <c r="BR81" s="1393"/>
      <c r="BS81" s="2023"/>
      <c r="BT81" s="1399"/>
      <c r="BU81" s="1391">
        <v>44122</v>
      </c>
      <c r="BV81" s="1393" t="s">
        <v>8656</v>
      </c>
      <c r="BW81" s="2023">
        <v>88</v>
      </c>
      <c r="BX81" s="1392" t="s">
        <v>701</v>
      </c>
      <c r="BY81" s="1391">
        <v>44492</v>
      </c>
      <c r="BZ81" s="1393" t="s">
        <v>4372</v>
      </c>
      <c r="CA81" s="2023">
        <v>26</v>
      </c>
      <c r="CB81" s="1392" t="s">
        <v>414</v>
      </c>
      <c r="CC81" s="1391">
        <v>44849</v>
      </c>
      <c r="CD81" s="2027" t="s">
        <v>8657</v>
      </c>
      <c r="CE81" s="2023">
        <v>28</v>
      </c>
      <c r="CF81" s="1392" t="s">
        <v>426</v>
      </c>
      <c r="CG81" s="1391">
        <v>45225</v>
      </c>
      <c r="CH81" s="1393" t="s">
        <v>8658</v>
      </c>
      <c r="CI81" s="2023">
        <v>25</v>
      </c>
      <c r="CJ81" s="1392" t="s">
        <v>700</v>
      </c>
      <c r="CK81" s="1391">
        <v>45592</v>
      </c>
      <c r="CL81" s="2037" t="s">
        <v>5822</v>
      </c>
      <c r="CM81" s="2009">
        <v>29</v>
      </c>
      <c r="CN81" s="1392" t="s">
        <v>414</v>
      </c>
    </row>
    <row r="82" spans="1:92" ht="14.25">
      <c r="A82" s="1423" t="s">
        <v>138</v>
      </c>
      <c r="B82" s="1424"/>
      <c r="C82" s="2039">
        <f>SUM(C80,D80)</f>
        <v>4500</v>
      </c>
      <c r="D82" s="2036"/>
      <c r="E82" s="1423" t="s">
        <v>138</v>
      </c>
      <c r="F82" s="1424"/>
      <c r="G82" s="2035">
        <f>SUM(G80,H80)</f>
        <v>6746</v>
      </c>
      <c r="H82" s="2036"/>
      <c r="I82" s="1423" t="s">
        <v>138</v>
      </c>
      <c r="J82" s="1424"/>
      <c r="K82" s="2035">
        <f>SUM(K80,L80)</f>
        <v>6449</v>
      </c>
      <c r="L82" s="2036"/>
      <c r="M82" s="1423" t="s">
        <v>138</v>
      </c>
      <c r="N82" s="1424"/>
      <c r="O82" s="2035">
        <f>SUM(O80,P80)</f>
        <v>71853.744186046519</v>
      </c>
      <c r="P82" s="2036"/>
      <c r="Q82" s="1430"/>
      <c r="R82" s="1430"/>
      <c r="S82" s="1430"/>
      <c r="T82" s="1430"/>
      <c r="U82" s="1430"/>
      <c r="V82" s="1430"/>
      <c r="W82" s="1430"/>
      <c r="X82" s="1430"/>
      <c r="Y82" s="1430"/>
      <c r="Z82" s="1430"/>
      <c r="AA82" s="1430"/>
      <c r="AB82" s="1430"/>
      <c r="AC82" s="1430"/>
      <c r="AD82" s="1430"/>
      <c r="AE82" s="1430"/>
      <c r="AF82" s="1430"/>
      <c r="AG82" s="1430"/>
      <c r="AH82" s="1430"/>
      <c r="AI82" s="1430"/>
      <c r="AJ82" s="1430"/>
      <c r="AK82" s="1430"/>
      <c r="AL82" s="1430"/>
      <c r="AM82" s="1430"/>
      <c r="AN82" s="1430"/>
      <c r="AO82" s="1430"/>
      <c r="AP82" s="1430"/>
      <c r="AQ82" s="1430"/>
      <c r="AR82" s="1430"/>
      <c r="AS82" s="1391">
        <v>41570</v>
      </c>
      <c r="AT82" s="1397" t="s">
        <v>802</v>
      </c>
      <c r="AU82" s="2014">
        <v>48</v>
      </c>
      <c r="AV82" s="1399"/>
      <c r="AW82" s="1391"/>
      <c r="AX82" s="1397"/>
      <c r="AY82" s="2014"/>
      <c r="AZ82" s="1399"/>
      <c r="BA82" s="1391">
        <v>42297</v>
      </c>
      <c r="BB82" s="1397" t="s">
        <v>797</v>
      </c>
      <c r="BC82" s="2014">
        <v>37</v>
      </c>
      <c r="BD82" s="1399"/>
      <c r="BE82" s="1391"/>
      <c r="BF82" s="2029"/>
      <c r="BG82" s="2014"/>
      <c r="BH82" s="1399"/>
      <c r="BI82" s="1391"/>
      <c r="BJ82" s="2029"/>
      <c r="BK82" s="2014"/>
      <c r="BL82" s="1399"/>
      <c r="BM82" s="1391"/>
      <c r="BN82" s="2029"/>
      <c r="BO82" s="2014"/>
      <c r="BP82" s="1399"/>
      <c r="BQ82" s="1391"/>
      <c r="BR82" s="1393"/>
      <c r="BS82" s="2023"/>
      <c r="BT82" s="1399"/>
      <c r="BU82" s="1391">
        <v>44122</v>
      </c>
      <c r="BV82" s="1393" t="s">
        <v>8659</v>
      </c>
      <c r="BW82" s="2023">
        <v>53</v>
      </c>
      <c r="BX82" s="1392" t="s">
        <v>701</v>
      </c>
      <c r="BY82" s="1391">
        <v>44492</v>
      </c>
      <c r="BZ82" s="1393" t="s">
        <v>772</v>
      </c>
      <c r="CA82" s="2023">
        <v>47</v>
      </c>
      <c r="CB82" s="1392" t="s">
        <v>414</v>
      </c>
      <c r="CC82" s="1391">
        <v>44849</v>
      </c>
      <c r="CD82" s="2027" t="s">
        <v>8660</v>
      </c>
      <c r="CE82" s="2023">
        <v>45</v>
      </c>
      <c r="CF82" s="1392" t="s">
        <v>426</v>
      </c>
      <c r="CG82" s="1391">
        <v>45225</v>
      </c>
      <c r="CH82" s="1393" t="s">
        <v>8661</v>
      </c>
      <c r="CI82" s="2023">
        <v>40</v>
      </c>
      <c r="CJ82" s="1392" t="s">
        <v>700</v>
      </c>
      <c r="CK82" s="1391">
        <v>45593</v>
      </c>
      <c r="CL82" s="2037" t="s">
        <v>8662</v>
      </c>
      <c r="CM82" s="2009">
        <v>56</v>
      </c>
      <c r="CN82" s="1392" t="s">
        <v>278</v>
      </c>
    </row>
    <row r="83" spans="1:92" ht="14.25">
      <c r="A83" s="1430"/>
      <c r="B83" s="1430"/>
      <c r="C83" s="1430"/>
      <c r="D83" s="1430"/>
      <c r="E83" s="1430"/>
      <c r="F83" s="1430"/>
      <c r="G83" s="1430"/>
      <c r="H83" s="1430"/>
      <c r="I83" s="1430"/>
      <c r="J83" s="1430"/>
      <c r="K83" s="1430"/>
      <c r="L83" s="1430"/>
      <c r="M83" s="1430"/>
      <c r="N83" s="1430"/>
      <c r="O83" s="1430"/>
      <c r="P83" s="1430"/>
      <c r="Q83" s="1430"/>
      <c r="R83" s="1430"/>
      <c r="S83" s="1430"/>
      <c r="T83" s="1430"/>
      <c r="U83" s="1430"/>
      <c r="V83" s="1430"/>
      <c r="W83" s="1430"/>
      <c r="X83" s="1430"/>
      <c r="Y83" s="1430"/>
      <c r="Z83" s="1430"/>
      <c r="AA83" s="1430"/>
      <c r="AB83" s="1430"/>
      <c r="AC83" s="1430"/>
      <c r="AD83" s="1430"/>
      <c r="AE83" s="1430"/>
      <c r="AF83" s="1430"/>
      <c r="AG83" s="1430"/>
      <c r="AH83" s="1430"/>
      <c r="AI83" s="1430"/>
      <c r="AJ83" s="1430"/>
      <c r="AK83" s="1430"/>
      <c r="AL83" s="1430"/>
      <c r="AM83" s="1430"/>
      <c r="AN83" s="1430"/>
      <c r="AO83" s="1430"/>
      <c r="AP83" s="1430"/>
      <c r="AQ83" s="1430"/>
      <c r="AR83" s="1430"/>
      <c r="AS83" s="1391">
        <v>41570</v>
      </c>
      <c r="AT83" s="1397" t="s">
        <v>8663</v>
      </c>
      <c r="AU83" s="2014">
        <v>114</v>
      </c>
      <c r="AV83" s="1399"/>
      <c r="AW83" s="1391"/>
      <c r="AX83" s="1397"/>
      <c r="AY83" s="2014"/>
      <c r="AZ83" s="1399"/>
      <c r="BA83" s="1391">
        <v>42297</v>
      </c>
      <c r="BB83" s="1397" t="s">
        <v>1903</v>
      </c>
      <c r="BC83" s="2014">
        <v>95</v>
      </c>
      <c r="BD83" s="1399"/>
      <c r="BE83" s="1391"/>
      <c r="BF83" s="2029"/>
      <c r="BG83" s="2014"/>
      <c r="BH83" s="1399"/>
      <c r="BI83" s="1391"/>
      <c r="BJ83" s="2029"/>
      <c r="BK83" s="2014"/>
      <c r="BL83" s="1399"/>
      <c r="BM83" s="1391"/>
      <c r="BN83" s="2029"/>
      <c r="BO83" s="2014"/>
      <c r="BP83" s="1399"/>
      <c r="BQ83" s="1391"/>
      <c r="BR83" s="1393"/>
      <c r="BS83" s="2023"/>
      <c r="BT83" s="1399"/>
      <c r="BU83" s="1391">
        <v>44122</v>
      </c>
      <c r="BV83" s="1393" t="s">
        <v>8664</v>
      </c>
      <c r="BW83" s="2023">
        <v>165</v>
      </c>
      <c r="BX83" s="1392" t="s">
        <v>701</v>
      </c>
      <c r="BY83" s="1391">
        <v>44492</v>
      </c>
      <c r="BZ83" s="1393" t="s">
        <v>872</v>
      </c>
      <c r="CA83" s="2023">
        <v>97</v>
      </c>
      <c r="CB83" s="1392" t="s">
        <v>414</v>
      </c>
      <c r="CC83" s="1391">
        <v>44849</v>
      </c>
      <c r="CD83" s="2027" t="s">
        <v>8665</v>
      </c>
      <c r="CE83" s="2023">
        <v>25</v>
      </c>
      <c r="CF83" s="1392" t="s">
        <v>426</v>
      </c>
      <c r="CG83" s="1391">
        <v>45225</v>
      </c>
      <c r="CH83" s="1393" t="s">
        <v>8666</v>
      </c>
      <c r="CI83" s="2023">
        <v>40</v>
      </c>
      <c r="CJ83" s="1392" t="s">
        <v>700</v>
      </c>
      <c r="CK83" s="1391">
        <v>45595</v>
      </c>
      <c r="CL83" s="2037" t="s">
        <v>1006</v>
      </c>
      <c r="CM83" s="2009">
        <v>50</v>
      </c>
      <c r="CN83" s="1392" t="s">
        <v>280</v>
      </c>
    </row>
    <row r="84" spans="1:92" ht="14.25">
      <c r="A84" s="1430"/>
      <c r="B84" s="1430"/>
      <c r="C84" s="1430"/>
      <c r="D84" s="1430"/>
      <c r="E84" s="1430"/>
      <c r="F84" s="1430"/>
      <c r="G84" s="1430"/>
      <c r="H84" s="1430"/>
      <c r="I84" s="1430"/>
      <c r="J84" s="1430"/>
      <c r="K84" s="1430"/>
      <c r="L84" s="1430"/>
      <c r="M84" s="1430"/>
      <c r="N84" s="1430"/>
      <c r="O84" s="1430"/>
      <c r="P84" s="1430"/>
      <c r="Q84" s="1430"/>
      <c r="R84" s="1430"/>
      <c r="S84" s="1430"/>
      <c r="T84" s="1430"/>
      <c r="U84" s="1430"/>
      <c r="V84" s="1430"/>
      <c r="W84" s="1430"/>
      <c r="X84" s="1430"/>
      <c r="Y84" s="1430"/>
      <c r="Z84" s="1430"/>
      <c r="AA84" s="1430"/>
      <c r="AB84" s="1430"/>
      <c r="AC84" s="1430"/>
      <c r="AD84" s="1430"/>
      <c r="AE84" s="1430"/>
      <c r="AF84" s="1430"/>
      <c r="AG84" s="1430"/>
      <c r="AH84" s="1430"/>
      <c r="AI84" s="1430"/>
      <c r="AJ84" s="1430"/>
      <c r="AK84" s="1430"/>
      <c r="AL84" s="1430"/>
      <c r="AM84" s="1430"/>
      <c r="AN84" s="1430"/>
      <c r="AO84" s="1430"/>
      <c r="AP84" s="1430"/>
      <c r="AQ84" s="1430"/>
      <c r="AR84" s="1430"/>
      <c r="AS84" s="1391">
        <v>41571</v>
      </c>
      <c r="AT84" s="1397" t="s">
        <v>8667</v>
      </c>
      <c r="AU84" s="2014">
        <v>35</v>
      </c>
      <c r="AV84" s="1399"/>
      <c r="AW84" s="1391"/>
      <c r="AX84" s="1397"/>
      <c r="AY84" s="2014"/>
      <c r="AZ84" s="1399"/>
      <c r="BA84" s="1391">
        <v>42299</v>
      </c>
      <c r="BB84" s="1397" t="s">
        <v>754</v>
      </c>
      <c r="BC84" s="2014">
        <v>101</v>
      </c>
      <c r="BD84" s="1399"/>
      <c r="BE84" s="1391"/>
      <c r="BF84" s="2029"/>
      <c r="BG84" s="2014"/>
      <c r="BH84" s="1399"/>
      <c r="BI84" s="1391"/>
      <c r="BJ84" s="2029"/>
      <c r="BK84" s="2014"/>
      <c r="BL84" s="1399"/>
      <c r="BM84" s="1391"/>
      <c r="BN84" s="2029"/>
      <c r="BO84" s="2014"/>
      <c r="BP84" s="1399"/>
      <c r="BQ84" s="1391"/>
      <c r="BR84" s="1393"/>
      <c r="BS84" s="2023"/>
      <c r="BT84" s="1399"/>
      <c r="BU84" s="1391">
        <v>44122</v>
      </c>
      <c r="BV84" s="1393" t="s">
        <v>8668</v>
      </c>
      <c r="BW84" s="2023">
        <v>21</v>
      </c>
      <c r="BX84" s="1392" t="s">
        <v>414</v>
      </c>
      <c r="BY84" s="1391">
        <v>44493</v>
      </c>
      <c r="BZ84" s="1393" t="s">
        <v>8669</v>
      </c>
      <c r="CA84" s="2023">
        <v>13</v>
      </c>
      <c r="CB84" s="1392" t="s">
        <v>280</v>
      </c>
      <c r="CC84" s="1391">
        <v>44849</v>
      </c>
      <c r="CD84" s="2027" t="s">
        <v>782</v>
      </c>
      <c r="CE84" s="2023">
        <v>60</v>
      </c>
      <c r="CF84" s="1392" t="s">
        <v>426</v>
      </c>
      <c r="CG84" s="1391">
        <v>45225</v>
      </c>
      <c r="CH84" s="1393" t="s">
        <v>8670</v>
      </c>
      <c r="CI84" s="2023">
        <v>40</v>
      </c>
      <c r="CJ84" s="1392" t="s">
        <v>700</v>
      </c>
      <c r="CK84" s="1391">
        <v>45592</v>
      </c>
      <c r="CL84" s="2037" t="s">
        <v>8634</v>
      </c>
      <c r="CM84" s="2009">
        <v>34</v>
      </c>
      <c r="CN84" s="1392" t="s">
        <v>280</v>
      </c>
    </row>
    <row r="85" spans="1:92" ht="14.25">
      <c r="A85" s="1430"/>
      <c r="B85" s="1430"/>
      <c r="C85" s="1430"/>
      <c r="D85" s="1430"/>
      <c r="E85" s="1430"/>
      <c r="F85" s="1430"/>
      <c r="G85" s="1430"/>
      <c r="H85" s="1430"/>
      <c r="I85" s="1430"/>
      <c r="J85" s="1430"/>
      <c r="K85" s="1430"/>
      <c r="L85" s="1430"/>
      <c r="M85" s="1430"/>
      <c r="N85" s="1430"/>
      <c r="O85" s="1430"/>
      <c r="P85" s="1430"/>
      <c r="Q85" s="1430"/>
      <c r="R85" s="1430"/>
      <c r="S85" s="1430"/>
      <c r="T85" s="1430"/>
      <c r="U85" s="1430"/>
      <c r="V85" s="1430"/>
      <c r="W85" s="1430"/>
      <c r="X85" s="1430"/>
      <c r="Y85" s="1430"/>
      <c r="Z85" s="1430"/>
      <c r="AA85" s="1430"/>
      <c r="AB85" s="1430"/>
      <c r="AC85" s="1430"/>
      <c r="AD85" s="1430"/>
      <c r="AE85" s="1430"/>
      <c r="AF85" s="1430"/>
      <c r="AG85" s="1430"/>
      <c r="AH85" s="1430"/>
      <c r="AI85" s="1430"/>
      <c r="AJ85" s="1430"/>
      <c r="AK85" s="1430"/>
      <c r="AL85" s="1430"/>
      <c r="AM85" s="1430"/>
      <c r="AN85" s="1430"/>
      <c r="AO85" s="1430"/>
      <c r="AP85" s="1430"/>
      <c r="AQ85" s="1430"/>
      <c r="AR85" s="1430"/>
      <c r="AS85" s="1391">
        <v>41571</v>
      </c>
      <c r="AT85" s="1397" t="s">
        <v>8671</v>
      </c>
      <c r="AU85" s="2014">
        <v>3</v>
      </c>
      <c r="AV85" s="1399"/>
      <c r="AW85" s="1391"/>
      <c r="AX85" s="1397"/>
      <c r="AY85" s="2014"/>
      <c r="AZ85" s="1399"/>
      <c r="BA85" s="1391">
        <v>42299</v>
      </c>
      <c r="BB85" s="1397" t="s">
        <v>8672</v>
      </c>
      <c r="BC85" s="2014">
        <v>6</v>
      </c>
      <c r="BD85" s="1399"/>
      <c r="BE85" s="1391"/>
      <c r="BF85" s="2029"/>
      <c r="BG85" s="2014"/>
      <c r="BH85" s="1399"/>
      <c r="BI85" s="1391"/>
      <c r="BJ85" s="2029"/>
      <c r="BK85" s="2014"/>
      <c r="BL85" s="1399"/>
      <c r="BM85" s="1391"/>
      <c r="BN85" s="2029"/>
      <c r="BO85" s="2014"/>
      <c r="BP85" s="1399"/>
      <c r="BQ85" s="1391"/>
      <c r="BR85" s="1393"/>
      <c r="BS85" s="2023"/>
      <c r="BT85" s="1399"/>
      <c r="BU85" s="1391">
        <v>44125</v>
      </c>
      <c r="BV85" s="1393" t="s">
        <v>8673</v>
      </c>
      <c r="BW85" s="2023">
        <v>749</v>
      </c>
      <c r="BX85" s="1392" t="s">
        <v>701</v>
      </c>
      <c r="BY85" s="1391">
        <v>44493</v>
      </c>
      <c r="BZ85" s="1393" t="s">
        <v>890</v>
      </c>
      <c r="CA85" s="2023">
        <v>37</v>
      </c>
      <c r="CB85" s="1392" t="s">
        <v>414</v>
      </c>
      <c r="CC85" s="1391">
        <v>44849</v>
      </c>
      <c r="CD85" s="1393" t="s">
        <v>8674</v>
      </c>
      <c r="CE85" s="2023">
        <v>32</v>
      </c>
      <c r="CF85" s="1392" t="s">
        <v>278</v>
      </c>
      <c r="CG85" s="1391">
        <v>45225</v>
      </c>
      <c r="CH85" s="1393" t="s">
        <v>8675</v>
      </c>
      <c r="CI85" s="2023">
        <v>40</v>
      </c>
      <c r="CJ85" s="1392" t="s">
        <v>700</v>
      </c>
      <c r="CK85" s="1391">
        <v>45592</v>
      </c>
      <c r="CL85" s="2037" t="s">
        <v>8637</v>
      </c>
      <c r="CM85" s="2009">
        <v>25</v>
      </c>
      <c r="CN85" s="1392" t="s">
        <v>414</v>
      </c>
    </row>
    <row r="86" spans="1:92" ht="14.25">
      <c r="A86" s="1430"/>
      <c r="B86" s="1430"/>
      <c r="C86" s="1430"/>
      <c r="D86" s="1430"/>
      <c r="E86" s="1430"/>
      <c r="F86" s="1430"/>
      <c r="G86" s="1430"/>
      <c r="H86" s="1430"/>
      <c r="I86" s="1430"/>
      <c r="J86" s="1430"/>
      <c r="K86" s="1430"/>
      <c r="L86" s="1430"/>
      <c r="M86" s="1430"/>
      <c r="N86" s="1430"/>
      <c r="O86" s="1430"/>
      <c r="P86" s="1430"/>
      <c r="Q86" s="1430"/>
      <c r="R86" s="1430"/>
      <c r="S86" s="1430"/>
      <c r="T86" s="1430"/>
      <c r="U86" s="1430"/>
      <c r="V86" s="1430"/>
      <c r="W86" s="1430"/>
      <c r="X86" s="1430"/>
      <c r="Y86" s="1430"/>
      <c r="Z86" s="1430"/>
      <c r="AA86" s="1430"/>
      <c r="AB86" s="1430"/>
      <c r="AC86" s="1430"/>
      <c r="AD86" s="1430"/>
      <c r="AE86" s="1430"/>
      <c r="AF86" s="1430"/>
      <c r="AG86" s="1430"/>
      <c r="AH86" s="1430"/>
      <c r="AI86" s="1430"/>
      <c r="AJ86" s="1430"/>
      <c r="AK86" s="1430"/>
      <c r="AL86" s="1430"/>
      <c r="AM86" s="1430"/>
      <c r="AN86" s="1430"/>
      <c r="AO86" s="1430"/>
      <c r="AP86" s="1430"/>
      <c r="AQ86" s="1430"/>
      <c r="AR86" s="1430"/>
      <c r="AS86" s="1391">
        <v>41572</v>
      </c>
      <c r="AT86" s="1397" t="s">
        <v>925</v>
      </c>
      <c r="AU86" s="2014">
        <v>3</v>
      </c>
      <c r="AV86" s="1399"/>
      <c r="AW86" s="1391"/>
      <c r="AX86" s="1397"/>
      <c r="AY86" s="2014"/>
      <c r="AZ86" s="1399"/>
      <c r="BA86" s="1391">
        <v>42299</v>
      </c>
      <c r="BB86" s="1397" t="s">
        <v>8676</v>
      </c>
      <c r="BC86" s="2014">
        <v>25</v>
      </c>
      <c r="BD86" s="1399"/>
      <c r="BE86" s="1391"/>
      <c r="BF86" s="2029"/>
      <c r="BG86" s="2014"/>
      <c r="BH86" s="1399"/>
      <c r="BI86" s="1391"/>
      <c r="BJ86" s="2029"/>
      <c r="BK86" s="2014"/>
      <c r="BL86" s="1399"/>
      <c r="BM86" s="1391"/>
      <c r="BN86" s="2029"/>
      <c r="BO86" s="2014"/>
      <c r="BP86" s="1399"/>
      <c r="BQ86" s="1391"/>
      <c r="BR86" s="1393"/>
      <c r="BS86" s="2023"/>
      <c r="BT86" s="1399"/>
      <c r="BU86" s="1391">
        <v>44125</v>
      </c>
      <c r="BV86" s="1393" t="s">
        <v>797</v>
      </c>
      <c r="BW86" s="2023">
        <v>47</v>
      </c>
      <c r="BX86" s="1392" t="s">
        <v>410</v>
      </c>
      <c r="BY86" s="1391">
        <v>44495</v>
      </c>
      <c r="BZ86" s="1393" t="s">
        <v>8677</v>
      </c>
      <c r="CA86" s="2023">
        <v>38</v>
      </c>
      <c r="CB86" s="1392" t="s">
        <v>701</v>
      </c>
      <c r="CC86" s="1391">
        <v>44849</v>
      </c>
      <c r="CD86" s="2032" t="s">
        <v>772</v>
      </c>
      <c r="CE86" s="2023">
        <v>9</v>
      </c>
      <c r="CF86" s="1392" t="s">
        <v>414</v>
      </c>
      <c r="CG86" s="1391">
        <v>45225</v>
      </c>
      <c r="CH86" s="1393" t="s">
        <v>8678</v>
      </c>
      <c r="CI86" s="2023">
        <v>81</v>
      </c>
      <c r="CJ86" s="1392" t="s">
        <v>700</v>
      </c>
      <c r="CK86" s="1391">
        <v>45592</v>
      </c>
      <c r="CL86" s="2037" t="s">
        <v>8639</v>
      </c>
      <c r="CM86" s="2009">
        <v>150</v>
      </c>
      <c r="CN86" s="1392" t="s">
        <v>280</v>
      </c>
    </row>
    <row r="87" spans="1:92" ht="14.25">
      <c r="A87" s="1430"/>
      <c r="B87" s="1430"/>
      <c r="C87" s="1430"/>
      <c r="D87" s="1430"/>
      <c r="E87" s="1430"/>
      <c r="F87" s="1430"/>
      <c r="G87" s="1430"/>
      <c r="H87" s="1430"/>
      <c r="I87" s="1430"/>
      <c r="J87" s="1430"/>
      <c r="K87" s="1430"/>
      <c r="L87" s="1430"/>
      <c r="M87" s="1430"/>
      <c r="N87" s="1430"/>
      <c r="O87" s="1430"/>
      <c r="P87" s="1430"/>
      <c r="Q87" s="1430"/>
      <c r="R87" s="1430"/>
      <c r="S87" s="1430"/>
      <c r="T87" s="1430"/>
      <c r="U87" s="1430"/>
      <c r="V87" s="1430"/>
      <c r="W87" s="1430"/>
      <c r="X87" s="1430"/>
      <c r="Y87" s="1430"/>
      <c r="Z87" s="1430"/>
      <c r="AA87" s="1430"/>
      <c r="AB87" s="1430"/>
      <c r="AC87" s="1430"/>
      <c r="AD87" s="1430"/>
      <c r="AE87" s="1430"/>
      <c r="AF87" s="1430"/>
      <c r="AG87" s="1430"/>
      <c r="AH87" s="1430"/>
      <c r="AI87" s="1430"/>
      <c r="AJ87" s="1430"/>
      <c r="AK87" s="1430"/>
      <c r="AL87" s="1430"/>
      <c r="AM87" s="1430"/>
      <c r="AN87" s="1430"/>
      <c r="AO87" s="1430"/>
      <c r="AP87" s="1430"/>
      <c r="AQ87" s="1430"/>
      <c r="AR87" s="1430"/>
      <c r="AS87" s="1391">
        <v>41573</v>
      </c>
      <c r="AT87" s="1397" t="s">
        <v>754</v>
      </c>
      <c r="AU87" s="2014">
        <v>79</v>
      </c>
      <c r="AV87" s="1399"/>
      <c r="AW87" s="1391"/>
      <c r="AX87" s="1397"/>
      <c r="AY87" s="2014"/>
      <c r="AZ87" s="1399"/>
      <c r="BA87" s="1391">
        <v>42299</v>
      </c>
      <c r="BB87" s="1397" t="s">
        <v>8679</v>
      </c>
      <c r="BC87" s="2014">
        <v>43</v>
      </c>
      <c r="BD87" s="1399"/>
      <c r="BE87" s="1391"/>
      <c r="BF87" s="2029"/>
      <c r="BG87" s="2014"/>
      <c r="BH87" s="1399"/>
      <c r="BI87" s="1391"/>
      <c r="BJ87" s="2029"/>
      <c r="BK87" s="2014"/>
      <c r="BL87" s="1399"/>
      <c r="BM87" s="1391"/>
      <c r="BN87" s="2029"/>
      <c r="BO87" s="2014"/>
      <c r="BP87" s="1399"/>
      <c r="BQ87" s="1391"/>
      <c r="BR87" s="1393"/>
      <c r="BS87" s="2023"/>
      <c r="BT87" s="1399"/>
      <c r="BU87" s="1391">
        <v>44125</v>
      </c>
      <c r="BV87" s="1393" t="s">
        <v>890</v>
      </c>
      <c r="BW87" s="2023">
        <v>13</v>
      </c>
      <c r="BX87" s="1392" t="s">
        <v>414</v>
      </c>
      <c r="BY87" s="1391">
        <v>44495</v>
      </c>
      <c r="BZ87" s="1393" t="s">
        <v>890</v>
      </c>
      <c r="CA87" s="2023">
        <v>7</v>
      </c>
      <c r="CB87" s="1392" t="s">
        <v>414</v>
      </c>
      <c r="CC87" s="1391">
        <v>44849</v>
      </c>
      <c r="CD87" s="2032" t="s">
        <v>1352</v>
      </c>
      <c r="CE87" s="2023">
        <v>68</v>
      </c>
      <c r="CF87" s="1392" t="s">
        <v>426</v>
      </c>
      <c r="CG87" s="1391">
        <v>45225</v>
      </c>
      <c r="CH87" s="2032" t="s">
        <v>8680</v>
      </c>
      <c r="CI87" s="2023">
        <v>40</v>
      </c>
      <c r="CJ87" s="1392" t="s">
        <v>689</v>
      </c>
      <c r="CK87" s="1391">
        <v>45592</v>
      </c>
      <c r="CL87" s="2037" t="s">
        <v>781</v>
      </c>
      <c r="CM87" s="2009">
        <v>108</v>
      </c>
      <c r="CN87" s="1392" t="s">
        <v>414</v>
      </c>
    </row>
    <row r="88" spans="1:92" ht="14.25">
      <c r="A88" s="1430"/>
      <c r="B88" s="1430"/>
      <c r="C88" s="1430"/>
      <c r="D88" s="1430"/>
      <c r="E88" s="1430"/>
      <c r="F88" s="1430"/>
      <c r="G88" s="1430"/>
      <c r="H88" s="1430"/>
      <c r="I88" s="1430"/>
      <c r="J88" s="1430"/>
      <c r="K88" s="1430"/>
      <c r="L88" s="1430"/>
      <c r="M88" s="1430"/>
      <c r="N88" s="1430"/>
      <c r="O88" s="1430"/>
      <c r="P88" s="1430"/>
      <c r="Q88" s="1430"/>
      <c r="R88" s="1430"/>
      <c r="S88" s="1430"/>
      <c r="T88" s="1430"/>
      <c r="U88" s="1430"/>
      <c r="V88" s="1430"/>
      <c r="W88" s="1430"/>
      <c r="X88" s="1430"/>
      <c r="Y88" s="1430"/>
      <c r="Z88" s="1430"/>
      <c r="AA88" s="1430"/>
      <c r="AB88" s="1430"/>
      <c r="AC88" s="1430"/>
      <c r="AD88" s="1430"/>
      <c r="AE88" s="1430"/>
      <c r="AF88" s="1430"/>
      <c r="AG88" s="1430"/>
      <c r="AH88" s="1430"/>
      <c r="AI88" s="1430"/>
      <c r="AJ88" s="1430"/>
      <c r="AK88" s="1430"/>
      <c r="AL88" s="1430"/>
      <c r="AM88" s="1430"/>
      <c r="AN88" s="1430"/>
      <c r="AO88" s="1430"/>
      <c r="AP88" s="1430"/>
      <c r="AQ88" s="1430"/>
      <c r="AR88" s="1430"/>
      <c r="AS88" s="1391">
        <v>41574</v>
      </c>
      <c r="AT88" s="1397" t="s">
        <v>781</v>
      </c>
      <c r="AU88" s="2014">
        <v>60</v>
      </c>
      <c r="AV88" s="1399"/>
      <c r="AW88" s="1415" t="s">
        <v>477</v>
      </c>
      <c r="AX88" s="1416"/>
      <c r="AY88" s="2031">
        <f>SUM(AY4:AY87)</f>
        <v>3235</v>
      </c>
      <c r="AZ88" s="2031">
        <f>SUM(AZ4:AZ87)</f>
        <v>0</v>
      </c>
      <c r="BA88" s="1391">
        <v>42299</v>
      </c>
      <c r="BB88" s="1397" t="s">
        <v>2054</v>
      </c>
      <c r="BC88" s="2014">
        <v>21</v>
      </c>
      <c r="BD88" s="1399"/>
      <c r="BE88" s="1391"/>
      <c r="BF88" s="2029"/>
      <c r="BG88" s="2014"/>
      <c r="BH88" s="1399"/>
      <c r="BI88" s="1391"/>
      <c r="BJ88" s="2029"/>
      <c r="BK88" s="2014"/>
      <c r="BL88" s="1399"/>
      <c r="BM88" s="1391"/>
      <c r="BN88" s="2029"/>
      <c r="BO88" s="2014"/>
      <c r="BP88" s="1399"/>
      <c r="BQ88" s="1391"/>
      <c r="BR88" s="1393"/>
      <c r="BS88" s="2023"/>
      <c r="BT88" s="1399"/>
      <c r="BU88" s="1391">
        <v>44125</v>
      </c>
      <c r="BV88" s="1393" t="s">
        <v>8681</v>
      </c>
      <c r="BW88" s="2023">
        <v>32</v>
      </c>
      <c r="BX88" s="1392" t="s">
        <v>701</v>
      </c>
      <c r="BY88" s="1391">
        <v>44495</v>
      </c>
      <c r="BZ88" s="1393" t="s">
        <v>3221</v>
      </c>
      <c r="CA88" s="2023">
        <v>23</v>
      </c>
      <c r="CB88" s="1392" t="s">
        <v>414</v>
      </c>
      <c r="CC88" s="1391">
        <v>44849</v>
      </c>
      <c r="CD88" s="2032" t="s">
        <v>8682</v>
      </c>
      <c r="CE88" s="2023">
        <v>109</v>
      </c>
      <c r="CF88" s="1392" t="s">
        <v>280</v>
      </c>
      <c r="CG88" s="1391">
        <v>45225</v>
      </c>
      <c r="CH88" s="2032" t="s">
        <v>8683</v>
      </c>
      <c r="CI88" s="2023">
        <v>25</v>
      </c>
      <c r="CJ88" s="1392" t="s">
        <v>689</v>
      </c>
      <c r="CK88" s="1391">
        <v>45592</v>
      </c>
      <c r="CL88" s="2037" t="s">
        <v>772</v>
      </c>
      <c r="CM88" s="2009">
        <v>83</v>
      </c>
      <c r="CN88" s="1392" t="s">
        <v>414</v>
      </c>
    </row>
    <row r="89" spans="1:92" ht="14.25">
      <c r="A89" s="1430"/>
      <c r="B89" s="1430"/>
      <c r="C89" s="1430"/>
      <c r="D89" s="1430"/>
      <c r="E89" s="1430"/>
      <c r="F89" s="1430"/>
      <c r="G89" s="1430"/>
      <c r="H89" s="1430"/>
      <c r="I89" s="1430"/>
      <c r="J89" s="1430"/>
      <c r="K89" s="1430"/>
      <c r="L89" s="1430"/>
      <c r="M89" s="1430"/>
      <c r="N89" s="1430"/>
      <c r="O89" s="1430"/>
      <c r="P89" s="1430"/>
      <c r="Q89" s="1430"/>
      <c r="R89" s="1430"/>
      <c r="S89" s="1430"/>
      <c r="T89" s="1430"/>
      <c r="U89" s="1430"/>
      <c r="V89" s="1430"/>
      <c r="W89" s="1430"/>
      <c r="X89" s="1430"/>
      <c r="Y89" s="1430"/>
      <c r="Z89" s="1430"/>
      <c r="AA89" s="1430"/>
      <c r="AB89" s="1430"/>
      <c r="AC89" s="1430"/>
      <c r="AD89" s="1430"/>
      <c r="AE89" s="1430"/>
      <c r="AF89" s="1430"/>
      <c r="AG89" s="1430"/>
      <c r="AH89" s="1430"/>
      <c r="AI89" s="1430"/>
      <c r="AJ89" s="1430"/>
      <c r="AK89" s="1430"/>
      <c r="AL89" s="1430"/>
      <c r="AM89" s="1430"/>
      <c r="AN89" s="1430"/>
      <c r="AO89" s="1430"/>
      <c r="AP89" s="1430"/>
      <c r="AQ89" s="1430"/>
      <c r="AR89" s="1430"/>
      <c r="AS89" s="1391">
        <v>41574</v>
      </c>
      <c r="AT89" s="1397" t="s">
        <v>8684</v>
      </c>
      <c r="AU89" s="2014">
        <v>32</v>
      </c>
      <c r="AV89" s="1399"/>
      <c r="AW89" s="1419" t="s">
        <v>1672</v>
      </c>
      <c r="AX89" s="1420"/>
      <c r="AY89" s="2033"/>
      <c r="AZ89" s="2034"/>
      <c r="BA89" s="1391">
        <v>42300</v>
      </c>
      <c r="BB89" s="1397" t="s">
        <v>8685</v>
      </c>
      <c r="BC89" s="2014">
        <v>33</v>
      </c>
      <c r="BD89" s="1399"/>
      <c r="BE89" s="1391"/>
      <c r="BF89" s="2029"/>
      <c r="BG89" s="2014"/>
      <c r="BH89" s="1399"/>
      <c r="BI89" s="1391"/>
      <c r="BJ89" s="2029"/>
      <c r="BK89" s="2014"/>
      <c r="BL89" s="1399"/>
      <c r="BM89" s="1391"/>
      <c r="BN89" s="2029"/>
      <c r="BO89" s="2014"/>
      <c r="BP89" s="1399"/>
      <c r="BQ89" s="1391"/>
      <c r="BR89" s="1393"/>
      <c r="BS89" s="2023"/>
      <c r="BT89" s="1399"/>
      <c r="BU89" s="1391">
        <v>44125</v>
      </c>
      <c r="BV89" s="1393" t="s">
        <v>8686</v>
      </c>
      <c r="BW89" s="2023">
        <v>250</v>
      </c>
      <c r="BX89" s="1392" t="s">
        <v>701</v>
      </c>
      <c r="BY89" s="1391">
        <v>44497</v>
      </c>
      <c r="BZ89" s="1393" t="s">
        <v>8687</v>
      </c>
      <c r="CA89" s="2023">
        <v>33</v>
      </c>
      <c r="CB89" s="1392" t="s">
        <v>280</v>
      </c>
      <c r="CC89" s="1391">
        <v>44849</v>
      </c>
      <c r="CD89" s="2032" t="s">
        <v>1180</v>
      </c>
      <c r="CE89" s="2023">
        <v>111</v>
      </c>
      <c r="CF89" s="1392" t="s">
        <v>410</v>
      </c>
      <c r="CG89" s="1391">
        <v>45225</v>
      </c>
      <c r="CH89" s="2032" t="s">
        <v>8688</v>
      </c>
      <c r="CI89" s="2023">
        <v>30</v>
      </c>
      <c r="CJ89" s="1392" t="s">
        <v>414</v>
      </c>
      <c r="CK89" s="1391">
        <v>45592</v>
      </c>
      <c r="CL89" s="2037" t="s">
        <v>948</v>
      </c>
      <c r="CM89" s="2009">
        <v>29</v>
      </c>
      <c r="CN89" s="1392" t="s">
        <v>414</v>
      </c>
    </row>
    <row r="90" spans="1:92" ht="14.25">
      <c r="A90" s="1430"/>
      <c r="B90" s="1430"/>
      <c r="C90" s="1430"/>
      <c r="D90" s="1430"/>
      <c r="E90" s="1430"/>
      <c r="F90" s="1430"/>
      <c r="G90" s="1430"/>
      <c r="H90" s="1430"/>
      <c r="I90" s="1430"/>
      <c r="J90" s="1430"/>
      <c r="K90" s="1430"/>
      <c r="L90" s="1430"/>
      <c r="M90" s="1430"/>
      <c r="N90" s="1430"/>
      <c r="O90" s="1430"/>
      <c r="P90" s="1430"/>
      <c r="Q90" s="1430"/>
      <c r="R90" s="1430"/>
      <c r="S90" s="1430"/>
      <c r="T90" s="1430"/>
      <c r="U90" s="1430"/>
      <c r="V90" s="1430"/>
      <c r="W90" s="1430"/>
      <c r="X90" s="1430"/>
      <c r="Y90" s="1430"/>
      <c r="Z90" s="1430"/>
      <c r="AA90" s="1430"/>
      <c r="AB90" s="1430"/>
      <c r="AC90" s="1430"/>
      <c r="AD90" s="1430"/>
      <c r="AE90" s="1430"/>
      <c r="AF90" s="1430"/>
      <c r="AG90" s="1430"/>
      <c r="AH90" s="1430"/>
      <c r="AI90" s="1430"/>
      <c r="AJ90" s="1430"/>
      <c r="AK90" s="1430"/>
      <c r="AL90" s="1430"/>
      <c r="AM90" s="1430"/>
      <c r="AN90" s="1430"/>
      <c r="AO90" s="1430"/>
      <c r="AP90" s="1430"/>
      <c r="AQ90" s="1430"/>
      <c r="AR90" s="1430"/>
      <c r="AS90" s="1391">
        <v>41574</v>
      </c>
      <c r="AT90" s="1397" t="s">
        <v>797</v>
      </c>
      <c r="AU90" s="2014">
        <v>62</v>
      </c>
      <c r="AV90" s="1399"/>
      <c r="AW90" s="1430"/>
      <c r="AX90" s="1430"/>
      <c r="AY90" s="1430"/>
      <c r="AZ90" s="1430"/>
      <c r="BA90" s="1391">
        <v>42300</v>
      </c>
      <c r="BB90" s="1397" t="s">
        <v>8689</v>
      </c>
      <c r="BC90" s="2014">
        <v>38</v>
      </c>
      <c r="BD90" s="1399"/>
      <c r="BE90" s="1391"/>
      <c r="BF90" s="2029"/>
      <c r="BG90" s="2014"/>
      <c r="BH90" s="1399"/>
      <c r="BI90" s="1391"/>
      <c r="BJ90" s="2029"/>
      <c r="BK90" s="2014"/>
      <c r="BL90" s="1399"/>
      <c r="BM90" s="1391"/>
      <c r="BN90" s="2029"/>
      <c r="BO90" s="2014"/>
      <c r="BP90" s="1399"/>
      <c r="BQ90" s="1391"/>
      <c r="BR90" s="1393"/>
      <c r="BS90" s="2023"/>
      <c r="BT90" s="1399"/>
      <c r="BU90" s="1391">
        <v>44128</v>
      </c>
      <c r="BV90" s="1393" t="s">
        <v>823</v>
      </c>
      <c r="BW90" s="2023">
        <v>60</v>
      </c>
      <c r="BX90" s="1392" t="s">
        <v>414</v>
      </c>
      <c r="BY90" s="1391">
        <v>44497</v>
      </c>
      <c r="BZ90" s="1393" t="s">
        <v>1180</v>
      </c>
      <c r="CA90" s="2023">
        <v>100</v>
      </c>
      <c r="CB90" s="1392" t="s">
        <v>410</v>
      </c>
      <c r="CC90" s="1391">
        <v>44849</v>
      </c>
      <c r="CD90" s="2032" t="s">
        <v>8690</v>
      </c>
      <c r="CE90" s="2023">
        <v>33</v>
      </c>
      <c r="CF90" s="1392" t="s">
        <v>700</v>
      </c>
      <c r="CG90" s="1391">
        <v>45225</v>
      </c>
      <c r="CH90" s="2032" t="s">
        <v>8691</v>
      </c>
      <c r="CI90" s="2023">
        <v>950</v>
      </c>
      <c r="CJ90" s="1392" t="s">
        <v>712</v>
      </c>
      <c r="CK90" s="1391">
        <v>45592</v>
      </c>
      <c r="CL90" s="2037" t="s">
        <v>845</v>
      </c>
      <c r="CM90" s="2009">
        <v>67</v>
      </c>
      <c r="CN90" s="1392" t="s">
        <v>414</v>
      </c>
    </row>
    <row r="91" spans="1:92" ht="14.25">
      <c r="A91" s="1430"/>
      <c r="B91" s="1430"/>
      <c r="C91" s="1430"/>
      <c r="D91" s="1430"/>
      <c r="E91" s="1430"/>
      <c r="F91" s="1430"/>
      <c r="G91" s="1430"/>
      <c r="H91" s="1430"/>
      <c r="I91" s="1430"/>
      <c r="J91" s="1430"/>
      <c r="K91" s="1430"/>
      <c r="L91" s="1430"/>
      <c r="M91" s="1430"/>
      <c r="N91" s="1430"/>
      <c r="O91" s="1430"/>
      <c r="P91" s="1430"/>
      <c r="Q91" s="1430"/>
      <c r="R91" s="1430"/>
      <c r="S91" s="1430"/>
      <c r="T91" s="1430"/>
      <c r="U91" s="1430"/>
      <c r="V91" s="1430"/>
      <c r="W91" s="1430"/>
      <c r="X91" s="1430"/>
      <c r="Y91" s="1430"/>
      <c r="Z91" s="1430"/>
      <c r="AA91" s="1430"/>
      <c r="AB91" s="1430"/>
      <c r="AC91" s="1430"/>
      <c r="AD91" s="1430"/>
      <c r="AE91" s="1430"/>
      <c r="AF91" s="1430"/>
      <c r="AG91" s="1430"/>
      <c r="AH91" s="1430"/>
      <c r="AI91" s="1430"/>
      <c r="AJ91" s="1430"/>
      <c r="AK91" s="1430"/>
      <c r="AL91" s="1430"/>
      <c r="AM91" s="1430"/>
      <c r="AN91" s="1430"/>
      <c r="AO91" s="1430"/>
      <c r="AP91" s="1430"/>
      <c r="AQ91" s="1430"/>
      <c r="AR91" s="1430"/>
      <c r="AS91" s="1391">
        <v>41577</v>
      </c>
      <c r="AT91" s="1397" t="s">
        <v>802</v>
      </c>
      <c r="AU91" s="2014">
        <v>50</v>
      </c>
      <c r="AV91" s="1399"/>
      <c r="AW91" s="1430"/>
      <c r="AX91" s="1430"/>
      <c r="AY91" s="1430"/>
      <c r="AZ91" s="1430"/>
      <c r="BA91" s="1391">
        <v>42300</v>
      </c>
      <c r="BB91" s="1397" t="s">
        <v>954</v>
      </c>
      <c r="BC91" s="2014">
        <v>25</v>
      </c>
      <c r="BD91" s="1399"/>
      <c r="BE91" s="1391"/>
      <c r="BF91" s="2029"/>
      <c r="BG91" s="2014"/>
      <c r="BH91" s="1399"/>
      <c r="BI91" s="1391"/>
      <c r="BJ91" s="2029"/>
      <c r="BK91" s="2014"/>
      <c r="BL91" s="1399"/>
      <c r="BM91" s="1391"/>
      <c r="BN91" s="2029"/>
      <c r="BO91" s="2014"/>
      <c r="BP91" s="1399"/>
      <c r="BQ91" s="1391"/>
      <c r="BR91" s="1393"/>
      <c r="BS91" s="2023"/>
      <c r="BT91" s="1399"/>
      <c r="BU91" s="1391">
        <v>44130</v>
      </c>
      <c r="BV91" s="1393" t="s">
        <v>873</v>
      </c>
      <c r="BW91" s="2023">
        <v>55</v>
      </c>
      <c r="BX91" s="1392" t="s">
        <v>414</v>
      </c>
      <c r="BY91" s="1391">
        <v>44497</v>
      </c>
      <c r="BZ91" s="1393" t="s">
        <v>8692</v>
      </c>
      <c r="CA91" s="2023">
        <v>45</v>
      </c>
      <c r="CB91" s="1392" t="s">
        <v>280</v>
      </c>
      <c r="CC91" s="1391">
        <v>44849</v>
      </c>
      <c r="CD91" s="2032" t="s">
        <v>8690</v>
      </c>
      <c r="CE91" s="2023">
        <v>33</v>
      </c>
      <c r="CF91" s="1392" t="s">
        <v>700</v>
      </c>
      <c r="CG91" s="1391">
        <v>45227</v>
      </c>
      <c r="CH91" s="2032" t="s">
        <v>843</v>
      </c>
      <c r="CI91" s="2023">
        <v>22</v>
      </c>
      <c r="CJ91" s="1392" t="s">
        <v>414</v>
      </c>
      <c r="CK91" s="1391">
        <v>45592</v>
      </c>
      <c r="CL91" s="2037" t="s">
        <v>5822</v>
      </c>
      <c r="CM91" s="2009">
        <v>29</v>
      </c>
      <c r="CN91" s="1392" t="s">
        <v>414</v>
      </c>
    </row>
    <row r="92" spans="1:92" ht="14.25">
      <c r="A92" s="1430"/>
      <c r="B92" s="1430"/>
      <c r="C92" s="1430"/>
      <c r="D92" s="1430"/>
      <c r="E92" s="1430"/>
      <c r="F92" s="1430"/>
      <c r="G92" s="1430"/>
      <c r="H92" s="1430"/>
      <c r="I92" s="1430"/>
      <c r="J92" s="1430"/>
      <c r="K92" s="1430"/>
      <c r="L92" s="1430"/>
      <c r="M92" s="1430"/>
      <c r="N92" s="1430"/>
      <c r="O92" s="1430"/>
      <c r="P92" s="1430"/>
      <c r="Q92" s="1430"/>
      <c r="R92" s="1430"/>
      <c r="S92" s="1430"/>
      <c r="T92" s="1430"/>
      <c r="U92" s="1430"/>
      <c r="V92" s="1430"/>
      <c r="W92" s="1430"/>
      <c r="X92" s="1430"/>
      <c r="Y92" s="1430"/>
      <c r="Z92" s="1430"/>
      <c r="AA92" s="1430"/>
      <c r="AB92" s="1430"/>
      <c r="AC92" s="1430"/>
      <c r="AD92" s="1430"/>
      <c r="AE92" s="1430"/>
      <c r="AF92" s="1430"/>
      <c r="AG92" s="1430"/>
      <c r="AH92" s="1430"/>
      <c r="AI92" s="1430"/>
      <c r="AJ92" s="1430"/>
      <c r="AK92" s="1430"/>
      <c r="AL92" s="1430"/>
      <c r="AM92" s="1430"/>
      <c r="AN92" s="1430"/>
      <c r="AO92" s="1430"/>
      <c r="AP92" s="1430"/>
      <c r="AQ92" s="1430"/>
      <c r="AR92" s="1430"/>
      <c r="AS92" s="1391"/>
      <c r="AT92" s="1397"/>
      <c r="AU92" s="2014"/>
      <c r="AV92" s="1399"/>
      <c r="AW92" s="1430"/>
      <c r="AX92" s="1430"/>
      <c r="AY92" s="1430"/>
      <c r="AZ92" s="1430"/>
      <c r="BA92" s="1391">
        <v>42300</v>
      </c>
      <c r="BB92" s="1397" t="s">
        <v>797</v>
      </c>
      <c r="BC92" s="2014">
        <v>35</v>
      </c>
      <c r="BD92" s="1399"/>
      <c r="BE92" s="1391"/>
      <c r="BF92" s="2029"/>
      <c r="BG92" s="2014"/>
      <c r="BH92" s="1399"/>
      <c r="BI92" s="1391"/>
      <c r="BJ92" s="2029"/>
      <c r="BK92" s="2014"/>
      <c r="BL92" s="1399"/>
      <c r="BM92" s="1391"/>
      <c r="BN92" s="2029"/>
      <c r="BO92" s="2014"/>
      <c r="BP92" s="1399"/>
      <c r="BQ92" s="1391"/>
      <c r="BR92" s="1393"/>
      <c r="BS92" s="2023"/>
      <c r="BT92" s="1399"/>
      <c r="BU92" s="1391">
        <v>44130</v>
      </c>
      <c r="BV92" s="1393" t="s">
        <v>828</v>
      </c>
      <c r="BW92" s="2023">
        <v>14</v>
      </c>
      <c r="BX92" s="1392" t="s">
        <v>414</v>
      </c>
      <c r="BY92" s="1391">
        <v>44497</v>
      </c>
      <c r="BZ92" s="1393" t="s">
        <v>797</v>
      </c>
      <c r="CA92" s="2023">
        <v>89</v>
      </c>
      <c r="CB92" s="1392" t="s">
        <v>410</v>
      </c>
      <c r="CC92" s="1391">
        <v>44855</v>
      </c>
      <c r="CD92" s="2032" t="s">
        <v>8693</v>
      </c>
      <c r="CE92" s="2023">
        <v>7</v>
      </c>
      <c r="CF92" s="1392" t="s">
        <v>280</v>
      </c>
      <c r="CG92" s="1391">
        <v>45227</v>
      </c>
      <c r="CH92" s="2032" t="s">
        <v>845</v>
      </c>
      <c r="CI92" s="2023">
        <v>49</v>
      </c>
      <c r="CJ92" s="1392" t="s">
        <v>414</v>
      </c>
      <c r="CK92" s="1391">
        <v>45593</v>
      </c>
      <c r="CL92" s="2037" t="s">
        <v>8662</v>
      </c>
      <c r="CM92" s="2009">
        <v>56</v>
      </c>
      <c r="CN92" s="1392" t="s">
        <v>278</v>
      </c>
    </row>
    <row r="93" spans="1:92" ht="14.25">
      <c r="A93" s="1430"/>
      <c r="B93" s="1430"/>
      <c r="C93" s="1430"/>
      <c r="D93" s="1430"/>
      <c r="E93" s="1430"/>
      <c r="F93" s="1430"/>
      <c r="G93" s="1430"/>
      <c r="H93" s="1430"/>
      <c r="I93" s="1430"/>
      <c r="J93" s="1430"/>
      <c r="K93" s="1430"/>
      <c r="L93" s="1430"/>
      <c r="M93" s="1430"/>
      <c r="N93" s="1430"/>
      <c r="O93" s="1430"/>
      <c r="P93" s="1430"/>
      <c r="Q93" s="1430"/>
      <c r="R93" s="1430"/>
      <c r="S93" s="1430"/>
      <c r="T93" s="1430"/>
      <c r="U93" s="1430"/>
      <c r="V93" s="1430"/>
      <c r="W93" s="1430"/>
      <c r="X93" s="1430"/>
      <c r="Y93" s="1430"/>
      <c r="Z93" s="1430"/>
      <c r="AA93" s="1430"/>
      <c r="AB93" s="1430"/>
      <c r="AC93" s="1430"/>
      <c r="AD93" s="1430"/>
      <c r="AE93" s="1430"/>
      <c r="AF93" s="1430"/>
      <c r="AG93" s="1430"/>
      <c r="AH93" s="1430"/>
      <c r="AI93" s="1430"/>
      <c r="AJ93" s="1430"/>
      <c r="AK93" s="1430"/>
      <c r="AL93" s="1430"/>
      <c r="AM93" s="1430"/>
      <c r="AN93" s="1430"/>
      <c r="AO93" s="1430"/>
      <c r="AP93" s="1430"/>
      <c r="AQ93" s="1430"/>
      <c r="AR93" s="1430"/>
      <c r="AS93" s="1391"/>
      <c r="AT93" s="1397"/>
      <c r="AU93" s="2014"/>
      <c r="AV93" s="1399"/>
      <c r="AW93" s="1430"/>
      <c r="AX93" s="1430"/>
      <c r="AY93" s="1430"/>
      <c r="AZ93" s="1430"/>
      <c r="BA93" s="1391">
        <v>42300</v>
      </c>
      <c r="BB93" s="1397" t="s">
        <v>8035</v>
      </c>
      <c r="BC93" s="2014">
        <v>20</v>
      </c>
      <c r="BD93" s="1399"/>
      <c r="BE93" s="1391"/>
      <c r="BF93" s="2029"/>
      <c r="BG93" s="2014"/>
      <c r="BH93" s="1399"/>
      <c r="BI93" s="1391"/>
      <c r="BJ93" s="2029"/>
      <c r="BK93" s="2014"/>
      <c r="BL93" s="1399"/>
      <c r="BM93" s="1391"/>
      <c r="BN93" s="2029"/>
      <c r="BO93" s="2014"/>
      <c r="BP93" s="1399"/>
      <c r="BQ93" s="1391"/>
      <c r="BR93" s="1393"/>
      <c r="BS93" s="2023"/>
      <c r="BT93" s="1399"/>
      <c r="BU93" s="1391">
        <v>44130</v>
      </c>
      <c r="BV93" s="1393" t="s">
        <v>772</v>
      </c>
      <c r="BW93" s="2023">
        <v>80</v>
      </c>
      <c r="BX93" s="1392" t="s">
        <v>414</v>
      </c>
      <c r="BY93" s="1391">
        <v>44498</v>
      </c>
      <c r="BZ93" s="1393" t="s">
        <v>843</v>
      </c>
      <c r="CA93" s="2023">
        <v>19</v>
      </c>
      <c r="CB93" s="1392" t="s">
        <v>414</v>
      </c>
      <c r="CC93" s="1391">
        <v>44855</v>
      </c>
      <c r="CD93" s="2032" t="s">
        <v>8694</v>
      </c>
      <c r="CE93" s="2023">
        <v>7</v>
      </c>
      <c r="CF93" s="1392" t="s">
        <v>280</v>
      </c>
      <c r="CG93" s="1391">
        <v>45227</v>
      </c>
      <c r="CH93" s="2032" t="s">
        <v>828</v>
      </c>
      <c r="CI93" s="2023">
        <v>8</v>
      </c>
      <c r="CJ93" s="1392" t="s">
        <v>414</v>
      </c>
      <c r="CK93" s="1391">
        <v>45595</v>
      </c>
      <c r="CL93" s="2037" t="s">
        <v>1006</v>
      </c>
      <c r="CM93" s="2009">
        <v>50</v>
      </c>
      <c r="CN93" s="1392" t="s">
        <v>280</v>
      </c>
    </row>
    <row r="94" spans="1:92" ht="14.25">
      <c r="A94" s="1430"/>
      <c r="B94" s="1430"/>
      <c r="C94" s="1430"/>
      <c r="D94" s="1430"/>
      <c r="E94" s="1430"/>
      <c r="F94" s="1430"/>
      <c r="G94" s="1430"/>
      <c r="H94" s="1430"/>
      <c r="I94" s="1430"/>
      <c r="J94" s="1430"/>
      <c r="K94" s="1430"/>
      <c r="L94" s="1430"/>
      <c r="M94" s="1430"/>
      <c r="N94" s="1430"/>
      <c r="O94" s="1430"/>
      <c r="P94" s="1430"/>
      <c r="Q94" s="1430"/>
      <c r="R94" s="1430"/>
      <c r="S94" s="1430"/>
      <c r="T94" s="1430"/>
      <c r="U94" s="1430"/>
      <c r="V94" s="1430"/>
      <c r="W94" s="1430"/>
      <c r="X94" s="1430"/>
      <c r="Y94" s="1430"/>
      <c r="Z94" s="1430"/>
      <c r="AA94" s="1430"/>
      <c r="AB94" s="1430"/>
      <c r="AC94" s="1430"/>
      <c r="AD94" s="1430"/>
      <c r="AE94" s="1430"/>
      <c r="AF94" s="1430"/>
      <c r="AG94" s="1430"/>
      <c r="AH94" s="1430"/>
      <c r="AI94" s="1430"/>
      <c r="AJ94" s="1430"/>
      <c r="AK94" s="1430"/>
      <c r="AL94" s="1430"/>
      <c r="AM94" s="1430"/>
      <c r="AN94" s="1430"/>
      <c r="AO94" s="1430"/>
      <c r="AP94" s="1430"/>
      <c r="AQ94" s="1430"/>
      <c r="AR94" s="1430"/>
      <c r="AS94" s="1391"/>
      <c r="AT94" s="1397"/>
      <c r="AU94" s="2014"/>
      <c r="AV94" s="1399"/>
      <c r="AW94" s="1430"/>
      <c r="AX94" s="1430"/>
      <c r="AY94" s="1430"/>
      <c r="AZ94" s="1430"/>
      <c r="BA94" s="1391">
        <v>42301</v>
      </c>
      <c r="BB94" s="1397" t="s">
        <v>1151</v>
      </c>
      <c r="BC94" s="2014">
        <v>4</v>
      </c>
      <c r="BD94" s="1399"/>
      <c r="BE94" s="1391"/>
      <c r="BF94" s="2029"/>
      <c r="BG94" s="2014"/>
      <c r="BH94" s="1399"/>
      <c r="BI94" s="1391"/>
      <c r="BJ94" s="2029"/>
      <c r="BK94" s="2014"/>
      <c r="BL94" s="1399"/>
      <c r="BM94" s="1391"/>
      <c r="BN94" s="2029"/>
      <c r="BO94" s="2014"/>
      <c r="BP94" s="1399"/>
      <c r="BQ94" s="1391"/>
      <c r="BR94" s="1393"/>
      <c r="BS94" s="2023"/>
      <c r="BT94" s="1399"/>
      <c r="BU94" s="1391">
        <v>44130</v>
      </c>
      <c r="BV94" s="1393" t="s">
        <v>2162</v>
      </c>
      <c r="BW94" s="2023">
        <v>6</v>
      </c>
      <c r="BX94" s="1392" t="s">
        <v>414</v>
      </c>
      <c r="BY94" s="1391">
        <v>44498</v>
      </c>
      <c r="BZ94" s="1393" t="s">
        <v>845</v>
      </c>
      <c r="CA94" s="2023">
        <v>36</v>
      </c>
      <c r="CB94" s="1392" t="s">
        <v>414</v>
      </c>
      <c r="CC94" s="1391">
        <v>44855</v>
      </c>
      <c r="CD94" s="2032" t="s">
        <v>8695</v>
      </c>
      <c r="CE94" s="2023">
        <v>70</v>
      </c>
      <c r="CF94" s="1392" t="s">
        <v>700</v>
      </c>
      <c r="CG94" s="1391">
        <v>45227</v>
      </c>
      <c r="CH94" s="2032" t="s">
        <v>8696</v>
      </c>
      <c r="CI94" s="2023">
        <v>40</v>
      </c>
      <c r="CJ94" s="1392" t="s">
        <v>414</v>
      </c>
      <c r="CK94" s="1391"/>
      <c r="CL94" s="2037"/>
      <c r="CM94" s="2009"/>
      <c r="CN94" s="1392"/>
    </row>
    <row r="95" spans="1:92" ht="14.25">
      <c r="A95" s="1430"/>
      <c r="B95" s="1430"/>
      <c r="C95" s="1430"/>
      <c r="D95" s="1430"/>
      <c r="E95" s="1430"/>
      <c r="F95" s="1430"/>
      <c r="G95" s="1430"/>
      <c r="H95" s="1430"/>
      <c r="I95" s="1430"/>
      <c r="J95" s="1430"/>
      <c r="K95" s="1430"/>
      <c r="L95" s="1430"/>
      <c r="M95" s="1430"/>
      <c r="N95" s="1430"/>
      <c r="O95" s="1430"/>
      <c r="P95" s="1430"/>
      <c r="Q95" s="1430"/>
      <c r="R95" s="1430"/>
      <c r="S95" s="1430"/>
      <c r="T95" s="1430"/>
      <c r="U95" s="1430"/>
      <c r="V95" s="1430"/>
      <c r="W95" s="1430"/>
      <c r="X95" s="1430"/>
      <c r="Y95" s="1430"/>
      <c r="Z95" s="1430"/>
      <c r="AA95" s="1430"/>
      <c r="AB95" s="1430"/>
      <c r="AC95" s="1430"/>
      <c r="AD95" s="1430"/>
      <c r="AE95" s="1430"/>
      <c r="AF95" s="1430"/>
      <c r="AG95" s="1430"/>
      <c r="AH95" s="1430"/>
      <c r="AI95" s="1430"/>
      <c r="AJ95" s="1430"/>
      <c r="AK95" s="1430"/>
      <c r="AL95" s="1430"/>
      <c r="AM95" s="1430"/>
      <c r="AN95" s="1430"/>
      <c r="AO95" s="1430"/>
      <c r="AP95" s="1430"/>
      <c r="AQ95" s="1430"/>
      <c r="AR95" s="1430"/>
      <c r="AS95" s="1415" t="s">
        <v>477</v>
      </c>
      <c r="AT95" s="1416"/>
      <c r="AU95" s="2031">
        <f>SUM(AU4:AU94)</f>
        <v>9739</v>
      </c>
      <c r="AV95" s="2031">
        <f>SUM(AV4:AV94)</f>
        <v>0</v>
      </c>
      <c r="AW95" s="1430"/>
      <c r="AX95" s="1430"/>
      <c r="AY95" s="1430"/>
      <c r="AZ95" s="1430"/>
      <c r="BA95" s="1391">
        <v>42301</v>
      </c>
      <c r="BB95" s="1397" t="s">
        <v>8697</v>
      </c>
      <c r="BC95" s="2014">
        <v>6</v>
      </c>
      <c r="BD95" s="1399"/>
      <c r="BE95" s="1391"/>
      <c r="BF95" s="2029"/>
      <c r="BG95" s="2014"/>
      <c r="BH95" s="1399"/>
      <c r="BI95" s="1391"/>
      <c r="BJ95" s="2029"/>
      <c r="BK95" s="2014"/>
      <c r="BL95" s="1399"/>
      <c r="BM95" s="1391"/>
      <c r="BN95" s="2029"/>
      <c r="BO95" s="2014"/>
      <c r="BP95" s="1399"/>
      <c r="BQ95" s="1391"/>
      <c r="BR95" s="1393"/>
      <c r="BS95" s="2023"/>
      <c r="BT95" s="1399"/>
      <c r="BU95" s="1391">
        <v>44130</v>
      </c>
      <c r="BV95" s="1393" t="s">
        <v>1873</v>
      </c>
      <c r="BW95" s="2023">
        <v>65</v>
      </c>
      <c r="BX95" s="1392" t="s">
        <v>414</v>
      </c>
      <c r="BY95" s="1391">
        <v>44498</v>
      </c>
      <c r="BZ95" s="1393" t="s">
        <v>872</v>
      </c>
      <c r="CA95" s="2023">
        <v>13</v>
      </c>
      <c r="CB95" s="1392" t="s">
        <v>414</v>
      </c>
      <c r="CC95" s="1391">
        <v>44855</v>
      </c>
      <c r="CD95" s="2032" t="s">
        <v>845</v>
      </c>
      <c r="CE95" s="2023">
        <v>26</v>
      </c>
      <c r="CF95" s="1392" t="s">
        <v>414</v>
      </c>
      <c r="CG95" s="1391">
        <v>45227</v>
      </c>
      <c r="CH95" s="2032" t="s">
        <v>7818</v>
      </c>
      <c r="CI95" s="2023">
        <v>200</v>
      </c>
      <c r="CJ95" s="1392" t="s">
        <v>689</v>
      </c>
      <c r="CK95" s="1391"/>
      <c r="CL95" s="2037"/>
      <c r="CM95" s="2009"/>
      <c r="CN95" s="1392"/>
    </row>
    <row r="96" spans="1:92" ht="14.25">
      <c r="A96" s="1430"/>
      <c r="B96" s="1430"/>
      <c r="C96" s="1430"/>
      <c r="D96" s="1430"/>
      <c r="E96" s="1430"/>
      <c r="F96" s="1430"/>
      <c r="G96" s="1430"/>
      <c r="H96" s="1430"/>
      <c r="I96" s="1430"/>
      <c r="J96" s="1430"/>
      <c r="K96" s="1430"/>
      <c r="L96" s="1430"/>
      <c r="M96" s="1430"/>
      <c r="N96" s="1430"/>
      <c r="O96" s="1430"/>
      <c r="P96" s="1430"/>
      <c r="Q96" s="1430"/>
      <c r="R96" s="1430"/>
      <c r="S96" s="1430"/>
      <c r="T96" s="1430"/>
      <c r="U96" s="1430"/>
      <c r="V96" s="1430"/>
      <c r="W96" s="1430"/>
      <c r="X96" s="1430"/>
      <c r="Y96" s="1430"/>
      <c r="Z96" s="1430"/>
      <c r="AA96" s="1430"/>
      <c r="AB96" s="1430"/>
      <c r="AC96" s="1430"/>
      <c r="AD96" s="1430"/>
      <c r="AE96" s="1430"/>
      <c r="AF96" s="1430"/>
      <c r="AG96" s="1430"/>
      <c r="AH96" s="1430"/>
      <c r="AI96" s="1430"/>
      <c r="AJ96" s="1430"/>
      <c r="AK96" s="1430"/>
      <c r="AL96" s="1430"/>
      <c r="AM96" s="1430"/>
      <c r="AN96" s="1430"/>
      <c r="AO96" s="1430"/>
      <c r="AP96" s="1430"/>
      <c r="AQ96" s="1430"/>
      <c r="AR96" s="1430"/>
      <c r="AS96" s="1419" t="s">
        <v>1672</v>
      </c>
      <c r="AT96" s="1420"/>
      <c r="AU96" s="2033"/>
      <c r="AV96" s="2034"/>
      <c r="AW96" s="1430"/>
      <c r="AX96" s="1430"/>
      <c r="AY96" s="1430"/>
      <c r="AZ96" s="1430"/>
      <c r="BA96" s="1391">
        <v>42302</v>
      </c>
      <c r="BB96" s="1397" t="s">
        <v>772</v>
      </c>
      <c r="BC96" s="2014">
        <v>44</v>
      </c>
      <c r="BD96" s="1399"/>
      <c r="BE96" s="1391"/>
      <c r="BF96" s="2029"/>
      <c r="BG96" s="2014"/>
      <c r="BH96" s="1399"/>
      <c r="BI96" s="1391"/>
      <c r="BJ96" s="2029"/>
      <c r="BK96" s="2014"/>
      <c r="BL96" s="1399"/>
      <c r="BM96" s="1391"/>
      <c r="BN96" s="2029"/>
      <c r="BO96" s="2014"/>
      <c r="BP96" s="1399"/>
      <c r="BQ96" s="1391"/>
      <c r="BR96" s="1393"/>
      <c r="BS96" s="2023"/>
      <c r="BT96" s="1399"/>
      <c r="BU96" s="1391">
        <v>44134</v>
      </c>
      <c r="BV96" s="1393" t="s">
        <v>8698</v>
      </c>
      <c r="BW96" s="2023">
        <v>105</v>
      </c>
      <c r="BX96" s="1392" t="s">
        <v>701</v>
      </c>
      <c r="BY96" s="1391">
        <v>44498</v>
      </c>
      <c r="BZ96" s="1393" t="s">
        <v>843</v>
      </c>
      <c r="CA96" s="2023">
        <v>16</v>
      </c>
      <c r="CB96" s="1392" t="s">
        <v>414</v>
      </c>
      <c r="CC96" s="1391">
        <v>44855</v>
      </c>
      <c r="CD96" s="2032" t="s">
        <v>772</v>
      </c>
      <c r="CE96" s="2023">
        <v>89</v>
      </c>
      <c r="CF96" s="1392" t="s">
        <v>414</v>
      </c>
      <c r="CG96" s="1391"/>
      <c r="CH96" s="2032"/>
      <c r="CI96" s="2023"/>
      <c r="CJ96" s="1392"/>
      <c r="CK96" s="1391"/>
      <c r="CL96" s="2037"/>
      <c r="CM96" s="2009"/>
      <c r="CN96" s="1392"/>
    </row>
    <row r="97" spans="1:92" ht="14.25">
      <c r="A97" s="1430"/>
      <c r="B97" s="1430"/>
      <c r="C97" s="1430"/>
      <c r="D97" s="1430"/>
      <c r="E97" s="1430"/>
      <c r="F97" s="1430"/>
      <c r="G97" s="1430"/>
      <c r="H97" s="1430"/>
      <c r="I97" s="1430"/>
      <c r="J97" s="1430"/>
      <c r="K97" s="1430"/>
      <c r="L97" s="1430"/>
      <c r="M97" s="1430"/>
      <c r="N97" s="1430"/>
      <c r="O97" s="1430"/>
      <c r="P97" s="1430"/>
      <c r="Q97" s="1430"/>
      <c r="R97" s="1430"/>
      <c r="S97" s="1430"/>
      <c r="T97" s="1430"/>
      <c r="U97" s="1430"/>
      <c r="V97" s="1430"/>
      <c r="W97" s="1430"/>
      <c r="X97" s="1430"/>
      <c r="Y97" s="1430"/>
      <c r="Z97" s="1430"/>
      <c r="AA97" s="1430"/>
      <c r="AB97" s="1430"/>
      <c r="AC97" s="1430"/>
      <c r="AD97" s="1430"/>
      <c r="AE97" s="1430"/>
      <c r="AF97" s="1430"/>
      <c r="AG97" s="1430"/>
      <c r="AH97" s="1430"/>
      <c r="AI97" s="1430"/>
      <c r="AJ97" s="1430"/>
      <c r="AK97" s="1430"/>
      <c r="AL97" s="1430"/>
      <c r="AM97" s="1430"/>
      <c r="AN97" s="1430"/>
      <c r="AO97" s="1430"/>
      <c r="AP97" s="1430"/>
      <c r="AQ97" s="1430"/>
      <c r="AR97" s="1430"/>
      <c r="AS97" s="1430"/>
      <c r="AT97" s="1430"/>
      <c r="AU97" s="1430"/>
      <c r="AV97" s="1430"/>
      <c r="AW97" s="1430"/>
      <c r="AX97" s="1430"/>
      <c r="AY97" s="1430"/>
      <c r="AZ97" s="1430"/>
      <c r="BA97" s="1391">
        <v>42305</v>
      </c>
      <c r="BB97" s="1397" t="s">
        <v>8699</v>
      </c>
      <c r="BC97" s="2014">
        <v>16</v>
      </c>
      <c r="BD97" s="1399"/>
      <c r="BE97" s="1391"/>
      <c r="BF97" s="2029"/>
      <c r="BG97" s="2014"/>
      <c r="BH97" s="1399"/>
      <c r="BI97" s="1391"/>
      <c r="BJ97" s="2029"/>
      <c r="BK97" s="2014"/>
      <c r="BL97" s="1399"/>
      <c r="BM97" s="1391"/>
      <c r="BN97" s="2029"/>
      <c r="BO97" s="2014"/>
      <c r="BP97" s="1399"/>
      <c r="BQ97" s="1416" t="s">
        <v>477</v>
      </c>
      <c r="BR97" s="1416"/>
      <c r="BS97" s="2031">
        <f>SUM(BS4:BS96)</f>
        <v>3760</v>
      </c>
      <c r="BT97" s="2031">
        <f>SUM(BT4:BT96)</f>
        <v>0</v>
      </c>
      <c r="BU97" s="1391">
        <v>44134</v>
      </c>
      <c r="BV97" s="1393" t="s">
        <v>8700</v>
      </c>
      <c r="BW97" s="2023">
        <v>32</v>
      </c>
      <c r="BX97" s="1392" t="s">
        <v>701</v>
      </c>
      <c r="BY97" s="1391">
        <v>44498</v>
      </c>
      <c r="BZ97" s="1393" t="s">
        <v>772</v>
      </c>
      <c r="CA97" s="2023">
        <v>28</v>
      </c>
      <c r="CB97" s="1392" t="s">
        <v>414</v>
      </c>
      <c r="CC97" s="1391">
        <v>44855</v>
      </c>
      <c r="CD97" s="2032" t="s">
        <v>948</v>
      </c>
      <c r="CE97" s="2023">
        <v>20</v>
      </c>
      <c r="CF97" s="1392" t="s">
        <v>414</v>
      </c>
      <c r="CG97" s="1391"/>
      <c r="CH97" s="2032"/>
      <c r="CI97" s="2023"/>
      <c r="CJ97" s="1392"/>
      <c r="CK97" s="1391"/>
      <c r="CL97" s="2037"/>
      <c r="CM97" s="2009"/>
      <c r="CN97" s="1392"/>
    </row>
    <row r="98" spans="1:92" ht="14.25">
      <c r="A98" s="1430"/>
      <c r="B98" s="1430"/>
      <c r="C98" s="1430"/>
      <c r="D98" s="1430"/>
      <c r="E98" s="1430"/>
      <c r="F98" s="1430"/>
      <c r="G98" s="1430"/>
      <c r="H98" s="1430"/>
      <c r="I98" s="1430"/>
      <c r="J98" s="1430"/>
      <c r="K98" s="1430"/>
      <c r="L98" s="1430"/>
      <c r="M98" s="1430"/>
      <c r="N98" s="1430"/>
      <c r="O98" s="1430"/>
      <c r="P98" s="1430"/>
      <c r="Q98" s="1430"/>
      <c r="R98" s="1430"/>
      <c r="S98" s="1430"/>
      <c r="T98" s="1430"/>
      <c r="U98" s="1430"/>
      <c r="V98" s="1430"/>
      <c r="W98" s="1430"/>
      <c r="X98" s="1430"/>
      <c r="Y98" s="1430"/>
      <c r="Z98" s="1430"/>
      <c r="AA98" s="1430"/>
      <c r="AB98" s="1430"/>
      <c r="AC98" s="1430"/>
      <c r="AD98" s="1430"/>
      <c r="AE98" s="1430"/>
      <c r="AF98" s="1430"/>
      <c r="AG98" s="1430"/>
      <c r="AH98" s="1430"/>
      <c r="AI98" s="1430"/>
      <c r="AJ98" s="1430"/>
      <c r="AK98" s="1430"/>
      <c r="AL98" s="1430"/>
      <c r="AM98" s="1430"/>
      <c r="AN98" s="1430"/>
      <c r="AO98" s="1430"/>
      <c r="AP98" s="1430"/>
      <c r="AQ98" s="1430"/>
      <c r="AR98" s="1430"/>
      <c r="AS98" s="1430"/>
      <c r="AT98" s="1430"/>
      <c r="AU98" s="1430"/>
      <c r="AV98" s="1430"/>
      <c r="AW98" s="1430"/>
      <c r="AX98" s="1430"/>
      <c r="AY98" s="1430"/>
      <c r="AZ98" s="1430"/>
      <c r="BA98" s="1391">
        <v>42305</v>
      </c>
      <c r="BB98" s="1397" t="s">
        <v>8701</v>
      </c>
      <c r="BC98" s="2014">
        <v>69</v>
      </c>
      <c r="BD98" s="1399"/>
      <c r="BE98" s="1391"/>
      <c r="BF98" s="2029"/>
      <c r="BG98" s="2014"/>
      <c r="BH98" s="1399"/>
      <c r="BI98" s="1391"/>
      <c r="BJ98" s="2029"/>
      <c r="BK98" s="2014"/>
      <c r="BL98" s="1399"/>
      <c r="BM98" s="1391"/>
      <c r="BN98" s="2029"/>
      <c r="BO98" s="2014"/>
      <c r="BP98" s="1399"/>
      <c r="BQ98" s="1419" t="s">
        <v>1672</v>
      </c>
      <c r="BR98" s="1420"/>
      <c r="BS98" s="2033"/>
      <c r="BT98" s="2034"/>
      <c r="BU98" s="1391">
        <v>44134</v>
      </c>
      <c r="BV98" s="1393" t="s">
        <v>8702</v>
      </c>
      <c r="BW98" s="2023">
        <v>110</v>
      </c>
      <c r="BX98" s="1392" t="s">
        <v>701</v>
      </c>
      <c r="BY98" s="1391">
        <v>44499</v>
      </c>
      <c r="BZ98" s="1393" t="s">
        <v>4513</v>
      </c>
      <c r="CA98" s="2023">
        <v>65</v>
      </c>
      <c r="CB98" s="1392" t="s">
        <v>436</v>
      </c>
      <c r="CC98" s="1391">
        <v>44855</v>
      </c>
      <c r="CD98" s="2032" t="s">
        <v>797</v>
      </c>
      <c r="CE98" s="2023">
        <v>96</v>
      </c>
      <c r="CF98" s="1392" t="s">
        <v>410</v>
      </c>
      <c r="CG98" s="1391"/>
      <c r="CH98" s="2032"/>
      <c r="CI98" s="2023"/>
      <c r="CJ98" s="1392"/>
      <c r="CK98" s="1391"/>
      <c r="CL98" s="2037"/>
      <c r="CM98" s="2009"/>
      <c r="CN98" s="1392"/>
    </row>
    <row r="99" spans="1:92" ht="14.25">
      <c r="A99" s="1430"/>
      <c r="B99" s="1430"/>
      <c r="C99" s="1430"/>
      <c r="D99" s="1430"/>
      <c r="E99" s="1430"/>
      <c r="F99" s="1430"/>
      <c r="G99" s="1430"/>
      <c r="H99" s="1430"/>
      <c r="I99" s="1430"/>
      <c r="J99" s="1430"/>
      <c r="K99" s="1430"/>
      <c r="L99" s="1430"/>
      <c r="M99" s="1430"/>
      <c r="N99" s="1430"/>
      <c r="O99" s="1430"/>
      <c r="P99" s="1430"/>
      <c r="Q99" s="1430"/>
      <c r="R99" s="1430"/>
      <c r="S99" s="1430"/>
      <c r="T99" s="1430"/>
      <c r="U99" s="1430"/>
      <c r="V99" s="1430"/>
      <c r="W99" s="1430"/>
      <c r="X99" s="1430"/>
      <c r="Y99" s="1430"/>
      <c r="Z99" s="1430"/>
      <c r="AA99" s="1430"/>
      <c r="AB99" s="1430"/>
      <c r="AC99" s="1430"/>
      <c r="AD99" s="1430"/>
      <c r="AE99" s="1430"/>
      <c r="AF99" s="1430"/>
      <c r="AG99" s="1430"/>
      <c r="AH99" s="1430"/>
      <c r="AI99" s="1430"/>
      <c r="AJ99" s="1430"/>
      <c r="AK99" s="1430"/>
      <c r="AL99" s="1430"/>
      <c r="AM99" s="1430"/>
      <c r="AN99" s="1430"/>
      <c r="AO99" s="1430"/>
      <c r="AP99" s="1430"/>
      <c r="AQ99" s="1430"/>
      <c r="AR99" s="1430"/>
      <c r="AS99" s="1430"/>
      <c r="AT99" s="1430"/>
      <c r="AU99" s="1430"/>
      <c r="AV99" s="1430"/>
      <c r="AW99" s="1430"/>
      <c r="AX99" s="1430"/>
      <c r="AY99" s="1430"/>
      <c r="AZ99" s="1430"/>
      <c r="BA99" s="1391">
        <v>42305</v>
      </c>
      <c r="BB99" s="1397" t="s">
        <v>802</v>
      </c>
      <c r="BC99" s="2014">
        <v>33</v>
      </c>
      <c r="BD99" s="1399"/>
      <c r="BE99" s="1391"/>
      <c r="BF99" s="2029"/>
      <c r="BG99" s="2014"/>
      <c r="BH99" s="1399"/>
      <c r="BI99" s="1391"/>
      <c r="BJ99" s="2029"/>
      <c r="BK99" s="2014"/>
      <c r="BL99" s="1399"/>
      <c r="BM99" s="1391"/>
      <c r="BN99" s="2029"/>
      <c r="BO99" s="2014"/>
      <c r="BP99" s="1399"/>
      <c r="BQ99" s="1423" t="s">
        <v>138</v>
      </c>
      <c r="BR99" s="1424"/>
      <c r="BS99" s="2035">
        <f>SUM(BS97,BT97)</f>
        <v>3760</v>
      </c>
      <c r="BT99" s="2036"/>
      <c r="BU99" s="1391">
        <v>44134</v>
      </c>
      <c r="BV99" s="1393" t="s">
        <v>8703</v>
      </c>
      <c r="BW99" s="2023">
        <v>22</v>
      </c>
      <c r="BX99" s="1392" t="s">
        <v>701</v>
      </c>
      <c r="BY99" s="1391">
        <v>44499</v>
      </c>
      <c r="BZ99" s="1393" t="s">
        <v>8704</v>
      </c>
      <c r="CA99" s="2023">
        <v>80</v>
      </c>
      <c r="CB99" s="1392" t="s">
        <v>701</v>
      </c>
      <c r="CC99" s="1391">
        <v>44855</v>
      </c>
      <c r="CD99" s="2032" t="s">
        <v>8705</v>
      </c>
      <c r="CE99" s="2023">
        <v>50</v>
      </c>
      <c r="CF99" s="1392" t="s">
        <v>426</v>
      </c>
      <c r="CG99" s="1391"/>
      <c r="CH99" s="2032"/>
      <c r="CI99" s="2023"/>
      <c r="CJ99" s="1392"/>
      <c r="CK99" s="1391"/>
      <c r="CL99" s="2037"/>
      <c r="CM99" s="2009"/>
      <c r="CN99" s="1392"/>
    </row>
    <row r="100" spans="1:92" ht="14.25">
      <c r="A100" s="1430"/>
      <c r="B100" s="1430"/>
      <c r="C100" s="1430"/>
      <c r="D100" s="1430"/>
      <c r="E100" s="1430"/>
      <c r="F100" s="1430"/>
      <c r="G100" s="1430"/>
      <c r="H100" s="1430"/>
      <c r="I100" s="1430"/>
      <c r="J100" s="1430"/>
      <c r="K100" s="1430"/>
      <c r="L100" s="1430"/>
      <c r="M100" s="1430"/>
      <c r="N100" s="1430"/>
      <c r="O100" s="1430"/>
      <c r="P100" s="1430"/>
      <c r="Q100" s="1430"/>
      <c r="R100" s="1430"/>
      <c r="S100" s="1430"/>
      <c r="T100" s="1430"/>
      <c r="U100" s="1430"/>
      <c r="V100" s="1430"/>
      <c r="W100" s="1430"/>
      <c r="X100" s="1430"/>
      <c r="Y100" s="1430"/>
      <c r="Z100" s="1430"/>
      <c r="AA100" s="1430"/>
      <c r="AB100" s="1430"/>
      <c r="AC100" s="1430"/>
      <c r="AD100" s="1430"/>
      <c r="AE100" s="1430"/>
      <c r="AF100" s="1430"/>
      <c r="AG100" s="1430"/>
      <c r="AH100" s="1430"/>
      <c r="AI100" s="1430"/>
      <c r="AJ100" s="1430"/>
      <c r="AK100" s="1430"/>
      <c r="AL100" s="1430"/>
      <c r="AM100" s="1430"/>
      <c r="AN100" s="1430"/>
      <c r="AO100" s="1430"/>
      <c r="AP100" s="1430"/>
      <c r="AQ100" s="1430"/>
      <c r="AR100" s="1430"/>
      <c r="AS100" s="1430"/>
      <c r="AT100" s="1430"/>
      <c r="AU100" s="1430"/>
      <c r="AV100" s="1430"/>
      <c r="AW100" s="1430"/>
      <c r="AX100" s="1430"/>
      <c r="AY100" s="1430"/>
      <c r="AZ100" s="1430"/>
      <c r="BA100" s="1391">
        <v>42307</v>
      </c>
      <c r="BB100" s="1397" t="s">
        <v>8706</v>
      </c>
      <c r="BC100" s="2014">
        <v>13</v>
      </c>
      <c r="BD100" s="1399"/>
      <c r="BE100" s="1391"/>
      <c r="BF100" s="2029"/>
      <c r="BG100" s="2014"/>
      <c r="BH100" s="1399"/>
      <c r="BI100" s="1391"/>
      <c r="BJ100" s="2029"/>
      <c r="BK100" s="2014"/>
      <c r="BL100" s="1399"/>
      <c r="BM100" s="1391"/>
      <c r="BN100" s="2029"/>
      <c r="BO100" s="2014"/>
      <c r="BP100" s="1399"/>
      <c r="BQ100" s="1430"/>
      <c r="BR100" s="1430"/>
      <c r="BS100" s="1430"/>
      <c r="BT100" s="1430"/>
      <c r="BU100" s="1391">
        <v>44134</v>
      </c>
      <c r="BV100" s="1393" t="s">
        <v>2253</v>
      </c>
      <c r="BW100" s="2023">
        <v>28</v>
      </c>
      <c r="BX100" s="1392" t="s">
        <v>414</v>
      </c>
      <c r="BY100" s="1391">
        <v>44499</v>
      </c>
      <c r="BZ100" s="1393" t="s">
        <v>7952</v>
      </c>
      <c r="CA100" s="2023">
        <v>18</v>
      </c>
      <c r="CB100" s="1392" t="s">
        <v>414</v>
      </c>
      <c r="CC100" s="1391">
        <v>44855</v>
      </c>
      <c r="CD100" s="2032" t="s">
        <v>8707</v>
      </c>
      <c r="CE100" s="2023">
        <v>46</v>
      </c>
      <c r="CF100" s="1392" t="s">
        <v>280</v>
      </c>
      <c r="CG100" s="1391"/>
      <c r="CH100" s="2032"/>
      <c r="CI100" s="2023"/>
      <c r="CJ100" s="1392"/>
      <c r="CK100" s="1391"/>
      <c r="CL100" s="2037"/>
      <c r="CM100" s="2009"/>
      <c r="CN100" s="1392"/>
    </row>
    <row r="101" spans="1:92" ht="14.25">
      <c r="A101" s="1430"/>
      <c r="B101" s="1430"/>
      <c r="C101" s="1430"/>
      <c r="D101" s="1430"/>
      <c r="E101" s="1430"/>
      <c r="F101" s="1430"/>
      <c r="G101" s="1430"/>
      <c r="H101" s="1430"/>
      <c r="I101" s="1430"/>
      <c r="J101" s="1430"/>
      <c r="K101" s="1430"/>
      <c r="L101" s="1430"/>
      <c r="M101" s="1430"/>
      <c r="N101" s="1430"/>
      <c r="O101" s="1430"/>
      <c r="P101" s="1430"/>
      <c r="Q101" s="1430"/>
      <c r="R101" s="1430"/>
      <c r="S101" s="1430"/>
      <c r="T101" s="1430"/>
      <c r="U101" s="1430"/>
      <c r="V101" s="1430"/>
      <c r="W101" s="1430"/>
      <c r="X101" s="1430"/>
      <c r="Y101" s="1430"/>
      <c r="Z101" s="1430"/>
      <c r="AA101" s="1430"/>
      <c r="AB101" s="1430"/>
      <c r="AC101" s="1430"/>
      <c r="AD101" s="1430"/>
      <c r="AE101" s="1430"/>
      <c r="AF101" s="1430"/>
      <c r="AG101" s="1430"/>
      <c r="AH101" s="1430"/>
      <c r="AI101" s="1430"/>
      <c r="AJ101" s="1430"/>
      <c r="AK101" s="1430"/>
      <c r="AL101" s="1430"/>
      <c r="AM101" s="1430"/>
      <c r="AN101" s="1430"/>
      <c r="AO101" s="1430"/>
      <c r="AP101" s="1430"/>
      <c r="AQ101" s="1430"/>
      <c r="AR101" s="1430"/>
      <c r="AS101" s="1430"/>
      <c r="AT101" s="1430"/>
      <c r="AU101" s="1430"/>
      <c r="AV101" s="1430"/>
      <c r="AW101" s="1430"/>
      <c r="AX101" s="1430"/>
      <c r="AY101" s="1430"/>
      <c r="AZ101" s="1430"/>
      <c r="BA101" s="1391">
        <v>42307</v>
      </c>
      <c r="BB101" s="1397" t="s">
        <v>867</v>
      </c>
      <c r="BC101" s="2014">
        <v>22</v>
      </c>
      <c r="BD101" s="1399"/>
      <c r="BE101" s="1391"/>
      <c r="BF101" s="2029"/>
      <c r="BG101" s="2014"/>
      <c r="BH101" s="1399"/>
      <c r="BI101" s="1391"/>
      <c r="BJ101" s="2029"/>
      <c r="BK101" s="2014"/>
      <c r="BL101" s="1399"/>
      <c r="BM101" s="1391"/>
      <c r="BN101" s="2029"/>
      <c r="BO101" s="2014"/>
      <c r="BP101" s="1399"/>
      <c r="BQ101" s="1430"/>
      <c r="BR101" s="1430"/>
      <c r="BS101" s="1430"/>
      <c r="BT101" s="1430"/>
      <c r="BU101" s="1391">
        <v>44134</v>
      </c>
      <c r="BV101" s="1393" t="s">
        <v>8708</v>
      </c>
      <c r="BW101" s="2023">
        <v>0</v>
      </c>
      <c r="BX101" s="1392" t="s">
        <v>701</v>
      </c>
      <c r="BY101" s="1391">
        <v>44500</v>
      </c>
      <c r="BZ101" s="1393" t="s">
        <v>8709</v>
      </c>
      <c r="CA101" s="2023">
        <v>28</v>
      </c>
      <c r="CB101" s="1392" t="s">
        <v>280</v>
      </c>
      <c r="CC101" s="1391">
        <v>44855</v>
      </c>
      <c r="CD101" s="2032" t="s">
        <v>8710</v>
      </c>
      <c r="CE101" s="2023">
        <v>20</v>
      </c>
      <c r="CF101" s="1392" t="s">
        <v>280</v>
      </c>
      <c r="CG101" s="1391"/>
      <c r="CH101" s="2032"/>
      <c r="CI101" s="2023"/>
      <c r="CJ101" s="1392"/>
      <c r="CK101" s="1391"/>
      <c r="CL101" s="2037"/>
      <c r="CM101" s="2009"/>
      <c r="CN101" s="1392"/>
    </row>
    <row r="102" spans="1:92" ht="14.25">
      <c r="A102" s="1430"/>
      <c r="B102" s="1430"/>
      <c r="C102" s="1430"/>
      <c r="D102" s="1430"/>
      <c r="E102" s="1430"/>
      <c r="F102" s="1430"/>
      <c r="G102" s="1430"/>
      <c r="H102" s="1430"/>
      <c r="I102" s="1430"/>
      <c r="J102" s="1430"/>
      <c r="K102" s="1430"/>
      <c r="L102" s="1430"/>
      <c r="M102" s="1430"/>
      <c r="N102" s="1430"/>
      <c r="O102" s="1430"/>
      <c r="P102" s="1430"/>
      <c r="Q102" s="1430"/>
      <c r="R102" s="1430"/>
      <c r="S102" s="1430"/>
      <c r="T102" s="1430"/>
      <c r="U102" s="1430"/>
      <c r="V102" s="1430"/>
      <c r="W102" s="1430"/>
      <c r="X102" s="1430"/>
      <c r="Y102" s="1430"/>
      <c r="Z102" s="1430"/>
      <c r="AA102" s="1430"/>
      <c r="AB102" s="1430"/>
      <c r="AC102" s="1430"/>
      <c r="AD102" s="1430"/>
      <c r="AE102" s="1430"/>
      <c r="AF102" s="1430"/>
      <c r="AG102" s="1430"/>
      <c r="AH102" s="1430"/>
      <c r="AI102" s="1430"/>
      <c r="AJ102" s="1430"/>
      <c r="AK102" s="1430"/>
      <c r="AL102" s="1430"/>
      <c r="AM102" s="1430"/>
      <c r="AN102" s="1430"/>
      <c r="AO102" s="1430"/>
      <c r="AP102" s="1430"/>
      <c r="AQ102" s="1430"/>
      <c r="AR102" s="1430"/>
      <c r="AS102" s="1430"/>
      <c r="AT102" s="1430"/>
      <c r="AU102" s="1430"/>
      <c r="AV102" s="1430"/>
      <c r="AW102" s="1430"/>
      <c r="AX102" s="1430"/>
      <c r="AY102" s="1430"/>
      <c r="AZ102" s="1430"/>
      <c r="BA102" s="1391">
        <v>42307</v>
      </c>
      <c r="BB102" s="1397" t="s">
        <v>797</v>
      </c>
      <c r="BC102" s="2014">
        <v>37</v>
      </c>
      <c r="BD102" s="1399"/>
      <c r="BE102" s="1391"/>
      <c r="BF102" s="2029"/>
      <c r="BG102" s="2014"/>
      <c r="BH102" s="1399"/>
      <c r="BI102" s="1391"/>
      <c r="BJ102" s="2029"/>
      <c r="BK102" s="2014"/>
      <c r="BL102" s="1399"/>
      <c r="BM102" s="1391"/>
      <c r="BN102" s="2029"/>
      <c r="BO102" s="2014"/>
      <c r="BP102" s="1399"/>
      <c r="BQ102" s="1430"/>
      <c r="BR102" s="1430"/>
      <c r="BS102" s="1430"/>
      <c r="BT102" s="1430"/>
      <c r="BU102" s="1391">
        <v>44134</v>
      </c>
      <c r="BV102" s="1393" t="s">
        <v>8711</v>
      </c>
      <c r="BW102" s="2023">
        <v>52</v>
      </c>
      <c r="BX102" s="1392" t="s">
        <v>701</v>
      </c>
      <c r="BY102" s="1391">
        <v>44500</v>
      </c>
      <c r="BZ102" s="1393" t="s">
        <v>4059</v>
      </c>
      <c r="CA102" s="2023">
        <v>16</v>
      </c>
      <c r="CB102" s="1392" t="s">
        <v>414</v>
      </c>
      <c r="CC102" s="1391">
        <v>44862</v>
      </c>
      <c r="CD102" s="2032" t="s">
        <v>8712</v>
      </c>
      <c r="CE102" s="2023">
        <v>20</v>
      </c>
      <c r="CF102" s="1392" t="s">
        <v>700</v>
      </c>
      <c r="CG102" s="1391"/>
      <c r="CH102" s="2032"/>
      <c r="CI102" s="2023"/>
      <c r="CJ102" s="1392"/>
      <c r="CK102" s="1391"/>
      <c r="CL102" s="2005"/>
      <c r="CM102" s="2009"/>
      <c r="CN102" s="1392"/>
    </row>
    <row r="103" spans="1:92" ht="14.25">
      <c r="A103" s="1430"/>
      <c r="B103" s="1430"/>
      <c r="C103" s="1430"/>
      <c r="D103" s="1430"/>
      <c r="E103" s="1430"/>
      <c r="F103" s="1430"/>
      <c r="G103" s="1430"/>
      <c r="H103" s="1430"/>
      <c r="I103" s="1430"/>
      <c r="J103" s="1430"/>
      <c r="K103" s="1430"/>
      <c r="L103" s="1430"/>
      <c r="M103" s="1430"/>
      <c r="N103" s="1430"/>
      <c r="O103" s="1430"/>
      <c r="P103" s="1430"/>
      <c r="Q103" s="1430"/>
      <c r="R103" s="1430"/>
      <c r="S103" s="1430"/>
      <c r="T103" s="1430"/>
      <c r="U103" s="1430"/>
      <c r="V103" s="1430"/>
      <c r="W103" s="1430"/>
      <c r="X103" s="1430"/>
      <c r="Y103" s="1430"/>
      <c r="Z103" s="1430"/>
      <c r="AA103" s="1430"/>
      <c r="AB103" s="1430"/>
      <c r="AC103" s="1430"/>
      <c r="AD103" s="1430"/>
      <c r="AE103" s="1430"/>
      <c r="AF103" s="1430"/>
      <c r="AG103" s="1430"/>
      <c r="AH103" s="1430"/>
      <c r="AI103" s="1430"/>
      <c r="AJ103" s="1430"/>
      <c r="AK103" s="1430"/>
      <c r="AL103" s="1430"/>
      <c r="AM103" s="1430"/>
      <c r="AN103" s="1430"/>
      <c r="AO103" s="1430"/>
      <c r="AP103" s="1430"/>
      <c r="AQ103" s="1430"/>
      <c r="AR103" s="1430"/>
      <c r="AS103" s="1430"/>
      <c r="AT103" s="1430"/>
      <c r="AU103" s="1430"/>
      <c r="AV103" s="1430"/>
      <c r="AW103" s="1430"/>
      <c r="AX103" s="1430"/>
      <c r="AY103" s="1430"/>
      <c r="AZ103" s="1430"/>
      <c r="BA103" s="1391">
        <v>42307</v>
      </c>
      <c r="BB103" s="1397" t="s">
        <v>2443</v>
      </c>
      <c r="BC103" s="2014">
        <v>21</v>
      </c>
      <c r="BD103" s="1399"/>
      <c r="BE103" s="1391"/>
      <c r="BF103" s="2029"/>
      <c r="BG103" s="2014"/>
      <c r="BH103" s="1399"/>
      <c r="BI103" s="1391"/>
      <c r="BJ103" s="2029"/>
      <c r="BK103" s="2014"/>
      <c r="BL103" s="1399"/>
      <c r="BM103" s="1391"/>
      <c r="BN103" s="2029"/>
      <c r="BO103" s="2014"/>
      <c r="BP103" s="1399"/>
      <c r="BQ103" s="1430"/>
      <c r="BR103" s="1430"/>
      <c r="BS103" s="1430"/>
      <c r="BT103" s="1430"/>
      <c r="BU103" s="1391">
        <v>44134</v>
      </c>
      <c r="BV103" s="1393" t="s">
        <v>8713</v>
      </c>
      <c r="BW103" s="2023">
        <v>70</v>
      </c>
      <c r="BX103" s="1392" t="s">
        <v>701</v>
      </c>
      <c r="BY103" s="1391">
        <v>44500</v>
      </c>
      <c r="BZ103" s="1393" t="s">
        <v>8714</v>
      </c>
      <c r="CA103" s="2023">
        <v>11</v>
      </c>
      <c r="CB103" s="1392" t="s">
        <v>426</v>
      </c>
      <c r="CC103" s="1391">
        <v>44862</v>
      </c>
      <c r="CD103" s="2032" t="s">
        <v>8715</v>
      </c>
      <c r="CE103" s="2023">
        <v>33</v>
      </c>
      <c r="CF103" s="1392" t="s">
        <v>700</v>
      </c>
      <c r="CG103" s="1391"/>
      <c r="CH103" s="2032"/>
      <c r="CI103" s="2023"/>
      <c r="CJ103" s="1392"/>
      <c r="CK103" s="1391"/>
      <c r="CL103" s="2005"/>
      <c r="CM103" s="2009"/>
      <c r="CN103" s="1392"/>
    </row>
    <row r="104" spans="1:92" ht="14.25">
      <c r="A104" s="1430"/>
      <c r="B104" s="1430"/>
      <c r="C104" s="1430"/>
      <c r="D104" s="1430"/>
      <c r="E104" s="1430"/>
      <c r="F104" s="1430"/>
      <c r="G104" s="1430"/>
      <c r="H104" s="1430"/>
      <c r="I104" s="1430"/>
      <c r="J104" s="1430"/>
      <c r="K104" s="1430"/>
      <c r="L104" s="1430"/>
      <c r="M104" s="1430"/>
      <c r="N104" s="1430"/>
      <c r="O104" s="1430"/>
      <c r="P104" s="1430"/>
      <c r="Q104" s="1430"/>
      <c r="R104" s="1430"/>
      <c r="S104" s="1430"/>
      <c r="T104" s="1430"/>
      <c r="U104" s="1430"/>
      <c r="V104" s="1430"/>
      <c r="W104" s="1430"/>
      <c r="X104" s="1430"/>
      <c r="Y104" s="1430"/>
      <c r="Z104" s="1430"/>
      <c r="AA104" s="1430"/>
      <c r="AB104" s="1430"/>
      <c r="AC104" s="1430"/>
      <c r="AD104" s="1430"/>
      <c r="AE104" s="1430"/>
      <c r="AF104" s="1430"/>
      <c r="AG104" s="1430"/>
      <c r="AH104" s="1430"/>
      <c r="AI104" s="1430"/>
      <c r="AJ104" s="1430"/>
      <c r="AK104" s="1430"/>
      <c r="AL104" s="1430"/>
      <c r="AM104" s="1430"/>
      <c r="AN104" s="1430"/>
      <c r="AO104" s="1430"/>
      <c r="AP104" s="1430"/>
      <c r="AQ104" s="1430"/>
      <c r="AR104" s="1430"/>
      <c r="AS104" s="1430"/>
      <c r="AT104" s="1430"/>
      <c r="AU104" s="1430"/>
      <c r="AV104" s="1430"/>
      <c r="AW104" s="1430"/>
      <c r="AX104" s="1430"/>
      <c r="AY104" s="1430"/>
      <c r="AZ104" s="1430"/>
      <c r="BA104" s="1391">
        <v>42307</v>
      </c>
      <c r="BB104" s="1397" t="s">
        <v>1502</v>
      </c>
      <c r="BC104" s="2014">
        <v>20</v>
      </c>
      <c r="BD104" s="1399"/>
      <c r="BE104" s="1391"/>
      <c r="BF104" s="2029"/>
      <c r="BG104" s="2014"/>
      <c r="BH104" s="1399"/>
      <c r="BI104" s="1391"/>
      <c r="BJ104" s="2029"/>
      <c r="BK104" s="2014"/>
      <c r="BL104" s="1399"/>
      <c r="BM104" s="1391"/>
      <c r="BN104" s="2029"/>
      <c r="BO104" s="2014"/>
      <c r="BP104" s="1399"/>
      <c r="BQ104" s="1430"/>
      <c r="BR104" s="1430"/>
      <c r="BS104" s="1430"/>
      <c r="BT104" s="1430"/>
      <c r="BU104" s="1391">
        <v>44135</v>
      </c>
      <c r="BV104" s="1393" t="s">
        <v>823</v>
      </c>
      <c r="BW104" s="2023">
        <v>49</v>
      </c>
      <c r="BX104" s="1392" t="s">
        <v>414</v>
      </c>
      <c r="BY104" s="1391">
        <v>44500</v>
      </c>
      <c r="BZ104" s="1393" t="s">
        <v>797</v>
      </c>
      <c r="CA104" s="2023" t="s">
        <v>37</v>
      </c>
      <c r="CB104" s="1392" t="s">
        <v>410</v>
      </c>
      <c r="CC104" s="1391">
        <v>44862</v>
      </c>
      <c r="CD104" s="2032" t="s">
        <v>8716</v>
      </c>
      <c r="CE104" s="2023">
        <v>75</v>
      </c>
      <c r="CF104" s="1392" t="s">
        <v>700</v>
      </c>
      <c r="CG104" s="1391"/>
      <c r="CH104" s="2032"/>
      <c r="CI104" s="2023"/>
      <c r="CJ104" s="1392"/>
      <c r="CK104" s="1391"/>
      <c r="CL104" s="2005"/>
      <c r="CM104" s="2009"/>
      <c r="CN104" s="1392"/>
    </row>
    <row r="105" spans="1:92" ht="14.25">
      <c r="A105" s="1430"/>
      <c r="B105" s="1430"/>
      <c r="C105" s="1430"/>
      <c r="D105" s="1430"/>
      <c r="E105" s="1430"/>
      <c r="F105" s="1430"/>
      <c r="G105" s="1430"/>
      <c r="H105" s="1430"/>
      <c r="I105" s="1430"/>
      <c r="J105" s="1430"/>
      <c r="K105" s="1430"/>
      <c r="L105" s="1430"/>
      <c r="M105" s="1430"/>
      <c r="N105" s="1430"/>
      <c r="O105" s="1430"/>
      <c r="P105" s="1430"/>
      <c r="Q105" s="1430"/>
      <c r="R105" s="1430"/>
      <c r="S105" s="1430"/>
      <c r="T105" s="1430"/>
      <c r="U105" s="1430"/>
      <c r="V105" s="1430"/>
      <c r="W105" s="1430"/>
      <c r="X105" s="1430"/>
      <c r="Y105" s="1430"/>
      <c r="Z105" s="1430"/>
      <c r="AA105" s="1430"/>
      <c r="AB105" s="1430"/>
      <c r="AC105" s="1430"/>
      <c r="AD105" s="1430"/>
      <c r="AE105" s="1430"/>
      <c r="AF105" s="1430"/>
      <c r="AG105" s="1430"/>
      <c r="AH105" s="1430"/>
      <c r="AI105" s="1430"/>
      <c r="AJ105" s="1430"/>
      <c r="AK105" s="1430"/>
      <c r="AL105" s="1430"/>
      <c r="AM105" s="1430"/>
      <c r="AN105" s="1430"/>
      <c r="AO105" s="1430"/>
      <c r="AP105" s="1430"/>
      <c r="AQ105" s="1430"/>
      <c r="AR105" s="1430"/>
      <c r="AS105" s="1430"/>
      <c r="AT105" s="1430"/>
      <c r="AU105" s="1430"/>
      <c r="AV105" s="1430"/>
      <c r="AW105" s="1430"/>
      <c r="AX105" s="1430"/>
      <c r="AY105" s="1430"/>
      <c r="AZ105" s="1430"/>
      <c r="BA105" s="1391">
        <v>42308</v>
      </c>
      <c r="BB105" s="1397" t="s">
        <v>781</v>
      </c>
      <c r="BC105" s="2014">
        <v>31</v>
      </c>
      <c r="BD105" s="1399"/>
      <c r="BE105" s="1391"/>
      <c r="BF105" s="2029"/>
      <c r="BG105" s="2014"/>
      <c r="BH105" s="1399"/>
      <c r="BI105" s="1391"/>
      <c r="BJ105" s="2029"/>
      <c r="BK105" s="2014"/>
      <c r="BL105" s="1399"/>
      <c r="BM105" s="1391"/>
      <c r="BN105" s="2029"/>
      <c r="BO105" s="2014"/>
      <c r="BP105" s="1399"/>
      <c r="BQ105" s="1430"/>
      <c r="BR105" s="1430"/>
      <c r="BS105" s="1430"/>
      <c r="BT105" s="1430"/>
      <c r="BU105" s="1391">
        <v>44135</v>
      </c>
      <c r="BV105" s="1393" t="s">
        <v>873</v>
      </c>
      <c r="BW105" s="2023">
        <v>24</v>
      </c>
      <c r="BX105" s="1392" t="s">
        <v>414</v>
      </c>
      <c r="BY105" s="1391">
        <v>44500</v>
      </c>
      <c r="BZ105" s="1393" t="s">
        <v>1180</v>
      </c>
      <c r="CA105" s="2023" t="s">
        <v>37</v>
      </c>
      <c r="CB105" s="1392" t="s">
        <v>410</v>
      </c>
      <c r="CC105" s="1391">
        <v>44862</v>
      </c>
      <c r="CD105" s="2032" t="s">
        <v>8717</v>
      </c>
      <c r="CE105" s="2023">
        <v>96</v>
      </c>
      <c r="CF105" s="1392" t="s">
        <v>700</v>
      </c>
      <c r="CG105" s="1391"/>
      <c r="CH105" s="2032"/>
      <c r="CI105" s="2023"/>
      <c r="CJ105" s="1392"/>
      <c r="CK105" s="1391"/>
      <c r="CL105" s="2005"/>
      <c r="CM105" s="2009"/>
      <c r="CN105" s="1392"/>
    </row>
    <row r="106" spans="1:92" ht="14.25">
      <c r="A106" s="1430"/>
      <c r="B106" s="1430"/>
      <c r="C106" s="1430"/>
      <c r="D106" s="1430"/>
      <c r="E106" s="1430"/>
      <c r="F106" s="1430"/>
      <c r="G106" s="1430"/>
      <c r="H106" s="1430"/>
      <c r="I106" s="1430"/>
      <c r="J106" s="1430"/>
      <c r="K106" s="1430"/>
      <c r="L106" s="1430"/>
      <c r="M106" s="1430"/>
      <c r="N106" s="1430"/>
      <c r="O106" s="1430"/>
      <c r="P106" s="1430"/>
      <c r="Q106" s="1430"/>
      <c r="R106" s="1430"/>
      <c r="S106" s="1430"/>
      <c r="T106" s="1430"/>
      <c r="U106" s="1430"/>
      <c r="V106" s="1430"/>
      <c r="W106" s="1430"/>
      <c r="X106" s="1430"/>
      <c r="Y106" s="1430"/>
      <c r="Z106" s="1430"/>
      <c r="AA106" s="1430"/>
      <c r="AB106" s="1430"/>
      <c r="AC106" s="1430"/>
      <c r="AD106" s="1430"/>
      <c r="AE106" s="1430"/>
      <c r="AF106" s="1430"/>
      <c r="AG106" s="1430"/>
      <c r="AH106" s="1430"/>
      <c r="AI106" s="1430"/>
      <c r="AJ106" s="1430"/>
      <c r="AK106" s="1430"/>
      <c r="AL106" s="1430"/>
      <c r="AM106" s="1430"/>
      <c r="AN106" s="1430"/>
      <c r="AO106" s="1430"/>
      <c r="AP106" s="1430"/>
      <c r="AQ106" s="1430"/>
      <c r="AR106" s="1430"/>
      <c r="AS106" s="1430"/>
      <c r="AT106" s="1430"/>
      <c r="AU106" s="1430"/>
      <c r="AV106" s="1430"/>
      <c r="AW106" s="1430"/>
      <c r="AX106" s="1430"/>
      <c r="AY106" s="1430"/>
      <c r="AZ106" s="1430"/>
      <c r="BA106" s="1391">
        <v>42308</v>
      </c>
      <c r="BB106" s="1397" t="s">
        <v>754</v>
      </c>
      <c r="BC106" s="2014">
        <v>87</v>
      </c>
      <c r="BD106" s="1399"/>
      <c r="BE106" s="1391"/>
      <c r="BF106" s="2029"/>
      <c r="BG106" s="2014"/>
      <c r="BH106" s="1399"/>
      <c r="BI106" s="1391"/>
      <c r="BJ106" s="2029"/>
      <c r="BK106" s="2014"/>
      <c r="BL106" s="1399"/>
      <c r="BM106" s="1391"/>
      <c r="BN106" s="2029"/>
      <c r="BO106" s="2014"/>
      <c r="BP106" s="1399"/>
      <c r="BQ106" s="1430"/>
      <c r="BR106" s="1430"/>
      <c r="BS106" s="1430"/>
      <c r="BT106" s="1430"/>
      <c r="BU106" s="1391">
        <v>44135</v>
      </c>
      <c r="BV106" s="1393" t="s">
        <v>828</v>
      </c>
      <c r="BW106" s="2023">
        <v>14</v>
      </c>
      <c r="BX106" s="1392" t="s">
        <v>414</v>
      </c>
      <c r="BY106" s="1391"/>
      <c r="BZ106" s="1393"/>
      <c r="CA106" s="2023"/>
      <c r="CB106" s="1392"/>
      <c r="CC106" s="1391">
        <v>44862</v>
      </c>
      <c r="CD106" s="2032" t="s">
        <v>8718</v>
      </c>
      <c r="CE106" s="2023">
        <v>21</v>
      </c>
      <c r="CF106" s="1392" t="s">
        <v>700</v>
      </c>
      <c r="CG106" s="1391"/>
      <c r="CH106" s="2032"/>
      <c r="CI106" s="2023"/>
      <c r="CJ106" s="1392"/>
      <c r="CK106" s="1391"/>
      <c r="CL106" s="2037"/>
      <c r="CM106" s="2009"/>
      <c r="CN106" s="1392"/>
    </row>
    <row r="107" spans="1:92" ht="14.25">
      <c r="A107" s="1430"/>
      <c r="B107" s="1430"/>
      <c r="C107" s="1430"/>
      <c r="D107" s="1430"/>
      <c r="E107" s="1430"/>
      <c r="F107" s="1430"/>
      <c r="G107" s="1430"/>
      <c r="H107" s="1430"/>
      <c r="I107" s="1430"/>
      <c r="J107" s="1430"/>
      <c r="K107" s="1430"/>
      <c r="L107" s="1430"/>
      <c r="M107" s="1430"/>
      <c r="N107" s="1430"/>
      <c r="O107" s="1430"/>
      <c r="P107" s="1430"/>
      <c r="Q107" s="1430"/>
      <c r="R107" s="1430"/>
      <c r="S107" s="1430"/>
      <c r="T107" s="1430"/>
      <c r="U107" s="1430"/>
      <c r="V107" s="1430"/>
      <c r="W107" s="1430"/>
      <c r="X107" s="1430"/>
      <c r="Y107" s="1430"/>
      <c r="Z107" s="1430"/>
      <c r="AA107" s="1430"/>
      <c r="AB107" s="1430"/>
      <c r="AC107" s="1430"/>
      <c r="AD107" s="1430"/>
      <c r="AE107" s="1430"/>
      <c r="AF107" s="1430"/>
      <c r="AG107" s="1430"/>
      <c r="AH107" s="1430"/>
      <c r="AI107" s="1430"/>
      <c r="AJ107" s="1430"/>
      <c r="AK107" s="1430"/>
      <c r="AL107" s="1430"/>
      <c r="AM107" s="1430"/>
      <c r="AN107" s="1430"/>
      <c r="AO107" s="1430"/>
      <c r="AP107" s="1430"/>
      <c r="AQ107" s="1430"/>
      <c r="AR107" s="1430"/>
      <c r="AS107" s="1430"/>
      <c r="AT107" s="1430"/>
      <c r="AU107" s="1430"/>
      <c r="AV107" s="1430"/>
      <c r="AW107" s="1430"/>
      <c r="AX107" s="1430"/>
      <c r="AY107" s="1430"/>
      <c r="AZ107" s="1430"/>
      <c r="BA107" s="1391">
        <v>42308</v>
      </c>
      <c r="BB107" s="1397" t="s">
        <v>954</v>
      </c>
      <c r="BC107" s="2014">
        <v>47</v>
      </c>
      <c r="BD107" s="1399"/>
      <c r="BE107" s="1391"/>
      <c r="BF107" s="1397"/>
      <c r="BG107" s="2014"/>
      <c r="BH107" s="1399"/>
      <c r="BI107" s="1391"/>
      <c r="BJ107" s="2029"/>
      <c r="BK107" s="2014"/>
      <c r="BL107" s="1399"/>
      <c r="BM107" s="1391"/>
      <c r="BN107" s="2029"/>
      <c r="BO107" s="2014"/>
      <c r="BP107" s="1399"/>
      <c r="BQ107" s="1430"/>
      <c r="BR107" s="1430"/>
      <c r="BS107" s="1430"/>
      <c r="BT107" s="1430"/>
      <c r="BU107" s="1391">
        <v>44135</v>
      </c>
      <c r="BV107" s="1393" t="s">
        <v>772</v>
      </c>
      <c r="BW107" s="2023">
        <v>33</v>
      </c>
      <c r="BX107" s="1392" t="s">
        <v>414</v>
      </c>
      <c r="BY107" s="1391"/>
      <c r="BZ107" s="1393"/>
      <c r="CA107" s="2023"/>
      <c r="CB107" s="1392"/>
      <c r="CC107" s="1391">
        <v>44862</v>
      </c>
      <c r="CD107" s="2032" t="s">
        <v>8719</v>
      </c>
      <c r="CE107" s="2023">
        <v>33</v>
      </c>
      <c r="CF107" s="1392" t="s">
        <v>700</v>
      </c>
      <c r="CG107" s="1391"/>
      <c r="CH107" s="2032"/>
      <c r="CI107" s="2023"/>
      <c r="CJ107" s="1392"/>
      <c r="CK107" s="1391"/>
      <c r="CL107" s="2037"/>
      <c r="CM107" s="2009"/>
      <c r="CN107" s="1392"/>
    </row>
    <row r="108" spans="1:92" ht="14.25">
      <c r="A108" s="1430"/>
      <c r="B108" s="1430"/>
      <c r="C108" s="1430"/>
      <c r="D108" s="1430"/>
      <c r="E108" s="1430"/>
      <c r="F108" s="1430"/>
      <c r="G108" s="1430"/>
      <c r="H108" s="1430"/>
      <c r="I108" s="1430"/>
      <c r="J108" s="1430"/>
      <c r="K108" s="1430"/>
      <c r="L108" s="1430"/>
      <c r="M108" s="1430"/>
      <c r="N108" s="1430"/>
      <c r="O108" s="1430"/>
      <c r="P108" s="1430"/>
      <c r="Q108" s="1430"/>
      <c r="R108" s="1430"/>
      <c r="S108" s="1430"/>
      <c r="T108" s="1430"/>
      <c r="U108" s="1430"/>
      <c r="V108" s="1430"/>
      <c r="W108" s="1430"/>
      <c r="X108" s="1430"/>
      <c r="Y108" s="1430"/>
      <c r="Z108" s="1430"/>
      <c r="AA108" s="1430"/>
      <c r="AB108" s="1430"/>
      <c r="AC108" s="1430"/>
      <c r="AD108" s="1430"/>
      <c r="AE108" s="1430"/>
      <c r="AF108" s="1430"/>
      <c r="AG108" s="1430"/>
      <c r="AH108" s="1430"/>
      <c r="AI108" s="1430"/>
      <c r="AJ108" s="1430"/>
      <c r="AK108" s="1430"/>
      <c r="AL108" s="1430"/>
      <c r="AM108" s="1430"/>
      <c r="AN108" s="1430"/>
      <c r="AO108" s="1430"/>
      <c r="AP108" s="1430"/>
      <c r="AQ108" s="1430"/>
      <c r="AR108" s="1430"/>
      <c r="AS108" s="1430"/>
      <c r="AT108" s="1430"/>
      <c r="AU108" s="1430"/>
      <c r="AV108" s="1430"/>
      <c r="AW108" s="1430"/>
      <c r="AX108" s="1430"/>
      <c r="AY108" s="1430"/>
      <c r="AZ108" s="1430"/>
      <c r="BA108" s="1391">
        <v>42308</v>
      </c>
      <c r="BB108" s="1397" t="s">
        <v>855</v>
      </c>
      <c r="BC108" s="2014">
        <v>30</v>
      </c>
      <c r="BD108" s="1399"/>
      <c r="BE108" s="1391"/>
      <c r="BF108" s="1397"/>
      <c r="BG108" s="2014"/>
      <c r="BH108" s="1399"/>
      <c r="BI108" s="1391"/>
      <c r="BJ108" s="2029"/>
      <c r="BK108" s="2014"/>
      <c r="BL108" s="1399"/>
      <c r="BM108" s="1415" t="s">
        <v>477</v>
      </c>
      <c r="BN108" s="1416"/>
      <c r="BO108" s="2031">
        <f>SUM(BO4:BO107)</f>
        <v>1822</v>
      </c>
      <c r="BP108" s="2031">
        <f>SUM(BP4:BP107)</f>
        <v>0</v>
      </c>
      <c r="BQ108" s="1430"/>
      <c r="BR108" s="1430"/>
      <c r="BS108" s="1430"/>
      <c r="BT108" s="1430"/>
      <c r="BU108" s="1391">
        <v>44135</v>
      </c>
      <c r="BV108" s="1393" t="s">
        <v>8576</v>
      </c>
      <c r="BW108" s="2023">
        <v>22</v>
      </c>
      <c r="BX108" s="1392" t="s">
        <v>414</v>
      </c>
      <c r="BY108" s="1391"/>
      <c r="BZ108" s="1393"/>
      <c r="CA108" s="2023"/>
      <c r="CB108" s="1392"/>
      <c r="CC108" s="1391">
        <v>44862</v>
      </c>
      <c r="CD108" s="2032" t="s">
        <v>8720</v>
      </c>
      <c r="CE108" s="2023">
        <v>96</v>
      </c>
      <c r="CF108" s="1392" t="s">
        <v>700</v>
      </c>
      <c r="CG108" s="1391"/>
      <c r="CH108" s="2032"/>
      <c r="CI108" s="2023"/>
      <c r="CJ108" s="1392"/>
      <c r="CK108" s="1391"/>
      <c r="CL108" s="2005"/>
      <c r="CM108" s="2009"/>
      <c r="CN108" s="1392"/>
    </row>
    <row r="109" spans="1:92" ht="14.25">
      <c r="A109" s="1430"/>
      <c r="B109" s="1430"/>
      <c r="C109" s="1430"/>
      <c r="D109" s="1430"/>
      <c r="E109" s="1430"/>
      <c r="F109" s="1430"/>
      <c r="G109" s="1430"/>
      <c r="H109" s="1430"/>
      <c r="I109" s="1430"/>
      <c r="J109" s="1430"/>
      <c r="K109" s="1430"/>
      <c r="L109" s="1430"/>
      <c r="M109" s="1430"/>
      <c r="N109" s="1430"/>
      <c r="O109" s="1430"/>
      <c r="P109" s="1430"/>
      <c r="Q109" s="1430"/>
      <c r="R109" s="1430"/>
      <c r="S109" s="1430"/>
      <c r="T109" s="1430"/>
      <c r="U109" s="1430"/>
      <c r="V109" s="1430"/>
      <c r="W109" s="1430"/>
      <c r="X109" s="1430"/>
      <c r="Y109" s="1430"/>
      <c r="Z109" s="1430"/>
      <c r="AA109" s="1430"/>
      <c r="AB109" s="1430"/>
      <c r="AC109" s="1430"/>
      <c r="AD109" s="1430"/>
      <c r="AE109" s="1430"/>
      <c r="AF109" s="1430"/>
      <c r="AG109" s="1430"/>
      <c r="AH109" s="1430"/>
      <c r="AI109" s="1430"/>
      <c r="AJ109" s="1430"/>
      <c r="AK109" s="1430"/>
      <c r="AL109" s="1430"/>
      <c r="AM109" s="1430"/>
      <c r="AN109" s="1430"/>
      <c r="AO109" s="1430"/>
      <c r="AP109" s="1430"/>
      <c r="AQ109" s="1430"/>
      <c r="AR109" s="1430"/>
      <c r="AS109" s="1430"/>
      <c r="AT109" s="1430"/>
      <c r="AU109" s="1430"/>
      <c r="AV109" s="1430"/>
      <c r="AW109" s="1430"/>
      <c r="AX109" s="1430"/>
      <c r="AY109" s="1430"/>
      <c r="AZ109" s="1430"/>
      <c r="BA109" s="1415" t="s">
        <v>477</v>
      </c>
      <c r="BB109" s="1416"/>
      <c r="BC109" s="2031">
        <f>SUM(BC4:BC108)</f>
        <v>4926</v>
      </c>
      <c r="BD109" s="2031">
        <f>SUM(BD4:BD108)</f>
        <v>0</v>
      </c>
      <c r="BE109" s="1415" t="s">
        <v>477</v>
      </c>
      <c r="BF109" s="1416"/>
      <c r="BG109" s="2031">
        <f>SUM(BG4:BG108)</f>
        <v>4483</v>
      </c>
      <c r="BH109" s="2031">
        <f>SUM(BH4:BH108)</f>
        <v>0</v>
      </c>
      <c r="BI109" s="1415" t="s">
        <v>477</v>
      </c>
      <c r="BJ109" s="1416"/>
      <c r="BK109" s="2031">
        <f>SUM(BK4:BK108)</f>
        <v>1663</v>
      </c>
      <c r="BL109" s="2031">
        <f>SUM(BL4:BL108)</f>
        <v>0</v>
      </c>
      <c r="BM109" s="1419" t="s">
        <v>1672</v>
      </c>
      <c r="BN109" s="1420"/>
      <c r="BO109" s="2033"/>
      <c r="BP109" s="2034"/>
      <c r="BQ109" s="1430"/>
      <c r="BR109" s="1430"/>
      <c r="BS109" s="1430"/>
      <c r="BT109" s="1430"/>
      <c r="BU109" s="1391">
        <v>44135</v>
      </c>
      <c r="BV109" s="1393" t="s">
        <v>8721</v>
      </c>
      <c r="BW109" s="2023">
        <v>100</v>
      </c>
      <c r="BX109" s="1392" t="s">
        <v>130</v>
      </c>
      <c r="BY109" s="1391"/>
      <c r="BZ109" s="1393"/>
      <c r="CA109" s="2023"/>
      <c r="CB109" s="1392"/>
      <c r="CC109" s="1391">
        <v>44862</v>
      </c>
      <c r="CD109" s="2032" t="s">
        <v>8722</v>
      </c>
      <c r="CE109" s="2023">
        <v>16</v>
      </c>
      <c r="CF109" s="1392" t="s">
        <v>700</v>
      </c>
      <c r="CG109" s="1391"/>
      <c r="CH109" s="2032"/>
      <c r="CI109" s="2023"/>
      <c r="CJ109" s="1392"/>
      <c r="CK109" s="1391"/>
      <c r="CL109" s="2005"/>
      <c r="CM109" s="2009"/>
      <c r="CN109" s="1392"/>
    </row>
    <row r="110" spans="1:92" ht="14.25">
      <c r="A110" s="1430"/>
      <c r="B110" s="1430"/>
      <c r="C110" s="1430"/>
      <c r="D110" s="1430"/>
      <c r="E110" s="1430"/>
      <c r="F110" s="1430"/>
      <c r="G110" s="1430"/>
      <c r="H110" s="1430"/>
      <c r="I110" s="1430"/>
      <c r="J110" s="1430"/>
      <c r="K110" s="1430"/>
      <c r="L110" s="1430"/>
      <c r="M110" s="1430"/>
      <c r="N110" s="1430"/>
      <c r="O110" s="1430"/>
      <c r="P110" s="1430"/>
      <c r="Q110" s="1430"/>
      <c r="R110" s="1430"/>
      <c r="S110" s="1430"/>
      <c r="T110" s="1430"/>
      <c r="U110" s="1430"/>
      <c r="V110" s="1430"/>
      <c r="W110" s="1430"/>
      <c r="X110" s="1430"/>
      <c r="Y110" s="1430"/>
      <c r="Z110" s="1430"/>
      <c r="AA110" s="1430"/>
      <c r="AB110" s="1430"/>
      <c r="AC110" s="1430"/>
      <c r="AD110" s="1430"/>
      <c r="AE110" s="1430"/>
      <c r="AF110" s="1430"/>
      <c r="AG110" s="1430"/>
      <c r="AH110" s="1430"/>
      <c r="AI110" s="1430"/>
      <c r="AJ110" s="1430"/>
      <c r="AK110" s="1430"/>
      <c r="AL110" s="1430"/>
      <c r="AM110" s="1430"/>
      <c r="AN110" s="1430"/>
      <c r="AO110" s="1430"/>
      <c r="AP110" s="1430"/>
      <c r="AQ110" s="1430"/>
      <c r="AR110" s="1430"/>
      <c r="AS110" s="1430"/>
      <c r="AT110" s="1430"/>
      <c r="AU110" s="1430"/>
      <c r="AV110" s="1430"/>
      <c r="AW110" s="1430"/>
      <c r="AX110" s="1430"/>
      <c r="AY110" s="1430"/>
      <c r="AZ110" s="1430"/>
      <c r="BA110" s="1419" t="s">
        <v>1672</v>
      </c>
      <c r="BB110" s="1420"/>
      <c r="BC110" s="2033"/>
      <c r="BD110" s="2034"/>
      <c r="BE110" s="1419" t="s">
        <v>1672</v>
      </c>
      <c r="BF110" s="1420"/>
      <c r="BG110" s="2033"/>
      <c r="BH110" s="2034"/>
      <c r="BI110" s="1419" t="s">
        <v>1672</v>
      </c>
      <c r="BJ110" s="1420"/>
      <c r="BK110" s="2033"/>
      <c r="BL110" s="2034"/>
      <c r="BM110" s="1430"/>
      <c r="BN110" s="1430"/>
      <c r="BO110" s="1430"/>
      <c r="BP110" s="1430"/>
      <c r="BQ110" s="1430"/>
      <c r="BR110" s="1430"/>
      <c r="BS110" s="1430"/>
      <c r="BT110" s="1430"/>
      <c r="BU110" s="1391">
        <v>44135</v>
      </c>
      <c r="BV110" s="1393" t="s">
        <v>853</v>
      </c>
      <c r="BW110" s="2023">
        <v>11</v>
      </c>
      <c r="BX110" s="1392" t="s">
        <v>278</v>
      </c>
      <c r="BY110" s="1391"/>
      <c r="BZ110" s="1393"/>
      <c r="CA110" s="2023"/>
      <c r="CB110" s="1392"/>
      <c r="CC110" s="1391">
        <v>44862</v>
      </c>
      <c r="CD110" s="1393" t="s">
        <v>8723</v>
      </c>
      <c r="CE110" s="2023">
        <v>12</v>
      </c>
      <c r="CF110" s="1392" t="s">
        <v>280</v>
      </c>
      <c r="CG110" s="1391"/>
      <c r="CH110" s="2032"/>
      <c r="CI110" s="2023"/>
      <c r="CJ110" s="1392"/>
      <c r="CK110" s="1391"/>
      <c r="CL110" s="2005"/>
      <c r="CM110" s="2009"/>
      <c r="CN110" s="1392"/>
    </row>
    <row r="111" spans="1:92" ht="14.25">
      <c r="A111" s="1430"/>
      <c r="B111" s="1430"/>
      <c r="C111" s="1430"/>
      <c r="D111" s="1430"/>
      <c r="E111" s="1430"/>
      <c r="F111" s="1430"/>
      <c r="G111" s="1430"/>
      <c r="H111" s="1430"/>
      <c r="I111" s="1430"/>
      <c r="J111" s="1430"/>
      <c r="K111" s="1430"/>
      <c r="L111" s="1430"/>
      <c r="M111" s="1430"/>
      <c r="N111" s="1430"/>
      <c r="O111" s="1430"/>
      <c r="P111" s="1430"/>
      <c r="Q111" s="1430"/>
      <c r="R111" s="1430"/>
      <c r="S111" s="1430"/>
      <c r="T111" s="1430"/>
      <c r="U111" s="1430"/>
      <c r="V111" s="1430"/>
      <c r="W111" s="1430"/>
      <c r="X111" s="1430"/>
      <c r="Y111" s="1430"/>
      <c r="Z111" s="1430"/>
      <c r="AA111" s="1430"/>
      <c r="AB111" s="1430"/>
      <c r="AC111" s="1430"/>
      <c r="AD111" s="1430"/>
      <c r="AE111" s="1430"/>
      <c r="AF111" s="1430"/>
      <c r="AG111" s="1430"/>
      <c r="AH111" s="1430"/>
      <c r="AI111" s="1430"/>
      <c r="AJ111" s="1430"/>
      <c r="AK111" s="1430"/>
      <c r="AL111" s="1430"/>
      <c r="AM111" s="1430"/>
      <c r="AN111" s="1430"/>
      <c r="AO111" s="1430"/>
      <c r="AP111" s="1430"/>
      <c r="AQ111" s="1430"/>
      <c r="AR111" s="1430"/>
      <c r="AS111" s="1430"/>
      <c r="AT111" s="1430"/>
      <c r="AU111" s="1430"/>
      <c r="AV111" s="1430"/>
      <c r="AW111" s="1430"/>
      <c r="AX111" s="1430"/>
      <c r="AY111" s="1430"/>
      <c r="AZ111" s="1430"/>
      <c r="BA111" s="1430"/>
      <c r="BB111" s="1430"/>
      <c r="BC111" s="1430"/>
      <c r="BD111" s="1430"/>
      <c r="BE111" s="1430"/>
      <c r="BF111" s="1430"/>
      <c r="BG111" s="1430"/>
      <c r="BH111" s="1430"/>
      <c r="BI111" s="1430"/>
      <c r="BJ111" s="1430"/>
      <c r="BK111" s="1430"/>
      <c r="BL111" s="1430"/>
      <c r="BM111" s="1430"/>
      <c r="BN111" s="1430"/>
      <c r="BO111" s="1430"/>
      <c r="BP111" s="1430"/>
      <c r="BQ111" s="1430"/>
      <c r="BR111" s="1430"/>
      <c r="BS111" s="1430"/>
      <c r="BT111" s="1430"/>
      <c r="BU111" s="1416" t="s">
        <v>477</v>
      </c>
      <c r="BV111" s="1416"/>
      <c r="BW111" s="2031">
        <f>SUM(BW4:BW110)</f>
        <v>16186</v>
      </c>
      <c r="BX111" s="2031">
        <f>SUM(BX4:BX110)</f>
        <v>0</v>
      </c>
      <c r="BY111" s="1416" t="s">
        <v>477</v>
      </c>
      <c r="BZ111" s="1416"/>
      <c r="CA111" s="2031">
        <f>SUM(CA4:CA110)</f>
        <v>5737</v>
      </c>
      <c r="CB111" s="2031">
        <f>SUM(CB4:CB110)</f>
        <v>0</v>
      </c>
      <c r="CC111" s="1391">
        <v>44862</v>
      </c>
      <c r="CD111" s="1393" t="s">
        <v>8724</v>
      </c>
      <c r="CE111" s="2023">
        <v>11</v>
      </c>
      <c r="CF111" s="1392" t="s">
        <v>280</v>
      </c>
      <c r="CG111" s="1391"/>
      <c r="CH111" s="1393"/>
      <c r="CI111" s="2023"/>
      <c r="CJ111" s="1392"/>
      <c r="CK111" s="1391"/>
      <c r="CL111" s="2005"/>
      <c r="CM111" s="2009"/>
      <c r="CN111" s="1392"/>
    </row>
    <row r="112" spans="1:92" ht="14.25">
      <c r="A112" s="1430"/>
      <c r="B112" s="1430"/>
      <c r="C112" s="1430"/>
      <c r="D112" s="1430"/>
      <c r="E112" s="1430"/>
      <c r="F112" s="1430"/>
      <c r="G112" s="1430"/>
      <c r="H112" s="1430"/>
      <c r="I112" s="1430"/>
      <c r="J112" s="1430"/>
      <c r="K112" s="1430"/>
      <c r="L112" s="1430"/>
      <c r="M112" s="1430"/>
      <c r="N112" s="1430"/>
      <c r="O112" s="1430"/>
      <c r="P112" s="1430"/>
      <c r="Q112" s="1430"/>
      <c r="R112" s="1430"/>
      <c r="S112" s="1430"/>
      <c r="T112" s="1430"/>
      <c r="U112" s="1430"/>
      <c r="V112" s="1430"/>
      <c r="W112" s="1430"/>
      <c r="X112" s="1430"/>
      <c r="Y112" s="1430"/>
      <c r="Z112" s="1430"/>
      <c r="AA112" s="1430"/>
      <c r="AB112" s="1430"/>
      <c r="AC112" s="1430"/>
      <c r="AD112" s="1430"/>
      <c r="AE112" s="1430"/>
      <c r="AF112" s="1430"/>
      <c r="AG112" s="1430"/>
      <c r="AH112" s="1430"/>
      <c r="AI112" s="1430"/>
      <c r="AJ112" s="1430"/>
      <c r="AK112" s="1430"/>
      <c r="AL112" s="1430"/>
      <c r="AM112" s="1430"/>
      <c r="AN112" s="1430"/>
      <c r="AO112" s="1430"/>
      <c r="AP112" s="1430"/>
      <c r="AQ112" s="1430"/>
      <c r="AR112" s="1430"/>
      <c r="AS112" s="1430"/>
      <c r="AT112" s="1430"/>
      <c r="AU112" s="1430"/>
      <c r="AV112" s="1430"/>
      <c r="AW112" s="1430"/>
      <c r="AX112" s="1430"/>
      <c r="AY112" s="1430"/>
      <c r="AZ112" s="1430"/>
      <c r="BA112" s="1430"/>
      <c r="BB112" s="1430"/>
      <c r="BC112" s="1430"/>
      <c r="BD112" s="1430"/>
      <c r="BE112" s="1430"/>
      <c r="BF112" s="1430"/>
      <c r="BG112" s="1430"/>
      <c r="BH112" s="1430"/>
      <c r="BI112" s="1430"/>
      <c r="BJ112" s="1430"/>
      <c r="BK112" s="1430"/>
      <c r="BL112" s="1430"/>
      <c r="BM112" s="1430"/>
      <c r="BN112" s="1430"/>
      <c r="BO112" s="1430"/>
      <c r="BP112" s="1430"/>
      <c r="BQ112" s="1430"/>
      <c r="BR112" s="1430"/>
      <c r="BS112" s="1430"/>
      <c r="BT112" s="1430"/>
      <c r="BU112" s="1419" t="s">
        <v>1672</v>
      </c>
      <c r="BV112" s="1420"/>
      <c r="BW112" s="2033"/>
      <c r="BX112" s="2034"/>
      <c r="BY112" s="1419" t="s">
        <v>1672</v>
      </c>
      <c r="BZ112" s="1420"/>
      <c r="CA112" s="2033"/>
      <c r="CB112" s="2034"/>
      <c r="CC112" s="1391">
        <v>44862</v>
      </c>
      <c r="CD112" s="1393" t="s">
        <v>8725</v>
      </c>
      <c r="CE112" s="2023">
        <v>15</v>
      </c>
      <c r="CF112" s="1392" t="s">
        <v>426</v>
      </c>
      <c r="CG112" s="1391"/>
      <c r="CH112" s="1393"/>
      <c r="CI112" s="2023"/>
      <c r="CJ112" s="1392"/>
      <c r="CK112" s="1391"/>
      <c r="CL112" s="2005"/>
      <c r="CM112" s="2009"/>
      <c r="CN112" s="1392"/>
    </row>
    <row r="113" spans="1:92" ht="14.25">
      <c r="A113" s="1430"/>
      <c r="B113" s="1430"/>
      <c r="C113" s="1430"/>
      <c r="D113" s="1430"/>
      <c r="E113" s="1430"/>
      <c r="F113" s="1430"/>
      <c r="G113" s="1430"/>
      <c r="H113" s="1430"/>
      <c r="I113" s="1430"/>
      <c r="J113" s="1430"/>
      <c r="K113" s="1430"/>
      <c r="L113" s="1430"/>
      <c r="M113" s="1430"/>
      <c r="N113" s="1430"/>
      <c r="O113" s="1430"/>
      <c r="P113" s="1430"/>
      <c r="Q113" s="1430"/>
      <c r="R113" s="1430"/>
      <c r="S113" s="1430"/>
      <c r="T113" s="1430"/>
      <c r="U113" s="1430"/>
      <c r="V113" s="1430"/>
      <c r="W113" s="1430"/>
      <c r="X113" s="1430"/>
      <c r="Y113" s="1430"/>
      <c r="Z113" s="1430"/>
      <c r="AA113" s="1430"/>
      <c r="AB113" s="1430"/>
      <c r="AC113" s="1430"/>
      <c r="AD113" s="1430"/>
      <c r="AE113" s="1430"/>
      <c r="AF113" s="1430"/>
      <c r="AG113" s="1430"/>
      <c r="AH113" s="1430"/>
      <c r="AI113" s="1430"/>
      <c r="AJ113" s="1430"/>
      <c r="AK113" s="1430"/>
      <c r="AL113" s="1430"/>
      <c r="AM113" s="1430"/>
      <c r="AN113" s="1430"/>
      <c r="AO113" s="1430"/>
      <c r="AP113" s="1430"/>
      <c r="AQ113" s="1430"/>
      <c r="AR113" s="1430"/>
      <c r="AS113" s="1430"/>
      <c r="AT113" s="1430"/>
      <c r="AU113" s="1430"/>
      <c r="AV113" s="1430"/>
      <c r="AW113" s="1430"/>
      <c r="AX113" s="1430"/>
      <c r="AY113" s="1430"/>
      <c r="AZ113" s="1430"/>
      <c r="BA113" s="1430"/>
      <c r="BB113" s="1430"/>
      <c r="BC113" s="1430"/>
      <c r="BD113" s="1430"/>
      <c r="BE113" s="1430"/>
      <c r="BF113" s="1430"/>
      <c r="BG113" s="1430"/>
      <c r="BH113" s="1430"/>
      <c r="BI113" s="1430"/>
      <c r="BJ113" s="1430"/>
      <c r="BK113" s="1430"/>
      <c r="BL113" s="1430"/>
      <c r="BM113" s="1430"/>
      <c r="BN113" s="1430"/>
      <c r="BO113" s="1430"/>
      <c r="BP113" s="1430"/>
      <c r="BQ113" s="1430"/>
      <c r="BR113" s="1430"/>
      <c r="BS113" s="1430"/>
      <c r="BT113" s="1430"/>
      <c r="BU113" s="1423" t="s">
        <v>138</v>
      </c>
      <c r="BV113" s="1424"/>
      <c r="BW113" s="2035">
        <f>SUM(BW111,BX111)</f>
        <v>16186</v>
      </c>
      <c r="BX113" s="2036"/>
      <c r="BY113" s="1423" t="s">
        <v>138</v>
      </c>
      <c r="BZ113" s="1424"/>
      <c r="CA113" s="2035">
        <f>SUM(CA111,CB111)</f>
        <v>5737</v>
      </c>
      <c r="CB113" s="2036"/>
      <c r="CC113" s="1391">
        <v>44862</v>
      </c>
      <c r="CD113" s="1393" t="s">
        <v>8726</v>
      </c>
      <c r="CE113" s="2023">
        <v>150</v>
      </c>
      <c r="CF113" s="1392" t="s">
        <v>700</v>
      </c>
      <c r="CG113" s="1391"/>
      <c r="CH113" s="1393"/>
      <c r="CI113" s="2023"/>
      <c r="CJ113" s="1392"/>
      <c r="CK113" s="1391"/>
      <c r="CL113" s="2037"/>
      <c r="CM113" s="2009"/>
      <c r="CN113" s="1392"/>
    </row>
    <row r="114" spans="1:92" ht="14.25">
      <c r="A114" s="1683"/>
      <c r="B114" s="1683"/>
      <c r="C114" s="1683"/>
      <c r="D114" s="1683"/>
      <c r="E114" s="1683"/>
      <c r="F114" s="1683"/>
      <c r="G114" s="1683"/>
      <c r="H114" s="1683"/>
      <c r="I114" s="1683"/>
      <c r="J114" s="1683"/>
      <c r="K114" s="1683"/>
      <c r="L114" s="1683"/>
      <c r="M114" s="1683"/>
      <c r="N114" s="1683"/>
      <c r="O114" s="1683"/>
      <c r="P114" s="1683"/>
      <c r="Q114" s="1683"/>
      <c r="R114" s="1683"/>
      <c r="S114" s="1683"/>
      <c r="T114" s="1683"/>
      <c r="U114" s="1683"/>
      <c r="V114" s="1683"/>
      <c r="W114" s="1683"/>
      <c r="X114" s="1683"/>
      <c r="Y114" s="1683"/>
      <c r="Z114" s="1683"/>
      <c r="AA114" s="1683"/>
      <c r="AB114" s="1683"/>
      <c r="AC114" s="1683"/>
      <c r="AD114" s="1683"/>
      <c r="AE114" s="1683"/>
      <c r="AF114" s="1683"/>
      <c r="AG114" s="1683"/>
      <c r="AH114" s="1683"/>
      <c r="AI114" s="1683"/>
      <c r="AJ114" s="1683"/>
      <c r="AK114" s="1683"/>
      <c r="AL114" s="1683"/>
      <c r="AM114" s="1683"/>
      <c r="AN114" s="1683"/>
      <c r="AO114" s="1683"/>
      <c r="AP114" s="1683"/>
      <c r="AQ114" s="1683"/>
      <c r="AR114" s="1683"/>
      <c r="AS114" s="1683"/>
      <c r="AT114" s="1683"/>
      <c r="AU114" s="1683"/>
      <c r="AV114" s="1683"/>
      <c r="AW114" s="1683"/>
      <c r="AX114" s="1683"/>
      <c r="AY114" s="1683"/>
      <c r="AZ114" s="1683"/>
      <c r="BA114" s="1683"/>
      <c r="BB114" s="1683"/>
      <c r="BC114" s="1683"/>
      <c r="BD114" s="1683"/>
      <c r="BE114" s="1683"/>
      <c r="BF114" s="1683"/>
      <c r="BG114" s="1683"/>
      <c r="BH114" s="1683"/>
      <c r="BI114" s="1683"/>
      <c r="BJ114" s="1683"/>
      <c r="BK114" s="1683"/>
      <c r="BL114" s="1683"/>
      <c r="BM114" s="1683"/>
      <c r="BN114" s="1683"/>
      <c r="BO114" s="1683"/>
      <c r="BP114" s="1683"/>
      <c r="BQ114" s="1683"/>
      <c r="BR114" s="1683"/>
      <c r="BS114" s="1683"/>
      <c r="BT114" s="1683"/>
      <c r="BU114" s="1683"/>
      <c r="BV114" s="1683"/>
      <c r="BW114" s="1683"/>
      <c r="BX114" s="1683"/>
      <c r="BY114" s="1683"/>
      <c r="BZ114" s="1683"/>
      <c r="CA114" s="1683"/>
      <c r="CB114" s="1683"/>
      <c r="CC114" s="1391">
        <v>44863</v>
      </c>
      <c r="CD114" s="2032" t="s">
        <v>772</v>
      </c>
      <c r="CE114" s="2023">
        <v>24</v>
      </c>
      <c r="CF114" s="1392" t="s">
        <v>414</v>
      </c>
      <c r="CG114" s="1391"/>
      <c r="CH114" s="1393"/>
      <c r="CI114" s="2023"/>
      <c r="CJ114" s="1392"/>
      <c r="CK114" s="1391"/>
      <c r="CL114" s="2037"/>
      <c r="CM114" s="2009"/>
      <c r="CN114" s="1392"/>
    </row>
    <row r="115" spans="1:92" ht="14.25">
      <c r="A115" s="1683"/>
      <c r="B115" s="1683"/>
      <c r="C115" s="1683"/>
      <c r="D115" s="1683"/>
      <c r="E115" s="1683"/>
      <c r="F115" s="1683"/>
      <c r="G115" s="1683"/>
      <c r="H115" s="1683"/>
      <c r="I115" s="1683"/>
      <c r="J115" s="1683"/>
      <c r="K115" s="1683"/>
      <c r="L115" s="1683"/>
      <c r="M115" s="1683"/>
      <c r="N115" s="1683"/>
      <c r="O115" s="1683"/>
      <c r="P115" s="1683"/>
      <c r="Q115" s="1683"/>
      <c r="R115" s="1683"/>
      <c r="S115" s="1683"/>
      <c r="T115" s="1683"/>
      <c r="U115" s="1683"/>
      <c r="V115" s="1683"/>
      <c r="W115" s="1683"/>
      <c r="X115" s="1683"/>
      <c r="Y115" s="1683"/>
      <c r="Z115" s="1683"/>
      <c r="AA115" s="1683"/>
      <c r="AB115" s="1683"/>
      <c r="AC115" s="1683"/>
      <c r="AD115" s="1683"/>
      <c r="AE115" s="1683"/>
      <c r="AF115" s="1683"/>
      <c r="AG115" s="1683"/>
      <c r="AH115" s="1683"/>
      <c r="AI115" s="1683"/>
      <c r="AJ115" s="1683"/>
      <c r="AK115" s="1683"/>
      <c r="AL115" s="1683"/>
      <c r="AM115" s="1683"/>
      <c r="AN115" s="1683"/>
      <c r="AO115" s="1683"/>
      <c r="AP115" s="1683"/>
      <c r="AQ115" s="1683"/>
      <c r="AR115" s="1683"/>
      <c r="AS115" s="1683"/>
      <c r="AT115" s="1683"/>
      <c r="AU115" s="1683"/>
      <c r="AV115" s="1683"/>
      <c r="AW115" s="1683"/>
      <c r="AX115" s="1683"/>
      <c r="AY115" s="1683"/>
      <c r="AZ115" s="1683"/>
      <c r="BA115" s="1683"/>
      <c r="BB115" s="1683"/>
      <c r="BC115" s="1683"/>
      <c r="BD115" s="1683"/>
      <c r="BE115" s="1683"/>
      <c r="BF115" s="1683"/>
      <c r="BG115" s="1683"/>
      <c r="BH115" s="1683"/>
      <c r="BI115" s="1683"/>
      <c r="BJ115" s="1683"/>
      <c r="BK115" s="1683"/>
      <c r="BL115" s="1683"/>
      <c r="BM115" s="1683"/>
      <c r="BN115" s="1683"/>
      <c r="BO115" s="1683"/>
      <c r="BP115" s="1683"/>
      <c r="BQ115" s="1683"/>
      <c r="BR115" s="1683"/>
      <c r="BS115" s="1683"/>
      <c r="BT115" s="1683"/>
      <c r="BU115" s="1683"/>
      <c r="BV115" s="1683"/>
      <c r="BW115" s="1683"/>
      <c r="BX115" s="1683"/>
      <c r="BY115" s="1683"/>
      <c r="BZ115" s="1683"/>
      <c r="CA115" s="1683"/>
      <c r="CB115" s="1683"/>
      <c r="CC115" s="1391">
        <v>44863</v>
      </c>
      <c r="CD115" s="2032" t="s">
        <v>948</v>
      </c>
      <c r="CE115" s="2023">
        <v>58</v>
      </c>
      <c r="CF115" s="1392" t="s">
        <v>414</v>
      </c>
      <c r="CG115" s="1391"/>
      <c r="CH115" s="2032"/>
      <c r="CI115" s="2023"/>
      <c r="CJ115" s="1392"/>
      <c r="CK115" s="1391"/>
      <c r="CL115" s="2040"/>
      <c r="CM115" s="2009"/>
      <c r="CN115" s="1392"/>
    </row>
    <row r="116" spans="1:92" ht="14.25">
      <c r="A116" s="1683"/>
      <c r="B116" s="1683"/>
      <c r="C116" s="1683"/>
      <c r="D116" s="1683"/>
      <c r="E116" s="1683"/>
      <c r="F116" s="1683"/>
      <c r="G116" s="1683"/>
      <c r="H116" s="1683"/>
      <c r="I116" s="1683"/>
      <c r="J116" s="1683"/>
      <c r="K116" s="1683"/>
      <c r="L116" s="1683"/>
      <c r="M116" s="1683"/>
      <c r="N116" s="1683"/>
      <c r="O116" s="1683"/>
      <c r="P116" s="1683"/>
      <c r="Q116" s="1683"/>
      <c r="R116" s="1683"/>
      <c r="S116" s="1683"/>
      <c r="T116" s="1683"/>
      <c r="U116" s="1683"/>
      <c r="V116" s="1683"/>
      <c r="W116" s="1683"/>
      <c r="X116" s="1683"/>
      <c r="Y116" s="1683"/>
      <c r="Z116" s="1683"/>
      <c r="AA116" s="1683"/>
      <c r="AB116" s="1683"/>
      <c r="AC116" s="1683"/>
      <c r="AD116" s="1683"/>
      <c r="AE116" s="1683"/>
      <c r="AF116" s="1683"/>
      <c r="AG116" s="1683"/>
      <c r="AH116" s="1683"/>
      <c r="AI116" s="1683"/>
      <c r="AJ116" s="1683"/>
      <c r="AK116" s="1683"/>
      <c r="AL116" s="1683"/>
      <c r="AM116" s="1683"/>
      <c r="AN116" s="1683"/>
      <c r="AO116" s="1683"/>
      <c r="AP116" s="1683"/>
      <c r="AQ116" s="1683"/>
      <c r="AR116" s="1683"/>
      <c r="AS116" s="1683"/>
      <c r="AT116" s="1683"/>
      <c r="AU116" s="1683"/>
      <c r="AV116" s="1683"/>
      <c r="AW116" s="1683"/>
      <c r="AX116" s="1683"/>
      <c r="AY116" s="1683"/>
      <c r="AZ116" s="1683"/>
      <c r="BA116" s="1683"/>
      <c r="BB116" s="1683"/>
      <c r="BC116" s="1683"/>
      <c r="BD116" s="1683"/>
      <c r="BE116" s="1683"/>
      <c r="BF116" s="1683"/>
      <c r="BG116" s="1683"/>
      <c r="BH116" s="1683"/>
      <c r="BI116" s="1683"/>
      <c r="BJ116" s="1683"/>
      <c r="BK116" s="1683"/>
      <c r="BL116" s="1683"/>
      <c r="BM116" s="1683"/>
      <c r="BN116" s="1683"/>
      <c r="BO116" s="1683"/>
      <c r="BP116" s="1683"/>
      <c r="BQ116" s="1683"/>
      <c r="BR116" s="1683"/>
      <c r="BS116" s="1683"/>
      <c r="BT116" s="1683"/>
      <c r="BU116" s="1683"/>
      <c r="BV116" s="1683"/>
      <c r="BW116" s="1683"/>
      <c r="BX116" s="1683"/>
      <c r="BY116" s="1683"/>
      <c r="BZ116" s="1683"/>
      <c r="CA116" s="1683"/>
      <c r="CB116" s="1683"/>
      <c r="CC116" s="1391">
        <v>44863</v>
      </c>
      <c r="CD116" s="1393" t="s">
        <v>8727</v>
      </c>
      <c r="CE116" s="2023">
        <v>120</v>
      </c>
      <c r="CF116" s="1392" t="s">
        <v>280</v>
      </c>
      <c r="CG116" s="1391"/>
      <c r="CH116" s="2032"/>
      <c r="CI116" s="2023"/>
      <c r="CJ116" s="1392"/>
      <c r="CK116" s="1391"/>
      <c r="CL116" s="2040"/>
      <c r="CM116" s="2009"/>
      <c r="CN116" s="1392"/>
    </row>
    <row r="117" spans="1:92" ht="14.25">
      <c r="A117" s="1683"/>
      <c r="B117" s="1683"/>
      <c r="C117" s="1683"/>
      <c r="D117" s="1683"/>
      <c r="E117" s="1683"/>
      <c r="F117" s="1683"/>
      <c r="G117" s="1683"/>
      <c r="H117" s="1683"/>
      <c r="I117" s="1683"/>
      <c r="J117" s="1683"/>
      <c r="K117" s="1683"/>
      <c r="L117" s="1683"/>
      <c r="M117" s="1683"/>
      <c r="N117" s="1683"/>
      <c r="O117" s="1683"/>
      <c r="P117" s="1683"/>
      <c r="Q117" s="1683"/>
      <c r="R117" s="1683"/>
      <c r="S117" s="1683"/>
      <c r="T117" s="1683"/>
      <c r="U117" s="1683"/>
      <c r="V117" s="1683"/>
      <c r="W117" s="1683"/>
      <c r="X117" s="1683"/>
      <c r="Y117" s="1683"/>
      <c r="Z117" s="1683"/>
      <c r="AA117" s="1683"/>
      <c r="AB117" s="1683"/>
      <c r="AC117" s="1683"/>
      <c r="AD117" s="1683"/>
      <c r="AE117" s="1683"/>
      <c r="AF117" s="1683"/>
      <c r="AG117" s="1683"/>
      <c r="AH117" s="1683"/>
      <c r="AI117" s="1683"/>
      <c r="AJ117" s="1683"/>
      <c r="AK117" s="1683"/>
      <c r="AL117" s="1683"/>
      <c r="AM117" s="1683"/>
      <c r="AN117" s="1683"/>
      <c r="AO117" s="1683"/>
      <c r="AP117" s="1683"/>
      <c r="AQ117" s="1683"/>
      <c r="AR117" s="1683"/>
      <c r="AS117" s="1683"/>
      <c r="AT117" s="1683"/>
      <c r="AU117" s="1683"/>
      <c r="AV117" s="1683"/>
      <c r="AW117" s="1683"/>
      <c r="AX117" s="1683"/>
      <c r="AY117" s="1683"/>
      <c r="AZ117" s="1683"/>
      <c r="BA117" s="1683"/>
      <c r="BB117" s="1683"/>
      <c r="BC117" s="1683"/>
      <c r="BD117" s="1683"/>
      <c r="BE117" s="1683"/>
      <c r="BF117" s="1683"/>
      <c r="BG117" s="1683"/>
      <c r="BH117" s="1683"/>
      <c r="BI117" s="1683"/>
      <c r="BJ117" s="1683"/>
      <c r="BK117" s="1683"/>
      <c r="BL117" s="1683"/>
      <c r="BM117" s="1683"/>
      <c r="BN117" s="1683"/>
      <c r="BO117" s="1683"/>
      <c r="BP117" s="1683"/>
      <c r="BQ117" s="1683"/>
      <c r="BR117" s="1683"/>
      <c r="BS117" s="1683"/>
      <c r="BT117" s="1683"/>
      <c r="BU117" s="1683"/>
      <c r="BV117" s="1683"/>
      <c r="BW117" s="1683"/>
      <c r="BX117" s="1683"/>
      <c r="BY117" s="1683"/>
      <c r="BZ117" s="1683"/>
      <c r="CA117" s="1683"/>
      <c r="CB117" s="1683"/>
      <c r="CC117" s="1391">
        <v>44863</v>
      </c>
      <c r="CD117" s="1393" t="s">
        <v>8728</v>
      </c>
      <c r="CE117" s="2023">
        <v>85</v>
      </c>
      <c r="CF117" s="1392" t="s">
        <v>436</v>
      </c>
      <c r="CG117" s="1391"/>
      <c r="CH117" s="1393"/>
      <c r="CI117" s="2023"/>
      <c r="CJ117" s="1392"/>
      <c r="CK117" s="1391"/>
      <c r="CL117" s="2005"/>
      <c r="CM117" s="2009"/>
      <c r="CN117" s="1392"/>
    </row>
    <row r="118" spans="1:92" ht="14.25">
      <c r="A118" s="1683"/>
      <c r="B118" s="1683"/>
      <c r="C118" s="1683"/>
      <c r="D118" s="1683"/>
      <c r="E118" s="1683"/>
      <c r="F118" s="1683"/>
      <c r="G118" s="1683"/>
      <c r="H118" s="1683"/>
      <c r="I118" s="1683"/>
      <c r="J118" s="1683"/>
      <c r="K118" s="1683"/>
      <c r="L118" s="1683"/>
      <c r="M118" s="1683"/>
      <c r="N118" s="1683"/>
      <c r="O118" s="1683"/>
      <c r="P118" s="1683"/>
      <c r="Q118" s="1683"/>
      <c r="R118" s="1683"/>
      <c r="S118" s="1683"/>
      <c r="T118" s="1683"/>
      <c r="U118" s="1683"/>
      <c r="V118" s="1683"/>
      <c r="W118" s="1683"/>
      <c r="X118" s="1683"/>
      <c r="Y118" s="1683"/>
      <c r="Z118" s="1683"/>
      <c r="AA118" s="1683"/>
      <c r="AB118" s="1683"/>
      <c r="AC118" s="1683"/>
      <c r="AD118" s="1683"/>
      <c r="AE118" s="1683"/>
      <c r="AF118" s="1683"/>
      <c r="AG118" s="1683"/>
      <c r="AH118" s="1683"/>
      <c r="AI118" s="1683"/>
      <c r="AJ118" s="1683"/>
      <c r="AK118" s="1683"/>
      <c r="AL118" s="1683"/>
      <c r="AM118" s="1683"/>
      <c r="AN118" s="1683"/>
      <c r="AO118" s="1683"/>
      <c r="AP118" s="1683"/>
      <c r="AQ118" s="1683"/>
      <c r="AR118" s="1683"/>
      <c r="AS118" s="1683"/>
      <c r="AT118" s="1683"/>
      <c r="AU118" s="1683"/>
      <c r="AV118" s="1683"/>
      <c r="AW118" s="1683"/>
      <c r="AX118" s="1683"/>
      <c r="AY118" s="1683"/>
      <c r="AZ118" s="1683"/>
      <c r="BA118" s="1683"/>
      <c r="BB118" s="1683"/>
      <c r="BC118" s="1683"/>
      <c r="BD118" s="1683"/>
      <c r="BE118" s="1683"/>
      <c r="BF118" s="1683"/>
      <c r="BG118" s="1683"/>
      <c r="BH118" s="1683"/>
      <c r="BI118" s="1683"/>
      <c r="BJ118" s="1683"/>
      <c r="BK118" s="1683"/>
      <c r="BL118" s="1683"/>
      <c r="BM118" s="1683"/>
      <c r="BN118" s="1683"/>
      <c r="BO118" s="1683"/>
      <c r="BP118" s="1683"/>
      <c r="BQ118" s="1683"/>
      <c r="BR118" s="1683"/>
      <c r="BS118" s="1683"/>
      <c r="BT118" s="1683"/>
      <c r="BU118" s="1683"/>
      <c r="BV118" s="1683"/>
      <c r="BW118" s="1683"/>
      <c r="BX118" s="1683"/>
      <c r="BY118" s="1683"/>
      <c r="BZ118" s="1683"/>
      <c r="CA118" s="1683"/>
      <c r="CB118" s="1683"/>
      <c r="CC118" s="1391">
        <v>44864</v>
      </c>
      <c r="CD118" s="1393" t="s">
        <v>8729</v>
      </c>
      <c r="CE118" s="2023">
        <v>35</v>
      </c>
      <c r="CF118" s="1392" t="s">
        <v>426</v>
      </c>
      <c r="CG118" s="1391"/>
      <c r="CH118" s="1393"/>
      <c r="CI118" s="2023"/>
      <c r="CJ118" s="1392"/>
      <c r="CK118" s="1391"/>
      <c r="CL118" s="2005"/>
      <c r="CM118" s="2009"/>
      <c r="CN118" s="1392"/>
    </row>
    <row r="119" spans="1:92" ht="14.25">
      <c r="A119" s="1683"/>
      <c r="B119" s="1683"/>
      <c r="C119" s="1683"/>
      <c r="D119" s="1683"/>
      <c r="E119" s="1683"/>
      <c r="F119" s="1683"/>
      <c r="G119" s="1683"/>
      <c r="H119" s="1683"/>
      <c r="I119" s="1683"/>
      <c r="J119" s="1683"/>
      <c r="K119" s="1683"/>
      <c r="L119" s="1683"/>
      <c r="M119" s="1683"/>
      <c r="N119" s="1683"/>
      <c r="O119" s="1683"/>
      <c r="P119" s="1683"/>
      <c r="Q119" s="1683"/>
      <c r="R119" s="1683"/>
      <c r="S119" s="1683"/>
      <c r="T119" s="1683"/>
      <c r="U119" s="1683"/>
      <c r="V119" s="1683"/>
      <c r="W119" s="1683"/>
      <c r="X119" s="1683"/>
      <c r="Y119" s="1683"/>
      <c r="Z119" s="1683"/>
      <c r="AA119" s="1683"/>
      <c r="AB119" s="1683"/>
      <c r="AC119" s="1683"/>
      <c r="AD119" s="1683"/>
      <c r="AE119" s="1683"/>
      <c r="AF119" s="1683"/>
      <c r="AG119" s="1683"/>
      <c r="AH119" s="1683"/>
      <c r="AI119" s="1683"/>
      <c r="AJ119" s="1683"/>
      <c r="AK119" s="1683"/>
      <c r="AL119" s="1683"/>
      <c r="AM119" s="1683"/>
      <c r="AN119" s="1683"/>
      <c r="AO119" s="1683"/>
      <c r="AP119" s="1683"/>
      <c r="AQ119" s="1683"/>
      <c r="AR119" s="1683"/>
      <c r="AS119" s="1683"/>
      <c r="AT119" s="1683"/>
      <c r="AU119" s="1683"/>
      <c r="AV119" s="1683"/>
      <c r="AW119" s="1683"/>
      <c r="AX119" s="1683"/>
      <c r="AY119" s="1683"/>
      <c r="AZ119" s="1683"/>
      <c r="BA119" s="1683"/>
      <c r="BB119" s="1683"/>
      <c r="BC119" s="1683"/>
      <c r="BD119" s="1683"/>
      <c r="BE119" s="1683"/>
      <c r="BF119" s="1683"/>
      <c r="BG119" s="1683"/>
      <c r="BH119" s="1683"/>
      <c r="BI119" s="1683"/>
      <c r="BJ119" s="1683"/>
      <c r="BK119" s="1683"/>
      <c r="BL119" s="1683"/>
      <c r="BM119" s="1683"/>
      <c r="BN119" s="1683"/>
      <c r="BO119" s="1683"/>
      <c r="BP119" s="1683"/>
      <c r="BQ119" s="1683"/>
      <c r="BR119" s="1683"/>
      <c r="BS119" s="1683"/>
      <c r="BT119" s="1683"/>
      <c r="BU119" s="1683"/>
      <c r="BV119" s="1683"/>
      <c r="BW119" s="1683"/>
      <c r="BX119" s="1683"/>
      <c r="BY119" s="1683"/>
      <c r="BZ119" s="1683"/>
      <c r="CA119" s="1683"/>
      <c r="CB119" s="1683"/>
      <c r="CC119" s="1391">
        <v>44864</v>
      </c>
      <c r="CD119" s="1393" t="s">
        <v>1352</v>
      </c>
      <c r="CE119" s="2023">
        <v>50</v>
      </c>
      <c r="CF119" s="1392" t="s">
        <v>280</v>
      </c>
      <c r="CG119" s="1391"/>
      <c r="CH119" s="1393"/>
      <c r="CI119" s="2023"/>
      <c r="CJ119" s="1392"/>
      <c r="CK119" s="1391"/>
      <c r="CL119" s="2005"/>
      <c r="CM119" s="2009"/>
      <c r="CN119" s="1392"/>
    </row>
    <row r="120" spans="1:92" ht="14.25">
      <c r="A120" s="1683"/>
      <c r="B120" s="1683"/>
      <c r="C120" s="1683"/>
      <c r="D120" s="1683"/>
      <c r="E120" s="1683"/>
      <c r="F120" s="1683"/>
      <c r="G120" s="1683"/>
      <c r="H120" s="1683"/>
      <c r="I120" s="1683"/>
      <c r="J120" s="1683"/>
      <c r="K120" s="1683"/>
      <c r="L120" s="1683"/>
      <c r="M120" s="1683"/>
      <c r="N120" s="1683"/>
      <c r="O120" s="1683"/>
      <c r="P120" s="1683"/>
      <c r="Q120" s="1683"/>
      <c r="R120" s="1683"/>
      <c r="S120" s="1683"/>
      <c r="T120" s="1683"/>
      <c r="U120" s="1683"/>
      <c r="V120" s="1683"/>
      <c r="W120" s="1683"/>
      <c r="X120" s="1683"/>
      <c r="Y120" s="1683"/>
      <c r="Z120" s="1683"/>
      <c r="AA120" s="1683"/>
      <c r="AB120" s="1683"/>
      <c r="AC120" s="1683"/>
      <c r="AD120" s="1683"/>
      <c r="AE120" s="1683"/>
      <c r="AF120" s="1683"/>
      <c r="AG120" s="1683"/>
      <c r="AH120" s="1683"/>
      <c r="AI120" s="1683"/>
      <c r="AJ120" s="1683"/>
      <c r="AK120" s="1683"/>
      <c r="AL120" s="1683"/>
      <c r="AM120" s="1683"/>
      <c r="AN120" s="1683"/>
      <c r="AO120" s="1683"/>
      <c r="AP120" s="1683"/>
      <c r="AQ120" s="1683"/>
      <c r="AR120" s="1683"/>
      <c r="AS120" s="1683"/>
      <c r="AT120" s="1683"/>
      <c r="AU120" s="1683"/>
      <c r="AV120" s="1683"/>
      <c r="AW120" s="1683"/>
      <c r="AX120" s="1683"/>
      <c r="AY120" s="1683"/>
      <c r="AZ120" s="1683"/>
      <c r="BA120" s="1683"/>
      <c r="BB120" s="1683"/>
      <c r="BC120" s="1683"/>
      <c r="BD120" s="1683"/>
      <c r="BE120" s="1683"/>
      <c r="BF120" s="1683"/>
      <c r="BG120" s="1683"/>
      <c r="BH120" s="1683"/>
      <c r="BI120" s="1683"/>
      <c r="BJ120" s="1683"/>
      <c r="BK120" s="1683"/>
      <c r="BL120" s="1683"/>
      <c r="BM120" s="1683"/>
      <c r="BN120" s="1683"/>
      <c r="BO120" s="1683"/>
      <c r="BP120" s="1683"/>
      <c r="BQ120" s="1683"/>
      <c r="BR120" s="1683"/>
      <c r="BS120" s="1683"/>
      <c r="BT120" s="1683"/>
      <c r="BU120" s="1683"/>
      <c r="BV120" s="1683"/>
      <c r="BW120" s="1683"/>
      <c r="BX120" s="1683"/>
      <c r="BY120" s="1683"/>
      <c r="BZ120" s="1683"/>
      <c r="CA120" s="1683"/>
      <c r="CB120" s="1683"/>
      <c r="CC120" s="1391">
        <v>44864</v>
      </c>
      <c r="CD120" s="1393" t="s">
        <v>1237</v>
      </c>
      <c r="CE120" s="2023">
        <v>25</v>
      </c>
      <c r="CF120" s="1392" t="s">
        <v>426</v>
      </c>
      <c r="CG120" s="1391"/>
      <c r="CH120" s="1393"/>
      <c r="CI120" s="2023"/>
      <c r="CJ120" s="1392"/>
      <c r="CK120" s="1416" t="s">
        <v>477</v>
      </c>
      <c r="CL120" s="1416"/>
      <c r="CM120" s="2031">
        <f>SUM(CM4:CM119)</f>
        <v>8730</v>
      </c>
      <c r="CN120" s="1392"/>
    </row>
    <row r="121" spans="1:92" ht="14.25">
      <c r="A121" s="1683"/>
      <c r="B121" s="1683"/>
      <c r="C121" s="1683"/>
      <c r="D121" s="1683"/>
      <c r="E121" s="1683"/>
      <c r="F121" s="1683"/>
      <c r="G121" s="1683"/>
      <c r="H121" s="1683"/>
      <c r="I121" s="1683"/>
      <c r="J121" s="1683"/>
      <c r="K121" s="1683"/>
      <c r="L121" s="1683"/>
      <c r="M121" s="1683"/>
      <c r="N121" s="1683"/>
      <c r="O121" s="1683"/>
      <c r="P121" s="1683"/>
      <c r="Q121" s="1683"/>
      <c r="R121" s="1683"/>
      <c r="S121" s="1683"/>
      <c r="T121" s="1683"/>
      <c r="U121" s="1683"/>
      <c r="V121" s="1683"/>
      <c r="W121" s="1683"/>
      <c r="X121" s="1683"/>
      <c r="Y121" s="1683"/>
      <c r="Z121" s="1683"/>
      <c r="AA121" s="1683"/>
      <c r="AB121" s="1683"/>
      <c r="AC121" s="1683"/>
      <c r="AD121" s="1683"/>
      <c r="AE121" s="1683"/>
      <c r="AF121" s="1683"/>
      <c r="AG121" s="1683"/>
      <c r="AH121" s="1683"/>
      <c r="AI121" s="1683"/>
      <c r="AJ121" s="1683"/>
      <c r="AK121" s="1683"/>
      <c r="AL121" s="1683"/>
      <c r="AM121" s="1683"/>
      <c r="AN121" s="1683"/>
      <c r="AO121" s="1683"/>
      <c r="AP121" s="1683"/>
      <c r="AQ121" s="1683"/>
      <c r="AR121" s="1683"/>
      <c r="AS121" s="1683"/>
      <c r="AT121" s="1683"/>
      <c r="AU121" s="1683"/>
      <c r="AV121" s="1683"/>
      <c r="AW121" s="1683"/>
      <c r="AX121" s="1683"/>
      <c r="AY121" s="1683"/>
      <c r="AZ121" s="1683"/>
      <c r="BA121" s="1683"/>
      <c r="BB121" s="1683"/>
      <c r="BC121" s="1683"/>
      <c r="BD121" s="1683"/>
      <c r="BE121" s="1683"/>
      <c r="BF121" s="1683"/>
      <c r="BG121" s="1683"/>
      <c r="BH121" s="1683"/>
      <c r="BI121" s="1683"/>
      <c r="BJ121" s="1683"/>
      <c r="BK121" s="1683"/>
      <c r="BL121" s="1683"/>
      <c r="BM121" s="1683"/>
      <c r="BN121" s="1683"/>
      <c r="BO121" s="1683"/>
      <c r="BP121" s="1683"/>
      <c r="BQ121" s="1683"/>
      <c r="BR121" s="1683"/>
      <c r="BS121" s="1683"/>
      <c r="BT121" s="1683"/>
      <c r="BU121" s="1683"/>
      <c r="BV121" s="1683"/>
      <c r="BW121" s="1683"/>
      <c r="BX121" s="1683"/>
      <c r="BY121" s="1683"/>
      <c r="BZ121" s="1683"/>
      <c r="CA121" s="1683"/>
      <c r="CB121" s="1683"/>
      <c r="CC121" s="1391">
        <v>44864</v>
      </c>
      <c r="CD121" s="2032" t="s">
        <v>772</v>
      </c>
      <c r="CE121" s="2023">
        <v>1</v>
      </c>
      <c r="CF121" s="1392" t="s">
        <v>414</v>
      </c>
      <c r="CG121" s="1391"/>
      <c r="CH121" s="1393"/>
      <c r="CI121" s="2023"/>
      <c r="CJ121" s="1392"/>
      <c r="CK121" s="1419" t="s">
        <v>1672</v>
      </c>
      <c r="CL121" s="1420"/>
      <c r="CM121" s="2033"/>
      <c r="CN121" s="1392"/>
    </row>
    <row r="122" spans="1:92" ht="14.25">
      <c r="A122" s="1683"/>
      <c r="B122" s="1683"/>
      <c r="C122" s="1683"/>
      <c r="D122" s="1683"/>
      <c r="E122" s="1683"/>
      <c r="F122" s="1683"/>
      <c r="G122" s="1683"/>
      <c r="H122" s="1683"/>
      <c r="I122" s="1683"/>
      <c r="J122" s="1683"/>
      <c r="K122" s="1683"/>
      <c r="L122" s="1683"/>
      <c r="M122" s="1683"/>
      <c r="N122" s="1683"/>
      <c r="O122" s="1683"/>
      <c r="P122" s="1683"/>
      <c r="Q122" s="1683"/>
      <c r="R122" s="1683"/>
      <c r="S122" s="1683"/>
      <c r="T122" s="1683"/>
      <c r="U122" s="1683"/>
      <c r="V122" s="1683"/>
      <c r="W122" s="1683"/>
      <c r="X122" s="1683"/>
      <c r="Y122" s="1683"/>
      <c r="Z122" s="1683"/>
      <c r="AA122" s="1683"/>
      <c r="AB122" s="1683"/>
      <c r="AC122" s="1683"/>
      <c r="AD122" s="1683"/>
      <c r="AE122" s="1683"/>
      <c r="AF122" s="1683"/>
      <c r="AG122" s="1683"/>
      <c r="AH122" s="1683"/>
      <c r="AI122" s="1683"/>
      <c r="AJ122" s="1683"/>
      <c r="AK122" s="1683"/>
      <c r="AL122" s="1683"/>
      <c r="AM122" s="1683"/>
      <c r="AN122" s="1683"/>
      <c r="AO122" s="1683"/>
      <c r="AP122" s="1683"/>
      <c r="AQ122" s="1683"/>
      <c r="AR122" s="1683"/>
      <c r="AS122" s="1683"/>
      <c r="AT122" s="1683"/>
      <c r="AU122" s="1683"/>
      <c r="AV122" s="1683"/>
      <c r="AW122" s="1683"/>
      <c r="AX122" s="1683"/>
      <c r="AY122" s="1683"/>
      <c r="AZ122" s="1683"/>
      <c r="BA122" s="1683"/>
      <c r="BB122" s="1683"/>
      <c r="BC122" s="1683"/>
      <c r="BD122" s="1683"/>
      <c r="BE122" s="1683"/>
      <c r="BF122" s="1683"/>
      <c r="BG122" s="1683"/>
      <c r="BH122" s="1683"/>
      <c r="BI122" s="1683"/>
      <c r="BJ122" s="1683"/>
      <c r="BK122" s="1683"/>
      <c r="BL122" s="1683"/>
      <c r="BM122" s="1683"/>
      <c r="BN122" s="1683"/>
      <c r="BO122" s="1683"/>
      <c r="BP122" s="1683"/>
      <c r="BQ122" s="1683"/>
      <c r="BR122" s="1683"/>
      <c r="BS122" s="1683"/>
      <c r="BT122" s="1683"/>
      <c r="BU122" s="1683"/>
      <c r="BV122" s="1683"/>
      <c r="BW122" s="1683"/>
      <c r="BX122" s="1683"/>
      <c r="BY122" s="1683"/>
      <c r="BZ122" s="1683"/>
      <c r="CA122" s="1683"/>
      <c r="CB122" s="1683"/>
      <c r="CC122" s="1391">
        <v>44865</v>
      </c>
      <c r="CD122" s="2032" t="s">
        <v>2888</v>
      </c>
      <c r="CE122" s="2023">
        <v>61</v>
      </c>
      <c r="CF122" s="1392" t="s">
        <v>414</v>
      </c>
      <c r="CG122" s="1391"/>
      <c r="CH122" s="2032"/>
      <c r="CI122" s="2023"/>
      <c r="CJ122" s="1392"/>
      <c r="CK122" s="1423" t="s">
        <v>138</v>
      </c>
      <c r="CL122" s="1424"/>
      <c r="CM122" s="2035">
        <f>SUM(CM120,CN131)</f>
        <v>8730</v>
      </c>
      <c r="CN122" s="1392"/>
    </row>
    <row r="123" spans="1:92" ht="14.25">
      <c r="CC123" s="1017"/>
      <c r="CD123" s="1021"/>
      <c r="CE123" s="1020"/>
      <c r="CF123" s="1018"/>
      <c r="CG123" s="1017"/>
      <c r="CH123" s="1047"/>
      <c r="CI123" s="1020"/>
      <c r="CJ123" s="1018"/>
      <c r="CN123" s="1018"/>
    </row>
    <row r="124" spans="1:92" ht="14.25">
      <c r="CC124" s="1017"/>
      <c r="CD124" s="1021"/>
      <c r="CE124" s="1020"/>
      <c r="CF124" s="1018"/>
      <c r="CG124" s="1017"/>
      <c r="CH124" s="1021"/>
      <c r="CI124" s="1020"/>
      <c r="CJ124" s="1018"/>
      <c r="CN124" s="1018"/>
    </row>
    <row r="125" spans="1:92" ht="14.25">
      <c r="CC125" s="1017"/>
      <c r="CD125" s="1019"/>
      <c r="CE125" s="1020"/>
      <c r="CF125" s="1018"/>
      <c r="CG125" s="1017"/>
      <c r="CH125" s="1021"/>
      <c r="CI125" s="1020"/>
      <c r="CJ125" s="1018"/>
      <c r="CN125" s="1018"/>
    </row>
    <row r="126" spans="1:92" ht="14.25">
      <c r="CC126" s="1017"/>
      <c r="CD126" s="1019"/>
      <c r="CE126" s="1020"/>
      <c r="CF126" s="1018"/>
      <c r="CG126" s="1017"/>
      <c r="CH126" s="1019"/>
      <c r="CI126" s="1020"/>
      <c r="CJ126" s="1018"/>
      <c r="CN126" s="1018"/>
    </row>
    <row r="127" spans="1:92" ht="14.25">
      <c r="CC127" s="1017"/>
      <c r="CD127" s="1019"/>
      <c r="CE127" s="1020"/>
      <c r="CF127" s="1018"/>
      <c r="CG127" s="1017"/>
      <c r="CH127" s="1019"/>
      <c r="CI127" s="1020"/>
      <c r="CJ127" s="1018"/>
      <c r="CN127" s="1018"/>
    </row>
    <row r="128" spans="1:92" ht="14.25">
      <c r="CC128" s="1022" t="s">
        <v>477</v>
      </c>
      <c r="CD128" s="1022"/>
      <c r="CE128" s="1023">
        <f>SUM(CE4:CE127)</f>
        <v>4695</v>
      </c>
      <c r="CF128" s="1023">
        <f>SUM(CF4:CF127)</f>
        <v>0</v>
      </c>
      <c r="CG128" s="1017"/>
      <c r="CH128" s="1019"/>
      <c r="CI128" s="1020"/>
      <c r="CJ128" s="1018"/>
      <c r="CN128" s="1018"/>
    </row>
    <row r="129" spans="81:92" ht="14.25">
      <c r="CC129" s="1024" t="s">
        <v>1672</v>
      </c>
      <c r="CD129" s="1025"/>
      <c r="CE129" s="1026"/>
      <c r="CF129" s="1027"/>
      <c r="CG129" s="1022" t="s">
        <v>477</v>
      </c>
      <c r="CH129" s="1022"/>
      <c r="CI129" s="1023">
        <f>SUM(CI4:CI128)</f>
        <v>9605</v>
      </c>
      <c r="CJ129" s="1023">
        <f>SUM(CJ4:CJ128)</f>
        <v>0</v>
      </c>
      <c r="CN129" s="1018"/>
    </row>
    <row r="130" spans="81:92" ht="14.25">
      <c r="CC130" s="1028" t="s">
        <v>138</v>
      </c>
      <c r="CD130" s="1029"/>
      <c r="CE130" s="1030">
        <f>SUM(CE128,CF128)</f>
        <v>4695</v>
      </c>
      <c r="CF130" s="1031"/>
      <c r="CG130" s="1024" t="s">
        <v>1672</v>
      </c>
      <c r="CH130" s="1025"/>
      <c r="CI130" s="1026"/>
      <c r="CJ130" s="1027"/>
      <c r="CN130" s="1018"/>
    </row>
    <row r="131" spans="81:92" ht="14.25">
      <c r="CG131" s="1028" t="s">
        <v>138</v>
      </c>
      <c r="CH131" s="1029"/>
      <c r="CI131" s="1030">
        <f>SUM(CI129,CJ129)</f>
        <v>9605</v>
      </c>
      <c r="CJ131" s="1031"/>
      <c r="CN131" s="1023">
        <f>SUM(CN4:CN130)</f>
        <v>0</v>
      </c>
    </row>
    <row r="132" spans="81:92" ht="14.25">
      <c r="CN132" s="1027"/>
    </row>
    <row r="133" spans="81:92" ht="14.25">
      <c r="CN133" s="1031"/>
    </row>
    <row r="134" spans="81:92" ht="14.25"/>
    <row r="135" spans="81:92" ht="14.25"/>
    <row r="136" spans="81:92" ht="14.25"/>
    <row r="137" spans="81:92" ht="14.25"/>
    <row r="138" spans="81:92" ht="14.25"/>
  </sheetData>
  <autoFilter ref="A3:CB113" xr:uid="{4200D7AC-A009-1143-ABEA-6913FA808739}"/>
  <phoneticPr fontId="4" type="noConversion"/>
  <hyperlinks>
    <hyperlink ref="V1" location="Monthly!A1" display="Oct'07" xr:uid="{00000000-0004-0000-1100-000000000000}"/>
    <hyperlink ref="Z1" location="Monthly!A1" display="Oct'08" xr:uid="{00000000-0004-0000-1100-000001000000}"/>
    <hyperlink ref="AD1" location="Monthly!A1" display="Oct'09" xr:uid="{00000000-0004-0000-1100-000002000000}"/>
    <hyperlink ref="AH1" location="Monthly!A1" display="Oct'10" xr:uid="{00000000-0004-0000-1100-000003000000}"/>
    <hyperlink ref="AL1" location="Monthly!A1" display="Oct'11" xr:uid="{00000000-0004-0000-1100-000004000000}"/>
    <hyperlink ref="AP1" location="Monthly!A1" display="Oct'12" xr:uid="{00000000-0004-0000-1100-000005000000}"/>
    <hyperlink ref="AT1" location="Monthly!A1" display="Oct'13" xr:uid="{00000000-0004-0000-1100-000006000000}"/>
    <hyperlink ref="AX1" location="Monthly!A1" display="Oct'14" xr:uid="{00000000-0004-0000-1100-000007000000}"/>
    <hyperlink ref="BB1" location="Monthly!A1" display="Oct'14" xr:uid="{00000000-0004-0000-1100-000008000000}"/>
    <hyperlink ref="BF1" location="Monthly!A1" display="Oct'14" xr:uid="{00000000-0004-0000-1100-000009000000}"/>
    <hyperlink ref="BJ1" location="Monthly!A1" display="Oct'14" xr:uid="{00000000-0004-0000-1100-00000A000000}"/>
    <hyperlink ref="BN1" location="Monthly!A1" display="Oct'14" xr:uid="{00000000-0004-0000-1100-00000B000000}"/>
    <hyperlink ref="BR1" location="Monthly!A1" display="Sep'14" xr:uid="{00000000-0004-0000-1100-00000C000000}"/>
    <hyperlink ref="BV1" location="Monthly!A1" display="Sep'14" xr:uid="{7232AC67-FE3E-6945-905A-A66AC87CD6E6}"/>
    <hyperlink ref="BZ1" location="Monthly!A1" display="Sep'14" xr:uid="{9750D8BF-002C-6247-A9B7-95B70E7E577E}"/>
    <hyperlink ref="CD1" location="Monthly!A1" display="Sep'14" xr:uid="{E8F232DB-83CE-48CD-A7C8-51F3E95377F5}"/>
    <hyperlink ref="CH1" location="Monthly!A1" display="Sep'14" xr:uid="{0294DB3B-549F-48C5-ACCC-D875527127DD}"/>
    <hyperlink ref="CL1" location="Monthly!A1" display="Sep'14" xr:uid="{7CDC6C06-8361-4F1C-92C3-BAD3A7F10444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Monthly!$V$556:$V$584</xm:f>
          </x14:formula1>
          <xm:sqref>BT4:BT50 BT59:BT78 BT52:BT57 BX5:BX110 CB4:CB110 CF4:CF127 CJ4:CJ128 CN4:CN130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indexed="11"/>
  </sheetPr>
  <dimension ref="A1:CV145"/>
  <sheetViews>
    <sheetView topLeftCell="CP19" zoomScale="150" zoomScaleNormal="150" zoomScaleSheetLayoutView="110" workbookViewId="0">
      <selection activeCell="CS15" sqref="CS15:CU37"/>
    </sheetView>
  </sheetViews>
  <sheetFormatPr defaultColWidth="8.85546875" defaultRowHeight="14.25"/>
  <cols>
    <col min="1" max="1" width="8.85546875" style="1683"/>
    <col min="2" max="2" width="36.28515625" style="1683" customWidth="1"/>
    <col min="3" max="4" width="12" style="1683" customWidth="1"/>
    <col min="5" max="5" width="8.85546875" style="1683"/>
    <col min="6" max="6" width="40.42578125" style="1683" customWidth="1"/>
    <col min="7" max="7" width="12.140625" style="1683" customWidth="1"/>
    <col min="8" max="8" width="11.140625" style="1683" customWidth="1"/>
    <col min="9" max="9" width="8.85546875" style="1683"/>
    <col min="10" max="10" width="36.28515625" style="1683" customWidth="1"/>
    <col min="11" max="11" width="11.7109375" style="1683" customWidth="1"/>
    <col min="12" max="12" width="13" style="1683" customWidth="1"/>
    <col min="13" max="13" width="8.85546875" style="1683"/>
    <col min="14" max="14" width="48.7109375" style="1683" customWidth="1"/>
    <col min="15" max="15" width="12.85546875" style="1683" customWidth="1"/>
    <col min="16" max="17" width="8.85546875" style="1683"/>
    <col min="18" max="18" width="50" style="1683" customWidth="1"/>
    <col min="19" max="19" width="12.140625" style="1683" customWidth="1"/>
    <col min="20" max="20" width="14.42578125" style="1683" customWidth="1"/>
    <col min="21" max="21" width="8.85546875" style="1683"/>
    <col min="22" max="22" width="50.7109375" style="1683" customWidth="1"/>
    <col min="23" max="23" width="11.42578125" style="1683" customWidth="1"/>
    <col min="24" max="25" width="8.85546875" style="1683"/>
    <col min="26" max="26" width="45.42578125" style="1683" customWidth="1"/>
    <col min="27" max="27" width="13.42578125" style="1683" customWidth="1"/>
    <col min="28" max="28" width="13" style="1683" customWidth="1"/>
    <col min="29" max="29" width="8.85546875" style="1683"/>
    <col min="30" max="30" width="39.85546875" style="1683" customWidth="1"/>
    <col min="31" max="31" width="11.28515625" style="1683" customWidth="1"/>
    <col min="32" max="33" width="8.85546875" style="1683"/>
    <col min="34" max="34" width="54.7109375" style="1683" customWidth="1"/>
    <col min="35" max="35" width="14" style="1683" customWidth="1"/>
    <col min="36" max="37" width="8.85546875" style="1683"/>
    <col min="38" max="38" width="53" style="1683" customWidth="1"/>
    <col min="39" max="39" width="12.7109375" style="1683" customWidth="1"/>
    <col min="40" max="41" width="8.85546875" style="1683"/>
    <col min="42" max="42" width="52" style="1683" customWidth="1"/>
    <col min="43" max="43" width="10.28515625" style="1683" bestFit="1" customWidth="1"/>
    <col min="44" max="45" width="8.85546875" style="1683"/>
    <col min="46" max="46" width="56.28515625" style="1683" customWidth="1"/>
    <col min="47" max="47" width="14" style="1683" customWidth="1"/>
    <col min="48" max="49" width="8.85546875" style="1683"/>
    <col min="50" max="50" width="56.28515625" style="1683" customWidth="1"/>
    <col min="51" max="51" width="14" style="1683" customWidth="1"/>
    <col min="52" max="53" width="8.85546875" style="1683"/>
    <col min="54" max="54" width="72" style="1683" customWidth="1"/>
    <col min="55" max="55" width="14" style="1683" customWidth="1"/>
    <col min="56" max="57" width="8.85546875" style="1683"/>
    <col min="58" max="58" width="77" style="1683" customWidth="1"/>
    <col min="59" max="59" width="14" style="1683" customWidth="1"/>
    <col min="60" max="61" width="8.85546875" style="1683"/>
    <col min="62" max="62" width="77" style="1683" customWidth="1"/>
    <col min="63" max="63" width="14" style="1683" customWidth="1"/>
    <col min="64" max="64" width="8.85546875" style="1683"/>
    <col min="65" max="65" width="0" style="1683" hidden="1" customWidth="1"/>
    <col min="66" max="66" width="77" style="1683" hidden="1" customWidth="1"/>
    <col min="67" max="67" width="14" style="1683" hidden="1" customWidth="1"/>
    <col min="68" max="68" width="0" style="1683" hidden="1" customWidth="1"/>
    <col min="69" max="69" width="8.85546875" style="1683"/>
    <col min="70" max="70" width="77" style="1683" customWidth="1"/>
    <col min="71" max="71" width="14" style="1683" customWidth="1"/>
    <col min="72" max="72" width="11" style="1683" customWidth="1"/>
    <col min="73" max="73" width="8.85546875" style="1683"/>
    <col min="74" max="74" width="77" style="1683" customWidth="1"/>
    <col min="75" max="75" width="14" style="1683" customWidth="1"/>
    <col min="76" max="76" width="11" style="1683" customWidth="1"/>
    <col min="77" max="77" width="8.85546875" style="1683"/>
    <col min="78" max="78" width="77" style="1683" customWidth="1"/>
    <col min="79" max="79" width="14" style="1683" customWidth="1"/>
    <col min="80" max="80" width="11" style="1683" customWidth="1"/>
    <col min="81" max="81" width="9.140625" style="1683"/>
    <col min="82" max="82" width="77" style="1683" customWidth="1"/>
    <col min="83" max="83" width="14" style="1683" customWidth="1"/>
    <col min="84" max="84" width="11" style="1683" customWidth="1"/>
    <col min="85" max="85" width="9.140625" style="1683"/>
    <col min="86" max="86" width="77" style="1683" customWidth="1"/>
    <col min="87" max="87" width="14" style="1683" customWidth="1"/>
    <col min="88" max="88" width="11" style="1683" customWidth="1"/>
    <col min="89" max="89" width="9.140625" style="1683"/>
    <col min="90" max="90" width="80.5703125" style="1683" customWidth="1"/>
    <col min="91" max="91" width="20" style="1683" customWidth="1"/>
    <col min="92" max="92" width="19.7109375" style="1683" customWidth="1"/>
    <col min="93" max="93" width="8.85546875" style="1683"/>
    <col min="94" max="94" width="66" style="1683" customWidth="1"/>
    <col min="95" max="95" width="28.7109375" style="1683" customWidth="1"/>
    <col min="96" max="96" width="23.7109375" style="1683" customWidth="1"/>
    <col min="97" max="97" width="21.28515625" style="1683" customWidth="1"/>
    <col min="98" max="98" width="46.42578125" style="1683" customWidth="1"/>
    <col min="99" max="99" width="18.85546875" style="1683" customWidth="1"/>
    <col min="100" max="100" width="17.140625" style="1683" customWidth="1"/>
    <col min="101" max="16384" width="8.85546875" style="1683"/>
  </cols>
  <sheetData>
    <row r="1" spans="1:100" ht="13.5"/>
    <row r="2" spans="1:100" ht="13.5"/>
    <row r="3" spans="1:100" ht="13.5"/>
    <row r="4" spans="1:100" ht="13.5"/>
    <row r="5" spans="1:100" ht="13.5"/>
    <row r="6" spans="1:100" ht="13.5"/>
    <row r="7" spans="1:100" ht="13.5">
      <c r="A7" s="1679"/>
      <c r="B7" s="1680" t="s">
        <v>8730</v>
      </c>
      <c r="C7" s="1679"/>
      <c r="D7" s="1681"/>
      <c r="E7" s="1679"/>
      <c r="F7" s="1680" t="s">
        <v>8731</v>
      </c>
      <c r="G7" s="1679"/>
      <c r="H7" s="1681"/>
      <c r="I7" s="1679"/>
      <c r="J7" s="1680" t="s">
        <v>8732</v>
      </c>
      <c r="K7" s="1679"/>
      <c r="L7" s="1681"/>
      <c r="M7" s="1679"/>
      <c r="N7" s="1680" t="s">
        <v>8733</v>
      </c>
      <c r="O7" s="1679"/>
      <c r="P7" s="1681"/>
      <c r="Q7" s="1679"/>
      <c r="R7" s="1680" t="s">
        <v>8734</v>
      </c>
      <c r="S7" s="1679"/>
      <c r="T7" s="1681"/>
      <c r="U7" s="1679"/>
      <c r="V7" s="1680" t="s">
        <v>8735</v>
      </c>
      <c r="W7" s="1679"/>
      <c r="X7" s="1681"/>
      <c r="Y7" s="1679"/>
      <c r="Z7" s="1680" t="s">
        <v>8736</v>
      </c>
      <c r="AA7" s="1679"/>
      <c r="AB7" s="1681"/>
      <c r="AC7" s="1679"/>
      <c r="AD7" s="1680" t="s">
        <v>8737</v>
      </c>
      <c r="AE7" s="1679"/>
      <c r="AF7" s="1681"/>
      <c r="AG7" s="1679"/>
      <c r="AH7" s="1680" t="s">
        <v>8738</v>
      </c>
      <c r="AI7" s="1679"/>
      <c r="AJ7" s="1681"/>
      <c r="AK7" s="1679"/>
      <c r="AL7" s="1680" t="s">
        <v>8739</v>
      </c>
      <c r="AM7" s="1679"/>
      <c r="AN7" s="1681"/>
      <c r="AO7" s="1679"/>
      <c r="AP7" s="1680" t="s">
        <v>8740</v>
      </c>
      <c r="AQ7" s="1679"/>
      <c r="AR7" s="1681"/>
      <c r="AS7" s="1679"/>
      <c r="AT7" s="1680" t="s">
        <v>8741</v>
      </c>
      <c r="AU7" s="1679"/>
      <c r="AV7" s="1681"/>
      <c r="AW7" s="1679"/>
      <c r="AX7" s="1680" t="s">
        <v>8742</v>
      </c>
      <c r="AY7" s="1679"/>
      <c r="AZ7" s="1681"/>
      <c r="BA7" s="1682"/>
      <c r="BB7" s="1680" t="s">
        <v>8743</v>
      </c>
      <c r="BC7" s="1679"/>
      <c r="BD7" s="1681"/>
      <c r="BE7" s="1682"/>
      <c r="BF7" s="1680" t="s">
        <v>8744</v>
      </c>
      <c r="BG7" s="1679"/>
      <c r="BH7" s="1681"/>
      <c r="BI7" s="1682"/>
      <c r="BJ7" s="1680" t="s">
        <v>8745</v>
      </c>
      <c r="BK7" s="1679"/>
      <c r="BL7" s="1681"/>
      <c r="BM7" s="1682"/>
      <c r="BN7" s="1680" t="s">
        <v>8746</v>
      </c>
      <c r="BO7" s="1679"/>
      <c r="BP7" s="1681"/>
      <c r="BQ7" s="1682"/>
      <c r="BR7" s="1680" t="s">
        <v>8746</v>
      </c>
      <c r="BS7" s="1679"/>
      <c r="BT7" s="1681"/>
      <c r="BU7" s="1682"/>
      <c r="BV7" s="1680" t="s">
        <v>8747</v>
      </c>
      <c r="BW7" s="1679"/>
      <c r="BX7" s="1681"/>
      <c r="BY7" s="1682"/>
      <c r="BZ7" s="1680" t="s">
        <v>8748</v>
      </c>
      <c r="CA7" s="1679"/>
      <c r="CB7" s="1681"/>
      <c r="CC7" s="1682"/>
      <c r="CD7" s="1680" t="s">
        <v>8749</v>
      </c>
      <c r="CE7" s="1679"/>
      <c r="CF7" s="1681"/>
      <c r="CG7" s="1682"/>
      <c r="CH7" s="1680" t="s">
        <v>8750</v>
      </c>
      <c r="CI7" s="1679"/>
      <c r="CJ7" s="1681"/>
      <c r="CK7" s="1682"/>
      <c r="CL7" s="1680" t="s">
        <v>8751</v>
      </c>
      <c r="CM7" s="1679"/>
      <c r="CN7" s="1681"/>
      <c r="CO7" s="1682"/>
      <c r="CP7" s="1680" t="s">
        <v>8751</v>
      </c>
      <c r="CQ7" s="1679"/>
      <c r="CR7" s="1681"/>
      <c r="CS7" s="1682"/>
      <c r="CT7" s="1680" t="s">
        <v>8751</v>
      </c>
      <c r="CU7" s="1679"/>
      <c r="CV7" s="1681"/>
    </row>
    <row r="8" spans="1:100" ht="13.5">
      <c r="A8" s="1684" t="s">
        <v>740</v>
      </c>
      <c r="B8" s="1685" t="s">
        <v>138</v>
      </c>
      <c r="C8" s="1686" t="s">
        <v>741</v>
      </c>
      <c r="D8" s="1687" t="s">
        <v>742</v>
      </c>
      <c r="E8" s="1684" t="s">
        <v>740</v>
      </c>
      <c r="F8" s="1685" t="s">
        <v>138</v>
      </c>
      <c r="G8" s="1686" t="s">
        <v>741</v>
      </c>
      <c r="H8" s="1687" t="s">
        <v>742</v>
      </c>
      <c r="I8" s="1684" t="s">
        <v>740</v>
      </c>
      <c r="J8" s="1685" t="s">
        <v>138</v>
      </c>
      <c r="K8" s="1686" t="s">
        <v>741</v>
      </c>
      <c r="L8" s="1687" t="s">
        <v>742</v>
      </c>
      <c r="M8" s="1684" t="s">
        <v>740</v>
      </c>
      <c r="N8" s="1685" t="s">
        <v>138</v>
      </c>
      <c r="O8" s="1686" t="s">
        <v>741</v>
      </c>
      <c r="P8" s="1687" t="s">
        <v>742</v>
      </c>
      <c r="Q8" s="1684" t="s">
        <v>740</v>
      </c>
      <c r="R8" s="1685" t="s">
        <v>138</v>
      </c>
      <c r="S8" s="1686" t="s">
        <v>741</v>
      </c>
      <c r="T8" s="1687" t="s">
        <v>742</v>
      </c>
      <c r="U8" s="1684" t="s">
        <v>740</v>
      </c>
      <c r="V8" s="1685" t="s">
        <v>138</v>
      </c>
      <c r="W8" s="1686" t="s">
        <v>741</v>
      </c>
      <c r="X8" s="1687" t="s">
        <v>742</v>
      </c>
      <c r="Y8" s="1684" t="s">
        <v>740</v>
      </c>
      <c r="Z8" s="1685" t="s">
        <v>138</v>
      </c>
      <c r="AA8" s="1686" t="s">
        <v>741</v>
      </c>
      <c r="AB8" s="1687" t="s">
        <v>742</v>
      </c>
      <c r="AC8" s="1684" t="s">
        <v>740</v>
      </c>
      <c r="AD8" s="1685" t="s">
        <v>138</v>
      </c>
      <c r="AE8" s="1686" t="s">
        <v>741</v>
      </c>
      <c r="AF8" s="1687" t="s">
        <v>742</v>
      </c>
      <c r="AG8" s="1684" t="s">
        <v>740</v>
      </c>
      <c r="AH8" s="1685" t="s">
        <v>138</v>
      </c>
      <c r="AI8" s="1686" t="s">
        <v>741</v>
      </c>
      <c r="AJ8" s="1687" t="s">
        <v>742</v>
      </c>
      <c r="AK8" s="1684" t="s">
        <v>740</v>
      </c>
      <c r="AL8" s="1685" t="s">
        <v>138</v>
      </c>
      <c r="AM8" s="1686" t="s">
        <v>741</v>
      </c>
      <c r="AN8" s="1687" t="s">
        <v>742</v>
      </c>
      <c r="AO8" s="1684" t="s">
        <v>740</v>
      </c>
      <c r="AP8" s="1685" t="s">
        <v>138</v>
      </c>
      <c r="AQ8" s="1686" t="s">
        <v>741</v>
      </c>
      <c r="AR8" s="1687" t="s">
        <v>742</v>
      </c>
      <c r="AS8" s="1684" t="s">
        <v>740</v>
      </c>
      <c r="AT8" s="1685" t="s">
        <v>138</v>
      </c>
      <c r="AU8" s="1686" t="s">
        <v>741</v>
      </c>
      <c r="AV8" s="1687" t="s">
        <v>742</v>
      </c>
      <c r="AW8" s="1684" t="s">
        <v>740</v>
      </c>
      <c r="AX8" s="1685" t="s">
        <v>138</v>
      </c>
      <c r="AY8" s="1686" t="s">
        <v>741</v>
      </c>
      <c r="AZ8" s="1687" t="s">
        <v>742</v>
      </c>
      <c r="BA8" s="1684" t="s">
        <v>740</v>
      </c>
      <c r="BB8" s="1685" t="s">
        <v>138</v>
      </c>
      <c r="BC8" s="1686" t="s">
        <v>741</v>
      </c>
      <c r="BD8" s="1687" t="s">
        <v>742</v>
      </c>
      <c r="BE8" s="1684" t="s">
        <v>740</v>
      </c>
      <c r="BF8" s="1685" t="s">
        <v>138</v>
      </c>
      <c r="BG8" s="1686" t="s">
        <v>741</v>
      </c>
      <c r="BH8" s="1687" t="s">
        <v>742</v>
      </c>
      <c r="BI8" s="1684" t="s">
        <v>740</v>
      </c>
      <c r="BJ8" s="1685" t="s">
        <v>138</v>
      </c>
      <c r="BK8" s="1686" t="s">
        <v>741</v>
      </c>
      <c r="BL8" s="1687" t="s">
        <v>742</v>
      </c>
      <c r="BM8" s="1684" t="s">
        <v>740</v>
      </c>
      <c r="BN8" s="1685" t="s">
        <v>138</v>
      </c>
      <c r="BO8" s="1686" t="s">
        <v>741</v>
      </c>
      <c r="BP8" s="1687" t="s">
        <v>742</v>
      </c>
      <c r="BQ8" s="1684" t="s">
        <v>740</v>
      </c>
      <c r="BR8" s="1685" t="s">
        <v>138</v>
      </c>
      <c r="BS8" s="1686" t="s">
        <v>741</v>
      </c>
      <c r="BT8" s="1687" t="s">
        <v>742</v>
      </c>
      <c r="BU8" s="1684" t="s">
        <v>740</v>
      </c>
      <c r="BV8" s="1685" t="s">
        <v>138</v>
      </c>
      <c r="BW8" s="1686" t="s">
        <v>741</v>
      </c>
      <c r="BX8" s="1687" t="s">
        <v>742</v>
      </c>
      <c r="BY8" s="1684" t="s">
        <v>740</v>
      </c>
      <c r="BZ8" s="1685" t="s">
        <v>138</v>
      </c>
      <c r="CA8" s="1686" t="s">
        <v>741</v>
      </c>
      <c r="CB8" s="1687" t="s">
        <v>742</v>
      </c>
      <c r="CC8" s="1684" t="s">
        <v>740</v>
      </c>
      <c r="CD8" s="1685" t="s">
        <v>138</v>
      </c>
      <c r="CE8" s="1686" t="s">
        <v>741</v>
      </c>
      <c r="CF8" s="1687" t="s">
        <v>742</v>
      </c>
      <c r="CG8" s="1684" t="s">
        <v>740</v>
      </c>
      <c r="CH8" s="1685" t="s">
        <v>138</v>
      </c>
      <c r="CI8" s="1686" t="s">
        <v>741</v>
      </c>
      <c r="CJ8" s="1687" t="s">
        <v>742</v>
      </c>
      <c r="CK8" s="1684" t="s">
        <v>740</v>
      </c>
      <c r="CL8" s="1685" t="s">
        <v>138</v>
      </c>
      <c r="CM8" s="1686" t="s">
        <v>741</v>
      </c>
      <c r="CN8" s="1687" t="s">
        <v>742</v>
      </c>
      <c r="CO8" s="1684" t="s">
        <v>740</v>
      </c>
      <c r="CP8" s="1685" t="s">
        <v>138</v>
      </c>
      <c r="CQ8" s="1686" t="s">
        <v>741</v>
      </c>
      <c r="CR8" s="1687" t="s">
        <v>742</v>
      </c>
      <c r="CS8" s="1684" t="s">
        <v>740</v>
      </c>
      <c r="CT8" s="1685" t="s">
        <v>138</v>
      </c>
      <c r="CU8" s="1686" t="s">
        <v>741</v>
      </c>
      <c r="CV8" s="1687" t="s">
        <v>742</v>
      </c>
    </row>
    <row r="9" spans="1:100" ht="13.5">
      <c r="A9" s="1688"/>
      <c r="B9" s="1689"/>
      <c r="C9" s="1690"/>
      <c r="D9" s="1691"/>
      <c r="E9" s="1688"/>
      <c r="F9" s="1689"/>
      <c r="G9" s="1690"/>
      <c r="H9" s="1691"/>
      <c r="I9" s="1688"/>
      <c r="J9" s="1689"/>
      <c r="K9" s="1690"/>
      <c r="L9" s="1691"/>
      <c r="M9" s="1688"/>
      <c r="N9" s="1689"/>
      <c r="O9" s="1690"/>
      <c r="P9" s="1691"/>
      <c r="Q9" s="1688"/>
      <c r="R9" s="1689"/>
      <c r="S9" s="1690"/>
      <c r="T9" s="1691"/>
      <c r="U9" s="1688"/>
      <c r="V9" s="1689"/>
      <c r="W9" s="1690"/>
      <c r="X9" s="1691"/>
      <c r="Y9" s="1688"/>
      <c r="Z9" s="1689"/>
      <c r="AA9" s="1690"/>
      <c r="AB9" s="1691"/>
      <c r="AC9" s="1688"/>
      <c r="AD9" s="1692"/>
      <c r="AE9" s="1693"/>
      <c r="AF9" s="1691"/>
      <c r="AG9" s="1688"/>
      <c r="AH9" s="1692"/>
      <c r="AI9" s="1693"/>
      <c r="AJ9" s="1691"/>
      <c r="AK9" s="1688"/>
      <c r="AL9" s="1692"/>
      <c r="AM9" s="1693"/>
      <c r="AN9" s="1691"/>
      <c r="AO9" s="1688"/>
      <c r="AP9" s="1692"/>
      <c r="AQ9" s="1693"/>
      <c r="AR9" s="1691"/>
      <c r="AS9" s="1688"/>
      <c r="AT9" s="1692"/>
      <c r="AU9" s="1693"/>
      <c r="AV9" s="1691"/>
      <c r="AW9" s="1688"/>
      <c r="AX9" s="1692"/>
      <c r="AY9" s="1693"/>
      <c r="AZ9" s="1691"/>
      <c r="BA9" s="1694"/>
      <c r="BB9" s="1692"/>
      <c r="BC9" s="1695"/>
      <c r="BD9" s="1691"/>
      <c r="BE9" s="1694"/>
      <c r="BF9" s="1692"/>
      <c r="BG9" s="1695"/>
      <c r="BH9" s="1691"/>
      <c r="BI9" s="1694"/>
      <c r="BJ9" s="1692"/>
      <c r="BK9" s="1693"/>
      <c r="BL9" s="1691"/>
      <c r="BM9" s="1694"/>
      <c r="BN9" s="1692"/>
      <c r="BO9" s="1695"/>
      <c r="BP9" s="1691"/>
      <c r="BQ9" s="1694"/>
      <c r="BR9" s="1692"/>
      <c r="BS9" s="1693"/>
      <c r="BT9" s="1691"/>
      <c r="BU9" s="1694"/>
      <c r="BV9" s="1692"/>
      <c r="BW9" s="1693"/>
      <c r="BX9" s="1691"/>
      <c r="BY9" s="1694"/>
      <c r="BZ9" s="1692"/>
      <c r="CA9" s="1693"/>
      <c r="CB9" s="1691"/>
      <c r="CC9" s="1694"/>
      <c r="CD9" s="1692"/>
      <c r="CE9" s="1693"/>
      <c r="CF9" s="1691"/>
      <c r="CG9" s="1694"/>
      <c r="CH9" s="1692"/>
      <c r="CI9" s="1693"/>
      <c r="CJ9" s="1691"/>
      <c r="CK9" s="1694"/>
      <c r="CL9" s="1692"/>
      <c r="CM9" s="1693"/>
      <c r="CN9" s="1691"/>
      <c r="CO9" s="1694"/>
      <c r="CP9" s="1692"/>
      <c r="CQ9" s="1693"/>
      <c r="CR9" s="1691"/>
      <c r="CS9" s="1694"/>
      <c r="CT9" s="1692"/>
      <c r="CU9" s="1693"/>
      <c r="CV9" s="1691"/>
    </row>
    <row r="10" spans="1:100" ht="13.5">
      <c r="A10" s="1696"/>
      <c r="B10" s="1697"/>
      <c r="C10" s="1698"/>
      <c r="D10" s="1699"/>
      <c r="E10" s="1696"/>
      <c r="F10" s="1697"/>
      <c r="G10" s="1698"/>
      <c r="H10" s="1699"/>
      <c r="I10" s="1696"/>
      <c r="J10" s="1697"/>
      <c r="K10" s="1698"/>
      <c r="L10" s="1699"/>
      <c r="M10" s="1696"/>
      <c r="N10" s="1697"/>
      <c r="O10" s="1698"/>
      <c r="P10" s="1699"/>
      <c r="Q10" s="1696"/>
      <c r="R10" s="1697"/>
      <c r="S10" s="1698"/>
      <c r="T10" s="1699"/>
      <c r="U10" s="1696"/>
      <c r="V10" s="1697"/>
      <c r="W10" s="1698"/>
      <c r="X10" s="1699"/>
      <c r="Y10" s="1696"/>
      <c r="Z10" s="1697"/>
      <c r="AA10" s="1698"/>
      <c r="AB10" s="1699"/>
      <c r="AC10" s="1696"/>
      <c r="AD10" s="1700"/>
      <c r="AE10" s="1698"/>
      <c r="AF10" s="1699"/>
      <c r="AG10" s="1696"/>
      <c r="AH10" s="1700"/>
      <c r="AI10" s="1698"/>
      <c r="AJ10" s="1699"/>
      <c r="AK10" s="1696"/>
      <c r="AL10" s="1700"/>
      <c r="AM10" s="1698"/>
      <c r="AN10" s="1699"/>
      <c r="AO10" s="1696"/>
      <c r="AP10" s="1700"/>
      <c r="AQ10" s="1698"/>
      <c r="AR10" s="1699"/>
      <c r="AS10" s="1696"/>
      <c r="AT10" s="1700"/>
      <c r="AU10" s="1698"/>
      <c r="AV10" s="1699"/>
      <c r="AW10" s="1696"/>
      <c r="AX10" s="1700"/>
      <c r="AY10" s="1698"/>
      <c r="AZ10" s="1699"/>
      <c r="BA10" s="1696"/>
      <c r="BB10" s="1700"/>
      <c r="BC10" s="1701"/>
      <c r="BD10" s="1699"/>
      <c r="BE10" s="1696"/>
      <c r="BF10" s="1700"/>
      <c r="BG10" s="1701"/>
      <c r="BH10" s="1699"/>
      <c r="BI10" s="1702"/>
      <c r="BJ10" s="1703"/>
      <c r="BK10" s="1704"/>
      <c r="BL10" s="1705"/>
      <c r="BM10" s="1696"/>
      <c r="BN10" s="1700"/>
      <c r="BO10" s="1701"/>
      <c r="BP10" s="1699"/>
      <c r="BQ10" s="1706">
        <v>43617</v>
      </c>
      <c r="BR10" s="1707" t="s">
        <v>759</v>
      </c>
      <c r="BS10" s="1708">
        <v>295</v>
      </c>
      <c r="BT10" s="1709" t="s">
        <v>689</v>
      </c>
      <c r="BU10" s="1702">
        <v>43617</v>
      </c>
      <c r="BV10" s="1707" t="s">
        <v>759</v>
      </c>
      <c r="BW10" s="1708">
        <v>295</v>
      </c>
      <c r="BX10" s="1709" t="s">
        <v>689</v>
      </c>
      <c r="BY10" s="1702">
        <v>43617</v>
      </c>
      <c r="BZ10" s="1707" t="s">
        <v>759</v>
      </c>
      <c r="CA10" s="1708">
        <v>0</v>
      </c>
      <c r="CB10" s="1709" t="s">
        <v>689</v>
      </c>
      <c r="CC10" s="1702">
        <v>43617</v>
      </c>
      <c r="CD10" s="1707" t="s">
        <v>759</v>
      </c>
      <c r="CE10" s="1708">
        <v>0</v>
      </c>
      <c r="CF10" s="1709" t="s">
        <v>689</v>
      </c>
      <c r="CG10" s="1702">
        <v>43617</v>
      </c>
      <c r="CH10" s="1707" t="s">
        <v>759</v>
      </c>
      <c r="CI10" s="1708">
        <v>1400</v>
      </c>
      <c r="CJ10" s="1710" t="s">
        <v>689</v>
      </c>
      <c r="CK10" s="1702">
        <v>43617</v>
      </c>
      <c r="CL10" s="1707" t="s">
        <v>759</v>
      </c>
      <c r="CM10" s="1708">
        <v>1400</v>
      </c>
      <c r="CN10" s="1710" t="s">
        <v>689</v>
      </c>
      <c r="CO10" s="1702">
        <v>43617</v>
      </c>
      <c r="CP10" s="1707" t="s">
        <v>759</v>
      </c>
      <c r="CQ10" s="1708">
        <v>1400</v>
      </c>
      <c r="CR10" s="1710" t="s">
        <v>689</v>
      </c>
      <c r="CS10" s="1702">
        <v>43617</v>
      </c>
      <c r="CT10" s="1707" t="s">
        <v>759</v>
      </c>
      <c r="CU10" s="1708">
        <v>1400</v>
      </c>
      <c r="CV10" s="1710" t="s">
        <v>689</v>
      </c>
    </row>
    <row r="11" spans="1:100" ht="13.5">
      <c r="A11" s="1702">
        <v>37773</v>
      </c>
      <c r="B11" s="1711" t="s">
        <v>556</v>
      </c>
      <c r="C11" s="1704">
        <v>1075</v>
      </c>
      <c r="D11" s="1705"/>
      <c r="E11" s="1702">
        <v>37773</v>
      </c>
      <c r="F11" s="1711" t="s">
        <v>556</v>
      </c>
      <c r="G11" s="1704">
        <v>1075</v>
      </c>
      <c r="H11" s="1705"/>
      <c r="I11" s="1702">
        <v>38504</v>
      </c>
      <c r="J11" s="1711" t="s">
        <v>6264</v>
      </c>
      <c r="K11" s="1704">
        <v>10</v>
      </c>
      <c r="L11" s="1705"/>
      <c r="M11" s="1702">
        <v>38870</v>
      </c>
      <c r="N11" s="1711" t="s">
        <v>8752</v>
      </c>
      <c r="O11" s="1704">
        <v>20</v>
      </c>
      <c r="P11" s="1705"/>
      <c r="Q11" s="1702">
        <v>39234</v>
      </c>
      <c r="R11" s="1711" t="s">
        <v>8753</v>
      </c>
      <c r="S11" s="1704">
        <v>15</v>
      </c>
      <c r="T11" s="1705"/>
      <c r="U11" s="1702"/>
      <c r="V11" s="1711"/>
      <c r="W11" s="1704"/>
      <c r="X11" s="1705"/>
      <c r="Y11" s="1702"/>
      <c r="Z11" s="1711"/>
      <c r="AA11" s="1704"/>
      <c r="AB11" s="1705"/>
      <c r="AC11" s="1702"/>
      <c r="AD11" s="1703"/>
      <c r="AE11" s="1704"/>
      <c r="AF11" s="1705"/>
      <c r="AG11" s="1702">
        <v>40696</v>
      </c>
      <c r="AH11" s="1703" t="s">
        <v>8754</v>
      </c>
      <c r="AI11" s="1704">
        <v>15</v>
      </c>
      <c r="AJ11" s="1705"/>
      <c r="AK11" s="1702">
        <v>41061</v>
      </c>
      <c r="AL11" s="1703" t="s">
        <v>8755</v>
      </c>
      <c r="AM11" s="1704">
        <v>52</v>
      </c>
      <c r="AN11" s="1705"/>
      <c r="AO11" s="1702">
        <v>41426</v>
      </c>
      <c r="AP11" s="1703" t="s">
        <v>8756</v>
      </c>
      <c r="AQ11" s="1704">
        <v>90</v>
      </c>
      <c r="AR11" s="1705"/>
      <c r="AS11" s="1702">
        <v>41791</v>
      </c>
      <c r="AT11" s="1703" t="s">
        <v>8757</v>
      </c>
      <c r="AU11" s="1704">
        <v>63</v>
      </c>
      <c r="AV11" s="1705"/>
      <c r="AW11" s="1702">
        <v>42156</v>
      </c>
      <c r="AX11" s="1703" t="s">
        <v>8758</v>
      </c>
      <c r="AY11" s="1704">
        <v>3</v>
      </c>
      <c r="AZ11" s="1705"/>
      <c r="BA11" s="1702">
        <v>42522</v>
      </c>
      <c r="BB11" s="1712" t="s">
        <v>8759</v>
      </c>
      <c r="BC11" s="1704">
        <v>311</v>
      </c>
      <c r="BD11" s="1705"/>
      <c r="BE11" s="1713">
        <v>42887</v>
      </c>
      <c r="BF11" s="1712" t="s">
        <v>8760</v>
      </c>
      <c r="BG11" s="1701">
        <f>SUM(BG12:BG21)</f>
        <v>3193</v>
      </c>
      <c r="BH11" s="1714"/>
      <c r="BI11" s="1713">
        <v>42887</v>
      </c>
      <c r="BJ11" s="1712" t="s">
        <v>8761</v>
      </c>
      <c r="BK11" s="1701">
        <f>SUM(BK12:BK16)</f>
        <v>1030</v>
      </c>
      <c r="BL11" s="1714"/>
      <c r="BM11" s="1713"/>
      <c r="BN11" s="1712"/>
      <c r="BO11" s="1701"/>
      <c r="BP11" s="1714"/>
      <c r="BQ11" s="1713">
        <v>43617</v>
      </c>
      <c r="BR11" s="1703" t="s">
        <v>1807</v>
      </c>
      <c r="BS11" s="1704">
        <v>1495</v>
      </c>
      <c r="BT11" s="1710" t="s">
        <v>8762</v>
      </c>
      <c r="BU11" s="1702">
        <v>43617</v>
      </c>
      <c r="BV11" s="1703" t="s">
        <v>4947</v>
      </c>
      <c r="BW11" s="1704">
        <v>2000</v>
      </c>
      <c r="BX11" s="1710" t="s">
        <v>8762</v>
      </c>
      <c r="BY11" s="1702">
        <v>43617</v>
      </c>
      <c r="BZ11" s="1703" t="s">
        <v>4947</v>
      </c>
      <c r="CA11" s="1704">
        <v>2125</v>
      </c>
      <c r="CB11" s="1709" t="s">
        <v>689</v>
      </c>
      <c r="CC11" s="1702">
        <v>43617</v>
      </c>
      <c r="CD11" s="1703" t="s">
        <v>8763</v>
      </c>
      <c r="CE11" s="1704">
        <v>0</v>
      </c>
      <c r="CF11" s="1709" t="s">
        <v>689</v>
      </c>
      <c r="CG11" s="1702">
        <v>43617</v>
      </c>
      <c r="CH11" s="1703" t="s">
        <v>8763</v>
      </c>
      <c r="CI11" s="1704">
        <v>0</v>
      </c>
      <c r="CJ11" s="1710" t="s">
        <v>689</v>
      </c>
      <c r="CK11" s="1702">
        <v>43617</v>
      </c>
      <c r="CL11" s="1703" t="s">
        <v>4947</v>
      </c>
      <c r="CM11" s="1704">
        <v>0</v>
      </c>
      <c r="CN11" s="1710" t="s">
        <v>689</v>
      </c>
      <c r="CO11" s="1702">
        <v>43617</v>
      </c>
      <c r="CP11" s="1703" t="s">
        <v>4947</v>
      </c>
      <c r="CQ11" s="1704">
        <v>0</v>
      </c>
      <c r="CR11" s="1710" t="s">
        <v>689</v>
      </c>
      <c r="CS11" s="1702">
        <v>43617</v>
      </c>
      <c r="CT11" s="1703" t="s">
        <v>4947</v>
      </c>
      <c r="CU11" s="1704">
        <v>0</v>
      </c>
      <c r="CV11" s="1710" t="s">
        <v>689</v>
      </c>
    </row>
    <row r="12" spans="1:100" ht="13.5">
      <c r="A12" s="1702">
        <v>37773</v>
      </c>
      <c r="B12" s="1711" t="s">
        <v>276</v>
      </c>
      <c r="C12" s="1704">
        <v>421</v>
      </c>
      <c r="D12" s="1705">
        <v>486</v>
      </c>
      <c r="E12" s="1702">
        <v>37773</v>
      </c>
      <c r="F12" s="1711" t="s">
        <v>276</v>
      </c>
      <c r="G12" s="1704">
        <v>0</v>
      </c>
      <c r="H12" s="1705">
        <v>0</v>
      </c>
      <c r="I12" s="1702">
        <v>38507</v>
      </c>
      <c r="J12" s="1711" t="s">
        <v>8764</v>
      </c>
      <c r="K12" s="1704">
        <v>18</v>
      </c>
      <c r="L12" s="1705"/>
      <c r="M12" s="1702">
        <v>38872</v>
      </c>
      <c r="N12" s="1711" t="s">
        <v>8765</v>
      </c>
      <c r="O12" s="1704">
        <v>14</v>
      </c>
      <c r="P12" s="1705"/>
      <c r="Q12" s="1702">
        <v>39235</v>
      </c>
      <c r="R12" s="1711" t="s">
        <v>8766</v>
      </c>
      <c r="S12" s="1704">
        <v>67</v>
      </c>
      <c r="T12" s="1705"/>
      <c r="U12" s="1702">
        <v>39600</v>
      </c>
      <c r="V12" s="1711" t="s">
        <v>937</v>
      </c>
      <c r="W12" s="1704">
        <v>30</v>
      </c>
      <c r="X12" s="1705"/>
      <c r="Y12" s="1702">
        <v>39966</v>
      </c>
      <c r="Z12" s="1711" t="s">
        <v>8767</v>
      </c>
      <c r="AA12" s="1704">
        <v>9</v>
      </c>
      <c r="AB12" s="1705"/>
      <c r="AC12" s="1702">
        <v>40330</v>
      </c>
      <c r="AD12" s="1703" t="s">
        <v>8768</v>
      </c>
      <c r="AE12" s="1704">
        <v>41</v>
      </c>
      <c r="AF12" s="1705"/>
      <c r="AG12" s="1702">
        <v>40697</v>
      </c>
      <c r="AH12" s="1703" t="s">
        <v>8769</v>
      </c>
      <c r="AI12" s="1704">
        <v>60</v>
      </c>
      <c r="AJ12" s="1705"/>
      <c r="AK12" s="1702">
        <v>41061</v>
      </c>
      <c r="AL12" s="1703" t="s">
        <v>8770</v>
      </c>
      <c r="AM12" s="1704">
        <v>20</v>
      </c>
      <c r="AN12" s="1705"/>
      <c r="AO12" s="1702">
        <v>41426</v>
      </c>
      <c r="AP12" s="1703" t="s">
        <v>8771</v>
      </c>
      <c r="AQ12" s="1704">
        <v>15</v>
      </c>
      <c r="AR12" s="1705"/>
      <c r="AS12" s="1702">
        <v>41791</v>
      </c>
      <c r="AT12" s="1703" t="s">
        <v>772</v>
      </c>
      <c r="AU12" s="1704">
        <v>42</v>
      </c>
      <c r="AV12" s="1705"/>
      <c r="AW12" s="1702">
        <v>42157</v>
      </c>
      <c r="AX12" s="1703" t="s">
        <v>925</v>
      </c>
      <c r="AY12" s="1704">
        <v>6</v>
      </c>
      <c r="AZ12" s="1705"/>
      <c r="BA12" s="1702">
        <v>42522</v>
      </c>
      <c r="BB12" s="1711" t="s">
        <v>8772</v>
      </c>
      <c r="BC12" s="1704">
        <v>106</v>
      </c>
      <c r="BD12" s="1705"/>
      <c r="BE12" s="1702"/>
      <c r="BF12" s="1711" t="s">
        <v>8773</v>
      </c>
      <c r="BG12" s="1704">
        <v>1360</v>
      </c>
      <c r="BH12" s="1705"/>
      <c r="BI12" s="1702"/>
      <c r="BJ12" s="1715" t="s">
        <v>8774</v>
      </c>
      <c r="BK12" s="1704">
        <v>570</v>
      </c>
      <c r="BL12" s="1705"/>
      <c r="BM12" s="1702"/>
      <c r="BN12" s="1715"/>
      <c r="BO12" s="1704"/>
      <c r="BP12" s="1705"/>
      <c r="BQ12" s="1702">
        <v>43617</v>
      </c>
      <c r="BR12" s="1711" t="s">
        <v>2226</v>
      </c>
      <c r="BS12" s="1704">
        <v>10</v>
      </c>
      <c r="BT12" s="1710" t="s">
        <v>280</v>
      </c>
      <c r="BU12" s="1702">
        <v>43617</v>
      </c>
      <c r="BV12" s="1711" t="s">
        <v>777</v>
      </c>
      <c r="BW12" s="1704">
        <v>288</v>
      </c>
      <c r="BX12" s="1709" t="s">
        <v>689</v>
      </c>
      <c r="BY12" s="1702">
        <v>43617</v>
      </c>
      <c r="BZ12" s="1711" t="s">
        <v>777</v>
      </c>
      <c r="CA12" s="1704">
        <v>306</v>
      </c>
      <c r="CB12" s="1709" t="s">
        <v>689</v>
      </c>
      <c r="CC12" s="1702">
        <v>43617</v>
      </c>
      <c r="CD12" s="1711" t="s">
        <v>777</v>
      </c>
      <c r="CE12" s="1704">
        <v>625</v>
      </c>
      <c r="CF12" s="1709" t="s">
        <v>689</v>
      </c>
      <c r="CG12" s="1702">
        <v>43617</v>
      </c>
      <c r="CH12" s="1711" t="s">
        <v>777</v>
      </c>
      <c r="CI12" s="1704">
        <v>0</v>
      </c>
      <c r="CJ12" s="1710" t="s">
        <v>689</v>
      </c>
      <c r="CK12" s="1702">
        <v>43617</v>
      </c>
      <c r="CL12" s="1711" t="s">
        <v>777</v>
      </c>
      <c r="CM12" s="1704">
        <v>0</v>
      </c>
      <c r="CN12" s="1710" t="s">
        <v>689</v>
      </c>
      <c r="CO12" s="1702">
        <v>43617</v>
      </c>
      <c r="CP12" s="1711" t="s">
        <v>777</v>
      </c>
      <c r="CQ12" s="1704">
        <v>0</v>
      </c>
      <c r="CR12" s="1710" t="s">
        <v>689</v>
      </c>
      <c r="CS12" s="1702">
        <v>43617</v>
      </c>
      <c r="CT12" s="1711" t="s">
        <v>777</v>
      </c>
      <c r="CU12" s="1704">
        <v>0</v>
      </c>
      <c r="CV12" s="1710" t="s">
        <v>689</v>
      </c>
    </row>
    <row r="13" spans="1:100" ht="13.5">
      <c r="A13" s="1702">
        <v>37773</v>
      </c>
      <c r="B13" s="1711" t="s">
        <v>400</v>
      </c>
      <c r="C13" s="1704">
        <v>0</v>
      </c>
      <c r="D13" s="1705">
        <v>200</v>
      </c>
      <c r="E13" s="1702">
        <v>37773</v>
      </c>
      <c r="F13" s="1711" t="s">
        <v>400</v>
      </c>
      <c r="G13" s="1704">
        <v>0</v>
      </c>
      <c r="H13" s="1705">
        <v>200</v>
      </c>
      <c r="I13" s="1702">
        <v>38507</v>
      </c>
      <c r="J13" s="1711" t="s">
        <v>8775</v>
      </c>
      <c r="K13" s="1704">
        <v>6</v>
      </c>
      <c r="L13" s="1705"/>
      <c r="M13" s="1702">
        <v>38872</v>
      </c>
      <c r="N13" s="1711" t="s">
        <v>1810</v>
      </c>
      <c r="O13" s="1704">
        <v>13</v>
      </c>
      <c r="P13" s="1705"/>
      <c r="Q13" s="1702">
        <v>39235</v>
      </c>
      <c r="R13" s="1711" t="s">
        <v>8776</v>
      </c>
      <c r="S13" s="1704">
        <v>11</v>
      </c>
      <c r="T13" s="1705"/>
      <c r="U13" s="1702">
        <v>39600</v>
      </c>
      <c r="V13" s="1711" t="s">
        <v>767</v>
      </c>
      <c r="W13" s="1704">
        <v>34</v>
      </c>
      <c r="X13" s="1705"/>
      <c r="Y13" s="1702">
        <v>39966</v>
      </c>
      <c r="Z13" s="1711" t="s">
        <v>787</v>
      </c>
      <c r="AA13" s="1704">
        <v>25</v>
      </c>
      <c r="AB13" s="1705"/>
      <c r="AC13" s="1702">
        <v>40330</v>
      </c>
      <c r="AD13" s="1703" t="s">
        <v>7997</v>
      </c>
      <c r="AE13" s="1704">
        <v>15</v>
      </c>
      <c r="AF13" s="1705"/>
      <c r="AG13" s="1702">
        <v>40698</v>
      </c>
      <c r="AH13" s="1703" t="s">
        <v>8777</v>
      </c>
      <c r="AI13" s="1704">
        <v>60</v>
      </c>
      <c r="AJ13" s="1705"/>
      <c r="AK13" s="1702">
        <v>41061</v>
      </c>
      <c r="AL13" s="1703" t="s">
        <v>8778</v>
      </c>
      <c r="AM13" s="1704">
        <v>62</v>
      </c>
      <c r="AN13" s="1705"/>
      <c r="AO13" s="1702">
        <v>41426</v>
      </c>
      <c r="AP13" s="1703" t="s">
        <v>8779</v>
      </c>
      <c r="AQ13" s="1704">
        <v>15</v>
      </c>
      <c r="AR13" s="1705"/>
      <c r="AS13" s="1702">
        <v>41791</v>
      </c>
      <c r="AT13" s="1703" t="s">
        <v>1823</v>
      </c>
      <c r="AU13" s="1704">
        <v>14</v>
      </c>
      <c r="AV13" s="1705"/>
      <c r="AW13" s="1702">
        <v>42158</v>
      </c>
      <c r="AX13" s="1703" t="s">
        <v>781</v>
      </c>
      <c r="AY13" s="1704">
        <v>7</v>
      </c>
      <c r="AZ13" s="1705"/>
      <c r="BA13" s="1702">
        <v>42522</v>
      </c>
      <c r="BB13" s="1711" t="s">
        <v>3586</v>
      </c>
      <c r="BC13" s="1704">
        <v>25</v>
      </c>
      <c r="BD13" s="1705"/>
      <c r="BE13" s="1702"/>
      <c r="BF13" s="1711" t="s">
        <v>8780</v>
      </c>
      <c r="BG13" s="1704">
        <v>0</v>
      </c>
      <c r="BH13" s="1705"/>
      <c r="BI13" s="1702"/>
      <c r="BJ13" s="1715" t="s">
        <v>8781</v>
      </c>
      <c r="BK13" s="1704">
        <v>50</v>
      </c>
      <c r="BL13" s="1705"/>
      <c r="BM13" s="1702"/>
      <c r="BN13" s="1715"/>
      <c r="BO13" s="1704"/>
      <c r="BP13" s="1705"/>
      <c r="BQ13" s="1702">
        <v>43617</v>
      </c>
      <c r="BR13" s="1711" t="s">
        <v>890</v>
      </c>
      <c r="BS13" s="1704">
        <v>17</v>
      </c>
      <c r="BT13" s="1710" t="s">
        <v>414</v>
      </c>
      <c r="BU13" s="1702">
        <v>43617</v>
      </c>
      <c r="BV13" s="1711" t="s">
        <v>792</v>
      </c>
      <c r="BW13" s="1704">
        <v>30</v>
      </c>
      <c r="BX13" s="1709" t="s">
        <v>689</v>
      </c>
      <c r="BY13" s="1702">
        <v>43617</v>
      </c>
      <c r="BZ13" s="1711" t="s">
        <v>792</v>
      </c>
      <c r="CA13" s="1704">
        <v>30</v>
      </c>
      <c r="CB13" s="1709" t="s">
        <v>689</v>
      </c>
      <c r="CC13" s="1702">
        <v>43617</v>
      </c>
      <c r="CD13" s="1711" t="s">
        <v>792</v>
      </c>
      <c r="CE13" s="1704">
        <v>0</v>
      </c>
      <c r="CF13" s="1709" t="s">
        <v>689</v>
      </c>
      <c r="CG13" s="1702">
        <v>43617</v>
      </c>
      <c r="CH13" s="1711" t="s">
        <v>792</v>
      </c>
      <c r="CI13" s="1704">
        <v>26</v>
      </c>
      <c r="CJ13" s="1710" t="s">
        <v>689</v>
      </c>
      <c r="CK13" s="1702">
        <v>43617</v>
      </c>
      <c r="CL13" s="1711" t="s">
        <v>792</v>
      </c>
      <c r="CM13" s="1704">
        <v>0</v>
      </c>
      <c r="CN13" s="1710" t="s">
        <v>689</v>
      </c>
      <c r="CO13" s="1702">
        <v>43617</v>
      </c>
      <c r="CP13" s="1711" t="s">
        <v>792</v>
      </c>
      <c r="CQ13" s="1704">
        <v>0</v>
      </c>
      <c r="CR13" s="1710" t="s">
        <v>689</v>
      </c>
      <c r="CS13" s="1702">
        <v>43617</v>
      </c>
      <c r="CT13" s="1711" t="s">
        <v>792</v>
      </c>
      <c r="CU13" s="1704">
        <v>0</v>
      </c>
      <c r="CV13" s="1710" t="s">
        <v>689</v>
      </c>
    </row>
    <row r="14" spans="1:100" ht="13.5">
      <c r="A14" s="1702">
        <v>37773</v>
      </c>
      <c r="B14" s="1711" t="s">
        <v>413</v>
      </c>
      <c r="C14" s="1716">
        <v>25</v>
      </c>
      <c r="D14" s="1717">
        <v>25</v>
      </c>
      <c r="E14" s="1702">
        <v>37773</v>
      </c>
      <c r="F14" s="1711" t="s">
        <v>413</v>
      </c>
      <c r="G14" s="1716">
        <v>25</v>
      </c>
      <c r="H14" s="1717">
        <v>25</v>
      </c>
      <c r="I14" s="1702">
        <v>38508</v>
      </c>
      <c r="J14" s="1711" t="s">
        <v>1157</v>
      </c>
      <c r="K14" s="1716">
        <v>44</v>
      </c>
      <c r="L14" s="1717"/>
      <c r="M14" s="1702">
        <v>38874</v>
      </c>
      <c r="N14" s="1711" t="s">
        <v>797</v>
      </c>
      <c r="O14" s="1704">
        <v>44</v>
      </c>
      <c r="P14" s="1705"/>
      <c r="Q14" s="1702">
        <v>39236</v>
      </c>
      <c r="R14" s="1711" t="s">
        <v>797</v>
      </c>
      <c r="S14" s="1704">
        <v>28</v>
      </c>
      <c r="T14" s="1705"/>
      <c r="U14" s="1702">
        <v>39600</v>
      </c>
      <c r="V14" s="1711" t="s">
        <v>867</v>
      </c>
      <c r="W14" s="1704">
        <v>16</v>
      </c>
      <c r="X14" s="1705"/>
      <c r="Y14" s="1702">
        <v>39968</v>
      </c>
      <c r="Z14" s="1711" t="s">
        <v>767</v>
      </c>
      <c r="AA14" s="1704">
        <v>5</v>
      </c>
      <c r="AB14" s="1705"/>
      <c r="AC14" s="1702">
        <v>40330</v>
      </c>
      <c r="AD14" s="1703" t="s">
        <v>8782</v>
      </c>
      <c r="AE14" s="1704">
        <v>20</v>
      </c>
      <c r="AF14" s="1705"/>
      <c r="AG14" s="1702">
        <v>40698</v>
      </c>
      <c r="AH14" s="1703" t="s">
        <v>1903</v>
      </c>
      <c r="AI14" s="1704">
        <v>50</v>
      </c>
      <c r="AJ14" s="1705"/>
      <c r="AK14" s="1702">
        <v>41061</v>
      </c>
      <c r="AL14" s="1703" t="s">
        <v>8783</v>
      </c>
      <c r="AM14" s="1704">
        <v>90</v>
      </c>
      <c r="AN14" s="1705"/>
      <c r="AO14" s="1702">
        <v>41426</v>
      </c>
      <c r="AP14" s="1703" t="s">
        <v>8784</v>
      </c>
      <c r="AQ14" s="1704">
        <v>60</v>
      </c>
      <c r="AR14" s="1705"/>
      <c r="AS14" s="1702">
        <v>41791</v>
      </c>
      <c r="AT14" s="1703" t="s">
        <v>754</v>
      </c>
      <c r="AU14" s="1704">
        <v>51</v>
      </c>
      <c r="AV14" s="1705"/>
      <c r="AW14" s="1702">
        <v>42159</v>
      </c>
      <c r="AX14" s="1703" t="s">
        <v>802</v>
      </c>
      <c r="AY14" s="1704">
        <v>37</v>
      </c>
      <c r="AZ14" s="1705"/>
      <c r="BA14" s="1702">
        <v>42522</v>
      </c>
      <c r="BB14" s="1711" t="s">
        <v>8785</v>
      </c>
      <c r="BC14" s="1704">
        <v>0</v>
      </c>
      <c r="BD14" s="1705"/>
      <c r="BE14" s="1702"/>
      <c r="BF14" s="1711" t="s">
        <v>8786</v>
      </c>
      <c r="BG14" s="1704">
        <v>673</v>
      </c>
      <c r="BH14" s="1705"/>
      <c r="BI14" s="1702"/>
      <c r="BJ14" s="1715" t="s">
        <v>8787</v>
      </c>
      <c r="BK14" s="1704">
        <v>94</v>
      </c>
      <c r="BL14" s="1705"/>
      <c r="BM14" s="1702"/>
      <c r="BN14" s="1715"/>
      <c r="BO14" s="1704"/>
      <c r="BP14" s="1705"/>
      <c r="BQ14" s="1702">
        <v>43617</v>
      </c>
      <c r="BR14" s="1711" t="s">
        <v>843</v>
      </c>
      <c r="BS14" s="1704">
        <v>68</v>
      </c>
      <c r="BT14" s="1710" t="s">
        <v>414</v>
      </c>
      <c r="BU14" s="1702">
        <v>43617</v>
      </c>
      <c r="BV14" s="1711" t="s">
        <v>8788</v>
      </c>
      <c r="BW14" s="1704">
        <f>179+219</f>
        <v>398</v>
      </c>
      <c r="BX14" s="1709" t="s">
        <v>689</v>
      </c>
      <c r="BY14" s="1702">
        <v>43617</v>
      </c>
      <c r="BZ14" s="1711" t="s">
        <v>8788</v>
      </c>
      <c r="CA14" s="1704">
        <f>179+219</f>
        <v>398</v>
      </c>
      <c r="CB14" s="1709" t="s">
        <v>689</v>
      </c>
      <c r="CC14" s="1702">
        <v>43617</v>
      </c>
      <c r="CD14" s="1711" t="s">
        <v>8788</v>
      </c>
      <c r="CE14" s="1704">
        <f>179+219</f>
        <v>398</v>
      </c>
      <c r="CF14" s="1709" t="s">
        <v>689</v>
      </c>
      <c r="CG14" s="1702">
        <v>43617</v>
      </c>
      <c r="CH14" s="1711" t="s">
        <v>4988</v>
      </c>
      <c r="CI14" s="1704">
        <v>1000</v>
      </c>
      <c r="CJ14" s="1710" t="s">
        <v>689</v>
      </c>
      <c r="CK14" s="1702">
        <v>43617</v>
      </c>
      <c r="CL14" s="1711" t="s">
        <v>4988</v>
      </c>
      <c r="CM14" s="1704">
        <v>20</v>
      </c>
      <c r="CN14" s="1710" t="s">
        <v>689</v>
      </c>
      <c r="CO14" s="1702">
        <v>43617</v>
      </c>
      <c r="CP14" s="1711" t="s">
        <v>4988</v>
      </c>
      <c r="CQ14" s="1704">
        <v>20</v>
      </c>
      <c r="CR14" s="1710" t="s">
        <v>689</v>
      </c>
      <c r="CS14" s="1702">
        <v>43617</v>
      </c>
      <c r="CT14" s="1711" t="s">
        <v>4988</v>
      </c>
      <c r="CU14" s="1704">
        <v>20</v>
      </c>
      <c r="CV14" s="1710" t="s">
        <v>689</v>
      </c>
    </row>
    <row r="15" spans="1:100" ht="46.5">
      <c r="A15" s="1702">
        <v>37773</v>
      </c>
      <c r="B15" s="1703" t="s">
        <v>811</v>
      </c>
      <c r="C15" s="1704"/>
      <c r="D15" s="1705">
        <v>100</v>
      </c>
      <c r="E15" s="1702">
        <v>37773</v>
      </c>
      <c r="F15" s="1703" t="s">
        <v>811</v>
      </c>
      <c r="G15" s="1704"/>
      <c r="H15" s="1705">
        <v>100</v>
      </c>
      <c r="I15" s="1702">
        <v>38508</v>
      </c>
      <c r="J15" s="1703" t="s">
        <v>8789</v>
      </c>
      <c r="K15" s="1704">
        <v>4</v>
      </c>
      <c r="L15" s="1705"/>
      <c r="M15" s="1702">
        <v>38875</v>
      </c>
      <c r="N15" s="1711" t="s">
        <v>802</v>
      </c>
      <c r="O15" s="1716">
        <v>39</v>
      </c>
      <c r="P15" s="1717"/>
      <c r="Q15" s="1702">
        <v>39236</v>
      </c>
      <c r="R15" s="1711" t="s">
        <v>937</v>
      </c>
      <c r="S15" s="1716">
        <v>27</v>
      </c>
      <c r="T15" s="1717"/>
      <c r="U15" s="1702">
        <v>39603</v>
      </c>
      <c r="V15" s="1711" t="s">
        <v>8790</v>
      </c>
      <c r="W15" s="1716">
        <v>2370</v>
      </c>
      <c r="X15" s="1717"/>
      <c r="Y15" s="1702">
        <v>39970</v>
      </c>
      <c r="Z15" s="1711" t="s">
        <v>772</v>
      </c>
      <c r="AA15" s="1716">
        <v>29</v>
      </c>
      <c r="AB15" s="1717"/>
      <c r="AC15" s="1702">
        <v>40332</v>
      </c>
      <c r="AD15" s="1703" t="s">
        <v>937</v>
      </c>
      <c r="AE15" s="1704">
        <v>11</v>
      </c>
      <c r="AF15" s="1717"/>
      <c r="AG15" s="1702">
        <v>40698</v>
      </c>
      <c r="AH15" s="1703" t="s">
        <v>8791</v>
      </c>
      <c r="AI15" s="1704">
        <v>6</v>
      </c>
      <c r="AJ15" s="1717"/>
      <c r="AK15" s="1702">
        <v>41062</v>
      </c>
      <c r="AL15" s="1703" t="s">
        <v>8792</v>
      </c>
      <c r="AM15" s="1704">
        <v>10</v>
      </c>
      <c r="AN15" s="1717"/>
      <c r="AO15" s="1702">
        <v>41427</v>
      </c>
      <c r="AP15" s="1703" t="s">
        <v>772</v>
      </c>
      <c r="AQ15" s="1704">
        <v>52</v>
      </c>
      <c r="AR15" s="1717"/>
      <c r="AS15" s="1702">
        <v>41794</v>
      </c>
      <c r="AT15" s="1703" t="s">
        <v>925</v>
      </c>
      <c r="AU15" s="1704">
        <v>10</v>
      </c>
      <c r="AV15" s="1717"/>
      <c r="AW15" s="1702">
        <v>42159</v>
      </c>
      <c r="AX15" s="1703" t="s">
        <v>754</v>
      </c>
      <c r="AY15" s="1704">
        <v>22</v>
      </c>
      <c r="AZ15" s="1717"/>
      <c r="BA15" s="1702">
        <v>42522</v>
      </c>
      <c r="BB15" s="1711" t="s">
        <v>8793</v>
      </c>
      <c r="BC15" s="1704">
        <v>0</v>
      </c>
      <c r="BD15" s="1705"/>
      <c r="BE15" s="1702"/>
      <c r="BF15" s="1711" t="s">
        <v>8794</v>
      </c>
      <c r="BG15" s="1704">
        <v>160</v>
      </c>
      <c r="BH15" s="1705"/>
      <c r="BI15" s="1702"/>
      <c r="BJ15" s="1715" t="s">
        <v>8795</v>
      </c>
      <c r="BK15" s="1704">
        <v>148</v>
      </c>
      <c r="BL15" s="1705"/>
      <c r="BM15" s="1702"/>
      <c r="BN15" s="1715"/>
      <c r="BO15" s="1704"/>
      <c r="BP15" s="1705"/>
      <c r="BQ15" s="1702">
        <v>43619</v>
      </c>
      <c r="BR15" s="1711" t="s">
        <v>872</v>
      </c>
      <c r="BS15" s="1704">
        <v>6</v>
      </c>
      <c r="BT15" s="1710" t="s">
        <v>414</v>
      </c>
      <c r="BU15" s="1702">
        <v>43988</v>
      </c>
      <c r="BV15" s="1711" t="s">
        <v>8796</v>
      </c>
      <c r="BW15" s="1704">
        <v>0</v>
      </c>
      <c r="BX15" s="1710" t="s">
        <v>280</v>
      </c>
      <c r="BY15" s="1702">
        <v>44352</v>
      </c>
      <c r="BZ15" s="1711" t="s">
        <v>845</v>
      </c>
      <c r="CA15" s="1704">
        <v>35</v>
      </c>
      <c r="CB15" s="1710" t="s">
        <v>414</v>
      </c>
      <c r="CC15" s="1702">
        <v>43617</v>
      </c>
      <c r="CD15" s="1711" t="s">
        <v>8797</v>
      </c>
      <c r="CE15" s="1704">
        <v>200</v>
      </c>
      <c r="CF15" s="1709" t="s">
        <v>689</v>
      </c>
      <c r="CG15" s="1702">
        <v>43617</v>
      </c>
      <c r="CH15" s="1711" t="s">
        <v>4965</v>
      </c>
      <c r="CI15" s="1704">
        <v>540</v>
      </c>
      <c r="CJ15" s="1710" t="s">
        <v>689</v>
      </c>
      <c r="CK15" s="1718">
        <v>45078</v>
      </c>
      <c r="CL15" s="1719" t="s">
        <v>8798</v>
      </c>
      <c r="CM15" s="1720">
        <f>CM16+CM17+CM20+CM21+CM26+CM27+CM28</f>
        <v>4947</v>
      </c>
      <c r="CN15" s="1721"/>
      <c r="CO15" s="2122">
        <v>45842</v>
      </c>
      <c r="CP15" s="2121" t="s">
        <v>4561</v>
      </c>
      <c r="CQ15" s="2124">
        <v>1930.86</v>
      </c>
      <c r="CR15" s="2124">
        <v>1930.86</v>
      </c>
      <c r="CS15" s="2141">
        <v>45837</v>
      </c>
      <c r="CT15" s="2143" t="s">
        <v>8799</v>
      </c>
      <c r="CU15" s="2142">
        <v>21.81</v>
      </c>
      <c r="CV15" s="2124"/>
    </row>
    <row r="16" spans="1:100" ht="30.75">
      <c r="A16" s="1702">
        <v>37773</v>
      </c>
      <c r="B16" s="1703" t="s">
        <v>415</v>
      </c>
      <c r="C16" s="1704">
        <v>42</v>
      </c>
      <c r="D16" s="1705"/>
      <c r="E16" s="1702">
        <v>37773</v>
      </c>
      <c r="F16" s="1703" t="s">
        <v>415</v>
      </c>
      <c r="G16" s="1704">
        <v>42</v>
      </c>
      <c r="H16" s="1705"/>
      <c r="I16" s="1702">
        <v>38510</v>
      </c>
      <c r="J16" s="1703" t="s">
        <v>802</v>
      </c>
      <c r="K16" s="1704">
        <v>28</v>
      </c>
      <c r="L16" s="1705"/>
      <c r="M16" s="1702">
        <v>38875</v>
      </c>
      <c r="N16" s="1703" t="s">
        <v>8800</v>
      </c>
      <c r="O16" s="1704">
        <v>41</v>
      </c>
      <c r="P16" s="1705"/>
      <c r="Q16" s="1702">
        <v>39236</v>
      </c>
      <c r="R16" s="1703" t="s">
        <v>8801</v>
      </c>
      <c r="S16" s="1716">
        <v>4</v>
      </c>
      <c r="T16" s="1717"/>
      <c r="U16" s="1702">
        <v>39603</v>
      </c>
      <c r="V16" s="1703" t="s">
        <v>5921</v>
      </c>
      <c r="W16" s="1716">
        <v>38</v>
      </c>
      <c r="X16" s="1717"/>
      <c r="Y16" s="1702">
        <v>39971</v>
      </c>
      <c r="Z16" s="1703" t="s">
        <v>890</v>
      </c>
      <c r="AA16" s="1716">
        <v>47</v>
      </c>
      <c r="AB16" s="1717"/>
      <c r="AC16" s="1702">
        <v>40335</v>
      </c>
      <c r="AD16" s="1703" t="s">
        <v>797</v>
      </c>
      <c r="AE16" s="1704">
        <v>43</v>
      </c>
      <c r="AF16" s="1717"/>
      <c r="AG16" s="1702">
        <v>40698</v>
      </c>
      <c r="AH16" s="1703" t="s">
        <v>8802</v>
      </c>
      <c r="AI16" s="1704">
        <v>48</v>
      </c>
      <c r="AJ16" s="1717"/>
      <c r="AK16" s="1702">
        <v>41062</v>
      </c>
      <c r="AL16" s="1703" t="s">
        <v>8803</v>
      </c>
      <c r="AM16" s="1704">
        <v>10</v>
      </c>
      <c r="AN16" s="1717"/>
      <c r="AO16" s="1702">
        <v>41427</v>
      </c>
      <c r="AP16" s="1703" t="s">
        <v>754</v>
      </c>
      <c r="AQ16" s="1704">
        <v>121</v>
      </c>
      <c r="AR16" s="1717"/>
      <c r="AS16" s="1702">
        <v>41794</v>
      </c>
      <c r="AT16" s="1703" t="s">
        <v>954</v>
      </c>
      <c r="AU16" s="1704">
        <v>7</v>
      </c>
      <c r="AV16" s="1717"/>
      <c r="AW16" s="1702">
        <v>42159</v>
      </c>
      <c r="AX16" s="1703" t="s">
        <v>772</v>
      </c>
      <c r="AY16" s="1704">
        <v>42</v>
      </c>
      <c r="AZ16" s="1717"/>
      <c r="BA16" s="1702">
        <v>42522</v>
      </c>
      <c r="BB16" s="1711" t="s">
        <v>8804</v>
      </c>
      <c r="BC16" s="1704">
        <v>0</v>
      </c>
      <c r="BD16" s="1705"/>
      <c r="BE16" s="1702"/>
      <c r="BF16" s="1711" t="s">
        <v>8805</v>
      </c>
      <c r="BG16" s="1704">
        <v>403</v>
      </c>
      <c r="BH16" s="1705"/>
      <c r="BI16" s="1702"/>
      <c r="BJ16" s="1715" t="s">
        <v>8806</v>
      </c>
      <c r="BK16" s="1704">
        <v>168</v>
      </c>
      <c r="BL16" s="1705"/>
      <c r="BM16" s="1702"/>
      <c r="BN16" s="1715"/>
      <c r="BO16" s="1704"/>
      <c r="BP16" s="1705"/>
      <c r="BQ16" s="1702">
        <v>43619</v>
      </c>
      <c r="BR16" s="1711" t="s">
        <v>845</v>
      </c>
      <c r="BS16" s="1704">
        <v>27</v>
      </c>
      <c r="BT16" s="1710" t="s">
        <v>414</v>
      </c>
      <c r="BU16" s="1702">
        <v>43988</v>
      </c>
      <c r="BV16" s="1711" t="s">
        <v>8807</v>
      </c>
      <c r="BW16" s="1704">
        <v>0</v>
      </c>
      <c r="BX16" s="1710" t="s">
        <v>280</v>
      </c>
      <c r="BY16" s="1702">
        <v>44352</v>
      </c>
      <c r="BZ16" s="1711" t="s">
        <v>772</v>
      </c>
      <c r="CA16" s="1704">
        <v>25</v>
      </c>
      <c r="CB16" s="1710" t="s">
        <v>414</v>
      </c>
      <c r="CC16" s="1702">
        <v>43617</v>
      </c>
      <c r="CD16" s="1711" t="s">
        <v>8808</v>
      </c>
      <c r="CE16" s="1704">
        <v>1600</v>
      </c>
      <c r="CF16" s="1709" t="s">
        <v>689</v>
      </c>
      <c r="CG16" s="1702">
        <v>45078</v>
      </c>
      <c r="CH16" s="1711" t="s">
        <v>8809</v>
      </c>
      <c r="CI16" s="1704">
        <v>115</v>
      </c>
      <c r="CJ16" s="1710" t="s">
        <v>414</v>
      </c>
      <c r="CK16" s="1718">
        <v>45078</v>
      </c>
      <c r="CL16" s="1722" t="s">
        <v>5017</v>
      </c>
      <c r="CM16" s="1720">
        <f xml:space="preserve"> 1350 + 35</f>
        <v>1385</v>
      </c>
      <c r="CN16" s="1723">
        <f>CM16/CM15</f>
        <v>0.27996765716595917</v>
      </c>
      <c r="CO16" s="2126">
        <v>45842</v>
      </c>
      <c r="CP16" s="2125" t="s">
        <v>4385</v>
      </c>
      <c r="CQ16" s="2128">
        <v>-10.98</v>
      </c>
      <c r="CR16" s="2128">
        <v>-10.98</v>
      </c>
      <c r="CS16" s="2141">
        <v>45836</v>
      </c>
      <c r="CT16" s="2143" t="s">
        <v>8810</v>
      </c>
      <c r="CU16" s="2142">
        <v>2.65</v>
      </c>
      <c r="CV16" s="2128"/>
    </row>
    <row r="17" spans="1:100" ht="46.5">
      <c r="A17" s="1702">
        <v>37773</v>
      </c>
      <c r="B17" s="1703" t="s">
        <v>847</v>
      </c>
      <c r="C17" s="1704">
        <v>55</v>
      </c>
      <c r="D17" s="1705"/>
      <c r="E17" s="1702">
        <v>37773</v>
      </c>
      <c r="F17" s="1703" t="s">
        <v>847</v>
      </c>
      <c r="G17" s="1704">
        <v>55</v>
      </c>
      <c r="H17" s="1705"/>
      <c r="I17" s="1702">
        <v>38511</v>
      </c>
      <c r="J17" s="1703" t="s">
        <v>797</v>
      </c>
      <c r="K17" s="1704">
        <v>38</v>
      </c>
      <c r="L17" s="1705"/>
      <c r="M17" s="1702">
        <v>38876</v>
      </c>
      <c r="N17" s="1703" t="s">
        <v>8811</v>
      </c>
      <c r="O17" s="1704">
        <v>15</v>
      </c>
      <c r="P17" s="1705"/>
      <c r="Q17" s="1702">
        <v>39236</v>
      </c>
      <c r="R17" s="1703" t="s">
        <v>8812</v>
      </c>
      <c r="S17" s="1716">
        <v>7</v>
      </c>
      <c r="T17" s="1717"/>
      <c r="U17" s="1702">
        <v>39604</v>
      </c>
      <c r="V17" s="1703" t="s">
        <v>797</v>
      </c>
      <c r="W17" s="1716">
        <v>60</v>
      </c>
      <c r="X17" s="1717"/>
      <c r="Y17" s="1702">
        <v>39971</v>
      </c>
      <c r="Z17" s="1703" t="s">
        <v>8813</v>
      </c>
      <c r="AA17" s="1716">
        <v>13</v>
      </c>
      <c r="AB17" s="1717"/>
      <c r="AC17" s="1702">
        <v>40335</v>
      </c>
      <c r="AD17" s="1703" t="s">
        <v>781</v>
      </c>
      <c r="AE17" s="1704">
        <v>95</v>
      </c>
      <c r="AF17" s="1717"/>
      <c r="AG17" s="1702">
        <v>40699</v>
      </c>
      <c r="AH17" s="1703" t="s">
        <v>2367</v>
      </c>
      <c r="AI17" s="1704">
        <v>25</v>
      </c>
      <c r="AJ17" s="1717"/>
      <c r="AK17" s="1702">
        <v>41062</v>
      </c>
      <c r="AL17" s="1703" t="s">
        <v>8814</v>
      </c>
      <c r="AM17" s="1704">
        <v>50</v>
      </c>
      <c r="AN17" s="1717"/>
      <c r="AO17" s="1702">
        <v>41427</v>
      </c>
      <c r="AP17" s="1703" t="s">
        <v>797</v>
      </c>
      <c r="AQ17" s="1704">
        <v>60</v>
      </c>
      <c r="AR17" s="1717"/>
      <c r="AS17" s="1702">
        <v>41796</v>
      </c>
      <c r="AT17" s="1703" t="s">
        <v>8815</v>
      </c>
      <c r="AU17" s="1704">
        <v>15</v>
      </c>
      <c r="AV17" s="1717"/>
      <c r="AW17" s="1702">
        <v>42160</v>
      </c>
      <c r="AX17" s="1703" t="s">
        <v>8816</v>
      </c>
      <c r="AY17" s="1704"/>
      <c r="AZ17" s="1717"/>
      <c r="BA17" s="1702">
        <v>42523</v>
      </c>
      <c r="BB17" s="1711" t="s">
        <v>772</v>
      </c>
      <c r="BC17" s="1704">
        <v>29</v>
      </c>
      <c r="BD17" s="1705"/>
      <c r="BE17" s="1702"/>
      <c r="BF17" s="1711" t="s">
        <v>8817</v>
      </c>
      <c r="BG17" s="1704">
        <v>96</v>
      </c>
      <c r="BH17" s="1705"/>
      <c r="BI17" s="1702">
        <v>43252</v>
      </c>
      <c r="BJ17" s="1711" t="s">
        <v>823</v>
      </c>
      <c r="BK17" s="1704">
        <v>10</v>
      </c>
      <c r="BL17" s="1705"/>
      <c r="BM17" s="1702"/>
      <c r="BN17" s="1711"/>
      <c r="BO17" s="1704"/>
      <c r="BP17" s="1705"/>
      <c r="BQ17" s="1702">
        <v>43619</v>
      </c>
      <c r="BR17" s="1711" t="s">
        <v>2943</v>
      </c>
      <c r="BS17" s="1704" t="s">
        <v>37</v>
      </c>
      <c r="BT17" s="1710" t="s">
        <v>700</v>
      </c>
      <c r="BU17" s="1702">
        <v>43988</v>
      </c>
      <c r="BV17" s="1711" t="s">
        <v>8818</v>
      </c>
      <c r="BW17" s="1704">
        <v>0</v>
      </c>
      <c r="BX17" s="1710" t="s">
        <v>280</v>
      </c>
      <c r="BY17" s="1702">
        <v>44352</v>
      </c>
      <c r="BZ17" s="1711" t="s">
        <v>828</v>
      </c>
      <c r="CA17" s="1704">
        <v>15</v>
      </c>
      <c r="CB17" s="1710" t="s">
        <v>414</v>
      </c>
      <c r="CC17" s="1702">
        <v>43617</v>
      </c>
      <c r="CD17" s="1711" t="s">
        <v>8819</v>
      </c>
      <c r="CE17" s="1724" t="s">
        <v>37</v>
      </c>
      <c r="CF17" s="1709" t="s">
        <v>689</v>
      </c>
      <c r="CG17" s="1702">
        <v>45078</v>
      </c>
      <c r="CH17" s="1711" t="s">
        <v>845</v>
      </c>
      <c r="CI17" s="1704">
        <v>21</v>
      </c>
      <c r="CJ17" s="1710" t="s">
        <v>414</v>
      </c>
      <c r="CK17" s="1718">
        <v>45078</v>
      </c>
      <c r="CL17" s="1727" t="s">
        <v>5033</v>
      </c>
      <c r="CM17" s="1728">
        <f>SUM(CM18:CM19)</f>
        <v>1330</v>
      </c>
      <c r="CN17" s="1726">
        <f>CM17/$CM$15</f>
        <v>0.26884980796442287</v>
      </c>
      <c r="CO17" s="2126">
        <v>45842</v>
      </c>
      <c r="CP17" s="2125" t="s">
        <v>8820</v>
      </c>
      <c r="CQ17" s="2128">
        <v>-111</v>
      </c>
      <c r="CR17" s="2128">
        <v>-111</v>
      </c>
      <c r="CS17" s="2141">
        <v>45833</v>
      </c>
      <c r="CT17" s="2143" t="s">
        <v>8821</v>
      </c>
      <c r="CU17" s="2142">
        <v>27.27</v>
      </c>
      <c r="CV17" s="2128"/>
    </row>
    <row r="18" spans="1:100" ht="46.5">
      <c r="A18" s="1702">
        <v>37773</v>
      </c>
      <c r="B18" s="1703" t="s">
        <v>864</v>
      </c>
      <c r="C18" s="1704">
        <v>30</v>
      </c>
      <c r="D18" s="1705">
        <v>60</v>
      </c>
      <c r="E18" s="1702">
        <v>37773</v>
      </c>
      <c r="F18" s="1703" t="s">
        <v>864</v>
      </c>
      <c r="G18" s="1704">
        <v>30</v>
      </c>
      <c r="H18" s="1705">
        <v>60</v>
      </c>
      <c r="I18" s="1702">
        <v>38513</v>
      </c>
      <c r="J18" s="1703" t="s">
        <v>8822</v>
      </c>
      <c r="K18" s="1704">
        <v>46</v>
      </c>
      <c r="L18" s="1705"/>
      <c r="M18" s="1702">
        <v>38877</v>
      </c>
      <c r="N18" s="1703" t="s">
        <v>767</v>
      </c>
      <c r="O18" s="1704">
        <v>29</v>
      </c>
      <c r="P18" s="1705"/>
      <c r="Q18" s="1702">
        <v>39240</v>
      </c>
      <c r="R18" s="1703" t="s">
        <v>8823</v>
      </c>
      <c r="S18" s="1704">
        <v>102</v>
      </c>
      <c r="T18" s="1705"/>
      <c r="U18" s="1702">
        <v>39605</v>
      </c>
      <c r="V18" s="1703" t="s">
        <v>8824</v>
      </c>
      <c r="W18" s="1704">
        <v>17</v>
      </c>
      <c r="X18" s="1705"/>
      <c r="Y18" s="1702">
        <v>39971</v>
      </c>
      <c r="Z18" s="1703" t="s">
        <v>2226</v>
      </c>
      <c r="AA18" s="1704">
        <v>12</v>
      </c>
      <c r="AB18" s="1705"/>
      <c r="AC18" s="1702">
        <v>40337</v>
      </c>
      <c r="AD18" s="1703" t="s">
        <v>8825</v>
      </c>
      <c r="AE18" s="1704">
        <v>8</v>
      </c>
      <c r="AF18" s="1705"/>
      <c r="AG18" s="1702">
        <v>40699</v>
      </c>
      <c r="AH18" s="1703" t="s">
        <v>797</v>
      </c>
      <c r="AI18" s="1704">
        <v>48</v>
      </c>
      <c r="AJ18" s="1705"/>
      <c r="AK18" s="1702">
        <v>41062</v>
      </c>
      <c r="AL18" s="1703" t="s">
        <v>797</v>
      </c>
      <c r="AM18" s="1704">
        <v>52</v>
      </c>
      <c r="AN18" s="1717"/>
      <c r="AO18" s="1702">
        <v>41427</v>
      </c>
      <c r="AP18" s="1703" t="s">
        <v>8826</v>
      </c>
      <c r="AQ18" s="1704">
        <v>25</v>
      </c>
      <c r="AR18" s="1717"/>
      <c r="AS18" s="1702">
        <v>41796</v>
      </c>
      <c r="AT18" s="1703" t="s">
        <v>781</v>
      </c>
      <c r="AU18" s="1704">
        <v>85</v>
      </c>
      <c r="AV18" s="1717"/>
      <c r="AW18" s="1702">
        <v>42160</v>
      </c>
      <c r="AX18" s="1703" t="s">
        <v>8827</v>
      </c>
      <c r="AY18" s="1704">
        <v>10</v>
      </c>
      <c r="AZ18" s="1717"/>
      <c r="BA18" s="1702">
        <v>42525</v>
      </c>
      <c r="BB18" s="1711" t="s">
        <v>8828</v>
      </c>
      <c r="BC18" s="1704">
        <v>21</v>
      </c>
      <c r="BD18" s="1705"/>
      <c r="BE18" s="1702"/>
      <c r="BF18" s="1711" t="s">
        <v>8829</v>
      </c>
      <c r="BG18" s="1704">
        <v>56</v>
      </c>
      <c r="BH18" s="1705"/>
      <c r="BI18" s="1702">
        <v>43252</v>
      </c>
      <c r="BJ18" s="1711" t="s">
        <v>772</v>
      </c>
      <c r="BK18" s="1704">
        <v>63</v>
      </c>
      <c r="BL18" s="1705"/>
      <c r="BM18" s="1702"/>
      <c r="BN18" s="1711"/>
      <c r="BO18" s="1704"/>
      <c r="BP18" s="1705"/>
      <c r="BQ18" s="1702">
        <v>43619</v>
      </c>
      <c r="BR18" s="1711" t="s">
        <v>872</v>
      </c>
      <c r="BS18" s="1704">
        <v>4</v>
      </c>
      <c r="BT18" s="1710" t="s">
        <v>414</v>
      </c>
      <c r="BU18" s="1702">
        <v>43988</v>
      </c>
      <c r="BV18" s="1711" t="s">
        <v>8830</v>
      </c>
      <c r="BW18" s="1704">
        <v>0</v>
      </c>
      <c r="BX18" s="1710" t="s">
        <v>280</v>
      </c>
      <c r="BY18" s="1702">
        <v>44352</v>
      </c>
      <c r="BZ18" s="1711" t="s">
        <v>843</v>
      </c>
      <c r="CA18" s="1704">
        <v>75</v>
      </c>
      <c r="CB18" s="1710" t="s">
        <v>414</v>
      </c>
      <c r="CC18" s="1702">
        <v>43617</v>
      </c>
      <c r="CD18" s="1711" t="s">
        <v>8831</v>
      </c>
      <c r="CE18" s="1704">
        <v>298</v>
      </c>
      <c r="CF18" s="1709" t="s">
        <v>689</v>
      </c>
      <c r="CG18" s="1702">
        <v>45078</v>
      </c>
      <c r="CH18" s="1711" t="s">
        <v>8832</v>
      </c>
      <c r="CI18" s="1704">
        <v>0</v>
      </c>
      <c r="CJ18" s="1710" t="s">
        <v>414</v>
      </c>
      <c r="CK18" s="1718">
        <v>45078</v>
      </c>
      <c r="CL18" s="1729" t="s">
        <v>8833</v>
      </c>
      <c r="CM18" s="1725">
        <v>1330</v>
      </c>
      <c r="CN18" s="1726">
        <f>CM18/$CM$15</f>
        <v>0.26884980796442287</v>
      </c>
      <c r="CO18" s="2126">
        <v>45842</v>
      </c>
      <c r="CP18" s="2125" t="s">
        <v>8834</v>
      </c>
      <c r="CQ18" s="2128">
        <v>-8.84</v>
      </c>
      <c r="CR18" s="2128">
        <v>-8.84</v>
      </c>
      <c r="CS18" s="2141">
        <v>45831</v>
      </c>
      <c r="CT18" s="2143" t="s">
        <v>8835</v>
      </c>
      <c r="CU18" s="2142">
        <v>41.7</v>
      </c>
      <c r="CV18" s="2128"/>
    </row>
    <row r="19" spans="1:100" ht="46.5">
      <c r="A19" s="1702">
        <v>37773</v>
      </c>
      <c r="B19" s="1703" t="s">
        <v>419</v>
      </c>
      <c r="C19" s="1704">
        <v>247</v>
      </c>
      <c r="D19" s="1705">
        <v>0</v>
      </c>
      <c r="E19" s="1702">
        <v>37773</v>
      </c>
      <c r="F19" s="1703" t="s">
        <v>419</v>
      </c>
      <c r="G19" s="1704">
        <v>247</v>
      </c>
      <c r="H19" s="1705">
        <v>0</v>
      </c>
      <c r="I19" s="1702">
        <v>38513</v>
      </c>
      <c r="J19" s="1703" t="s">
        <v>8836</v>
      </c>
      <c r="K19" s="1704">
        <v>20</v>
      </c>
      <c r="L19" s="1705"/>
      <c r="M19" s="1702">
        <v>38877</v>
      </c>
      <c r="N19" s="1703" t="s">
        <v>8837</v>
      </c>
      <c r="O19" s="1704">
        <v>3</v>
      </c>
      <c r="P19" s="1705"/>
      <c r="Q19" s="1702">
        <v>39241</v>
      </c>
      <c r="R19" s="1703" t="s">
        <v>802</v>
      </c>
      <c r="S19" s="1704">
        <v>45</v>
      </c>
      <c r="T19" s="1705"/>
      <c r="U19" s="1702">
        <v>39606</v>
      </c>
      <c r="V19" s="1703" t="s">
        <v>8838</v>
      </c>
      <c r="W19" s="1704">
        <v>75</v>
      </c>
      <c r="X19" s="1705"/>
      <c r="Y19" s="1702">
        <v>39971</v>
      </c>
      <c r="Z19" s="1703" t="s">
        <v>797</v>
      </c>
      <c r="AA19" s="1704">
        <v>35</v>
      </c>
      <c r="AB19" s="1705"/>
      <c r="AC19" s="1702">
        <v>40338</v>
      </c>
      <c r="AD19" s="1703" t="s">
        <v>8839</v>
      </c>
      <c r="AE19" s="1704">
        <v>1</v>
      </c>
      <c r="AF19" s="1705"/>
      <c r="AG19" s="1702">
        <v>40704</v>
      </c>
      <c r="AH19" s="1703" t="s">
        <v>8840</v>
      </c>
      <c r="AI19" s="1704">
        <v>29</v>
      </c>
      <c r="AJ19" s="1705"/>
      <c r="AK19" s="1702">
        <v>41062</v>
      </c>
      <c r="AL19" s="1703" t="s">
        <v>8841</v>
      </c>
      <c r="AM19" s="1704">
        <v>13</v>
      </c>
      <c r="AN19" s="1705"/>
      <c r="AO19" s="1702">
        <v>41427</v>
      </c>
      <c r="AP19" s="1703" t="s">
        <v>8842</v>
      </c>
      <c r="AQ19" s="1704">
        <v>3</v>
      </c>
      <c r="AR19" s="1705"/>
      <c r="AS19" s="1702">
        <v>41796</v>
      </c>
      <c r="AT19" s="1703" t="s">
        <v>8843</v>
      </c>
      <c r="AU19" s="1704">
        <v>38</v>
      </c>
      <c r="AV19" s="1705"/>
      <c r="AW19" s="1702">
        <v>42160</v>
      </c>
      <c r="AX19" s="1703" t="s">
        <v>8844</v>
      </c>
      <c r="AY19" s="1704">
        <v>17</v>
      </c>
      <c r="AZ19" s="1705"/>
      <c r="BA19" s="1702">
        <v>42526</v>
      </c>
      <c r="BB19" s="1711" t="s">
        <v>954</v>
      </c>
      <c r="BC19" s="1704">
        <v>54</v>
      </c>
      <c r="BD19" s="1717"/>
      <c r="BE19" s="1702"/>
      <c r="BF19" s="1711" t="s">
        <v>8845</v>
      </c>
      <c r="BG19" s="1704">
        <v>65</v>
      </c>
      <c r="BH19" s="1705"/>
      <c r="BI19" s="1702">
        <v>43252</v>
      </c>
      <c r="BJ19" s="1711" t="s">
        <v>823</v>
      </c>
      <c r="BK19" s="1704">
        <v>69</v>
      </c>
      <c r="BL19" s="1717"/>
      <c r="BM19" s="1702"/>
      <c r="BN19" s="1711"/>
      <c r="BO19" s="1704"/>
      <c r="BP19" s="1717"/>
      <c r="BQ19" s="1702">
        <v>43623</v>
      </c>
      <c r="BR19" s="1711" t="s">
        <v>8846</v>
      </c>
      <c r="BS19" s="1704">
        <v>5</v>
      </c>
      <c r="BT19" s="1710"/>
      <c r="BU19" s="1702">
        <v>43988</v>
      </c>
      <c r="BV19" s="1711" t="s">
        <v>8847</v>
      </c>
      <c r="BW19" s="1704">
        <v>0</v>
      </c>
      <c r="BX19" s="1710" t="s">
        <v>280</v>
      </c>
      <c r="BY19" s="1702">
        <v>44353</v>
      </c>
      <c r="BZ19" s="1711" t="s">
        <v>2162</v>
      </c>
      <c r="CA19" s="1704">
        <v>6</v>
      </c>
      <c r="CB19" s="1710" t="s">
        <v>414</v>
      </c>
      <c r="CC19" s="1702">
        <v>43617</v>
      </c>
      <c r="CD19" s="1711" t="s">
        <v>4441</v>
      </c>
      <c r="CE19" s="1704">
        <v>11</v>
      </c>
      <c r="CF19" s="1710" t="s">
        <v>414</v>
      </c>
      <c r="CG19" s="1702">
        <v>45078</v>
      </c>
      <c r="CH19" s="1711" t="s">
        <v>8848</v>
      </c>
      <c r="CI19" s="1704">
        <v>0</v>
      </c>
      <c r="CJ19" s="1710" t="s">
        <v>414</v>
      </c>
      <c r="CK19" s="1718">
        <v>45078</v>
      </c>
      <c r="CL19" s="1729"/>
      <c r="CM19" s="1725"/>
      <c r="CN19" s="1726">
        <f>CM19/$CM$15</f>
        <v>0</v>
      </c>
      <c r="CO19" s="2126">
        <v>45842</v>
      </c>
      <c r="CP19" s="2125" t="s">
        <v>3838</v>
      </c>
      <c r="CQ19" s="2128">
        <v>-4.8499999999999996</v>
      </c>
      <c r="CR19" s="2128">
        <v>-4.8499999999999996</v>
      </c>
      <c r="CS19" s="2141">
        <v>45830</v>
      </c>
      <c r="CT19" s="2143" t="s">
        <v>8849</v>
      </c>
      <c r="CU19" s="2142">
        <v>164.68</v>
      </c>
      <c r="CV19" s="2128"/>
    </row>
    <row r="20" spans="1:100" ht="46.5">
      <c r="A20" s="1702">
        <v>37773</v>
      </c>
      <c r="B20" s="1703" t="s">
        <v>2447</v>
      </c>
      <c r="C20" s="1704">
        <v>0</v>
      </c>
      <c r="D20" s="1705">
        <v>260</v>
      </c>
      <c r="E20" s="1702">
        <v>37773</v>
      </c>
      <c r="F20" s="1703" t="s">
        <v>2447</v>
      </c>
      <c r="G20" s="1704">
        <v>0</v>
      </c>
      <c r="H20" s="1705">
        <v>260</v>
      </c>
      <c r="I20" s="1702">
        <v>38513</v>
      </c>
      <c r="J20" s="1703" t="s">
        <v>937</v>
      </c>
      <c r="K20" s="1704">
        <v>27</v>
      </c>
      <c r="L20" s="1705"/>
      <c r="M20" s="1702">
        <v>38877</v>
      </c>
      <c r="N20" s="1703" t="s">
        <v>8850</v>
      </c>
      <c r="O20" s="1704">
        <v>28</v>
      </c>
      <c r="P20" s="1705"/>
      <c r="Q20" s="1702">
        <v>39241</v>
      </c>
      <c r="R20" s="1703" t="s">
        <v>8851</v>
      </c>
      <c r="S20" s="1704">
        <v>11</v>
      </c>
      <c r="T20" s="1705"/>
      <c r="U20" s="1702">
        <v>39606</v>
      </c>
      <c r="V20" s="1703" t="s">
        <v>781</v>
      </c>
      <c r="W20" s="1704">
        <v>55</v>
      </c>
      <c r="X20" s="1705"/>
      <c r="Y20" s="1702">
        <v>39971</v>
      </c>
      <c r="Z20" s="1703" t="s">
        <v>8852</v>
      </c>
      <c r="AA20" s="1704">
        <v>17</v>
      </c>
      <c r="AB20" s="1705"/>
      <c r="AC20" s="1702">
        <v>40338</v>
      </c>
      <c r="AD20" s="1703" t="s">
        <v>8853</v>
      </c>
      <c r="AE20" s="1704">
        <v>5</v>
      </c>
      <c r="AF20" s="1705"/>
      <c r="AG20" s="1702">
        <v>40705</v>
      </c>
      <c r="AH20" s="1703" t="s">
        <v>2367</v>
      </c>
      <c r="AI20" s="1704">
        <v>20</v>
      </c>
      <c r="AJ20" s="1705"/>
      <c r="AK20" s="1702">
        <v>41062</v>
      </c>
      <c r="AL20" s="1703" t="s">
        <v>8854</v>
      </c>
      <c r="AM20" s="1704">
        <v>20</v>
      </c>
      <c r="AN20" s="1705"/>
      <c r="AO20" s="1702">
        <v>41431</v>
      </c>
      <c r="AP20" s="1703" t="s">
        <v>797</v>
      </c>
      <c r="AQ20" s="1704">
        <v>20</v>
      </c>
      <c r="AR20" s="1705"/>
      <c r="AS20" s="1702">
        <v>41796</v>
      </c>
      <c r="AT20" s="1703" t="s">
        <v>8855</v>
      </c>
      <c r="AU20" s="1704">
        <v>35</v>
      </c>
      <c r="AV20" s="1705"/>
      <c r="AW20" s="1702">
        <v>42161</v>
      </c>
      <c r="AX20" s="1703" t="s">
        <v>8856</v>
      </c>
      <c r="AY20" s="1704">
        <v>20</v>
      </c>
      <c r="AZ20" s="1705"/>
      <c r="BA20" s="1702">
        <v>42526</v>
      </c>
      <c r="BB20" s="1711" t="s">
        <v>754</v>
      </c>
      <c r="BC20" s="1704">
        <v>84</v>
      </c>
      <c r="BD20" s="1717"/>
      <c r="BE20" s="1702"/>
      <c r="BF20" s="1711" t="s">
        <v>8857</v>
      </c>
      <c r="BG20" s="1704">
        <v>82</v>
      </c>
      <c r="BH20" s="1705"/>
      <c r="BI20" s="1702">
        <v>43252</v>
      </c>
      <c r="BJ20" s="1711" t="s">
        <v>872</v>
      </c>
      <c r="BK20" s="1704">
        <v>32</v>
      </c>
      <c r="BL20" s="1717"/>
      <c r="BM20" s="1702"/>
      <c r="BN20" s="1711"/>
      <c r="BO20" s="1704"/>
      <c r="BP20" s="1717"/>
      <c r="BQ20" s="1702">
        <v>43623</v>
      </c>
      <c r="BR20" s="1711" t="s">
        <v>8858</v>
      </c>
      <c r="BS20" s="1704">
        <v>20</v>
      </c>
      <c r="BT20" s="1710" t="s">
        <v>280</v>
      </c>
      <c r="BU20" s="1702">
        <v>43623</v>
      </c>
      <c r="BV20" s="1711" t="s">
        <v>8859</v>
      </c>
      <c r="BW20" s="1704">
        <v>10</v>
      </c>
      <c r="BX20" s="1710" t="s">
        <v>381</v>
      </c>
      <c r="BY20" s="1702">
        <v>44353</v>
      </c>
      <c r="BZ20" s="1711" t="s">
        <v>1052</v>
      </c>
      <c r="CA20" s="1704">
        <v>27</v>
      </c>
      <c r="CB20" s="1710" t="s">
        <v>280</v>
      </c>
      <c r="CC20" s="1702">
        <v>43617</v>
      </c>
      <c r="CD20" s="1711" t="s">
        <v>8860</v>
      </c>
      <c r="CE20" s="1704">
        <v>22</v>
      </c>
      <c r="CF20" s="1710" t="s">
        <v>414</v>
      </c>
      <c r="CG20" s="1702">
        <v>45078</v>
      </c>
      <c r="CH20" s="1711" t="s">
        <v>6741</v>
      </c>
      <c r="CI20" s="1704">
        <v>17</v>
      </c>
      <c r="CJ20" s="1710" t="s">
        <v>414</v>
      </c>
      <c r="CK20" s="1718">
        <v>45078</v>
      </c>
      <c r="CL20" s="1734" t="s">
        <v>278</v>
      </c>
      <c r="CM20" s="1728">
        <f>CM41+CM42+CM44+CM45+CM46+CM48+CM49+CM50+CM52+CM54+CM53</f>
        <v>548</v>
      </c>
      <c r="CN20" s="1726">
        <f>CM20/$CM$15</f>
        <v>0.11077420658985243</v>
      </c>
      <c r="CO20" s="2126">
        <v>45842</v>
      </c>
      <c r="CP20" s="2125" t="s">
        <v>8861</v>
      </c>
      <c r="CQ20" s="2128">
        <v>-3</v>
      </c>
      <c r="CR20" s="2128">
        <v>-3</v>
      </c>
      <c r="CS20" s="2141">
        <v>45830</v>
      </c>
      <c r="CT20" s="2143" t="s">
        <v>8862</v>
      </c>
      <c r="CU20" s="2142">
        <v>0</v>
      </c>
      <c r="CV20" s="2128"/>
    </row>
    <row r="21" spans="1:100" ht="46.5">
      <c r="A21" s="1702">
        <v>37773</v>
      </c>
      <c r="B21" s="1703" t="s">
        <v>8863</v>
      </c>
      <c r="C21" s="1704">
        <v>16</v>
      </c>
      <c r="D21" s="1705"/>
      <c r="E21" s="1702">
        <v>38139</v>
      </c>
      <c r="F21" s="1703" t="s">
        <v>802</v>
      </c>
      <c r="G21" s="1704">
        <v>32</v>
      </c>
      <c r="H21" s="1705"/>
      <c r="I21" s="1702">
        <v>38515</v>
      </c>
      <c r="J21" s="1703" t="s">
        <v>8864</v>
      </c>
      <c r="K21" s="1704">
        <v>12</v>
      </c>
      <c r="L21" s="1705"/>
      <c r="M21" s="1702">
        <v>38878</v>
      </c>
      <c r="N21" s="1703" t="s">
        <v>8865</v>
      </c>
      <c r="O21" s="1704">
        <v>32</v>
      </c>
      <c r="P21" s="1705"/>
      <c r="Q21" s="1702">
        <v>39242</v>
      </c>
      <c r="R21" s="1703" t="s">
        <v>8866</v>
      </c>
      <c r="S21" s="1704">
        <v>36</v>
      </c>
      <c r="T21" s="1705"/>
      <c r="U21" s="1702">
        <v>39606</v>
      </c>
      <c r="V21" s="1703" t="s">
        <v>8867</v>
      </c>
      <c r="W21" s="1704">
        <v>6</v>
      </c>
      <c r="X21" s="1705"/>
      <c r="Y21" s="1702">
        <v>39974</v>
      </c>
      <c r="Z21" s="1703" t="s">
        <v>8868</v>
      </c>
      <c r="AA21" s="1704">
        <v>7</v>
      </c>
      <c r="AB21" s="1705"/>
      <c r="AC21" s="1702">
        <v>40339</v>
      </c>
      <c r="AD21" s="1703" t="s">
        <v>8869</v>
      </c>
      <c r="AE21" s="1704">
        <v>10</v>
      </c>
      <c r="AF21" s="1705"/>
      <c r="AG21" s="1702">
        <v>40705</v>
      </c>
      <c r="AH21" s="1703" t="s">
        <v>781</v>
      </c>
      <c r="AI21" s="1704">
        <v>63</v>
      </c>
      <c r="AJ21" s="1705"/>
      <c r="AK21" s="1702">
        <v>41062</v>
      </c>
      <c r="AL21" s="1703" t="s">
        <v>1983</v>
      </c>
      <c r="AM21" s="1704">
        <v>38</v>
      </c>
      <c r="AN21" s="1705"/>
      <c r="AO21" s="1702">
        <v>41433</v>
      </c>
      <c r="AP21" s="1703" t="s">
        <v>8870</v>
      </c>
      <c r="AQ21" s="1704"/>
      <c r="AR21" s="1705"/>
      <c r="AS21" s="1702">
        <v>41796</v>
      </c>
      <c r="AT21" s="1703" t="s">
        <v>8871</v>
      </c>
      <c r="AU21" s="1704">
        <v>15</v>
      </c>
      <c r="AV21" s="1705"/>
      <c r="AW21" s="1702">
        <v>42161</v>
      </c>
      <c r="AX21" s="1703" t="s">
        <v>855</v>
      </c>
      <c r="AY21" s="1704">
        <v>7</v>
      </c>
      <c r="AZ21" s="1705"/>
      <c r="BA21" s="1702">
        <v>42526</v>
      </c>
      <c r="BB21" s="1711" t="s">
        <v>8872</v>
      </c>
      <c r="BC21" s="1704">
        <v>200</v>
      </c>
      <c r="BD21" s="1717"/>
      <c r="BE21" s="1730"/>
      <c r="BF21" s="1731" t="s">
        <v>667</v>
      </c>
      <c r="BG21" s="1732">
        <v>298</v>
      </c>
      <c r="BH21" s="1733"/>
      <c r="BI21" s="1702">
        <v>43253</v>
      </c>
      <c r="BJ21" s="1711" t="s">
        <v>8873</v>
      </c>
      <c r="BK21" s="1704">
        <v>0</v>
      </c>
      <c r="BL21" s="1717"/>
      <c r="BM21" s="1702"/>
      <c r="BN21" s="1711"/>
      <c r="BO21" s="1704"/>
      <c r="BP21" s="1717"/>
      <c r="BQ21" s="1702">
        <v>43623</v>
      </c>
      <c r="BR21" s="1711" t="s">
        <v>872</v>
      </c>
      <c r="BS21" s="1704">
        <v>20</v>
      </c>
      <c r="BT21" s="1710" t="s">
        <v>414</v>
      </c>
      <c r="BU21" s="1702">
        <v>43623</v>
      </c>
      <c r="BV21" s="1711" t="s">
        <v>1873</v>
      </c>
      <c r="BW21" s="1704">
        <v>53</v>
      </c>
      <c r="BX21" s="1710" t="s">
        <v>414</v>
      </c>
      <c r="BY21" s="1702">
        <v>44353</v>
      </c>
      <c r="BZ21" s="1711" t="s">
        <v>8874</v>
      </c>
      <c r="CA21" s="1704">
        <v>15</v>
      </c>
      <c r="CB21" s="1710" t="s">
        <v>701</v>
      </c>
      <c r="CC21" s="1702">
        <v>43617</v>
      </c>
      <c r="CD21" s="1711" t="s">
        <v>2445</v>
      </c>
      <c r="CE21" s="1704">
        <v>37</v>
      </c>
      <c r="CF21" s="1710" t="s">
        <v>414</v>
      </c>
      <c r="CG21" s="1702">
        <v>45078</v>
      </c>
      <c r="CH21" s="1711" t="s">
        <v>3448</v>
      </c>
      <c r="CI21" s="1704">
        <v>17</v>
      </c>
      <c r="CJ21" s="1710" t="s">
        <v>414</v>
      </c>
      <c r="CK21" s="1718">
        <v>45078</v>
      </c>
      <c r="CL21" s="1734" t="s">
        <v>277</v>
      </c>
      <c r="CM21" s="1728">
        <f>SUM(CM22:CM25)</f>
        <v>1138</v>
      </c>
      <c r="CN21" s="1726">
        <f>CM21/$CM$15</f>
        <v>0.23003840711542348</v>
      </c>
      <c r="CO21" s="2126">
        <v>45842</v>
      </c>
      <c r="CP21" s="2125" t="s">
        <v>8875</v>
      </c>
      <c r="CQ21" s="2128">
        <v>-42.59</v>
      </c>
      <c r="CR21" s="2128">
        <v>-42.59</v>
      </c>
      <c r="CS21" s="2141">
        <v>45829</v>
      </c>
      <c r="CT21" s="2143" t="s">
        <v>8876</v>
      </c>
      <c r="CU21" s="2142">
        <v>13.88</v>
      </c>
      <c r="CV21" s="2128"/>
    </row>
    <row r="22" spans="1:100" ht="30.75">
      <c r="A22" s="1702">
        <v>37773</v>
      </c>
      <c r="B22" s="1703" t="s">
        <v>8877</v>
      </c>
      <c r="C22" s="1704">
        <v>58</v>
      </c>
      <c r="D22" s="1705"/>
      <c r="E22" s="1702">
        <v>38142</v>
      </c>
      <c r="F22" s="1703" t="s">
        <v>8878</v>
      </c>
      <c r="G22" s="1704">
        <v>4</v>
      </c>
      <c r="H22" s="1705"/>
      <c r="I22" s="1702">
        <v>38518</v>
      </c>
      <c r="J22" s="1703" t="s">
        <v>802</v>
      </c>
      <c r="K22" s="1704">
        <v>28</v>
      </c>
      <c r="L22" s="1705"/>
      <c r="M22" s="1702">
        <v>38878</v>
      </c>
      <c r="N22" s="1703" t="s">
        <v>767</v>
      </c>
      <c r="O22" s="1704">
        <v>6</v>
      </c>
      <c r="P22" s="1705"/>
      <c r="Q22" s="1702">
        <v>39242</v>
      </c>
      <c r="R22" s="1703" t="s">
        <v>1903</v>
      </c>
      <c r="S22" s="1704">
        <v>15</v>
      </c>
      <c r="T22" s="1705"/>
      <c r="U22" s="1702">
        <v>39606</v>
      </c>
      <c r="V22" s="1703" t="s">
        <v>8879</v>
      </c>
      <c r="W22" s="1704">
        <v>8</v>
      </c>
      <c r="X22" s="1705"/>
      <c r="Y22" s="1702">
        <v>39975</v>
      </c>
      <c r="Z22" s="1703" t="s">
        <v>8880</v>
      </c>
      <c r="AA22" s="1704">
        <v>55</v>
      </c>
      <c r="AB22" s="1705"/>
      <c r="AC22" s="1702">
        <v>40339</v>
      </c>
      <c r="AD22" s="1703" t="s">
        <v>8881</v>
      </c>
      <c r="AE22" s="1704">
        <v>25</v>
      </c>
      <c r="AF22" s="1705"/>
      <c r="AG22" s="1702">
        <v>40706</v>
      </c>
      <c r="AH22" s="1703" t="s">
        <v>1903</v>
      </c>
      <c r="AI22" s="1704">
        <v>70</v>
      </c>
      <c r="AJ22" s="1705"/>
      <c r="AK22" s="1702">
        <v>41062</v>
      </c>
      <c r="AL22" s="1703" t="s">
        <v>6012</v>
      </c>
      <c r="AM22" s="1704">
        <v>26</v>
      </c>
      <c r="AN22" s="1705"/>
      <c r="AO22" s="1702">
        <v>41433</v>
      </c>
      <c r="AP22" s="1703" t="s">
        <v>8882</v>
      </c>
      <c r="AQ22" s="1704">
        <v>6</v>
      </c>
      <c r="AR22" s="1705"/>
      <c r="AS22" s="1702">
        <v>41796</v>
      </c>
      <c r="AT22" s="1703" t="s">
        <v>8883</v>
      </c>
      <c r="AU22" s="1704">
        <v>15</v>
      </c>
      <c r="AV22" s="1705"/>
      <c r="AW22" s="1702">
        <v>42161</v>
      </c>
      <c r="AX22" s="1703" t="s">
        <v>8884</v>
      </c>
      <c r="AY22" s="1704">
        <v>6</v>
      </c>
      <c r="AZ22" s="1705"/>
      <c r="BA22" s="1702">
        <v>42527</v>
      </c>
      <c r="BB22" s="1711" t="s">
        <v>754</v>
      </c>
      <c r="BC22" s="1704">
        <v>33</v>
      </c>
      <c r="BD22" s="1717"/>
      <c r="BE22" s="1702">
        <v>42887</v>
      </c>
      <c r="BF22" s="1711" t="s">
        <v>8885</v>
      </c>
      <c r="BG22" s="1704">
        <v>23</v>
      </c>
      <c r="BH22" s="1705"/>
      <c r="BI22" s="1702">
        <v>43253</v>
      </c>
      <c r="BJ22" s="1711" t="s">
        <v>8886</v>
      </c>
      <c r="BK22" s="1704">
        <v>25</v>
      </c>
      <c r="BL22" s="1705"/>
      <c r="BM22" s="1702"/>
      <c r="BN22" s="1711"/>
      <c r="BO22" s="1704"/>
      <c r="BP22" s="1705"/>
      <c r="BQ22" s="1702">
        <v>43623</v>
      </c>
      <c r="BR22" s="1711" t="s">
        <v>845</v>
      </c>
      <c r="BS22" s="1704">
        <v>46</v>
      </c>
      <c r="BT22" s="1710" t="s">
        <v>414</v>
      </c>
      <c r="BU22" s="1702">
        <v>43623</v>
      </c>
      <c r="BV22" s="1711" t="s">
        <v>8887</v>
      </c>
      <c r="BW22" s="1704">
        <v>55</v>
      </c>
      <c r="BX22" s="1710" t="s">
        <v>414</v>
      </c>
      <c r="BY22" s="1702">
        <v>44353</v>
      </c>
      <c r="BZ22" s="1711" t="s">
        <v>8888</v>
      </c>
      <c r="CA22" s="1704">
        <v>15</v>
      </c>
      <c r="CB22" s="1710" t="s">
        <v>701</v>
      </c>
      <c r="CC22" s="1702">
        <v>43617</v>
      </c>
      <c r="CD22" s="1711" t="s">
        <v>8889</v>
      </c>
      <c r="CE22" s="1704">
        <v>37</v>
      </c>
      <c r="CF22" s="1710" t="s">
        <v>414</v>
      </c>
      <c r="CG22" s="1702">
        <v>45078</v>
      </c>
      <c r="CH22" s="1711" t="s">
        <v>2106</v>
      </c>
      <c r="CI22" s="1704">
        <v>3</v>
      </c>
      <c r="CJ22" s="1710" t="s">
        <v>414</v>
      </c>
      <c r="CK22" s="1718">
        <v>45078</v>
      </c>
      <c r="CL22" s="1729" t="s">
        <v>2288</v>
      </c>
      <c r="CM22" s="1725">
        <f>CM57</f>
        <v>899</v>
      </c>
      <c r="CN22" s="1726">
        <f>CM22/$CM$15</f>
        <v>0.18172629876692944</v>
      </c>
      <c r="CO22" s="2126">
        <v>45842</v>
      </c>
      <c r="CP22" s="2125" t="s">
        <v>4894</v>
      </c>
      <c r="CQ22" s="2128">
        <v>-119</v>
      </c>
      <c r="CR22" s="2128">
        <v>-119</v>
      </c>
      <c r="CS22" s="2141">
        <v>45829</v>
      </c>
      <c r="CT22" s="2143" t="s">
        <v>8890</v>
      </c>
      <c r="CU22" s="2142">
        <v>8.07</v>
      </c>
      <c r="CV22" s="2128"/>
    </row>
    <row r="23" spans="1:100" ht="30.75">
      <c r="A23" s="1702">
        <v>37773</v>
      </c>
      <c r="B23" s="1703" t="s">
        <v>8891</v>
      </c>
      <c r="C23" s="1704">
        <v>15</v>
      </c>
      <c r="D23" s="1705"/>
      <c r="E23" s="1702">
        <v>38142</v>
      </c>
      <c r="F23" s="1703" t="s">
        <v>1878</v>
      </c>
      <c r="G23" s="1704">
        <v>5</v>
      </c>
      <c r="H23" s="1705"/>
      <c r="I23" s="1702">
        <v>38521</v>
      </c>
      <c r="J23" s="1703" t="s">
        <v>8892</v>
      </c>
      <c r="K23" s="1704">
        <v>30</v>
      </c>
      <c r="L23" s="1705"/>
      <c r="M23" s="1702">
        <v>38879</v>
      </c>
      <c r="N23" s="1703" t="s">
        <v>8893</v>
      </c>
      <c r="O23" s="1704">
        <v>29</v>
      </c>
      <c r="P23" s="1705"/>
      <c r="Q23" s="1702">
        <v>39242</v>
      </c>
      <c r="R23" s="1703" t="s">
        <v>2397</v>
      </c>
      <c r="S23" s="1704">
        <v>32</v>
      </c>
      <c r="T23" s="1705"/>
      <c r="U23" s="1702">
        <v>39610</v>
      </c>
      <c r="V23" s="1703" t="s">
        <v>797</v>
      </c>
      <c r="W23" s="1704">
        <v>56</v>
      </c>
      <c r="X23" s="1705"/>
      <c r="Y23" s="1702">
        <v>39976</v>
      </c>
      <c r="Z23" s="1703" t="s">
        <v>890</v>
      </c>
      <c r="AA23" s="1704">
        <v>39</v>
      </c>
      <c r="AB23" s="1705"/>
      <c r="AC23" s="1702">
        <v>40339</v>
      </c>
      <c r="AD23" s="1703" t="s">
        <v>8894</v>
      </c>
      <c r="AE23" s="1704">
        <v>11</v>
      </c>
      <c r="AF23" s="1705"/>
      <c r="AG23" s="1702">
        <v>40706</v>
      </c>
      <c r="AH23" s="1703" t="s">
        <v>797</v>
      </c>
      <c r="AI23" s="1704">
        <v>30</v>
      </c>
      <c r="AJ23" s="1705"/>
      <c r="AK23" s="1702">
        <v>41064</v>
      </c>
      <c r="AL23" s="1703" t="s">
        <v>802</v>
      </c>
      <c r="AM23" s="1704">
        <v>50</v>
      </c>
      <c r="AN23" s="1705"/>
      <c r="AO23" s="1702">
        <v>41433</v>
      </c>
      <c r="AP23" s="1703" t="s">
        <v>8895</v>
      </c>
      <c r="AQ23" s="1704">
        <v>30</v>
      </c>
      <c r="AR23" s="1705"/>
      <c r="AS23" s="1702">
        <v>41796</v>
      </c>
      <c r="AT23" s="1703" t="s">
        <v>8896</v>
      </c>
      <c r="AU23" s="1704">
        <v>140</v>
      </c>
      <c r="AV23" s="1705"/>
      <c r="AW23" s="1702">
        <v>42161</v>
      </c>
      <c r="AX23" s="1703" t="s">
        <v>8897</v>
      </c>
      <c r="AY23" s="1704">
        <v>252</v>
      </c>
      <c r="AZ23" s="1705"/>
      <c r="BA23" s="1702">
        <v>42527</v>
      </c>
      <c r="BB23" s="1711" t="s">
        <v>1688</v>
      </c>
      <c r="BC23" s="1704">
        <v>36</v>
      </c>
      <c r="BD23" s="1705"/>
      <c r="BE23" s="1702">
        <v>42887</v>
      </c>
      <c r="BF23" s="1711" t="s">
        <v>992</v>
      </c>
      <c r="BG23" s="1704">
        <v>3</v>
      </c>
      <c r="BH23" s="1705"/>
      <c r="BI23" s="1702">
        <v>43253</v>
      </c>
      <c r="BJ23" s="1711" t="s">
        <v>8898</v>
      </c>
      <c r="BK23" s="1704">
        <v>50</v>
      </c>
      <c r="BL23" s="1705"/>
      <c r="BM23" s="1702"/>
      <c r="BN23" s="1711"/>
      <c r="BO23" s="1704"/>
      <c r="BP23" s="1705"/>
      <c r="BQ23" s="1702">
        <v>43623</v>
      </c>
      <c r="BR23" s="1711" t="s">
        <v>843</v>
      </c>
      <c r="BS23" s="1704">
        <v>16</v>
      </c>
      <c r="BT23" s="1710" t="s">
        <v>414</v>
      </c>
      <c r="BU23" s="1702">
        <v>43623</v>
      </c>
      <c r="BV23" s="1711" t="s">
        <v>8899</v>
      </c>
      <c r="BW23" s="1704">
        <v>16</v>
      </c>
      <c r="BX23" s="1710" t="s">
        <v>414</v>
      </c>
      <c r="BY23" s="1702">
        <v>44353</v>
      </c>
      <c r="BZ23" s="1711" t="s">
        <v>8900</v>
      </c>
      <c r="CA23" s="1704">
        <v>70</v>
      </c>
      <c r="CB23" s="1710" t="s">
        <v>280</v>
      </c>
      <c r="CC23" s="1702">
        <v>43617</v>
      </c>
      <c r="CD23" s="1711" t="s">
        <v>8901</v>
      </c>
      <c r="CE23" s="1704">
        <v>31</v>
      </c>
      <c r="CF23" s="1710" t="s">
        <v>414</v>
      </c>
      <c r="CG23" s="1702">
        <v>45078</v>
      </c>
      <c r="CH23" s="1711" t="s">
        <v>8902</v>
      </c>
      <c r="CI23" s="1704">
        <v>12</v>
      </c>
      <c r="CJ23" s="1710" t="s">
        <v>414</v>
      </c>
      <c r="CK23" s="1718">
        <v>45078</v>
      </c>
      <c r="CL23" s="1729" t="s">
        <v>5123</v>
      </c>
      <c r="CM23" s="1725">
        <f>CM40+CM58</f>
        <v>123</v>
      </c>
      <c r="CN23" s="1726">
        <f>CM23/$CM$15</f>
        <v>2.4863553668890235E-2</v>
      </c>
      <c r="CO23" s="2126">
        <v>45841</v>
      </c>
      <c r="CP23" s="2125" t="s">
        <v>8903</v>
      </c>
      <c r="CQ23" s="2128">
        <v>-322.41000000000003</v>
      </c>
      <c r="CR23" s="2128">
        <v>-322.41000000000003</v>
      </c>
      <c r="CS23" s="2141">
        <v>45829</v>
      </c>
      <c r="CT23" s="2143" t="s">
        <v>8904</v>
      </c>
      <c r="CU23" s="2142">
        <v>5.58</v>
      </c>
      <c r="CV23" s="2128"/>
    </row>
    <row r="24" spans="1:100" ht="30.75">
      <c r="A24" s="1702">
        <v>37773</v>
      </c>
      <c r="B24" s="1703" t="s">
        <v>410</v>
      </c>
      <c r="C24" s="1704">
        <v>18</v>
      </c>
      <c r="D24" s="1705"/>
      <c r="E24" s="1702">
        <v>38142</v>
      </c>
      <c r="F24" s="1703" t="s">
        <v>8905</v>
      </c>
      <c r="G24" s="1704">
        <v>16</v>
      </c>
      <c r="H24" s="1705"/>
      <c r="I24" s="1702">
        <v>38521</v>
      </c>
      <c r="J24" s="1703" t="s">
        <v>8906</v>
      </c>
      <c r="K24" s="1704">
        <v>25</v>
      </c>
      <c r="L24" s="1705"/>
      <c r="M24" s="1702">
        <v>38882</v>
      </c>
      <c r="N24" s="1703" t="s">
        <v>797</v>
      </c>
      <c r="O24" s="1704">
        <v>44</v>
      </c>
      <c r="P24" s="1705"/>
      <c r="Q24" s="1702">
        <v>39242</v>
      </c>
      <c r="R24" s="1703" t="s">
        <v>8907</v>
      </c>
      <c r="S24" s="1704">
        <v>43</v>
      </c>
      <c r="T24" s="1705"/>
      <c r="U24" s="1702">
        <v>39610</v>
      </c>
      <c r="V24" s="1703" t="s">
        <v>802</v>
      </c>
      <c r="W24" s="1704">
        <v>11</v>
      </c>
      <c r="X24" s="1705"/>
      <c r="Y24" s="1702">
        <v>39977</v>
      </c>
      <c r="Z24" s="1703" t="s">
        <v>772</v>
      </c>
      <c r="AA24" s="1704">
        <v>28</v>
      </c>
      <c r="AB24" s="1705"/>
      <c r="AC24" s="1702">
        <v>40340</v>
      </c>
      <c r="AD24" s="1703" t="s">
        <v>8908</v>
      </c>
      <c r="AE24" s="1704">
        <v>12</v>
      </c>
      <c r="AF24" s="1705"/>
      <c r="AG24" s="1702">
        <v>40706</v>
      </c>
      <c r="AH24" s="1703" t="s">
        <v>937</v>
      </c>
      <c r="AI24" s="1704">
        <v>2</v>
      </c>
      <c r="AJ24" s="1705"/>
      <c r="AK24" s="1702">
        <v>41063</v>
      </c>
      <c r="AL24" s="1703" t="s">
        <v>8909</v>
      </c>
      <c r="AM24" s="1704">
        <v>11</v>
      </c>
      <c r="AN24" s="1705"/>
      <c r="AO24" s="1702">
        <v>41434</v>
      </c>
      <c r="AP24" s="1703" t="s">
        <v>1052</v>
      </c>
      <c r="AQ24" s="1704">
        <v>19</v>
      </c>
      <c r="AR24" s="1705"/>
      <c r="AS24" s="1702">
        <v>41796</v>
      </c>
      <c r="AT24" s="1703" t="s">
        <v>802</v>
      </c>
      <c r="AU24" s="1704">
        <v>56</v>
      </c>
      <c r="AV24" s="1705"/>
      <c r="AW24" s="1702">
        <v>42161</v>
      </c>
      <c r="AX24" s="1703" t="s">
        <v>8910</v>
      </c>
      <c r="AY24" s="1704">
        <v>465</v>
      </c>
      <c r="AZ24" s="1705"/>
      <c r="BA24" s="1702">
        <v>42527</v>
      </c>
      <c r="BB24" s="1711" t="s">
        <v>797</v>
      </c>
      <c r="BC24" s="1704">
        <v>37</v>
      </c>
      <c r="BD24" s="1705"/>
      <c r="BE24" s="1702">
        <v>42888</v>
      </c>
      <c r="BF24" s="1711" t="s">
        <v>8911</v>
      </c>
      <c r="BG24" s="1704">
        <v>19</v>
      </c>
      <c r="BH24" s="1705"/>
      <c r="BI24" s="1702">
        <v>43253</v>
      </c>
      <c r="BJ24" s="1711" t="s">
        <v>1770</v>
      </c>
      <c r="BK24" s="1704">
        <v>37</v>
      </c>
      <c r="BL24" s="1705"/>
      <c r="BM24" s="1702"/>
      <c r="BN24" s="1711"/>
      <c r="BO24" s="1704"/>
      <c r="BP24" s="1705"/>
      <c r="BQ24" s="1702">
        <v>43623</v>
      </c>
      <c r="BR24" s="1711" t="s">
        <v>797</v>
      </c>
      <c r="BS24" s="1704">
        <v>66</v>
      </c>
      <c r="BT24" s="1710" t="s">
        <v>410</v>
      </c>
      <c r="BU24" s="1702">
        <v>43623</v>
      </c>
      <c r="BV24" s="1711" t="s">
        <v>8912</v>
      </c>
      <c r="BW24" s="1704">
        <v>0</v>
      </c>
      <c r="BX24" s="1710" t="s">
        <v>280</v>
      </c>
      <c r="BY24" s="1702">
        <v>44353</v>
      </c>
      <c r="BZ24" s="1711" t="s">
        <v>8913</v>
      </c>
      <c r="CA24" s="1704">
        <v>10</v>
      </c>
      <c r="CB24" s="1710" t="s">
        <v>280</v>
      </c>
      <c r="CC24" s="1702">
        <v>43617</v>
      </c>
      <c r="CD24" s="1711" t="s">
        <v>8914</v>
      </c>
      <c r="CE24" s="1704">
        <v>16</v>
      </c>
      <c r="CF24" s="1710" t="s">
        <v>414</v>
      </c>
      <c r="CG24" s="1702">
        <v>45078</v>
      </c>
      <c r="CH24" s="1711" t="s">
        <v>2205</v>
      </c>
      <c r="CI24" s="1704">
        <v>21</v>
      </c>
      <c r="CJ24" s="1710" t="s">
        <v>414</v>
      </c>
      <c r="CK24" s="1718">
        <v>45078</v>
      </c>
      <c r="CL24" s="1729" t="s">
        <v>410</v>
      </c>
      <c r="CM24" s="1725">
        <f>CM55+CM47</f>
        <v>116</v>
      </c>
      <c r="CN24" s="1726">
        <f>CM24/$CM$15</f>
        <v>2.34485546796038E-2</v>
      </c>
      <c r="CO24" s="2126">
        <v>45841</v>
      </c>
      <c r="CP24" s="2129" t="s">
        <v>8915</v>
      </c>
      <c r="CQ24" s="2128">
        <v>11.1</v>
      </c>
      <c r="CR24" s="2128">
        <v>11.1</v>
      </c>
      <c r="CS24" s="2141">
        <v>45829</v>
      </c>
      <c r="CT24" s="2143" t="s">
        <v>8916</v>
      </c>
      <c r="CU24" s="2142">
        <v>14.59</v>
      </c>
      <c r="CV24" s="2128"/>
    </row>
    <row r="25" spans="1:100" ht="46.5">
      <c r="A25" s="1702">
        <v>37773</v>
      </c>
      <c r="B25" s="1703" t="s">
        <v>797</v>
      </c>
      <c r="C25" s="1704">
        <v>25</v>
      </c>
      <c r="D25" s="1705"/>
      <c r="E25" s="1702">
        <v>38143</v>
      </c>
      <c r="F25" s="1703" t="s">
        <v>772</v>
      </c>
      <c r="G25" s="1704">
        <v>20</v>
      </c>
      <c r="H25" s="1705"/>
      <c r="I25" s="1702">
        <v>38521</v>
      </c>
      <c r="J25" s="1703" t="s">
        <v>797</v>
      </c>
      <c r="K25" s="1704">
        <v>30</v>
      </c>
      <c r="L25" s="1705"/>
      <c r="M25" s="1702">
        <v>38884</v>
      </c>
      <c r="N25" s="1703" t="s">
        <v>8917</v>
      </c>
      <c r="O25" s="1704">
        <v>17</v>
      </c>
      <c r="P25" s="1705"/>
      <c r="Q25" s="1702">
        <v>39242</v>
      </c>
      <c r="R25" s="1703" t="s">
        <v>783</v>
      </c>
      <c r="S25" s="1704">
        <v>10</v>
      </c>
      <c r="T25" s="1705"/>
      <c r="U25" s="1702">
        <v>39611</v>
      </c>
      <c r="V25" s="1703" t="s">
        <v>802</v>
      </c>
      <c r="W25" s="1704">
        <v>56</v>
      </c>
      <c r="X25" s="1705"/>
      <c r="Y25" s="1702">
        <v>39977</v>
      </c>
      <c r="Z25" s="1703" t="s">
        <v>2054</v>
      </c>
      <c r="AA25" s="1704">
        <v>8</v>
      </c>
      <c r="AB25" s="1705"/>
      <c r="AC25" s="1702">
        <v>40341</v>
      </c>
      <c r="AD25" s="1703" t="s">
        <v>1237</v>
      </c>
      <c r="AE25" s="1704">
        <v>20</v>
      </c>
      <c r="AF25" s="1705"/>
      <c r="AG25" s="1702">
        <v>40712</v>
      </c>
      <c r="AH25" s="1703" t="s">
        <v>8918</v>
      </c>
      <c r="AI25" s="1704">
        <v>48</v>
      </c>
      <c r="AJ25" s="1705"/>
      <c r="AK25" s="1702">
        <v>41068</v>
      </c>
      <c r="AL25" s="1703" t="s">
        <v>8919</v>
      </c>
      <c r="AM25" s="1704">
        <v>250</v>
      </c>
      <c r="AN25" s="1705"/>
      <c r="AO25" s="1702">
        <v>41434</v>
      </c>
      <c r="AP25" s="1703" t="s">
        <v>802</v>
      </c>
      <c r="AQ25" s="1704">
        <v>50</v>
      </c>
      <c r="AR25" s="1705"/>
      <c r="AS25" s="1702">
        <v>41796</v>
      </c>
      <c r="AT25" s="1703" t="s">
        <v>954</v>
      </c>
      <c r="AU25" s="1704">
        <v>71</v>
      </c>
      <c r="AV25" s="1705"/>
      <c r="AW25" s="1702">
        <v>42161</v>
      </c>
      <c r="AX25" s="1703" t="s">
        <v>8920</v>
      </c>
      <c r="AY25" s="1704"/>
      <c r="AZ25" s="1705"/>
      <c r="BA25" s="1702">
        <v>42528</v>
      </c>
      <c r="BB25" s="1711" t="s">
        <v>954</v>
      </c>
      <c r="BC25" s="1704">
        <v>5</v>
      </c>
      <c r="BD25" s="1705"/>
      <c r="BE25" s="1702">
        <v>42888</v>
      </c>
      <c r="BF25" s="1711" t="s">
        <v>8921</v>
      </c>
      <c r="BG25" s="1704">
        <v>368</v>
      </c>
      <c r="BH25" s="1717"/>
      <c r="BI25" s="1702">
        <v>43253</v>
      </c>
      <c r="BJ25" s="1711" t="s">
        <v>8922</v>
      </c>
      <c r="BK25" s="1704">
        <v>70</v>
      </c>
      <c r="BL25" s="1705"/>
      <c r="BM25" s="1702"/>
      <c r="BN25" s="1711"/>
      <c r="BO25" s="1704"/>
      <c r="BP25" s="1705"/>
      <c r="BQ25" s="1702">
        <v>43624</v>
      </c>
      <c r="BR25" s="1711" t="s">
        <v>890</v>
      </c>
      <c r="BS25" s="1704">
        <v>5</v>
      </c>
      <c r="BT25" s="1710" t="s">
        <v>414</v>
      </c>
      <c r="BU25" s="1702">
        <v>43623</v>
      </c>
      <c r="BV25" s="1711" t="s">
        <v>8923</v>
      </c>
      <c r="BW25" s="1704">
        <v>28</v>
      </c>
      <c r="BX25" s="1710" t="s">
        <v>280</v>
      </c>
      <c r="BY25" s="1702">
        <v>44353</v>
      </c>
      <c r="BZ25" s="1711" t="s">
        <v>8924</v>
      </c>
      <c r="CA25" s="1704">
        <v>9</v>
      </c>
      <c r="CB25" s="1710" t="s">
        <v>280</v>
      </c>
      <c r="CC25" s="1702">
        <v>43617</v>
      </c>
      <c r="CD25" s="1711" t="s">
        <v>8925</v>
      </c>
      <c r="CE25" s="1704">
        <v>12</v>
      </c>
      <c r="CF25" s="1710" t="s">
        <v>414</v>
      </c>
      <c r="CG25" s="1702">
        <v>45078</v>
      </c>
      <c r="CH25" s="1711" t="s">
        <v>8926</v>
      </c>
      <c r="CI25" s="1704">
        <v>7</v>
      </c>
      <c r="CJ25" s="1710" t="s">
        <v>414</v>
      </c>
      <c r="CK25" s="1718">
        <v>45078</v>
      </c>
      <c r="CL25" s="1729" t="s">
        <v>698</v>
      </c>
      <c r="CM25" s="1725">
        <v>0</v>
      </c>
      <c r="CN25" s="1726">
        <f>CM25/$CM$15</f>
        <v>0</v>
      </c>
      <c r="CO25" s="2126">
        <v>45841</v>
      </c>
      <c r="CP25" s="2125" t="s">
        <v>8927</v>
      </c>
      <c r="CQ25" s="2128">
        <v>-491.5</v>
      </c>
      <c r="CR25" s="2128">
        <v>-491.5</v>
      </c>
      <c r="CS25" s="2141">
        <v>45828</v>
      </c>
      <c r="CT25" s="2143" t="s">
        <v>8928</v>
      </c>
      <c r="CU25" s="2142">
        <v>18.63</v>
      </c>
      <c r="CV25" s="2128"/>
    </row>
    <row r="26" spans="1:100" ht="46.5">
      <c r="A26" s="1702">
        <v>37774</v>
      </c>
      <c r="B26" s="1703" t="s">
        <v>8929</v>
      </c>
      <c r="C26" s="1704">
        <v>30</v>
      </c>
      <c r="D26" s="1705"/>
      <c r="E26" s="1702">
        <v>38143</v>
      </c>
      <c r="F26" s="1703" t="s">
        <v>2284</v>
      </c>
      <c r="G26" s="1704">
        <v>43</v>
      </c>
      <c r="H26" s="1705"/>
      <c r="I26" s="1702">
        <v>38521</v>
      </c>
      <c r="J26" s="1703" t="s">
        <v>772</v>
      </c>
      <c r="K26" s="1704">
        <v>105</v>
      </c>
      <c r="L26" s="1705"/>
      <c r="M26" s="1702">
        <v>38884</v>
      </c>
      <c r="N26" s="1703" t="s">
        <v>8930</v>
      </c>
      <c r="O26" s="1704">
        <v>18</v>
      </c>
      <c r="P26" s="1705"/>
      <c r="Q26" s="1702">
        <v>39242</v>
      </c>
      <c r="R26" s="1703" t="s">
        <v>8931</v>
      </c>
      <c r="S26" s="1704">
        <v>27</v>
      </c>
      <c r="T26" s="1705"/>
      <c r="U26" s="1702">
        <v>39611</v>
      </c>
      <c r="V26" s="1703" t="s">
        <v>8932</v>
      </c>
      <c r="W26" s="1704">
        <v>22</v>
      </c>
      <c r="X26" s="1705"/>
      <c r="Y26" s="1702">
        <v>39977</v>
      </c>
      <c r="Z26" s="1703" t="s">
        <v>1944</v>
      </c>
      <c r="AA26" s="1704">
        <v>3</v>
      </c>
      <c r="AB26" s="1705"/>
      <c r="AC26" s="1702">
        <v>40341</v>
      </c>
      <c r="AD26" s="1703" t="s">
        <v>8933</v>
      </c>
      <c r="AE26" s="1704">
        <v>10</v>
      </c>
      <c r="AF26" s="1705"/>
      <c r="AG26" s="1702">
        <v>40712</v>
      </c>
      <c r="AH26" s="1703" t="s">
        <v>8934</v>
      </c>
      <c r="AI26" s="1704">
        <v>0</v>
      </c>
      <c r="AJ26" s="1705"/>
      <c r="AK26" s="1702">
        <v>41069</v>
      </c>
      <c r="AL26" s="1703" t="s">
        <v>8935</v>
      </c>
      <c r="AM26" s="1704">
        <v>32</v>
      </c>
      <c r="AN26" s="1705"/>
      <c r="AO26" s="1702">
        <v>41434</v>
      </c>
      <c r="AP26" s="1703" t="s">
        <v>754</v>
      </c>
      <c r="AQ26" s="1704">
        <v>92</v>
      </c>
      <c r="AR26" s="1705"/>
      <c r="AS26" s="1702">
        <v>41796</v>
      </c>
      <c r="AT26" s="1703" t="s">
        <v>8936</v>
      </c>
      <c r="AU26" s="1704">
        <v>3</v>
      </c>
      <c r="AV26" s="1705"/>
      <c r="AW26" s="1702">
        <v>42162</v>
      </c>
      <c r="AX26" s="1703" t="s">
        <v>8937</v>
      </c>
      <c r="AY26" s="1704"/>
      <c r="AZ26" s="1705"/>
      <c r="BA26" s="1702">
        <v>42530</v>
      </c>
      <c r="BB26" s="1711" t="s">
        <v>8938</v>
      </c>
      <c r="BC26" s="1704">
        <v>53</v>
      </c>
      <c r="BD26" s="1705"/>
      <c r="BE26" s="1702">
        <v>42888</v>
      </c>
      <c r="BF26" s="1711" t="s">
        <v>8939</v>
      </c>
      <c r="BG26" s="1704">
        <v>100</v>
      </c>
      <c r="BH26" s="1717"/>
      <c r="BI26" s="1702">
        <v>43253</v>
      </c>
      <c r="BJ26" s="1711" t="s">
        <v>8940</v>
      </c>
      <c r="BK26" s="1704">
        <v>10</v>
      </c>
      <c r="BL26" s="1705"/>
      <c r="BM26" s="1702"/>
      <c r="BN26" s="1711"/>
      <c r="BO26" s="1704"/>
      <c r="BP26" s="1705"/>
      <c r="BQ26" s="1702">
        <v>43625</v>
      </c>
      <c r="BR26" s="1711" t="s">
        <v>8941</v>
      </c>
      <c r="BS26" s="1704">
        <v>15</v>
      </c>
      <c r="BT26" s="1710" t="s">
        <v>280</v>
      </c>
      <c r="BU26" s="1702">
        <v>43623</v>
      </c>
      <c r="BV26" s="1711" t="s">
        <v>8942</v>
      </c>
      <c r="BW26" s="1704">
        <v>7</v>
      </c>
      <c r="BX26" s="1710" t="s">
        <v>280</v>
      </c>
      <c r="BY26" s="1702">
        <v>44353</v>
      </c>
      <c r="BZ26" s="1711" t="s">
        <v>8943</v>
      </c>
      <c r="CA26" s="1704">
        <v>2</v>
      </c>
      <c r="CB26" s="1710" t="s">
        <v>280</v>
      </c>
      <c r="CC26" s="1702">
        <v>43617</v>
      </c>
      <c r="CD26" s="1711" t="s">
        <v>8944</v>
      </c>
      <c r="CE26" s="1704">
        <v>19</v>
      </c>
      <c r="CF26" s="1710" t="s">
        <v>414</v>
      </c>
      <c r="CG26" s="1702">
        <v>45078</v>
      </c>
      <c r="CH26" s="1711" t="s">
        <v>8945</v>
      </c>
      <c r="CI26" s="1704">
        <v>39</v>
      </c>
      <c r="CJ26" s="1710" t="s">
        <v>414</v>
      </c>
      <c r="CK26" s="1718">
        <v>45078</v>
      </c>
      <c r="CL26" s="1735" t="s">
        <v>381</v>
      </c>
      <c r="CM26" s="1725">
        <f>CM43</f>
        <v>35</v>
      </c>
      <c r="CN26" s="1726">
        <f>CM26/$CM$15</f>
        <v>7.0749949464321811E-3</v>
      </c>
      <c r="CO26" s="2126">
        <v>45841</v>
      </c>
      <c r="CP26" s="2129" t="s">
        <v>8915</v>
      </c>
      <c r="CQ26" s="2128">
        <v>-252.24</v>
      </c>
      <c r="CR26" s="2128">
        <v>-252.24</v>
      </c>
      <c r="CS26" s="2141">
        <v>45827</v>
      </c>
      <c r="CT26" s="2143" t="s">
        <v>8946</v>
      </c>
      <c r="CU26" s="2142">
        <v>21.31</v>
      </c>
      <c r="CV26" s="2128"/>
    </row>
    <row r="27" spans="1:100" ht="30.75">
      <c r="A27" s="1702">
        <v>37774</v>
      </c>
      <c r="B27" s="1703" t="s">
        <v>772</v>
      </c>
      <c r="C27" s="1704">
        <v>34</v>
      </c>
      <c r="D27" s="1705"/>
      <c r="E27" s="1702">
        <v>38143</v>
      </c>
      <c r="F27" s="1703" t="s">
        <v>8947</v>
      </c>
      <c r="G27" s="1704">
        <v>7</v>
      </c>
      <c r="H27" s="1705"/>
      <c r="I27" s="1702">
        <v>38521</v>
      </c>
      <c r="J27" s="1703" t="s">
        <v>1924</v>
      </c>
      <c r="K27" s="1704">
        <v>12</v>
      </c>
      <c r="L27" s="1705"/>
      <c r="M27" s="1702">
        <v>38885</v>
      </c>
      <c r="N27" s="1703" t="s">
        <v>8948</v>
      </c>
      <c r="O27" s="1704">
        <v>500</v>
      </c>
      <c r="P27" s="1705"/>
      <c r="Q27" s="1702">
        <v>39242</v>
      </c>
      <c r="R27" s="1703" t="s">
        <v>797</v>
      </c>
      <c r="S27" s="1704">
        <v>47</v>
      </c>
      <c r="T27" s="1705"/>
      <c r="U27" s="1702">
        <v>39611</v>
      </c>
      <c r="V27" s="1703" t="s">
        <v>8949</v>
      </c>
      <c r="W27" s="1704">
        <v>5</v>
      </c>
      <c r="X27" s="1705"/>
      <c r="Y27" s="1702">
        <v>39977</v>
      </c>
      <c r="Z27" s="1703" t="s">
        <v>8950</v>
      </c>
      <c r="AA27" s="1704">
        <v>15</v>
      </c>
      <c r="AB27" s="1705"/>
      <c r="AC27" s="1702">
        <v>40341</v>
      </c>
      <c r="AD27" s="1703" t="s">
        <v>748</v>
      </c>
      <c r="AE27" s="1704">
        <v>7</v>
      </c>
      <c r="AF27" s="1705"/>
      <c r="AG27" s="1702">
        <v>40712</v>
      </c>
      <c r="AH27" s="1703" t="s">
        <v>962</v>
      </c>
      <c r="AI27" s="1704">
        <v>25</v>
      </c>
      <c r="AJ27" s="1705"/>
      <c r="AK27" s="1702">
        <v>41069</v>
      </c>
      <c r="AL27" s="1703" t="s">
        <v>754</v>
      </c>
      <c r="AM27" s="1704">
        <v>160</v>
      </c>
      <c r="AN27" s="1705"/>
      <c r="AO27" s="1702">
        <v>41434</v>
      </c>
      <c r="AP27" s="1703" t="s">
        <v>954</v>
      </c>
      <c r="AQ27" s="1704">
        <v>62</v>
      </c>
      <c r="AR27" s="1705"/>
      <c r="AS27" s="1702">
        <v>41796</v>
      </c>
      <c r="AT27" s="1703" t="s">
        <v>5525</v>
      </c>
      <c r="AU27" s="1704">
        <v>29</v>
      </c>
      <c r="AV27" s="1705"/>
      <c r="AW27" s="1702">
        <v>42162</v>
      </c>
      <c r="AX27" s="1703" t="s">
        <v>954</v>
      </c>
      <c r="AY27" s="1704">
        <v>100</v>
      </c>
      <c r="AZ27" s="1705"/>
      <c r="BA27" s="1702">
        <v>42530</v>
      </c>
      <c r="BB27" s="1711" t="s">
        <v>802</v>
      </c>
      <c r="BC27" s="1704">
        <v>40</v>
      </c>
      <c r="BD27" s="1705"/>
      <c r="BE27" s="1702">
        <v>42888</v>
      </c>
      <c r="BF27" s="1711" t="s">
        <v>8951</v>
      </c>
      <c r="BG27" s="1704">
        <v>171</v>
      </c>
      <c r="BH27" s="1717"/>
      <c r="BI27" s="1702">
        <v>43253</v>
      </c>
      <c r="BJ27" s="1711" t="s">
        <v>8952</v>
      </c>
      <c r="BK27" s="1704">
        <v>20</v>
      </c>
      <c r="BL27" s="1705"/>
      <c r="BM27" s="1702"/>
      <c r="BN27" s="1711"/>
      <c r="BO27" s="1704"/>
      <c r="BP27" s="1705"/>
      <c r="BQ27" s="1702">
        <v>43625</v>
      </c>
      <c r="BR27" s="1711" t="s">
        <v>8953</v>
      </c>
      <c r="BS27" s="1704">
        <v>12</v>
      </c>
      <c r="BT27" s="1710" t="s">
        <v>280</v>
      </c>
      <c r="BU27" s="1702">
        <v>43992</v>
      </c>
      <c r="BV27" s="1711" t="s">
        <v>8954</v>
      </c>
      <c r="BW27" s="1704"/>
      <c r="BX27" s="1710"/>
      <c r="BY27" s="1702">
        <v>44353</v>
      </c>
      <c r="BZ27" s="1711" t="s">
        <v>8955</v>
      </c>
      <c r="CA27" s="1704">
        <v>8</v>
      </c>
      <c r="CB27" s="1710" t="s">
        <v>280</v>
      </c>
      <c r="CC27" s="1702">
        <v>43617</v>
      </c>
      <c r="CD27" s="1711" t="s">
        <v>8956</v>
      </c>
      <c r="CE27" s="1704">
        <v>8</v>
      </c>
      <c r="CF27" s="1710" t="s">
        <v>414</v>
      </c>
      <c r="CG27" s="1702">
        <v>45078</v>
      </c>
      <c r="CH27" s="1711" t="s">
        <v>1005</v>
      </c>
      <c r="CI27" s="1704">
        <v>15</v>
      </c>
      <c r="CJ27" s="1710" t="s">
        <v>414</v>
      </c>
      <c r="CK27" s="1718">
        <v>45078</v>
      </c>
      <c r="CL27" s="1735" t="s">
        <v>5186</v>
      </c>
      <c r="CM27" s="1725">
        <v>450</v>
      </c>
      <c r="CN27" s="1726">
        <f>CM27/$CM$15</f>
        <v>9.0964220739842325E-2</v>
      </c>
      <c r="CO27" s="2126">
        <v>45841</v>
      </c>
      <c r="CP27" s="2125" t="s">
        <v>8957</v>
      </c>
      <c r="CQ27" s="2128">
        <v>-106.94</v>
      </c>
      <c r="CR27" s="2128">
        <v>-106.94</v>
      </c>
      <c r="CS27" s="2141">
        <v>45826</v>
      </c>
      <c r="CT27" s="2143" t="s">
        <v>8958</v>
      </c>
      <c r="CU27" s="2142">
        <v>50</v>
      </c>
      <c r="CV27" s="2128"/>
    </row>
    <row r="28" spans="1:100" ht="30.75">
      <c r="A28" s="1702">
        <v>37774</v>
      </c>
      <c r="B28" s="1703" t="s">
        <v>8959</v>
      </c>
      <c r="C28" s="1704">
        <v>8</v>
      </c>
      <c r="D28" s="1705"/>
      <c r="E28" s="1702">
        <v>38143</v>
      </c>
      <c r="F28" s="1703" t="s">
        <v>8960</v>
      </c>
      <c r="G28" s="1704">
        <v>300</v>
      </c>
      <c r="H28" s="1705"/>
      <c r="I28" s="1702">
        <v>38522</v>
      </c>
      <c r="J28" s="1703" t="s">
        <v>8961</v>
      </c>
      <c r="K28" s="1704">
        <v>25</v>
      </c>
      <c r="L28" s="1705"/>
      <c r="M28" s="1702">
        <v>38887</v>
      </c>
      <c r="N28" s="1703" t="s">
        <v>8962</v>
      </c>
      <c r="O28" s="1704">
        <v>3</v>
      </c>
      <c r="P28" s="1705"/>
      <c r="Q28" s="1702">
        <v>39242</v>
      </c>
      <c r="R28" s="1703" t="s">
        <v>8963</v>
      </c>
      <c r="S28" s="1704">
        <v>4</v>
      </c>
      <c r="T28" s="1705"/>
      <c r="U28" s="1702">
        <v>39611</v>
      </c>
      <c r="V28" s="1703" t="s">
        <v>8964</v>
      </c>
      <c r="W28" s="1704">
        <v>42</v>
      </c>
      <c r="X28" s="1705"/>
      <c r="Y28" s="1702">
        <v>39978</v>
      </c>
      <c r="Z28" s="1703" t="s">
        <v>797</v>
      </c>
      <c r="AA28" s="1704">
        <v>41</v>
      </c>
      <c r="AB28" s="1705"/>
      <c r="AC28" s="1702">
        <v>40342</v>
      </c>
      <c r="AD28" s="1703" t="s">
        <v>781</v>
      </c>
      <c r="AE28" s="1704">
        <v>72</v>
      </c>
      <c r="AF28" s="1705"/>
      <c r="AG28" s="1702">
        <v>40712</v>
      </c>
      <c r="AH28" s="1703" t="s">
        <v>1130</v>
      </c>
      <c r="AI28" s="1704">
        <v>7</v>
      </c>
      <c r="AJ28" s="1705"/>
      <c r="AK28" s="1702">
        <v>41070</v>
      </c>
      <c r="AL28" s="1703" t="s">
        <v>8965</v>
      </c>
      <c r="AM28" s="1704">
        <v>249</v>
      </c>
      <c r="AN28" s="1705"/>
      <c r="AO28" s="1702">
        <v>41434</v>
      </c>
      <c r="AP28" s="1703" t="s">
        <v>797</v>
      </c>
      <c r="AQ28" s="1704">
        <v>63</v>
      </c>
      <c r="AR28" s="1705"/>
      <c r="AS28" s="1702">
        <v>41797</v>
      </c>
      <c r="AT28" s="1703" t="s">
        <v>8966</v>
      </c>
      <c r="AU28" s="1704">
        <v>25</v>
      </c>
      <c r="AV28" s="1705"/>
      <c r="AW28" s="1702">
        <v>42162</v>
      </c>
      <c r="AX28" s="1703" t="s">
        <v>8967</v>
      </c>
      <c r="AY28" s="1704">
        <v>8</v>
      </c>
      <c r="AZ28" s="1705"/>
      <c r="BA28" s="1702">
        <v>42532</v>
      </c>
      <c r="BB28" s="1711" t="s">
        <v>8968</v>
      </c>
      <c r="BC28" s="1704">
        <v>0</v>
      </c>
      <c r="BD28" s="1705"/>
      <c r="BE28" s="1702">
        <v>42889</v>
      </c>
      <c r="BF28" s="1711" t="s">
        <v>8969</v>
      </c>
      <c r="BG28" s="1704">
        <v>10</v>
      </c>
      <c r="BH28" s="1705"/>
      <c r="BI28" s="1702">
        <v>43253</v>
      </c>
      <c r="BJ28" s="1711" t="s">
        <v>8970</v>
      </c>
      <c r="BK28" s="1704">
        <v>20</v>
      </c>
      <c r="BL28" s="1705"/>
      <c r="BM28" s="1702"/>
      <c r="BN28" s="1711"/>
      <c r="BO28" s="1704"/>
      <c r="BP28" s="1705"/>
      <c r="BQ28" s="1702">
        <v>43625</v>
      </c>
      <c r="BR28" s="1711" t="s">
        <v>8971</v>
      </c>
      <c r="BS28" s="1704">
        <v>20</v>
      </c>
      <c r="BT28" s="1710" t="s">
        <v>280</v>
      </c>
      <c r="BU28" s="1702">
        <v>43992</v>
      </c>
      <c r="BV28" s="1711" t="s">
        <v>8972</v>
      </c>
      <c r="BW28" s="1704">
        <v>7</v>
      </c>
      <c r="BX28" s="1710" t="s">
        <v>284</v>
      </c>
      <c r="BY28" s="1702">
        <v>44353</v>
      </c>
      <c r="BZ28" s="1711" t="s">
        <v>8973</v>
      </c>
      <c r="CA28" s="1704">
        <v>60</v>
      </c>
      <c r="CB28" s="1710" t="s">
        <v>280</v>
      </c>
      <c r="CC28" s="1702">
        <v>43617</v>
      </c>
      <c r="CD28" s="1711" t="s">
        <v>8974</v>
      </c>
      <c r="CE28" s="1704">
        <v>33</v>
      </c>
      <c r="CF28" s="1710" t="s">
        <v>414</v>
      </c>
      <c r="CG28" s="1702">
        <v>45078</v>
      </c>
      <c r="CH28" s="1711" t="s">
        <v>8975</v>
      </c>
      <c r="CI28" s="1704">
        <v>5</v>
      </c>
      <c r="CJ28" s="1710" t="s">
        <v>280</v>
      </c>
      <c r="CK28" s="1718">
        <v>45078</v>
      </c>
      <c r="CL28" s="1727" t="s">
        <v>280</v>
      </c>
      <c r="CM28" s="1737">
        <f>CM51</f>
        <v>61</v>
      </c>
      <c r="CN28" s="1726">
        <f>CM28/$CM$15</f>
        <v>1.2330705478067515E-2</v>
      </c>
      <c r="CO28" s="2126">
        <v>45840</v>
      </c>
      <c r="CP28" s="2125" t="s">
        <v>4103</v>
      </c>
      <c r="CQ28" s="2128">
        <v>-110.78</v>
      </c>
      <c r="CR28" s="2128">
        <v>-110.78</v>
      </c>
      <c r="CS28" s="2141">
        <v>45825</v>
      </c>
      <c r="CT28" s="2143" t="s">
        <v>8976</v>
      </c>
      <c r="CU28" s="2142">
        <v>10.9</v>
      </c>
      <c r="CV28" s="2128"/>
    </row>
    <row r="29" spans="1:100" ht="46.5">
      <c r="A29" s="1702">
        <v>37778</v>
      </c>
      <c r="B29" s="1703" t="s">
        <v>8977</v>
      </c>
      <c r="C29" s="1704"/>
      <c r="D29" s="1705">
        <v>113</v>
      </c>
      <c r="E29" s="1702">
        <v>38143</v>
      </c>
      <c r="F29" s="1703" t="s">
        <v>8978</v>
      </c>
      <c r="G29" s="1704">
        <v>18</v>
      </c>
      <c r="H29" s="1705"/>
      <c r="I29" s="1702">
        <v>38522</v>
      </c>
      <c r="J29" s="1703" t="s">
        <v>2580</v>
      </c>
      <c r="K29" s="1704">
        <v>26</v>
      </c>
      <c r="L29" s="1705"/>
      <c r="M29" s="1702">
        <v>38889</v>
      </c>
      <c r="N29" s="1703" t="s">
        <v>3384</v>
      </c>
      <c r="O29" s="1704">
        <v>34</v>
      </c>
      <c r="P29" s="1705"/>
      <c r="Q29" s="1702">
        <v>39242</v>
      </c>
      <c r="R29" s="1703" t="s">
        <v>787</v>
      </c>
      <c r="S29" s="1704">
        <v>21</v>
      </c>
      <c r="T29" s="1705"/>
      <c r="U29" s="1702">
        <v>39613</v>
      </c>
      <c r="V29" s="1703" t="s">
        <v>8979</v>
      </c>
      <c r="W29" s="1704">
        <v>22</v>
      </c>
      <c r="X29" s="1705"/>
      <c r="Y29" s="1702">
        <v>39981</v>
      </c>
      <c r="Z29" s="1703" t="s">
        <v>890</v>
      </c>
      <c r="AA29" s="1704">
        <v>60</v>
      </c>
      <c r="AB29" s="1705"/>
      <c r="AC29" s="1702">
        <v>40343</v>
      </c>
      <c r="AD29" s="1703" t="s">
        <v>8980</v>
      </c>
      <c r="AE29" s="1704">
        <v>51</v>
      </c>
      <c r="AF29" s="1705"/>
      <c r="AG29" s="1702">
        <v>40712</v>
      </c>
      <c r="AH29" s="1703" t="s">
        <v>8981</v>
      </c>
      <c r="AI29" s="1704">
        <v>80</v>
      </c>
      <c r="AJ29" s="1705"/>
      <c r="AK29" s="1702">
        <v>41072</v>
      </c>
      <c r="AL29" s="1703" t="s">
        <v>8982</v>
      </c>
      <c r="AM29" s="1704">
        <v>30</v>
      </c>
      <c r="AN29" s="1705"/>
      <c r="AO29" s="1702">
        <v>41435</v>
      </c>
      <c r="AP29" s="1703" t="s">
        <v>8897</v>
      </c>
      <c r="AQ29" s="1704">
        <v>242</v>
      </c>
      <c r="AR29" s="1705"/>
      <c r="AS29" s="1702">
        <v>41797</v>
      </c>
      <c r="AT29" s="1703" t="s">
        <v>8983</v>
      </c>
      <c r="AU29" s="1704">
        <v>7</v>
      </c>
      <c r="AV29" s="1705"/>
      <c r="AW29" s="1702">
        <v>42162</v>
      </c>
      <c r="AX29" s="1703" t="s">
        <v>797</v>
      </c>
      <c r="AY29" s="1704">
        <v>49</v>
      </c>
      <c r="AZ29" s="1705"/>
      <c r="BA29" s="1702">
        <v>42532</v>
      </c>
      <c r="BB29" s="1711" t="s">
        <v>8984</v>
      </c>
      <c r="BC29" s="1704">
        <v>20</v>
      </c>
      <c r="BD29" s="1705"/>
      <c r="BE29" s="1702">
        <v>42889</v>
      </c>
      <c r="BF29" s="1711" t="s">
        <v>8939</v>
      </c>
      <c r="BG29" s="1704">
        <v>100</v>
      </c>
      <c r="BH29" s="1705"/>
      <c r="BI29" s="1702">
        <v>43254</v>
      </c>
      <c r="BJ29" s="1711" t="s">
        <v>823</v>
      </c>
      <c r="BK29" s="1704">
        <v>15</v>
      </c>
      <c r="BL29" s="1705"/>
      <c r="BM29" s="1702"/>
      <c r="BN29" s="1711"/>
      <c r="BO29" s="1704"/>
      <c r="BP29" s="1705"/>
      <c r="BQ29" s="1702">
        <v>43625</v>
      </c>
      <c r="BR29" s="1711" t="s">
        <v>8985</v>
      </c>
      <c r="BS29" s="1704">
        <v>14</v>
      </c>
      <c r="BT29" s="1710" t="s">
        <v>702</v>
      </c>
      <c r="BU29" s="1702">
        <v>43993</v>
      </c>
      <c r="BV29" s="1711" t="s">
        <v>1873</v>
      </c>
      <c r="BW29" s="1704">
        <v>60</v>
      </c>
      <c r="BX29" s="1710" t="s">
        <v>414</v>
      </c>
      <c r="BY29" s="1702">
        <v>44355</v>
      </c>
      <c r="BZ29" s="1736" t="s">
        <v>8986</v>
      </c>
      <c r="CA29" s="1704">
        <v>177</v>
      </c>
      <c r="CB29" s="1710" t="s">
        <v>701</v>
      </c>
      <c r="CC29" s="1702">
        <v>43617</v>
      </c>
      <c r="CD29" s="1711" t="s">
        <v>8987</v>
      </c>
      <c r="CE29" s="1704">
        <v>6</v>
      </c>
      <c r="CF29" s="1710" t="s">
        <v>414</v>
      </c>
      <c r="CG29" s="1702">
        <v>45078</v>
      </c>
      <c r="CH29" s="1711" t="s">
        <v>8988</v>
      </c>
      <c r="CI29" s="1704">
        <v>88</v>
      </c>
      <c r="CJ29" s="1710" t="s">
        <v>280</v>
      </c>
      <c r="CK29" s="1702">
        <v>45447</v>
      </c>
      <c r="CL29" s="1711" t="s">
        <v>8989</v>
      </c>
      <c r="CM29" s="1704">
        <v>20</v>
      </c>
      <c r="CN29" s="1710" t="s">
        <v>280</v>
      </c>
      <c r="CO29" s="2126">
        <v>45840</v>
      </c>
      <c r="CP29" s="2129" t="s">
        <v>8990</v>
      </c>
      <c r="CQ29" s="2128">
        <v>-21.41</v>
      </c>
      <c r="CR29" s="2128">
        <v>-21.41</v>
      </c>
      <c r="CS29" s="2141">
        <v>45822</v>
      </c>
      <c r="CT29" s="2143" t="s">
        <v>8991</v>
      </c>
      <c r="CU29" s="2142">
        <v>8.14</v>
      </c>
      <c r="CV29" s="2128"/>
    </row>
    <row r="30" spans="1:100" ht="30.75">
      <c r="A30" s="1702">
        <v>37778</v>
      </c>
      <c r="B30" s="1703" t="s">
        <v>8992</v>
      </c>
      <c r="C30" s="1704"/>
      <c r="D30" s="1705">
        <v>18</v>
      </c>
      <c r="E30" s="1702">
        <v>38143</v>
      </c>
      <c r="F30" s="1703" t="s">
        <v>797</v>
      </c>
      <c r="G30" s="1704">
        <v>37</v>
      </c>
      <c r="H30" s="1705"/>
      <c r="I30" s="1702">
        <v>38522</v>
      </c>
      <c r="J30" s="1703" t="s">
        <v>8993</v>
      </c>
      <c r="K30" s="1704">
        <v>0</v>
      </c>
      <c r="L30" s="1705"/>
      <c r="M30" s="1702">
        <v>38889</v>
      </c>
      <c r="N30" s="1703" t="s">
        <v>8994</v>
      </c>
      <c r="O30" s="1704">
        <v>7</v>
      </c>
      <c r="P30" s="1705"/>
      <c r="Q30" s="1702">
        <v>39242</v>
      </c>
      <c r="R30" s="1703" t="s">
        <v>8995</v>
      </c>
      <c r="S30" s="1704">
        <v>78</v>
      </c>
      <c r="T30" s="1705"/>
      <c r="U30" s="1702">
        <v>39613</v>
      </c>
      <c r="V30" s="1703" t="s">
        <v>6565</v>
      </c>
      <c r="W30" s="1704">
        <v>0</v>
      </c>
      <c r="X30" s="1705"/>
      <c r="Y30" s="1702">
        <v>39981</v>
      </c>
      <c r="Z30" s="1703" t="s">
        <v>8996</v>
      </c>
      <c r="AA30" s="1704">
        <v>100</v>
      </c>
      <c r="AB30" s="1705"/>
      <c r="AC30" s="1702">
        <v>40343</v>
      </c>
      <c r="AD30" s="1703" t="s">
        <v>797</v>
      </c>
      <c r="AE30" s="1704">
        <v>45</v>
      </c>
      <c r="AF30" s="1705"/>
      <c r="AG30" s="1702">
        <v>40712</v>
      </c>
      <c r="AH30" s="1703" t="s">
        <v>8997</v>
      </c>
      <c r="AI30" s="1704">
        <v>50</v>
      </c>
      <c r="AJ30" s="1705"/>
      <c r="AK30" s="1702">
        <v>41072</v>
      </c>
      <c r="AL30" s="1703" t="s">
        <v>797</v>
      </c>
      <c r="AM30" s="1704">
        <v>60</v>
      </c>
      <c r="AN30" s="1705"/>
      <c r="AO30" s="1702">
        <v>41436</v>
      </c>
      <c r="AP30" s="1703" t="s">
        <v>8998</v>
      </c>
      <c r="AQ30" s="1704">
        <v>29</v>
      </c>
      <c r="AR30" s="1705"/>
      <c r="AS30" s="1702">
        <v>41797</v>
      </c>
      <c r="AT30" s="1703" t="s">
        <v>797</v>
      </c>
      <c r="AU30" s="1704">
        <v>65</v>
      </c>
      <c r="AV30" s="1705"/>
      <c r="AW30" s="1702">
        <v>42163</v>
      </c>
      <c r="AX30" s="1703" t="s">
        <v>8999</v>
      </c>
      <c r="AY30" s="1704">
        <v>25</v>
      </c>
      <c r="AZ30" s="1705"/>
      <c r="BA30" s="1702">
        <v>42533</v>
      </c>
      <c r="BB30" s="1711" t="s">
        <v>9000</v>
      </c>
      <c r="BC30" s="1704">
        <v>38</v>
      </c>
      <c r="BD30" s="1705"/>
      <c r="BE30" s="1702">
        <v>42891</v>
      </c>
      <c r="BF30" s="1711" t="s">
        <v>9001</v>
      </c>
      <c r="BG30" s="1704">
        <v>16</v>
      </c>
      <c r="BH30" s="1705"/>
      <c r="BI30" s="1702">
        <v>43254</v>
      </c>
      <c r="BJ30" s="1711" t="s">
        <v>890</v>
      </c>
      <c r="BK30" s="1704">
        <v>13</v>
      </c>
      <c r="BL30" s="1705"/>
      <c r="BM30" s="1702"/>
      <c r="BN30" s="1711"/>
      <c r="BO30" s="1704"/>
      <c r="BP30" s="1705"/>
      <c r="BQ30" s="1702">
        <v>43625</v>
      </c>
      <c r="BR30" s="1711" t="s">
        <v>9002</v>
      </c>
      <c r="BS30" s="1704">
        <v>0</v>
      </c>
      <c r="BT30" s="1710" t="s">
        <v>700</v>
      </c>
      <c r="BU30" s="1702">
        <v>43993</v>
      </c>
      <c r="BV30" s="1711" t="s">
        <v>8887</v>
      </c>
      <c r="BW30" s="1704">
        <v>56</v>
      </c>
      <c r="BX30" s="1710" t="s">
        <v>414</v>
      </c>
      <c r="BY30" s="1702">
        <v>44355</v>
      </c>
      <c r="BZ30" s="1711" t="s">
        <v>845</v>
      </c>
      <c r="CA30" s="1704">
        <v>49</v>
      </c>
      <c r="CB30" s="1710" t="s">
        <v>414</v>
      </c>
      <c r="CC30" s="1702">
        <v>43617</v>
      </c>
      <c r="CD30" s="1711" t="s">
        <v>9003</v>
      </c>
      <c r="CE30" s="1704">
        <v>57</v>
      </c>
      <c r="CF30" s="1710" t="s">
        <v>414</v>
      </c>
      <c r="CG30" s="1702">
        <v>45080</v>
      </c>
      <c r="CH30" s="1711" t="s">
        <v>9004</v>
      </c>
      <c r="CI30" s="1704">
        <v>12</v>
      </c>
      <c r="CJ30" s="1710" t="s">
        <v>410</v>
      </c>
      <c r="CK30" s="1702">
        <v>45447</v>
      </c>
      <c r="CL30" s="1711" t="s">
        <v>7776</v>
      </c>
      <c r="CM30" s="1704">
        <v>20</v>
      </c>
      <c r="CN30" s="1710" t="s">
        <v>700</v>
      </c>
      <c r="CO30" s="2126">
        <v>45840</v>
      </c>
      <c r="CP30" s="2125" t="s">
        <v>9005</v>
      </c>
      <c r="CQ30" s="2128">
        <v>-450</v>
      </c>
      <c r="CR30" s="2128">
        <v>-450</v>
      </c>
      <c r="CS30" s="2141">
        <v>45819</v>
      </c>
      <c r="CT30" s="2143" t="s">
        <v>9006</v>
      </c>
      <c r="CU30" s="2142">
        <v>8.7200000000000006</v>
      </c>
      <c r="CV30" s="2128"/>
    </row>
    <row r="31" spans="1:100" ht="30.75">
      <c r="A31" s="1702">
        <v>37778</v>
      </c>
      <c r="B31" s="1703" t="s">
        <v>9007</v>
      </c>
      <c r="C31" s="1704">
        <v>12</v>
      </c>
      <c r="D31" s="1705"/>
      <c r="E31" s="1702">
        <v>38146</v>
      </c>
      <c r="F31" s="1703" t="s">
        <v>9008</v>
      </c>
      <c r="G31" s="1704">
        <v>51</v>
      </c>
      <c r="H31" s="1705"/>
      <c r="I31" s="1702">
        <v>38522</v>
      </c>
      <c r="J31" s="1703" t="s">
        <v>937</v>
      </c>
      <c r="K31" s="1704">
        <v>32</v>
      </c>
      <c r="L31" s="1705"/>
      <c r="M31" s="1702">
        <v>38889</v>
      </c>
      <c r="N31" s="1703" t="s">
        <v>787</v>
      </c>
      <c r="O31" s="1704">
        <v>19</v>
      </c>
      <c r="P31" s="1705"/>
      <c r="Q31" s="1702">
        <v>39250</v>
      </c>
      <c r="R31" s="1703" t="s">
        <v>8931</v>
      </c>
      <c r="S31" s="1704">
        <v>14</v>
      </c>
      <c r="T31" s="1705"/>
      <c r="U31" s="1702">
        <v>39613</v>
      </c>
      <c r="V31" s="1703" t="s">
        <v>1352</v>
      </c>
      <c r="W31" s="1704">
        <v>26</v>
      </c>
      <c r="X31" s="1705"/>
      <c r="Y31" s="1702">
        <v>39983</v>
      </c>
      <c r="Z31" s="1703" t="s">
        <v>9009</v>
      </c>
      <c r="AA31" s="1704">
        <v>11</v>
      </c>
      <c r="AB31" s="1705"/>
      <c r="AC31" s="1702">
        <v>40343</v>
      </c>
      <c r="AD31" s="1703" t="s">
        <v>802</v>
      </c>
      <c r="AE31" s="1704">
        <v>30</v>
      </c>
      <c r="AF31" s="1705"/>
      <c r="AG31" s="1702">
        <v>40713</v>
      </c>
      <c r="AH31" s="1703" t="s">
        <v>772</v>
      </c>
      <c r="AI31" s="1704">
        <v>52</v>
      </c>
      <c r="AJ31" s="1705"/>
      <c r="AK31" s="1702">
        <v>41074</v>
      </c>
      <c r="AL31" s="1703" t="s">
        <v>754</v>
      </c>
      <c r="AM31" s="1704">
        <v>70</v>
      </c>
      <c r="AN31" s="1705"/>
      <c r="AO31" s="1702">
        <v>41438</v>
      </c>
      <c r="AP31" s="1703" t="s">
        <v>867</v>
      </c>
      <c r="AQ31" s="1704">
        <v>60</v>
      </c>
      <c r="AR31" s="1705"/>
      <c r="AS31" s="1702">
        <v>41799</v>
      </c>
      <c r="AT31" s="1703" t="s">
        <v>6369</v>
      </c>
      <c r="AU31" s="1704">
        <v>17</v>
      </c>
      <c r="AV31" s="1705"/>
      <c r="AW31" s="1702">
        <v>42166</v>
      </c>
      <c r="AX31" s="1703" t="s">
        <v>781</v>
      </c>
      <c r="AY31" s="1704">
        <v>56</v>
      </c>
      <c r="AZ31" s="1705"/>
      <c r="BA31" s="1702">
        <v>42533</v>
      </c>
      <c r="BB31" s="1711" t="s">
        <v>954</v>
      </c>
      <c r="BC31" s="1704">
        <v>47</v>
      </c>
      <c r="BD31" s="1705"/>
      <c r="BE31" s="1702">
        <v>42891</v>
      </c>
      <c r="BF31" s="1711" t="s">
        <v>9010</v>
      </c>
      <c r="BG31" s="1704">
        <v>21</v>
      </c>
      <c r="BH31" s="1705"/>
      <c r="BI31" s="1702">
        <v>43254</v>
      </c>
      <c r="BJ31" s="1711" t="s">
        <v>873</v>
      </c>
      <c r="BK31" s="1704">
        <v>9</v>
      </c>
      <c r="BL31" s="1705"/>
      <c r="BM31" s="1702"/>
      <c r="BN31" s="1711"/>
      <c r="BO31" s="1704"/>
      <c r="BP31" s="1705"/>
      <c r="BQ31" s="1702">
        <v>43626</v>
      </c>
      <c r="BR31" s="1711" t="s">
        <v>9011</v>
      </c>
      <c r="BS31" s="1704">
        <v>50</v>
      </c>
      <c r="BT31" s="1710" t="s">
        <v>280</v>
      </c>
      <c r="BU31" s="1702">
        <v>43993</v>
      </c>
      <c r="BV31" s="1711" t="s">
        <v>1873</v>
      </c>
      <c r="BW31" s="1704">
        <v>0</v>
      </c>
      <c r="BX31" s="1710" t="s">
        <v>414</v>
      </c>
      <c r="BY31" s="1702">
        <v>44355</v>
      </c>
      <c r="BZ31" s="1711" t="s">
        <v>9012</v>
      </c>
      <c r="CA31" s="1704">
        <v>51</v>
      </c>
      <c r="CB31" s="1710" t="s">
        <v>426</v>
      </c>
      <c r="CC31" s="1702">
        <v>43617</v>
      </c>
      <c r="CD31" s="1711" t="s">
        <v>9013</v>
      </c>
      <c r="CE31" s="1704">
        <v>9</v>
      </c>
      <c r="CF31" s="1710" t="s">
        <v>414</v>
      </c>
      <c r="CG31" s="1702">
        <v>45080</v>
      </c>
      <c r="CH31" s="1711" t="s">
        <v>979</v>
      </c>
      <c r="CI31" s="1704">
        <v>240</v>
      </c>
      <c r="CJ31" s="1710" t="s">
        <v>410</v>
      </c>
      <c r="CK31" s="1702">
        <v>45447</v>
      </c>
      <c r="CL31" s="1711" t="s">
        <v>9014</v>
      </c>
      <c r="CM31" s="1704">
        <v>20</v>
      </c>
      <c r="CN31" s="1710" t="s">
        <v>280</v>
      </c>
      <c r="CO31" s="2126">
        <v>45840</v>
      </c>
      <c r="CP31" s="2125" t="s">
        <v>3889</v>
      </c>
      <c r="CQ31" s="2128">
        <v>-36</v>
      </c>
      <c r="CR31" s="2128">
        <v>-36</v>
      </c>
      <c r="CS31" s="2141">
        <v>45817</v>
      </c>
      <c r="CT31" s="2143" t="s">
        <v>5442</v>
      </c>
      <c r="CU31" s="2142">
        <v>6.65</v>
      </c>
      <c r="CV31" s="2128"/>
    </row>
    <row r="32" spans="1:100" ht="30.75">
      <c r="A32" s="1702">
        <v>37779</v>
      </c>
      <c r="B32" s="1703" t="s">
        <v>410</v>
      </c>
      <c r="C32" s="1704">
        <v>27</v>
      </c>
      <c r="D32" s="1705"/>
      <c r="E32" s="1702">
        <v>38147</v>
      </c>
      <c r="F32" s="1703" t="s">
        <v>9015</v>
      </c>
      <c r="G32" s="1704">
        <v>0</v>
      </c>
      <c r="H32" s="1705"/>
      <c r="I32" s="1702">
        <v>38523</v>
      </c>
      <c r="J32" s="1703" t="s">
        <v>802</v>
      </c>
      <c r="K32" s="1704">
        <v>28</v>
      </c>
      <c r="L32" s="1705"/>
      <c r="M32" s="1702">
        <v>38890</v>
      </c>
      <c r="N32" s="1703" t="s">
        <v>9016</v>
      </c>
      <c r="O32" s="1704">
        <v>13</v>
      </c>
      <c r="P32" s="1705"/>
      <c r="Q32" s="1702">
        <v>39250</v>
      </c>
      <c r="R32" s="1703" t="s">
        <v>937</v>
      </c>
      <c r="S32" s="1704">
        <v>23</v>
      </c>
      <c r="T32" s="1705"/>
      <c r="U32" s="1702">
        <v>39613</v>
      </c>
      <c r="V32" s="1703" t="s">
        <v>783</v>
      </c>
      <c r="W32" s="1704">
        <v>34</v>
      </c>
      <c r="X32" s="1705"/>
      <c r="Y32" s="1702">
        <v>39984</v>
      </c>
      <c r="Z32" s="1703" t="s">
        <v>781</v>
      </c>
      <c r="AA32" s="1704">
        <v>97</v>
      </c>
      <c r="AB32" s="1705"/>
      <c r="AC32" s="1702">
        <v>40344</v>
      </c>
      <c r="AD32" s="1703" t="s">
        <v>1052</v>
      </c>
      <c r="AE32" s="1704">
        <v>19</v>
      </c>
      <c r="AF32" s="1705"/>
      <c r="AG32" s="1702">
        <v>40713</v>
      </c>
      <c r="AH32" s="1703" t="s">
        <v>797</v>
      </c>
      <c r="AI32" s="1704">
        <v>67</v>
      </c>
      <c r="AJ32" s="1705"/>
      <c r="AK32" s="1702">
        <v>41074</v>
      </c>
      <c r="AL32" s="1703" t="s">
        <v>9017</v>
      </c>
      <c r="AM32" s="1704">
        <v>10</v>
      </c>
      <c r="AN32" s="1705"/>
      <c r="AO32" s="1702">
        <v>41438</v>
      </c>
      <c r="AP32" s="1703" t="s">
        <v>9018</v>
      </c>
      <c r="AQ32" s="1704">
        <v>1076</v>
      </c>
      <c r="AR32" s="1705"/>
      <c r="AS32" s="1702">
        <v>41799</v>
      </c>
      <c r="AT32" s="1703" t="s">
        <v>772</v>
      </c>
      <c r="AU32" s="1704">
        <v>12</v>
      </c>
      <c r="AV32" s="1705"/>
      <c r="AW32" s="1702">
        <v>42166</v>
      </c>
      <c r="AX32" s="1703" t="s">
        <v>9019</v>
      </c>
      <c r="AY32" s="1704">
        <v>8</v>
      </c>
      <c r="AZ32" s="1705"/>
      <c r="BA32" s="1702">
        <v>42533</v>
      </c>
      <c r="BB32" s="1711" t="s">
        <v>965</v>
      </c>
      <c r="BC32" s="1704">
        <v>10</v>
      </c>
      <c r="BD32" s="1705"/>
      <c r="BE32" s="1702">
        <v>42891</v>
      </c>
      <c r="BF32" s="1711" t="s">
        <v>1052</v>
      </c>
      <c r="BG32" s="1704">
        <v>21</v>
      </c>
      <c r="BH32" s="1705"/>
      <c r="BI32" s="1702">
        <v>43258</v>
      </c>
      <c r="BJ32" s="1711" t="s">
        <v>890</v>
      </c>
      <c r="BK32" s="1704">
        <v>6</v>
      </c>
      <c r="BL32" s="1705"/>
      <c r="BM32" s="1702"/>
      <c r="BN32" s="1711"/>
      <c r="BO32" s="1704"/>
      <c r="BP32" s="1705"/>
      <c r="BQ32" s="1702">
        <v>43626</v>
      </c>
      <c r="BR32" s="1711" t="s">
        <v>9020</v>
      </c>
      <c r="BS32" s="1704">
        <v>50</v>
      </c>
      <c r="BT32" s="1710" t="s">
        <v>700</v>
      </c>
      <c r="BU32" s="1702">
        <v>43994</v>
      </c>
      <c r="BV32" s="1711" t="s">
        <v>872</v>
      </c>
      <c r="BW32" s="1704">
        <v>48</v>
      </c>
      <c r="BX32" s="1710" t="s">
        <v>414</v>
      </c>
      <c r="BY32" s="1702">
        <v>44356</v>
      </c>
      <c r="BZ32" s="1711" t="s">
        <v>9021</v>
      </c>
      <c r="CA32" s="1704">
        <v>20</v>
      </c>
      <c r="CB32" s="1710" t="s">
        <v>280</v>
      </c>
      <c r="CC32" s="1702">
        <v>43617</v>
      </c>
      <c r="CD32" s="1711" t="s">
        <v>9022</v>
      </c>
      <c r="CE32" s="1704">
        <v>8</v>
      </c>
      <c r="CF32" s="1710" t="s">
        <v>414</v>
      </c>
      <c r="CG32" s="1702">
        <v>45080</v>
      </c>
      <c r="CH32" s="1711" t="s">
        <v>962</v>
      </c>
      <c r="CI32" s="1704">
        <v>30</v>
      </c>
      <c r="CJ32" s="1710" t="s">
        <v>280</v>
      </c>
      <c r="CK32" s="1702">
        <v>45447</v>
      </c>
      <c r="CL32" s="1711" t="s">
        <v>9023</v>
      </c>
      <c r="CM32" s="1704">
        <v>81</v>
      </c>
      <c r="CN32" s="1710" t="s">
        <v>426</v>
      </c>
      <c r="CO32" s="2126">
        <v>45840</v>
      </c>
      <c r="CP32" s="2129" t="s">
        <v>9024</v>
      </c>
      <c r="CQ32" s="2128">
        <v>-5.74</v>
      </c>
      <c r="CR32" s="2128">
        <v>-5.74</v>
      </c>
      <c r="CS32" s="2141">
        <v>45817</v>
      </c>
      <c r="CT32" s="2143" t="s">
        <v>9025</v>
      </c>
      <c r="CU32" s="2142">
        <v>16.649999999999999</v>
      </c>
      <c r="CV32" s="2128"/>
    </row>
    <row r="33" spans="1:100" ht="30.75">
      <c r="A33" s="1702">
        <v>37779</v>
      </c>
      <c r="B33" s="1703" t="s">
        <v>9026</v>
      </c>
      <c r="C33" s="1704"/>
      <c r="D33" s="1705">
        <v>11</v>
      </c>
      <c r="E33" s="1702">
        <v>38147</v>
      </c>
      <c r="F33" s="1703" t="s">
        <v>9027</v>
      </c>
      <c r="G33" s="1704">
        <v>12</v>
      </c>
      <c r="H33" s="1705"/>
      <c r="I33" s="1702">
        <v>38525</v>
      </c>
      <c r="J33" s="1703" t="s">
        <v>2284</v>
      </c>
      <c r="K33" s="1704">
        <v>5</v>
      </c>
      <c r="L33" s="1705"/>
      <c r="M33" s="1702">
        <v>38890</v>
      </c>
      <c r="N33" s="1703" t="s">
        <v>9028</v>
      </c>
      <c r="O33" s="1704">
        <v>12</v>
      </c>
      <c r="P33" s="1705"/>
      <c r="Q33" s="1702">
        <v>39250</v>
      </c>
      <c r="R33" s="1703" t="s">
        <v>797</v>
      </c>
      <c r="S33" s="1704">
        <v>41</v>
      </c>
      <c r="T33" s="1705"/>
      <c r="U33" s="1702">
        <v>39613</v>
      </c>
      <c r="V33" s="1703" t="s">
        <v>767</v>
      </c>
      <c r="W33" s="1704">
        <v>19</v>
      </c>
      <c r="X33" s="1705"/>
      <c r="Y33" s="1702">
        <v>39984</v>
      </c>
      <c r="Z33" s="1703" t="s">
        <v>1903</v>
      </c>
      <c r="AA33" s="1704">
        <v>20</v>
      </c>
      <c r="AB33" s="1705"/>
      <c r="AC33" s="1702">
        <v>40347</v>
      </c>
      <c r="AD33" s="1703" t="s">
        <v>9029</v>
      </c>
      <c r="AE33" s="1704">
        <v>28</v>
      </c>
      <c r="AF33" s="1705"/>
      <c r="AG33" s="1702">
        <v>40713</v>
      </c>
      <c r="AH33" s="1703" t="s">
        <v>937</v>
      </c>
      <c r="AI33" s="1704">
        <v>22</v>
      </c>
      <c r="AJ33" s="1705"/>
      <c r="AK33" s="1702">
        <v>41075</v>
      </c>
      <c r="AL33" s="1703" t="s">
        <v>9030</v>
      </c>
      <c r="AM33" s="1704">
        <v>60</v>
      </c>
      <c r="AN33" s="1705"/>
      <c r="AO33" s="1702">
        <v>41439</v>
      </c>
      <c r="AP33" s="1703" t="s">
        <v>1770</v>
      </c>
      <c r="AQ33" s="1704">
        <v>5</v>
      </c>
      <c r="AR33" s="1705"/>
      <c r="AS33" s="1702">
        <v>41802</v>
      </c>
      <c r="AT33" s="1703" t="s">
        <v>925</v>
      </c>
      <c r="AU33" s="1704">
        <v>5</v>
      </c>
      <c r="AV33" s="1705"/>
      <c r="AW33" s="1702">
        <v>42166</v>
      </c>
      <c r="AX33" s="1703" t="s">
        <v>9031</v>
      </c>
      <c r="AY33" s="1704">
        <v>22</v>
      </c>
      <c r="AZ33" s="1705"/>
      <c r="BA33" s="1702">
        <v>42534</v>
      </c>
      <c r="BB33" s="1711" t="s">
        <v>4973</v>
      </c>
      <c r="BC33" s="1704">
        <v>465</v>
      </c>
      <c r="BD33" s="1705"/>
      <c r="BE33" s="1702">
        <v>42892</v>
      </c>
      <c r="BF33" s="1711" t="s">
        <v>797</v>
      </c>
      <c r="BG33" s="1704">
        <v>57</v>
      </c>
      <c r="BH33" s="1705"/>
      <c r="BI33" s="1702">
        <v>43258</v>
      </c>
      <c r="BJ33" s="1711" t="s">
        <v>873</v>
      </c>
      <c r="BK33" s="1704">
        <v>9</v>
      </c>
      <c r="BL33" s="1705"/>
      <c r="BM33" s="1702"/>
      <c r="BN33" s="1711"/>
      <c r="BO33" s="1704"/>
      <c r="BP33" s="1705"/>
      <c r="BQ33" s="1702">
        <v>43630</v>
      </c>
      <c r="BR33" s="1711" t="s">
        <v>872</v>
      </c>
      <c r="BS33" s="1704">
        <v>15</v>
      </c>
      <c r="BT33" s="1710" t="s">
        <v>414</v>
      </c>
      <c r="BU33" s="1702">
        <v>43994</v>
      </c>
      <c r="BV33" s="1711" t="s">
        <v>772</v>
      </c>
      <c r="BW33" s="1704">
        <v>80</v>
      </c>
      <c r="BX33" s="1710" t="s">
        <v>414</v>
      </c>
      <c r="BY33" s="1702">
        <v>44356</v>
      </c>
      <c r="BZ33" s="1711" t="s">
        <v>9032</v>
      </c>
      <c r="CA33" s="1704">
        <v>21</v>
      </c>
      <c r="CB33" s="1710" t="s">
        <v>280</v>
      </c>
      <c r="CC33" s="1702">
        <v>43617</v>
      </c>
      <c r="CD33" s="1711" t="s">
        <v>9033</v>
      </c>
      <c r="CE33" s="1704">
        <v>4</v>
      </c>
      <c r="CF33" s="1710" t="s">
        <v>414</v>
      </c>
      <c r="CG33" s="1702">
        <v>45084</v>
      </c>
      <c r="CH33" s="1711" t="s">
        <v>9034</v>
      </c>
      <c r="CI33" s="1704">
        <v>38</v>
      </c>
      <c r="CJ33" s="1710" t="s">
        <v>280</v>
      </c>
      <c r="CK33" s="1702">
        <v>45449</v>
      </c>
      <c r="CL33" s="1738" t="s">
        <v>6983</v>
      </c>
      <c r="CM33" s="1704">
        <v>150</v>
      </c>
      <c r="CN33" s="1710" t="s">
        <v>700</v>
      </c>
      <c r="CO33" s="2126">
        <v>45839</v>
      </c>
      <c r="CP33" s="2125" t="s">
        <v>9035</v>
      </c>
      <c r="CQ33" s="2128">
        <v>-1934.01</v>
      </c>
      <c r="CR33" s="2128">
        <v>-1934.01</v>
      </c>
      <c r="CS33" s="2141">
        <v>45817</v>
      </c>
      <c r="CT33" s="2143" t="s">
        <v>9036</v>
      </c>
      <c r="CU33" s="2142">
        <v>16.36</v>
      </c>
      <c r="CV33" s="2128"/>
    </row>
    <row r="34" spans="1:100" ht="30.75">
      <c r="A34" s="1702">
        <v>37779</v>
      </c>
      <c r="B34" s="1703" t="s">
        <v>9037</v>
      </c>
      <c r="C34" s="1704"/>
      <c r="D34" s="1705">
        <v>30</v>
      </c>
      <c r="E34" s="1702">
        <v>38148</v>
      </c>
      <c r="F34" s="1703" t="s">
        <v>9038</v>
      </c>
      <c r="G34" s="1704">
        <v>10</v>
      </c>
      <c r="H34" s="1705"/>
      <c r="I34" s="1702">
        <v>38526</v>
      </c>
      <c r="J34" s="1703" t="s">
        <v>9039</v>
      </c>
      <c r="K34" s="1704">
        <v>50</v>
      </c>
      <c r="L34" s="1705"/>
      <c r="M34" s="1702">
        <v>38890</v>
      </c>
      <c r="N34" s="1703" t="s">
        <v>9040</v>
      </c>
      <c r="O34" s="1704">
        <v>3</v>
      </c>
      <c r="P34" s="1705"/>
      <c r="Q34" s="1702">
        <v>39253</v>
      </c>
      <c r="R34" s="1703" t="s">
        <v>802</v>
      </c>
      <c r="S34" s="1704">
        <v>50</v>
      </c>
      <c r="T34" s="1705"/>
      <c r="U34" s="1702">
        <v>39614</v>
      </c>
      <c r="V34" s="1703" t="s">
        <v>767</v>
      </c>
      <c r="W34" s="1704">
        <v>3</v>
      </c>
      <c r="X34" s="1705"/>
      <c r="Y34" s="1702">
        <v>39984</v>
      </c>
      <c r="Z34" s="1703" t="s">
        <v>9041</v>
      </c>
      <c r="AA34" s="1704">
        <v>15</v>
      </c>
      <c r="AB34" s="1705"/>
      <c r="AC34" s="1702">
        <v>40347</v>
      </c>
      <c r="AD34" s="1703" t="s">
        <v>9042</v>
      </c>
      <c r="AE34" s="1704">
        <v>20</v>
      </c>
      <c r="AF34" s="1705"/>
      <c r="AG34" s="1702">
        <v>40714</v>
      </c>
      <c r="AH34" s="1703" t="s">
        <v>9043</v>
      </c>
      <c r="AI34" s="1704">
        <v>11</v>
      </c>
      <c r="AJ34" s="1705"/>
      <c r="AK34" s="1702">
        <v>41075</v>
      </c>
      <c r="AL34" s="1703" t="s">
        <v>2764</v>
      </c>
      <c r="AM34" s="1704">
        <v>20</v>
      </c>
      <c r="AN34" s="1705"/>
      <c r="AO34" s="1702">
        <v>41439</v>
      </c>
      <c r="AP34" s="1703" t="s">
        <v>754</v>
      </c>
      <c r="AQ34" s="1704">
        <v>85</v>
      </c>
      <c r="AR34" s="1705"/>
      <c r="AS34" s="1702">
        <v>41802</v>
      </c>
      <c r="AT34" s="1703" t="s">
        <v>1052</v>
      </c>
      <c r="AU34" s="1704">
        <v>18</v>
      </c>
      <c r="AV34" s="1705"/>
      <c r="AW34" s="1702">
        <v>42166</v>
      </c>
      <c r="AX34" s="1703" t="s">
        <v>9044</v>
      </c>
      <c r="AY34" s="1704">
        <v>55</v>
      </c>
      <c r="AZ34" s="1705"/>
      <c r="BA34" s="1702">
        <v>42534</v>
      </c>
      <c r="BB34" s="1711" t="s">
        <v>9045</v>
      </c>
      <c r="BC34" s="1704">
        <v>210</v>
      </c>
      <c r="BD34" s="1705"/>
      <c r="BE34" s="1702">
        <v>42892</v>
      </c>
      <c r="BF34" s="1711" t="s">
        <v>9046</v>
      </c>
      <c r="BG34" s="1704">
        <v>12</v>
      </c>
      <c r="BH34" s="1705"/>
      <c r="BI34" s="1702">
        <v>43259</v>
      </c>
      <c r="BJ34" s="1711" t="s">
        <v>823</v>
      </c>
      <c r="BK34" s="1704">
        <v>9</v>
      </c>
      <c r="BL34" s="1705"/>
      <c r="BM34" s="1702"/>
      <c r="BN34" s="1711"/>
      <c r="BO34" s="1704"/>
      <c r="BP34" s="1705"/>
      <c r="BQ34" s="1702">
        <v>43630</v>
      </c>
      <c r="BR34" s="1711" t="s">
        <v>772</v>
      </c>
      <c r="BS34" s="1704">
        <v>56</v>
      </c>
      <c r="BT34" s="1710" t="s">
        <v>414</v>
      </c>
      <c r="BU34" s="1702">
        <v>43994</v>
      </c>
      <c r="BV34" s="1711" t="s">
        <v>845</v>
      </c>
      <c r="BW34" s="1704">
        <v>73</v>
      </c>
      <c r="BX34" s="1710" t="s">
        <v>414</v>
      </c>
      <c r="BY34" s="1702">
        <v>44358</v>
      </c>
      <c r="BZ34" s="1711" t="s">
        <v>9047</v>
      </c>
      <c r="CA34" s="1704">
        <v>201</v>
      </c>
      <c r="CB34" s="1710" t="s">
        <v>381</v>
      </c>
      <c r="CC34" s="1702">
        <v>43617</v>
      </c>
      <c r="CD34" s="1711" t="s">
        <v>9048</v>
      </c>
      <c r="CE34" s="1704">
        <v>32</v>
      </c>
      <c r="CF34" s="1710" t="s">
        <v>414</v>
      </c>
      <c r="CG34" s="1702">
        <v>45084</v>
      </c>
      <c r="CH34" s="1711" t="s">
        <v>3791</v>
      </c>
      <c r="CI34" s="1704">
        <v>9</v>
      </c>
      <c r="CJ34" s="1710" t="s">
        <v>280</v>
      </c>
      <c r="CK34" s="1702">
        <v>45449</v>
      </c>
      <c r="CL34" s="1738" t="s">
        <v>9049</v>
      </c>
      <c r="CM34" s="1704">
        <v>100</v>
      </c>
      <c r="CN34" s="1710" t="s">
        <v>700</v>
      </c>
      <c r="CO34" s="2131">
        <v>45839</v>
      </c>
      <c r="CP34" s="2130" t="s">
        <v>9050</v>
      </c>
      <c r="CQ34" s="2133">
        <v>-21.81</v>
      </c>
      <c r="CR34" s="2133">
        <v>-21.81</v>
      </c>
      <c r="CS34" s="2141">
        <v>45817</v>
      </c>
      <c r="CT34" s="2143" t="s">
        <v>9051</v>
      </c>
      <c r="CU34" s="2142">
        <v>7.6</v>
      </c>
      <c r="CV34" s="2133"/>
    </row>
    <row r="35" spans="1:100" ht="30.75">
      <c r="A35" s="1702">
        <v>37780</v>
      </c>
      <c r="B35" s="1703" t="s">
        <v>9052</v>
      </c>
      <c r="C35" s="1704"/>
      <c r="D35" s="1705">
        <v>12</v>
      </c>
      <c r="E35" s="1702">
        <v>38149</v>
      </c>
      <c r="F35" s="1703" t="s">
        <v>989</v>
      </c>
      <c r="G35" s="1704">
        <v>4</v>
      </c>
      <c r="H35" s="1705"/>
      <c r="I35" s="1702">
        <v>38527</v>
      </c>
      <c r="J35" s="1703" t="s">
        <v>9053</v>
      </c>
      <c r="K35" s="1704">
        <v>48</v>
      </c>
      <c r="L35" s="1705"/>
      <c r="M35" s="1702">
        <v>38890</v>
      </c>
      <c r="N35" s="1703" t="s">
        <v>9054</v>
      </c>
      <c r="O35" s="1704">
        <v>3</v>
      </c>
      <c r="P35" s="1705"/>
      <c r="Q35" s="1702">
        <v>39254</v>
      </c>
      <c r="R35" s="1703" t="s">
        <v>9055</v>
      </c>
      <c r="S35" s="1704">
        <v>1160</v>
      </c>
      <c r="T35" s="1705"/>
      <c r="U35" s="1702">
        <v>39616</v>
      </c>
      <c r="V35" s="1703" t="s">
        <v>9056</v>
      </c>
      <c r="W35" s="1704">
        <v>153</v>
      </c>
      <c r="X35" s="1705"/>
      <c r="Y35" s="1702">
        <v>39984</v>
      </c>
      <c r="Z35" s="1703" t="s">
        <v>9057</v>
      </c>
      <c r="AA35" s="1704">
        <v>8</v>
      </c>
      <c r="AB35" s="1705"/>
      <c r="AC35" s="1702">
        <v>40349</v>
      </c>
      <c r="AD35" s="1703" t="s">
        <v>781</v>
      </c>
      <c r="AE35" s="1704">
        <v>120</v>
      </c>
      <c r="AF35" s="1705"/>
      <c r="AG35" s="1702">
        <v>40714</v>
      </c>
      <c r="AH35" s="1703" t="s">
        <v>9058</v>
      </c>
      <c r="AI35" s="1704">
        <v>14</v>
      </c>
      <c r="AJ35" s="1705"/>
      <c r="AK35" s="1702">
        <v>41077</v>
      </c>
      <c r="AL35" s="1703" t="s">
        <v>754</v>
      </c>
      <c r="AM35" s="1704">
        <v>18</v>
      </c>
      <c r="AN35" s="1705"/>
      <c r="AO35" s="1702">
        <v>41439</v>
      </c>
      <c r="AP35" s="1703" t="s">
        <v>925</v>
      </c>
      <c r="AQ35" s="1704">
        <v>11</v>
      </c>
      <c r="AR35" s="1705"/>
      <c r="AS35" s="1702">
        <v>41802</v>
      </c>
      <c r="AT35" s="1703" t="s">
        <v>9059</v>
      </c>
      <c r="AU35" s="1704">
        <v>18</v>
      </c>
      <c r="AV35" s="1705"/>
      <c r="AW35" s="1702">
        <v>42166</v>
      </c>
      <c r="AX35" s="1703" t="s">
        <v>8913</v>
      </c>
      <c r="AY35" s="1704">
        <v>23</v>
      </c>
      <c r="AZ35" s="1705"/>
      <c r="BA35" s="1702">
        <v>42534</v>
      </c>
      <c r="BB35" s="1711" t="s">
        <v>9060</v>
      </c>
      <c r="BC35" s="1704">
        <v>150</v>
      </c>
      <c r="BD35" s="1705"/>
      <c r="BE35" s="1702">
        <v>42892</v>
      </c>
      <c r="BF35" s="1711" t="s">
        <v>9061</v>
      </c>
      <c r="BG35" s="1704">
        <v>12</v>
      </c>
      <c r="BH35" s="1705"/>
      <c r="BI35" s="1702">
        <v>43259</v>
      </c>
      <c r="BJ35" s="1711" t="s">
        <v>873</v>
      </c>
      <c r="BK35" s="1704">
        <v>33</v>
      </c>
      <c r="BL35" s="1705"/>
      <c r="BM35" s="1702"/>
      <c r="BN35" s="1711"/>
      <c r="BO35" s="1704"/>
      <c r="BP35" s="1705"/>
      <c r="BQ35" s="1702">
        <v>43631</v>
      </c>
      <c r="BR35" s="1711" t="s">
        <v>859</v>
      </c>
      <c r="BS35" s="1704">
        <v>9</v>
      </c>
      <c r="BT35" s="1710" t="s">
        <v>414</v>
      </c>
      <c r="BU35" s="1702">
        <v>43996</v>
      </c>
      <c r="BV35" s="1711" t="s">
        <v>859</v>
      </c>
      <c r="BW35" s="1704">
        <v>15</v>
      </c>
      <c r="BX35" s="1710" t="s">
        <v>414</v>
      </c>
      <c r="BY35" s="1702">
        <v>44358</v>
      </c>
      <c r="BZ35" s="1711" t="s">
        <v>9062</v>
      </c>
      <c r="CA35" s="1704">
        <v>20</v>
      </c>
      <c r="CB35" s="1710" t="s">
        <v>414</v>
      </c>
      <c r="CC35" s="1702">
        <v>43617</v>
      </c>
      <c r="CD35" s="1711" t="s">
        <v>1977</v>
      </c>
      <c r="CE35" s="1704">
        <v>11</v>
      </c>
      <c r="CF35" s="1710" t="s">
        <v>414</v>
      </c>
      <c r="CG35" s="1702">
        <v>45084</v>
      </c>
      <c r="CH35" s="1711" t="s">
        <v>9063</v>
      </c>
      <c r="CI35" s="1704">
        <v>75</v>
      </c>
      <c r="CJ35" s="1710" t="s">
        <v>381</v>
      </c>
      <c r="CK35" s="1702">
        <v>45449</v>
      </c>
      <c r="CL35" s="1738" t="s">
        <v>9064</v>
      </c>
      <c r="CM35" s="1704">
        <v>95</v>
      </c>
      <c r="CN35" s="1710" t="s">
        <v>712</v>
      </c>
      <c r="CO35" s="1702">
        <v>45449</v>
      </c>
      <c r="CP35" s="1738" t="s">
        <v>9064</v>
      </c>
      <c r="CQ35" s="1704">
        <v>95</v>
      </c>
      <c r="CR35" s="1710" t="s">
        <v>712</v>
      </c>
      <c r="CS35" s="2141">
        <v>45817</v>
      </c>
      <c r="CT35" s="2143" t="s">
        <v>9065</v>
      </c>
      <c r="CU35" s="2142">
        <v>13.47</v>
      </c>
      <c r="CV35" s="1710"/>
    </row>
    <row r="36" spans="1:100" ht="30.75">
      <c r="A36" s="1702">
        <v>37781</v>
      </c>
      <c r="B36" s="1703" t="s">
        <v>772</v>
      </c>
      <c r="C36" s="1704"/>
      <c r="D36" s="1705">
        <v>35</v>
      </c>
      <c r="E36" s="1702">
        <v>38150</v>
      </c>
      <c r="F36" s="1703" t="s">
        <v>797</v>
      </c>
      <c r="G36" s="1704">
        <v>33</v>
      </c>
      <c r="H36" s="1705"/>
      <c r="I36" s="1702">
        <v>38527</v>
      </c>
      <c r="J36" s="1703" t="s">
        <v>9066</v>
      </c>
      <c r="K36" s="1704">
        <v>20</v>
      </c>
      <c r="L36" s="1705"/>
      <c r="M36" s="1702">
        <v>38890</v>
      </c>
      <c r="N36" s="1703" t="s">
        <v>9067</v>
      </c>
      <c r="O36" s="1704">
        <v>3</v>
      </c>
      <c r="P36" s="1705"/>
      <c r="Q36" s="1702">
        <v>39256</v>
      </c>
      <c r="R36" s="1703" t="s">
        <v>2559</v>
      </c>
      <c r="S36" s="1704">
        <v>17</v>
      </c>
      <c r="T36" s="1705"/>
      <c r="U36" s="1702">
        <v>39616</v>
      </c>
      <c r="V36" s="1703" t="s">
        <v>797</v>
      </c>
      <c r="W36" s="1704">
        <v>62</v>
      </c>
      <c r="X36" s="1705"/>
      <c r="Y36" s="1702">
        <v>39985</v>
      </c>
      <c r="Z36" s="1703" t="s">
        <v>9068</v>
      </c>
      <c r="AA36" s="1704">
        <v>5</v>
      </c>
      <c r="AB36" s="1705"/>
      <c r="AC36" s="1702">
        <v>40349</v>
      </c>
      <c r="AD36" s="1703" t="s">
        <v>867</v>
      </c>
      <c r="AE36" s="1704">
        <v>20</v>
      </c>
      <c r="AF36" s="1705"/>
      <c r="AG36" s="1702">
        <v>40714</v>
      </c>
      <c r="AH36" s="1703" t="s">
        <v>9069</v>
      </c>
      <c r="AI36" s="1704">
        <v>10</v>
      </c>
      <c r="AJ36" s="1705"/>
      <c r="AK36" s="1702">
        <v>41077</v>
      </c>
      <c r="AL36" s="1703" t="s">
        <v>781</v>
      </c>
      <c r="AM36" s="1704">
        <v>40</v>
      </c>
      <c r="AN36" s="1705"/>
      <c r="AO36" s="1702">
        <v>41439</v>
      </c>
      <c r="AP36" s="1703" t="s">
        <v>1288</v>
      </c>
      <c r="AQ36" s="1704">
        <v>11</v>
      </c>
      <c r="AR36" s="1705"/>
      <c r="AS36" s="1702">
        <v>41803</v>
      </c>
      <c r="AT36" s="1703" t="s">
        <v>9070</v>
      </c>
      <c r="AU36" s="1704">
        <v>52</v>
      </c>
      <c r="AV36" s="1705"/>
      <c r="AW36" s="1702">
        <v>42166</v>
      </c>
      <c r="AX36" s="1703" t="s">
        <v>9071</v>
      </c>
      <c r="AY36" s="1704">
        <v>60</v>
      </c>
      <c r="AZ36" s="1705"/>
      <c r="BA36" s="1702">
        <v>42534</v>
      </c>
      <c r="BB36" s="1711" t="s">
        <v>9072</v>
      </c>
      <c r="BC36" s="1704">
        <v>350</v>
      </c>
      <c r="BD36" s="1705"/>
      <c r="BE36" s="1702">
        <v>42893</v>
      </c>
      <c r="BF36" s="1711" t="s">
        <v>9073</v>
      </c>
      <c r="BG36" s="1704">
        <v>6</v>
      </c>
      <c r="BH36" s="1705"/>
      <c r="BI36" s="1702">
        <v>43260</v>
      </c>
      <c r="BJ36" s="1711" t="s">
        <v>872</v>
      </c>
      <c r="BK36" s="1704">
        <v>22</v>
      </c>
      <c r="BL36" s="1705"/>
      <c r="BM36" s="1702"/>
      <c r="BN36" s="1711"/>
      <c r="BO36" s="1704"/>
      <c r="BP36" s="1705"/>
      <c r="BQ36" s="1702">
        <v>43631</v>
      </c>
      <c r="BR36" s="1711" t="s">
        <v>9074</v>
      </c>
      <c r="BS36" s="1704">
        <v>140</v>
      </c>
      <c r="BT36" s="1710" t="s">
        <v>284</v>
      </c>
      <c r="BU36" s="1702">
        <v>43996</v>
      </c>
      <c r="BV36" s="1711" t="s">
        <v>9075</v>
      </c>
      <c r="BW36" s="1704">
        <v>0</v>
      </c>
      <c r="BX36" s="1710" t="s">
        <v>280</v>
      </c>
      <c r="BY36" s="1702">
        <v>44358</v>
      </c>
      <c r="BZ36" s="1711" t="s">
        <v>9076</v>
      </c>
      <c r="CA36" s="1704">
        <v>16</v>
      </c>
      <c r="CB36" s="1710" t="s">
        <v>278</v>
      </c>
      <c r="CC36" s="1702">
        <v>43617</v>
      </c>
      <c r="CD36" s="1711" t="s">
        <v>9077</v>
      </c>
      <c r="CE36" s="1704">
        <v>33</v>
      </c>
      <c r="CF36" s="1710" t="s">
        <v>414</v>
      </c>
      <c r="CG36" s="1702">
        <v>45085</v>
      </c>
      <c r="CH36" s="1711" t="s">
        <v>9078</v>
      </c>
      <c r="CI36" s="1704"/>
      <c r="CJ36" s="1710" t="s">
        <v>381</v>
      </c>
      <c r="CK36" s="1702">
        <v>45449</v>
      </c>
      <c r="CL36" s="1738" t="s">
        <v>9079</v>
      </c>
      <c r="CM36" s="1704">
        <v>200</v>
      </c>
      <c r="CN36" s="1710" t="s">
        <v>712</v>
      </c>
      <c r="CO36" s="1702">
        <v>45449</v>
      </c>
      <c r="CP36" s="1738" t="s">
        <v>9079</v>
      </c>
      <c r="CQ36" s="1704">
        <v>200</v>
      </c>
      <c r="CR36" s="1710" t="s">
        <v>712</v>
      </c>
      <c r="CS36" s="2141">
        <v>45816</v>
      </c>
      <c r="CT36" s="2143" t="s">
        <v>9080</v>
      </c>
      <c r="CU36" s="2142">
        <v>0</v>
      </c>
      <c r="CV36" s="1710"/>
    </row>
    <row r="37" spans="1:100" ht="46.5">
      <c r="A37" s="1702">
        <v>37781</v>
      </c>
      <c r="B37" s="1703" t="s">
        <v>9081</v>
      </c>
      <c r="C37" s="1704"/>
      <c r="D37" s="1705">
        <v>5</v>
      </c>
      <c r="E37" s="1702">
        <v>38150</v>
      </c>
      <c r="F37" s="1703" t="s">
        <v>772</v>
      </c>
      <c r="G37" s="1704">
        <v>35</v>
      </c>
      <c r="H37" s="1705"/>
      <c r="I37" s="1702">
        <v>38527</v>
      </c>
      <c r="J37" s="1703" t="s">
        <v>9082</v>
      </c>
      <c r="K37" s="1704">
        <v>8</v>
      </c>
      <c r="L37" s="1705"/>
      <c r="M37" s="1702">
        <v>38891</v>
      </c>
      <c r="N37" s="1703" t="s">
        <v>9083</v>
      </c>
      <c r="O37" s="1704">
        <v>20</v>
      </c>
      <c r="P37" s="1705"/>
      <c r="Q37" s="1702">
        <v>39256</v>
      </c>
      <c r="R37" s="1703" t="s">
        <v>9084</v>
      </c>
      <c r="S37" s="1704">
        <v>52</v>
      </c>
      <c r="T37" s="1705"/>
      <c r="U37" s="1702">
        <v>39617</v>
      </c>
      <c r="V37" s="1703" t="s">
        <v>9085</v>
      </c>
      <c r="W37" s="1704">
        <v>71</v>
      </c>
      <c r="X37" s="1705"/>
      <c r="Y37" s="1702">
        <v>39985</v>
      </c>
      <c r="Z37" s="1703" t="s">
        <v>9086</v>
      </c>
      <c r="AA37" s="1704">
        <v>77</v>
      </c>
      <c r="AB37" s="1705"/>
      <c r="AC37" s="1702">
        <v>40349</v>
      </c>
      <c r="AD37" s="1703" t="s">
        <v>960</v>
      </c>
      <c r="AE37" s="1704">
        <v>10</v>
      </c>
      <c r="AF37" s="1705"/>
      <c r="AG37" s="1702">
        <v>40714</v>
      </c>
      <c r="AH37" s="1703" t="s">
        <v>9087</v>
      </c>
      <c r="AI37" s="1704">
        <v>55</v>
      </c>
      <c r="AJ37" s="1705"/>
      <c r="AK37" s="1702">
        <v>41077</v>
      </c>
      <c r="AL37" s="1703" t="s">
        <v>772</v>
      </c>
      <c r="AM37" s="1704">
        <v>42</v>
      </c>
      <c r="AN37" s="1705"/>
      <c r="AO37" s="1702">
        <v>41439</v>
      </c>
      <c r="AP37" s="1703" t="s">
        <v>9088</v>
      </c>
      <c r="AQ37" s="1704">
        <v>7</v>
      </c>
      <c r="AR37" s="1705"/>
      <c r="AS37" s="1702">
        <v>41803</v>
      </c>
      <c r="AT37" s="1703" t="s">
        <v>855</v>
      </c>
      <c r="AU37" s="1704">
        <v>7</v>
      </c>
      <c r="AV37" s="1705"/>
      <c r="AW37" s="1702">
        <v>42166</v>
      </c>
      <c r="AX37" s="1703" t="s">
        <v>9070</v>
      </c>
      <c r="AY37" s="1704">
        <v>52</v>
      </c>
      <c r="AZ37" s="1705"/>
      <c r="BA37" s="1702">
        <v>42535</v>
      </c>
      <c r="BB37" s="1711" t="s">
        <v>772</v>
      </c>
      <c r="BC37" s="1704">
        <v>32</v>
      </c>
      <c r="BD37" s="1705"/>
      <c r="BE37" s="1702">
        <v>42893</v>
      </c>
      <c r="BF37" s="1711" t="s">
        <v>9089</v>
      </c>
      <c r="BG37" s="1704">
        <v>11</v>
      </c>
      <c r="BH37" s="1705"/>
      <c r="BI37" s="1702">
        <v>43260</v>
      </c>
      <c r="BJ37" s="1711" t="s">
        <v>823</v>
      </c>
      <c r="BK37" s="1704">
        <v>6</v>
      </c>
      <c r="BL37" s="1705"/>
      <c r="BM37" s="1702"/>
      <c r="BN37" s="1711"/>
      <c r="BO37" s="1704"/>
      <c r="BP37" s="1705"/>
      <c r="BQ37" s="1702">
        <v>43632</v>
      </c>
      <c r="BR37" s="1711" t="s">
        <v>9090</v>
      </c>
      <c r="BS37" s="1704">
        <v>49</v>
      </c>
      <c r="BT37" s="1710" t="s">
        <v>700</v>
      </c>
      <c r="BU37" s="1702">
        <v>43996</v>
      </c>
      <c r="BV37" s="1711" t="s">
        <v>845</v>
      </c>
      <c r="BW37" s="1704">
        <v>47</v>
      </c>
      <c r="BX37" s="1710" t="s">
        <v>414</v>
      </c>
      <c r="BY37" s="1702">
        <v>44359</v>
      </c>
      <c r="BZ37" s="1711" t="s">
        <v>9091</v>
      </c>
      <c r="CA37" s="1704">
        <v>8</v>
      </c>
      <c r="CB37" s="1710" t="s">
        <v>278</v>
      </c>
      <c r="CC37" s="1702">
        <v>44715</v>
      </c>
      <c r="CD37" s="1711" t="s">
        <v>9092</v>
      </c>
      <c r="CE37" s="1704">
        <v>55</v>
      </c>
      <c r="CF37" s="1710" t="s">
        <v>700</v>
      </c>
      <c r="CG37" s="1702">
        <v>45085</v>
      </c>
      <c r="CH37" s="1711" t="s">
        <v>9093</v>
      </c>
      <c r="CI37" s="1704">
        <v>30</v>
      </c>
      <c r="CJ37" s="1710" t="s">
        <v>278</v>
      </c>
      <c r="CK37" s="1702">
        <v>45449</v>
      </c>
      <c r="CL37" s="1738" t="s">
        <v>9094</v>
      </c>
      <c r="CM37" s="1704">
        <v>250</v>
      </c>
      <c r="CN37" s="1710" t="s">
        <v>712</v>
      </c>
      <c r="CO37" s="1702">
        <v>45449</v>
      </c>
      <c r="CP37" s="1738" t="s">
        <v>9094</v>
      </c>
      <c r="CQ37" s="1704">
        <v>250</v>
      </c>
      <c r="CR37" s="1710" t="s">
        <v>712</v>
      </c>
      <c r="CS37" s="2141">
        <v>45816</v>
      </c>
      <c r="CT37" s="2143" t="s">
        <v>9095</v>
      </c>
      <c r="CU37" s="2142">
        <v>0</v>
      </c>
      <c r="CV37" s="1710"/>
    </row>
    <row r="38" spans="1:100" ht="13.5">
      <c r="A38" s="1702">
        <v>37782</v>
      </c>
      <c r="B38" s="1703" t="s">
        <v>9096</v>
      </c>
      <c r="C38" s="1704"/>
      <c r="D38" s="1705">
        <v>120</v>
      </c>
      <c r="E38" s="1702">
        <v>38150</v>
      </c>
      <c r="F38" s="1703" t="s">
        <v>2284</v>
      </c>
      <c r="G38" s="1704">
        <v>35</v>
      </c>
      <c r="H38" s="1705"/>
      <c r="I38" s="1702">
        <v>38527</v>
      </c>
      <c r="J38" s="1703" t="s">
        <v>9097</v>
      </c>
      <c r="K38" s="1704">
        <v>23</v>
      </c>
      <c r="L38" s="1705"/>
      <c r="M38" s="1702">
        <v>38892</v>
      </c>
      <c r="N38" s="1703" t="s">
        <v>9098</v>
      </c>
      <c r="O38" s="1704">
        <v>95</v>
      </c>
      <c r="P38" s="1705"/>
      <c r="Q38" s="1702">
        <v>39256</v>
      </c>
      <c r="R38" s="1703" t="s">
        <v>797</v>
      </c>
      <c r="S38" s="1704">
        <v>42</v>
      </c>
      <c r="T38" s="1705"/>
      <c r="U38" s="1702">
        <v>39618</v>
      </c>
      <c r="V38" s="1703" t="s">
        <v>937</v>
      </c>
      <c r="W38" s="1704">
        <v>66</v>
      </c>
      <c r="X38" s="1705"/>
      <c r="Y38" s="1702">
        <v>39985</v>
      </c>
      <c r="Z38" s="1703" t="s">
        <v>802</v>
      </c>
      <c r="AA38" s="1704">
        <v>28</v>
      </c>
      <c r="AB38" s="1705"/>
      <c r="AC38" s="1702">
        <v>40349</v>
      </c>
      <c r="AD38" s="1703" t="s">
        <v>9099</v>
      </c>
      <c r="AE38" s="1704">
        <v>35</v>
      </c>
      <c r="AF38" s="1705"/>
      <c r="AG38" s="1702">
        <v>40715</v>
      </c>
      <c r="AH38" s="1703" t="s">
        <v>9100</v>
      </c>
      <c r="AI38" s="1704">
        <v>17</v>
      </c>
      <c r="AJ38" s="1705"/>
      <c r="AK38" s="1702">
        <v>41081</v>
      </c>
      <c r="AL38" s="1703" t="s">
        <v>802</v>
      </c>
      <c r="AM38" s="1704">
        <v>50</v>
      </c>
      <c r="AN38" s="1705"/>
      <c r="AO38" s="1702">
        <v>41440</v>
      </c>
      <c r="AP38" s="1703" t="s">
        <v>772</v>
      </c>
      <c r="AQ38" s="1704">
        <v>9</v>
      </c>
      <c r="AR38" s="1705"/>
      <c r="AS38" s="1702">
        <v>41804</v>
      </c>
      <c r="AT38" s="1703" t="s">
        <v>9101</v>
      </c>
      <c r="AU38" s="1704"/>
      <c r="AV38" s="1705"/>
      <c r="AW38" s="1702">
        <v>42168</v>
      </c>
      <c r="AX38" s="1703" t="s">
        <v>9102</v>
      </c>
      <c r="AY38" s="1704"/>
      <c r="AZ38" s="1705"/>
      <c r="BA38" s="1702">
        <v>42535</v>
      </c>
      <c r="BB38" s="1711" t="s">
        <v>9103</v>
      </c>
      <c r="BC38" s="1704">
        <v>33</v>
      </c>
      <c r="BD38" s="1705"/>
      <c r="BE38" s="1702">
        <v>42894</v>
      </c>
      <c r="BF38" s="1711" t="s">
        <v>9104</v>
      </c>
      <c r="BG38" s="1704">
        <v>8</v>
      </c>
      <c r="BH38" s="1705"/>
      <c r="BI38" s="1702">
        <v>43260</v>
      </c>
      <c r="BJ38" s="1711" t="s">
        <v>772</v>
      </c>
      <c r="BK38" s="1704">
        <v>43</v>
      </c>
      <c r="BL38" s="1705"/>
      <c r="BM38" s="1702"/>
      <c r="BN38" s="1711"/>
      <c r="BO38" s="1704"/>
      <c r="BP38" s="1705"/>
      <c r="BQ38" s="1702">
        <v>43632</v>
      </c>
      <c r="BR38" s="1711" t="s">
        <v>9105</v>
      </c>
      <c r="BS38" s="1704">
        <v>0</v>
      </c>
      <c r="BT38" s="1710" t="s">
        <v>280</v>
      </c>
      <c r="BU38" s="1702">
        <v>43997</v>
      </c>
      <c r="BV38" s="1711" t="s">
        <v>8887</v>
      </c>
      <c r="BW38" s="1704">
        <v>90</v>
      </c>
      <c r="BX38" s="1710" t="s">
        <v>414</v>
      </c>
      <c r="BY38" s="1702">
        <v>44359</v>
      </c>
      <c r="BZ38" s="1711" t="s">
        <v>9106</v>
      </c>
      <c r="CA38" s="1704">
        <v>25</v>
      </c>
      <c r="CB38" s="1710" t="s">
        <v>278</v>
      </c>
      <c r="CC38" s="1702">
        <v>44715</v>
      </c>
      <c r="CD38" s="1711" t="s">
        <v>9107</v>
      </c>
      <c r="CE38" s="1704">
        <v>30</v>
      </c>
      <c r="CF38" s="1710" t="s">
        <v>280</v>
      </c>
      <c r="CG38" s="1702">
        <v>45085</v>
      </c>
      <c r="CH38" s="1711" t="s">
        <v>9108</v>
      </c>
      <c r="CI38" s="1704">
        <v>100</v>
      </c>
      <c r="CJ38" s="1710" t="s">
        <v>278</v>
      </c>
      <c r="CK38" s="1702">
        <v>45449</v>
      </c>
      <c r="CL38" s="1738" t="s">
        <v>843</v>
      </c>
      <c r="CM38" s="1704">
        <v>15</v>
      </c>
      <c r="CN38" s="1710" t="s">
        <v>414</v>
      </c>
      <c r="CO38" s="1702">
        <v>45449</v>
      </c>
      <c r="CP38" s="1738" t="s">
        <v>843</v>
      </c>
      <c r="CQ38" s="1704">
        <v>15</v>
      </c>
      <c r="CR38" s="1710" t="s">
        <v>414</v>
      </c>
      <c r="CS38" s="1702"/>
      <c r="CT38" s="1738"/>
      <c r="CU38" s="1704"/>
      <c r="CV38" s="1710"/>
    </row>
    <row r="39" spans="1:100" ht="13.5">
      <c r="A39" s="1702">
        <v>37783</v>
      </c>
      <c r="B39" s="1703" t="s">
        <v>9109</v>
      </c>
      <c r="C39" s="1704">
        <v>2420</v>
      </c>
      <c r="D39" s="1705"/>
      <c r="E39" s="1702">
        <v>38150</v>
      </c>
      <c r="F39" s="1703" t="s">
        <v>9110</v>
      </c>
      <c r="G39" s="1704">
        <v>10</v>
      </c>
      <c r="H39" s="1705"/>
      <c r="I39" s="1702">
        <v>38528</v>
      </c>
      <c r="J39" s="1703" t="s">
        <v>9111</v>
      </c>
      <c r="K39" s="1704">
        <v>113</v>
      </c>
      <c r="L39" s="1705"/>
      <c r="M39" s="1702">
        <v>38892</v>
      </c>
      <c r="N39" s="1703" t="s">
        <v>797</v>
      </c>
      <c r="O39" s="1704">
        <v>49</v>
      </c>
      <c r="P39" s="1705"/>
      <c r="Q39" s="1702">
        <v>39257</v>
      </c>
      <c r="R39" s="1703" t="s">
        <v>960</v>
      </c>
      <c r="S39" s="1704">
        <v>3</v>
      </c>
      <c r="T39" s="1705"/>
      <c r="U39" s="1702">
        <v>39618</v>
      </c>
      <c r="V39" s="1703" t="s">
        <v>6565</v>
      </c>
      <c r="W39" s="1704">
        <v>17</v>
      </c>
      <c r="X39" s="1705"/>
      <c r="Y39" s="1702">
        <v>39986</v>
      </c>
      <c r="Z39" s="1703" t="s">
        <v>797</v>
      </c>
      <c r="AA39" s="1704">
        <v>47</v>
      </c>
      <c r="AB39" s="1705"/>
      <c r="AC39" s="1702">
        <v>40352</v>
      </c>
      <c r="AD39" s="1703" t="s">
        <v>797</v>
      </c>
      <c r="AE39" s="1704">
        <v>13</v>
      </c>
      <c r="AF39" s="1705"/>
      <c r="AG39" s="1702">
        <v>40717</v>
      </c>
      <c r="AH39" s="1703" t="s">
        <v>1052</v>
      </c>
      <c r="AI39" s="1704">
        <v>38</v>
      </c>
      <c r="AJ39" s="1705"/>
      <c r="AK39" s="1702">
        <v>41081</v>
      </c>
      <c r="AL39" s="1703" t="s">
        <v>2054</v>
      </c>
      <c r="AM39" s="1704">
        <v>12</v>
      </c>
      <c r="AN39" s="1705"/>
      <c r="AO39" s="1702">
        <v>41440</v>
      </c>
      <c r="AP39" s="1703" t="s">
        <v>754</v>
      </c>
      <c r="AQ39" s="1704">
        <v>28</v>
      </c>
      <c r="AR39" s="1705"/>
      <c r="AS39" s="1702">
        <v>41804</v>
      </c>
      <c r="AT39" s="1703" t="s">
        <v>9112</v>
      </c>
      <c r="AU39" s="1704">
        <v>15</v>
      </c>
      <c r="AV39" s="1705"/>
      <c r="AW39" s="1702">
        <v>42168</v>
      </c>
      <c r="AX39" s="1703" t="s">
        <v>9112</v>
      </c>
      <c r="AY39" s="1704">
        <v>26</v>
      </c>
      <c r="AZ39" s="1705"/>
      <c r="BA39" s="1702">
        <v>42536</v>
      </c>
      <c r="BB39" s="1711" t="s">
        <v>9113</v>
      </c>
      <c r="BC39" s="1704">
        <v>0</v>
      </c>
      <c r="BD39" s="1705"/>
      <c r="BE39" s="1702">
        <v>42894</v>
      </c>
      <c r="BF39" s="1711" t="s">
        <v>9114</v>
      </c>
      <c r="BG39" s="1704">
        <v>7</v>
      </c>
      <c r="BH39" s="1705"/>
      <c r="BI39" s="1702">
        <v>43260</v>
      </c>
      <c r="BJ39" s="1711" t="s">
        <v>9115</v>
      </c>
      <c r="BK39" s="1704">
        <v>13</v>
      </c>
      <c r="BL39" s="1705"/>
      <c r="BM39" s="1702"/>
      <c r="BN39" s="1711"/>
      <c r="BO39" s="1704"/>
      <c r="BP39" s="1705"/>
      <c r="BQ39" s="1702">
        <v>43632</v>
      </c>
      <c r="BR39" s="1711" t="s">
        <v>9116</v>
      </c>
      <c r="BS39" s="1704">
        <v>0</v>
      </c>
      <c r="BT39" s="1710" t="s">
        <v>280</v>
      </c>
      <c r="BU39" s="1702">
        <v>43997</v>
      </c>
      <c r="BV39" s="1711" t="s">
        <v>9117</v>
      </c>
      <c r="BW39" s="1704">
        <v>3</v>
      </c>
      <c r="BX39" s="1710" t="s">
        <v>414</v>
      </c>
      <c r="BY39" s="1702">
        <v>44359</v>
      </c>
      <c r="BZ39" s="1711" t="s">
        <v>2483</v>
      </c>
      <c r="CA39" s="1704">
        <v>65</v>
      </c>
      <c r="CB39" s="1710" t="s">
        <v>410</v>
      </c>
      <c r="CC39" s="1702">
        <v>44715</v>
      </c>
      <c r="CD39" s="1711" t="s">
        <v>9118</v>
      </c>
      <c r="CE39" s="1704">
        <v>30</v>
      </c>
      <c r="CF39" s="1710" t="s">
        <v>700</v>
      </c>
      <c r="CG39" s="1702">
        <v>45086</v>
      </c>
      <c r="CH39" s="1711" t="s">
        <v>9119</v>
      </c>
      <c r="CI39" s="1704">
        <v>207</v>
      </c>
      <c r="CJ39" s="1710" t="s">
        <v>381</v>
      </c>
      <c r="CK39" s="1702">
        <v>45449</v>
      </c>
      <c r="CL39" s="1738" t="s">
        <v>9120</v>
      </c>
      <c r="CM39" s="1704">
        <v>50</v>
      </c>
      <c r="CN39" s="1710" t="s">
        <v>278</v>
      </c>
      <c r="CO39" s="1702">
        <v>45449</v>
      </c>
      <c r="CP39" s="1738" t="s">
        <v>9120</v>
      </c>
      <c r="CQ39" s="1704">
        <v>50</v>
      </c>
      <c r="CR39" s="1710" t="s">
        <v>278</v>
      </c>
      <c r="CS39" s="1702"/>
      <c r="CT39" s="1738"/>
      <c r="CU39" s="1704"/>
      <c r="CV39" s="1710"/>
    </row>
    <row r="40" spans="1:100" ht="13.5">
      <c r="A40" s="1702">
        <v>37784</v>
      </c>
      <c r="B40" s="1703" t="s">
        <v>410</v>
      </c>
      <c r="C40" s="1704"/>
      <c r="D40" s="1705">
        <v>30</v>
      </c>
      <c r="E40" s="1702">
        <v>38150</v>
      </c>
      <c r="F40" s="1703" t="s">
        <v>9121</v>
      </c>
      <c r="G40" s="1704">
        <v>5</v>
      </c>
      <c r="H40" s="1705"/>
      <c r="I40" s="1702">
        <v>38528</v>
      </c>
      <c r="J40" s="1703" t="s">
        <v>9122</v>
      </c>
      <c r="K40" s="1704">
        <v>15</v>
      </c>
      <c r="L40" s="1705"/>
      <c r="M40" s="1702">
        <v>38892</v>
      </c>
      <c r="N40" s="1703" t="s">
        <v>802</v>
      </c>
      <c r="O40" s="1704">
        <v>41</v>
      </c>
      <c r="P40" s="1705"/>
      <c r="Q40" s="1702">
        <v>39260</v>
      </c>
      <c r="R40" s="1703" t="s">
        <v>1454</v>
      </c>
      <c r="S40" s="1704">
        <v>52</v>
      </c>
      <c r="T40" s="1705"/>
      <c r="U40" s="1702">
        <v>39619</v>
      </c>
      <c r="V40" s="1703" t="s">
        <v>772</v>
      </c>
      <c r="W40" s="1704">
        <v>71</v>
      </c>
      <c r="X40" s="1705"/>
      <c r="Y40" s="1702">
        <v>39989</v>
      </c>
      <c r="Z40" s="1703" t="s">
        <v>9123</v>
      </c>
      <c r="AA40" s="1704">
        <v>5</v>
      </c>
      <c r="AB40" s="1705"/>
      <c r="AC40" s="1702">
        <v>40354</v>
      </c>
      <c r="AD40" s="1703" t="s">
        <v>9124</v>
      </c>
      <c r="AE40" s="1704">
        <v>9</v>
      </c>
      <c r="AF40" s="1705"/>
      <c r="AG40" s="1702">
        <v>40719</v>
      </c>
      <c r="AH40" s="1703" t="s">
        <v>781</v>
      </c>
      <c r="AI40" s="1704">
        <v>60</v>
      </c>
      <c r="AJ40" s="1705"/>
      <c r="AK40" s="1702">
        <v>41081</v>
      </c>
      <c r="AL40" s="1703" t="s">
        <v>1289</v>
      </c>
      <c r="AM40" s="1704">
        <v>3</v>
      </c>
      <c r="AN40" s="1705"/>
      <c r="AO40" s="1702">
        <v>41441</v>
      </c>
      <c r="AP40" s="1703" t="s">
        <v>4701</v>
      </c>
      <c r="AQ40" s="1704"/>
      <c r="AR40" s="1705"/>
      <c r="AS40" s="1702">
        <v>41804</v>
      </c>
      <c r="AT40" s="1703" t="s">
        <v>1823</v>
      </c>
      <c r="AU40" s="1704">
        <v>18</v>
      </c>
      <c r="AV40" s="1705"/>
      <c r="AW40" s="1702">
        <v>42168</v>
      </c>
      <c r="AX40" s="1703" t="s">
        <v>1823</v>
      </c>
      <c r="AY40" s="1704">
        <v>18</v>
      </c>
      <c r="AZ40" s="1705"/>
      <c r="BA40" s="1702">
        <v>42536</v>
      </c>
      <c r="BB40" s="1711" t="s">
        <v>9125</v>
      </c>
      <c r="BC40" s="1704">
        <v>222</v>
      </c>
      <c r="BD40" s="1705"/>
      <c r="BE40" s="1702">
        <v>42894</v>
      </c>
      <c r="BF40" s="1711" t="s">
        <v>9126</v>
      </c>
      <c r="BG40" s="1704">
        <v>31</v>
      </c>
      <c r="BH40" s="1705"/>
      <c r="BI40" s="1702">
        <v>43260</v>
      </c>
      <c r="BJ40" s="1711" t="s">
        <v>9127</v>
      </c>
      <c r="BK40" s="1704">
        <v>13</v>
      </c>
      <c r="BL40" s="1705"/>
      <c r="BM40" s="1702"/>
      <c r="BN40" s="1711"/>
      <c r="BO40" s="1704"/>
      <c r="BP40" s="1705"/>
      <c r="BQ40" s="1702">
        <v>43632</v>
      </c>
      <c r="BR40" s="1711" t="s">
        <v>9128</v>
      </c>
      <c r="BS40" s="1704">
        <v>0</v>
      </c>
      <c r="BT40" s="1710" t="s">
        <v>280</v>
      </c>
      <c r="BU40" s="1702">
        <v>43997</v>
      </c>
      <c r="BV40" s="1711" t="s">
        <v>9129</v>
      </c>
      <c r="BW40" s="1704">
        <v>0</v>
      </c>
      <c r="BX40" s="1710" t="s">
        <v>414</v>
      </c>
      <c r="BY40" s="1702">
        <v>44359</v>
      </c>
      <c r="BZ40" s="1711" t="s">
        <v>9130</v>
      </c>
      <c r="CA40" s="1704">
        <v>8</v>
      </c>
      <c r="CB40" s="1739" t="s">
        <v>278</v>
      </c>
      <c r="CC40" s="1702">
        <v>44715</v>
      </c>
      <c r="CD40" s="1711" t="s">
        <v>845</v>
      </c>
      <c r="CE40" s="1704">
        <v>50</v>
      </c>
      <c r="CF40" s="1710" t="s">
        <v>414</v>
      </c>
      <c r="CG40" s="1702">
        <v>45086</v>
      </c>
      <c r="CH40" s="1711" t="s">
        <v>9131</v>
      </c>
      <c r="CI40" s="1704">
        <v>34</v>
      </c>
      <c r="CJ40" s="1710" t="s">
        <v>284</v>
      </c>
      <c r="CK40" s="1702">
        <v>45451</v>
      </c>
      <c r="CL40" s="1738" t="s">
        <v>9132</v>
      </c>
      <c r="CM40" s="1704">
        <v>63</v>
      </c>
      <c r="CN40" s="1710" t="s">
        <v>707</v>
      </c>
      <c r="CO40" s="1702">
        <v>45451</v>
      </c>
      <c r="CP40" s="1738" t="s">
        <v>9132</v>
      </c>
      <c r="CQ40" s="1704">
        <v>63</v>
      </c>
      <c r="CR40" s="1710" t="s">
        <v>707</v>
      </c>
      <c r="CS40" s="1702"/>
      <c r="CT40" s="1738"/>
      <c r="CU40" s="1704"/>
      <c r="CV40" s="1710"/>
    </row>
    <row r="41" spans="1:100" ht="13.5">
      <c r="A41" s="1702">
        <v>37784</v>
      </c>
      <c r="B41" s="1703" t="s">
        <v>9133</v>
      </c>
      <c r="C41" s="1704"/>
      <c r="D41" s="1705">
        <v>23</v>
      </c>
      <c r="E41" s="1702">
        <v>38151</v>
      </c>
      <c r="F41" s="1703" t="s">
        <v>9134</v>
      </c>
      <c r="G41" s="1704">
        <v>30</v>
      </c>
      <c r="H41" s="1705"/>
      <c r="I41" s="1702">
        <v>38528</v>
      </c>
      <c r="J41" s="1703" t="s">
        <v>9135</v>
      </c>
      <c r="K41" s="1704">
        <v>20</v>
      </c>
      <c r="L41" s="1705"/>
      <c r="M41" s="1702">
        <v>38892</v>
      </c>
      <c r="N41" s="1703" t="s">
        <v>9136</v>
      </c>
      <c r="O41" s="1704">
        <v>10</v>
      </c>
      <c r="P41" s="1705"/>
      <c r="Q41" s="1702">
        <v>39260</v>
      </c>
      <c r="R41" s="1703" t="s">
        <v>6147</v>
      </c>
      <c r="S41" s="1704">
        <v>21</v>
      </c>
      <c r="T41" s="1705"/>
      <c r="U41" s="1702">
        <v>39620</v>
      </c>
      <c r="V41" s="1703" t="s">
        <v>5707</v>
      </c>
      <c r="W41" s="1704">
        <v>8</v>
      </c>
      <c r="X41" s="1705"/>
      <c r="Y41" s="1702">
        <v>39989</v>
      </c>
      <c r="Z41" s="1703" t="s">
        <v>9137</v>
      </c>
      <c r="AA41" s="1704">
        <v>8</v>
      </c>
      <c r="AB41" s="1705"/>
      <c r="AC41" s="1702">
        <v>40355</v>
      </c>
      <c r="AD41" s="1703" t="s">
        <v>1237</v>
      </c>
      <c r="AE41" s="1704">
        <v>10</v>
      </c>
      <c r="AF41" s="1705"/>
      <c r="AG41" s="1702">
        <v>40719</v>
      </c>
      <c r="AH41" s="1703" t="s">
        <v>1157</v>
      </c>
      <c r="AI41" s="1704">
        <v>138</v>
      </c>
      <c r="AJ41" s="1705"/>
      <c r="AK41" s="1702">
        <v>41081</v>
      </c>
      <c r="AL41" s="1703" t="s">
        <v>797</v>
      </c>
      <c r="AM41" s="1704">
        <v>58</v>
      </c>
      <c r="AN41" s="1705"/>
      <c r="AO41" s="1702">
        <v>41441</v>
      </c>
      <c r="AP41" s="1703" t="s">
        <v>9138</v>
      </c>
      <c r="AQ41" s="1704">
        <v>12</v>
      </c>
      <c r="AR41" s="1705"/>
      <c r="AS41" s="1702">
        <v>41804</v>
      </c>
      <c r="AT41" s="1703" t="s">
        <v>781</v>
      </c>
      <c r="AU41" s="1704">
        <v>50</v>
      </c>
      <c r="AV41" s="1705"/>
      <c r="AW41" s="1702">
        <v>42168</v>
      </c>
      <c r="AX41" s="1703" t="s">
        <v>797</v>
      </c>
      <c r="AY41" s="1704">
        <v>18</v>
      </c>
      <c r="AZ41" s="1705"/>
      <c r="BA41" s="1702">
        <v>42536</v>
      </c>
      <c r="BB41" s="1711" t="s">
        <v>802</v>
      </c>
      <c r="BC41" s="1704">
        <v>38</v>
      </c>
      <c r="BD41" s="1705"/>
      <c r="BE41" s="1702">
        <v>42894</v>
      </c>
      <c r="BF41" s="1711" t="s">
        <v>9139</v>
      </c>
      <c r="BG41" s="1704">
        <v>25</v>
      </c>
      <c r="BH41" s="1705"/>
      <c r="BI41" s="1702">
        <v>43260</v>
      </c>
      <c r="BJ41" s="1711" t="s">
        <v>9140</v>
      </c>
      <c r="BK41" s="1704">
        <v>47</v>
      </c>
      <c r="BL41" s="1705"/>
      <c r="BM41" s="1702"/>
      <c r="BN41" s="1711"/>
      <c r="BO41" s="1704"/>
      <c r="BP41" s="1705"/>
      <c r="BQ41" s="1702">
        <v>43632</v>
      </c>
      <c r="BR41" s="1711" t="s">
        <v>797</v>
      </c>
      <c r="BS41" s="1704">
        <v>38</v>
      </c>
      <c r="BT41" s="1710" t="s">
        <v>410</v>
      </c>
      <c r="BU41" s="1702">
        <v>43997</v>
      </c>
      <c r="BV41" s="1711" t="s">
        <v>3127</v>
      </c>
      <c r="BW41" s="1704">
        <v>21</v>
      </c>
      <c r="BX41" s="1710" t="s">
        <v>414</v>
      </c>
      <c r="BY41" s="1702">
        <v>44360</v>
      </c>
      <c r="BZ41" s="1711" t="s">
        <v>9141</v>
      </c>
      <c r="CA41" s="1704">
        <v>30</v>
      </c>
      <c r="CB41" s="1710" t="s">
        <v>381</v>
      </c>
      <c r="CC41" s="1702">
        <v>44716</v>
      </c>
      <c r="CD41" s="1711" t="s">
        <v>772</v>
      </c>
      <c r="CE41" s="1704">
        <v>45</v>
      </c>
      <c r="CF41" s="1710" t="s">
        <v>414</v>
      </c>
      <c r="CG41" s="1702">
        <v>45086</v>
      </c>
      <c r="CH41" s="1711" t="s">
        <v>9142</v>
      </c>
      <c r="CI41" s="1704">
        <v>20</v>
      </c>
      <c r="CJ41" s="1710" t="s">
        <v>280</v>
      </c>
      <c r="CK41" s="1702">
        <v>45451</v>
      </c>
      <c r="CL41" s="1738" t="s">
        <v>9143</v>
      </c>
      <c r="CM41" s="1704">
        <v>27</v>
      </c>
      <c r="CN41" s="1710" t="s">
        <v>278</v>
      </c>
      <c r="CO41" s="1702">
        <v>45451</v>
      </c>
      <c r="CP41" s="1738" t="s">
        <v>9143</v>
      </c>
      <c r="CQ41" s="1704">
        <v>27</v>
      </c>
      <c r="CR41" s="1710" t="s">
        <v>278</v>
      </c>
      <c r="CS41" s="1702"/>
      <c r="CT41" s="1738"/>
      <c r="CU41" s="1704"/>
      <c r="CV41" s="1710"/>
    </row>
    <row r="42" spans="1:100" ht="13.5">
      <c r="A42" s="1702">
        <v>37785</v>
      </c>
      <c r="B42" s="1703" t="s">
        <v>9144</v>
      </c>
      <c r="C42" s="1704"/>
      <c r="D42" s="1705">
        <v>18</v>
      </c>
      <c r="E42" s="1702">
        <v>38154</v>
      </c>
      <c r="F42" s="1703" t="s">
        <v>4091</v>
      </c>
      <c r="G42" s="1704">
        <v>16</v>
      </c>
      <c r="H42" s="1705"/>
      <c r="I42" s="1702">
        <v>38528</v>
      </c>
      <c r="J42" s="1703" t="s">
        <v>9145</v>
      </c>
      <c r="K42" s="1704">
        <v>20</v>
      </c>
      <c r="L42" s="1705"/>
      <c r="M42" s="1702">
        <v>38892</v>
      </c>
      <c r="N42" s="1703" t="s">
        <v>9146</v>
      </c>
      <c r="O42" s="1704">
        <v>5</v>
      </c>
      <c r="P42" s="1705"/>
      <c r="Q42" s="1702">
        <v>39260</v>
      </c>
      <c r="R42" s="1703" t="s">
        <v>9147</v>
      </c>
      <c r="S42" s="1704">
        <v>7</v>
      </c>
      <c r="T42" s="1705"/>
      <c r="U42" s="1702">
        <v>39620</v>
      </c>
      <c r="V42" s="1703" t="s">
        <v>937</v>
      </c>
      <c r="W42" s="1704">
        <v>6</v>
      </c>
      <c r="X42" s="1705"/>
      <c r="Y42" s="1702">
        <v>39989</v>
      </c>
      <c r="Z42" s="1703" t="s">
        <v>9148</v>
      </c>
      <c r="AA42" s="1704">
        <v>32</v>
      </c>
      <c r="AB42" s="1705"/>
      <c r="AC42" s="1702">
        <v>40355</v>
      </c>
      <c r="AD42" s="1703" t="s">
        <v>748</v>
      </c>
      <c r="AE42" s="1704">
        <v>30</v>
      </c>
      <c r="AF42" s="1705"/>
      <c r="AG42" s="1702">
        <v>40719</v>
      </c>
      <c r="AH42" s="1703" t="s">
        <v>9149</v>
      </c>
      <c r="AI42" s="1704">
        <v>20</v>
      </c>
      <c r="AJ42" s="1705"/>
      <c r="AK42" s="1702">
        <v>41081</v>
      </c>
      <c r="AL42" s="1703" t="s">
        <v>1352</v>
      </c>
      <c r="AM42" s="1704">
        <v>17</v>
      </c>
      <c r="AN42" s="1705"/>
      <c r="AO42" s="1702">
        <v>41442</v>
      </c>
      <c r="AP42" s="1703" t="s">
        <v>797</v>
      </c>
      <c r="AQ42" s="1704">
        <v>60</v>
      </c>
      <c r="AR42" s="1705"/>
      <c r="AS42" s="1702">
        <v>41804</v>
      </c>
      <c r="AT42" s="1703" t="s">
        <v>954</v>
      </c>
      <c r="AU42" s="1704">
        <v>63</v>
      </c>
      <c r="AV42" s="1705"/>
      <c r="AW42" s="1702">
        <v>42168</v>
      </c>
      <c r="AX42" s="1703" t="s">
        <v>9150</v>
      </c>
      <c r="AY42" s="1704">
        <v>24</v>
      </c>
      <c r="AZ42" s="1705"/>
      <c r="BA42" s="1702">
        <v>42536</v>
      </c>
      <c r="BB42" s="1711" t="s">
        <v>9151</v>
      </c>
      <c r="BC42" s="1704">
        <v>0</v>
      </c>
      <c r="BD42" s="1705"/>
      <c r="BE42" s="1702">
        <v>42894</v>
      </c>
      <c r="BF42" s="1711" t="s">
        <v>9152</v>
      </c>
      <c r="BG42" s="1704">
        <v>15</v>
      </c>
      <c r="BH42" s="1705"/>
      <c r="BI42" s="1702">
        <v>43260</v>
      </c>
      <c r="BJ42" s="1711" t="s">
        <v>9153</v>
      </c>
      <c r="BK42" s="1704">
        <v>13</v>
      </c>
      <c r="BL42" s="1705"/>
      <c r="BM42" s="1702"/>
      <c r="BN42" s="1711"/>
      <c r="BO42" s="1704"/>
      <c r="BP42" s="1705"/>
      <c r="BQ42" s="1702">
        <v>43632</v>
      </c>
      <c r="BR42" s="1711" t="s">
        <v>9154</v>
      </c>
      <c r="BS42" s="1704">
        <v>10</v>
      </c>
      <c r="BT42" s="1710" t="s">
        <v>280</v>
      </c>
      <c r="BU42" s="1702">
        <v>43997</v>
      </c>
      <c r="BV42" s="1711" t="s">
        <v>1333</v>
      </c>
      <c r="BW42" s="1704">
        <v>12</v>
      </c>
      <c r="BX42" s="1710" t="s">
        <v>414</v>
      </c>
      <c r="BY42" s="1702">
        <v>44360</v>
      </c>
      <c r="BZ42" s="1711" t="s">
        <v>9130</v>
      </c>
      <c r="CA42" s="1704">
        <v>8</v>
      </c>
      <c r="CB42" s="1710" t="s">
        <v>414</v>
      </c>
      <c r="CC42" s="1702">
        <v>44716</v>
      </c>
      <c r="CD42" s="1711" t="s">
        <v>872</v>
      </c>
      <c r="CE42" s="1704">
        <v>3</v>
      </c>
      <c r="CF42" s="1710" t="s">
        <v>414</v>
      </c>
      <c r="CG42" s="1702">
        <v>45086</v>
      </c>
      <c r="CH42" s="1711" t="s">
        <v>845</v>
      </c>
      <c r="CI42" s="1704">
        <v>25</v>
      </c>
      <c r="CJ42" s="1710" t="s">
        <v>414</v>
      </c>
      <c r="CK42" s="1702">
        <v>45451</v>
      </c>
      <c r="CL42" s="1741" t="s">
        <v>9155</v>
      </c>
      <c r="CM42" s="1704">
        <v>77</v>
      </c>
      <c r="CN42" s="1710" t="s">
        <v>278</v>
      </c>
      <c r="CO42" s="1702">
        <v>45451</v>
      </c>
      <c r="CP42" s="1741" t="s">
        <v>9155</v>
      </c>
      <c r="CQ42" s="1704">
        <v>77</v>
      </c>
      <c r="CR42" s="1710" t="s">
        <v>278</v>
      </c>
      <c r="CS42" s="1702"/>
      <c r="CT42" s="1741"/>
      <c r="CU42" s="1704"/>
      <c r="CV42" s="1710"/>
    </row>
    <row r="43" spans="1:100" ht="13.5">
      <c r="A43" s="1702">
        <v>37785</v>
      </c>
      <c r="B43" s="1703" t="s">
        <v>9156</v>
      </c>
      <c r="C43" s="1704">
        <v>5</v>
      </c>
      <c r="D43" s="1705"/>
      <c r="E43" s="1702">
        <v>38154</v>
      </c>
      <c r="F43" s="1703" t="s">
        <v>9157</v>
      </c>
      <c r="G43" s="1704">
        <v>15</v>
      </c>
      <c r="H43" s="1705"/>
      <c r="I43" s="1702">
        <v>38529</v>
      </c>
      <c r="J43" s="1703" t="s">
        <v>9158</v>
      </c>
      <c r="K43" s="1704">
        <v>25</v>
      </c>
      <c r="L43" s="1705"/>
      <c r="M43" s="1702">
        <v>38893</v>
      </c>
      <c r="N43" s="1703" t="s">
        <v>9159</v>
      </c>
      <c r="O43" s="1704">
        <v>16</v>
      </c>
      <c r="P43" s="1705"/>
      <c r="Q43" s="1702">
        <v>39260</v>
      </c>
      <c r="R43" s="1703" t="s">
        <v>9160</v>
      </c>
      <c r="S43" s="1704">
        <v>25</v>
      </c>
      <c r="T43" s="1705"/>
      <c r="U43" s="1702">
        <v>39620</v>
      </c>
      <c r="V43" s="1703" t="s">
        <v>2226</v>
      </c>
      <c r="W43" s="1704">
        <v>4</v>
      </c>
      <c r="X43" s="1705"/>
      <c r="Y43" s="1702">
        <v>39990</v>
      </c>
      <c r="Z43" s="1703" t="s">
        <v>9161</v>
      </c>
      <c r="AA43" s="1704">
        <v>15</v>
      </c>
      <c r="AB43" s="1705"/>
      <c r="AC43" s="1702">
        <v>40355</v>
      </c>
      <c r="AD43" s="1703" t="s">
        <v>937</v>
      </c>
      <c r="AE43" s="1704">
        <v>28</v>
      </c>
      <c r="AF43" s="1705"/>
      <c r="AG43" s="1702">
        <v>40720</v>
      </c>
      <c r="AH43" s="1703" t="s">
        <v>9162</v>
      </c>
      <c r="AI43" s="1704">
        <v>15</v>
      </c>
      <c r="AJ43" s="1705"/>
      <c r="AK43" s="1702">
        <v>41081</v>
      </c>
      <c r="AL43" s="1703" t="s">
        <v>9163</v>
      </c>
      <c r="AM43" s="1704">
        <v>6</v>
      </c>
      <c r="AN43" s="1705"/>
      <c r="AO43" s="1702">
        <v>41442</v>
      </c>
      <c r="AP43" s="1703" t="s">
        <v>8679</v>
      </c>
      <c r="AQ43" s="1704">
        <v>47</v>
      </c>
      <c r="AR43" s="1705"/>
      <c r="AS43" s="1702">
        <v>41804</v>
      </c>
      <c r="AT43" s="1703" t="s">
        <v>9164</v>
      </c>
      <c r="AU43" s="1704">
        <v>2</v>
      </c>
      <c r="AV43" s="1705"/>
      <c r="AW43" s="1702">
        <v>42168</v>
      </c>
      <c r="AX43" s="1703" t="s">
        <v>781</v>
      </c>
      <c r="AY43" s="1704">
        <v>81</v>
      </c>
      <c r="AZ43" s="1705"/>
      <c r="BA43" s="1702">
        <v>42536</v>
      </c>
      <c r="BB43" s="1711" t="s">
        <v>9165</v>
      </c>
      <c r="BC43" s="1704">
        <v>13</v>
      </c>
      <c r="BD43" s="1705"/>
      <c r="BE43" s="1702">
        <v>42895</v>
      </c>
      <c r="BF43" s="1711" t="s">
        <v>9166</v>
      </c>
      <c r="BG43" s="1704">
        <v>11</v>
      </c>
      <c r="BH43" s="1705"/>
      <c r="BI43" s="1702">
        <v>43260</v>
      </c>
      <c r="BJ43" s="1711" t="s">
        <v>9167</v>
      </c>
      <c r="BK43" s="1704">
        <v>11</v>
      </c>
      <c r="BL43" s="1705"/>
      <c r="BM43" s="1702"/>
      <c r="BN43" s="1711"/>
      <c r="BO43" s="1704"/>
      <c r="BP43" s="1705"/>
      <c r="BQ43" s="1702">
        <v>43634</v>
      </c>
      <c r="BR43" s="1711" t="s">
        <v>5353</v>
      </c>
      <c r="BS43" s="1704">
        <v>30</v>
      </c>
      <c r="BT43" s="1710" t="s">
        <v>426</v>
      </c>
      <c r="BU43" s="1702">
        <v>43997</v>
      </c>
      <c r="BV43" s="1711" t="s">
        <v>9168</v>
      </c>
      <c r="BW43" s="1704">
        <v>7</v>
      </c>
      <c r="BX43" s="1710" t="s">
        <v>414</v>
      </c>
      <c r="BY43" s="1702">
        <v>44360</v>
      </c>
      <c r="BZ43" s="1711" t="s">
        <v>2483</v>
      </c>
      <c r="CA43" s="1704">
        <v>64</v>
      </c>
      <c r="CB43" s="1710" t="s">
        <v>410</v>
      </c>
      <c r="CC43" s="1702">
        <v>44716</v>
      </c>
      <c r="CD43" s="1711" t="s">
        <v>843</v>
      </c>
      <c r="CE43" s="1704">
        <v>36</v>
      </c>
      <c r="CF43" s="1710" t="s">
        <v>414</v>
      </c>
      <c r="CG43" s="1702">
        <v>45086</v>
      </c>
      <c r="CH43" s="1711" t="s">
        <v>2470</v>
      </c>
      <c r="CI43" s="1704">
        <v>29</v>
      </c>
      <c r="CJ43" s="1710" t="s">
        <v>414</v>
      </c>
      <c r="CK43" s="1702">
        <v>45451</v>
      </c>
      <c r="CL43" s="1683" t="s">
        <v>9169</v>
      </c>
      <c r="CM43" s="1704">
        <v>35</v>
      </c>
      <c r="CN43" s="1710" t="s">
        <v>381</v>
      </c>
      <c r="CO43" s="1702">
        <v>45451</v>
      </c>
      <c r="CP43" s="1683" t="s">
        <v>9169</v>
      </c>
      <c r="CQ43" s="1704">
        <v>35</v>
      </c>
      <c r="CR43" s="1710" t="s">
        <v>381</v>
      </c>
      <c r="CS43" s="1702"/>
      <c r="CU43" s="1704"/>
      <c r="CV43" s="1710"/>
    </row>
    <row r="44" spans="1:100" ht="13.5">
      <c r="A44" s="1702">
        <v>37786</v>
      </c>
      <c r="B44" s="1703" t="s">
        <v>9170</v>
      </c>
      <c r="C44" s="1704">
        <v>23</v>
      </c>
      <c r="D44" s="1705"/>
      <c r="E44" s="1702">
        <v>38155</v>
      </c>
      <c r="F44" s="1703" t="s">
        <v>9171</v>
      </c>
      <c r="G44" s="1704">
        <v>160</v>
      </c>
      <c r="H44" s="1705"/>
      <c r="I44" s="1702">
        <v>38529</v>
      </c>
      <c r="J44" s="1703" t="s">
        <v>767</v>
      </c>
      <c r="K44" s="1704">
        <v>6</v>
      </c>
      <c r="L44" s="1705"/>
      <c r="M44" s="1702">
        <v>38893</v>
      </c>
      <c r="N44" s="1703" t="s">
        <v>767</v>
      </c>
      <c r="O44" s="1704">
        <v>32</v>
      </c>
      <c r="P44" s="1705"/>
      <c r="Q44" s="1702">
        <v>39262</v>
      </c>
      <c r="R44" s="1703" t="s">
        <v>9172</v>
      </c>
      <c r="S44" s="1704">
        <v>84</v>
      </c>
      <c r="T44" s="1705"/>
      <c r="U44" s="1702">
        <v>39620</v>
      </c>
      <c r="V44" s="1703" t="s">
        <v>9173</v>
      </c>
      <c r="W44" s="1704">
        <v>20</v>
      </c>
      <c r="X44" s="1705"/>
      <c r="Y44" s="1702">
        <v>39991</v>
      </c>
      <c r="Z44" s="1703" t="s">
        <v>9174</v>
      </c>
      <c r="AA44" s="1704">
        <v>5</v>
      </c>
      <c r="AB44" s="1705"/>
      <c r="AC44" s="1702">
        <v>40355</v>
      </c>
      <c r="AD44" s="1703" t="s">
        <v>9175</v>
      </c>
      <c r="AE44" s="1704">
        <v>27</v>
      </c>
      <c r="AF44" s="1705"/>
      <c r="AG44" s="1702">
        <v>40720</v>
      </c>
      <c r="AH44" s="1703" t="s">
        <v>797</v>
      </c>
      <c r="AI44" s="1704">
        <v>55</v>
      </c>
      <c r="AJ44" s="1705"/>
      <c r="AK44" s="1702">
        <v>41083</v>
      </c>
      <c r="AL44" s="1703" t="s">
        <v>797</v>
      </c>
      <c r="AM44" s="1704">
        <v>64</v>
      </c>
      <c r="AN44" s="1705"/>
      <c r="AO44" s="1702">
        <v>41443</v>
      </c>
      <c r="AP44" s="1703" t="s">
        <v>9176</v>
      </c>
      <c r="AQ44" s="1704"/>
      <c r="AR44" s="1705"/>
      <c r="AS44" s="1702">
        <v>41805</v>
      </c>
      <c r="AT44" s="1703" t="s">
        <v>9177</v>
      </c>
      <c r="AU44" s="1704"/>
      <c r="AV44" s="1705"/>
      <c r="AW44" s="1702">
        <v>42168</v>
      </c>
      <c r="AX44" s="1703" t="s">
        <v>954</v>
      </c>
      <c r="AY44" s="1704">
        <v>13</v>
      </c>
      <c r="AZ44" s="1705"/>
      <c r="BA44" s="1702">
        <v>42536</v>
      </c>
      <c r="BB44" s="1711" t="s">
        <v>9178</v>
      </c>
      <c r="BC44" s="1704">
        <v>77</v>
      </c>
      <c r="BD44" s="1705"/>
      <c r="BE44" s="1702">
        <v>42895</v>
      </c>
      <c r="BF44" s="1711" t="s">
        <v>9179</v>
      </c>
      <c r="BG44" s="1704">
        <v>7</v>
      </c>
      <c r="BH44" s="1705"/>
      <c r="BI44" s="1702">
        <v>43260</v>
      </c>
      <c r="BJ44" s="1711" t="s">
        <v>1180</v>
      </c>
      <c r="BK44" s="1704">
        <v>87</v>
      </c>
      <c r="BL44" s="1705"/>
      <c r="BM44" s="1702"/>
      <c r="BN44" s="1711"/>
      <c r="BO44" s="1704"/>
      <c r="BP44" s="1705"/>
      <c r="BQ44" s="1702">
        <v>43636</v>
      </c>
      <c r="BR44" s="1711" t="s">
        <v>845</v>
      </c>
      <c r="BS44" s="1704">
        <v>38</v>
      </c>
      <c r="BT44" s="1710" t="s">
        <v>414</v>
      </c>
      <c r="BU44" s="1702">
        <v>44001</v>
      </c>
      <c r="BV44" s="1711" t="s">
        <v>9180</v>
      </c>
      <c r="BW44" s="1704">
        <v>20</v>
      </c>
      <c r="BX44" s="1710" t="s">
        <v>280</v>
      </c>
      <c r="BY44" s="1702">
        <v>44360</v>
      </c>
      <c r="BZ44" s="1711" t="s">
        <v>2483</v>
      </c>
      <c r="CA44" s="1704">
        <v>97</v>
      </c>
      <c r="CB44" s="1710" t="s">
        <v>410</v>
      </c>
      <c r="CC44" s="1702">
        <v>44716</v>
      </c>
      <c r="CD44" s="1711" t="s">
        <v>9181</v>
      </c>
      <c r="CE44" s="1704">
        <v>1480</v>
      </c>
      <c r="CF44" s="1710" t="s">
        <v>280</v>
      </c>
      <c r="CG44" s="1702">
        <v>45087</v>
      </c>
      <c r="CH44" s="1711" t="s">
        <v>1634</v>
      </c>
      <c r="CI44" s="1704">
        <v>27</v>
      </c>
      <c r="CJ44" s="1710" t="s">
        <v>414</v>
      </c>
      <c r="CK44" s="1702">
        <v>45452</v>
      </c>
      <c r="CL44" s="1683" t="s">
        <v>9182</v>
      </c>
      <c r="CM44" s="1704">
        <v>16</v>
      </c>
      <c r="CN44" s="1710" t="s">
        <v>278</v>
      </c>
      <c r="CO44" s="1702">
        <v>45452</v>
      </c>
      <c r="CP44" s="1683" t="s">
        <v>9182</v>
      </c>
      <c r="CQ44" s="1704">
        <v>16</v>
      </c>
      <c r="CR44" s="1710" t="s">
        <v>278</v>
      </c>
      <c r="CS44" s="1702"/>
      <c r="CU44" s="1704"/>
      <c r="CV44" s="1710"/>
    </row>
    <row r="45" spans="1:100" ht="13.5">
      <c r="A45" s="1702">
        <v>37786</v>
      </c>
      <c r="B45" s="1703" t="s">
        <v>9183</v>
      </c>
      <c r="C45" s="1704"/>
      <c r="D45" s="1705">
        <v>18</v>
      </c>
      <c r="E45" s="1702">
        <v>38155</v>
      </c>
      <c r="F45" s="1703" t="s">
        <v>9184</v>
      </c>
      <c r="G45" s="1704">
        <v>12</v>
      </c>
      <c r="H45" s="1705"/>
      <c r="I45" s="1702">
        <v>38529</v>
      </c>
      <c r="J45" s="1703" t="s">
        <v>9185</v>
      </c>
      <c r="K45" s="1704">
        <v>53</v>
      </c>
      <c r="L45" s="1705"/>
      <c r="M45" s="1702">
        <v>38894</v>
      </c>
      <c r="N45" s="1703" t="s">
        <v>9186</v>
      </c>
      <c r="O45" s="1704">
        <v>25</v>
      </c>
      <c r="P45" s="1705"/>
      <c r="Q45" s="1702">
        <v>39262</v>
      </c>
      <c r="R45" s="1703" t="s">
        <v>9187</v>
      </c>
      <c r="S45" s="1704">
        <v>30</v>
      </c>
      <c r="T45" s="1705"/>
      <c r="U45" s="1702">
        <v>39622</v>
      </c>
      <c r="V45" s="1703" t="s">
        <v>9188</v>
      </c>
      <c r="W45" s="1704">
        <v>32</v>
      </c>
      <c r="X45" s="1705"/>
      <c r="Y45" s="1702">
        <v>39991</v>
      </c>
      <c r="Z45" s="1703" t="s">
        <v>783</v>
      </c>
      <c r="AA45" s="1704">
        <v>7</v>
      </c>
      <c r="AB45" s="1705"/>
      <c r="AC45" s="1702">
        <v>40355</v>
      </c>
      <c r="AD45" s="1703" t="s">
        <v>781</v>
      </c>
      <c r="AE45" s="1704">
        <v>98</v>
      </c>
      <c r="AF45" s="1705"/>
      <c r="AG45" s="1702">
        <v>40720</v>
      </c>
      <c r="AH45" s="1703" t="s">
        <v>8897</v>
      </c>
      <c r="AI45" s="1704">
        <v>209</v>
      </c>
      <c r="AJ45" s="1705"/>
      <c r="AK45" s="1702">
        <v>41083</v>
      </c>
      <c r="AL45" s="1703" t="s">
        <v>772</v>
      </c>
      <c r="AM45" s="1704">
        <v>34</v>
      </c>
      <c r="AN45" s="1705"/>
      <c r="AO45" s="1702">
        <v>41443</v>
      </c>
      <c r="AP45" s="1703" t="s">
        <v>9189</v>
      </c>
      <c r="AQ45" s="1704">
        <v>31</v>
      </c>
      <c r="AR45" s="1705"/>
      <c r="AS45" s="1702">
        <v>41805</v>
      </c>
      <c r="AT45" s="1703" t="s">
        <v>3552</v>
      </c>
      <c r="AU45" s="1704">
        <v>46</v>
      </c>
      <c r="AV45" s="1705"/>
      <c r="AW45" s="1713">
        <v>42169</v>
      </c>
      <c r="AX45" s="1740" t="s">
        <v>9190</v>
      </c>
      <c r="AY45" s="1701">
        <v>100</v>
      </c>
      <c r="AZ45" s="1714"/>
      <c r="BA45" s="1702">
        <v>42536</v>
      </c>
      <c r="BB45" s="1711" t="s">
        <v>9191</v>
      </c>
      <c r="BC45" s="1704">
        <v>10</v>
      </c>
      <c r="BD45" s="1705"/>
      <c r="BE45" s="1702">
        <v>42895</v>
      </c>
      <c r="BF45" s="1711" t="s">
        <v>9192</v>
      </c>
      <c r="BG45" s="1704">
        <v>7</v>
      </c>
      <c r="BH45" s="1705"/>
      <c r="BI45" s="1702">
        <v>43260</v>
      </c>
      <c r="BJ45" s="1711" t="s">
        <v>797</v>
      </c>
      <c r="BK45" s="1704">
        <v>56</v>
      </c>
      <c r="BL45" s="1705"/>
      <c r="BM45" s="1702"/>
      <c r="BN45" s="1711"/>
      <c r="BO45" s="1704"/>
      <c r="BP45" s="1705"/>
      <c r="BQ45" s="1702">
        <v>43636</v>
      </c>
      <c r="BR45" s="1711" t="s">
        <v>1688</v>
      </c>
      <c r="BS45" s="1704">
        <v>14</v>
      </c>
      <c r="BT45" s="1710" t="s">
        <v>414</v>
      </c>
      <c r="BU45" s="1702">
        <v>44001</v>
      </c>
      <c r="BV45" s="1711" t="s">
        <v>9193</v>
      </c>
      <c r="BW45" s="1704">
        <v>20</v>
      </c>
      <c r="BX45" s="1710" t="s">
        <v>280</v>
      </c>
      <c r="BY45" s="1702">
        <v>44360</v>
      </c>
      <c r="BZ45" s="1711" t="s">
        <v>9194</v>
      </c>
      <c r="CA45" s="1704">
        <v>18</v>
      </c>
      <c r="CB45" s="1710" t="s">
        <v>278</v>
      </c>
      <c r="CC45" s="1702">
        <v>44716</v>
      </c>
      <c r="CD45" s="1711" t="s">
        <v>797</v>
      </c>
      <c r="CE45" s="1704">
        <v>75</v>
      </c>
      <c r="CF45" s="1710" t="s">
        <v>410</v>
      </c>
      <c r="CG45" s="1702">
        <v>45087</v>
      </c>
      <c r="CH45" s="1711" t="s">
        <v>828</v>
      </c>
      <c r="CI45" s="1704">
        <v>10</v>
      </c>
      <c r="CJ45" s="1710" t="s">
        <v>414</v>
      </c>
      <c r="CK45" s="1702">
        <v>45452</v>
      </c>
      <c r="CL45" s="1683" t="s">
        <v>9195</v>
      </c>
      <c r="CM45" s="1704">
        <v>65</v>
      </c>
      <c r="CN45" s="1710" t="s">
        <v>278</v>
      </c>
      <c r="CO45" s="1702">
        <v>45452</v>
      </c>
      <c r="CP45" s="1683" t="s">
        <v>9195</v>
      </c>
      <c r="CQ45" s="1704">
        <v>65</v>
      </c>
      <c r="CR45" s="1710" t="s">
        <v>278</v>
      </c>
      <c r="CS45" s="1702"/>
      <c r="CU45" s="1704"/>
      <c r="CV45" s="1710"/>
    </row>
    <row r="46" spans="1:100" ht="13.5">
      <c r="A46" s="1702">
        <v>37786</v>
      </c>
      <c r="B46" s="1703" t="s">
        <v>9196</v>
      </c>
      <c r="C46" s="1704"/>
      <c r="D46" s="1705">
        <v>10</v>
      </c>
      <c r="E46" s="1702">
        <v>38155</v>
      </c>
      <c r="F46" s="1703" t="s">
        <v>9197</v>
      </c>
      <c r="G46" s="1704">
        <v>15</v>
      </c>
      <c r="H46" s="1705"/>
      <c r="I46" s="1702">
        <v>38529</v>
      </c>
      <c r="J46" s="1703" t="s">
        <v>9198</v>
      </c>
      <c r="K46" s="1704">
        <v>20</v>
      </c>
      <c r="L46" s="1705"/>
      <c r="M46" s="1702">
        <v>38894</v>
      </c>
      <c r="N46" s="1703" t="s">
        <v>9199</v>
      </c>
      <c r="O46" s="1704">
        <v>10</v>
      </c>
      <c r="P46" s="1705"/>
      <c r="Q46" s="1702">
        <v>39262</v>
      </c>
      <c r="R46" s="1703" t="s">
        <v>9200</v>
      </c>
      <c r="S46" s="1704">
        <v>21</v>
      </c>
      <c r="T46" s="1705"/>
      <c r="U46" s="1702">
        <v>39622</v>
      </c>
      <c r="V46" s="1703" t="s">
        <v>9201</v>
      </c>
      <c r="W46" s="1704">
        <v>20</v>
      </c>
      <c r="X46" s="1705"/>
      <c r="Y46" s="1702">
        <v>39991</v>
      </c>
      <c r="Z46" s="1703" t="s">
        <v>767</v>
      </c>
      <c r="AA46" s="1704">
        <v>30</v>
      </c>
      <c r="AB46" s="1705"/>
      <c r="AC46" s="1702">
        <v>40356</v>
      </c>
      <c r="AD46" s="1703" t="s">
        <v>9202</v>
      </c>
      <c r="AE46" s="1704">
        <v>30</v>
      </c>
      <c r="AF46" s="1705"/>
      <c r="AG46" s="1702">
        <v>40721</v>
      </c>
      <c r="AH46" s="1703" t="s">
        <v>9203</v>
      </c>
      <c r="AI46" s="1704">
        <v>5</v>
      </c>
      <c r="AJ46" s="1705"/>
      <c r="AK46" s="1702">
        <v>41083</v>
      </c>
      <c r="AL46" s="1703" t="s">
        <v>754</v>
      </c>
      <c r="AM46" s="1704">
        <v>85</v>
      </c>
      <c r="AN46" s="1705"/>
      <c r="AO46" s="1702">
        <v>41444</v>
      </c>
      <c r="AP46" s="1703" t="s">
        <v>802</v>
      </c>
      <c r="AQ46" s="1704">
        <v>25</v>
      </c>
      <c r="AR46" s="1705"/>
      <c r="AS46" s="1702">
        <v>41805</v>
      </c>
      <c r="AT46" s="1703" t="s">
        <v>9204</v>
      </c>
      <c r="AU46" s="1704">
        <v>11</v>
      </c>
      <c r="AV46" s="1705"/>
      <c r="AW46" s="1702">
        <v>42169</v>
      </c>
      <c r="AX46" s="1703" t="s">
        <v>9205</v>
      </c>
      <c r="AY46" s="1704">
        <v>16</v>
      </c>
      <c r="AZ46" s="1705"/>
      <c r="BA46" s="1702">
        <v>42537</v>
      </c>
      <c r="BB46" s="1711" t="s">
        <v>9206</v>
      </c>
      <c r="BC46" s="1704">
        <v>0</v>
      </c>
      <c r="BD46" s="1705"/>
      <c r="BE46" s="1702">
        <v>42895</v>
      </c>
      <c r="BF46" s="1711" t="s">
        <v>9207</v>
      </c>
      <c r="BG46" s="1704">
        <v>10</v>
      </c>
      <c r="BH46" s="1705"/>
      <c r="BI46" s="1702">
        <v>43260</v>
      </c>
      <c r="BJ46" s="1711" t="s">
        <v>9208</v>
      </c>
      <c r="BK46" s="1704">
        <v>444</v>
      </c>
      <c r="BL46" s="1705"/>
      <c r="BM46" s="1702"/>
      <c r="BN46" s="1711"/>
      <c r="BO46" s="1704"/>
      <c r="BP46" s="1705"/>
      <c r="BQ46" s="1702">
        <v>43636</v>
      </c>
      <c r="BR46" s="1711" t="s">
        <v>931</v>
      </c>
      <c r="BS46" s="1704">
        <v>10</v>
      </c>
      <c r="BT46" s="1710" t="s">
        <v>414</v>
      </c>
      <c r="BU46" s="1702">
        <v>44001</v>
      </c>
      <c r="BV46" s="1711" t="s">
        <v>9209</v>
      </c>
      <c r="BW46" s="1704">
        <v>22</v>
      </c>
      <c r="BX46" s="1710" t="s">
        <v>280</v>
      </c>
      <c r="BY46" s="1702">
        <v>44362</v>
      </c>
      <c r="BZ46" s="1711" t="s">
        <v>781</v>
      </c>
      <c r="CA46" s="1704">
        <v>51</v>
      </c>
      <c r="CB46" s="1710" t="s">
        <v>414</v>
      </c>
      <c r="CC46" s="1702">
        <v>44716</v>
      </c>
      <c r="CD46" s="1711" t="s">
        <v>9210</v>
      </c>
      <c r="CE46" s="1704">
        <v>41</v>
      </c>
      <c r="CF46" s="1710" t="s">
        <v>280</v>
      </c>
      <c r="CG46" s="1702">
        <v>45087</v>
      </c>
      <c r="CH46" s="1711" t="s">
        <v>845</v>
      </c>
      <c r="CI46" s="1704">
        <v>21</v>
      </c>
      <c r="CJ46" s="1710" t="s">
        <v>414</v>
      </c>
      <c r="CK46" s="1702">
        <v>45452</v>
      </c>
      <c r="CL46" s="1683" t="s">
        <v>9211</v>
      </c>
      <c r="CM46" s="1704">
        <v>10</v>
      </c>
      <c r="CN46" s="1710" t="s">
        <v>278</v>
      </c>
      <c r="CO46" s="1702">
        <v>45452</v>
      </c>
      <c r="CP46" s="1683" t="s">
        <v>9211</v>
      </c>
      <c r="CQ46" s="1704">
        <v>10</v>
      </c>
      <c r="CR46" s="1710" t="s">
        <v>278</v>
      </c>
      <c r="CS46" s="1702"/>
      <c r="CU46" s="1704"/>
      <c r="CV46" s="1710"/>
    </row>
    <row r="47" spans="1:100" ht="13.5">
      <c r="A47" s="1702">
        <v>37786</v>
      </c>
      <c r="B47" s="1703" t="s">
        <v>9212</v>
      </c>
      <c r="C47" s="1704">
        <v>80</v>
      </c>
      <c r="D47" s="1705"/>
      <c r="E47" s="1702">
        <v>38155</v>
      </c>
      <c r="F47" s="1703" t="s">
        <v>9213</v>
      </c>
      <c r="G47" s="1704">
        <v>295</v>
      </c>
      <c r="H47" s="1705"/>
      <c r="I47" s="1702">
        <v>38529</v>
      </c>
      <c r="J47" s="1703" t="s">
        <v>2527</v>
      </c>
      <c r="K47" s="1704">
        <v>18</v>
      </c>
      <c r="L47" s="1705"/>
      <c r="M47" s="1702">
        <v>38895</v>
      </c>
      <c r="N47" s="1703" t="s">
        <v>9214</v>
      </c>
      <c r="O47" s="1704">
        <v>16</v>
      </c>
      <c r="P47" s="1705"/>
      <c r="Q47" s="1702">
        <v>39262</v>
      </c>
      <c r="R47" s="1703" t="s">
        <v>9215</v>
      </c>
      <c r="S47" s="1704">
        <v>8</v>
      </c>
      <c r="T47" s="1705"/>
      <c r="U47" s="1702">
        <v>39622</v>
      </c>
      <c r="V47" s="1703" t="s">
        <v>9216</v>
      </c>
      <c r="W47" s="1704">
        <v>26</v>
      </c>
      <c r="X47" s="1705"/>
      <c r="Y47" s="1702">
        <v>39992</v>
      </c>
      <c r="Z47" s="1703" t="s">
        <v>9217</v>
      </c>
      <c r="AA47" s="1704">
        <v>21</v>
      </c>
      <c r="AB47" s="1705"/>
      <c r="AC47" s="1702">
        <v>40356</v>
      </c>
      <c r="AD47" s="1703" t="s">
        <v>9218</v>
      </c>
      <c r="AE47" s="1704">
        <v>9</v>
      </c>
      <c r="AF47" s="1705"/>
      <c r="AG47" s="1702">
        <v>40721</v>
      </c>
      <c r="AH47" s="1703" t="s">
        <v>9219</v>
      </c>
      <c r="AI47" s="1704">
        <v>66</v>
      </c>
      <c r="AJ47" s="1705"/>
      <c r="AK47" s="1702">
        <v>41083</v>
      </c>
      <c r="AL47" s="1703" t="s">
        <v>772</v>
      </c>
      <c r="AM47" s="1704">
        <v>17</v>
      </c>
      <c r="AN47" s="1705"/>
      <c r="AO47" s="1702">
        <v>41445</v>
      </c>
      <c r="AP47" s="1703" t="s">
        <v>9220</v>
      </c>
      <c r="AQ47" s="1704">
        <v>2</v>
      </c>
      <c r="AR47" s="1705"/>
      <c r="AS47" s="1702">
        <v>41805</v>
      </c>
      <c r="AT47" s="1703" t="s">
        <v>772</v>
      </c>
      <c r="AU47" s="1704">
        <v>9</v>
      </c>
      <c r="AV47" s="1705"/>
      <c r="AW47" s="1702">
        <v>42169</v>
      </c>
      <c r="AX47" s="1703" t="s">
        <v>9221</v>
      </c>
      <c r="AY47" s="1704"/>
      <c r="AZ47" s="1705"/>
      <c r="BA47" s="1702">
        <v>42537</v>
      </c>
      <c r="BB47" s="1711" t="s">
        <v>9222</v>
      </c>
      <c r="BC47" s="1704">
        <v>70</v>
      </c>
      <c r="BD47" s="1705"/>
      <c r="BE47" s="1702">
        <v>42895</v>
      </c>
      <c r="BF47" s="1711" t="s">
        <v>9223</v>
      </c>
      <c r="BG47" s="1704">
        <v>7</v>
      </c>
      <c r="BH47" s="1705"/>
      <c r="BI47" s="1702">
        <v>43261</v>
      </c>
      <c r="BJ47" s="1711" t="s">
        <v>873</v>
      </c>
      <c r="BK47" s="1704">
        <v>8</v>
      </c>
      <c r="BL47" s="1705"/>
      <c r="BM47" s="1702"/>
      <c r="BN47" s="1711"/>
      <c r="BO47" s="1704"/>
      <c r="BP47" s="1705"/>
      <c r="BQ47" s="1702">
        <v>43636</v>
      </c>
      <c r="BR47" s="1711" t="s">
        <v>1198</v>
      </c>
      <c r="BS47" s="1704">
        <v>8</v>
      </c>
      <c r="BT47" s="1710" t="s">
        <v>414</v>
      </c>
      <c r="BU47" s="1702">
        <v>44001</v>
      </c>
      <c r="BV47" s="1711" t="s">
        <v>5367</v>
      </c>
      <c r="BW47" s="1704">
        <v>40</v>
      </c>
      <c r="BX47" s="1710" t="s">
        <v>426</v>
      </c>
      <c r="BY47" s="1702">
        <v>44363</v>
      </c>
      <c r="BZ47" s="1711" t="s">
        <v>828</v>
      </c>
      <c r="CA47" s="1704">
        <v>11</v>
      </c>
      <c r="CB47" s="1710" t="s">
        <v>414</v>
      </c>
      <c r="CC47" s="1702">
        <v>44716</v>
      </c>
      <c r="CD47" s="1711" t="s">
        <v>9118</v>
      </c>
      <c r="CE47" s="1704">
        <v>45</v>
      </c>
      <c r="CF47" s="1710" t="s">
        <v>700</v>
      </c>
      <c r="CG47" s="1702">
        <v>45087</v>
      </c>
      <c r="CH47" s="1711" t="s">
        <v>862</v>
      </c>
      <c r="CI47" s="1704">
        <v>15</v>
      </c>
      <c r="CJ47" s="1710" t="s">
        <v>414</v>
      </c>
      <c r="CK47" s="1702">
        <v>45452</v>
      </c>
      <c r="CL47" s="1683" t="s">
        <v>9224</v>
      </c>
      <c r="CM47" s="1704">
        <v>57</v>
      </c>
      <c r="CN47" s="1710" t="s">
        <v>410</v>
      </c>
      <c r="CO47" s="1702">
        <v>45452</v>
      </c>
      <c r="CP47" s="1683" t="s">
        <v>9224</v>
      </c>
      <c r="CQ47" s="1704">
        <v>57</v>
      </c>
      <c r="CR47" s="1710" t="s">
        <v>410</v>
      </c>
      <c r="CS47" s="1702"/>
      <c r="CU47" s="1704"/>
      <c r="CV47" s="1710"/>
    </row>
    <row r="48" spans="1:100" ht="13.5">
      <c r="A48" s="1702">
        <v>37787</v>
      </c>
      <c r="B48" s="1703" t="s">
        <v>9225</v>
      </c>
      <c r="C48" s="1704">
        <v>20</v>
      </c>
      <c r="D48" s="1705"/>
      <c r="E48" s="1702">
        <v>38155</v>
      </c>
      <c r="F48" s="1703" t="s">
        <v>9226</v>
      </c>
      <c r="G48" s="1704">
        <v>4</v>
      </c>
      <c r="H48" s="1705"/>
      <c r="I48" s="1702">
        <v>38529</v>
      </c>
      <c r="J48" s="1703" t="s">
        <v>9227</v>
      </c>
      <c r="K48" s="1704">
        <v>8</v>
      </c>
      <c r="L48" s="1705"/>
      <c r="M48" s="1702">
        <v>38895</v>
      </c>
      <c r="N48" s="1703" t="s">
        <v>9228</v>
      </c>
      <c r="O48" s="1704">
        <v>14</v>
      </c>
      <c r="P48" s="1705"/>
      <c r="Q48" s="1702">
        <v>39262</v>
      </c>
      <c r="R48" s="1703" t="s">
        <v>9229</v>
      </c>
      <c r="S48" s="1704">
        <v>30</v>
      </c>
      <c r="T48" s="1705"/>
      <c r="U48" s="1702">
        <v>39623</v>
      </c>
      <c r="V48" s="1703" t="s">
        <v>797</v>
      </c>
      <c r="W48" s="1704">
        <v>66</v>
      </c>
      <c r="X48" s="1705"/>
      <c r="Y48" s="1702"/>
      <c r="Z48" s="1703"/>
      <c r="AA48" s="1704"/>
      <c r="AB48" s="1705"/>
      <c r="AC48" s="1702">
        <v>40356</v>
      </c>
      <c r="AD48" s="1703" t="s">
        <v>1638</v>
      </c>
      <c r="AE48" s="1704">
        <v>8</v>
      </c>
      <c r="AF48" s="1705"/>
      <c r="AG48" s="1702">
        <v>40722</v>
      </c>
      <c r="AH48" s="1703" t="s">
        <v>9230</v>
      </c>
      <c r="AI48" s="1704">
        <v>54</v>
      </c>
      <c r="AJ48" s="1705"/>
      <c r="AK48" s="1702">
        <v>41084</v>
      </c>
      <c r="AL48" s="1703" t="s">
        <v>9231</v>
      </c>
      <c r="AM48" s="1704">
        <v>50</v>
      </c>
      <c r="AN48" s="1705"/>
      <c r="AO48" s="1702">
        <v>41448</v>
      </c>
      <c r="AP48" s="1703" t="s">
        <v>9232</v>
      </c>
      <c r="AQ48" s="1704"/>
      <c r="AR48" s="1705"/>
      <c r="AS48" s="1702">
        <v>41805</v>
      </c>
      <c r="AT48" s="1703" t="s">
        <v>754</v>
      </c>
      <c r="AU48" s="1704">
        <v>33</v>
      </c>
      <c r="AV48" s="1705"/>
      <c r="AW48" s="1702">
        <v>42169</v>
      </c>
      <c r="AX48" s="1703" t="s">
        <v>9233</v>
      </c>
      <c r="AY48" s="1704">
        <v>45</v>
      </c>
      <c r="AZ48" s="1705"/>
      <c r="BA48" s="1702">
        <v>42537</v>
      </c>
      <c r="BB48" s="1711" t="s">
        <v>9234</v>
      </c>
      <c r="BC48" s="1704">
        <v>35</v>
      </c>
      <c r="BD48" s="1705"/>
      <c r="BE48" s="1702">
        <v>42895</v>
      </c>
      <c r="BF48" s="1711" t="s">
        <v>9235</v>
      </c>
      <c r="BG48" s="1704">
        <v>88</v>
      </c>
      <c r="BH48" s="1705"/>
      <c r="BI48" s="1702">
        <v>43261</v>
      </c>
      <c r="BJ48" s="1711" t="s">
        <v>1427</v>
      </c>
      <c r="BK48" s="1704">
        <v>4</v>
      </c>
      <c r="BL48" s="1705"/>
      <c r="BM48" s="1702"/>
      <c r="BN48" s="1711"/>
      <c r="BO48" s="1704"/>
      <c r="BP48" s="1705"/>
      <c r="BQ48" s="1702">
        <v>43636</v>
      </c>
      <c r="BR48" s="1711" t="s">
        <v>1391</v>
      </c>
      <c r="BS48" s="1704">
        <v>9</v>
      </c>
      <c r="BT48" s="1710" t="s">
        <v>414</v>
      </c>
      <c r="BU48" s="1702">
        <v>44001</v>
      </c>
      <c r="BV48" s="1711" t="s">
        <v>9236</v>
      </c>
      <c r="BW48" s="1704">
        <v>2000</v>
      </c>
      <c r="BX48" s="1710" t="s">
        <v>284</v>
      </c>
      <c r="BY48" s="1702">
        <v>44363</v>
      </c>
      <c r="BZ48" s="1711" t="s">
        <v>9237</v>
      </c>
      <c r="CA48" s="1704">
        <v>14</v>
      </c>
      <c r="CB48" s="1710" t="s">
        <v>280</v>
      </c>
      <c r="CC48" s="1702">
        <v>44716</v>
      </c>
      <c r="CD48" s="1711" t="s">
        <v>9238</v>
      </c>
      <c r="CE48" s="1704">
        <v>12</v>
      </c>
      <c r="CF48" s="1710" t="s">
        <v>280</v>
      </c>
      <c r="CG48" s="1702">
        <v>45087</v>
      </c>
      <c r="CH48" s="1711" t="s">
        <v>9239</v>
      </c>
      <c r="CI48" s="1704">
        <v>14</v>
      </c>
      <c r="CJ48" s="1710" t="s">
        <v>280</v>
      </c>
      <c r="CK48" s="1702">
        <v>45452</v>
      </c>
      <c r="CL48" s="1683" t="s">
        <v>9240</v>
      </c>
      <c r="CM48" s="1704">
        <v>50</v>
      </c>
      <c r="CN48" s="1710" t="s">
        <v>278</v>
      </c>
      <c r="CO48" s="1702">
        <v>45452</v>
      </c>
      <c r="CP48" s="1683" t="s">
        <v>9240</v>
      </c>
      <c r="CQ48" s="1704">
        <v>50</v>
      </c>
      <c r="CR48" s="1710" t="s">
        <v>278</v>
      </c>
      <c r="CS48" s="1702"/>
      <c r="CU48" s="1704"/>
      <c r="CV48" s="1710"/>
    </row>
    <row r="49" spans="1:100" ht="13.5">
      <c r="A49" s="1702">
        <v>37787</v>
      </c>
      <c r="B49" s="1703" t="s">
        <v>9241</v>
      </c>
      <c r="C49" s="1704">
        <v>7</v>
      </c>
      <c r="D49" s="1705"/>
      <c r="E49" s="1702">
        <v>38156</v>
      </c>
      <c r="F49" s="1703" t="s">
        <v>9242</v>
      </c>
      <c r="G49" s="1704">
        <v>16</v>
      </c>
      <c r="H49" s="1705"/>
      <c r="I49" s="1702">
        <v>38529</v>
      </c>
      <c r="J49" s="1703" t="s">
        <v>802</v>
      </c>
      <c r="K49" s="1704">
        <v>26</v>
      </c>
      <c r="L49" s="1705"/>
      <c r="M49" s="1702">
        <v>38896</v>
      </c>
      <c r="N49" s="1703" t="s">
        <v>9243</v>
      </c>
      <c r="O49" s="1704">
        <v>5</v>
      </c>
      <c r="P49" s="1705"/>
      <c r="Q49" s="1702">
        <v>39262</v>
      </c>
      <c r="R49" s="1703" t="s">
        <v>9244</v>
      </c>
      <c r="S49" s="1704">
        <v>15</v>
      </c>
      <c r="T49" s="1705"/>
      <c r="U49" s="1702">
        <v>39625</v>
      </c>
      <c r="V49" s="1703" t="s">
        <v>9245</v>
      </c>
      <c r="W49" s="1704">
        <v>3</v>
      </c>
      <c r="X49" s="1705"/>
      <c r="Y49" s="1702"/>
      <c r="Z49" s="1703"/>
      <c r="AA49" s="1704"/>
      <c r="AB49" s="1705"/>
      <c r="AC49" s="1702">
        <v>40356</v>
      </c>
      <c r="AD49" s="1703" t="s">
        <v>1427</v>
      </c>
      <c r="AE49" s="1704">
        <v>17</v>
      </c>
      <c r="AF49" s="1705"/>
      <c r="AG49" s="1702">
        <v>40722</v>
      </c>
      <c r="AH49" s="1703" t="s">
        <v>9246</v>
      </c>
      <c r="AI49" s="1704">
        <v>15</v>
      </c>
      <c r="AJ49" s="1705"/>
      <c r="AK49" s="1702">
        <v>41084</v>
      </c>
      <c r="AL49" s="1703" t="s">
        <v>9247</v>
      </c>
      <c r="AM49" s="1704">
        <v>3</v>
      </c>
      <c r="AN49" s="1705"/>
      <c r="AO49" s="1702">
        <v>41448</v>
      </c>
      <c r="AP49" s="1703" t="s">
        <v>9248</v>
      </c>
      <c r="AQ49" s="1704">
        <v>2</v>
      </c>
      <c r="AR49" s="1705"/>
      <c r="AS49" s="1702">
        <v>41805</v>
      </c>
      <c r="AT49" s="1703" t="s">
        <v>9249</v>
      </c>
      <c r="AU49" s="1704">
        <v>31</v>
      </c>
      <c r="AV49" s="1705"/>
      <c r="AW49" s="1702">
        <v>42170</v>
      </c>
      <c r="AX49" s="1703" t="s">
        <v>9250</v>
      </c>
      <c r="AY49" s="1704">
        <v>410</v>
      </c>
      <c r="AZ49" s="1705"/>
      <c r="BA49" s="1702">
        <v>42538</v>
      </c>
      <c r="BB49" s="1711" t="s">
        <v>9251</v>
      </c>
      <c r="BC49" s="1704">
        <v>46</v>
      </c>
      <c r="BD49" s="1705"/>
      <c r="BE49" s="1702">
        <v>42895</v>
      </c>
      <c r="BF49" s="1711" t="s">
        <v>9252</v>
      </c>
      <c r="BG49" s="1704">
        <v>30</v>
      </c>
      <c r="BH49" s="1705"/>
      <c r="BI49" s="1702">
        <v>43261</v>
      </c>
      <c r="BJ49" s="1711" t="s">
        <v>1429</v>
      </c>
      <c r="BK49" s="1704">
        <v>4</v>
      </c>
      <c r="BL49" s="1705"/>
      <c r="BM49" s="1702"/>
      <c r="BN49" s="1711"/>
      <c r="BO49" s="1704"/>
      <c r="BP49" s="1705"/>
      <c r="BQ49" s="1702">
        <v>43636</v>
      </c>
      <c r="BR49" s="1711" t="s">
        <v>1166</v>
      </c>
      <c r="BS49" s="1704">
        <v>30</v>
      </c>
      <c r="BT49" s="1710" t="s">
        <v>414</v>
      </c>
      <c r="BU49" s="1702">
        <v>44002</v>
      </c>
      <c r="BV49" s="1711" t="s">
        <v>845</v>
      </c>
      <c r="BW49" s="1704">
        <v>110</v>
      </c>
      <c r="BX49" s="1710" t="s">
        <v>414</v>
      </c>
      <c r="BY49" s="1702">
        <v>44366</v>
      </c>
      <c r="BZ49" s="1711" t="s">
        <v>9253</v>
      </c>
      <c r="CA49" s="1704">
        <v>10</v>
      </c>
      <c r="CB49" s="1710" t="s">
        <v>280</v>
      </c>
      <c r="CC49" s="1702">
        <v>44723</v>
      </c>
      <c r="CD49" s="1711" t="s">
        <v>9254</v>
      </c>
      <c r="CE49" s="1704">
        <v>60</v>
      </c>
      <c r="CF49" s="1710" t="s">
        <v>700</v>
      </c>
      <c r="CG49" s="1702">
        <v>45088</v>
      </c>
      <c r="CH49" s="1711" t="s">
        <v>9255</v>
      </c>
      <c r="CI49" s="1704">
        <v>0</v>
      </c>
      <c r="CJ49" s="1710" t="s">
        <v>280</v>
      </c>
      <c r="CK49" s="1702">
        <v>45452</v>
      </c>
      <c r="CL49" s="1741" t="s">
        <v>9256</v>
      </c>
      <c r="CM49" s="1704">
        <v>67</v>
      </c>
      <c r="CN49" s="1710" t="s">
        <v>278</v>
      </c>
      <c r="CO49" s="1702">
        <v>45452</v>
      </c>
      <c r="CP49" s="1741" t="s">
        <v>9256</v>
      </c>
      <c r="CQ49" s="1704">
        <v>67</v>
      </c>
      <c r="CR49" s="1710" t="s">
        <v>278</v>
      </c>
      <c r="CS49" s="1702"/>
      <c r="CT49" s="1741"/>
      <c r="CU49" s="1704"/>
      <c r="CV49" s="1710"/>
    </row>
    <row r="50" spans="1:100" ht="13.5">
      <c r="A50" s="1702">
        <v>37787</v>
      </c>
      <c r="B50" s="1703" t="s">
        <v>9257</v>
      </c>
      <c r="C50" s="1704">
        <v>11</v>
      </c>
      <c r="D50" s="1705"/>
      <c r="E50" s="1702">
        <v>38157</v>
      </c>
      <c r="F50" s="1703" t="s">
        <v>802</v>
      </c>
      <c r="G50" s="1704">
        <v>30</v>
      </c>
      <c r="H50" s="1705"/>
      <c r="I50" s="1702">
        <v>38530</v>
      </c>
      <c r="J50" s="1703" t="s">
        <v>9258</v>
      </c>
      <c r="K50" s="1704">
        <v>6</v>
      </c>
      <c r="L50" s="1705"/>
      <c r="M50" s="1702">
        <v>38896</v>
      </c>
      <c r="N50" s="1703" t="s">
        <v>9067</v>
      </c>
      <c r="O50" s="1704">
        <v>5</v>
      </c>
      <c r="P50" s="1705"/>
      <c r="Q50" s="1702">
        <v>39262</v>
      </c>
      <c r="R50" s="1703" t="s">
        <v>9259</v>
      </c>
      <c r="S50" s="1704">
        <v>0</v>
      </c>
      <c r="T50" s="1705"/>
      <c r="U50" s="1702">
        <v>39625</v>
      </c>
      <c r="V50" s="1703" t="s">
        <v>9260</v>
      </c>
      <c r="W50" s="1704">
        <v>30</v>
      </c>
      <c r="X50" s="1705"/>
      <c r="Y50" s="1702"/>
      <c r="Z50" s="1703"/>
      <c r="AA50" s="1704"/>
      <c r="AB50" s="1705"/>
      <c r="AC50" s="1702">
        <v>40356</v>
      </c>
      <c r="AD50" s="1703" t="s">
        <v>9261</v>
      </c>
      <c r="AE50" s="1704"/>
      <c r="AF50" s="1705"/>
      <c r="AG50" s="1702"/>
      <c r="AH50" s="1703"/>
      <c r="AI50" s="1704"/>
      <c r="AJ50" s="1705"/>
      <c r="AK50" s="1702">
        <v>41084</v>
      </c>
      <c r="AL50" s="1703" t="s">
        <v>9262</v>
      </c>
      <c r="AM50" s="1704">
        <v>15</v>
      </c>
      <c r="AN50" s="1705"/>
      <c r="AO50" s="1702">
        <v>41449</v>
      </c>
      <c r="AP50" s="1703" t="s">
        <v>2005</v>
      </c>
      <c r="AQ50" s="1704">
        <v>82</v>
      </c>
      <c r="AR50" s="1705"/>
      <c r="AS50" s="1702">
        <v>41806</v>
      </c>
      <c r="AT50" s="1703" t="s">
        <v>797</v>
      </c>
      <c r="AU50" s="1704">
        <v>47</v>
      </c>
      <c r="AV50" s="1705"/>
      <c r="AW50" s="1702">
        <v>42170</v>
      </c>
      <c r="AX50" s="1703" t="s">
        <v>9263</v>
      </c>
      <c r="AY50" s="1704">
        <v>49</v>
      </c>
      <c r="AZ50" s="1705"/>
      <c r="BA50" s="1702">
        <v>42538</v>
      </c>
      <c r="BB50" s="1711" t="s">
        <v>9264</v>
      </c>
      <c r="BC50" s="1704">
        <v>52</v>
      </c>
      <c r="BD50" s="1705"/>
      <c r="BE50" s="1702">
        <v>42896</v>
      </c>
      <c r="BF50" s="1711" t="s">
        <v>9265</v>
      </c>
      <c r="BG50" s="1704">
        <v>10</v>
      </c>
      <c r="BH50" s="1705"/>
      <c r="BI50" s="1702">
        <v>43261</v>
      </c>
      <c r="BJ50" s="1711" t="s">
        <v>2226</v>
      </c>
      <c r="BK50" s="1704">
        <v>16</v>
      </c>
      <c r="BL50" s="1705"/>
      <c r="BM50" s="1702"/>
      <c r="BN50" s="1711"/>
      <c r="BO50" s="1704"/>
      <c r="BP50" s="1705"/>
      <c r="BQ50" s="1702">
        <v>43636</v>
      </c>
      <c r="BR50" s="1711" t="s">
        <v>9266</v>
      </c>
      <c r="BS50" s="1704">
        <v>5</v>
      </c>
      <c r="BT50" s="1710" t="s">
        <v>414</v>
      </c>
      <c r="BU50" s="1702">
        <v>44002</v>
      </c>
      <c r="BV50" s="1711" t="s">
        <v>1873</v>
      </c>
      <c r="BW50" s="1704">
        <v>43</v>
      </c>
      <c r="BX50" s="1710" t="s">
        <v>414</v>
      </c>
      <c r="BY50" s="1702">
        <v>44366</v>
      </c>
      <c r="BZ50" s="1711" t="s">
        <v>9267</v>
      </c>
      <c r="CA50" s="1704">
        <v>10</v>
      </c>
      <c r="CB50" s="1710" t="s">
        <v>414</v>
      </c>
      <c r="CC50" s="1702">
        <v>44723</v>
      </c>
      <c r="CD50" s="1711" t="s">
        <v>7640</v>
      </c>
      <c r="CE50" s="1704">
        <v>35</v>
      </c>
      <c r="CF50" s="1710" t="s">
        <v>280</v>
      </c>
      <c r="CG50" s="1702">
        <v>45088</v>
      </c>
      <c r="CH50" s="1711" t="s">
        <v>9268</v>
      </c>
      <c r="CI50" s="1704">
        <v>20</v>
      </c>
      <c r="CJ50" s="1710" t="s">
        <v>280</v>
      </c>
      <c r="CK50" s="1702">
        <v>45453</v>
      </c>
      <c r="CL50" s="1711" t="s">
        <v>9182</v>
      </c>
      <c r="CM50" s="1704">
        <v>41</v>
      </c>
      <c r="CN50" s="1710" t="s">
        <v>278</v>
      </c>
      <c r="CO50" s="1702">
        <v>45453</v>
      </c>
      <c r="CP50" s="1711" t="s">
        <v>9182</v>
      </c>
      <c r="CQ50" s="1704">
        <v>41</v>
      </c>
      <c r="CR50" s="1710" t="s">
        <v>278</v>
      </c>
      <c r="CS50" s="1702"/>
      <c r="CT50" s="1711"/>
      <c r="CU50" s="1704"/>
      <c r="CV50" s="1710"/>
    </row>
    <row r="51" spans="1:100" ht="13.5">
      <c r="A51" s="1702">
        <v>37787</v>
      </c>
      <c r="B51" s="1703" t="s">
        <v>9170</v>
      </c>
      <c r="C51" s="1704">
        <v>26</v>
      </c>
      <c r="D51" s="1705"/>
      <c r="E51" s="1702">
        <v>38157</v>
      </c>
      <c r="F51" s="1703" t="s">
        <v>4091</v>
      </c>
      <c r="G51" s="1704">
        <v>13</v>
      </c>
      <c r="H51" s="1705"/>
      <c r="I51" s="1702">
        <v>38530</v>
      </c>
      <c r="J51" s="1703" t="s">
        <v>9269</v>
      </c>
      <c r="K51" s="1704">
        <v>0</v>
      </c>
      <c r="L51" s="1705"/>
      <c r="M51" s="1702">
        <v>38896</v>
      </c>
      <c r="N51" s="1703" t="s">
        <v>9270</v>
      </c>
      <c r="O51" s="1704">
        <v>10</v>
      </c>
      <c r="P51" s="1705"/>
      <c r="Q51" s="1702">
        <v>39262</v>
      </c>
      <c r="R51" s="1703" t="s">
        <v>9271</v>
      </c>
      <c r="S51" s="1704">
        <v>0</v>
      </c>
      <c r="T51" s="1705"/>
      <c r="U51" s="1702">
        <v>39625</v>
      </c>
      <c r="V51" s="1703" t="s">
        <v>9272</v>
      </c>
      <c r="W51" s="1704">
        <v>5</v>
      </c>
      <c r="X51" s="1705"/>
      <c r="Y51" s="1702"/>
      <c r="Z51" s="1703"/>
      <c r="AA51" s="1704"/>
      <c r="AB51" s="1705"/>
      <c r="AC51" s="1702">
        <v>40356</v>
      </c>
      <c r="AD51" s="1703" t="s">
        <v>797</v>
      </c>
      <c r="AE51" s="1704">
        <v>44</v>
      </c>
      <c r="AF51" s="1705"/>
      <c r="AG51" s="1702"/>
      <c r="AH51" s="1703"/>
      <c r="AI51" s="1704"/>
      <c r="AJ51" s="1705"/>
      <c r="AK51" s="1702">
        <v>41085</v>
      </c>
      <c r="AL51" s="1703" t="s">
        <v>9273</v>
      </c>
      <c r="AM51" s="1704">
        <v>15</v>
      </c>
      <c r="AN51" s="1705"/>
      <c r="AO51" s="1702">
        <v>41449</v>
      </c>
      <c r="AP51" s="1703" t="s">
        <v>772</v>
      </c>
      <c r="AQ51" s="1704">
        <v>87</v>
      </c>
      <c r="AR51" s="1705"/>
      <c r="AS51" s="1702">
        <v>41806</v>
      </c>
      <c r="AT51" s="1703" t="s">
        <v>9274</v>
      </c>
      <c r="AU51" s="1704">
        <v>15</v>
      </c>
      <c r="AV51" s="1705"/>
      <c r="AW51" s="1702">
        <v>15</v>
      </c>
      <c r="AX51" s="1703" t="s">
        <v>9275</v>
      </c>
      <c r="AY51" s="1704">
        <v>11</v>
      </c>
      <c r="AZ51" s="1705"/>
      <c r="BA51" s="1702">
        <v>42538</v>
      </c>
      <c r="BB51" s="1711" t="s">
        <v>9276</v>
      </c>
      <c r="BC51" s="1704">
        <v>0</v>
      </c>
      <c r="BD51" s="1705"/>
      <c r="BE51" s="1702">
        <v>42896</v>
      </c>
      <c r="BF51" s="1711" t="s">
        <v>9277</v>
      </c>
      <c r="BG51" s="1704">
        <v>80</v>
      </c>
      <c r="BH51" s="1705"/>
      <c r="BI51" s="1702">
        <v>43261</v>
      </c>
      <c r="BJ51" s="1711" t="s">
        <v>9278</v>
      </c>
      <c r="BK51" s="1704">
        <v>60</v>
      </c>
      <c r="BL51" s="1705"/>
      <c r="BM51" s="1702"/>
      <c r="BN51" s="1711"/>
      <c r="BO51" s="1704"/>
      <c r="BP51" s="1705"/>
      <c r="BQ51" s="1702">
        <v>43636</v>
      </c>
      <c r="BR51" s="1711" t="s">
        <v>1998</v>
      </c>
      <c r="BS51" s="1704">
        <v>6</v>
      </c>
      <c r="BT51" s="1710" t="s">
        <v>414</v>
      </c>
      <c r="BU51" s="1702">
        <v>44002</v>
      </c>
      <c r="BV51" s="1711" t="s">
        <v>9279</v>
      </c>
      <c r="BW51" s="1704">
        <v>18</v>
      </c>
      <c r="BX51" s="1710" t="s">
        <v>414</v>
      </c>
      <c r="BY51" s="1702">
        <v>44366</v>
      </c>
      <c r="BZ51" s="1711" t="s">
        <v>2663</v>
      </c>
      <c r="CA51" s="1704">
        <v>20</v>
      </c>
      <c r="CB51" s="1710" t="s">
        <v>414</v>
      </c>
      <c r="CC51" s="1702">
        <v>44723</v>
      </c>
      <c r="CD51" s="1711" t="s">
        <v>9280</v>
      </c>
      <c r="CE51" s="1704">
        <v>15</v>
      </c>
      <c r="CF51" s="1710" t="s">
        <v>280</v>
      </c>
      <c r="CG51" s="1702">
        <v>45088</v>
      </c>
      <c r="CH51" s="1711" t="s">
        <v>9281</v>
      </c>
      <c r="CI51" s="1704">
        <v>0</v>
      </c>
      <c r="CJ51" s="1710" t="s">
        <v>280</v>
      </c>
      <c r="CK51" s="1702">
        <v>45453</v>
      </c>
      <c r="CL51" s="1711" t="s">
        <v>9282</v>
      </c>
      <c r="CM51" s="1704">
        <v>61</v>
      </c>
      <c r="CN51" s="1710" t="s">
        <v>280</v>
      </c>
      <c r="CO51" s="1702">
        <v>45453</v>
      </c>
      <c r="CP51" s="1711" t="s">
        <v>9282</v>
      </c>
      <c r="CQ51" s="1704">
        <v>61</v>
      </c>
      <c r="CR51" s="1710" t="s">
        <v>280</v>
      </c>
      <c r="CS51" s="1702"/>
      <c r="CT51" s="1711"/>
      <c r="CU51" s="1704"/>
      <c r="CV51" s="1710"/>
    </row>
    <row r="52" spans="1:100" ht="13.5">
      <c r="A52" s="1702">
        <v>37787</v>
      </c>
      <c r="B52" s="1703" t="s">
        <v>9283</v>
      </c>
      <c r="C52" s="1704">
        <v>50</v>
      </c>
      <c r="D52" s="1705"/>
      <c r="E52" s="1702">
        <v>38157</v>
      </c>
      <c r="F52" s="1703" t="s">
        <v>772</v>
      </c>
      <c r="G52" s="1704">
        <v>12</v>
      </c>
      <c r="H52" s="1705"/>
      <c r="I52" s="1702">
        <v>38532</v>
      </c>
      <c r="J52" s="1703" t="s">
        <v>797</v>
      </c>
      <c r="K52" s="1704">
        <v>35</v>
      </c>
      <c r="L52" s="1705"/>
      <c r="M52" s="1702">
        <v>38896</v>
      </c>
      <c r="N52" s="1703" t="s">
        <v>767</v>
      </c>
      <c r="O52" s="1704">
        <v>11</v>
      </c>
      <c r="P52" s="1705"/>
      <c r="Q52" s="1702">
        <v>39263</v>
      </c>
      <c r="R52" s="1703" t="s">
        <v>797</v>
      </c>
      <c r="S52" s="1704">
        <v>43</v>
      </c>
      <c r="T52" s="1705"/>
      <c r="U52" s="1702">
        <v>39625</v>
      </c>
      <c r="V52" s="1703" t="s">
        <v>9284</v>
      </c>
      <c r="W52" s="1704">
        <v>25</v>
      </c>
      <c r="X52" s="1705"/>
      <c r="Y52" s="1702"/>
      <c r="Z52" s="1703"/>
      <c r="AA52" s="1704"/>
      <c r="AB52" s="1705"/>
      <c r="AC52" s="1702">
        <v>40356</v>
      </c>
      <c r="AD52" s="1703" t="s">
        <v>867</v>
      </c>
      <c r="AE52" s="1704">
        <v>5</v>
      </c>
      <c r="AF52" s="1705"/>
      <c r="AG52" s="1702"/>
      <c r="AH52" s="1703"/>
      <c r="AI52" s="1704"/>
      <c r="AJ52" s="1705"/>
      <c r="AK52" s="1702">
        <v>41086</v>
      </c>
      <c r="AL52" s="1703" t="s">
        <v>9285</v>
      </c>
      <c r="AM52" s="1704">
        <v>7</v>
      </c>
      <c r="AN52" s="1705"/>
      <c r="AO52" s="1702">
        <v>41449</v>
      </c>
      <c r="AP52" s="1703" t="s">
        <v>754</v>
      </c>
      <c r="AQ52" s="1704">
        <v>124</v>
      </c>
      <c r="AR52" s="1705"/>
      <c r="AS52" s="1702">
        <v>41807</v>
      </c>
      <c r="AT52" s="1703" t="s">
        <v>802</v>
      </c>
      <c r="AU52" s="1704">
        <v>58</v>
      </c>
      <c r="AV52" s="1705"/>
      <c r="AW52" s="1702">
        <v>15</v>
      </c>
      <c r="AX52" s="1703" t="s">
        <v>767</v>
      </c>
      <c r="AY52" s="1704">
        <v>18</v>
      </c>
      <c r="AZ52" s="1705"/>
      <c r="BA52" s="1702">
        <v>42538</v>
      </c>
      <c r="BB52" s="1711" t="s">
        <v>797</v>
      </c>
      <c r="BC52" s="1704">
        <v>45</v>
      </c>
      <c r="BD52" s="1705"/>
      <c r="BE52" s="1702">
        <v>42897</v>
      </c>
      <c r="BF52" s="1711" t="s">
        <v>9286</v>
      </c>
      <c r="BG52" s="1704">
        <v>10</v>
      </c>
      <c r="BH52" s="1705"/>
      <c r="BI52" s="1702">
        <v>43262</v>
      </c>
      <c r="BJ52" s="1711" t="s">
        <v>890</v>
      </c>
      <c r="BK52" s="1704">
        <v>25</v>
      </c>
      <c r="BL52" s="1705"/>
      <c r="BM52" s="1702"/>
      <c r="BN52" s="1711"/>
      <c r="BO52" s="1704"/>
      <c r="BP52" s="1705"/>
      <c r="BQ52" s="1702">
        <v>43636</v>
      </c>
      <c r="BR52" s="1711" t="s">
        <v>9287</v>
      </c>
      <c r="BS52" s="1704">
        <v>3</v>
      </c>
      <c r="BT52" s="1710" t="s">
        <v>414</v>
      </c>
      <c r="BU52" s="1702">
        <v>44002</v>
      </c>
      <c r="BV52" s="1711" t="s">
        <v>9288</v>
      </c>
      <c r="BW52" s="1704">
        <v>12</v>
      </c>
      <c r="BX52" s="1710" t="s">
        <v>280</v>
      </c>
      <c r="BY52" s="1702">
        <v>44366</v>
      </c>
      <c r="BZ52" s="1711" t="s">
        <v>2691</v>
      </c>
      <c r="CA52" s="1704">
        <v>7</v>
      </c>
      <c r="CB52" s="1710" t="s">
        <v>414</v>
      </c>
      <c r="CC52" s="1702">
        <v>44723</v>
      </c>
      <c r="CD52" s="1711" t="s">
        <v>9289</v>
      </c>
      <c r="CE52" s="1704">
        <v>225</v>
      </c>
      <c r="CF52" s="1710" t="s">
        <v>701</v>
      </c>
      <c r="CG52" s="1702">
        <v>45088</v>
      </c>
      <c r="CH52" s="1711" t="s">
        <v>9290</v>
      </c>
      <c r="CI52" s="1704">
        <v>0</v>
      </c>
      <c r="CJ52" s="1710" t="s">
        <v>700</v>
      </c>
      <c r="CK52" s="1702">
        <v>45453</v>
      </c>
      <c r="CL52" s="1711" t="s">
        <v>9291</v>
      </c>
      <c r="CM52" s="1704">
        <v>41</v>
      </c>
      <c r="CN52" s="1710" t="s">
        <v>278</v>
      </c>
      <c r="CO52" s="1702">
        <v>45453</v>
      </c>
      <c r="CP52" s="1711" t="s">
        <v>9291</v>
      </c>
      <c r="CQ52" s="1704">
        <v>41</v>
      </c>
      <c r="CR52" s="1710" t="s">
        <v>278</v>
      </c>
      <c r="CS52" s="1702"/>
      <c r="CT52" s="1711"/>
      <c r="CU52" s="1704"/>
      <c r="CV52" s="1710"/>
    </row>
    <row r="53" spans="1:100" ht="13.5">
      <c r="A53" s="1702">
        <v>37787</v>
      </c>
      <c r="B53" s="1703" t="s">
        <v>2559</v>
      </c>
      <c r="C53" s="1704">
        <v>97</v>
      </c>
      <c r="D53" s="1705"/>
      <c r="E53" s="1702">
        <v>38157</v>
      </c>
      <c r="F53" s="1703" t="s">
        <v>2284</v>
      </c>
      <c r="G53" s="1704">
        <v>18</v>
      </c>
      <c r="H53" s="1705"/>
      <c r="I53" s="1702">
        <v>38532</v>
      </c>
      <c r="J53" s="1703" t="s">
        <v>9292</v>
      </c>
      <c r="K53" s="1704">
        <v>10</v>
      </c>
      <c r="L53" s="1705"/>
      <c r="M53" s="1702">
        <v>38898</v>
      </c>
      <c r="N53" s="1703" t="s">
        <v>9293</v>
      </c>
      <c r="O53" s="1704">
        <v>8</v>
      </c>
      <c r="P53" s="1705"/>
      <c r="Q53" s="1702">
        <v>39263</v>
      </c>
      <c r="R53" s="1703" t="s">
        <v>9294</v>
      </c>
      <c r="S53" s="1704">
        <v>0</v>
      </c>
      <c r="T53" s="1705"/>
      <c r="U53" s="1702">
        <v>39625</v>
      </c>
      <c r="V53" s="1703" t="s">
        <v>9295</v>
      </c>
      <c r="W53" s="1704">
        <v>280</v>
      </c>
      <c r="X53" s="1705"/>
      <c r="Y53" s="1702"/>
      <c r="Z53" s="1703"/>
      <c r="AA53" s="1704"/>
      <c r="AB53" s="1705"/>
      <c r="AC53" s="1702">
        <v>40356</v>
      </c>
      <c r="AD53" s="1703" t="s">
        <v>9296</v>
      </c>
      <c r="AE53" s="1704">
        <v>10</v>
      </c>
      <c r="AF53" s="1705"/>
      <c r="AG53" s="1702"/>
      <c r="AH53" s="1703"/>
      <c r="AI53" s="1704"/>
      <c r="AJ53" s="1705"/>
      <c r="AK53" s="1702">
        <v>41087</v>
      </c>
      <c r="AL53" s="1703" t="s">
        <v>9297</v>
      </c>
      <c r="AM53" s="1704">
        <v>10</v>
      </c>
      <c r="AN53" s="1705"/>
      <c r="AO53" s="1702">
        <v>41449</v>
      </c>
      <c r="AP53" s="1703" t="s">
        <v>797</v>
      </c>
      <c r="AQ53" s="1704">
        <v>51</v>
      </c>
      <c r="AR53" s="1705"/>
      <c r="AS53" s="1702">
        <v>41808</v>
      </c>
      <c r="AT53" s="1703" t="s">
        <v>9298</v>
      </c>
      <c r="AU53" s="1704">
        <v>0</v>
      </c>
      <c r="AV53" s="1705"/>
      <c r="AW53" s="1702">
        <v>15</v>
      </c>
      <c r="AX53" s="1703" t="s">
        <v>9299</v>
      </c>
      <c r="AY53" s="1704"/>
      <c r="AZ53" s="1705"/>
      <c r="BA53" s="1702">
        <v>42538</v>
      </c>
      <c r="BB53" s="1711" t="s">
        <v>954</v>
      </c>
      <c r="BC53" s="1704">
        <v>29</v>
      </c>
      <c r="BD53" s="1705"/>
      <c r="BE53" s="1702">
        <v>42897</v>
      </c>
      <c r="BF53" s="1711" t="s">
        <v>9300</v>
      </c>
      <c r="BG53" s="1704">
        <v>10</v>
      </c>
      <c r="BH53" s="1705"/>
      <c r="BI53" s="1702">
        <v>43262</v>
      </c>
      <c r="BJ53" s="1711" t="s">
        <v>781</v>
      </c>
      <c r="BK53" s="1704">
        <v>16</v>
      </c>
      <c r="BL53" s="1705"/>
      <c r="BM53" s="1702"/>
      <c r="BN53" s="1711"/>
      <c r="BO53" s="1704"/>
      <c r="BP53" s="1705"/>
      <c r="BQ53" s="1702">
        <v>43636</v>
      </c>
      <c r="BR53" s="1711" t="s">
        <v>9301</v>
      </c>
      <c r="BS53" s="1704">
        <v>1050</v>
      </c>
      <c r="BT53" s="1710" t="s">
        <v>284</v>
      </c>
      <c r="BU53" s="1702">
        <v>44002</v>
      </c>
      <c r="BV53" s="1711" t="s">
        <v>9302</v>
      </c>
      <c r="BW53" s="1704">
        <v>375</v>
      </c>
      <c r="BX53" s="1710" t="s">
        <v>280</v>
      </c>
      <c r="BY53" s="1702">
        <v>44366</v>
      </c>
      <c r="BZ53" s="1711" t="s">
        <v>9303</v>
      </c>
      <c r="CA53" s="1704">
        <v>14</v>
      </c>
      <c r="CB53" s="1710" t="s">
        <v>414</v>
      </c>
      <c r="CC53" s="1702">
        <v>44723</v>
      </c>
      <c r="CD53" s="1711" t="s">
        <v>4599</v>
      </c>
      <c r="CE53" s="1704">
        <v>21</v>
      </c>
      <c r="CF53" s="1710" t="s">
        <v>280</v>
      </c>
      <c r="CG53" s="1702">
        <v>45088</v>
      </c>
      <c r="CH53" s="1711" t="s">
        <v>9304</v>
      </c>
      <c r="CI53" s="1704">
        <v>18</v>
      </c>
      <c r="CJ53" s="1710" t="s">
        <v>689</v>
      </c>
      <c r="CK53" s="1702">
        <v>45454</v>
      </c>
      <c r="CL53" s="1711" t="s">
        <v>9182</v>
      </c>
      <c r="CM53" s="1704">
        <v>66</v>
      </c>
      <c r="CN53" s="1710" t="s">
        <v>278</v>
      </c>
      <c r="CO53" s="1702">
        <v>45454</v>
      </c>
      <c r="CP53" s="1711" t="s">
        <v>9182</v>
      </c>
      <c r="CQ53" s="1704">
        <v>66</v>
      </c>
      <c r="CR53" s="1710" t="s">
        <v>278</v>
      </c>
      <c r="CS53" s="1702"/>
      <c r="CT53" s="1711"/>
      <c r="CU53" s="1704"/>
      <c r="CV53" s="1710"/>
    </row>
    <row r="54" spans="1:100" ht="13.5">
      <c r="A54" s="1702">
        <v>37789</v>
      </c>
      <c r="B54" s="1703" t="s">
        <v>9305</v>
      </c>
      <c r="C54" s="1704">
        <v>10</v>
      </c>
      <c r="D54" s="1705"/>
      <c r="E54" s="1702">
        <v>38157</v>
      </c>
      <c r="F54" s="1703" t="s">
        <v>1041</v>
      </c>
      <c r="G54" s="1704">
        <v>2</v>
      </c>
      <c r="H54" s="1705"/>
      <c r="I54" s="1702"/>
      <c r="J54" s="1703"/>
      <c r="K54" s="1704"/>
      <c r="L54" s="1705"/>
      <c r="M54" s="1702"/>
      <c r="N54" s="1703"/>
      <c r="O54" s="1704"/>
      <c r="P54" s="1705"/>
      <c r="Q54" s="1702">
        <v>39263</v>
      </c>
      <c r="R54" s="1703" t="s">
        <v>9306</v>
      </c>
      <c r="S54" s="1704">
        <v>20</v>
      </c>
      <c r="T54" s="1705"/>
      <c r="U54" s="1702">
        <v>39625</v>
      </c>
      <c r="V54" s="1703" t="s">
        <v>9307</v>
      </c>
      <c r="W54" s="1704">
        <v>30</v>
      </c>
      <c r="X54" s="1705"/>
      <c r="Y54" s="1702"/>
      <c r="Z54" s="1703"/>
      <c r="AA54" s="1704"/>
      <c r="AB54" s="1705"/>
      <c r="AC54" s="1702">
        <v>40357</v>
      </c>
      <c r="AD54" s="1703" t="s">
        <v>802</v>
      </c>
      <c r="AE54" s="1704">
        <v>45</v>
      </c>
      <c r="AF54" s="1705"/>
      <c r="AG54" s="1702"/>
      <c r="AH54" s="1703"/>
      <c r="AI54" s="1704"/>
      <c r="AJ54" s="1705"/>
      <c r="AK54" s="1702">
        <v>41087</v>
      </c>
      <c r="AL54" s="1703" t="s">
        <v>9308</v>
      </c>
      <c r="AM54" s="1704">
        <v>5</v>
      </c>
      <c r="AN54" s="1705"/>
      <c r="AO54" s="1702">
        <v>41449</v>
      </c>
      <c r="AP54" s="1703" t="s">
        <v>9309</v>
      </c>
      <c r="AQ54" s="1704">
        <v>15</v>
      </c>
      <c r="AR54" s="1705"/>
      <c r="AS54" s="1702">
        <v>41808</v>
      </c>
      <c r="AT54" s="1703" t="s">
        <v>9310</v>
      </c>
      <c r="AU54" s="1704">
        <v>10</v>
      </c>
      <c r="AV54" s="1705"/>
      <c r="AW54" s="1702">
        <v>15</v>
      </c>
      <c r="AX54" s="1703" t="s">
        <v>9311</v>
      </c>
      <c r="AY54" s="1704"/>
      <c r="AZ54" s="1705"/>
      <c r="BA54" s="1702">
        <v>42539</v>
      </c>
      <c r="BB54" s="1711" t="s">
        <v>9312</v>
      </c>
      <c r="BC54" s="1704">
        <v>10</v>
      </c>
      <c r="BD54" s="1705"/>
      <c r="BE54" s="1702">
        <v>42897</v>
      </c>
      <c r="BF54" s="1711" t="s">
        <v>754</v>
      </c>
      <c r="BG54" s="1704">
        <v>5</v>
      </c>
      <c r="BH54" s="1705"/>
      <c r="BI54" s="1702">
        <v>43263</v>
      </c>
      <c r="BJ54" s="1711" t="s">
        <v>9313</v>
      </c>
      <c r="BK54" s="1704">
        <v>43</v>
      </c>
      <c r="BL54" s="1705"/>
      <c r="BM54" s="1702"/>
      <c r="BN54" s="1711"/>
      <c r="BO54" s="1704"/>
      <c r="BP54" s="1705"/>
      <c r="BQ54" s="1702">
        <v>43636</v>
      </c>
      <c r="BR54" s="1711" t="s">
        <v>9314</v>
      </c>
      <c r="BS54" s="1704">
        <v>160</v>
      </c>
      <c r="BT54" s="1710" t="s">
        <v>284</v>
      </c>
      <c r="BU54" s="1702">
        <v>44002</v>
      </c>
      <c r="BV54" s="1711" t="s">
        <v>9315</v>
      </c>
      <c r="BW54" s="1704">
        <v>15</v>
      </c>
      <c r="BX54" s="1710" t="s">
        <v>280</v>
      </c>
      <c r="BY54" s="1702">
        <v>44366</v>
      </c>
      <c r="BZ54" s="1711" t="s">
        <v>4181</v>
      </c>
      <c r="CA54" s="1704">
        <v>14</v>
      </c>
      <c r="CB54" s="1710" t="s">
        <v>414</v>
      </c>
      <c r="CC54" s="1702">
        <v>44723</v>
      </c>
      <c r="CD54" s="1711" t="s">
        <v>9316</v>
      </c>
      <c r="CE54" s="1704">
        <v>55</v>
      </c>
      <c r="CF54" s="1710" t="s">
        <v>701</v>
      </c>
      <c r="CG54" s="1702">
        <v>45093</v>
      </c>
      <c r="CH54" s="1711" t="s">
        <v>9317</v>
      </c>
      <c r="CI54" s="1704">
        <v>31</v>
      </c>
      <c r="CJ54" s="1710" t="s">
        <v>280</v>
      </c>
      <c r="CK54" s="1702">
        <v>45455</v>
      </c>
      <c r="CL54" s="1711" t="s">
        <v>9155</v>
      </c>
      <c r="CM54" s="1704">
        <v>88</v>
      </c>
      <c r="CN54" s="1710" t="s">
        <v>278</v>
      </c>
      <c r="CO54" s="1702">
        <v>45455</v>
      </c>
      <c r="CP54" s="1711" t="s">
        <v>9155</v>
      </c>
      <c r="CQ54" s="1704">
        <v>88</v>
      </c>
      <c r="CR54" s="1710" t="s">
        <v>278</v>
      </c>
      <c r="CS54" s="1702"/>
      <c r="CT54" s="1711"/>
      <c r="CU54" s="1704"/>
      <c r="CV54" s="1710"/>
    </row>
    <row r="55" spans="1:100" ht="13.5">
      <c r="A55" s="1702">
        <v>37790</v>
      </c>
      <c r="B55" s="1703" t="s">
        <v>772</v>
      </c>
      <c r="C55" s="1704">
        <v>10</v>
      </c>
      <c r="D55" s="1705"/>
      <c r="E55" s="1702">
        <v>38158</v>
      </c>
      <c r="F55" s="1703" t="s">
        <v>9318</v>
      </c>
      <c r="G55" s="1704">
        <v>2090</v>
      </c>
      <c r="H55" s="1705"/>
      <c r="I55" s="1702"/>
      <c r="J55" s="1703"/>
      <c r="K55" s="1704"/>
      <c r="L55" s="1705"/>
      <c r="M55" s="1702"/>
      <c r="N55" s="1703"/>
      <c r="O55" s="1704"/>
      <c r="P55" s="1705"/>
      <c r="Q55" s="1702">
        <v>39263</v>
      </c>
      <c r="R55" s="1703" t="s">
        <v>9319</v>
      </c>
      <c r="S55" s="1704">
        <v>20</v>
      </c>
      <c r="T55" s="1705"/>
      <c r="U55" s="1702">
        <v>39626</v>
      </c>
      <c r="V55" s="1703" t="s">
        <v>9320</v>
      </c>
      <c r="W55" s="1704">
        <v>15</v>
      </c>
      <c r="X55" s="1705"/>
      <c r="Y55" s="1702"/>
      <c r="Z55" s="1703"/>
      <c r="AA55" s="1704"/>
      <c r="AB55" s="1705"/>
      <c r="AC55" s="1702"/>
      <c r="AD55" s="1703"/>
      <c r="AE55" s="1704"/>
      <c r="AF55" s="1705"/>
      <c r="AG55" s="1702"/>
      <c r="AH55" s="1703"/>
      <c r="AI55" s="1704"/>
      <c r="AJ55" s="1705"/>
      <c r="AK55" s="1702">
        <v>41087</v>
      </c>
      <c r="AL55" s="1703" t="s">
        <v>9321</v>
      </c>
      <c r="AM55" s="1704">
        <v>45</v>
      </c>
      <c r="AN55" s="1705"/>
      <c r="AO55" s="1702">
        <v>41449</v>
      </c>
      <c r="AP55" s="1703" t="s">
        <v>787</v>
      </c>
      <c r="AQ55" s="1704">
        <v>40</v>
      </c>
      <c r="AR55" s="1705"/>
      <c r="AS55" s="1702">
        <v>41810</v>
      </c>
      <c r="AT55" s="1703" t="s">
        <v>9322</v>
      </c>
      <c r="AU55" s="1704">
        <v>25</v>
      </c>
      <c r="AV55" s="1705"/>
      <c r="AW55" s="1702">
        <v>42020</v>
      </c>
      <c r="AX55" s="1703" t="s">
        <v>9323</v>
      </c>
      <c r="AY55" s="1704"/>
      <c r="AZ55" s="1705"/>
      <c r="BA55" s="1702">
        <v>42539</v>
      </c>
      <c r="BB55" s="1711" t="s">
        <v>781</v>
      </c>
      <c r="BC55" s="1704">
        <v>20</v>
      </c>
      <c r="BD55" s="1705"/>
      <c r="BE55" s="1702">
        <v>42897</v>
      </c>
      <c r="BF55" s="1711" t="s">
        <v>9324</v>
      </c>
      <c r="BG55" s="1704">
        <v>7</v>
      </c>
      <c r="BH55" s="1705"/>
      <c r="BI55" s="1702">
        <v>43263</v>
      </c>
      <c r="BJ55" s="1711" t="s">
        <v>9325</v>
      </c>
      <c r="BK55" s="1704">
        <v>85</v>
      </c>
      <c r="BL55" s="1705"/>
      <c r="BM55" s="1702"/>
      <c r="BN55" s="1711"/>
      <c r="BO55" s="1704"/>
      <c r="BP55" s="1705"/>
      <c r="BQ55" s="1702">
        <v>43637</v>
      </c>
      <c r="BR55" s="1711" t="s">
        <v>772</v>
      </c>
      <c r="BS55" s="1704">
        <v>35</v>
      </c>
      <c r="BT55" s="1710" t="s">
        <v>414</v>
      </c>
      <c r="BU55" s="1702">
        <v>44004</v>
      </c>
      <c r="BV55" s="1711" t="s">
        <v>9326</v>
      </c>
      <c r="BW55" s="1704">
        <v>30</v>
      </c>
      <c r="BX55" s="1710" t="s">
        <v>280</v>
      </c>
      <c r="BY55" s="1702">
        <v>44366</v>
      </c>
      <c r="BZ55" s="1711" t="s">
        <v>1033</v>
      </c>
      <c r="CA55" s="1704">
        <v>5</v>
      </c>
      <c r="CB55" s="1710" t="s">
        <v>414</v>
      </c>
      <c r="CC55" s="1702">
        <v>44723</v>
      </c>
      <c r="CD55" s="1711" t="s">
        <v>845</v>
      </c>
      <c r="CE55" s="1704">
        <v>53</v>
      </c>
      <c r="CF55" s="1710" t="s">
        <v>414</v>
      </c>
      <c r="CG55" s="1702">
        <v>45093</v>
      </c>
      <c r="CH55" s="1711" t="s">
        <v>9327</v>
      </c>
      <c r="CI55" s="1704">
        <v>94</v>
      </c>
      <c r="CJ55" s="1710" t="s">
        <v>280</v>
      </c>
      <c r="CK55" s="1702">
        <v>45455</v>
      </c>
      <c r="CL55" s="1683" t="s">
        <v>9224</v>
      </c>
      <c r="CM55" s="1704">
        <v>59</v>
      </c>
      <c r="CN55" s="1710" t="s">
        <v>410</v>
      </c>
      <c r="CO55" s="1702">
        <v>45455</v>
      </c>
      <c r="CP55" s="1683" t="s">
        <v>9224</v>
      </c>
      <c r="CQ55" s="1704">
        <v>59</v>
      </c>
      <c r="CR55" s="1710" t="s">
        <v>410</v>
      </c>
      <c r="CS55" s="1702"/>
      <c r="CU55" s="1704"/>
      <c r="CV55" s="1710"/>
    </row>
    <row r="56" spans="1:100" ht="13.5">
      <c r="A56" s="1702">
        <v>37791</v>
      </c>
      <c r="B56" s="1703" t="s">
        <v>960</v>
      </c>
      <c r="C56" s="1704">
        <v>23</v>
      </c>
      <c r="D56" s="1705"/>
      <c r="E56" s="1702">
        <v>38158</v>
      </c>
      <c r="F56" s="1703" t="s">
        <v>797</v>
      </c>
      <c r="G56" s="1704">
        <v>34</v>
      </c>
      <c r="H56" s="1705"/>
      <c r="I56" s="1702"/>
      <c r="J56" s="1703"/>
      <c r="K56" s="1704"/>
      <c r="L56" s="1705"/>
      <c r="M56" s="1702"/>
      <c r="N56" s="1703"/>
      <c r="O56" s="1704"/>
      <c r="P56" s="1705"/>
      <c r="Q56" s="1702"/>
      <c r="R56" s="1703"/>
      <c r="S56" s="1704"/>
      <c r="T56" s="1705"/>
      <c r="U56" s="1702">
        <v>39626</v>
      </c>
      <c r="V56" s="1703" t="s">
        <v>9328</v>
      </c>
      <c r="W56" s="1704">
        <v>30</v>
      </c>
      <c r="X56" s="1705"/>
      <c r="Y56" s="1702"/>
      <c r="Z56" s="1703"/>
      <c r="AA56" s="1704"/>
      <c r="AB56" s="1705"/>
      <c r="AC56" s="1702"/>
      <c r="AD56" s="1703"/>
      <c r="AE56" s="1704"/>
      <c r="AF56" s="1705"/>
      <c r="AG56" s="1702"/>
      <c r="AH56" s="1703"/>
      <c r="AI56" s="1704"/>
      <c r="AJ56" s="1705"/>
      <c r="AK56" s="1702">
        <v>41089</v>
      </c>
      <c r="AL56" s="1703" t="s">
        <v>9329</v>
      </c>
      <c r="AM56" s="1704">
        <v>29</v>
      </c>
      <c r="AN56" s="1705"/>
      <c r="AO56" s="1702">
        <v>41450</v>
      </c>
      <c r="AP56" s="1703" t="s">
        <v>6447</v>
      </c>
      <c r="AQ56" s="1704">
        <v>30</v>
      </c>
      <c r="AR56" s="1705"/>
      <c r="AS56" s="1702">
        <v>41811</v>
      </c>
      <c r="AT56" s="1703" t="s">
        <v>9330</v>
      </c>
      <c r="AU56" s="1704">
        <v>10</v>
      </c>
      <c r="AV56" s="1705"/>
      <c r="AW56" s="1702">
        <v>42020</v>
      </c>
      <c r="AX56" s="1703" t="s">
        <v>9331</v>
      </c>
      <c r="AY56" s="1704"/>
      <c r="AZ56" s="1705"/>
      <c r="BA56" s="1702">
        <v>42539</v>
      </c>
      <c r="BB56" s="1711" t="s">
        <v>9332</v>
      </c>
      <c r="BC56" s="1704">
        <v>21</v>
      </c>
      <c r="BD56" s="1705"/>
      <c r="BE56" s="1702">
        <v>42897</v>
      </c>
      <c r="BF56" s="1711" t="s">
        <v>9333</v>
      </c>
      <c r="BG56" s="1704">
        <v>27</v>
      </c>
      <c r="BH56" s="1705"/>
      <c r="BI56" s="1702">
        <v>43263</v>
      </c>
      <c r="BJ56" s="1711" t="s">
        <v>9334</v>
      </c>
      <c r="BK56" s="1704">
        <v>20</v>
      </c>
      <c r="BL56" s="1705"/>
      <c r="BM56" s="1702"/>
      <c r="BN56" s="1711"/>
      <c r="BO56" s="1704"/>
      <c r="BP56" s="1705"/>
      <c r="BQ56" s="1702">
        <v>43637</v>
      </c>
      <c r="BR56" s="1711" t="s">
        <v>845</v>
      </c>
      <c r="BS56" s="1704">
        <v>30</v>
      </c>
      <c r="BT56" s="1710" t="s">
        <v>414</v>
      </c>
      <c r="BU56" s="1702">
        <v>44008</v>
      </c>
      <c r="BV56" s="1711" t="s">
        <v>9335</v>
      </c>
      <c r="BW56" s="1704">
        <v>251</v>
      </c>
      <c r="BX56" s="1710" t="s">
        <v>280</v>
      </c>
      <c r="BY56" s="1702">
        <v>44366</v>
      </c>
      <c r="BZ56" s="1711" t="s">
        <v>1722</v>
      </c>
      <c r="CA56" s="1704">
        <v>12</v>
      </c>
      <c r="CB56" s="1710" t="s">
        <v>414</v>
      </c>
      <c r="CC56" s="1702">
        <v>44723</v>
      </c>
      <c r="CD56" s="1711" t="s">
        <v>772</v>
      </c>
      <c r="CE56" s="1704">
        <v>50</v>
      </c>
      <c r="CF56" s="1710" t="s">
        <v>414</v>
      </c>
      <c r="CG56" s="1702">
        <v>45093</v>
      </c>
      <c r="CH56" s="1711" t="s">
        <v>781</v>
      </c>
      <c r="CI56" s="1704">
        <v>28</v>
      </c>
      <c r="CJ56" s="1710" t="s">
        <v>414</v>
      </c>
      <c r="CK56" s="1702">
        <v>45455</v>
      </c>
      <c r="CL56" s="1711" t="s">
        <v>9336</v>
      </c>
      <c r="CM56" s="1704">
        <v>35</v>
      </c>
      <c r="CN56" s="1710" t="s">
        <v>381</v>
      </c>
      <c r="CO56" s="1702">
        <v>45455</v>
      </c>
      <c r="CP56" s="1711" t="s">
        <v>9336</v>
      </c>
      <c r="CQ56" s="1704">
        <v>35</v>
      </c>
      <c r="CR56" s="1710" t="s">
        <v>381</v>
      </c>
      <c r="CS56" s="1702"/>
      <c r="CT56" s="1711"/>
      <c r="CU56" s="1704"/>
      <c r="CV56" s="1710"/>
    </row>
    <row r="57" spans="1:100" ht="13.5">
      <c r="A57" s="1702">
        <v>37791</v>
      </c>
      <c r="B57" s="1703" t="s">
        <v>410</v>
      </c>
      <c r="C57" s="1704">
        <v>19</v>
      </c>
      <c r="D57" s="1705"/>
      <c r="E57" s="1702">
        <v>38158</v>
      </c>
      <c r="F57" s="1703" t="s">
        <v>9337</v>
      </c>
      <c r="G57" s="1704">
        <v>73</v>
      </c>
      <c r="H57" s="1705"/>
      <c r="I57" s="1702"/>
      <c r="J57" s="1703"/>
      <c r="K57" s="1704"/>
      <c r="L57" s="1705"/>
      <c r="M57" s="1702"/>
      <c r="N57" s="1703"/>
      <c r="O57" s="1704"/>
      <c r="P57" s="1705"/>
      <c r="Q57" s="1702"/>
      <c r="R57" s="1703"/>
      <c r="S57" s="1704"/>
      <c r="T57" s="1705"/>
      <c r="U57" s="1702">
        <v>39626</v>
      </c>
      <c r="V57" s="1703" t="s">
        <v>9338</v>
      </c>
      <c r="W57" s="1704">
        <v>5</v>
      </c>
      <c r="X57" s="1705"/>
      <c r="Y57" s="1702"/>
      <c r="Z57" s="1703"/>
      <c r="AA57" s="1704"/>
      <c r="AB57" s="1705"/>
      <c r="AC57" s="1702"/>
      <c r="AD57" s="1703"/>
      <c r="AE57" s="1704"/>
      <c r="AF57" s="1705"/>
      <c r="AG57" s="1702"/>
      <c r="AH57" s="1703"/>
      <c r="AI57" s="1704"/>
      <c r="AJ57" s="1705"/>
      <c r="AK57" s="1702">
        <v>41090</v>
      </c>
      <c r="AL57" s="1703" t="s">
        <v>9339</v>
      </c>
      <c r="AM57" s="1704">
        <v>21</v>
      </c>
      <c r="AN57" s="1705"/>
      <c r="AO57" s="1702">
        <v>41452</v>
      </c>
      <c r="AP57" s="1703" t="s">
        <v>867</v>
      </c>
      <c r="AQ57" s="1704">
        <v>3</v>
      </c>
      <c r="AR57" s="1705"/>
      <c r="AS57" s="1702">
        <v>41811</v>
      </c>
      <c r="AT57" s="1703" t="s">
        <v>9340</v>
      </c>
      <c r="AU57" s="1704">
        <v>38</v>
      </c>
      <c r="AV57" s="1705"/>
      <c r="AW57" s="1702">
        <v>42020</v>
      </c>
      <c r="AX57" s="1703" t="s">
        <v>9275</v>
      </c>
      <c r="AY57" s="1704">
        <v>17</v>
      </c>
      <c r="AZ57" s="1705"/>
      <c r="BA57" s="1702">
        <v>42539</v>
      </c>
      <c r="BB57" s="1711" t="s">
        <v>754</v>
      </c>
      <c r="BC57" s="1704">
        <v>96</v>
      </c>
      <c r="BD57" s="1705"/>
      <c r="BE57" s="1702">
        <v>42897</v>
      </c>
      <c r="BF57" s="1711" t="s">
        <v>9341</v>
      </c>
      <c r="BG57" s="1704">
        <v>90</v>
      </c>
      <c r="BH57" s="1705"/>
      <c r="BI57" s="1702">
        <v>43263</v>
      </c>
      <c r="BJ57" s="1711" t="s">
        <v>9342</v>
      </c>
      <c r="BK57" s="1704">
        <v>12</v>
      </c>
      <c r="BL57" s="1705"/>
      <c r="BM57" s="1702"/>
      <c r="BN57" s="1711"/>
      <c r="BO57" s="1704"/>
      <c r="BP57" s="1705"/>
      <c r="BQ57" s="1702">
        <v>43637</v>
      </c>
      <c r="BR57" s="1711" t="s">
        <v>6433</v>
      </c>
      <c r="BS57" s="1704">
        <v>15</v>
      </c>
      <c r="BT57" s="1710" t="s">
        <v>414</v>
      </c>
      <c r="BU57" s="1702">
        <v>44009</v>
      </c>
      <c r="BV57" s="1711" t="s">
        <v>9343</v>
      </c>
      <c r="BW57" s="1704"/>
      <c r="BX57" s="1710"/>
      <c r="BY57" s="1702">
        <v>44366</v>
      </c>
      <c r="BZ57" s="1711" t="s">
        <v>1750</v>
      </c>
      <c r="CA57" s="1704">
        <v>3</v>
      </c>
      <c r="CB57" s="1710" t="s">
        <v>414</v>
      </c>
      <c r="CC57" s="1702">
        <v>44723</v>
      </c>
      <c r="CD57" s="1711" t="s">
        <v>872</v>
      </c>
      <c r="CE57" s="1704">
        <v>11</v>
      </c>
      <c r="CF57" s="1710" t="s">
        <v>414</v>
      </c>
      <c r="CG57" s="1702">
        <v>45093</v>
      </c>
      <c r="CH57" s="1711" t="s">
        <v>845</v>
      </c>
      <c r="CI57" s="1704">
        <v>67</v>
      </c>
      <c r="CJ57" s="1710" t="s">
        <v>414</v>
      </c>
      <c r="CK57" s="1702">
        <v>45455</v>
      </c>
      <c r="CL57" s="1711" t="s">
        <v>9344</v>
      </c>
      <c r="CM57" s="1704">
        <v>899</v>
      </c>
      <c r="CN57" s="1710" t="s">
        <v>707</v>
      </c>
      <c r="CO57" s="1702">
        <v>45455</v>
      </c>
      <c r="CP57" s="1711" t="s">
        <v>9344</v>
      </c>
      <c r="CQ57" s="1704">
        <v>899</v>
      </c>
      <c r="CR57" s="1710" t="s">
        <v>707</v>
      </c>
      <c r="CS57" s="1702"/>
      <c r="CT57" s="1711"/>
      <c r="CU57" s="1704"/>
      <c r="CV57" s="1710"/>
    </row>
    <row r="58" spans="1:100" ht="13.5">
      <c r="A58" s="1702">
        <v>37792</v>
      </c>
      <c r="B58" s="1703" t="s">
        <v>9345</v>
      </c>
      <c r="C58" s="1704">
        <v>310</v>
      </c>
      <c r="D58" s="1705"/>
      <c r="E58" s="1702">
        <v>38159</v>
      </c>
      <c r="F58" s="1703" t="s">
        <v>9346</v>
      </c>
      <c r="G58" s="1704">
        <v>13</v>
      </c>
      <c r="H58" s="1705"/>
      <c r="I58" s="1702"/>
      <c r="J58" s="1703"/>
      <c r="K58" s="1704"/>
      <c r="L58" s="1705"/>
      <c r="M58" s="1702"/>
      <c r="N58" s="1703"/>
      <c r="O58" s="1704"/>
      <c r="P58" s="1705"/>
      <c r="Q58" s="1702"/>
      <c r="R58" s="1703"/>
      <c r="S58" s="1704"/>
      <c r="T58" s="1705"/>
      <c r="U58" s="1702">
        <v>39626</v>
      </c>
      <c r="V58" s="1703" t="s">
        <v>9347</v>
      </c>
      <c r="W58" s="1704">
        <v>12</v>
      </c>
      <c r="X58" s="1705"/>
      <c r="Y58" s="1702"/>
      <c r="Z58" s="1703"/>
      <c r="AA58" s="1704"/>
      <c r="AB58" s="1705"/>
      <c r="AC58" s="1702"/>
      <c r="AD58" s="1703"/>
      <c r="AE58" s="1704"/>
      <c r="AF58" s="1705"/>
      <c r="AG58" s="1702"/>
      <c r="AH58" s="1703"/>
      <c r="AI58" s="1704"/>
      <c r="AJ58" s="1705"/>
      <c r="AK58" s="1702">
        <v>41090</v>
      </c>
      <c r="AL58" s="1703" t="s">
        <v>772</v>
      </c>
      <c r="AM58" s="1704">
        <v>58</v>
      </c>
      <c r="AN58" s="1705"/>
      <c r="AO58" s="1702">
        <v>41452</v>
      </c>
      <c r="AP58" s="1703" t="s">
        <v>954</v>
      </c>
      <c r="AQ58" s="1704">
        <v>10</v>
      </c>
      <c r="AR58" s="1705"/>
      <c r="AS58" s="1702">
        <v>41812</v>
      </c>
      <c r="AT58" s="1703" t="s">
        <v>754</v>
      </c>
      <c r="AU58" s="1704">
        <v>75</v>
      </c>
      <c r="AV58" s="1705"/>
      <c r="AW58" s="1702">
        <v>42020</v>
      </c>
      <c r="AX58" s="1703" t="s">
        <v>9348</v>
      </c>
      <c r="AY58" s="1704">
        <v>128</v>
      </c>
      <c r="AZ58" s="1705"/>
      <c r="BA58" s="1702">
        <v>42540</v>
      </c>
      <c r="BB58" s="1711" t="s">
        <v>9349</v>
      </c>
      <c r="BC58" s="1704">
        <v>46</v>
      </c>
      <c r="BD58" s="1705"/>
      <c r="BE58" s="1702">
        <v>42898</v>
      </c>
      <c r="BF58" s="1711" t="s">
        <v>9350</v>
      </c>
      <c r="BG58" s="1704"/>
      <c r="BH58" s="1705"/>
      <c r="BI58" s="1702">
        <v>43263</v>
      </c>
      <c r="BJ58" s="1711" t="s">
        <v>9351</v>
      </c>
      <c r="BK58" s="1704">
        <v>63</v>
      </c>
      <c r="BL58" s="1705"/>
      <c r="BM58" s="1702"/>
      <c r="BN58" s="1711"/>
      <c r="BO58" s="1704"/>
      <c r="BP58" s="1705"/>
      <c r="BQ58" s="1702">
        <v>43638</v>
      </c>
      <c r="BR58" s="1711" t="s">
        <v>9352</v>
      </c>
      <c r="BS58" s="1704">
        <v>0</v>
      </c>
      <c r="BT58" s="1705"/>
      <c r="BU58" s="1702">
        <v>44009</v>
      </c>
      <c r="BV58" s="1711" t="s">
        <v>845</v>
      </c>
      <c r="BW58" s="1704">
        <v>65</v>
      </c>
      <c r="BX58" s="1710" t="s">
        <v>414</v>
      </c>
      <c r="BY58" s="1702">
        <v>44366</v>
      </c>
      <c r="BZ58" s="1711" t="s">
        <v>3326</v>
      </c>
      <c r="CA58" s="1704">
        <v>12</v>
      </c>
      <c r="CB58" s="1710" t="s">
        <v>414</v>
      </c>
      <c r="CC58" s="1702">
        <v>44723</v>
      </c>
      <c r="CD58" s="1711" t="s">
        <v>843</v>
      </c>
      <c r="CE58" s="1704">
        <v>0</v>
      </c>
      <c r="CF58" s="1710" t="s">
        <v>414</v>
      </c>
      <c r="CG58" s="1702">
        <v>45094</v>
      </c>
      <c r="CH58" s="1711" t="s">
        <v>948</v>
      </c>
      <c r="CI58" s="1704">
        <v>29</v>
      </c>
      <c r="CJ58" s="1710" t="s">
        <v>414</v>
      </c>
      <c r="CK58" s="1702">
        <v>45455</v>
      </c>
      <c r="CL58" s="1711" t="s">
        <v>9353</v>
      </c>
      <c r="CM58" s="1704">
        <v>60</v>
      </c>
      <c r="CN58" s="1710" t="s">
        <v>707</v>
      </c>
      <c r="CO58" s="1702">
        <v>45455</v>
      </c>
      <c r="CP58" s="1711" t="s">
        <v>9353</v>
      </c>
      <c r="CQ58" s="1704">
        <v>60</v>
      </c>
      <c r="CR58" s="1710" t="s">
        <v>707</v>
      </c>
      <c r="CS58" s="1702"/>
      <c r="CT58" s="1711"/>
      <c r="CU58" s="1704"/>
      <c r="CV58" s="1710"/>
    </row>
    <row r="59" spans="1:100" ht="13.5">
      <c r="A59" s="1702">
        <v>37792</v>
      </c>
      <c r="B59" s="1703" t="s">
        <v>9354</v>
      </c>
      <c r="C59" s="1704">
        <v>270</v>
      </c>
      <c r="D59" s="1705"/>
      <c r="E59" s="1702">
        <v>38160</v>
      </c>
      <c r="F59" s="1703" t="s">
        <v>9355</v>
      </c>
      <c r="G59" s="1704">
        <v>71</v>
      </c>
      <c r="H59" s="1705"/>
      <c r="I59" s="1702"/>
      <c r="J59" s="1703"/>
      <c r="K59" s="1704"/>
      <c r="L59" s="1705"/>
      <c r="M59" s="1702"/>
      <c r="N59" s="1703"/>
      <c r="O59" s="1704"/>
      <c r="P59" s="1705"/>
      <c r="Q59" s="1702"/>
      <c r="R59" s="1703"/>
      <c r="S59" s="1704"/>
      <c r="T59" s="1705"/>
      <c r="U59" s="1702">
        <v>39626</v>
      </c>
      <c r="V59" s="1703" t="s">
        <v>937</v>
      </c>
      <c r="W59" s="1704">
        <v>7</v>
      </c>
      <c r="X59" s="1705"/>
      <c r="Y59" s="1702"/>
      <c r="Z59" s="1703"/>
      <c r="AA59" s="1704"/>
      <c r="AB59" s="1705"/>
      <c r="AC59" s="1702"/>
      <c r="AD59" s="1703"/>
      <c r="AE59" s="1704"/>
      <c r="AF59" s="1705"/>
      <c r="AG59" s="1702"/>
      <c r="AH59" s="1703"/>
      <c r="AI59" s="1704"/>
      <c r="AJ59" s="1705"/>
      <c r="AK59" s="1702">
        <v>41090</v>
      </c>
      <c r="AL59" s="1703" t="s">
        <v>754</v>
      </c>
      <c r="AM59" s="1704">
        <v>90</v>
      </c>
      <c r="AN59" s="1705"/>
      <c r="AO59" s="1702">
        <v>41452</v>
      </c>
      <c r="AP59" s="1703" t="s">
        <v>8585</v>
      </c>
      <c r="AQ59" s="1704">
        <v>16</v>
      </c>
      <c r="AR59" s="1705"/>
      <c r="AS59" s="1702">
        <v>41812</v>
      </c>
      <c r="AT59" s="1703" t="s">
        <v>797</v>
      </c>
      <c r="AU59" s="1704">
        <v>61</v>
      </c>
      <c r="AV59" s="1705"/>
      <c r="AW59" s="1702">
        <v>42020</v>
      </c>
      <c r="AX59" s="1703" t="s">
        <v>6649</v>
      </c>
      <c r="AY59" s="1704">
        <v>59</v>
      </c>
      <c r="AZ59" s="1705"/>
      <c r="BA59" s="1702">
        <v>42540</v>
      </c>
      <c r="BB59" s="1711" t="s">
        <v>9356</v>
      </c>
      <c r="BC59" s="1704">
        <v>15</v>
      </c>
      <c r="BD59" s="1705"/>
      <c r="BE59" s="1702">
        <v>42898</v>
      </c>
      <c r="BF59" s="1711" t="s">
        <v>9357</v>
      </c>
      <c r="BG59" s="1704"/>
      <c r="BH59" s="1705"/>
      <c r="BI59" s="1702">
        <v>43265</v>
      </c>
      <c r="BJ59" s="1711" t="s">
        <v>3586</v>
      </c>
      <c r="BK59" s="1704">
        <v>32</v>
      </c>
      <c r="BL59" s="1705"/>
      <c r="BM59" s="1702"/>
      <c r="BN59" s="1711"/>
      <c r="BO59" s="1704"/>
      <c r="BP59" s="1705"/>
      <c r="BQ59" s="1702">
        <v>43639</v>
      </c>
      <c r="BR59" s="1711" t="s">
        <v>8263</v>
      </c>
      <c r="BS59" s="1704">
        <v>11</v>
      </c>
      <c r="BT59" s="1710" t="s">
        <v>278</v>
      </c>
      <c r="BU59" s="1702">
        <v>44009</v>
      </c>
      <c r="BV59" s="1711" t="s">
        <v>872</v>
      </c>
      <c r="BW59" s="1704">
        <v>36</v>
      </c>
      <c r="BX59" s="1710" t="s">
        <v>414</v>
      </c>
      <c r="BY59" s="1702">
        <v>44366</v>
      </c>
      <c r="BZ59" s="1711" t="s">
        <v>3276</v>
      </c>
      <c r="CA59" s="1704">
        <v>8</v>
      </c>
      <c r="CB59" s="1710" t="s">
        <v>414</v>
      </c>
      <c r="CC59" s="1702">
        <v>44723</v>
      </c>
      <c r="CD59" s="1711" t="s">
        <v>9358</v>
      </c>
      <c r="CE59" s="1704">
        <v>200</v>
      </c>
      <c r="CF59" s="1710" t="s">
        <v>701</v>
      </c>
      <c r="CG59" s="1702">
        <v>45094</v>
      </c>
      <c r="CH59" s="1711" t="s">
        <v>2162</v>
      </c>
      <c r="CI59" s="1704">
        <v>30</v>
      </c>
      <c r="CJ59" s="1710" t="s">
        <v>414</v>
      </c>
      <c r="CK59" s="1702">
        <v>45457</v>
      </c>
      <c r="CL59" s="1711" t="s">
        <v>9359</v>
      </c>
      <c r="CM59" s="1704">
        <v>31</v>
      </c>
      <c r="CN59" s="1710" t="s">
        <v>707</v>
      </c>
      <c r="CO59" s="1702">
        <v>45457</v>
      </c>
      <c r="CP59" s="1711" t="s">
        <v>9359</v>
      </c>
      <c r="CQ59" s="1704">
        <v>31</v>
      </c>
      <c r="CR59" s="1710" t="s">
        <v>707</v>
      </c>
      <c r="CS59" s="1702"/>
      <c r="CT59" s="1711"/>
      <c r="CU59" s="1704"/>
      <c r="CV59" s="1710"/>
    </row>
    <row r="60" spans="1:100" ht="13.5">
      <c r="A60" s="1702">
        <v>37792</v>
      </c>
      <c r="B60" s="1703" t="s">
        <v>1810</v>
      </c>
      <c r="C60" s="1704">
        <v>23</v>
      </c>
      <c r="D60" s="1705"/>
      <c r="E60" s="1702">
        <v>38160</v>
      </c>
      <c r="F60" s="1703" t="s">
        <v>9360</v>
      </c>
      <c r="G60" s="1704">
        <v>18</v>
      </c>
      <c r="H60" s="1705"/>
      <c r="I60" s="1702"/>
      <c r="J60" s="1703"/>
      <c r="K60" s="1704"/>
      <c r="L60" s="1705"/>
      <c r="M60" s="1702"/>
      <c r="N60" s="1703"/>
      <c r="O60" s="1704"/>
      <c r="P60" s="1705"/>
      <c r="Q60" s="1702"/>
      <c r="R60" s="1703"/>
      <c r="S60" s="1704"/>
      <c r="T60" s="1705"/>
      <c r="U60" s="1702">
        <v>39626</v>
      </c>
      <c r="V60" s="1703" t="s">
        <v>9245</v>
      </c>
      <c r="W60" s="1704">
        <v>3</v>
      </c>
      <c r="X60" s="1705"/>
      <c r="Y60" s="1702"/>
      <c r="Z60" s="1703"/>
      <c r="AA60" s="1704"/>
      <c r="AB60" s="1705"/>
      <c r="AC60" s="1702"/>
      <c r="AD60" s="1703"/>
      <c r="AE60" s="1704"/>
      <c r="AF60" s="1705"/>
      <c r="AG60" s="1702"/>
      <c r="AH60" s="1703"/>
      <c r="AI60" s="1704"/>
      <c r="AJ60" s="1705"/>
      <c r="AK60" s="1702">
        <v>41090</v>
      </c>
      <c r="AL60" s="1703" t="s">
        <v>8897</v>
      </c>
      <c r="AM60" s="1704">
        <v>223</v>
      </c>
      <c r="AN60" s="1705"/>
      <c r="AO60" s="1702">
        <v>41452</v>
      </c>
      <c r="AP60" s="1703" t="s">
        <v>9361</v>
      </c>
      <c r="AQ60" s="1704">
        <v>18</v>
      </c>
      <c r="AR60" s="1705"/>
      <c r="AS60" s="1702">
        <v>41816</v>
      </c>
      <c r="AT60" s="1703" t="s">
        <v>9362</v>
      </c>
      <c r="AU60" s="1704">
        <v>15</v>
      </c>
      <c r="AV60" s="1705"/>
      <c r="AW60" s="1702">
        <v>42172</v>
      </c>
      <c r="AX60" s="1703" t="s">
        <v>9363</v>
      </c>
      <c r="AY60" s="1704"/>
      <c r="AZ60" s="1705"/>
      <c r="BA60" s="1702">
        <v>42540</v>
      </c>
      <c r="BB60" s="1711" t="s">
        <v>9364</v>
      </c>
      <c r="BC60" s="1704">
        <v>52</v>
      </c>
      <c r="BD60" s="1705"/>
      <c r="BE60" s="1702">
        <v>42898</v>
      </c>
      <c r="BF60" s="1711" t="s">
        <v>754</v>
      </c>
      <c r="BG60" s="1704">
        <v>16</v>
      </c>
      <c r="BH60" s="1705"/>
      <c r="BI60" s="1702">
        <v>43265</v>
      </c>
      <c r="BJ60" s="1711" t="s">
        <v>9365</v>
      </c>
      <c r="BK60" s="1704">
        <v>13</v>
      </c>
      <c r="BL60" s="1705"/>
      <c r="BM60" s="1702"/>
      <c r="BN60" s="1711"/>
      <c r="BO60" s="1704"/>
      <c r="BP60" s="1705"/>
      <c r="BQ60" s="1702">
        <v>43639</v>
      </c>
      <c r="BR60" s="1711" t="s">
        <v>843</v>
      </c>
      <c r="BS60" s="1704">
        <v>18</v>
      </c>
      <c r="BT60" s="1710" t="s">
        <v>414</v>
      </c>
      <c r="BU60" s="1702">
        <v>44009</v>
      </c>
      <c r="BV60" s="1711" t="s">
        <v>772</v>
      </c>
      <c r="BW60" s="1704">
        <v>37</v>
      </c>
      <c r="BX60" s="1710" t="s">
        <v>414</v>
      </c>
      <c r="BY60" s="1702">
        <v>44366</v>
      </c>
      <c r="BZ60" s="1711" t="s">
        <v>9366</v>
      </c>
      <c r="CA60" s="1704">
        <v>2</v>
      </c>
      <c r="CB60" s="1710" t="s">
        <v>414</v>
      </c>
      <c r="CC60" s="1702">
        <v>44723</v>
      </c>
      <c r="CD60" s="1711" t="s">
        <v>1762</v>
      </c>
      <c r="CE60" s="1704">
        <v>30</v>
      </c>
      <c r="CF60" s="1710" t="s">
        <v>701</v>
      </c>
      <c r="CG60" s="1702">
        <v>45094</v>
      </c>
      <c r="CH60" s="1711" t="s">
        <v>2079</v>
      </c>
      <c r="CI60" s="1704">
        <v>25</v>
      </c>
      <c r="CJ60" s="1710" t="s">
        <v>414</v>
      </c>
      <c r="CK60" s="1702">
        <v>45458</v>
      </c>
      <c r="CL60" s="1711" t="s">
        <v>4053</v>
      </c>
      <c r="CM60" s="1704">
        <v>70</v>
      </c>
      <c r="CN60" s="1710" t="s">
        <v>280</v>
      </c>
      <c r="CO60" s="1702">
        <v>45458</v>
      </c>
      <c r="CP60" s="1711" t="s">
        <v>4053</v>
      </c>
      <c r="CQ60" s="1704">
        <v>70</v>
      </c>
      <c r="CR60" s="1710" t="s">
        <v>280</v>
      </c>
      <c r="CS60" s="1702"/>
      <c r="CT60" s="1711"/>
      <c r="CU60" s="1704"/>
      <c r="CV60" s="1710"/>
    </row>
    <row r="61" spans="1:100" ht="13.5">
      <c r="A61" s="1702">
        <v>37793</v>
      </c>
      <c r="B61" s="1703" t="s">
        <v>410</v>
      </c>
      <c r="C61" s="1704">
        <v>23</v>
      </c>
      <c r="D61" s="1705"/>
      <c r="E61" s="1702">
        <v>38161</v>
      </c>
      <c r="F61" s="1703" t="s">
        <v>9367</v>
      </c>
      <c r="G61" s="1704">
        <v>32</v>
      </c>
      <c r="H61" s="1705"/>
      <c r="I61" s="1702"/>
      <c r="J61" s="1703"/>
      <c r="K61" s="1704"/>
      <c r="L61" s="1705"/>
      <c r="M61" s="1702"/>
      <c r="N61" s="1703"/>
      <c r="O61" s="1704"/>
      <c r="P61" s="1705"/>
      <c r="Q61" s="1702"/>
      <c r="R61" s="1703"/>
      <c r="S61" s="1704"/>
      <c r="T61" s="1705"/>
      <c r="U61" s="1702">
        <v>39627</v>
      </c>
      <c r="V61" s="1703" t="s">
        <v>9368</v>
      </c>
      <c r="W61" s="1704">
        <v>21</v>
      </c>
      <c r="X61" s="1705"/>
      <c r="Y61" s="1702"/>
      <c r="Z61" s="1703"/>
      <c r="AA61" s="1704"/>
      <c r="AB61" s="1705"/>
      <c r="AC61" s="1702"/>
      <c r="AD61" s="1703"/>
      <c r="AE61" s="1704"/>
      <c r="AF61" s="1705"/>
      <c r="AG61" s="1702"/>
      <c r="AH61" s="1703"/>
      <c r="AI61" s="1704"/>
      <c r="AJ61" s="1705"/>
      <c r="AK61" s="1702">
        <v>41090</v>
      </c>
      <c r="AL61" s="1703" t="s">
        <v>9369</v>
      </c>
      <c r="AM61" s="1704">
        <v>5</v>
      </c>
      <c r="AN61" s="1705"/>
      <c r="AO61" s="1702">
        <v>41452</v>
      </c>
      <c r="AP61" s="1703" t="s">
        <v>9370</v>
      </c>
      <c r="AQ61" s="1704">
        <v>90</v>
      </c>
      <c r="AR61" s="1705"/>
      <c r="AS61" s="1702">
        <v>41816</v>
      </c>
      <c r="AT61" s="1703" t="s">
        <v>802</v>
      </c>
      <c r="AU61" s="1704">
        <v>31</v>
      </c>
      <c r="AV61" s="1705"/>
      <c r="AW61" s="1702">
        <v>42172</v>
      </c>
      <c r="AX61" s="1703" t="s">
        <v>9371</v>
      </c>
      <c r="AY61" s="1704">
        <v>10</v>
      </c>
      <c r="AZ61" s="1705"/>
      <c r="BA61" s="1702">
        <v>42540</v>
      </c>
      <c r="BB61" s="1711" t="s">
        <v>9372</v>
      </c>
      <c r="BC61" s="1704">
        <v>16</v>
      </c>
      <c r="BD61" s="1705"/>
      <c r="BE61" s="1702">
        <v>42898</v>
      </c>
      <c r="BF61" s="1711" t="s">
        <v>9373</v>
      </c>
      <c r="BG61" s="1704">
        <v>35</v>
      </c>
      <c r="BH61" s="1705"/>
      <c r="BI61" s="1702">
        <v>43266</v>
      </c>
      <c r="BJ61" s="1711" t="s">
        <v>823</v>
      </c>
      <c r="BK61" s="1704">
        <v>26</v>
      </c>
      <c r="BL61" s="1705"/>
      <c r="BM61" s="1702"/>
      <c r="BN61" s="1711"/>
      <c r="BO61" s="1704"/>
      <c r="BP61" s="1705"/>
      <c r="BQ61" s="1702">
        <v>43639</v>
      </c>
      <c r="BR61" s="1711" t="s">
        <v>9374</v>
      </c>
      <c r="BS61" s="1704">
        <v>419</v>
      </c>
      <c r="BT61" s="1705"/>
      <c r="BU61" s="1702">
        <v>44009</v>
      </c>
      <c r="BV61" s="1711" t="s">
        <v>5106</v>
      </c>
      <c r="BW61" s="1704">
        <v>26</v>
      </c>
      <c r="BX61" s="1710" t="s">
        <v>280</v>
      </c>
      <c r="BY61" s="1702">
        <v>44366</v>
      </c>
      <c r="BZ61" s="1711" t="s">
        <v>9303</v>
      </c>
      <c r="CA61" s="1704">
        <v>28</v>
      </c>
      <c r="CB61" s="1710" t="s">
        <v>414</v>
      </c>
      <c r="CC61" s="1702">
        <v>44723</v>
      </c>
      <c r="CD61" s="1711" t="s">
        <v>9375</v>
      </c>
      <c r="CE61" s="1704">
        <v>176</v>
      </c>
      <c r="CF61" s="1710" t="s">
        <v>695</v>
      </c>
      <c r="CG61" s="1702">
        <v>45094</v>
      </c>
      <c r="CH61" s="1711" t="s">
        <v>797</v>
      </c>
      <c r="CI61" s="1704">
        <v>76</v>
      </c>
      <c r="CJ61" s="1710" t="s">
        <v>414</v>
      </c>
      <c r="CK61" s="1702">
        <v>45458</v>
      </c>
      <c r="CL61" s="1711" t="s">
        <v>7776</v>
      </c>
      <c r="CM61" s="1704">
        <v>20</v>
      </c>
      <c r="CN61" s="1710" t="s">
        <v>280</v>
      </c>
      <c r="CO61" s="1702">
        <v>45458</v>
      </c>
      <c r="CP61" s="1711" t="s">
        <v>7776</v>
      </c>
      <c r="CQ61" s="1704">
        <v>20</v>
      </c>
      <c r="CR61" s="1710" t="s">
        <v>280</v>
      </c>
      <c r="CS61" s="1702"/>
      <c r="CT61" s="1711"/>
      <c r="CU61" s="1704"/>
      <c r="CV61" s="1710"/>
    </row>
    <row r="62" spans="1:100" ht="13.5">
      <c r="A62" s="1702">
        <v>37793</v>
      </c>
      <c r="B62" s="1703" t="s">
        <v>9376</v>
      </c>
      <c r="C62" s="1704">
        <v>17</v>
      </c>
      <c r="D62" s="1705"/>
      <c r="E62" s="1702">
        <v>38161</v>
      </c>
      <c r="F62" s="1703" t="s">
        <v>9377</v>
      </c>
      <c r="G62" s="1704">
        <v>41</v>
      </c>
      <c r="H62" s="1705"/>
      <c r="I62" s="1702"/>
      <c r="J62" s="1703"/>
      <c r="K62" s="1704"/>
      <c r="L62" s="1705"/>
      <c r="M62" s="1702"/>
      <c r="N62" s="1703"/>
      <c r="O62" s="1704"/>
      <c r="P62" s="1705"/>
      <c r="Q62" s="1702"/>
      <c r="R62" s="1703"/>
      <c r="S62" s="1704"/>
      <c r="T62" s="1705"/>
      <c r="U62" s="1702">
        <v>39629</v>
      </c>
      <c r="V62" s="1703" t="s">
        <v>802</v>
      </c>
      <c r="W62" s="1704">
        <v>20</v>
      </c>
      <c r="X62" s="1705"/>
      <c r="Y62" s="1702"/>
      <c r="Z62" s="1703"/>
      <c r="AA62" s="1704"/>
      <c r="AB62" s="1705"/>
      <c r="AC62" s="1702"/>
      <c r="AD62" s="1703"/>
      <c r="AE62" s="1704"/>
      <c r="AF62" s="1705"/>
      <c r="AG62" s="1702"/>
      <c r="AH62" s="1703"/>
      <c r="AI62" s="1704"/>
      <c r="AJ62" s="1705"/>
      <c r="AK62" s="1702">
        <v>41090</v>
      </c>
      <c r="AL62" s="1703" t="s">
        <v>9378</v>
      </c>
      <c r="AM62" s="1704">
        <v>541</v>
      </c>
      <c r="AN62" s="1705"/>
      <c r="AO62" s="1702">
        <v>41452</v>
      </c>
      <c r="AP62" s="1703" t="s">
        <v>9379</v>
      </c>
      <c r="AQ62" s="1704">
        <v>10</v>
      </c>
      <c r="AR62" s="1705"/>
      <c r="AS62" s="1702">
        <v>41817</v>
      </c>
      <c r="AT62" s="1703" t="s">
        <v>9380</v>
      </c>
      <c r="AU62" s="1704">
        <v>39</v>
      </c>
      <c r="AV62" s="1705"/>
      <c r="AW62" s="1702">
        <v>42172</v>
      </c>
      <c r="AX62" s="1703" t="s">
        <v>9381</v>
      </c>
      <c r="AY62" s="1704">
        <v>65</v>
      </c>
      <c r="AZ62" s="1705"/>
      <c r="BA62" s="1702">
        <v>42541</v>
      </c>
      <c r="BB62" s="1711" t="s">
        <v>9382</v>
      </c>
      <c r="BC62" s="1704">
        <v>10</v>
      </c>
      <c r="BD62" s="1705"/>
      <c r="BE62" s="1702">
        <v>42898</v>
      </c>
      <c r="BF62" s="1711" t="s">
        <v>9383</v>
      </c>
      <c r="BG62" s="1704">
        <v>39</v>
      </c>
      <c r="BH62" s="1705"/>
      <c r="BI62" s="1702">
        <v>43266</v>
      </c>
      <c r="BJ62" s="1711" t="s">
        <v>872</v>
      </c>
      <c r="BK62" s="1704">
        <v>20</v>
      </c>
      <c r="BL62" s="1705"/>
      <c r="BM62" s="1702"/>
      <c r="BN62" s="1711"/>
      <c r="BO62" s="1704"/>
      <c r="BP62" s="1705"/>
      <c r="BQ62" s="1702">
        <v>43639</v>
      </c>
      <c r="BR62" s="1711" t="s">
        <v>9384</v>
      </c>
      <c r="BS62" s="1704">
        <v>75</v>
      </c>
      <c r="BT62" s="1710" t="s">
        <v>700</v>
      </c>
      <c r="BU62" s="1702">
        <v>44009</v>
      </c>
      <c r="BV62" s="1711" t="s">
        <v>9385</v>
      </c>
      <c r="BW62" s="1704">
        <v>32</v>
      </c>
      <c r="BX62" s="1710" t="s">
        <v>700</v>
      </c>
      <c r="BY62" s="1702">
        <v>44366</v>
      </c>
      <c r="BZ62" s="1711" t="s">
        <v>843</v>
      </c>
      <c r="CA62" s="1704">
        <v>38</v>
      </c>
      <c r="CB62" s="1710" t="s">
        <v>414</v>
      </c>
      <c r="CC62" s="1702">
        <v>44723</v>
      </c>
      <c r="CD62" s="1711" t="s">
        <v>1151</v>
      </c>
      <c r="CE62" s="1704">
        <v>5</v>
      </c>
      <c r="CF62" s="1710" t="s">
        <v>278</v>
      </c>
      <c r="CG62" s="1702">
        <v>45094</v>
      </c>
      <c r="CH62" s="1711" t="s">
        <v>1903</v>
      </c>
      <c r="CI62" s="1704">
        <v>40</v>
      </c>
      <c r="CJ62" s="1710" t="s">
        <v>700</v>
      </c>
      <c r="CK62" s="1702">
        <v>45458</v>
      </c>
      <c r="CL62" s="1711" t="s">
        <v>9386</v>
      </c>
      <c r="CM62" s="1704">
        <v>0</v>
      </c>
      <c r="CN62" s="1710" t="s">
        <v>381</v>
      </c>
      <c r="CO62" s="1702">
        <v>45458</v>
      </c>
      <c r="CP62" s="1711" t="s">
        <v>9386</v>
      </c>
      <c r="CQ62" s="1704">
        <v>0</v>
      </c>
      <c r="CR62" s="1710" t="s">
        <v>381</v>
      </c>
      <c r="CS62" s="1702"/>
      <c r="CT62" s="1711"/>
      <c r="CU62" s="1704"/>
      <c r="CV62" s="1710"/>
    </row>
    <row r="63" spans="1:100" ht="13.5">
      <c r="A63" s="1702">
        <v>37795</v>
      </c>
      <c r="B63" s="1703" t="s">
        <v>410</v>
      </c>
      <c r="C63" s="1704"/>
      <c r="D63" s="1705">
        <v>30</v>
      </c>
      <c r="E63" s="1702">
        <v>38161</v>
      </c>
      <c r="F63" s="1703" t="s">
        <v>9387</v>
      </c>
      <c r="G63" s="1704">
        <v>71</v>
      </c>
      <c r="H63" s="1705"/>
      <c r="I63" s="1702"/>
      <c r="J63" s="1703"/>
      <c r="K63" s="1704"/>
      <c r="L63" s="1705"/>
      <c r="M63" s="1702"/>
      <c r="N63" s="1703"/>
      <c r="O63" s="1704"/>
      <c r="P63" s="1705"/>
      <c r="Q63" s="1702"/>
      <c r="R63" s="1703"/>
      <c r="S63" s="1704"/>
      <c r="T63" s="1705"/>
      <c r="U63" s="1702">
        <v>39629</v>
      </c>
      <c r="V63" s="1703" t="s">
        <v>797</v>
      </c>
      <c r="W63" s="1704">
        <v>67</v>
      </c>
      <c r="X63" s="1705"/>
      <c r="Y63" s="1702"/>
      <c r="Z63" s="1703"/>
      <c r="AA63" s="1704"/>
      <c r="AB63" s="1705"/>
      <c r="AC63" s="1702"/>
      <c r="AD63" s="1703"/>
      <c r="AE63" s="1704"/>
      <c r="AF63" s="1705"/>
      <c r="AG63" s="1702"/>
      <c r="AH63" s="1703"/>
      <c r="AI63" s="1704"/>
      <c r="AJ63" s="1705"/>
      <c r="AK63" s="1702">
        <v>41090</v>
      </c>
      <c r="AL63" s="1703" t="s">
        <v>9388</v>
      </c>
      <c r="AM63" s="1704">
        <v>351</v>
      </c>
      <c r="AN63" s="1705"/>
      <c r="AO63" s="1702">
        <v>41453</v>
      </c>
      <c r="AP63" s="1703" t="s">
        <v>9389</v>
      </c>
      <c r="AQ63" s="1704">
        <v>7</v>
      </c>
      <c r="AR63" s="1705"/>
      <c r="AS63" s="1702">
        <v>41817</v>
      </c>
      <c r="AT63" s="1703" t="s">
        <v>9390</v>
      </c>
      <c r="AU63" s="1704">
        <v>0</v>
      </c>
      <c r="AV63" s="1705"/>
      <c r="AW63" s="1702">
        <v>42173</v>
      </c>
      <c r="AX63" s="1703" t="s">
        <v>9391</v>
      </c>
      <c r="AY63" s="1704">
        <v>8</v>
      </c>
      <c r="AZ63" s="1705"/>
      <c r="BA63" s="1702">
        <v>42541</v>
      </c>
      <c r="BB63" s="1711" t="s">
        <v>797</v>
      </c>
      <c r="BC63" s="1704">
        <v>40</v>
      </c>
      <c r="BD63" s="1705"/>
      <c r="BE63" s="1702">
        <v>42898</v>
      </c>
      <c r="BF63" s="1711" t="s">
        <v>9392</v>
      </c>
      <c r="BG63" s="1704">
        <v>25</v>
      </c>
      <c r="BH63" s="1705"/>
      <c r="BI63" s="1702">
        <v>43267</v>
      </c>
      <c r="BJ63" s="1711" t="s">
        <v>873</v>
      </c>
      <c r="BK63" s="1704">
        <v>21</v>
      </c>
      <c r="BL63" s="1705"/>
      <c r="BM63" s="1702"/>
      <c r="BN63" s="1711"/>
      <c r="BO63" s="1704"/>
      <c r="BP63" s="1705"/>
      <c r="BQ63" s="1702">
        <v>43642</v>
      </c>
      <c r="BR63" s="1711" t="s">
        <v>9393</v>
      </c>
      <c r="BS63" s="1704">
        <v>15</v>
      </c>
      <c r="BT63" s="1710" t="s">
        <v>280</v>
      </c>
      <c r="BU63" s="1702">
        <v>44009</v>
      </c>
      <c r="BV63" s="1711" t="s">
        <v>9394</v>
      </c>
      <c r="BW63" s="1704">
        <v>40</v>
      </c>
      <c r="BX63" s="1710" t="s">
        <v>280</v>
      </c>
      <c r="BY63" s="1702">
        <v>44366</v>
      </c>
      <c r="BZ63" s="1711" t="s">
        <v>772</v>
      </c>
      <c r="CA63" s="1704">
        <v>72</v>
      </c>
      <c r="CB63" s="1710" t="s">
        <v>414</v>
      </c>
      <c r="CC63" s="1702">
        <v>44724</v>
      </c>
      <c r="CD63" s="1711" t="s">
        <v>9395</v>
      </c>
      <c r="CE63" s="1704">
        <v>40</v>
      </c>
      <c r="CF63" s="1710" t="s">
        <v>701</v>
      </c>
      <c r="CG63" s="1702">
        <v>45095</v>
      </c>
      <c r="CH63" s="1711" t="s">
        <v>9396</v>
      </c>
      <c r="CI63" s="1704">
        <v>30</v>
      </c>
      <c r="CJ63" s="1710" t="s">
        <v>689</v>
      </c>
      <c r="CK63" s="1702">
        <v>45458</v>
      </c>
      <c r="CL63" s="1711" t="s">
        <v>772</v>
      </c>
      <c r="CM63" s="1704">
        <v>30</v>
      </c>
      <c r="CN63" s="1710" t="s">
        <v>414</v>
      </c>
      <c r="CO63" s="1702">
        <v>45458</v>
      </c>
      <c r="CP63" s="1711" t="s">
        <v>772</v>
      </c>
      <c r="CQ63" s="1704">
        <v>30</v>
      </c>
      <c r="CR63" s="1710" t="s">
        <v>414</v>
      </c>
      <c r="CS63" s="1702"/>
      <c r="CT63" s="1711"/>
      <c r="CU63" s="1704"/>
      <c r="CV63" s="1710"/>
    </row>
    <row r="64" spans="1:100" ht="13.5">
      <c r="A64" s="1702">
        <v>37795</v>
      </c>
      <c r="B64" s="1703" t="s">
        <v>9397</v>
      </c>
      <c r="C64" s="1704">
        <v>8</v>
      </c>
      <c r="D64" s="1705"/>
      <c r="E64" s="1702">
        <v>38162</v>
      </c>
      <c r="F64" s="1703" t="s">
        <v>9367</v>
      </c>
      <c r="G64" s="1704">
        <v>32</v>
      </c>
      <c r="H64" s="1705"/>
      <c r="I64" s="1702"/>
      <c r="J64" s="1703"/>
      <c r="K64" s="1704"/>
      <c r="L64" s="1705"/>
      <c r="M64" s="1702"/>
      <c r="N64" s="1703"/>
      <c r="O64" s="1704"/>
      <c r="P64" s="1705"/>
      <c r="Q64" s="1702"/>
      <c r="R64" s="1703"/>
      <c r="S64" s="1704"/>
      <c r="T64" s="1705"/>
      <c r="U64" s="1702"/>
      <c r="V64" s="1703"/>
      <c r="W64" s="1704"/>
      <c r="X64" s="1705"/>
      <c r="Y64" s="1702"/>
      <c r="Z64" s="1703"/>
      <c r="AA64" s="1704"/>
      <c r="AB64" s="1705"/>
      <c r="AC64" s="1702"/>
      <c r="AD64" s="1703"/>
      <c r="AE64" s="1704"/>
      <c r="AF64" s="1705"/>
      <c r="AG64" s="1702"/>
      <c r="AH64" s="1703"/>
      <c r="AI64" s="1704"/>
      <c r="AJ64" s="1705"/>
      <c r="AK64" s="1702"/>
      <c r="AL64" s="1703"/>
      <c r="AM64" s="1704"/>
      <c r="AN64" s="1705"/>
      <c r="AO64" s="1702">
        <v>41453</v>
      </c>
      <c r="AP64" s="1703" t="s">
        <v>797</v>
      </c>
      <c r="AQ64" s="1704">
        <v>34</v>
      </c>
      <c r="AR64" s="1705"/>
      <c r="AS64" s="1702">
        <v>41817</v>
      </c>
      <c r="AT64" s="1703" t="s">
        <v>4701</v>
      </c>
      <c r="AU64" s="1704"/>
      <c r="AV64" s="1705"/>
      <c r="AW64" s="1702">
        <v>42173</v>
      </c>
      <c r="AX64" s="1703" t="s">
        <v>9398</v>
      </c>
      <c r="AY64" s="1704">
        <v>5</v>
      </c>
      <c r="AZ64" s="1705"/>
      <c r="BA64" s="1702">
        <v>42541</v>
      </c>
      <c r="BB64" s="1711" t="s">
        <v>9399</v>
      </c>
      <c r="BC64" s="1704">
        <v>12</v>
      </c>
      <c r="BD64" s="1705"/>
      <c r="BE64" s="1702">
        <v>42898</v>
      </c>
      <c r="BF64" s="1711" t="s">
        <v>9400</v>
      </c>
      <c r="BG64" s="1704">
        <v>20</v>
      </c>
      <c r="BH64" s="1705"/>
      <c r="BI64" s="1702">
        <v>43267</v>
      </c>
      <c r="BJ64" s="1711" t="s">
        <v>859</v>
      </c>
      <c r="BK64" s="1704">
        <v>18</v>
      </c>
      <c r="BL64" s="1705"/>
      <c r="BM64" s="1702"/>
      <c r="BN64" s="1711"/>
      <c r="BO64" s="1704"/>
      <c r="BP64" s="1705"/>
      <c r="BQ64" s="1702">
        <v>43642</v>
      </c>
      <c r="BR64" s="1711" t="s">
        <v>9401</v>
      </c>
      <c r="BS64" s="1704">
        <v>16</v>
      </c>
      <c r="BT64" s="1710" t="s">
        <v>410</v>
      </c>
      <c r="BU64" s="1702">
        <v>44009</v>
      </c>
      <c r="BV64" s="1711" t="s">
        <v>9402</v>
      </c>
      <c r="BW64" s="1704">
        <v>25</v>
      </c>
      <c r="BX64" s="1710" t="s">
        <v>280</v>
      </c>
      <c r="BY64" s="1702">
        <v>44366</v>
      </c>
      <c r="BZ64" s="1711" t="s">
        <v>828</v>
      </c>
      <c r="CA64" s="1704">
        <v>36</v>
      </c>
      <c r="CB64" s="1710" t="s">
        <v>414</v>
      </c>
      <c r="CC64" s="1702">
        <v>44724</v>
      </c>
      <c r="CD64" s="1711" t="s">
        <v>9316</v>
      </c>
      <c r="CE64" s="1704">
        <v>45</v>
      </c>
      <c r="CF64" s="1710" t="s">
        <v>701</v>
      </c>
      <c r="CG64" s="1702">
        <v>45095</v>
      </c>
      <c r="CH64" s="1711" t="s">
        <v>1180</v>
      </c>
      <c r="CI64" s="1704">
        <v>50</v>
      </c>
      <c r="CJ64" s="1710" t="s">
        <v>414</v>
      </c>
      <c r="CK64" s="1702">
        <v>45458</v>
      </c>
      <c r="CL64" s="1711" t="s">
        <v>845</v>
      </c>
      <c r="CM64" s="1704">
        <v>35</v>
      </c>
      <c r="CN64" s="1710" t="s">
        <v>414</v>
      </c>
      <c r="CO64" s="1702">
        <v>45458</v>
      </c>
      <c r="CP64" s="1711" t="s">
        <v>845</v>
      </c>
      <c r="CQ64" s="1704">
        <v>35</v>
      </c>
      <c r="CR64" s="1710" t="s">
        <v>414</v>
      </c>
      <c r="CS64" s="1702"/>
      <c r="CT64" s="1711"/>
      <c r="CU64" s="1704"/>
      <c r="CV64" s="1710"/>
    </row>
    <row r="65" spans="1:100" ht="13.5">
      <c r="A65" s="1702">
        <v>37795</v>
      </c>
      <c r="B65" s="1703" t="s">
        <v>1810</v>
      </c>
      <c r="C65" s="1704">
        <v>2</v>
      </c>
      <c r="D65" s="1705"/>
      <c r="E65" s="1702">
        <v>38162</v>
      </c>
      <c r="F65" s="1703" t="s">
        <v>9403</v>
      </c>
      <c r="G65" s="1704">
        <v>32</v>
      </c>
      <c r="H65" s="1705"/>
      <c r="I65" s="1702"/>
      <c r="J65" s="1703"/>
      <c r="K65" s="1704"/>
      <c r="L65" s="1705"/>
      <c r="M65" s="1702"/>
      <c r="N65" s="1703"/>
      <c r="O65" s="1704"/>
      <c r="P65" s="1705"/>
      <c r="Q65" s="1702"/>
      <c r="R65" s="1703"/>
      <c r="S65" s="1704"/>
      <c r="T65" s="1705"/>
      <c r="U65" s="1702"/>
      <c r="V65" s="1703"/>
      <c r="W65" s="1704"/>
      <c r="X65" s="1705"/>
      <c r="Y65" s="1702"/>
      <c r="Z65" s="1703"/>
      <c r="AA65" s="1704"/>
      <c r="AB65" s="1705"/>
      <c r="AC65" s="1702"/>
      <c r="AD65" s="1703"/>
      <c r="AE65" s="1704"/>
      <c r="AF65" s="1705"/>
      <c r="AG65" s="1702"/>
      <c r="AH65" s="1703"/>
      <c r="AI65" s="1704"/>
      <c r="AJ65" s="1705"/>
      <c r="AK65" s="1702"/>
      <c r="AL65" s="1703"/>
      <c r="AM65" s="1704"/>
      <c r="AN65" s="1705"/>
      <c r="AO65" s="1702">
        <v>41453</v>
      </c>
      <c r="AP65" s="1703" t="s">
        <v>9404</v>
      </c>
      <c r="AQ65" s="1704">
        <v>48</v>
      </c>
      <c r="AR65" s="1705"/>
      <c r="AS65" s="1702">
        <v>41817</v>
      </c>
      <c r="AT65" s="1703" t="s">
        <v>9405</v>
      </c>
      <c r="AU65" s="1704">
        <v>12</v>
      </c>
      <c r="AV65" s="1705"/>
      <c r="AW65" s="1730">
        <v>42173</v>
      </c>
      <c r="AX65" s="1742" t="s">
        <v>797</v>
      </c>
      <c r="AY65" s="1732">
        <v>40</v>
      </c>
      <c r="AZ65" s="1733"/>
      <c r="BA65" s="1702">
        <v>42541</v>
      </c>
      <c r="BB65" s="1711" t="s">
        <v>9399</v>
      </c>
      <c r="BC65" s="1704">
        <v>16</v>
      </c>
      <c r="BD65" s="1705"/>
      <c r="BE65" s="1702">
        <v>42898</v>
      </c>
      <c r="BF65" s="1711" t="s">
        <v>9406</v>
      </c>
      <c r="BG65" s="1704">
        <v>23</v>
      </c>
      <c r="BH65" s="1705"/>
      <c r="BI65" s="1702">
        <v>43267</v>
      </c>
      <c r="BJ65" s="1711" t="s">
        <v>9407</v>
      </c>
      <c r="BK65" s="1704">
        <v>65</v>
      </c>
      <c r="BL65" s="1705"/>
      <c r="BM65" s="1702"/>
      <c r="BN65" s="1711"/>
      <c r="BO65" s="1704"/>
      <c r="BP65" s="1705"/>
      <c r="BQ65" s="1702">
        <v>43642</v>
      </c>
      <c r="BR65" s="1711" t="s">
        <v>797</v>
      </c>
      <c r="BS65" s="1704">
        <v>18</v>
      </c>
      <c r="BT65" s="1710" t="s">
        <v>410</v>
      </c>
      <c r="BU65" s="1702">
        <v>44009</v>
      </c>
      <c r="BV65" s="1711" t="s">
        <v>797</v>
      </c>
      <c r="BW65" s="1704">
        <v>52</v>
      </c>
      <c r="BX65" s="1710" t="s">
        <v>410</v>
      </c>
      <c r="BY65" s="1702">
        <v>44366</v>
      </c>
      <c r="BZ65" s="1711" t="s">
        <v>845</v>
      </c>
      <c r="CA65" s="1704">
        <v>29</v>
      </c>
      <c r="CB65" s="1710" t="s">
        <v>414</v>
      </c>
      <c r="CC65" s="1702">
        <v>44724</v>
      </c>
      <c r="CD65" s="1711" t="s">
        <v>1427</v>
      </c>
      <c r="CE65" s="1704">
        <v>21</v>
      </c>
      <c r="CF65" s="1710" t="s">
        <v>414</v>
      </c>
      <c r="CG65" s="1702">
        <v>45095</v>
      </c>
      <c r="CH65" s="1711" t="s">
        <v>9408</v>
      </c>
      <c r="CI65" s="1704">
        <v>25</v>
      </c>
      <c r="CJ65" s="1710" t="s">
        <v>280</v>
      </c>
      <c r="CK65" s="1702">
        <v>45458</v>
      </c>
      <c r="CL65" s="1711" t="s">
        <v>843</v>
      </c>
      <c r="CM65" s="1704">
        <v>29</v>
      </c>
      <c r="CN65" s="1710" t="s">
        <v>414</v>
      </c>
      <c r="CO65" s="1702">
        <v>45458</v>
      </c>
      <c r="CP65" s="1711" t="s">
        <v>843</v>
      </c>
      <c r="CQ65" s="1704">
        <v>29</v>
      </c>
      <c r="CR65" s="1710" t="s">
        <v>414</v>
      </c>
      <c r="CS65" s="1702"/>
      <c r="CT65" s="1711"/>
      <c r="CU65" s="1704"/>
      <c r="CV65" s="1710"/>
    </row>
    <row r="66" spans="1:100" ht="13.5">
      <c r="A66" s="1702">
        <v>37795</v>
      </c>
      <c r="B66" s="1703" t="s">
        <v>6181</v>
      </c>
      <c r="C66" s="1704">
        <v>10</v>
      </c>
      <c r="D66" s="1705"/>
      <c r="E66" s="1702">
        <v>38162</v>
      </c>
      <c r="F66" s="1703" t="s">
        <v>9377</v>
      </c>
      <c r="G66" s="1704">
        <v>21</v>
      </c>
      <c r="H66" s="1705"/>
      <c r="I66" s="1702"/>
      <c r="J66" s="1703"/>
      <c r="K66" s="1704"/>
      <c r="L66" s="1705"/>
      <c r="M66" s="1702"/>
      <c r="N66" s="1703"/>
      <c r="O66" s="1704"/>
      <c r="P66" s="1705"/>
      <c r="Q66" s="1702"/>
      <c r="R66" s="1703"/>
      <c r="S66" s="1704"/>
      <c r="T66" s="1705"/>
      <c r="U66" s="1702"/>
      <c r="V66" s="1703"/>
      <c r="W66" s="1704"/>
      <c r="X66" s="1705"/>
      <c r="Y66" s="1702"/>
      <c r="Z66" s="1703"/>
      <c r="AA66" s="1704"/>
      <c r="AB66" s="1705"/>
      <c r="AC66" s="1702"/>
      <c r="AD66" s="1703"/>
      <c r="AE66" s="1704"/>
      <c r="AF66" s="1705"/>
      <c r="AG66" s="1702"/>
      <c r="AH66" s="1703"/>
      <c r="AI66" s="1704"/>
      <c r="AJ66" s="1705"/>
      <c r="AK66" s="1702"/>
      <c r="AL66" s="1703"/>
      <c r="AM66" s="1704"/>
      <c r="AN66" s="1705"/>
      <c r="AO66" s="1702">
        <v>41454</v>
      </c>
      <c r="AP66" s="1703" t="s">
        <v>9409</v>
      </c>
      <c r="AQ66" s="1704">
        <v>3</v>
      </c>
      <c r="AR66" s="1705"/>
      <c r="AS66" s="1702">
        <v>41819</v>
      </c>
      <c r="AT66" s="1703" t="s">
        <v>797</v>
      </c>
      <c r="AU66" s="1704">
        <v>50</v>
      </c>
      <c r="AV66" s="1705"/>
      <c r="AW66" s="1743">
        <v>42173</v>
      </c>
      <c r="AX66" s="1744" t="s">
        <v>9410</v>
      </c>
      <c r="AY66" s="1745">
        <f>SUM(AY43:AY65)</f>
        <v>1075</v>
      </c>
      <c r="AZ66" s="1746"/>
      <c r="BA66" s="1702">
        <v>42541</v>
      </c>
      <c r="BB66" s="1711" t="s">
        <v>867</v>
      </c>
      <c r="BC66" s="1704">
        <v>9</v>
      </c>
      <c r="BD66" s="1705"/>
      <c r="BE66" s="1702">
        <v>42899</v>
      </c>
      <c r="BF66" s="1711" t="s">
        <v>9411</v>
      </c>
      <c r="BG66" s="1704"/>
      <c r="BH66" s="1705"/>
      <c r="BI66" s="1702">
        <v>43267</v>
      </c>
      <c r="BJ66" s="1711" t="s">
        <v>9412</v>
      </c>
      <c r="BK66" s="1704">
        <v>2</v>
      </c>
      <c r="BL66" s="1705"/>
      <c r="BM66" s="1702"/>
      <c r="BN66" s="1711"/>
      <c r="BO66" s="1704"/>
      <c r="BP66" s="1705"/>
      <c r="BQ66" s="1702">
        <v>43642</v>
      </c>
      <c r="BR66" s="1711" t="s">
        <v>4599</v>
      </c>
      <c r="BS66" s="1704">
        <v>32</v>
      </c>
      <c r="BT66" s="1710" t="s">
        <v>280</v>
      </c>
      <c r="BU66" s="1702">
        <v>44009</v>
      </c>
      <c r="BV66" s="1711" t="s">
        <v>9413</v>
      </c>
      <c r="BW66" s="1704">
        <v>32</v>
      </c>
      <c r="BX66" s="1710" t="s">
        <v>280</v>
      </c>
      <c r="BY66" s="1702">
        <v>44366</v>
      </c>
      <c r="BZ66" s="1711" t="s">
        <v>9414</v>
      </c>
      <c r="CA66" s="1704">
        <v>23</v>
      </c>
      <c r="CB66" s="1710" t="s">
        <v>414</v>
      </c>
      <c r="CC66" s="1702">
        <v>44724</v>
      </c>
      <c r="CD66" s="1711" t="s">
        <v>9415</v>
      </c>
      <c r="CE66" s="1704">
        <v>23</v>
      </c>
      <c r="CF66" s="1710" t="s">
        <v>700</v>
      </c>
      <c r="CG66" s="1702">
        <v>45095</v>
      </c>
      <c r="CH66" s="1711" t="s">
        <v>9416</v>
      </c>
      <c r="CI66" s="1704">
        <v>75</v>
      </c>
      <c r="CJ66" s="1710" t="s">
        <v>426</v>
      </c>
      <c r="CK66" s="1702">
        <v>45458</v>
      </c>
      <c r="CL66" s="1711" t="s">
        <v>9417</v>
      </c>
      <c r="CM66" s="1704">
        <v>25</v>
      </c>
      <c r="CN66" s="1710" t="s">
        <v>278</v>
      </c>
      <c r="CO66" s="1702">
        <v>45458</v>
      </c>
      <c r="CP66" s="1711" t="s">
        <v>9417</v>
      </c>
      <c r="CQ66" s="1704">
        <v>25</v>
      </c>
      <c r="CR66" s="1710" t="s">
        <v>278</v>
      </c>
      <c r="CS66" s="1702"/>
      <c r="CT66" s="1711"/>
      <c r="CU66" s="1704"/>
      <c r="CV66" s="1710"/>
    </row>
    <row r="67" spans="1:100" ht="13.5">
      <c r="A67" s="1702">
        <v>37796</v>
      </c>
      <c r="B67" s="1703" t="s">
        <v>9418</v>
      </c>
      <c r="C67" s="1704"/>
      <c r="D67" s="1705">
        <v>15</v>
      </c>
      <c r="E67" s="1702">
        <v>38162</v>
      </c>
      <c r="F67" s="1703" t="s">
        <v>797</v>
      </c>
      <c r="G67" s="1704">
        <v>34</v>
      </c>
      <c r="H67" s="1705"/>
      <c r="I67" s="1702"/>
      <c r="J67" s="1703"/>
      <c r="K67" s="1704"/>
      <c r="L67" s="1705"/>
      <c r="M67" s="1702"/>
      <c r="N67" s="1703"/>
      <c r="O67" s="1704"/>
      <c r="P67" s="1705"/>
      <c r="Q67" s="1702"/>
      <c r="R67" s="1703"/>
      <c r="S67" s="1704"/>
      <c r="T67" s="1705"/>
      <c r="U67" s="1702"/>
      <c r="V67" s="1703"/>
      <c r="W67" s="1704"/>
      <c r="X67" s="1705"/>
      <c r="Y67" s="1702"/>
      <c r="Z67" s="1703"/>
      <c r="AA67" s="1704"/>
      <c r="AB67" s="1705"/>
      <c r="AC67" s="1702"/>
      <c r="AD67" s="1703"/>
      <c r="AE67" s="1704"/>
      <c r="AF67" s="1705"/>
      <c r="AG67" s="1702"/>
      <c r="AH67" s="1703"/>
      <c r="AI67" s="1704"/>
      <c r="AJ67" s="1705"/>
      <c r="AK67" s="1702"/>
      <c r="AL67" s="1703"/>
      <c r="AM67" s="1704"/>
      <c r="AN67" s="1705"/>
      <c r="AO67" s="1702">
        <v>41455</v>
      </c>
      <c r="AP67" s="1703" t="s">
        <v>962</v>
      </c>
      <c r="AQ67" s="1704">
        <v>18</v>
      </c>
      <c r="AR67" s="1705"/>
      <c r="AS67" s="1702">
        <v>41819</v>
      </c>
      <c r="AT67" s="1703" t="s">
        <v>1289</v>
      </c>
      <c r="AU67" s="1704">
        <v>10</v>
      </c>
      <c r="AV67" s="1705"/>
      <c r="AW67" s="1702">
        <v>42174</v>
      </c>
      <c r="AX67" s="1703" t="s">
        <v>9419</v>
      </c>
      <c r="AY67" s="1704">
        <v>40</v>
      </c>
      <c r="AZ67" s="1705"/>
      <c r="BA67" s="1702">
        <v>42542</v>
      </c>
      <c r="BB67" s="1711" t="s">
        <v>802</v>
      </c>
      <c r="BC67" s="1704">
        <v>40</v>
      </c>
      <c r="BD67" s="1705"/>
      <c r="BE67" s="1702">
        <v>42899</v>
      </c>
      <c r="BF67" s="1711" t="s">
        <v>9420</v>
      </c>
      <c r="BG67" s="1704"/>
      <c r="BH67" s="1705"/>
      <c r="BI67" s="1702">
        <v>43268</v>
      </c>
      <c r="BJ67" s="1711" t="s">
        <v>9421</v>
      </c>
      <c r="BK67" s="1704"/>
      <c r="BL67" s="1705"/>
      <c r="BM67" s="1702"/>
      <c r="BN67" s="1711"/>
      <c r="BO67" s="1704"/>
      <c r="BP67" s="1705"/>
      <c r="BQ67" s="1702">
        <v>43643</v>
      </c>
      <c r="BR67" s="1711" t="s">
        <v>9422</v>
      </c>
      <c r="BS67" s="1704">
        <v>38</v>
      </c>
      <c r="BT67" s="1710" t="s">
        <v>278</v>
      </c>
      <c r="BU67" s="1702">
        <v>44009</v>
      </c>
      <c r="BV67" s="1711" t="s">
        <v>9423</v>
      </c>
      <c r="BW67" s="1704">
        <v>20</v>
      </c>
      <c r="BX67" s="1710" t="s">
        <v>280</v>
      </c>
      <c r="BY67" s="1702">
        <v>44367</v>
      </c>
      <c r="BZ67" s="1711" t="s">
        <v>2958</v>
      </c>
      <c r="CA67" s="1704">
        <v>48</v>
      </c>
      <c r="CB67" s="1710" t="s">
        <v>701</v>
      </c>
      <c r="CC67" s="1702">
        <v>44726</v>
      </c>
      <c r="CD67" s="1711" t="s">
        <v>5353</v>
      </c>
      <c r="CE67" s="1704">
        <v>80</v>
      </c>
      <c r="CF67" s="1710" t="s">
        <v>426</v>
      </c>
      <c r="CG67" s="1702">
        <v>45095</v>
      </c>
      <c r="CH67" s="1711" t="s">
        <v>9424</v>
      </c>
      <c r="CI67" s="1704">
        <v>275</v>
      </c>
      <c r="CJ67" s="1710" t="s">
        <v>701</v>
      </c>
      <c r="CK67" s="1702">
        <v>45458</v>
      </c>
      <c r="CL67" s="1711" t="s">
        <v>797</v>
      </c>
      <c r="CM67" s="1704">
        <v>39</v>
      </c>
      <c r="CN67" s="1710" t="s">
        <v>414</v>
      </c>
      <c r="CO67" s="1702">
        <v>45458</v>
      </c>
      <c r="CP67" s="1711" t="s">
        <v>797</v>
      </c>
      <c r="CQ67" s="1704">
        <v>39</v>
      </c>
      <c r="CR67" s="1710" t="s">
        <v>414</v>
      </c>
      <c r="CS67" s="1702"/>
      <c r="CT67" s="1711"/>
      <c r="CU67" s="1704"/>
      <c r="CV67" s="1710"/>
    </row>
    <row r="68" spans="1:100" ht="13.5">
      <c r="A68" s="1702">
        <v>37796</v>
      </c>
      <c r="B68" s="1703" t="s">
        <v>1810</v>
      </c>
      <c r="C68" s="1704">
        <v>5</v>
      </c>
      <c r="D68" s="1705"/>
      <c r="E68" s="1702">
        <v>38163</v>
      </c>
      <c r="F68" s="1703" t="s">
        <v>9425</v>
      </c>
      <c r="G68" s="1704">
        <v>30</v>
      </c>
      <c r="H68" s="1705"/>
      <c r="I68" s="1702"/>
      <c r="J68" s="1703"/>
      <c r="K68" s="1704"/>
      <c r="L68" s="1705"/>
      <c r="M68" s="1702"/>
      <c r="N68" s="1703"/>
      <c r="O68" s="1704"/>
      <c r="P68" s="1705"/>
      <c r="Q68" s="1702"/>
      <c r="R68" s="1703"/>
      <c r="S68" s="1704"/>
      <c r="T68" s="1705"/>
      <c r="U68" s="1702"/>
      <c r="V68" s="1703"/>
      <c r="W68" s="1704"/>
      <c r="X68" s="1705"/>
      <c r="Y68" s="1702"/>
      <c r="Z68" s="1703"/>
      <c r="AA68" s="1704"/>
      <c r="AB68" s="1705"/>
      <c r="AC68" s="1702"/>
      <c r="AD68" s="1703"/>
      <c r="AE68" s="1704"/>
      <c r="AF68" s="1705"/>
      <c r="AG68" s="1702"/>
      <c r="AH68" s="1703"/>
      <c r="AI68" s="1704"/>
      <c r="AJ68" s="1705"/>
      <c r="AK68" s="1702"/>
      <c r="AL68" s="1703"/>
      <c r="AM68" s="1704"/>
      <c r="AN68" s="1705"/>
      <c r="AO68" s="1702">
        <v>41455</v>
      </c>
      <c r="AP68" s="1703" t="s">
        <v>979</v>
      </c>
      <c r="AQ68" s="1704">
        <v>14</v>
      </c>
      <c r="AR68" s="1705"/>
      <c r="AS68" s="1702">
        <v>41819</v>
      </c>
      <c r="AT68" s="1703" t="s">
        <v>9426</v>
      </c>
      <c r="AU68" s="1704">
        <v>10</v>
      </c>
      <c r="AV68" s="1705"/>
      <c r="AW68" s="1702">
        <v>42175</v>
      </c>
      <c r="AX68" s="1703" t="s">
        <v>772</v>
      </c>
      <c r="AY68" s="1704">
        <v>34</v>
      </c>
      <c r="AZ68" s="1705"/>
      <c r="BA68" s="1702">
        <v>42542</v>
      </c>
      <c r="BB68" s="1711" t="s">
        <v>9427</v>
      </c>
      <c r="BC68" s="1704">
        <v>7</v>
      </c>
      <c r="BD68" s="1705"/>
      <c r="BE68" s="1702">
        <v>42899</v>
      </c>
      <c r="BF68" s="1711" t="s">
        <v>9333</v>
      </c>
      <c r="BG68" s="1704">
        <v>29</v>
      </c>
      <c r="BH68" s="1705"/>
      <c r="BI68" s="1702">
        <v>43268</v>
      </c>
      <c r="BJ68" s="1711" t="s">
        <v>9428</v>
      </c>
      <c r="BK68" s="1704"/>
      <c r="BL68" s="1705"/>
      <c r="BM68" s="1702"/>
      <c r="BN68" s="1711"/>
      <c r="BO68" s="1704"/>
      <c r="BP68" s="1705"/>
      <c r="BQ68" s="1702">
        <v>43643</v>
      </c>
      <c r="BR68" s="1711" t="s">
        <v>9429</v>
      </c>
      <c r="BS68" s="1704">
        <v>9</v>
      </c>
      <c r="BT68" s="1710" t="s">
        <v>278</v>
      </c>
      <c r="BU68" s="1702">
        <v>44010</v>
      </c>
      <c r="BV68" s="1711" t="s">
        <v>1873</v>
      </c>
      <c r="BW68" s="1704">
        <v>61</v>
      </c>
      <c r="BX68" s="1710" t="s">
        <v>414</v>
      </c>
      <c r="BY68" s="1702">
        <v>44367</v>
      </c>
      <c r="BZ68" s="1711" t="s">
        <v>9430</v>
      </c>
      <c r="CA68" s="1704">
        <v>2589</v>
      </c>
      <c r="CB68" s="1710" t="s">
        <v>284</v>
      </c>
      <c r="CC68" s="1702">
        <v>44726</v>
      </c>
      <c r="CD68" s="1711" t="s">
        <v>9431</v>
      </c>
      <c r="CE68" s="1704">
        <v>4</v>
      </c>
      <c r="CF68" s="1710" t="s">
        <v>692</v>
      </c>
      <c r="CG68" s="1702">
        <v>45100</v>
      </c>
      <c r="CH68" s="1711" t="s">
        <v>845</v>
      </c>
      <c r="CI68" s="1704">
        <v>35</v>
      </c>
      <c r="CJ68" s="1710" t="s">
        <v>700</v>
      </c>
      <c r="CK68" s="1702">
        <v>45460</v>
      </c>
      <c r="CL68" s="1711" t="s">
        <v>9432</v>
      </c>
      <c r="CM68" s="1704">
        <v>51</v>
      </c>
      <c r="CN68" s="1710" t="s">
        <v>712</v>
      </c>
      <c r="CO68" s="1702">
        <v>45460</v>
      </c>
      <c r="CP68" s="1711" t="s">
        <v>9432</v>
      </c>
      <c r="CQ68" s="1704">
        <v>51</v>
      </c>
      <c r="CR68" s="1710" t="s">
        <v>712</v>
      </c>
      <c r="CS68" s="1702"/>
      <c r="CT68" s="1711"/>
      <c r="CU68" s="1704"/>
      <c r="CV68" s="1710"/>
    </row>
    <row r="69" spans="1:100" ht="13.5">
      <c r="A69" s="1702">
        <v>37796</v>
      </c>
      <c r="B69" s="1703" t="s">
        <v>9433</v>
      </c>
      <c r="C69" s="1704">
        <v>65</v>
      </c>
      <c r="D69" s="1705"/>
      <c r="E69" s="1702">
        <v>38164</v>
      </c>
      <c r="F69" s="1703" t="s">
        <v>9434</v>
      </c>
      <c r="G69" s="1704">
        <v>138</v>
      </c>
      <c r="H69" s="1705"/>
      <c r="I69" s="1702"/>
      <c r="J69" s="1703"/>
      <c r="K69" s="1704"/>
      <c r="L69" s="1705"/>
      <c r="M69" s="1702"/>
      <c r="N69" s="1703"/>
      <c r="O69" s="1704"/>
      <c r="P69" s="1705"/>
      <c r="Q69" s="1702"/>
      <c r="R69" s="1703"/>
      <c r="S69" s="1704"/>
      <c r="T69" s="1705"/>
      <c r="U69" s="1702"/>
      <c r="V69" s="1703"/>
      <c r="W69" s="1704"/>
      <c r="X69" s="1705"/>
      <c r="Y69" s="1702"/>
      <c r="Z69" s="1703"/>
      <c r="AA69" s="1704"/>
      <c r="AB69" s="1705"/>
      <c r="AC69" s="1702"/>
      <c r="AD69" s="1703"/>
      <c r="AE69" s="1704"/>
      <c r="AF69" s="1705"/>
      <c r="AG69" s="1702"/>
      <c r="AH69" s="1703"/>
      <c r="AI69" s="1704"/>
      <c r="AJ69" s="1705"/>
      <c r="AK69" s="1702"/>
      <c r="AL69" s="1703"/>
      <c r="AM69" s="1704"/>
      <c r="AN69" s="1705"/>
      <c r="AO69" s="1702">
        <v>41455</v>
      </c>
      <c r="AP69" s="1703" t="s">
        <v>4598</v>
      </c>
      <c r="AQ69" s="1704">
        <v>26</v>
      </c>
      <c r="AR69" s="1705"/>
      <c r="AS69" s="1702">
        <v>41819</v>
      </c>
      <c r="AT69" s="1703" t="s">
        <v>9435</v>
      </c>
      <c r="AU69" s="1704">
        <v>41</v>
      </c>
      <c r="AV69" s="1705"/>
      <c r="AW69" s="1702">
        <v>42175</v>
      </c>
      <c r="AX69" s="1703" t="s">
        <v>754</v>
      </c>
      <c r="AY69" s="1704">
        <v>64</v>
      </c>
      <c r="AZ69" s="1705"/>
      <c r="BA69" s="1702">
        <v>42542</v>
      </c>
      <c r="BB69" s="1711" t="s">
        <v>9436</v>
      </c>
      <c r="BC69" s="1704">
        <v>7</v>
      </c>
      <c r="BD69" s="1705"/>
      <c r="BE69" s="1702">
        <v>42900</v>
      </c>
      <c r="BF69" s="1711" t="s">
        <v>9437</v>
      </c>
      <c r="BG69" s="1704">
        <v>50</v>
      </c>
      <c r="BH69" s="1705"/>
      <c r="BI69" s="1702">
        <v>43269</v>
      </c>
      <c r="BJ69" s="1711" t="s">
        <v>9438</v>
      </c>
      <c r="BK69" s="1704">
        <v>18</v>
      </c>
      <c r="BL69" s="1705"/>
      <c r="BM69" s="1702"/>
      <c r="BN69" s="1711"/>
      <c r="BO69" s="1704"/>
      <c r="BP69" s="1705"/>
      <c r="BQ69" s="1702">
        <v>43643</v>
      </c>
      <c r="BR69" s="1711" t="s">
        <v>9439</v>
      </c>
      <c r="BS69" s="1704">
        <v>53</v>
      </c>
      <c r="BT69" s="1710" t="s">
        <v>381</v>
      </c>
      <c r="BU69" s="1702"/>
      <c r="BV69" s="1711"/>
      <c r="BW69" s="1704"/>
      <c r="BX69" s="1710"/>
      <c r="BY69" s="1702">
        <v>44372</v>
      </c>
      <c r="BZ69" s="1711" t="s">
        <v>845</v>
      </c>
      <c r="CA69" s="1704">
        <v>58</v>
      </c>
      <c r="CB69" s="1710" t="s">
        <v>414</v>
      </c>
      <c r="CC69" s="1702">
        <v>44727</v>
      </c>
      <c r="CD69" s="1711" t="s">
        <v>797</v>
      </c>
      <c r="CE69" s="1704">
        <v>114</v>
      </c>
      <c r="CF69" s="1710" t="s">
        <v>410</v>
      </c>
      <c r="CG69" s="1702">
        <v>45100</v>
      </c>
      <c r="CH69" s="1711" t="s">
        <v>9440</v>
      </c>
      <c r="CI69" s="1704">
        <v>15</v>
      </c>
      <c r="CJ69" s="1710" t="s">
        <v>689</v>
      </c>
      <c r="CK69" s="1702">
        <v>45464</v>
      </c>
      <c r="CL69" s="1711" t="s">
        <v>9441</v>
      </c>
      <c r="CM69" s="1704">
        <v>1900</v>
      </c>
      <c r="CN69" s="1710" t="s">
        <v>712</v>
      </c>
      <c r="CO69" s="1702">
        <v>45464</v>
      </c>
      <c r="CP69" s="1711" t="s">
        <v>9441</v>
      </c>
      <c r="CQ69" s="1704">
        <v>1900</v>
      </c>
      <c r="CR69" s="1710" t="s">
        <v>712</v>
      </c>
      <c r="CS69" s="1702"/>
      <c r="CT69" s="1711"/>
      <c r="CU69" s="1704"/>
      <c r="CV69" s="1710"/>
    </row>
    <row r="70" spans="1:100" ht="13.5">
      <c r="A70" s="1702">
        <v>37798</v>
      </c>
      <c r="B70" s="1703" t="s">
        <v>9418</v>
      </c>
      <c r="C70" s="1704">
        <v>9</v>
      </c>
      <c r="D70" s="1705"/>
      <c r="E70" s="1702">
        <v>38164</v>
      </c>
      <c r="F70" s="1703" t="s">
        <v>4091</v>
      </c>
      <c r="G70" s="1704">
        <v>15</v>
      </c>
      <c r="H70" s="1705"/>
      <c r="I70" s="1702"/>
      <c r="J70" s="1703"/>
      <c r="K70" s="1704"/>
      <c r="L70" s="1705"/>
      <c r="M70" s="1702"/>
      <c r="N70" s="1703"/>
      <c r="O70" s="1704"/>
      <c r="P70" s="1705"/>
      <c r="Q70" s="1702"/>
      <c r="R70" s="1703"/>
      <c r="S70" s="1704"/>
      <c r="T70" s="1705"/>
      <c r="U70" s="1702"/>
      <c r="V70" s="1703"/>
      <c r="W70" s="1704"/>
      <c r="X70" s="1705"/>
      <c r="Y70" s="1702"/>
      <c r="Z70" s="1703"/>
      <c r="AA70" s="1704"/>
      <c r="AB70" s="1705"/>
      <c r="AC70" s="1702"/>
      <c r="AD70" s="1703"/>
      <c r="AE70" s="1704"/>
      <c r="AF70" s="1705"/>
      <c r="AG70" s="1702"/>
      <c r="AH70" s="1703"/>
      <c r="AI70" s="1704"/>
      <c r="AJ70" s="1705"/>
      <c r="AK70" s="1702"/>
      <c r="AL70" s="1703"/>
      <c r="AM70" s="1704"/>
      <c r="AN70" s="1705"/>
      <c r="AO70" s="1702">
        <v>41455</v>
      </c>
      <c r="AP70" s="1703" t="s">
        <v>754</v>
      </c>
      <c r="AQ70" s="1704">
        <v>101</v>
      </c>
      <c r="AR70" s="1705"/>
      <c r="AS70" s="1702">
        <v>41820</v>
      </c>
      <c r="AT70" s="1703" t="s">
        <v>9442</v>
      </c>
      <c r="AU70" s="1704">
        <v>35</v>
      </c>
      <c r="AV70" s="1705"/>
      <c r="AW70" s="1702">
        <v>42175</v>
      </c>
      <c r="AX70" s="1703" t="s">
        <v>781</v>
      </c>
      <c r="AY70" s="1704">
        <v>75</v>
      </c>
      <c r="AZ70" s="1705"/>
      <c r="BA70" s="1702">
        <v>42542</v>
      </c>
      <c r="BB70" s="1711" t="s">
        <v>9443</v>
      </c>
      <c r="BC70" s="1704">
        <v>75</v>
      </c>
      <c r="BD70" s="1705"/>
      <c r="BE70" s="1702">
        <v>42900</v>
      </c>
      <c r="BF70" s="1711" t="s">
        <v>9444</v>
      </c>
      <c r="BG70" s="1704"/>
      <c r="BH70" s="1705"/>
      <c r="BI70" s="1702">
        <v>43270</v>
      </c>
      <c r="BJ70" s="1711" t="s">
        <v>9445</v>
      </c>
      <c r="BK70" s="1704">
        <v>25</v>
      </c>
      <c r="BL70" s="1705"/>
      <c r="BM70" s="1702"/>
      <c r="BN70" s="1711"/>
      <c r="BO70" s="1704"/>
      <c r="BP70" s="1705"/>
      <c r="BQ70" s="1702">
        <v>43643</v>
      </c>
      <c r="BR70" s="1711" t="s">
        <v>9446</v>
      </c>
      <c r="BS70" s="1704">
        <v>9</v>
      </c>
      <c r="BT70" s="1710" t="s">
        <v>414</v>
      </c>
      <c r="BU70" s="1702"/>
      <c r="BV70" s="1711"/>
      <c r="BW70" s="1704"/>
      <c r="BX70" s="1710"/>
      <c r="BY70" s="1702">
        <v>44373</v>
      </c>
      <c r="BZ70" s="1711" t="s">
        <v>845</v>
      </c>
      <c r="CA70" s="1704">
        <v>21</v>
      </c>
      <c r="CB70" s="1710" t="s">
        <v>414</v>
      </c>
      <c r="CC70" s="1702">
        <v>44727</v>
      </c>
      <c r="CD70" s="1711" t="s">
        <v>9447</v>
      </c>
      <c r="CE70" s="1704">
        <v>190</v>
      </c>
      <c r="CF70" s="1710" t="s">
        <v>701</v>
      </c>
      <c r="CG70" s="1702">
        <v>45100</v>
      </c>
      <c r="CH70" s="1711" t="s">
        <v>2928</v>
      </c>
      <c r="CI70" s="1704">
        <v>20</v>
      </c>
      <c r="CJ70" s="1710" t="s">
        <v>689</v>
      </c>
      <c r="CK70" s="1702">
        <v>45464</v>
      </c>
      <c r="CL70" s="1711" t="s">
        <v>971</v>
      </c>
      <c r="CM70" s="1704">
        <v>79</v>
      </c>
      <c r="CN70" s="1710" t="s">
        <v>414</v>
      </c>
      <c r="CO70" s="1702">
        <v>45464</v>
      </c>
      <c r="CP70" s="1711" t="s">
        <v>971</v>
      </c>
      <c r="CQ70" s="1704">
        <v>79</v>
      </c>
      <c r="CR70" s="1710" t="s">
        <v>414</v>
      </c>
      <c r="CS70" s="1702"/>
      <c r="CT70" s="1711"/>
      <c r="CU70" s="1704"/>
      <c r="CV70" s="1710"/>
    </row>
    <row r="71" spans="1:100" ht="13.5">
      <c r="A71" s="1702">
        <v>37799</v>
      </c>
      <c r="B71" s="1703" t="s">
        <v>9448</v>
      </c>
      <c r="C71" s="1704">
        <v>23</v>
      </c>
      <c r="D71" s="1705"/>
      <c r="E71" s="1702">
        <v>38164</v>
      </c>
      <c r="F71" s="1703" t="s">
        <v>9449</v>
      </c>
      <c r="G71" s="1704">
        <v>45</v>
      </c>
      <c r="H71" s="1705"/>
      <c r="I71" s="1702"/>
      <c r="J71" s="1703"/>
      <c r="K71" s="1704"/>
      <c r="L71" s="1705"/>
      <c r="M71" s="1702"/>
      <c r="N71" s="1703"/>
      <c r="O71" s="1704"/>
      <c r="P71" s="1705"/>
      <c r="Q71" s="1702"/>
      <c r="R71" s="1703"/>
      <c r="S71" s="1704"/>
      <c r="T71" s="1705"/>
      <c r="U71" s="1702"/>
      <c r="V71" s="1703"/>
      <c r="W71" s="1704"/>
      <c r="X71" s="1705"/>
      <c r="Y71" s="1702"/>
      <c r="Z71" s="1703"/>
      <c r="AA71" s="1704"/>
      <c r="AB71" s="1705"/>
      <c r="AC71" s="1702"/>
      <c r="AD71" s="1703"/>
      <c r="AE71" s="1704"/>
      <c r="AF71" s="1705"/>
      <c r="AG71" s="1702"/>
      <c r="AH71" s="1703"/>
      <c r="AI71" s="1704"/>
      <c r="AJ71" s="1705"/>
      <c r="AK71" s="1702"/>
      <c r="AL71" s="1703"/>
      <c r="AM71" s="1704"/>
      <c r="AN71" s="1705"/>
      <c r="AO71" s="1702">
        <v>41455</v>
      </c>
      <c r="AP71" s="1703" t="s">
        <v>1288</v>
      </c>
      <c r="AQ71" s="1704">
        <v>11</v>
      </c>
      <c r="AR71" s="1705"/>
      <c r="AS71" s="1702">
        <v>41820</v>
      </c>
      <c r="AT71" s="1703" t="s">
        <v>9450</v>
      </c>
      <c r="AU71" s="1704">
        <v>8</v>
      </c>
      <c r="AV71" s="1705"/>
      <c r="AW71" s="1702">
        <v>42175</v>
      </c>
      <c r="AX71" s="1703" t="s">
        <v>9451</v>
      </c>
      <c r="AY71" s="1704">
        <v>72</v>
      </c>
      <c r="AZ71" s="1705"/>
      <c r="BA71" s="1702">
        <v>42542</v>
      </c>
      <c r="BB71" s="1711" t="s">
        <v>9452</v>
      </c>
      <c r="BC71" s="1704">
        <v>25</v>
      </c>
      <c r="BD71" s="1705"/>
      <c r="BE71" s="1702">
        <v>42900</v>
      </c>
      <c r="BF71" s="1711" t="s">
        <v>9453</v>
      </c>
      <c r="BG71" s="1704"/>
      <c r="BH71" s="1705"/>
      <c r="BI71" s="1702">
        <v>43270</v>
      </c>
      <c r="BJ71" s="1711" t="s">
        <v>9454</v>
      </c>
      <c r="BK71" s="1704">
        <v>50</v>
      </c>
      <c r="BL71" s="1705"/>
      <c r="BM71" s="1702"/>
      <c r="BN71" s="1711"/>
      <c r="BO71" s="1704"/>
      <c r="BP71" s="1705"/>
      <c r="BQ71" s="1702">
        <v>43643</v>
      </c>
      <c r="BR71" s="1711" t="s">
        <v>9455</v>
      </c>
      <c r="BS71" s="1704">
        <v>57</v>
      </c>
      <c r="BT71" s="1710" t="s">
        <v>414</v>
      </c>
      <c r="BU71" s="1702"/>
      <c r="BV71" s="1711"/>
      <c r="BW71" s="1704"/>
      <c r="BX71" s="1710"/>
      <c r="BY71" s="1702">
        <v>44373</v>
      </c>
      <c r="BZ71" s="1711" t="s">
        <v>772</v>
      </c>
      <c r="CA71" s="1704">
        <v>24</v>
      </c>
      <c r="CB71" s="1710" t="s">
        <v>414</v>
      </c>
      <c r="CC71" s="1702">
        <v>44728</v>
      </c>
      <c r="CD71" s="1711" t="s">
        <v>9456</v>
      </c>
      <c r="CE71" s="1704">
        <v>1259</v>
      </c>
      <c r="CF71" s="1710" t="s">
        <v>712</v>
      </c>
      <c r="CG71" s="1702">
        <v>45100</v>
      </c>
      <c r="CH71" s="1711" t="s">
        <v>9457</v>
      </c>
      <c r="CI71" s="1704">
        <v>100</v>
      </c>
      <c r="CJ71" s="1710" t="s">
        <v>689</v>
      </c>
      <c r="CK71" s="1702">
        <v>45464</v>
      </c>
      <c r="CL71" s="1711" t="s">
        <v>843</v>
      </c>
      <c r="CM71" s="1704">
        <v>29</v>
      </c>
      <c r="CN71" s="1710" t="s">
        <v>414</v>
      </c>
      <c r="CO71" s="1702">
        <v>45464</v>
      </c>
      <c r="CP71" s="1711" t="s">
        <v>843</v>
      </c>
      <c r="CQ71" s="1704">
        <v>29</v>
      </c>
      <c r="CR71" s="1710" t="s">
        <v>414</v>
      </c>
      <c r="CS71" s="1702"/>
      <c r="CT71" s="1711"/>
      <c r="CU71" s="1704"/>
      <c r="CV71" s="1710"/>
    </row>
    <row r="72" spans="1:100" ht="13.5">
      <c r="A72" s="1702">
        <v>37799</v>
      </c>
      <c r="B72" s="1703" t="s">
        <v>9458</v>
      </c>
      <c r="C72" s="1704">
        <v>74</v>
      </c>
      <c r="D72" s="1705"/>
      <c r="E72" s="1702">
        <v>38165</v>
      </c>
      <c r="F72" s="1703" t="s">
        <v>9459</v>
      </c>
      <c r="G72" s="1704">
        <v>15</v>
      </c>
      <c r="H72" s="1705"/>
      <c r="I72" s="1702"/>
      <c r="J72" s="1703"/>
      <c r="K72" s="1704"/>
      <c r="L72" s="1705"/>
      <c r="M72" s="1702"/>
      <c r="N72" s="1703"/>
      <c r="O72" s="1704"/>
      <c r="P72" s="1705"/>
      <c r="Q72" s="1702"/>
      <c r="R72" s="1703"/>
      <c r="S72" s="1704"/>
      <c r="T72" s="1705"/>
      <c r="U72" s="1702"/>
      <c r="V72" s="1703"/>
      <c r="W72" s="1704"/>
      <c r="X72" s="1705"/>
      <c r="Y72" s="1702"/>
      <c r="Z72" s="1703"/>
      <c r="AA72" s="1704"/>
      <c r="AB72" s="1705"/>
      <c r="AC72" s="1702"/>
      <c r="AD72" s="1703"/>
      <c r="AE72" s="1704"/>
      <c r="AF72" s="1705"/>
      <c r="AG72" s="1702"/>
      <c r="AH72" s="1703"/>
      <c r="AI72" s="1704"/>
      <c r="AJ72" s="1705"/>
      <c r="AK72" s="1702"/>
      <c r="AL72" s="1703"/>
      <c r="AM72" s="1704"/>
      <c r="AN72" s="1705"/>
      <c r="AO72" s="1702"/>
      <c r="AP72" s="1703"/>
      <c r="AQ72" s="1704"/>
      <c r="AR72" s="1705"/>
      <c r="AS72" s="1702">
        <v>41820</v>
      </c>
      <c r="AT72" s="1703" t="s">
        <v>9460</v>
      </c>
      <c r="AU72" s="1704">
        <v>18</v>
      </c>
      <c r="AV72" s="1705"/>
      <c r="AW72" s="1702">
        <v>42175</v>
      </c>
      <c r="AX72" s="1703" t="s">
        <v>9461</v>
      </c>
      <c r="AY72" s="1704">
        <v>45</v>
      </c>
      <c r="AZ72" s="1705"/>
      <c r="BA72" s="1702">
        <v>42542</v>
      </c>
      <c r="BB72" s="1711" t="s">
        <v>9462</v>
      </c>
      <c r="BC72" s="1704">
        <v>160</v>
      </c>
      <c r="BD72" s="1705"/>
      <c r="BE72" s="1702">
        <v>42900</v>
      </c>
      <c r="BF72" s="1711" t="s">
        <v>9463</v>
      </c>
      <c r="BG72" s="1704"/>
      <c r="BH72" s="1705"/>
      <c r="BI72" s="1702">
        <v>43271</v>
      </c>
      <c r="BJ72" s="1711" t="s">
        <v>9464</v>
      </c>
      <c r="BK72" s="1704"/>
      <c r="BL72" s="1705"/>
      <c r="BM72" s="1702"/>
      <c r="BN72" s="1711"/>
      <c r="BO72" s="1704"/>
      <c r="BP72" s="1705"/>
      <c r="BQ72" s="1702">
        <v>43643</v>
      </c>
      <c r="BR72" s="1711" t="s">
        <v>9465</v>
      </c>
      <c r="BS72" s="1704">
        <v>25</v>
      </c>
      <c r="BT72" s="1710" t="s">
        <v>426</v>
      </c>
      <c r="BU72" s="1702"/>
      <c r="BV72" s="1711"/>
      <c r="BW72" s="1704"/>
      <c r="BX72" s="1710"/>
      <c r="BY72" s="1702">
        <v>44373</v>
      </c>
      <c r="BZ72" s="1711" t="s">
        <v>828</v>
      </c>
      <c r="CA72" s="1704">
        <v>27</v>
      </c>
      <c r="CB72" s="1710" t="s">
        <v>414</v>
      </c>
      <c r="CC72" s="1702">
        <v>44728</v>
      </c>
      <c r="CD72" s="1711" t="s">
        <v>9466</v>
      </c>
      <c r="CE72" s="1704">
        <v>50</v>
      </c>
      <c r="CF72" s="1710" t="s">
        <v>712</v>
      </c>
      <c r="CG72" s="1702">
        <v>45100</v>
      </c>
      <c r="CH72" s="1711" t="s">
        <v>9467</v>
      </c>
      <c r="CI72" s="1704">
        <v>30</v>
      </c>
      <c r="CJ72" s="1710" t="s">
        <v>280</v>
      </c>
      <c r="CK72" s="1702">
        <v>45464</v>
      </c>
      <c r="CL72" s="1711" t="s">
        <v>772</v>
      </c>
      <c r="CM72" s="1704">
        <v>37</v>
      </c>
      <c r="CN72" s="1710" t="s">
        <v>414</v>
      </c>
      <c r="CO72" s="1702">
        <v>45464</v>
      </c>
      <c r="CP72" s="1711" t="s">
        <v>772</v>
      </c>
      <c r="CQ72" s="1704">
        <v>37</v>
      </c>
      <c r="CR72" s="1710" t="s">
        <v>414</v>
      </c>
      <c r="CS72" s="1702"/>
      <c r="CT72" s="1711"/>
      <c r="CU72" s="1704"/>
      <c r="CV72" s="1710"/>
    </row>
    <row r="73" spans="1:100" ht="13.5">
      <c r="A73" s="1702">
        <v>37799</v>
      </c>
      <c r="B73" s="1703" t="s">
        <v>9468</v>
      </c>
      <c r="C73" s="1704">
        <v>20</v>
      </c>
      <c r="D73" s="1705"/>
      <c r="E73" s="1702">
        <v>38165</v>
      </c>
      <c r="F73" s="1703" t="s">
        <v>9469</v>
      </c>
      <c r="G73" s="1704">
        <v>18</v>
      </c>
      <c r="H73" s="1705"/>
      <c r="I73" s="1702"/>
      <c r="J73" s="1703"/>
      <c r="K73" s="1704"/>
      <c r="L73" s="1705"/>
      <c r="M73" s="1702"/>
      <c r="N73" s="1703"/>
      <c r="O73" s="1704"/>
      <c r="P73" s="1705"/>
      <c r="Q73" s="1702"/>
      <c r="R73" s="1703"/>
      <c r="S73" s="1704"/>
      <c r="T73" s="1705"/>
      <c r="U73" s="1702"/>
      <c r="V73" s="1703"/>
      <c r="W73" s="1704"/>
      <c r="X73" s="1705"/>
      <c r="Y73" s="1702"/>
      <c r="Z73" s="1703"/>
      <c r="AA73" s="1704"/>
      <c r="AB73" s="1705"/>
      <c r="AC73" s="1702"/>
      <c r="AD73" s="1703"/>
      <c r="AE73" s="1704"/>
      <c r="AF73" s="1705"/>
      <c r="AG73" s="1702"/>
      <c r="AH73" s="1703"/>
      <c r="AI73" s="1704"/>
      <c r="AJ73" s="1705"/>
      <c r="AK73" s="1702"/>
      <c r="AL73" s="1703"/>
      <c r="AM73" s="1704"/>
      <c r="AN73" s="1705"/>
      <c r="AO73" s="1702"/>
      <c r="AP73" s="1703"/>
      <c r="AQ73" s="1704"/>
      <c r="AR73" s="1705"/>
      <c r="AS73" s="1702">
        <v>41820</v>
      </c>
      <c r="AT73" s="1703" t="s">
        <v>9470</v>
      </c>
      <c r="AU73" s="1704">
        <v>2</v>
      </c>
      <c r="AV73" s="1705"/>
      <c r="AW73" s="1702">
        <v>42175</v>
      </c>
      <c r="AX73" s="1703" t="s">
        <v>9471</v>
      </c>
      <c r="AY73" s="1704">
        <v>28</v>
      </c>
      <c r="AZ73" s="1705"/>
      <c r="BA73" s="1702">
        <v>42542</v>
      </c>
      <c r="BB73" s="1711" t="s">
        <v>9472</v>
      </c>
      <c r="BC73" s="1704">
        <v>30</v>
      </c>
      <c r="BD73" s="1705"/>
      <c r="BE73" s="1702">
        <v>42900</v>
      </c>
      <c r="BF73" s="1711" t="s">
        <v>9473</v>
      </c>
      <c r="BG73" s="1704">
        <v>36</v>
      </c>
      <c r="BH73" s="1705"/>
      <c r="BI73" s="1702">
        <v>43271</v>
      </c>
      <c r="BJ73" s="1711" t="s">
        <v>1151</v>
      </c>
      <c r="BK73" s="1704">
        <v>12</v>
      </c>
      <c r="BL73" s="1705"/>
      <c r="BM73" s="1702"/>
      <c r="BN73" s="1711"/>
      <c r="BO73" s="1704"/>
      <c r="BP73" s="1705"/>
      <c r="BQ73" s="1702">
        <v>43644</v>
      </c>
      <c r="BR73" s="1711" t="s">
        <v>845</v>
      </c>
      <c r="BS73" s="1704">
        <v>42</v>
      </c>
      <c r="BT73" s="1710" t="s">
        <v>414</v>
      </c>
      <c r="BU73" s="1702"/>
      <c r="BV73" s="1711"/>
      <c r="BW73" s="1704"/>
      <c r="BX73" s="1710"/>
      <c r="BY73" s="1702">
        <v>44373</v>
      </c>
      <c r="BZ73" s="1711" t="s">
        <v>843</v>
      </c>
      <c r="CA73" s="1704">
        <v>19</v>
      </c>
      <c r="CB73" s="1710" t="s">
        <v>414</v>
      </c>
      <c r="CC73" s="1702">
        <v>44728</v>
      </c>
      <c r="CD73" s="1711" t="s">
        <v>3221</v>
      </c>
      <c r="CE73" s="1704">
        <v>54</v>
      </c>
      <c r="CF73" s="1710" t="s">
        <v>414</v>
      </c>
      <c r="CG73" s="1702">
        <v>45101</v>
      </c>
      <c r="CH73" s="1711" t="s">
        <v>845</v>
      </c>
      <c r="CI73" s="1704">
        <v>35</v>
      </c>
      <c r="CJ73" s="1710" t="s">
        <v>280</v>
      </c>
      <c r="CK73" s="1702">
        <v>45464</v>
      </c>
      <c r="CL73" s="1711" t="s">
        <v>2215</v>
      </c>
      <c r="CM73" s="1704">
        <v>6</v>
      </c>
      <c r="CN73" s="1710" t="s">
        <v>414</v>
      </c>
      <c r="CO73" s="1702">
        <v>45464</v>
      </c>
      <c r="CP73" s="1711" t="s">
        <v>2215</v>
      </c>
      <c r="CQ73" s="1704">
        <v>6</v>
      </c>
      <c r="CR73" s="1710" t="s">
        <v>414</v>
      </c>
      <c r="CS73" s="1702"/>
      <c r="CT73" s="1711"/>
      <c r="CU73" s="1704"/>
      <c r="CV73" s="1710"/>
    </row>
    <row r="74" spans="1:100" ht="13.5">
      <c r="A74" s="1702">
        <v>37799</v>
      </c>
      <c r="B74" s="1703" t="s">
        <v>9474</v>
      </c>
      <c r="C74" s="1704">
        <v>3</v>
      </c>
      <c r="D74" s="1705"/>
      <c r="E74" s="1702">
        <v>38165</v>
      </c>
      <c r="F74" s="1703" t="s">
        <v>772</v>
      </c>
      <c r="G74" s="1704">
        <v>63</v>
      </c>
      <c r="H74" s="1705"/>
      <c r="I74" s="1702"/>
      <c r="J74" s="1703"/>
      <c r="K74" s="1704"/>
      <c r="L74" s="1705"/>
      <c r="M74" s="1702"/>
      <c r="N74" s="1703"/>
      <c r="O74" s="1704"/>
      <c r="P74" s="1705"/>
      <c r="Q74" s="1702"/>
      <c r="R74" s="1703"/>
      <c r="S74" s="1704"/>
      <c r="T74" s="1705"/>
      <c r="U74" s="1702"/>
      <c r="V74" s="1703"/>
      <c r="W74" s="1704"/>
      <c r="X74" s="1705"/>
      <c r="Y74" s="1702"/>
      <c r="Z74" s="1703"/>
      <c r="AA74" s="1704"/>
      <c r="AB74" s="1705"/>
      <c r="AC74" s="1702"/>
      <c r="AD74" s="1703"/>
      <c r="AE74" s="1704"/>
      <c r="AF74" s="1705"/>
      <c r="AG74" s="1702"/>
      <c r="AH74" s="1703"/>
      <c r="AI74" s="1704"/>
      <c r="AJ74" s="1705"/>
      <c r="AK74" s="1702"/>
      <c r="AL74" s="1703"/>
      <c r="AM74" s="1704"/>
      <c r="AN74" s="1705"/>
      <c r="AO74" s="1702"/>
      <c r="AP74" s="1703"/>
      <c r="AQ74" s="1704"/>
      <c r="AR74" s="1705"/>
      <c r="AS74" s="1702">
        <v>41820</v>
      </c>
      <c r="AT74" s="1703" t="s">
        <v>9475</v>
      </c>
      <c r="AU74" s="1704">
        <v>0</v>
      </c>
      <c r="AV74" s="1705"/>
      <c r="AW74" s="1702">
        <v>42175</v>
      </c>
      <c r="AX74" s="1703" t="s">
        <v>9476</v>
      </c>
      <c r="AY74" s="1704">
        <v>20</v>
      </c>
      <c r="AZ74" s="1705"/>
      <c r="BA74" s="1702">
        <v>42542</v>
      </c>
      <c r="BB74" s="1711" t="s">
        <v>886</v>
      </c>
      <c r="BC74" s="1704">
        <v>40</v>
      </c>
      <c r="BD74" s="1705"/>
      <c r="BE74" s="1702">
        <v>42900</v>
      </c>
      <c r="BF74" s="1711" t="s">
        <v>840</v>
      </c>
      <c r="BG74" s="1704">
        <v>10</v>
      </c>
      <c r="BH74" s="1705"/>
      <c r="BI74" s="1702">
        <v>43271</v>
      </c>
      <c r="BJ74" s="1711" t="s">
        <v>9477</v>
      </c>
      <c r="BK74" s="1704">
        <v>10</v>
      </c>
      <c r="BL74" s="1705"/>
      <c r="BM74" s="1702"/>
      <c r="BN74" s="1711"/>
      <c r="BO74" s="1704"/>
      <c r="BP74" s="1705"/>
      <c r="BQ74" s="1702">
        <v>43644</v>
      </c>
      <c r="BR74" s="1711" t="s">
        <v>9478</v>
      </c>
      <c r="BS74" s="1704">
        <v>20</v>
      </c>
      <c r="BT74" s="1710" t="s">
        <v>700</v>
      </c>
      <c r="BU74" s="1702"/>
      <c r="BV74" s="1711"/>
      <c r="BW74" s="1704"/>
      <c r="BX74" s="1710"/>
      <c r="BY74" s="1702">
        <v>44373</v>
      </c>
      <c r="BZ74" s="1711" t="s">
        <v>2397</v>
      </c>
      <c r="CA74" s="1704">
        <v>63</v>
      </c>
      <c r="CB74" s="1710" t="s">
        <v>700</v>
      </c>
      <c r="CC74" s="1702">
        <v>44728</v>
      </c>
      <c r="CD74" s="1711" t="s">
        <v>772</v>
      </c>
      <c r="CE74" s="1704">
        <v>28</v>
      </c>
      <c r="CF74" s="1710" t="s">
        <v>414</v>
      </c>
      <c r="CG74" s="1702">
        <v>45101</v>
      </c>
      <c r="CH74" s="1711" t="s">
        <v>948</v>
      </c>
      <c r="CI74" s="1704">
        <v>27</v>
      </c>
      <c r="CJ74" s="1710" t="s">
        <v>280</v>
      </c>
      <c r="CK74" s="1702">
        <v>45464</v>
      </c>
      <c r="CL74" s="1711" t="s">
        <v>9479</v>
      </c>
      <c r="CM74" s="1704">
        <v>41</v>
      </c>
      <c r="CN74" s="1710" t="s">
        <v>414</v>
      </c>
      <c r="CO74" s="1702">
        <v>45464</v>
      </c>
      <c r="CP74" s="1711" t="s">
        <v>9479</v>
      </c>
      <c r="CQ74" s="1704">
        <v>41</v>
      </c>
      <c r="CR74" s="1710" t="s">
        <v>414</v>
      </c>
      <c r="CS74" s="1702"/>
      <c r="CT74" s="1711"/>
      <c r="CU74" s="1704"/>
      <c r="CV74" s="1710"/>
    </row>
    <row r="75" spans="1:100" ht="13.5">
      <c r="A75" s="1702">
        <v>37799</v>
      </c>
      <c r="B75" s="1703" t="s">
        <v>9480</v>
      </c>
      <c r="C75" s="1704">
        <v>3</v>
      </c>
      <c r="D75" s="1705"/>
      <c r="E75" s="1702">
        <v>38166</v>
      </c>
      <c r="F75" s="1703" t="s">
        <v>9481</v>
      </c>
      <c r="G75" s="1704">
        <v>3</v>
      </c>
      <c r="H75" s="1705"/>
      <c r="I75" s="1702"/>
      <c r="J75" s="1703"/>
      <c r="K75" s="1704"/>
      <c r="L75" s="1705"/>
      <c r="M75" s="1702"/>
      <c r="N75" s="1703"/>
      <c r="O75" s="1704"/>
      <c r="P75" s="1705"/>
      <c r="Q75" s="1702"/>
      <c r="R75" s="1703"/>
      <c r="S75" s="1704"/>
      <c r="T75" s="1705"/>
      <c r="U75" s="1702"/>
      <c r="V75" s="1703"/>
      <c r="W75" s="1704"/>
      <c r="X75" s="1705"/>
      <c r="Y75" s="1702"/>
      <c r="Z75" s="1703"/>
      <c r="AA75" s="1704"/>
      <c r="AB75" s="1705"/>
      <c r="AC75" s="1702"/>
      <c r="AD75" s="1703"/>
      <c r="AE75" s="1704"/>
      <c r="AF75" s="1705"/>
      <c r="AG75" s="1702"/>
      <c r="AH75" s="1703"/>
      <c r="AI75" s="1704"/>
      <c r="AJ75" s="1705"/>
      <c r="AK75" s="1702"/>
      <c r="AL75" s="1703"/>
      <c r="AM75" s="1704"/>
      <c r="AN75" s="1705"/>
      <c r="AO75" s="1702"/>
      <c r="AP75" s="1703"/>
      <c r="AQ75" s="1704"/>
      <c r="AR75" s="1705"/>
      <c r="AS75" s="1702">
        <v>41820</v>
      </c>
      <c r="AT75" s="1703" t="s">
        <v>9482</v>
      </c>
      <c r="AU75" s="1704">
        <v>34</v>
      </c>
      <c r="AV75" s="1705"/>
      <c r="AW75" s="1702">
        <v>42176</v>
      </c>
      <c r="AX75" s="1703" t="s">
        <v>9483</v>
      </c>
      <c r="AY75" s="1704"/>
      <c r="AZ75" s="1705"/>
      <c r="BA75" s="1702">
        <v>42543</v>
      </c>
      <c r="BB75" s="1711" t="s">
        <v>9484</v>
      </c>
      <c r="BC75" s="1704">
        <v>7</v>
      </c>
      <c r="BD75" s="1705"/>
      <c r="BE75" s="1702">
        <v>42901</v>
      </c>
      <c r="BF75" s="1711" t="s">
        <v>9485</v>
      </c>
      <c r="BG75" s="1704">
        <v>73</v>
      </c>
      <c r="BH75" s="1705"/>
      <c r="BI75" s="1702">
        <v>43271</v>
      </c>
      <c r="BJ75" s="1711" t="s">
        <v>9486</v>
      </c>
      <c r="BK75" s="1704">
        <v>35</v>
      </c>
      <c r="BL75" s="1705"/>
      <c r="BM75" s="1702"/>
      <c r="BN75" s="1711"/>
      <c r="BO75" s="1704"/>
      <c r="BP75" s="1705"/>
      <c r="BQ75" s="1702">
        <v>43644</v>
      </c>
      <c r="BR75" s="1711" t="s">
        <v>797</v>
      </c>
      <c r="BS75" s="1704">
        <v>75</v>
      </c>
      <c r="BT75" s="1710" t="s">
        <v>410</v>
      </c>
      <c r="BU75" s="1702"/>
      <c r="BV75" s="1711"/>
      <c r="BW75" s="1704"/>
      <c r="BX75" s="1710"/>
      <c r="BY75" s="1702">
        <v>44373</v>
      </c>
      <c r="BZ75" s="1711" t="s">
        <v>9487</v>
      </c>
      <c r="CA75" s="1704">
        <v>12</v>
      </c>
      <c r="CB75" s="1710" t="s">
        <v>278</v>
      </c>
      <c r="CC75" s="1702">
        <v>44728</v>
      </c>
      <c r="CD75" s="1711" t="s">
        <v>2162</v>
      </c>
      <c r="CE75" s="1704">
        <v>10</v>
      </c>
      <c r="CF75" s="1710" t="s">
        <v>414</v>
      </c>
      <c r="CG75" s="1702">
        <v>45101</v>
      </c>
      <c r="CH75" s="1711" t="s">
        <v>1244</v>
      </c>
      <c r="CI75" s="1704">
        <v>29</v>
      </c>
      <c r="CJ75" s="1710" t="s">
        <v>426</v>
      </c>
      <c r="CK75" s="1702">
        <v>45464</v>
      </c>
      <c r="CL75" s="1711" t="s">
        <v>9488</v>
      </c>
      <c r="CM75" s="1704">
        <v>10</v>
      </c>
      <c r="CN75" s="1710" t="s">
        <v>414</v>
      </c>
      <c r="CO75" s="1702">
        <v>45464</v>
      </c>
      <c r="CP75" s="1711" t="s">
        <v>9488</v>
      </c>
      <c r="CQ75" s="1704">
        <v>10</v>
      </c>
      <c r="CR75" s="1710" t="s">
        <v>414</v>
      </c>
      <c r="CS75" s="1702"/>
      <c r="CT75" s="1711"/>
      <c r="CU75" s="1704"/>
      <c r="CV75" s="1710"/>
    </row>
    <row r="76" spans="1:100" ht="13.5">
      <c r="A76" s="1702">
        <v>37799</v>
      </c>
      <c r="B76" s="1703" t="s">
        <v>410</v>
      </c>
      <c r="C76" s="1704">
        <v>30</v>
      </c>
      <c r="D76" s="1705"/>
      <c r="E76" s="1702">
        <v>38167</v>
      </c>
      <c r="F76" s="1703" t="s">
        <v>9489</v>
      </c>
      <c r="G76" s="1704">
        <v>12</v>
      </c>
      <c r="H76" s="1705"/>
      <c r="I76" s="1702"/>
      <c r="J76" s="1703"/>
      <c r="K76" s="1704"/>
      <c r="L76" s="1705"/>
      <c r="M76" s="1702"/>
      <c r="N76" s="1703"/>
      <c r="O76" s="1704"/>
      <c r="P76" s="1705"/>
      <c r="Q76" s="1702"/>
      <c r="R76" s="1703"/>
      <c r="S76" s="1704"/>
      <c r="T76" s="1705"/>
      <c r="U76" s="1702"/>
      <c r="V76" s="1703"/>
      <c r="W76" s="1704"/>
      <c r="X76" s="1705"/>
      <c r="Y76" s="1702"/>
      <c r="Z76" s="1703"/>
      <c r="AA76" s="1704"/>
      <c r="AB76" s="1705"/>
      <c r="AC76" s="1702"/>
      <c r="AD76" s="1703"/>
      <c r="AE76" s="1704"/>
      <c r="AF76" s="1705"/>
      <c r="AG76" s="1702"/>
      <c r="AH76" s="1703"/>
      <c r="AI76" s="1704"/>
      <c r="AJ76" s="1705"/>
      <c r="AK76" s="1702"/>
      <c r="AL76" s="1703"/>
      <c r="AM76" s="1704"/>
      <c r="AN76" s="1705"/>
      <c r="AO76" s="1702"/>
      <c r="AP76" s="1703"/>
      <c r="AQ76" s="1704"/>
      <c r="AR76" s="1705"/>
      <c r="AS76" s="1702">
        <v>41820</v>
      </c>
      <c r="AT76" s="1703" t="s">
        <v>797</v>
      </c>
      <c r="AU76" s="1704">
        <v>55</v>
      </c>
      <c r="AV76" s="1705"/>
      <c r="AW76" s="1702">
        <v>42176</v>
      </c>
      <c r="AX76" s="1703" t="s">
        <v>781</v>
      </c>
      <c r="AY76" s="1704">
        <v>85</v>
      </c>
      <c r="AZ76" s="1705"/>
      <c r="BA76" s="1702">
        <v>42544</v>
      </c>
      <c r="BB76" s="1711" t="s">
        <v>1688</v>
      </c>
      <c r="BC76" s="1704">
        <v>18</v>
      </c>
      <c r="BD76" s="1705"/>
      <c r="BE76" s="1702">
        <v>42901</v>
      </c>
      <c r="BF76" s="1711" t="s">
        <v>9333</v>
      </c>
      <c r="BG76" s="1704">
        <v>18</v>
      </c>
      <c r="BH76" s="1705"/>
      <c r="BI76" s="1702">
        <v>43271</v>
      </c>
      <c r="BJ76" s="1711" t="s">
        <v>9490</v>
      </c>
      <c r="BK76" s="1704">
        <v>24</v>
      </c>
      <c r="BL76" s="1705"/>
      <c r="BM76" s="1702"/>
      <c r="BN76" s="1711"/>
      <c r="BO76" s="1704"/>
      <c r="BP76" s="1705"/>
      <c r="BQ76" s="1702">
        <v>43644</v>
      </c>
      <c r="BR76" s="1711" t="s">
        <v>9491</v>
      </c>
      <c r="BS76" s="1704">
        <v>20</v>
      </c>
      <c r="BT76" s="1710" t="s">
        <v>280</v>
      </c>
      <c r="BU76" s="1702"/>
      <c r="BV76" s="1711"/>
      <c r="BW76" s="1704"/>
      <c r="BX76" s="1710"/>
      <c r="BY76" s="1702">
        <v>44374</v>
      </c>
      <c r="BZ76" s="1711" t="s">
        <v>9492</v>
      </c>
      <c r="CA76" s="1704">
        <v>50</v>
      </c>
      <c r="CB76" s="1710" t="s">
        <v>278</v>
      </c>
      <c r="CC76" s="1702">
        <v>44728</v>
      </c>
      <c r="CD76" s="1711" t="s">
        <v>872</v>
      </c>
      <c r="CE76" s="1704">
        <v>15</v>
      </c>
      <c r="CF76" s="1710" t="s">
        <v>414</v>
      </c>
      <c r="CG76" s="1702">
        <v>45101</v>
      </c>
      <c r="CH76" s="1711" t="s">
        <v>9493</v>
      </c>
      <c r="CI76" s="1704">
        <v>400</v>
      </c>
      <c r="CJ76" s="1710" t="s">
        <v>712</v>
      </c>
      <c r="CK76" s="1702">
        <v>45467</v>
      </c>
      <c r="CL76" s="1711" t="s">
        <v>1180</v>
      </c>
      <c r="CM76" s="1704">
        <v>150</v>
      </c>
      <c r="CN76" s="1710" t="s">
        <v>410</v>
      </c>
      <c r="CO76" s="1702">
        <v>45467</v>
      </c>
      <c r="CP76" s="1711" t="s">
        <v>1180</v>
      </c>
      <c r="CQ76" s="1704">
        <v>150</v>
      </c>
      <c r="CR76" s="1710" t="s">
        <v>410</v>
      </c>
      <c r="CS76" s="1702"/>
      <c r="CT76" s="1711"/>
      <c r="CU76" s="1704"/>
      <c r="CV76" s="1710"/>
    </row>
    <row r="77" spans="1:100" ht="13.5">
      <c r="A77" s="1702">
        <v>37800</v>
      </c>
      <c r="B77" s="1703" t="s">
        <v>9494</v>
      </c>
      <c r="C77" s="1704">
        <v>20</v>
      </c>
      <c r="D77" s="1705"/>
      <c r="E77" s="1702">
        <v>38168</v>
      </c>
      <c r="F77" s="1703" t="s">
        <v>1157</v>
      </c>
      <c r="G77" s="1704">
        <v>22</v>
      </c>
      <c r="H77" s="1705"/>
      <c r="I77" s="1702"/>
      <c r="J77" s="1703"/>
      <c r="K77" s="1704"/>
      <c r="L77" s="1705"/>
      <c r="M77" s="1702"/>
      <c r="N77" s="1703"/>
      <c r="O77" s="1704"/>
      <c r="P77" s="1705"/>
      <c r="Q77" s="1702"/>
      <c r="R77" s="1703"/>
      <c r="S77" s="1704"/>
      <c r="T77" s="1705"/>
      <c r="U77" s="1702"/>
      <c r="V77" s="1703"/>
      <c r="W77" s="1704"/>
      <c r="X77" s="1705"/>
      <c r="Y77" s="1702"/>
      <c r="Z77" s="1703"/>
      <c r="AA77" s="1704"/>
      <c r="AB77" s="1705"/>
      <c r="AC77" s="1702"/>
      <c r="AD77" s="1703"/>
      <c r="AE77" s="1704"/>
      <c r="AF77" s="1705"/>
      <c r="AG77" s="1702"/>
      <c r="AH77" s="1703"/>
      <c r="AI77" s="1704"/>
      <c r="AJ77" s="1705"/>
      <c r="AK77" s="1702"/>
      <c r="AL77" s="1703"/>
      <c r="AM77" s="1704"/>
      <c r="AN77" s="1705"/>
      <c r="AO77" s="1702"/>
      <c r="AP77" s="1703"/>
      <c r="AQ77" s="1704"/>
      <c r="AR77" s="1705"/>
      <c r="AS77" s="1702"/>
      <c r="AT77" s="1703"/>
      <c r="AU77" s="1704"/>
      <c r="AV77" s="1705"/>
      <c r="AW77" s="1702">
        <v>42176</v>
      </c>
      <c r="AX77" s="1703" t="s">
        <v>954</v>
      </c>
      <c r="AY77" s="1704">
        <v>10</v>
      </c>
      <c r="AZ77" s="1705"/>
      <c r="BA77" s="1702">
        <v>42544</v>
      </c>
      <c r="BB77" s="1711" t="s">
        <v>9495</v>
      </c>
      <c r="BC77" s="1704">
        <v>75</v>
      </c>
      <c r="BD77" s="1705"/>
      <c r="BE77" s="1702">
        <v>42901</v>
      </c>
      <c r="BF77" s="1711" t="s">
        <v>9496</v>
      </c>
      <c r="BG77" s="1704">
        <v>50</v>
      </c>
      <c r="BH77" s="1705"/>
      <c r="BI77" s="1702">
        <v>43271</v>
      </c>
      <c r="BJ77" s="1711" t="s">
        <v>9497</v>
      </c>
      <c r="BK77" s="1704">
        <v>49</v>
      </c>
      <c r="BL77" s="1705"/>
      <c r="BM77" s="1702"/>
      <c r="BN77" s="1711"/>
      <c r="BO77" s="1704"/>
      <c r="BP77" s="1705"/>
      <c r="BQ77" s="1702">
        <v>43645</v>
      </c>
      <c r="BR77" s="1711" t="s">
        <v>9498</v>
      </c>
      <c r="BS77" s="1704">
        <v>30</v>
      </c>
      <c r="BT77" s="1710" t="s">
        <v>278</v>
      </c>
      <c r="BU77" s="1702"/>
      <c r="BV77" s="1711"/>
      <c r="BW77" s="1704"/>
      <c r="BX77" s="1710"/>
      <c r="BY77" s="1702">
        <v>44374</v>
      </c>
      <c r="BZ77" s="1711" t="s">
        <v>9499</v>
      </c>
      <c r="CA77" s="1704">
        <v>17</v>
      </c>
      <c r="CB77" s="1710" t="s">
        <v>280</v>
      </c>
      <c r="CC77" s="1702">
        <v>44728</v>
      </c>
      <c r="CD77" s="1711" t="s">
        <v>843</v>
      </c>
      <c r="CE77" s="1704">
        <v>34</v>
      </c>
      <c r="CF77" s="1710" t="s">
        <v>414</v>
      </c>
      <c r="CG77" s="1702">
        <v>45102</v>
      </c>
      <c r="CH77" s="1711" t="s">
        <v>9500</v>
      </c>
      <c r="CI77" s="1704">
        <v>100</v>
      </c>
      <c r="CJ77" s="1710" t="s">
        <v>278</v>
      </c>
      <c r="CK77" s="1702">
        <v>45467</v>
      </c>
      <c r="CL77" s="1711" t="s">
        <v>9501</v>
      </c>
      <c r="CM77" s="1704">
        <v>15</v>
      </c>
      <c r="CN77" s="1710" t="s">
        <v>414</v>
      </c>
      <c r="CO77" s="1702">
        <v>45467</v>
      </c>
      <c r="CP77" s="1711" t="s">
        <v>9501</v>
      </c>
      <c r="CQ77" s="1704">
        <v>15</v>
      </c>
      <c r="CR77" s="1710" t="s">
        <v>414</v>
      </c>
      <c r="CS77" s="1702"/>
      <c r="CT77" s="1711"/>
      <c r="CU77" s="1704"/>
      <c r="CV77" s="1710"/>
    </row>
    <row r="78" spans="1:100" ht="13.5">
      <c r="A78" s="1702">
        <v>37800</v>
      </c>
      <c r="B78" s="1703" t="s">
        <v>9502</v>
      </c>
      <c r="C78" s="1704">
        <v>15</v>
      </c>
      <c r="D78" s="1705"/>
      <c r="E78" s="1702">
        <v>38168</v>
      </c>
      <c r="F78" s="1703" t="s">
        <v>802</v>
      </c>
      <c r="G78" s="1704">
        <v>30</v>
      </c>
      <c r="H78" s="1705"/>
      <c r="I78" s="1702"/>
      <c r="J78" s="1703"/>
      <c r="K78" s="1704"/>
      <c r="L78" s="1705"/>
      <c r="M78" s="1702"/>
      <c r="N78" s="1703"/>
      <c r="O78" s="1704"/>
      <c r="P78" s="1705"/>
      <c r="Q78" s="1702"/>
      <c r="R78" s="1703"/>
      <c r="S78" s="1704"/>
      <c r="T78" s="1705"/>
      <c r="U78" s="1702"/>
      <c r="V78" s="1703"/>
      <c r="W78" s="1704"/>
      <c r="X78" s="1705"/>
      <c r="Y78" s="1702"/>
      <c r="Z78" s="1703"/>
      <c r="AA78" s="1704"/>
      <c r="AB78" s="1705"/>
      <c r="AC78" s="1702"/>
      <c r="AD78" s="1703"/>
      <c r="AE78" s="1704"/>
      <c r="AF78" s="1705"/>
      <c r="AG78" s="1702"/>
      <c r="AH78" s="1703"/>
      <c r="AI78" s="1704"/>
      <c r="AJ78" s="1705"/>
      <c r="AK78" s="1702"/>
      <c r="AL78" s="1703"/>
      <c r="AM78" s="1704"/>
      <c r="AN78" s="1705"/>
      <c r="AO78" s="1702"/>
      <c r="AP78" s="1703"/>
      <c r="AQ78" s="1704"/>
      <c r="AR78" s="1705"/>
      <c r="AS78" s="1702"/>
      <c r="AT78" s="1703"/>
      <c r="AU78" s="1704"/>
      <c r="AV78" s="1705"/>
      <c r="AW78" s="1702">
        <v>42177</v>
      </c>
      <c r="AX78" s="1703" t="s">
        <v>802</v>
      </c>
      <c r="AY78" s="1704">
        <v>40</v>
      </c>
      <c r="AZ78" s="1705"/>
      <c r="BA78" s="1702">
        <v>42544</v>
      </c>
      <c r="BB78" s="1711" t="s">
        <v>9503</v>
      </c>
      <c r="BC78" s="1704">
        <v>13</v>
      </c>
      <c r="BD78" s="1705"/>
      <c r="BE78" s="1702">
        <v>42901</v>
      </c>
      <c r="BF78" s="1711" t="s">
        <v>9504</v>
      </c>
      <c r="BG78" s="1704">
        <v>20</v>
      </c>
      <c r="BH78" s="1705"/>
      <c r="BI78" s="1702">
        <v>43272</v>
      </c>
      <c r="BJ78" s="1711" t="s">
        <v>873</v>
      </c>
      <c r="BK78" s="1704">
        <v>29</v>
      </c>
      <c r="BL78" s="1705"/>
      <c r="BM78" s="1702"/>
      <c r="BN78" s="1711"/>
      <c r="BO78" s="1704"/>
      <c r="BP78" s="1705"/>
      <c r="BQ78" s="1702">
        <v>43645</v>
      </c>
      <c r="BR78" s="1711" t="s">
        <v>843</v>
      </c>
      <c r="BS78" s="1704">
        <v>19</v>
      </c>
      <c r="BT78" s="1710" t="s">
        <v>414</v>
      </c>
      <c r="BU78" s="1702"/>
      <c r="BV78" s="1711"/>
      <c r="BW78" s="1704"/>
      <c r="BX78" s="1710"/>
      <c r="BY78" s="1702">
        <v>44375</v>
      </c>
      <c r="BZ78" s="1711" t="s">
        <v>9505</v>
      </c>
      <c r="CA78" s="1704">
        <v>30</v>
      </c>
      <c r="CB78" s="1710" t="s">
        <v>280</v>
      </c>
      <c r="CC78" s="1702">
        <v>44728</v>
      </c>
      <c r="CD78" s="1711" t="s">
        <v>872</v>
      </c>
      <c r="CE78" s="1704">
        <v>5</v>
      </c>
      <c r="CF78" s="1710" t="s">
        <v>414</v>
      </c>
      <c r="CG78" s="1702">
        <v>45103</v>
      </c>
      <c r="CH78" s="1711" t="s">
        <v>9506</v>
      </c>
      <c r="CI78" s="1704">
        <f>SUM(CI79:CI83)</f>
        <v>2546</v>
      </c>
      <c r="CJ78" s="1710"/>
      <c r="CK78" s="1702">
        <v>45467</v>
      </c>
      <c r="CL78" s="1711" t="s">
        <v>1391</v>
      </c>
      <c r="CM78" s="1704">
        <v>10</v>
      </c>
      <c r="CN78" s="1710" t="s">
        <v>414</v>
      </c>
      <c r="CO78" s="1702">
        <v>45467</v>
      </c>
      <c r="CP78" s="1711" t="s">
        <v>1391</v>
      </c>
      <c r="CQ78" s="1704">
        <v>10</v>
      </c>
      <c r="CR78" s="1710" t="s">
        <v>414</v>
      </c>
      <c r="CS78" s="1702"/>
      <c r="CT78" s="1711"/>
      <c r="CU78" s="1704"/>
      <c r="CV78" s="1710"/>
    </row>
    <row r="79" spans="1:100" ht="11.25" customHeight="1">
      <c r="A79" s="1702">
        <v>37800</v>
      </c>
      <c r="B79" s="1703" t="s">
        <v>9507</v>
      </c>
      <c r="C79" s="1704">
        <v>4</v>
      </c>
      <c r="D79" s="1705"/>
      <c r="E79" s="1702">
        <v>38168</v>
      </c>
      <c r="F79" s="1703" t="s">
        <v>797</v>
      </c>
      <c r="G79" s="1704">
        <v>34</v>
      </c>
      <c r="H79" s="1705"/>
      <c r="I79" s="1702"/>
      <c r="J79" s="1703"/>
      <c r="K79" s="1704"/>
      <c r="L79" s="1705"/>
      <c r="M79" s="1702"/>
      <c r="N79" s="1703"/>
      <c r="O79" s="1704"/>
      <c r="P79" s="1705"/>
      <c r="Q79" s="1702"/>
      <c r="R79" s="1703"/>
      <c r="S79" s="1704"/>
      <c r="T79" s="1705"/>
      <c r="U79" s="1702"/>
      <c r="V79" s="1703"/>
      <c r="W79" s="1704"/>
      <c r="X79" s="1705"/>
      <c r="Y79" s="1702"/>
      <c r="Z79" s="1703"/>
      <c r="AA79" s="1704"/>
      <c r="AB79" s="1705"/>
      <c r="AC79" s="1702"/>
      <c r="AD79" s="1703"/>
      <c r="AE79" s="1704"/>
      <c r="AF79" s="1705"/>
      <c r="AG79" s="1702"/>
      <c r="AH79" s="1703"/>
      <c r="AI79" s="1704"/>
      <c r="AJ79" s="1705"/>
      <c r="AK79" s="1702"/>
      <c r="AL79" s="1703"/>
      <c r="AM79" s="1704"/>
      <c r="AN79" s="1705"/>
      <c r="AO79" s="1702"/>
      <c r="AP79" s="1703"/>
      <c r="AQ79" s="1704"/>
      <c r="AR79" s="1705"/>
      <c r="AS79" s="1702"/>
      <c r="AT79" s="1703"/>
      <c r="AU79" s="1704"/>
      <c r="AV79" s="1705"/>
      <c r="AW79" s="1702">
        <v>42177</v>
      </c>
      <c r="AX79" s="1703" t="s">
        <v>797</v>
      </c>
      <c r="AY79" s="1704">
        <v>50</v>
      </c>
      <c r="AZ79" s="1705"/>
      <c r="BA79" s="1702">
        <v>42544</v>
      </c>
      <c r="BB79" s="1711" t="s">
        <v>1288</v>
      </c>
      <c r="BC79" s="1704">
        <v>11</v>
      </c>
      <c r="BD79" s="1705"/>
      <c r="BE79" s="1702">
        <v>42901</v>
      </c>
      <c r="BF79" s="1711" t="s">
        <v>9508</v>
      </c>
      <c r="BG79" s="1704">
        <v>18</v>
      </c>
      <c r="BH79" s="1705"/>
      <c r="BI79" s="1702">
        <v>43272</v>
      </c>
      <c r="BJ79" s="1711" t="s">
        <v>890</v>
      </c>
      <c r="BK79" s="1704">
        <v>15</v>
      </c>
      <c r="BL79" s="1705"/>
      <c r="BM79" s="1702"/>
      <c r="BN79" s="1711"/>
      <c r="BO79" s="1704"/>
      <c r="BP79" s="1705"/>
      <c r="BQ79" s="1702">
        <v>43646</v>
      </c>
      <c r="BR79" s="1711" t="s">
        <v>2410</v>
      </c>
      <c r="BS79" s="1704">
        <v>15</v>
      </c>
      <c r="BT79" s="1710" t="s">
        <v>700</v>
      </c>
      <c r="BU79" s="1702"/>
      <c r="BV79" s="1711"/>
      <c r="BW79" s="1704"/>
      <c r="BX79" s="1710"/>
      <c r="BY79" s="1702">
        <v>44375</v>
      </c>
      <c r="BZ79" s="1711" t="s">
        <v>797</v>
      </c>
      <c r="CA79" s="1704">
        <v>75</v>
      </c>
      <c r="CB79" s="1710" t="s">
        <v>410</v>
      </c>
      <c r="CC79" s="1702">
        <v>44729</v>
      </c>
      <c r="CD79" s="1711" t="s">
        <v>1151</v>
      </c>
      <c r="CE79" s="1704">
        <v>5</v>
      </c>
      <c r="CF79" s="1710" t="s">
        <v>278</v>
      </c>
      <c r="CG79" s="1702">
        <v>45103</v>
      </c>
      <c r="CH79" s="1711" t="s">
        <v>9509</v>
      </c>
      <c r="CI79" s="1704">
        <f>CI95</f>
        <v>1300</v>
      </c>
      <c r="CJ79" s="1710"/>
      <c r="CK79" s="1702">
        <v>45467</v>
      </c>
      <c r="CL79" s="1711" t="s">
        <v>6941</v>
      </c>
      <c r="CM79" s="1704">
        <v>15</v>
      </c>
      <c r="CN79" s="1710" t="s">
        <v>414</v>
      </c>
      <c r="CO79" s="1702">
        <v>45467</v>
      </c>
      <c r="CP79" s="1711" t="s">
        <v>6941</v>
      </c>
      <c r="CQ79" s="1704">
        <v>15</v>
      </c>
      <c r="CR79" s="1710" t="s">
        <v>414</v>
      </c>
      <c r="CS79" s="1702"/>
      <c r="CT79" s="1711"/>
      <c r="CU79" s="1704"/>
      <c r="CV79" s="1710"/>
    </row>
    <row r="80" spans="1:100" ht="13.5">
      <c r="A80" s="1702">
        <v>37800</v>
      </c>
      <c r="B80" s="1703" t="s">
        <v>9480</v>
      </c>
      <c r="C80" s="1704">
        <v>2</v>
      </c>
      <c r="D80" s="1705"/>
      <c r="E80" s="1702">
        <v>38168</v>
      </c>
      <c r="F80" s="1703" t="s">
        <v>9510</v>
      </c>
      <c r="G80" s="1704">
        <v>13</v>
      </c>
      <c r="H80" s="1705"/>
      <c r="I80" s="1702"/>
      <c r="J80" s="1703"/>
      <c r="K80" s="1704"/>
      <c r="L80" s="1705"/>
      <c r="M80" s="1702"/>
      <c r="N80" s="1703"/>
      <c r="O80" s="1704"/>
      <c r="P80" s="1705"/>
      <c r="Q80" s="1702"/>
      <c r="R80" s="1703"/>
      <c r="S80" s="1704"/>
      <c r="T80" s="1705"/>
      <c r="U80" s="1702"/>
      <c r="V80" s="1703"/>
      <c r="W80" s="1704"/>
      <c r="X80" s="1705"/>
      <c r="Y80" s="1702"/>
      <c r="Z80" s="1703"/>
      <c r="AA80" s="1704"/>
      <c r="AB80" s="1705"/>
      <c r="AC80" s="1702"/>
      <c r="AD80" s="1703"/>
      <c r="AE80" s="1704"/>
      <c r="AF80" s="1705"/>
      <c r="AG80" s="1702"/>
      <c r="AH80" s="1703"/>
      <c r="AI80" s="1704"/>
      <c r="AJ80" s="1705"/>
      <c r="AK80" s="1702"/>
      <c r="AL80" s="1703"/>
      <c r="AM80" s="1704"/>
      <c r="AN80" s="1705"/>
      <c r="AO80" s="1702"/>
      <c r="AP80" s="1703"/>
      <c r="AQ80" s="1704"/>
      <c r="AR80" s="1705"/>
      <c r="AS80" s="1702"/>
      <c r="AT80" s="1703"/>
      <c r="AU80" s="1704"/>
      <c r="AV80" s="1705"/>
      <c r="AW80" s="1702">
        <v>42182</v>
      </c>
      <c r="AX80" s="1703" t="s">
        <v>9511</v>
      </c>
      <c r="AY80" s="1704"/>
      <c r="AZ80" s="1705"/>
      <c r="BA80" s="1702">
        <v>42544</v>
      </c>
      <c r="BB80" s="1711" t="s">
        <v>8897</v>
      </c>
      <c r="BC80" s="1704">
        <v>27</v>
      </c>
      <c r="BD80" s="1705"/>
      <c r="BE80" s="1702">
        <v>42901</v>
      </c>
      <c r="BF80" s="1711" t="s">
        <v>9512</v>
      </c>
      <c r="BG80" s="1704">
        <v>26</v>
      </c>
      <c r="BH80" s="1705"/>
      <c r="BI80" s="1702">
        <v>43274</v>
      </c>
      <c r="BJ80" s="1711" t="s">
        <v>797</v>
      </c>
      <c r="BK80" s="1704">
        <v>39</v>
      </c>
      <c r="BL80" s="1705"/>
      <c r="BM80" s="1702"/>
      <c r="BN80" s="1711"/>
      <c r="BO80" s="1704"/>
      <c r="BP80" s="1705"/>
      <c r="BQ80" s="1702">
        <v>43646</v>
      </c>
      <c r="BR80" s="1711" t="s">
        <v>890</v>
      </c>
      <c r="BS80" s="1704">
        <v>25</v>
      </c>
      <c r="BT80" s="1710" t="s">
        <v>414</v>
      </c>
      <c r="BU80" s="1702"/>
      <c r="BV80" s="1711"/>
      <c r="BW80" s="1704"/>
      <c r="BX80" s="1710"/>
      <c r="BY80" s="1702">
        <v>44375</v>
      </c>
      <c r="BZ80" s="1711" t="s">
        <v>9513</v>
      </c>
      <c r="CA80" s="1747">
        <v>0</v>
      </c>
      <c r="CB80" s="1710" t="s">
        <v>700</v>
      </c>
      <c r="CC80" s="1702">
        <v>44729</v>
      </c>
      <c r="CD80" s="1711" t="s">
        <v>7370</v>
      </c>
      <c r="CE80" s="1704">
        <v>19</v>
      </c>
      <c r="CF80" s="1710" t="s">
        <v>278</v>
      </c>
      <c r="CG80" s="1702">
        <v>45103</v>
      </c>
      <c r="CH80" s="1711" t="s">
        <v>9514</v>
      </c>
      <c r="CI80" s="1704">
        <f>SUM(CI85:CI90)+SUM(CI99:CI103)+ SUM(CI108:CI109)</f>
        <v>414</v>
      </c>
      <c r="CJ80" s="1710"/>
      <c r="CK80" s="1702">
        <v>45467</v>
      </c>
      <c r="CL80" s="1711" t="s">
        <v>9515</v>
      </c>
      <c r="CM80" s="1704">
        <v>12</v>
      </c>
      <c r="CN80" s="1710" t="s">
        <v>414</v>
      </c>
      <c r="CO80" s="1702">
        <v>45467</v>
      </c>
      <c r="CP80" s="1711" t="s">
        <v>9515</v>
      </c>
      <c r="CQ80" s="1704">
        <v>12</v>
      </c>
      <c r="CR80" s="1710" t="s">
        <v>414</v>
      </c>
      <c r="CS80" s="1702"/>
      <c r="CT80" s="1711"/>
      <c r="CU80" s="1704"/>
      <c r="CV80" s="1710"/>
    </row>
    <row r="81" spans="1:100" ht="13.5">
      <c r="A81" s="1702">
        <v>37800</v>
      </c>
      <c r="B81" s="1703" t="s">
        <v>9480</v>
      </c>
      <c r="C81" s="1704">
        <v>10</v>
      </c>
      <c r="D81" s="1705"/>
      <c r="E81" s="1702"/>
      <c r="F81" s="1711"/>
      <c r="G81" s="1704"/>
      <c r="H81" s="1705"/>
      <c r="I81" s="1702"/>
      <c r="J81" s="1711"/>
      <c r="K81" s="1704"/>
      <c r="L81" s="1705"/>
      <c r="M81" s="1702"/>
      <c r="N81" s="1703"/>
      <c r="O81" s="1704"/>
      <c r="P81" s="1705"/>
      <c r="Q81" s="1702"/>
      <c r="R81" s="1703"/>
      <c r="S81" s="1704"/>
      <c r="T81" s="1705"/>
      <c r="U81" s="1702"/>
      <c r="V81" s="1703"/>
      <c r="W81" s="1704"/>
      <c r="X81" s="1705"/>
      <c r="Y81" s="1702"/>
      <c r="Z81" s="1703"/>
      <c r="AA81" s="1704"/>
      <c r="AB81" s="1705"/>
      <c r="AC81" s="1702"/>
      <c r="AD81" s="1703"/>
      <c r="AE81" s="1704"/>
      <c r="AF81" s="1705"/>
      <c r="AG81" s="1702"/>
      <c r="AH81" s="1703"/>
      <c r="AI81" s="1704"/>
      <c r="AJ81" s="1705"/>
      <c r="AK81" s="1702"/>
      <c r="AL81" s="1703"/>
      <c r="AM81" s="1704"/>
      <c r="AN81" s="1705"/>
      <c r="AO81" s="1702"/>
      <c r="AP81" s="1703"/>
      <c r="AQ81" s="1704"/>
      <c r="AR81" s="1705"/>
      <c r="AS81" s="1702"/>
      <c r="AT81" s="1703"/>
      <c r="AU81" s="1704"/>
      <c r="AV81" s="1705"/>
      <c r="AW81" s="1702">
        <v>42182</v>
      </c>
      <c r="AX81" s="1703" t="s">
        <v>3734</v>
      </c>
      <c r="AY81" s="1704">
        <v>15</v>
      </c>
      <c r="AZ81" s="1705"/>
      <c r="BA81" s="1702">
        <v>42545</v>
      </c>
      <c r="BB81" s="1711" t="s">
        <v>9516</v>
      </c>
      <c r="BC81" s="1704">
        <v>16</v>
      </c>
      <c r="BD81" s="1705"/>
      <c r="BE81" s="1702">
        <v>42901</v>
      </c>
      <c r="BF81" s="1711" t="s">
        <v>9333</v>
      </c>
      <c r="BG81" s="1704">
        <v>8</v>
      </c>
      <c r="BH81" s="1705"/>
      <c r="BI81" s="1702">
        <v>43274</v>
      </c>
      <c r="BJ81" s="1711" t="s">
        <v>872</v>
      </c>
      <c r="BK81" s="1704">
        <v>10</v>
      </c>
      <c r="BL81" s="1705"/>
      <c r="BM81" s="1702"/>
      <c r="BN81" s="1711"/>
      <c r="BO81" s="1704"/>
      <c r="BP81" s="1705"/>
      <c r="BQ81" s="1702">
        <v>43646</v>
      </c>
      <c r="BR81" s="1711" t="s">
        <v>1052</v>
      </c>
      <c r="BS81" s="1704">
        <v>50</v>
      </c>
      <c r="BT81" s="1710" t="s">
        <v>280</v>
      </c>
      <c r="BU81" s="1702"/>
      <c r="BV81" s="1711"/>
      <c r="BW81" s="1704"/>
      <c r="BX81" s="1710"/>
      <c r="BY81" s="1702">
        <v>44375</v>
      </c>
      <c r="BZ81" s="1711" t="s">
        <v>9517</v>
      </c>
      <c r="CA81" s="1704">
        <v>0</v>
      </c>
      <c r="CB81" s="1710" t="s">
        <v>700</v>
      </c>
      <c r="CC81" s="1702">
        <v>44729</v>
      </c>
      <c r="CD81" s="1711" t="s">
        <v>9518</v>
      </c>
      <c r="CE81" s="1704">
        <v>12</v>
      </c>
      <c r="CF81" s="1710" t="s">
        <v>280</v>
      </c>
      <c r="CG81" s="1702">
        <v>45103</v>
      </c>
      <c r="CH81" s="1711" t="s">
        <v>9519</v>
      </c>
      <c r="CI81" s="1704">
        <f>CI91+CI105</f>
        <v>138</v>
      </c>
      <c r="CJ81" s="1710"/>
      <c r="CK81" s="1702">
        <v>45467</v>
      </c>
      <c r="CL81" s="1711" t="s">
        <v>8537</v>
      </c>
      <c r="CM81" s="1704">
        <v>10</v>
      </c>
      <c r="CN81" s="1710" t="s">
        <v>414</v>
      </c>
      <c r="CO81" s="1702">
        <v>45467</v>
      </c>
      <c r="CP81" s="1711" t="s">
        <v>8537</v>
      </c>
      <c r="CQ81" s="1704">
        <v>10</v>
      </c>
      <c r="CR81" s="1710" t="s">
        <v>414</v>
      </c>
      <c r="CS81" s="1702"/>
      <c r="CT81" s="1711"/>
      <c r="CU81" s="1704"/>
      <c r="CV81" s="1710"/>
    </row>
    <row r="82" spans="1:100" ht="13.5">
      <c r="A82" s="1702">
        <v>37800</v>
      </c>
      <c r="B82" s="1703" t="s">
        <v>5443</v>
      </c>
      <c r="C82" s="1704">
        <v>7</v>
      </c>
      <c r="D82" s="1705"/>
      <c r="E82" s="1702"/>
      <c r="F82" s="1711"/>
      <c r="G82" s="1704"/>
      <c r="H82" s="1705"/>
      <c r="I82" s="1702"/>
      <c r="J82" s="1711"/>
      <c r="K82" s="1704"/>
      <c r="L82" s="1705"/>
      <c r="M82" s="1702"/>
      <c r="N82" s="1711"/>
      <c r="O82" s="1704"/>
      <c r="P82" s="1705"/>
      <c r="Q82" s="1702"/>
      <c r="R82" s="1703"/>
      <c r="S82" s="1704"/>
      <c r="T82" s="1705"/>
      <c r="U82" s="1702"/>
      <c r="V82" s="1703"/>
      <c r="W82" s="1704"/>
      <c r="X82" s="1705"/>
      <c r="Y82" s="1702"/>
      <c r="Z82" s="1703"/>
      <c r="AA82" s="1704"/>
      <c r="AB82" s="1705"/>
      <c r="AC82" s="1702"/>
      <c r="AD82" s="1703"/>
      <c r="AE82" s="1704"/>
      <c r="AF82" s="1705"/>
      <c r="AG82" s="1702"/>
      <c r="AH82" s="1703"/>
      <c r="AI82" s="1704"/>
      <c r="AJ82" s="1705"/>
      <c r="AK82" s="1702"/>
      <c r="AL82" s="1703"/>
      <c r="AM82" s="1704"/>
      <c r="AN82" s="1705"/>
      <c r="AO82" s="1702"/>
      <c r="AP82" s="1703"/>
      <c r="AQ82" s="1704"/>
      <c r="AR82" s="1705"/>
      <c r="AS82" s="1702"/>
      <c r="AT82" s="1703"/>
      <c r="AU82" s="1704"/>
      <c r="AV82" s="1705"/>
      <c r="AW82" s="1702">
        <v>42182</v>
      </c>
      <c r="AX82" s="1703" t="s">
        <v>9520</v>
      </c>
      <c r="AY82" s="1704">
        <v>16</v>
      </c>
      <c r="AZ82" s="1705"/>
      <c r="BA82" s="1702">
        <v>42545</v>
      </c>
      <c r="BB82" s="1711" t="s">
        <v>9521</v>
      </c>
      <c r="BC82" s="1704">
        <v>24</v>
      </c>
      <c r="BD82" s="1705"/>
      <c r="BE82" s="1702">
        <v>42901</v>
      </c>
      <c r="BF82" s="1711" t="s">
        <v>9522</v>
      </c>
      <c r="BG82" s="1704">
        <v>5</v>
      </c>
      <c r="BH82" s="1705"/>
      <c r="BI82" s="1702">
        <v>43275</v>
      </c>
      <c r="BJ82" s="1711" t="s">
        <v>890</v>
      </c>
      <c r="BK82" s="1704">
        <v>8</v>
      </c>
      <c r="BL82" s="1705"/>
      <c r="BM82" s="1702"/>
      <c r="BN82" s="1711"/>
      <c r="BO82" s="1704"/>
      <c r="BP82" s="1705"/>
      <c r="BQ82" s="1702">
        <v>43646</v>
      </c>
      <c r="BR82" s="1711" t="s">
        <v>9523</v>
      </c>
      <c r="BS82" s="1704">
        <f>2375/2</f>
        <v>1187.5</v>
      </c>
      <c r="BT82" s="1710" t="s">
        <v>706</v>
      </c>
      <c r="BU82" s="1702"/>
      <c r="BV82" s="1711"/>
      <c r="BW82" s="1704"/>
      <c r="BX82" s="1710"/>
      <c r="BY82" s="1702">
        <v>44375</v>
      </c>
      <c r="BZ82" s="1711" t="s">
        <v>9524</v>
      </c>
      <c r="CA82" s="1704">
        <v>7</v>
      </c>
      <c r="CB82" s="1710" t="s">
        <v>280</v>
      </c>
      <c r="CC82" s="1702">
        <v>44732</v>
      </c>
      <c r="CD82" s="1711" t="s">
        <v>9525</v>
      </c>
      <c r="CE82" s="1704">
        <f>176 * 2</f>
        <v>352</v>
      </c>
      <c r="CF82" s="1710" t="s">
        <v>695</v>
      </c>
      <c r="CG82" s="1702">
        <v>45103</v>
      </c>
      <c r="CH82" s="1711" t="s">
        <v>9526</v>
      </c>
      <c r="CI82" s="1704">
        <f>SUM(CI92:CI93)</f>
        <v>614</v>
      </c>
      <c r="CJ82" s="1710"/>
      <c r="CK82" s="1702">
        <v>45467</v>
      </c>
      <c r="CL82" s="1711" t="s">
        <v>3128</v>
      </c>
      <c r="CM82" s="1704">
        <v>55</v>
      </c>
      <c r="CN82" s="1710" t="s">
        <v>414</v>
      </c>
      <c r="CO82" s="1702">
        <v>45467</v>
      </c>
      <c r="CP82" s="1711" t="s">
        <v>3128</v>
      </c>
      <c r="CQ82" s="1704">
        <v>55</v>
      </c>
      <c r="CR82" s="1710" t="s">
        <v>414</v>
      </c>
      <c r="CS82" s="1702"/>
      <c r="CT82" s="1711"/>
      <c r="CU82" s="1704"/>
      <c r="CV82" s="1710"/>
    </row>
    <row r="83" spans="1:100" ht="13.5">
      <c r="A83" s="1702">
        <v>37800</v>
      </c>
      <c r="B83" s="1703" t="s">
        <v>9527</v>
      </c>
      <c r="C83" s="1704">
        <v>10</v>
      </c>
      <c r="D83" s="1705"/>
      <c r="E83" s="1702"/>
      <c r="F83" s="1711"/>
      <c r="G83" s="1704"/>
      <c r="H83" s="1705"/>
      <c r="I83" s="1702"/>
      <c r="J83" s="1711"/>
      <c r="K83" s="1704"/>
      <c r="L83" s="1705"/>
      <c r="M83" s="1702"/>
      <c r="N83" s="1711"/>
      <c r="O83" s="1704"/>
      <c r="P83" s="1705"/>
      <c r="Q83" s="1702"/>
      <c r="R83" s="1703"/>
      <c r="S83" s="1704"/>
      <c r="T83" s="1705"/>
      <c r="U83" s="1702"/>
      <c r="V83" s="1703"/>
      <c r="W83" s="1704"/>
      <c r="X83" s="1705"/>
      <c r="Y83" s="1702"/>
      <c r="Z83" s="1703"/>
      <c r="AA83" s="1704"/>
      <c r="AB83" s="1705"/>
      <c r="AC83" s="1702"/>
      <c r="AD83" s="1703"/>
      <c r="AE83" s="1704"/>
      <c r="AF83" s="1705"/>
      <c r="AG83" s="1702"/>
      <c r="AH83" s="1703"/>
      <c r="AI83" s="1704"/>
      <c r="AJ83" s="1705"/>
      <c r="AK83" s="1702"/>
      <c r="AL83" s="1703"/>
      <c r="AM83" s="1704"/>
      <c r="AN83" s="1705"/>
      <c r="AO83" s="1702"/>
      <c r="AP83" s="1703"/>
      <c r="AQ83" s="1704"/>
      <c r="AR83" s="1705"/>
      <c r="AS83" s="1702"/>
      <c r="AT83" s="1703"/>
      <c r="AU83" s="1704"/>
      <c r="AV83" s="1705"/>
      <c r="AW83" s="1702">
        <v>42182</v>
      </c>
      <c r="AX83" s="1703" t="s">
        <v>7679</v>
      </c>
      <c r="AY83" s="1704">
        <v>14</v>
      </c>
      <c r="AZ83" s="1705"/>
      <c r="BA83" s="1702">
        <v>42545</v>
      </c>
      <c r="BB83" s="1711" t="s">
        <v>9528</v>
      </c>
      <c r="BC83" s="1704">
        <v>502</v>
      </c>
      <c r="BD83" s="1705"/>
      <c r="BE83" s="1702">
        <v>42901</v>
      </c>
      <c r="BF83" s="1711" t="s">
        <v>9529</v>
      </c>
      <c r="BG83" s="1704">
        <v>106</v>
      </c>
      <c r="BH83" s="1705"/>
      <c r="BI83" s="1702">
        <v>43275</v>
      </c>
      <c r="BJ83" s="1711" t="s">
        <v>873</v>
      </c>
      <c r="BK83" s="1704">
        <v>9</v>
      </c>
      <c r="BL83" s="1705"/>
      <c r="BM83" s="1702"/>
      <c r="BN83" s="1711"/>
      <c r="BO83" s="1704"/>
      <c r="BP83" s="1705"/>
      <c r="BQ83" s="1702"/>
      <c r="BR83" s="1711" t="s">
        <v>3806</v>
      </c>
      <c r="BS83" s="1747">
        <v>335</v>
      </c>
      <c r="BT83" s="1710" t="s">
        <v>707</v>
      </c>
      <c r="BU83" s="1702"/>
      <c r="BV83" s="1711"/>
      <c r="BW83" s="1747"/>
      <c r="BX83" s="1710"/>
      <c r="BY83" s="1702">
        <v>44377</v>
      </c>
      <c r="BZ83" s="1711" t="s">
        <v>9530</v>
      </c>
      <c r="CA83" s="1704">
        <v>34</v>
      </c>
      <c r="CB83" s="1710" t="s">
        <v>414</v>
      </c>
      <c r="CC83" s="1702">
        <v>44735</v>
      </c>
      <c r="CD83" s="1711" t="s">
        <v>9531</v>
      </c>
      <c r="CE83" s="1704">
        <v>85</v>
      </c>
      <c r="CF83" s="1710" t="s">
        <v>693</v>
      </c>
      <c r="CG83" s="1702">
        <v>45103</v>
      </c>
      <c r="CH83" s="1711" t="s">
        <v>7018</v>
      </c>
      <c r="CI83" s="1704">
        <v>80</v>
      </c>
      <c r="CJ83" s="1710"/>
      <c r="CK83" s="1702">
        <v>45467</v>
      </c>
      <c r="CL83" s="1711" t="s">
        <v>6741</v>
      </c>
      <c r="CM83" s="1704">
        <v>30</v>
      </c>
      <c r="CN83" s="1710" t="s">
        <v>414</v>
      </c>
      <c r="CO83" s="1702">
        <v>45467</v>
      </c>
      <c r="CP83" s="1711" t="s">
        <v>6741</v>
      </c>
      <c r="CQ83" s="1704">
        <v>30</v>
      </c>
      <c r="CR83" s="1710" t="s">
        <v>414</v>
      </c>
      <c r="CS83" s="1702"/>
      <c r="CT83" s="1711"/>
      <c r="CU83" s="1704"/>
      <c r="CV83" s="1710"/>
    </row>
    <row r="84" spans="1:100" ht="13.5">
      <c r="A84" s="1702">
        <v>37800</v>
      </c>
      <c r="B84" s="1703" t="s">
        <v>9532</v>
      </c>
      <c r="C84" s="1704">
        <v>7</v>
      </c>
      <c r="D84" s="1705"/>
      <c r="E84" s="1702"/>
      <c r="F84" s="1711"/>
      <c r="G84" s="1704"/>
      <c r="H84" s="1705"/>
      <c r="I84" s="1702"/>
      <c r="J84" s="1711"/>
      <c r="K84" s="1704"/>
      <c r="L84" s="1705"/>
      <c r="M84" s="1702"/>
      <c r="N84" s="1711"/>
      <c r="O84" s="1704"/>
      <c r="P84" s="1705"/>
      <c r="Q84" s="1702"/>
      <c r="R84" s="1703"/>
      <c r="S84" s="1704"/>
      <c r="T84" s="1705"/>
      <c r="U84" s="1702"/>
      <c r="V84" s="1703"/>
      <c r="W84" s="1704"/>
      <c r="X84" s="1705"/>
      <c r="Y84" s="1702"/>
      <c r="Z84" s="1703"/>
      <c r="AA84" s="1704"/>
      <c r="AB84" s="1705"/>
      <c r="AC84" s="1702"/>
      <c r="AD84" s="1703"/>
      <c r="AE84" s="1704"/>
      <c r="AF84" s="1705"/>
      <c r="AG84" s="1702"/>
      <c r="AH84" s="1703"/>
      <c r="AI84" s="1704"/>
      <c r="AJ84" s="1705"/>
      <c r="AK84" s="1702"/>
      <c r="AL84" s="1703"/>
      <c r="AM84" s="1704"/>
      <c r="AN84" s="1705"/>
      <c r="AO84" s="1702"/>
      <c r="AP84" s="1703"/>
      <c r="AQ84" s="1704"/>
      <c r="AR84" s="1705"/>
      <c r="AS84" s="1702"/>
      <c r="AT84" s="1703"/>
      <c r="AU84" s="1704"/>
      <c r="AV84" s="1705"/>
      <c r="AW84" s="1702">
        <v>42182</v>
      </c>
      <c r="AX84" s="1703" t="s">
        <v>9533</v>
      </c>
      <c r="AY84" s="1704">
        <v>22</v>
      </c>
      <c r="AZ84" s="1705"/>
      <c r="BA84" s="1702">
        <v>42545</v>
      </c>
      <c r="BB84" s="1711" t="s">
        <v>9534</v>
      </c>
      <c r="BC84" s="1704">
        <v>5</v>
      </c>
      <c r="BD84" s="1705"/>
      <c r="BE84" s="1702">
        <v>42902</v>
      </c>
      <c r="BF84" s="1711" t="s">
        <v>9535</v>
      </c>
      <c r="BG84" s="1704">
        <v>40</v>
      </c>
      <c r="BH84" s="1705"/>
      <c r="BI84" s="1702">
        <v>43275</v>
      </c>
      <c r="BJ84" s="1711" t="s">
        <v>9536</v>
      </c>
      <c r="BK84" s="1704">
        <v>88</v>
      </c>
      <c r="BL84" s="1705"/>
      <c r="BM84" s="1702"/>
      <c r="BN84" s="1711"/>
      <c r="BO84" s="1704"/>
      <c r="BP84" s="1705"/>
      <c r="BQ84" s="1702"/>
      <c r="BR84" s="1711"/>
      <c r="BS84" s="1704"/>
      <c r="BT84" s="1705"/>
      <c r="BU84" s="1702"/>
      <c r="BV84" s="1711"/>
      <c r="BW84" s="1704"/>
      <c r="BX84" s="1705"/>
      <c r="BY84" s="1702">
        <v>44377</v>
      </c>
      <c r="BZ84" s="1711" t="s">
        <v>3569</v>
      </c>
      <c r="CA84" s="1704">
        <v>26</v>
      </c>
      <c r="CB84" s="1710" t="s">
        <v>414</v>
      </c>
      <c r="CC84" s="1702">
        <v>44735</v>
      </c>
      <c r="CD84" s="1711" t="s">
        <v>9537</v>
      </c>
      <c r="CE84" s="1704">
        <v>125</v>
      </c>
      <c r="CF84" s="1710" t="s">
        <v>700</v>
      </c>
      <c r="CG84" s="1702">
        <v>45103</v>
      </c>
      <c r="CH84" s="1711" t="s">
        <v>9538</v>
      </c>
      <c r="CI84" s="1704">
        <f>SUM(CI106:CI107)</f>
        <v>34</v>
      </c>
      <c r="CJ84" s="1710"/>
      <c r="CK84" s="1702">
        <v>45467</v>
      </c>
      <c r="CL84" s="1711" t="s">
        <v>862</v>
      </c>
      <c r="CM84" s="1704">
        <v>30</v>
      </c>
      <c r="CN84" s="1710" t="s">
        <v>414</v>
      </c>
      <c r="CO84" s="1702">
        <v>45467</v>
      </c>
      <c r="CP84" s="1711" t="s">
        <v>862</v>
      </c>
      <c r="CQ84" s="1704">
        <v>30</v>
      </c>
      <c r="CR84" s="1710" t="s">
        <v>414</v>
      </c>
      <c r="CS84" s="1702"/>
      <c r="CT84" s="1711"/>
      <c r="CU84" s="1704"/>
      <c r="CV84" s="1710"/>
    </row>
    <row r="85" spans="1:100" ht="13.5">
      <c r="A85" s="1702">
        <v>37801</v>
      </c>
      <c r="B85" s="1703" t="s">
        <v>9539</v>
      </c>
      <c r="C85" s="1704">
        <v>75</v>
      </c>
      <c r="D85" s="1705"/>
      <c r="E85" s="1702"/>
      <c r="F85" s="1711"/>
      <c r="G85" s="1704"/>
      <c r="H85" s="1705"/>
      <c r="I85" s="1702"/>
      <c r="J85" s="1711"/>
      <c r="K85" s="1704"/>
      <c r="L85" s="1705"/>
      <c r="M85" s="1702"/>
      <c r="N85" s="1711"/>
      <c r="O85" s="1704"/>
      <c r="P85" s="1705"/>
      <c r="Q85" s="1702"/>
      <c r="R85" s="1703"/>
      <c r="S85" s="1704"/>
      <c r="T85" s="1705"/>
      <c r="U85" s="1702"/>
      <c r="V85" s="1703"/>
      <c r="W85" s="1704"/>
      <c r="X85" s="1705"/>
      <c r="Y85" s="1702"/>
      <c r="Z85" s="1703"/>
      <c r="AA85" s="1704"/>
      <c r="AB85" s="1705"/>
      <c r="AC85" s="1702"/>
      <c r="AD85" s="1703"/>
      <c r="AE85" s="1704"/>
      <c r="AF85" s="1705"/>
      <c r="AG85" s="1702"/>
      <c r="AH85" s="1703"/>
      <c r="AI85" s="1704"/>
      <c r="AJ85" s="1705"/>
      <c r="AK85" s="1702"/>
      <c r="AL85" s="1703"/>
      <c r="AM85" s="1704"/>
      <c r="AN85" s="1705"/>
      <c r="AO85" s="1702"/>
      <c r="AP85" s="1703"/>
      <c r="AQ85" s="1704"/>
      <c r="AR85" s="1705"/>
      <c r="AS85" s="1702"/>
      <c r="AT85" s="1703"/>
      <c r="AU85" s="1704"/>
      <c r="AV85" s="1705"/>
      <c r="AW85" s="1702">
        <v>42182</v>
      </c>
      <c r="AX85" s="1703" t="s">
        <v>9540</v>
      </c>
      <c r="AY85" s="1704">
        <v>3</v>
      </c>
      <c r="AZ85" s="1705"/>
      <c r="BA85" s="1702">
        <v>42546</v>
      </c>
      <c r="BB85" s="1711" t="s">
        <v>9541</v>
      </c>
      <c r="BC85" s="1704"/>
      <c r="BD85" s="1705"/>
      <c r="BE85" s="1702">
        <v>42902</v>
      </c>
      <c r="BF85" s="1711" t="s">
        <v>9542</v>
      </c>
      <c r="BG85" s="1704">
        <v>2</v>
      </c>
      <c r="BH85" s="1705"/>
      <c r="BI85" s="1702">
        <v>43276</v>
      </c>
      <c r="BJ85" s="1711" t="s">
        <v>9543</v>
      </c>
      <c r="BK85" s="1704">
        <v>20</v>
      </c>
      <c r="BL85" s="1705"/>
      <c r="BM85" s="1702"/>
      <c r="BN85" s="1711"/>
      <c r="BO85" s="1704"/>
      <c r="BP85" s="1705"/>
      <c r="BQ85" s="1702"/>
      <c r="BR85" s="1711"/>
      <c r="BS85" s="1704"/>
      <c r="BT85" s="1705"/>
      <c r="BU85" s="1702"/>
      <c r="BV85" s="1711"/>
      <c r="BW85" s="1704"/>
      <c r="BX85" s="1705"/>
      <c r="BY85" s="1702">
        <v>44377</v>
      </c>
      <c r="BZ85" s="1711" t="s">
        <v>9544</v>
      </c>
      <c r="CA85" s="1748">
        <v>19</v>
      </c>
      <c r="CB85" s="1710" t="s">
        <v>414</v>
      </c>
      <c r="CC85" s="1702">
        <v>44735</v>
      </c>
      <c r="CD85" s="1711" t="s">
        <v>9545</v>
      </c>
      <c r="CE85" s="1704">
        <v>110</v>
      </c>
      <c r="CF85" s="1710" t="s">
        <v>381</v>
      </c>
      <c r="CG85" s="1702">
        <v>45103</v>
      </c>
      <c r="CH85" s="1711" t="s">
        <v>9546</v>
      </c>
      <c r="CI85" s="1704">
        <v>12</v>
      </c>
      <c r="CJ85" s="1710" t="s">
        <v>278</v>
      </c>
      <c r="CK85" s="1702">
        <v>45467</v>
      </c>
      <c r="CL85" s="1711" t="s">
        <v>9547</v>
      </c>
      <c r="CM85" s="1704">
        <v>20</v>
      </c>
      <c r="CN85" s="1710" t="s">
        <v>414</v>
      </c>
      <c r="CO85" s="1702">
        <v>45467</v>
      </c>
      <c r="CP85" s="1711" t="s">
        <v>9547</v>
      </c>
      <c r="CQ85" s="1704">
        <v>20</v>
      </c>
      <c r="CR85" s="1710" t="s">
        <v>414</v>
      </c>
      <c r="CS85" s="1702"/>
      <c r="CT85" s="1711"/>
      <c r="CU85" s="1704"/>
      <c r="CV85" s="1710"/>
    </row>
    <row r="86" spans="1:100" ht="13.5">
      <c r="A86" s="1702">
        <v>37801</v>
      </c>
      <c r="B86" s="1703" t="s">
        <v>9548</v>
      </c>
      <c r="C86" s="1704">
        <v>10</v>
      </c>
      <c r="D86" s="1705"/>
      <c r="E86" s="1702"/>
      <c r="F86" s="1711"/>
      <c r="G86" s="1704"/>
      <c r="H86" s="1705"/>
      <c r="I86" s="1702"/>
      <c r="J86" s="1711"/>
      <c r="K86" s="1704"/>
      <c r="L86" s="1705"/>
      <c r="M86" s="1702"/>
      <c r="N86" s="1711"/>
      <c r="O86" s="1704"/>
      <c r="P86" s="1705"/>
      <c r="Q86" s="1702"/>
      <c r="R86" s="1703"/>
      <c r="S86" s="1704"/>
      <c r="T86" s="1705"/>
      <c r="U86" s="1702"/>
      <c r="V86" s="1703"/>
      <c r="W86" s="1704"/>
      <c r="X86" s="1705"/>
      <c r="Y86" s="1702"/>
      <c r="Z86" s="1703"/>
      <c r="AA86" s="1704"/>
      <c r="AB86" s="1705"/>
      <c r="AC86" s="1702"/>
      <c r="AD86" s="1703"/>
      <c r="AE86" s="1704"/>
      <c r="AF86" s="1705"/>
      <c r="AG86" s="1702"/>
      <c r="AH86" s="1703"/>
      <c r="AI86" s="1704"/>
      <c r="AJ86" s="1705"/>
      <c r="AK86" s="1702"/>
      <c r="AL86" s="1703"/>
      <c r="AM86" s="1704"/>
      <c r="AN86" s="1705"/>
      <c r="AO86" s="1702"/>
      <c r="AP86" s="1703"/>
      <c r="AQ86" s="1704"/>
      <c r="AR86" s="1705"/>
      <c r="AS86" s="1702"/>
      <c r="AT86" s="1703"/>
      <c r="AU86" s="1704"/>
      <c r="AV86" s="1705"/>
      <c r="AW86" s="1702">
        <v>42182</v>
      </c>
      <c r="AX86" s="1703" t="s">
        <v>9549</v>
      </c>
      <c r="AY86" s="1704">
        <v>3</v>
      </c>
      <c r="AZ86" s="1705"/>
      <c r="BA86" s="1702">
        <v>42546</v>
      </c>
      <c r="BB86" s="1711" t="s">
        <v>9550</v>
      </c>
      <c r="BC86" s="1704">
        <v>43</v>
      </c>
      <c r="BD86" s="1705"/>
      <c r="BE86" s="1702">
        <v>42902</v>
      </c>
      <c r="BF86" s="1711" t="s">
        <v>823</v>
      </c>
      <c r="BG86" s="1704">
        <v>28</v>
      </c>
      <c r="BH86" s="1705"/>
      <c r="BI86" s="1702">
        <v>43276</v>
      </c>
      <c r="BJ86" s="1711" t="s">
        <v>9551</v>
      </c>
      <c r="BK86" s="1704">
        <v>28</v>
      </c>
      <c r="BL86" s="1705"/>
      <c r="BM86" s="1702"/>
      <c r="BN86" s="1711"/>
      <c r="BO86" s="1704"/>
      <c r="BP86" s="1705"/>
      <c r="BQ86" s="1702"/>
      <c r="BR86" s="1711"/>
      <c r="BS86" s="1704"/>
      <c r="BT86" s="1705"/>
      <c r="BU86" s="1702"/>
      <c r="BV86" s="1711"/>
      <c r="BW86" s="1704"/>
      <c r="BX86" s="1705"/>
      <c r="BY86" s="1702">
        <v>44377</v>
      </c>
      <c r="BZ86" s="1711" t="s">
        <v>1849</v>
      </c>
      <c r="CA86" s="1748">
        <v>9</v>
      </c>
      <c r="CB86" s="1710" t="s">
        <v>414</v>
      </c>
      <c r="CC86" s="1702">
        <v>44735</v>
      </c>
      <c r="CD86" s="1711" t="s">
        <v>781</v>
      </c>
      <c r="CE86" s="1716">
        <v>30</v>
      </c>
      <c r="CF86" s="1710" t="s">
        <v>414</v>
      </c>
      <c r="CG86" s="1702">
        <v>45103</v>
      </c>
      <c r="CH86" s="1711" t="s">
        <v>9552</v>
      </c>
      <c r="CI86" s="1704">
        <v>11</v>
      </c>
      <c r="CJ86" s="1710" t="s">
        <v>278</v>
      </c>
      <c r="CK86" s="1702">
        <v>45467</v>
      </c>
      <c r="CL86" s="1711" t="s">
        <v>9553</v>
      </c>
      <c r="CM86" s="1704">
        <v>30</v>
      </c>
      <c r="CN86" s="1710" t="s">
        <v>414</v>
      </c>
      <c r="CO86" s="1702">
        <v>45467</v>
      </c>
      <c r="CP86" s="1711" t="s">
        <v>9553</v>
      </c>
      <c r="CQ86" s="1704">
        <v>30</v>
      </c>
      <c r="CR86" s="1710" t="s">
        <v>414</v>
      </c>
      <c r="CS86" s="1702"/>
      <c r="CT86" s="1711"/>
      <c r="CU86" s="1704"/>
      <c r="CV86" s="1710"/>
    </row>
    <row r="87" spans="1:100" ht="13.5">
      <c r="A87" s="1702">
        <v>37801</v>
      </c>
      <c r="B87" s="1703" t="s">
        <v>9554</v>
      </c>
      <c r="C87" s="1704">
        <v>15</v>
      </c>
      <c r="D87" s="1705"/>
      <c r="E87" s="1702"/>
      <c r="F87" s="1711"/>
      <c r="G87" s="1704"/>
      <c r="H87" s="1705"/>
      <c r="I87" s="1702"/>
      <c r="J87" s="1711"/>
      <c r="K87" s="1704"/>
      <c r="L87" s="1705"/>
      <c r="M87" s="1702"/>
      <c r="N87" s="1711"/>
      <c r="O87" s="1704"/>
      <c r="P87" s="1705"/>
      <c r="Q87" s="1702"/>
      <c r="R87" s="1711"/>
      <c r="S87" s="1704"/>
      <c r="T87" s="1705"/>
      <c r="U87" s="1702"/>
      <c r="V87" s="1703"/>
      <c r="W87" s="1704"/>
      <c r="X87" s="1705"/>
      <c r="Y87" s="1702"/>
      <c r="Z87" s="1703"/>
      <c r="AA87" s="1704"/>
      <c r="AB87" s="1705"/>
      <c r="AC87" s="1702"/>
      <c r="AD87" s="1703"/>
      <c r="AE87" s="1704"/>
      <c r="AF87" s="1705"/>
      <c r="AG87" s="1702"/>
      <c r="AH87" s="1703"/>
      <c r="AI87" s="1704"/>
      <c r="AJ87" s="1705"/>
      <c r="AK87" s="1702"/>
      <c r="AL87" s="1703"/>
      <c r="AM87" s="1704"/>
      <c r="AN87" s="1705"/>
      <c r="AO87" s="1702"/>
      <c r="AP87" s="1703"/>
      <c r="AQ87" s="1704"/>
      <c r="AR87" s="1705"/>
      <c r="AS87" s="1702"/>
      <c r="AT87" s="1703"/>
      <c r="AU87" s="1704"/>
      <c r="AV87" s="1705"/>
      <c r="AW87" s="1702">
        <v>42183</v>
      </c>
      <c r="AX87" s="1703" t="s">
        <v>9555</v>
      </c>
      <c r="AY87" s="1704">
        <v>29</v>
      </c>
      <c r="AZ87" s="1705"/>
      <c r="BA87" s="1702">
        <v>42546</v>
      </c>
      <c r="BB87" s="1711" t="s">
        <v>9556</v>
      </c>
      <c r="BC87" s="1704">
        <v>38</v>
      </c>
      <c r="BD87" s="1705"/>
      <c r="BE87" s="1702">
        <v>42902</v>
      </c>
      <c r="BF87" s="1711" t="s">
        <v>872</v>
      </c>
      <c r="BG87" s="1704">
        <v>17</v>
      </c>
      <c r="BH87" s="1705"/>
      <c r="BI87" s="1702">
        <v>43276</v>
      </c>
      <c r="BJ87" s="1711" t="s">
        <v>9557</v>
      </c>
      <c r="BK87" s="1704">
        <v>32</v>
      </c>
      <c r="BL87" s="1705"/>
      <c r="BM87" s="1702"/>
      <c r="BN87" s="1711"/>
      <c r="BO87" s="1704"/>
      <c r="BP87" s="1705"/>
      <c r="BQ87" s="1702"/>
      <c r="BR87" s="1711"/>
      <c r="BS87" s="1704"/>
      <c r="BT87" s="1705"/>
      <c r="BU87" s="1702"/>
      <c r="BV87" s="1711"/>
      <c r="BW87" s="1704"/>
      <c r="BX87" s="1705"/>
      <c r="BY87" s="1702">
        <v>44377</v>
      </c>
      <c r="BZ87" s="1711" t="s">
        <v>9558</v>
      </c>
      <c r="CA87" s="1704">
        <v>10</v>
      </c>
      <c r="CB87" s="1710" t="s">
        <v>414</v>
      </c>
      <c r="CC87" s="1702">
        <v>44735</v>
      </c>
      <c r="CD87" s="1711" t="s">
        <v>9559</v>
      </c>
      <c r="CE87" s="1716">
        <v>50</v>
      </c>
      <c r="CF87" s="1710" t="s">
        <v>700</v>
      </c>
      <c r="CG87" s="1702">
        <v>45104</v>
      </c>
      <c r="CH87" s="1711" t="s">
        <v>9560</v>
      </c>
      <c r="CI87" s="1704">
        <v>32</v>
      </c>
      <c r="CJ87" s="1710" t="s">
        <v>278</v>
      </c>
      <c r="CK87" s="1702">
        <v>45467</v>
      </c>
      <c r="CL87" s="1711" t="s">
        <v>9561</v>
      </c>
      <c r="CM87" s="1704">
        <v>35</v>
      </c>
      <c r="CN87" s="1710" t="s">
        <v>700</v>
      </c>
      <c r="CO87" s="1702">
        <v>45467</v>
      </c>
      <c r="CP87" s="1711" t="s">
        <v>9561</v>
      </c>
      <c r="CQ87" s="1704">
        <v>35</v>
      </c>
      <c r="CR87" s="1710" t="s">
        <v>700</v>
      </c>
      <c r="CS87" s="1702"/>
      <c r="CT87" s="1711"/>
      <c r="CU87" s="1704"/>
      <c r="CV87" s="1710"/>
    </row>
    <row r="88" spans="1:100" ht="13.5">
      <c r="A88" s="1749">
        <v>37801</v>
      </c>
      <c r="B88" s="1738" t="s">
        <v>772</v>
      </c>
      <c r="C88" s="1704">
        <v>32</v>
      </c>
      <c r="D88" s="1750"/>
      <c r="E88" s="1702"/>
      <c r="F88" s="1711"/>
      <c r="G88" s="1704"/>
      <c r="H88" s="1705"/>
      <c r="I88" s="1702"/>
      <c r="J88" s="1711"/>
      <c r="K88" s="1704"/>
      <c r="L88" s="1705"/>
      <c r="M88" s="1702"/>
      <c r="N88" s="1711"/>
      <c r="O88" s="1704"/>
      <c r="P88" s="1705"/>
      <c r="Q88" s="1702"/>
      <c r="R88" s="1711"/>
      <c r="S88" s="1704"/>
      <c r="T88" s="1705"/>
      <c r="U88" s="1702"/>
      <c r="V88" s="1711"/>
      <c r="W88" s="1704"/>
      <c r="X88" s="1705"/>
      <c r="Y88" s="1702"/>
      <c r="Z88" s="1703"/>
      <c r="AA88" s="1704"/>
      <c r="AB88" s="1705"/>
      <c r="AC88" s="1702"/>
      <c r="AD88" s="1703"/>
      <c r="AE88" s="1704"/>
      <c r="AF88" s="1705"/>
      <c r="AG88" s="1702"/>
      <c r="AH88" s="1703"/>
      <c r="AI88" s="1704"/>
      <c r="AJ88" s="1705"/>
      <c r="AK88" s="1702"/>
      <c r="AL88" s="1703"/>
      <c r="AM88" s="1704"/>
      <c r="AN88" s="1705"/>
      <c r="AO88" s="1702"/>
      <c r="AP88" s="1703"/>
      <c r="AQ88" s="1704"/>
      <c r="AR88" s="1705"/>
      <c r="AS88" s="1702"/>
      <c r="AT88" s="1703"/>
      <c r="AU88" s="1704"/>
      <c r="AV88" s="1705"/>
      <c r="AW88" s="1702">
        <v>42183</v>
      </c>
      <c r="AX88" s="1703" t="s">
        <v>954</v>
      </c>
      <c r="AY88" s="1704">
        <v>84</v>
      </c>
      <c r="AZ88" s="1705"/>
      <c r="BA88" s="1702">
        <v>42547</v>
      </c>
      <c r="BB88" s="1711" t="s">
        <v>772</v>
      </c>
      <c r="BC88" s="1748">
        <v>45</v>
      </c>
      <c r="BD88" s="1705"/>
      <c r="BE88" s="1702">
        <v>42902</v>
      </c>
      <c r="BF88" s="1711" t="s">
        <v>9562</v>
      </c>
      <c r="BG88" s="1704">
        <v>19</v>
      </c>
      <c r="BH88" s="1705"/>
      <c r="BI88" s="1702">
        <v>43276</v>
      </c>
      <c r="BJ88" s="1711" t="s">
        <v>9563</v>
      </c>
      <c r="BK88" s="1748">
        <v>3</v>
      </c>
      <c r="BL88" s="1705"/>
      <c r="BM88" s="1702"/>
      <c r="BN88" s="1711"/>
      <c r="BO88" s="1748"/>
      <c r="BP88" s="1705"/>
      <c r="BQ88" s="1702"/>
      <c r="BR88" s="1711"/>
      <c r="BS88" s="1748"/>
      <c r="BT88" s="1705"/>
      <c r="BU88" s="1702"/>
      <c r="BV88" s="1711"/>
      <c r="BW88" s="1748"/>
      <c r="BX88" s="1705"/>
      <c r="BY88" s="1702">
        <v>44377</v>
      </c>
      <c r="BZ88" s="1711" t="s">
        <v>1087</v>
      </c>
      <c r="CA88" s="1704">
        <v>70</v>
      </c>
      <c r="CB88" s="1710" t="s">
        <v>414</v>
      </c>
      <c r="CC88" s="1702">
        <v>44735</v>
      </c>
      <c r="CD88" s="1711" t="s">
        <v>797</v>
      </c>
      <c r="CE88" s="1716">
        <v>110</v>
      </c>
      <c r="CF88" s="1710" t="s">
        <v>410</v>
      </c>
      <c r="CG88" s="1702">
        <v>45104</v>
      </c>
      <c r="CH88" s="1711" t="s">
        <v>9564</v>
      </c>
      <c r="CI88" s="1704">
        <v>175</v>
      </c>
      <c r="CJ88" s="1710" t="s">
        <v>278</v>
      </c>
      <c r="CK88" s="1702">
        <v>45467</v>
      </c>
      <c r="CL88" s="1711" t="s">
        <v>9565</v>
      </c>
      <c r="CM88" s="1704">
        <v>35</v>
      </c>
      <c r="CN88" s="1710" t="s">
        <v>700</v>
      </c>
      <c r="CO88" s="1702">
        <v>45467</v>
      </c>
      <c r="CP88" s="1711" t="s">
        <v>9565</v>
      </c>
      <c r="CQ88" s="1704">
        <v>35</v>
      </c>
      <c r="CR88" s="1710" t="s">
        <v>700</v>
      </c>
      <c r="CS88" s="1702"/>
      <c r="CT88" s="1711"/>
      <c r="CU88" s="1704"/>
      <c r="CV88" s="1710"/>
    </row>
    <row r="89" spans="1:100" ht="13.5">
      <c r="A89" s="1702"/>
      <c r="B89" s="1738"/>
      <c r="C89" s="1704"/>
      <c r="D89" s="1750"/>
      <c r="E89" s="1702"/>
      <c r="F89" s="1711"/>
      <c r="G89" s="1704"/>
      <c r="H89" s="1705"/>
      <c r="I89" s="1702"/>
      <c r="J89" s="1711"/>
      <c r="K89" s="1704"/>
      <c r="L89" s="1705"/>
      <c r="M89" s="1702"/>
      <c r="N89" s="1711"/>
      <c r="O89" s="1704"/>
      <c r="P89" s="1705"/>
      <c r="Q89" s="1702"/>
      <c r="R89" s="1711"/>
      <c r="S89" s="1704"/>
      <c r="T89" s="1705"/>
      <c r="U89" s="1702"/>
      <c r="V89" s="1711"/>
      <c r="W89" s="1704"/>
      <c r="X89" s="1705"/>
      <c r="Y89" s="1702"/>
      <c r="Z89" s="1703"/>
      <c r="AA89" s="1704"/>
      <c r="AB89" s="1705"/>
      <c r="AC89" s="1702"/>
      <c r="AD89" s="1703"/>
      <c r="AE89" s="1704"/>
      <c r="AF89" s="1705"/>
      <c r="AG89" s="1702"/>
      <c r="AH89" s="1703"/>
      <c r="AI89" s="1704"/>
      <c r="AJ89" s="1705"/>
      <c r="AK89" s="1702"/>
      <c r="AL89" s="1703"/>
      <c r="AM89" s="1704"/>
      <c r="AN89" s="1705"/>
      <c r="AO89" s="1702"/>
      <c r="AP89" s="1703"/>
      <c r="AQ89" s="1704"/>
      <c r="AR89" s="1705"/>
      <c r="AS89" s="1702"/>
      <c r="AT89" s="1703"/>
      <c r="AU89" s="1704"/>
      <c r="AV89" s="1705"/>
      <c r="AW89" s="1702"/>
      <c r="AX89" s="1703"/>
      <c r="AY89" s="1704"/>
      <c r="AZ89" s="1705"/>
      <c r="BA89" s="1702">
        <v>42547</v>
      </c>
      <c r="BB89" s="1711" t="s">
        <v>754</v>
      </c>
      <c r="BC89" s="1748">
        <v>36</v>
      </c>
      <c r="BD89" s="1705"/>
      <c r="BE89" s="1702">
        <v>42903</v>
      </c>
      <c r="BF89" s="1711" t="s">
        <v>9566</v>
      </c>
      <c r="BG89" s="1704">
        <v>26</v>
      </c>
      <c r="BH89" s="1705"/>
      <c r="BI89" s="1702">
        <v>43276</v>
      </c>
      <c r="BJ89" s="1711" t="s">
        <v>9567</v>
      </c>
      <c r="BK89" s="1748">
        <v>5</v>
      </c>
      <c r="BL89" s="1705"/>
      <c r="BM89" s="1702"/>
      <c r="BN89" s="1711"/>
      <c r="BO89" s="1748"/>
      <c r="BP89" s="1705"/>
      <c r="BQ89" s="1702"/>
      <c r="BR89" s="1711"/>
      <c r="BS89" s="1748"/>
      <c r="BT89" s="1705"/>
      <c r="BU89" s="1702"/>
      <c r="BV89" s="1711"/>
      <c r="BW89" s="1748"/>
      <c r="BX89" s="1705"/>
      <c r="BY89" s="1702"/>
      <c r="BZ89" s="1711"/>
      <c r="CA89" s="1704"/>
      <c r="CB89" s="1705"/>
      <c r="CC89" s="1702">
        <v>44736</v>
      </c>
      <c r="CD89" s="1711" t="s">
        <v>9568</v>
      </c>
      <c r="CE89" s="1747">
        <v>1500</v>
      </c>
      <c r="CF89" s="1710" t="s">
        <v>381</v>
      </c>
      <c r="CG89" s="1702">
        <v>45104</v>
      </c>
      <c r="CH89" s="1711" t="s">
        <v>9569</v>
      </c>
      <c r="CI89" s="1704">
        <v>36</v>
      </c>
      <c r="CJ89" s="1710" t="s">
        <v>278</v>
      </c>
      <c r="CK89" s="1702">
        <v>45467</v>
      </c>
      <c r="CL89" s="1711" t="s">
        <v>1151</v>
      </c>
      <c r="CM89" s="1704">
        <v>25</v>
      </c>
      <c r="CN89" s="1710" t="s">
        <v>278</v>
      </c>
      <c r="CO89" s="1702">
        <v>45467</v>
      </c>
      <c r="CP89" s="1711" t="s">
        <v>1151</v>
      </c>
      <c r="CQ89" s="1704">
        <v>25</v>
      </c>
      <c r="CR89" s="1710" t="s">
        <v>278</v>
      </c>
      <c r="CS89" s="1702"/>
      <c r="CT89" s="1711"/>
      <c r="CU89" s="1704"/>
      <c r="CV89" s="1710"/>
    </row>
    <row r="90" spans="1:100" ht="13.5">
      <c r="A90" s="1702"/>
      <c r="B90" s="1738"/>
      <c r="C90" s="1704"/>
      <c r="D90" s="1750"/>
      <c r="E90" s="1702"/>
      <c r="F90" s="1711"/>
      <c r="G90" s="1704"/>
      <c r="H90" s="1705"/>
      <c r="I90" s="1702"/>
      <c r="J90" s="1711"/>
      <c r="K90" s="1704"/>
      <c r="L90" s="1705"/>
      <c r="M90" s="1702"/>
      <c r="N90" s="1711"/>
      <c r="O90" s="1704"/>
      <c r="P90" s="1705"/>
      <c r="Q90" s="1702"/>
      <c r="R90" s="1711"/>
      <c r="S90" s="1704"/>
      <c r="T90" s="1705"/>
      <c r="U90" s="1702"/>
      <c r="V90" s="1711"/>
      <c r="W90" s="1704"/>
      <c r="X90" s="1705"/>
      <c r="Y90" s="1702"/>
      <c r="Z90" s="1703"/>
      <c r="AA90" s="1704"/>
      <c r="AB90" s="1705"/>
      <c r="AC90" s="1702"/>
      <c r="AD90" s="1703"/>
      <c r="AE90" s="1704"/>
      <c r="AF90" s="1705"/>
      <c r="AG90" s="1702"/>
      <c r="AH90" s="1703"/>
      <c r="AI90" s="1704"/>
      <c r="AJ90" s="1705"/>
      <c r="AK90" s="1702"/>
      <c r="AL90" s="1703"/>
      <c r="AM90" s="1704"/>
      <c r="AN90" s="1705"/>
      <c r="AO90" s="1702"/>
      <c r="AP90" s="1703"/>
      <c r="AQ90" s="1704"/>
      <c r="AR90" s="1705"/>
      <c r="AS90" s="1702"/>
      <c r="AT90" s="1703"/>
      <c r="AU90" s="1704"/>
      <c r="AV90" s="1705"/>
      <c r="AW90" s="1702"/>
      <c r="AX90" s="1703"/>
      <c r="AY90" s="1704"/>
      <c r="AZ90" s="1705"/>
      <c r="BA90" s="1702">
        <v>42547</v>
      </c>
      <c r="BB90" s="1711" t="s">
        <v>781</v>
      </c>
      <c r="BC90" s="1748">
        <v>14</v>
      </c>
      <c r="BD90" s="1705"/>
      <c r="BE90" s="1702">
        <v>42903</v>
      </c>
      <c r="BF90" s="1711" t="s">
        <v>9570</v>
      </c>
      <c r="BG90" s="1704">
        <v>66</v>
      </c>
      <c r="BH90" s="1705"/>
      <c r="BI90" s="1702">
        <v>43277</v>
      </c>
      <c r="BJ90" s="1711" t="s">
        <v>9571</v>
      </c>
      <c r="BK90" s="1704"/>
      <c r="BL90" s="1705"/>
      <c r="BM90" s="1702"/>
      <c r="BN90" s="1711"/>
      <c r="BO90" s="1704"/>
      <c r="BP90" s="1705"/>
      <c r="BQ90" s="1702"/>
      <c r="BR90" s="1711"/>
      <c r="BS90" s="1704"/>
      <c r="BT90" s="1705"/>
      <c r="BU90" s="1702"/>
      <c r="BV90" s="1711"/>
      <c r="BW90" s="1704"/>
      <c r="BX90" s="1705"/>
      <c r="BY90" s="1702"/>
      <c r="BZ90" s="1711"/>
      <c r="CA90" s="1748"/>
      <c r="CB90" s="1705"/>
      <c r="CC90" s="1702">
        <v>44736</v>
      </c>
      <c r="CD90" s="1711" t="s">
        <v>1180</v>
      </c>
      <c r="CE90" s="1704">
        <v>97</v>
      </c>
      <c r="CF90" s="1710" t="s">
        <v>410</v>
      </c>
      <c r="CG90" s="1702">
        <v>45105</v>
      </c>
      <c r="CH90" s="1711" t="s">
        <v>9572</v>
      </c>
      <c r="CI90" s="1704">
        <v>13</v>
      </c>
      <c r="CJ90" s="1710" t="s">
        <v>278</v>
      </c>
      <c r="CK90" s="1702">
        <v>45467</v>
      </c>
      <c r="CL90" s="1711" t="s">
        <v>9573</v>
      </c>
      <c r="CM90" s="1704">
        <v>20</v>
      </c>
      <c r="CN90" s="1710" t="s">
        <v>280</v>
      </c>
      <c r="CO90" s="1702">
        <v>45467</v>
      </c>
      <c r="CP90" s="1711" t="s">
        <v>9573</v>
      </c>
      <c r="CQ90" s="1704">
        <v>20</v>
      </c>
      <c r="CR90" s="1710" t="s">
        <v>280</v>
      </c>
      <c r="CS90" s="1702"/>
      <c r="CT90" s="1711"/>
      <c r="CU90" s="1704"/>
      <c r="CV90" s="1710"/>
    </row>
    <row r="91" spans="1:100" ht="13.5">
      <c r="A91" s="1702"/>
      <c r="B91" s="1738"/>
      <c r="C91" s="1704"/>
      <c r="D91" s="1750"/>
      <c r="E91" s="1702"/>
      <c r="F91" s="1711"/>
      <c r="G91" s="1704"/>
      <c r="H91" s="1705"/>
      <c r="I91" s="1702"/>
      <c r="J91" s="1711"/>
      <c r="K91" s="1704"/>
      <c r="L91" s="1705"/>
      <c r="M91" s="1702"/>
      <c r="N91" s="1711"/>
      <c r="O91" s="1704"/>
      <c r="P91" s="1705"/>
      <c r="Q91" s="1702"/>
      <c r="R91" s="1711"/>
      <c r="S91" s="1704"/>
      <c r="T91" s="1705"/>
      <c r="U91" s="1702"/>
      <c r="V91" s="1711"/>
      <c r="W91" s="1704"/>
      <c r="X91" s="1705"/>
      <c r="Y91" s="1702"/>
      <c r="Z91" s="1703"/>
      <c r="AA91" s="1704"/>
      <c r="AB91" s="1705"/>
      <c r="AC91" s="1702"/>
      <c r="AD91" s="1703"/>
      <c r="AE91" s="1704"/>
      <c r="AF91" s="1705"/>
      <c r="AG91" s="1702"/>
      <c r="AH91" s="1703"/>
      <c r="AI91" s="1704"/>
      <c r="AJ91" s="1705"/>
      <c r="AK91" s="1702"/>
      <c r="AL91" s="1703"/>
      <c r="AM91" s="1704"/>
      <c r="AN91" s="1705"/>
      <c r="AO91" s="1702"/>
      <c r="AP91" s="1703"/>
      <c r="AQ91" s="1704"/>
      <c r="AR91" s="1705"/>
      <c r="AS91" s="1702"/>
      <c r="AT91" s="1703"/>
      <c r="AU91" s="1704"/>
      <c r="AV91" s="1705"/>
      <c r="AW91" s="1702"/>
      <c r="AX91" s="1703"/>
      <c r="AY91" s="1704"/>
      <c r="AZ91" s="1705"/>
      <c r="BA91" s="1702">
        <v>42547</v>
      </c>
      <c r="BB91" s="1711" t="s">
        <v>9574</v>
      </c>
      <c r="BC91" s="1748">
        <v>1267</v>
      </c>
      <c r="BD91" s="1705"/>
      <c r="BE91" s="1702">
        <v>42903</v>
      </c>
      <c r="BF91" s="1711" t="s">
        <v>9575</v>
      </c>
      <c r="BG91" s="1704">
        <v>16</v>
      </c>
      <c r="BH91" s="1705"/>
      <c r="BI91" s="1702">
        <v>43277</v>
      </c>
      <c r="BJ91" s="1711" t="s">
        <v>9576</v>
      </c>
      <c r="BK91" s="1704">
        <v>27</v>
      </c>
      <c r="BL91" s="1705"/>
      <c r="BM91" s="1702"/>
      <c r="BN91" s="1711"/>
      <c r="BO91" s="1704"/>
      <c r="BP91" s="1705"/>
      <c r="BQ91" s="1702"/>
      <c r="BR91" s="1711"/>
      <c r="BS91" s="1704"/>
      <c r="BT91" s="1705"/>
      <c r="BU91" s="1702"/>
      <c r="BV91" s="1711"/>
      <c r="BW91" s="1704"/>
      <c r="BX91" s="1705"/>
      <c r="BY91" s="1702"/>
      <c r="BZ91" s="1711"/>
      <c r="CA91" s="1748"/>
      <c r="CB91" s="1705"/>
      <c r="CC91" s="1702">
        <v>44737</v>
      </c>
      <c r="CD91" s="1711" t="s">
        <v>9577</v>
      </c>
      <c r="CE91" s="1704">
        <v>6</v>
      </c>
      <c r="CF91" s="1710" t="s">
        <v>381</v>
      </c>
      <c r="CG91" s="1702">
        <v>45105</v>
      </c>
      <c r="CH91" s="1711" t="s">
        <v>1180</v>
      </c>
      <c r="CI91" s="1704">
        <v>30</v>
      </c>
      <c r="CJ91" s="1710" t="s">
        <v>410</v>
      </c>
      <c r="CK91" s="1702">
        <v>45469</v>
      </c>
      <c r="CL91" s="1711" t="s">
        <v>9578</v>
      </c>
      <c r="CM91" s="1704">
        <v>31</v>
      </c>
      <c r="CN91" s="1710" t="s">
        <v>280</v>
      </c>
      <c r="CO91" s="1702">
        <v>45469</v>
      </c>
      <c r="CP91" s="1711" t="s">
        <v>9578</v>
      </c>
      <c r="CQ91" s="1704">
        <v>31</v>
      </c>
      <c r="CR91" s="1710" t="s">
        <v>280</v>
      </c>
      <c r="CS91" s="1702"/>
      <c r="CT91" s="1711"/>
      <c r="CU91" s="1704"/>
      <c r="CV91" s="1710"/>
    </row>
    <row r="92" spans="1:100" ht="13.5">
      <c r="A92" s="1702">
        <v>37801</v>
      </c>
      <c r="B92" s="1703" t="s">
        <v>1810</v>
      </c>
      <c r="C92" s="1704">
        <v>48</v>
      </c>
      <c r="D92" s="1705"/>
      <c r="E92" s="1702"/>
      <c r="F92" s="1711"/>
      <c r="G92" s="1704"/>
      <c r="H92" s="1705"/>
      <c r="I92" s="1702"/>
      <c r="J92" s="1711"/>
      <c r="K92" s="1704"/>
      <c r="L92" s="1705"/>
      <c r="M92" s="1702"/>
      <c r="N92" s="1711"/>
      <c r="O92" s="1704"/>
      <c r="P92" s="1705"/>
      <c r="Q92" s="1702"/>
      <c r="R92" s="1711"/>
      <c r="S92" s="1704"/>
      <c r="T92" s="1705"/>
      <c r="U92" s="1702"/>
      <c r="V92" s="1711"/>
      <c r="W92" s="1704"/>
      <c r="X92" s="1705"/>
      <c r="Y92" s="1702"/>
      <c r="Z92" s="1711"/>
      <c r="AA92" s="1704"/>
      <c r="AB92" s="1705"/>
      <c r="AC92" s="1702"/>
      <c r="AD92" s="1703"/>
      <c r="AE92" s="1704"/>
      <c r="AF92" s="1705"/>
      <c r="AG92" s="1702"/>
      <c r="AH92" s="1703"/>
      <c r="AI92" s="1704"/>
      <c r="AJ92" s="1705"/>
      <c r="AK92" s="1702"/>
      <c r="AL92" s="1703"/>
      <c r="AM92" s="1704"/>
      <c r="AN92" s="1705"/>
      <c r="AO92" s="1702"/>
      <c r="AP92" s="1703"/>
      <c r="AQ92" s="1704"/>
      <c r="AR92" s="1705"/>
      <c r="AS92" s="1702"/>
      <c r="AT92" s="1703"/>
      <c r="AU92" s="1704"/>
      <c r="AV92" s="1705"/>
      <c r="AW92" s="1702">
        <v>42183</v>
      </c>
      <c r="AX92" s="1703" t="s">
        <v>867</v>
      </c>
      <c r="AY92" s="1704">
        <v>48</v>
      </c>
      <c r="AZ92" s="1705"/>
      <c r="BA92" s="1702">
        <v>42548</v>
      </c>
      <c r="BB92" s="1711" t="s">
        <v>797</v>
      </c>
      <c r="BC92" s="1748">
        <v>40</v>
      </c>
      <c r="BD92" s="1705"/>
      <c r="BE92" s="1702">
        <v>42903</v>
      </c>
      <c r="BF92" s="1711" t="s">
        <v>9579</v>
      </c>
      <c r="BG92" s="1704">
        <v>80</v>
      </c>
      <c r="BH92" s="1705"/>
      <c r="BI92" s="1702">
        <v>43277</v>
      </c>
      <c r="BJ92" s="1711" t="s">
        <v>9580</v>
      </c>
      <c r="BK92" s="1704"/>
      <c r="BL92" s="1705"/>
      <c r="BM92" s="1702"/>
      <c r="BN92" s="1711"/>
      <c r="BO92" s="1704"/>
      <c r="BP92" s="1705"/>
      <c r="BQ92" s="1702"/>
      <c r="BR92" s="1711"/>
      <c r="BS92" s="1704"/>
      <c r="BT92" s="1705"/>
      <c r="BU92" s="1702"/>
      <c r="BV92" s="1711"/>
      <c r="BW92" s="1704"/>
      <c r="BX92" s="1705"/>
      <c r="BY92" s="1702"/>
      <c r="BZ92" s="1711"/>
      <c r="CA92" s="1748"/>
      <c r="CB92" s="1705"/>
      <c r="CC92" s="1702">
        <v>44737</v>
      </c>
      <c r="CD92" s="1711" t="s">
        <v>9581</v>
      </c>
      <c r="CE92" s="1704">
        <v>9</v>
      </c>
      <c r="CF92" s="1710" t="s">
        <v>278</v>
      </c>
      <c r="CG92" s="1702">
        <v>45106</v>
      </c>
      <c r="CH92" s="1711" t="s">
        <v>9582</v>
      </c>
      <c r="CI92" s="1704">
        <v>550</v>
      </c>
      <c r="CJ92" s="1710" t="s">
        <v>381</v>
      </c>
      <c r="CK92" s="1702">
        <v>45470</v>
      </c>
      <c r="CL92" s="1711" t="s">
        <v>9583</v>
      </c>
      <c r="CM92" s="1704">
        <v>20</v>
      </c>
      <c r="CN92" s="1710" t="s">
        <v>278</v>
      </c>
      <c r="CO92" s="1702">
        <v>45470</v>
      </c>
      <c r="CP92" s="1711" t="s">
        <v>9583</v>
      </c>
      <c r="CQ92" s="1704">
        <v>20</v>
      </c>
      <c r="CR92" s="1710" t="s">
        <v>278</v>
      </c>
      <c r="CS92" s="1702"/>
      <c r="CT92" s="1711"/>
      <c r="CU92" s="1704"/>
      <c r="CV92" s="1710"/>
    </row>
    <row r="93" spans="1:100" ht="13.5">
      <c r="A93" s="1702"/>
      <c r="B93" s="1703"/>
      <c r="C93" s="1704"/>
      <c r="D93" s="1705"/>
      <c r="E93" s="1702"/>
      <c r="F93" s="1711"/>
      <c r="G93" s="1704"/>
      <c r="H93" s="1705"/>
      <c r="I93" s="1702"/>
      <c r="J93" s="1711"/>
      <c r="K93" s="1704"/>
      <c r="L93" s="1705"/>
      <c r="M93" s="1702"/>
      <c r="N93" s="1711"/>
      <c r="O93" s="1704"/>
      <c r="P93" s="1705"/>
      <c r="Q93" s="1702"/>
      <c r="R93" s="1711"/>
      <c r="S93" s="1704"/>
      <c r="T93" s="1705"/>
      <c r="U93" s="1702"/>
      <c r="V93" s="1711"/>
      <c r="W93" s="1704"/>
      <c r="X93" s="1705"/>
      <c r="Y93" s="1702"/>
      <c r="Z93" s="1711"/>
      <c r="AA93" s="1704"/>
      <c r="AB93" s="1705"/>
      <c r="AC93" s="1702"/>
      <c r="AD93" s="1703"/>
      <c r="AE93" s="1704"/>
      <c r="AF93" s="1705"/>
      <c r="AG93" s="1702"/>
      <c r="AH93" s="1703"/>
      <c r="AI93" s="1704"/>
      <c r="AJ93" s="1705"/>
      <c r="AK93" s="1702"/>
      <c r="AL93" s="1703"/>
      <c r="AM93" s="1704"/>
      <c r="AN93" s="1705"/>
      <c r="AO93" s="1702"/>
      <c r="AP93" s="1703"/>
      <c r="AQ93" s="1704"/>
      <c r="AR93" s="1705"/>
      <c r="AS93" s="1702"/>
      <c r="AT93" s="1703"/>
      <c r="AU93" s="1704"/>
      <c r="AV93" s="1705"/>
      <c r="AW93" s="1702"/>
      <c r="AX93" s="1703"/>
      <c r="AY93" s="1704"/>
      <c r="AZ93" s="1705"/>
      <c r="BA93" s="1702">
        <v>42548</v>
      </c>
      <c r="BB93" s="1711" t="s">
        <v>9584</v>
      </c>
      <c r="BC93" s="1748">
        <v>0</v>
      </c>
      <c r="BD93" s="1705"/>
      <c r="BE93" s="1702">
        <v>42903</v>
      </c>
      <c r="BF93" s="1711" t="s">
        <v>859</v>
      </c>
      <c r="BG93" s="1704">
        <v>11</v>
      </c>
      <c r="BH93" s="1705"/>
      <c r="BI93" s="1702">
        <v>43277</v>
      </c>
      <c r="BJ93" s="1711" t="s">
        <v>9585</v>
      </c>
      <c r="BK93" s="1748">
        <v>31</v>
      </c>
      <c r="BL93" s="1705"/>
      <c r="BM93" s="1702"/>
      <c r="BN93" s="1711"/>
      <c r="BO93" s="1748"/>
      <c r="BP93" s="1705"/>
      <c r="BQ93" s="1702"/>
      <c r="BR93" s="1711"/>
      <c r="BS93" s="1748"/>
      <c r="BT93" s="1705"/>
      <c r="BU93" s="1702"/>
      <c r="BV93" s="1711"/>
      <c r="BW93" s="1748"/>
      <c r="BX93" s="1705"/>
      <c r="BY93" s="1702"/>
      <c r="BZ93" s="1711"/>
      <c r="CA93" s="1748"/>
      <c r="CB93" s="1705"/>
      <c r="CC93" s="1702">
        <v>44737</v>
      </c>
      <c r="CD93" s="1711" t="s">
        <v>1151</v>
      </c>
      <c r="CE93" s="1704">
        <v>10</v>
      </c>
      <c r="CF93" s="1710" t="s">
        <v>278</v>
      </c>
      <c r="CG93" s="1702">
        <v>45106</v>
      </c>
      <c r="CH93" s="1711" t="s">
        <v>9586</v>
      </c>
      <c r="CI93" s="1704">
        <v>64</v>
      </c>
      <c r="CJ93" s="1710" t="s">
        <v>381</v>
      </c>
      <c r="CK93" s="1702">
        <v>45471</v>
      </c>
      <c r="CL93" s="1711" t="s">
        <v>845</v>
      </c>
      <c r="CM93" s="1704">
        <v>67</v>
      </c>
      <c r="CN93" s="1710" t="s">
        <v>414</v>
      </c>
      <c r="CO93" s="1702">
        <v>45471</v>
      </c>
      <c r="CP93" s="1711" t="s">
        <v>845</v>
      </c>
      <c r="CQ93" s="1704">
        <v>67</v>
      </c>
      <c r="CR93" s="1710" t="s">
        <v>414</v>
      </c>
      <c r="CS93" s="1702"/>
      <c r="CT93" s="1711"/>
      <c r="CU93" s="1704"/>
      <c r="CV93" s="1710"/>
    </row>
    <row r="94" spans="1:100" ht="13.5">
      <c r="A94" s="1702"/>
      <c r="B94" s="1703"/>
      <c r="C94" s="1704"/>
      <c r="D94" s="1705"/>
      <c r="E94" s="1702"/>
      <c r="F94" s="1711"/>
      <c r="G94" s="1704"/>
      <c r="H94" s="1705"/>
      <c r="I94" s="1702"/>
      <c r="J94" s="1711"/>
      <c r="K94" s="1704"/>
      <c r="L94" s="1705"/>
      <c r="M94" s="1702"/>
      <c r="N94" s="1711"/>
      <c r="O94" s="1704"/>
      <c r="P94" s="1705"/>
      <c r="Q94" s="1702"/>
      <c r="R94" s="1711"/>
      <c r="S94" s="1704"/>
      <c r="T94" s="1705"/>
      <c r="U94" s="1702"/>
      <c r="V94" s="1711"/>
      <c r="W94" s="1704"/>
      <c r="X94" s="1705"/>
      <c r="Y94" s="1702"/>
      <c r="Z94" s="1711"/>
      <c r="AA94" s="1704"/>
      <c r="AB94" s="1705"/>
      <c r="AC94" s="1702"/>
      <c r="AD94" s="1703"/>
      <c r="AE94" s="1704"/>
      <c r="AF94" s="1705"/>
      <c r="AG94" s="1702"/>
      <c r="AH94" s="1703"/>
      <c r="AI94" s="1704"/>
      <c r="AJ94" s="1705"/>
      <c r="AK94" s="1702"/>
      <c r="AL94" s="1703"/>
      <c r="AM94" s="1704"/>
      <c r="AN94" s="1705"/>
      <c r="AO94" s="1702"/>
      <c r="AP94" s="1703"/>
      <c r="AQ94" s="1704"/>
      <c r="AR94" s="1705"/>
      <c r="AS94" s="1702"/>
      <c r="AT94" s="1703"/>
      <c r="AU94" s="1704"/>
      <c r="AV94" s="1705"/>
      <c r="AW94" s="1702"/>
      <c r="AX94" s="1703"/>
      <c r="AY94" s="1704"/>
      <c r="AZ94" s="1705"/>
      <c r="BA94" s="1702">
        <v>42548</v>
      </c>
      <c r="BB94" s="1711" t="s">
        <v>9587</v>
      </c>
      <c r="BC94" s="1748"/>
      <c r="BD94" s="1705"/>
      <c r="BE94" s="1702">
        <v>42903</v>
      </c>
      <c r="BF94" s="1711" t="s">
        <v>873</v>
      </c>
      <c r="BG94" s="1704">
        <v>11</v>
      </c>
      <c r="BH94" s="1705"/>
      <c r="BI94" s="1702">
        <v>43277</v>
      </c>
      <c r="BJ94" s="1711" t="s">
        <v>9588</v>
      </c>
      <c r="BK94" s="1748">
        <v>14</v>
      </c>
      <c r="BL94" s="1705"/>
      <c r="BM94" s="1702"/>
      <c r="BN94" s="1711"/>
      <c r="BO94" s="1748"/>
      <c r="BP94" s="1705"/>
      <c r="BQ94" s="1702"/>
      <c r="BR94" s="1711"/>
      <c r="BS94" s="1748"/>
      <c r="BT94" s="1705"/>
      <c r="BU94" s="1702"/>
      <c r="BV94" s="1711"/>
      <c r="BW94" s="1748"/>
      <c r="BX94" s="1705"/>
      <c r="BY94" s="1702"/>
      <c r="BZ94" s="1711"/>
      <c r="CA94" s="1748"/>
      <c r="CB94" s="1705"/>
      <c r="CC94" s="1702">
        <v>44737</v>
      </c>
      <c r="CD94" s="1711" t="s">
        <v>9589</v>
      </c>
      <c r="CE94" s="1748">
        <v>3</v>
      </c>
      <c r="CF94" s="1710" t="s">
        <v>692</v>
      </c>
      <c r="CG94" s="1702">
        <v>45106</v>
      </c>
      <c r="CH94" s="1711" t="s">
        <v>9590</v>
      </c>
      <c r="CI94" s="1704">
        <v>75</v>
      </c>
      <c r="CJ94" s="1710" t="s">
        <v>696</v>
      </c>
      <c r="CK94" s="1702">
        <v>45472</v>
      </c>
      <c r="CL94" s="1711" t="s">
        <v>9591</v>
      </c>
      <c r="CM94" s="1704">
        <v>33</v>
      </c>
      <c r="CN94" s="1710" t="s">
        <v>698</v>
      </c>
      <c r="CO94" s="1702">
        <v>45472</v>
      </c>
      <c r="CP94" s="1711" t="s">
        <v>9591</v>
      </c>
      <c r="CQ94" s="1704">
        <v>33</v>
      </c>
      <c r="CR94" s="1710" t="s">
        <v>698</v>
      </c>
      <c r="CS94" s="1702"/>
      <c r="CT94" s="1711"/>
      <c r="CU94" s="1704"/>
      <c r="CV94" s="1710"/>
    </row>
    <row r="95" spans="1:100" ht="13.5">
      <c r="A95" s="1702"/>
      <c r="B95" s="1703"/>
      <c r="C95" s="1704"/>
      <c r="D95" s="1705"/>
      <c r="E95" s="1702"/>
      <c r="F95" s="1711"/>
      <c r="G95" s="1704"/>
      <c r="H95" s="1705"/>
      <c r="I95" s="1702"/>
      <c r="J95" s="1711"/>
      <c r="K95" s="1704"/>
      <c r="L95" s="1705"/>
      <c r="M95" s="1702"/>
      <c r="N95" s="1711"/>
      <c r="O95" s="1704"/>
      <c r="P95" s="1705"/>
      <c r="Q95" s="1702"/>
      <c r="R95" s="1711"/>
      <c r="S95" s="1704"/>
      <c r="T95" s="1705"/>
      <c r="U95" s="1702"/>
      <c r="V95" s="1711"/>
      <c r="W95" s="1704"/>
      <c r="X95" s="1705"/>
      <c r="Y95" s="1702"/>
      <c r="Z95" s="1711"/>
      <c r="AA95" s="1704"/>
      <c r="AB95" s="1705"/>
      <c r="AC95" s="1702"/>
      <c r="AD95" s="1703"/>
      <c r="AE95" s="1704"/>
      <c r="AF95" s="1705"/>
      <c r="AG95" s="1702"/>
      <c r="AH95" s="1703"/>
      <c r="AI95" s="1704"/>
      <c r="AJ95" s="1705"/>
      <c r="AK95" s="1702"/>
      <c r="AL95" s="1703"/>
      <c r="AM95" s="1704"/>
      <c r="AN95" s="1705"/>
      <c r="AO95" s="1702"/>
      <c r="AP95" s="1703"/>
      <c r="AQ95" s="1704"/>
      <c r="AR95" s="1705"/>
      <c r="AS95" s="1702"/>
      <c r="AT95" s="1703"/>
      <c r="AU95" s="1704"/>
      <c r="AV95" s="1705"/>
      <c r="AW95" s="1702"/>
      <c r="AX95" s="1703"/>
      <c r="AY95" s="1704"/>
      <c r="AZ95" s="1705"/>
      <c r="BA95" s="1702">
        <v>42548</v>
      </c>
      <c r="BB95" s="1711" t="s">
        <v>9592</v>
      </c>
      <c r="BC95" s="1748">
        <v>24</v>
      </c>
      <c r="BD95" s="1705"/>
      <c r="BE95" s="1702">
        <v>42903</v>
      </c>
      <c r="BF95" s="1711" t="s">
        <v>9593</v>
      </c>
      <c r="BG95" s="1704">
        <v>51</v>
      </c>
      <c r="BH95" s="1705"/>
      <c r="BI95" s="1702">
        <v>43278</v>
      </c>
      <c r="BJ95" s="1711" t="s">
        <v>9594</v>
      </c>
      <c r="BK95" s="1748">
        <v>115</v>
      </c>
      <c r="BL95" s="1705"/>
      <c r="BM95" s="1702"/>
      <c r="BN95" s="1711"/>
      <c r="BO95" s="1748"/>
      <c r="BP95" s="1705"/>
      <c r="BQ95" s="1702"/>
      <c r="BR95" s="1711"/>
      <c r="BS95" s="1748"/>
      <c r="BT95" s="1705"/>
      <c r="BU95" s="1702"/>
      <c r="BV95" s="1711"/>
      <c r="BW95" s="1748"/>
      <c r="BX95" s="1705"/>
      <c r="BY95" s="1702"/>
      <c r="BZ95" s="1711"/>
      <c r="CA95" s="1748"/>
      <c r="CB95" s="1705"/>
      <c r="CC95" s="1702">
        <v>44738</v>
      </c>
      <c r="CD95" s="1711" t="s">
        <v>9595</v>
      </c>
      <c r="CE95" s="1748">
        <v>45</v>
      </c>
      <c r="CF95" s="1710" t="s">
        <v>278</v>
      </c>
      <c r="CG95" s="1702">
        <v>45106</v>
      </c>
      <c r="CH95" s="1711" t="s">
        <v>9509</v>
      </c>
      <c r="CI95" s="1716">
        <v>1300</v>
      </c>
      <c r="CJ95" s="1710" t="s">
        <v>381</v>
      </c>
      <c r="CK95" s="1702">
        <v>45472</v>
      </c>
      <c r="CL95" s="1711" t="s">
        <v>6983</v>
      </c>
      <c r="CM95" s="1748">
        <v>60</v>
      </c>
      <c r="CN95" s="1710" t="s">
        <v>700</v>
      </c>
      <c r="CO95" s="1702">
        <v>45472</v>
      </c>
      <c r="CP95" s="1711" t="s">
        <v>6983</v>
      </c>
      <c r="CQ95" s="1748">
        <v>60</v>
      </c>
      <c r="CR95" s="1710" t="s">
        <v>700</v>
      </c>
      <c r="CS95" s="1702"/>
      <c r="CT95" s="1711"/>
      <c r="CU95" s="1748"/>
      <c r="CV95" s="1710"/>
    </row>
    <row r="96" spans="1:100" ht="13.5">
      <c r="A96" s="1702"/>
      <c r="B96" s="1703"/>
      <c r="C96" s="1704"/>
      <c r="D96" s="1705"/>
      <c r="E96" s="1702"/>
      <c r="F96" s="1751"/>
      <c r="G96" s="1752"/>
      <c r="H96" s="1705"/>
      <c r="I96" s="1702"/>
      <c r="J96" s="1751"/>
      <c r="K96" s="1752"/>
      <c r="L96" s="1705"/>
      <c r="M96" s="1702"/>
      <c r="N96" s="1711"/>
      <c r="O96" s="1704"/>
      <c r="P96" s="1705"/>
      <c r="Q96" s="1702"/>
      <c r="R96" s="1711"/>
      <c r="S96" s="1704"/>
      <c r="T96" s="1705"/>
      <c r="U96" s="1702"/>
      <c r="V96" s="1711"/>
      <c r="W96" s="1704"/>
      <c r="X96" s="1705"/>
      <c r="Y96" s="1702"/>
      <c r="Z96" s="1711"/>
      <c r="AA96" s="1704"/>
      <c r="AB96" s="1705"/>
      <c r="AC96" s="1702"/>
      <c r="AD96" s="1703"/>
      <c r="AE96" s="1704"/>
      <c r="AF96" s="1705"/>
      <c r="AG96" s="1702"/>
      <c r="AH96" s="1703"/>
      <c r="AI96" s="1752"/>
      <c r="AJ96" s="1705"/>
      <c r="AK96" s="1702"/>
      <c r="AL96" s="1703"/>
      <c r="AM96" s="1752"/>
      <c r="AN96" s="1705"/>
      <c r="AO96" s="1702"/>
      <c r="AP96" s="1703"/>
      <c r="AQ96" s="1704"/>
      <c r="AR96" s="1705"/>
      <c r="AS96" s="1702"/>
      <c r="AT96" s="1703"/>
      <c r="AU96" s="1704"/>
      <c r="AV96" s="1705"/>
      <c r="AW96" s="1702">
        <v>42183</v>
      </c>
      <c r="AX96" s="1703" t="s">
        <v>781</v>
      </c>
      <c r="AY96" s="1704">
        <v>7</v>
      </c>
      <c r="AZ96" s="1705"/>
      <c r="BA96" s="1702">
        <v>42548</v>
      </c>
      <c r="BB96" s="1711" t="s">
        <v>9596</v>
      </c>
      <c r="BC96" s="1748">
        <v>64</v>
      </c>
      <c r="BD96" s="1705"/>
      <c r="BE96" s="1702">
        <v>42907</v>
      </c>
      <c r="BF96" s="1711" t="s">
        <v>9597</v>
      </c>
      <c r="BG96" s="1704">
        <v>64</v>
      </c>
      <c r="BH96" s="1705"/>
      <c r="BI96" s="1702">
        <v>43278</v>
      </c>
      <c r="BJ96" s="1711" t="s">
        <v>823</v>
      </c>
      <c r="BK96" s="1748">
        <v>46</v>
      </c>
      <c r="BL96" s="1705"/>
      <c r="BM96" s="1702"/>
      <c r="BN96" s="1711"/>
      <c r="BO96" s="1748"/>
      <c r="BP96" s="1705"/>
      <c r="BQ96" s="1702"/>
      <c r="BR96" s="1711"/>
      <c r="BS96" s="1748"/>
      <c r="BT96" s="1705"/>
      <c r="BU96" s="1702"/>
      <c r="BV96" s="1711"/>
      <c r="BW96" s="1748"/>
      <c r="BX96" s="1705"/>
      <c r="BY96" s="1702"/>
      <c r="BZ96" s="1711"/>
      <c r="CA96" s="1748"/>
      <c r="CB96" s="1705"/>
      <c r="CC96" s="1702">
        <v>44738</v>
      </c>
      <c r="CD96" s="1711" t="s">
        <v>9598</v>
      </c>
      <c r="CE96" s="1704">
        <v>22</v>
      </c>
      <c r="CF96" s="1710" t="s">
        <v>278</v>
      </c>
      <c r="CG96" s="1702">
        <v>45106</v>
      </c>
      <c r="CH96" s="1711" t="s">
        <v>9599</v>
      </c>
      <c r="CI96" s="1716">
        <v>145</v>
      </c>
      <c r="CJ96" s="1710" t="s">
        <v>381</v>
      </c>
      <c r="CK96" s="1702"/>
      <c r="CL96" s="1738" t="s">
        <v>1689</v>
      </c>
      <c r="CM96" s="1839">
        <v>100</v>
      </c>
      <c r="CN96" s="1787" t="s">
        <v>674</v>
      </c>
      <c r="CO96" s="1702"/>
      <c r="CP96" s="1738" t="s">
        <v>1689</v>
      </c>
      <c r="CQ96" s="1839">
        <v>100</v>
      </c>
      <c r="CR96" s="1787" t="s">
        <v>674</v>
      </c>
      <c r="CS96" s="1702"/>
      <c r="CT96" s="1738"/>
      <c r="CU96" s="1839"/>
      <c r="CV96" s="1787"/>
    </row>
    <row r="97" spans="1:100" ht="13.5">
      <c r="A97" s="1753" t="s">
        <v>477</v>
      </c>
      <c r="B97" s="1754"/>
      <c r="C97" s="1755">
        <f>SUM(C10:C96)</f>
        <v>6089</v>
      </c>
      <c r="D97" s="1755">
        <f>SUM(D10:D96)</f>
        <v>1619</v>
      </c>
      <c r="E97" s="1753" t="s">
        <v>477</v>
      </c>
      <c r="F97" s="1754"/>
      <c r="G97" s="1755">
        <f>SUM(G10:G80)</f>
        <v>5789</v>
      </c>
      <c r="H97" s="1755">
        <f>SUM(H10:H80)</f>
        <v>645</v>
      </c>
      <c r="I97" s="1753" t="s">
        <v>477</v>
      </c>
      <c r="J97" s="1754"/>
      <c r="K97" s="1755">
        <f>SUM(K10:K80)</f>
        <v>1123</v>
      </c>
      <c r="L97" s="1755">
        <f>SUM(L10:L80)</f>
        <v>0</v>
      </c>
      <c r="M97" s="1753" t="s">
        <v>477</v>
      </c>
      <c r="N97" s="1754"/>
      <c r="O97" s="1755">
        <f>SUM(O10:O81)</f>
        <v>1361</v>
      </c>
      <c r="P97" s="1755">
        <f>SUM(P10:P81)</f>
        <v>0</v>
      </c>
      <c r="Q97" s="1753" t="s">
        <v>477</v>
      </c>
      <c r="R97" s="1754"/>
      <c r="S97" s="1755">
        <f>SUM(S10:S86)</f>
        <v>2408</v>
      </c>
      <c r="T97" s="1755">
        <f>SUM(T10:T86)</f>
        <v>0</v>
      </c>
      <c r="U97" s="1753" t="s">
        <v>477</v>
      </c>
      <c r="V97" s="1754"/>
      <c r="W97" s="1755">
        <f>SUM(W10:W87)</f>
        <v>4180</v>
      </c>
      <c r="X97" s="1755">
        <f>SUM(X10:X87)</f>
        <v>0</v>
      </c>
      <c r="Y97" s="1753" t="s">
        <v>477</v>
      </c>
      <c r="Z97" s="1754"/>
      <c r="AA97" s="1755">
        <f>SUM(AA10:AA88)</f>
        <v>979</v>
      </c>
      <c r="AB97" s="1755">
        <f>SUM(AB10:AB88)</f>
        <v>0</v>
      </c>
      <c r="AC97" s="1753" t="s">
        <v>477</v>
      </c>
      <c r="AD97" s="1753"/>
      <c r="AE97" s="1756">
        <f>SUM(AE10:AE96)</f>
        <v>1167</v>
      </c>
      <c r="AF97" s="1755">
        <f>SUM(AF10:AF96)</f>
        <v>0</v>
      </c>
      <c r="AG97" s="1753" t="s">
        <v>477</v>
      </c>
      <c r="AH97" s="1754"/>
      <c r="AI97" s="1755">
        <f>SUM(AI10:AI96)</f>
        <v>1659</v>
      </c>
      <c r="AJ97" s="1755">
        <f>SUM(AJ10:AJ96)</f>
        <v>0</v>
      </c>
      <c r="AK97" s="1753" t="s">
        <v>477</v>
      </c>
      <c r="AL97" s="1754"/>
      <c r="AM97" s="1755">
        <f>SUM(AM10:AM96)</f>
        <v>3359</v>
      </c>
      <c r="AN97" s="1755">
        <f>SUM(AN10:AN96)</f>
        <v>0</v>
      </c>
      <c r="AO97" s="1753" t="s">
        <v>477</v>
      </c>
      <c r="AP97" s="1754"/>
      <c r="AQ97" s="1755">
        <f>SUM(AQ10:AQ96)</f>
        <v>3363</v>
      </c>
      <c r="AR97" s="1755">
        <f>SUM(AR10:AR96)</f>
        <v>0</v>
      </c>
      <c r="AS97" s="1753" t="s">
        <v>477</v>
      </c>
      <c r="AT97" s="1754"/>
      <c r="AU97" s="1755">
        <f>SUM(AU10:AU96)</f>
        <v>1892</v>
      </c>
      <c r="AV97" s="1755">
        <f>SUM(AV10:AV96)</f>
        <v>0</v>
      </c>
      <c r="AW97" s="1753" t="s">
        <v>477</v>
      </c>
      <c r="AX97" s="1754"/>
      <c r="AY97" s="1755">
        <f>SUM(AY10:AY96)</f>
        <v>4392</v>
      </c>
      <c r="AZ97" s="1755">
        <f>SUM(AZ10:AZ96)</f>
        <v>0</v>
      </c>
      <c r="BA97" s="1702">
        <v>42549</v>
      </c>
      <c r="BB97" s="1711" t="s">
        <v>9600</v>
      </c>
      <c r="BC97" s="1748">
        <v>6</v>
      </c>
      <c r="BD97" s="1705"/>
      <c r="BE97" s="1702">
        <v>42907</v>
      </c>
      <c r="BF97" s="1711" t="s">
        <v>9601</v>
      </c>
      <c r="BG97" s="1704">
        <v>0</v>
      </c>
      <c r="BH97" s="1705"/>
      <c r="BI97" s="1702">
        <v>43278</v>
      </c>
      <c r="BJ97" s="1711" t="s">
        <v>9602</v>
      </c>
      <c r="BK97" s="1748"/>
      <c r="BL97" s="1705"/>
      <c r="BM97" s="1702"/>
      <c r="BN97" s="1711"/>
      <c r="BO97" s="1748"/>
      <c r="BP97" s="1705"/>
      <c r="BQ97" s="1702"/>
      <c r="BR97" s="1711"/>
      <c r="BS97" s="1748"/>
      <c r="BT97" s="1705"/>
      <c r="BU97" s="1702"/>
      <c r="BV97" s="1711"/>
      <c r="BW97" s="1748"/>
      <c r="BX97" s="1705"/>
      <c r="BY97" s="1702"/>
      <c r="BZ97" s="1711"/>
      <c r="CA97" s="1748"/>
      <c r="CB97" s="1705"/>
      <c r="CC97" s="1702">
        <v>44738</v>
      </c>
      <c r="CD97" s="1711" t="s">
        <v>9603</v>
      </c>
      <c r="CE97" s="1704">
        <v>25</v>
      </c>
      <c r="CF97" s="1710" t="s">
        <v>414</v>
      </c>
      <c r="CG97" s="1702">
        <v>45106</v>
      </c>
      <c r="CH97" s="1711" t="s">
        <v>9604</v>
      </c>
      <c r="CI97" s="1716">
        <v>45</v>
      </c>
      <c r="CJ97" s="1710" t="s">
        <v>280</v>
      </c>
      <c r="CK97" s="1702"/>
      <c r="CL97" s="1711"/>
      <c r="CM97" s="1704"/>
      <c r="CN97" s="1710"/>
      <c r="CO97" s="1702"/>
      <c r="CP97" s="1711"/>
      <c r="CQ97" s="1704"/>
      <c r="CR97" s="1710"/>
      <c r="CS97" s="1702"/>
      <c r="CT97" s="1711"/>
      <c r="CU97" s="1704"/>
      <c r="CV97" s="1710"/>
    </row>
    <row r="98" spans="1:100" ht="13.5">
      <c r="A98" s="1757" t="s">
        <v>1672</v>
      </c>
      <c r="B98" s="1758"/>
      <c r="C98" s="1759"/>
      <c r="D98" s="1760"/>
      <c r="E98" s="1757" t="s">
        <v>1672</v>
      </c>
      <c r="F98" s="1758"/>
      <c r="G98" s="1759"/>
      <c r="H98" s="1760"/>
      <c r="I98" s="1757" t="s">
        <v>1672</v>
      </c>
      <c r="J98" s="1758"/>
      <c r="K98" s="1759"/>
      <c r="L98" s="1760"/>
      <c r="M98" s="1757" t="s">
        <v>1672</v>
      </c>
      <c r="N98" s="1758"/>
      <c r="O98" s="1759"/>
      <c r="P98" s="1760"/>
      <c r="Q98" s="1757" t="s">
        <v>1672</v>
      </c>
      <c r="R98" s="1758"/>
      <c r="S98" s="1759"/>
      <c r="T98" s="1760"/>
      <c r="U98" s="1757" t="s">
        <v>1672</v>
      </c>
      <c r="V98" s="1758"/>
      <c r="W98" s="1759"/>
      <c r="X98" s="1760"/>
      <c r="Y98" s="1757" t="s">
        <v>1672</v>
      </c>
      <c r="Z98" s="1758"/>
      <c r="AA98" s="1759"/>
      <c r="AB98" s="1760"/>
      <c r="AC98" s="1757" t="s">
        <v>1672</v>
      </c>
      <c r="AD98" s="1757"/>
      <c r="AE98" s="1761"/>
      <c r="AF98" s="1760"/>
      <c r="AG98" s="1757" t="s">
        <v>1672</v>
      </c>
      <c r="AH98" s="1758"/>
      <c r="AI98" s="1759"/>
      <c r="AJ98" s="1760"/>
      <c r="AK98" s="1757" t="s">
        <v>1672</v>
      </c>
      <c r="AL98" s="1758"/>
      <c r="AM98" s="1759"/>
      <c r="AN98" s="1760"/>
      <c r="AO98" s="1757" t="s">
        <v>1672</v>
      </c>
      <c r="AP98" s="1758"/>
      <c r="AQ98" s="1759"/>
      <c r="AR98" s="1760"/>
      <c r="AS98" s="1757" t="s">
        <v>1672</v>
      </c>
      <c r="AT98" s="1758"/>
      <c r="AU98" s="1759"/>
      <c r="AV98" s="1760"/>
      <c r="AW98" s="1757" t="s">
        <v>1672</v>
      </c>
      <c r="AX98" s="1758"/>
      <c r="AY98" s="1759"/>
      <c r="AZ98" s="1760"/>
      <c r="BA98" s="1702">
        <v>42549</v>
      </c>
      <c r="BB98" s="1711" t="s">
        <v>9605</v>
      </c>
      <c r="BC98" s="1748">
        <v>0</v>
      </c>
      <c r="BD98" s="1705"/>
      <c r="BE98" s="1702">
        <v>42908</v>
      </c>
      <c r="BF98" s="1711" t="s">
        <v>1180</v>
      </c>
      <c r="BG98" s="1748">
        <v>73</v>
      </c>
      <c r="BH98" s="1705"/>
      <c r="BI98" s="1702">
        <v>43278</v>
      </c>
      <c r="BJ98" s="1711" t="s">
        <v>9606</v>
      </c>
      <c r="BK98" s="1748">
        <v>5</v>
      </c>
      <c r="BL98" s="1705"/>
      <c r="BM98" s="1702"/>
      <c r="BN98" s="1711"/>
      <c r="BO98" s="1748"/>
      <c r="BP98" s="1705"/>
      <c r="BQ98" s="1702"/>
      <c r="BR98" s="1711"/>
      <c r="BS98" s="1748"/>
      <c r="BT98" s="1705"/>
      <c r="BU98" s="1702"/>
      <c r="BV98" s="1711"/>
      <c r="BW98" s="1748"/>
      <c r="BX98" s="1705"/>
      <c r="BY98" s="1702"/>
      <c r="BZ98" s="1711"/>
      <c r="CA98" s="1748"/>
      <c r="CB98" s="1705"/>
      <c r="CC98" s="1702">
        <v>44738</v>
      </c>
      <c r="CD98" s="1711" t="s">
        <v>9607</v>
      </c>
      <c r="CE98" s="1704">
        <v>85</v>
      </c>
      <c r="CF98" s="1710" t="s">
        <v>693</v>
      </c>
      <c r="CG98" s="1702">
        <v>45106</v>
      </c>
      <c r="CH98" s="1711" t="s">
        <v>9608</v>
      </c>
      <c r="CI98" s="1747">
        <v>29</v>
      </c>
      <c r="CJ98" s="1710" t="s">
        <v>692</v>
      </c>
      <c r="CK98" s="1702"/>
      <c r="CL98" s="1711"/>
      <c r="CM98" s="1704"/>
      <c r="CN98" s="1710"/>
      <c r="CO98" s="1702"/>
      <c r="CP98" s="1711"/>
      <c r="CQ98" s="1704"/>
      <c r="CR98" s="1710"/>
      <c r="CS98" s="1702"/>
      <c r="CT98" s="1711"/>
      <c r="CU98" s="1704"/>
      <c r="CV98" s="1710"/>
    </row>
    <row r="99" spans="1:100" ht="13.5">
      <c r="A99" s="1762" t="s">
        <v>138</v>
      </c>
      <c r="B99" s="1763"/>
      <c r="C99" s="1764">
        <f>SUM(C97,D97)</f>
        <v>7708</v>
      </c>
      <c r="D99" s="1765"/>
      <c r="E99" s="1762" t="s">
        <v>138</v>
      </c>
      <c r="F99" s="1763"/>
      <c r="G99" s="1764">
        <f>SUM(G97,H97)</f>
        <v>6434</v>
      </c>
      <c r="H99" s="1765"/>
      <c r="I99" s="1762" t="s">
        <v>138</v>
      </c>
      <c r="J99" s="1763"/>
      <c r="K99" s="1764">
        <f>SUM(K97,L97)</f>
        <v>1123</v>
      </c>
      <c r="L99" s="1765"/>
      <c r="M99" s="1762" t="s">
        <v>138</v>
      </c>
      <c r="N99" s="1763"/>
      <c r="O99" s="1764">
        <f>SUM(O97,P97)</f>
        <v>1361</v>
      </c>
      <c r="P99" s="1765"/>
      <c r="Q99" s="1762" t="s">
        <v>138</v>
      </c>
      <c r="R99" s="1763"/>
      <c r="S99" s="1764">
        <f>SUM(S97,T97)</f>
        <v>2408</v>
      </c>
      <c r="T99" s="1765"/>
      <c r="U99" s="1762" t="s">
        <v>138</v>
      </c>
      <c r="V99" s="1763"/>
      <c r="W99" s="1764">
        <f>SUM(W97,X97)</f>
        <v>4180</v>
      </c>
      <c r="X99" s="1765"/>
      <c r="Y99" s="1762" t="s">
        <v>138</v>
      </c>
      <c r="Z99" s="1763"/>
      <c r="AA99" s="1764">
        <f>SUM(AA97,AB97)</f>
        <v>979</v>
      </c>
      <c r="AB99" s="1765"/>
      <c r="AC99" s="1762" t="s">
        <v>138</v>
      </c>
      <c r="AD99" s="1763"/>
      <c r="AE99" s="1766">
        <f>SUM(AE97,AF97)</f>
        <v>1167</v>
      </c>
      <c r="AF99" s="1765"/>
      <c r="AG99" s="1762" t="s">
        <v>138</v>
      </c>
      <c r="AH99" s="1763"/>
      <c r="AI99" s="1764">
        <f>SUM(AI97,AJ97)</f>
        <v>1659</v>
      </c>
      <c r="AJ99" s="1765"/>
      <c r="AK99" s="1762" t="s">
        <v>138</v>
      </c>
      <c r="AL99" s="1763"/>
      <c r="AM99" s="1764">
        <f>SUM(AM97,AN97)</f>
        <v>3359</v>
      </c>
      <c r="AN99" s="1765"/>
      <c r="AO99" s="1762" t="s">
        <v>138</v>
      </c>
      <c r="AP99" s="1763"/>
      <c r="AQ99" s="1764">
        <f>SUM(AQ97,AR97)</f>
        <v>3363</v>
      </c>
      <c r="AR99" s="1765"/>
      <c r="AS99" s="1762" t="s">
        <v>138</v>
      </c>
      <c r="AT99" s="1763"/>
      <c r="AU99" s="1764">
        <f>SUM(AU97,AV97)</f>
        <v>1892</v>
      </c>
      <c r="AV99" s="1765"/>
      <c r="AW99" s="1762" t="s">
        <v>138</v>
      </c>
      <c r="AX99" s="1763"/>
      <c r="AY99" s="1764">
        <f>SUM(AY97,AZ97)</f>
        <v>4392</v>
      </c>
      <c r="AZ99" s="1765"/>
      <c r="BA99" s="1702">
        <v>42549</v>
      </c>
      <c r="BB99" s="1711" t="s">
        <v>9609</v>
      </c>
      <c r="BC99" s="1748">
        <v>0</v>
      </c>
      <c r="BD99" s="1705"/>
      <c r="BE99" s="1702">
        <v>42909</v>
      </c>
      <c r="BF99" s="1711" t="s">
        <v>872</v>
      </c>
      <c r="BG99" s="1748">
        <v>36</v>
      </c>
      <c r="BH99" s="1705"/>
      <c r="BI99" s="1702">
        <v>43276</v>
      </c>
      <c r="BJ99" s="1711" t="s">
        <v>9610</v>
      </c>
      <c r="BK99" s="1748">
        <v>7</v>
      </c>
      <c r="BL99" s="1705"/>
      <c r="BM99" s="1702"/>
      <c r="BN99" s="1711"/>
      <c r="BO99" s="1748"/>
      <c r="BP99" s="1705"/>
      <c r="BQ99" s="1702"/>
      <c r="BR99" s="1711"/>
      <c r="BS99" s="1748"/>
      <c r="BT99" s="1705"/>
      <c r="BU99" s="1702"/>
      <c r="BV99" s="1711"/>
      <c r="BW99" s="1748"/>
      <c r="BX99" s="1705"/>
      <c r="BY99" s="1702"/>
      <c r="BZ99" s="1711"/>
      <c r="CA99" s="1748"/>
      <c r="CB99" s="1705"/>
      <c r="CC99" s="1702">
        <v>44738</v>
      </c>
      <c r="CD99" s="1711" t="s">
        <v>9611</v>
      </c>
      <c r="CE99" s="1748">
        <v>30</v>
      </c>
      <c r="CF99" s="1710" t="s">
        <v>381</v>
      </c>
      <c r="CG99" s="1702">
        <v>45106</v>
      </c>
      <c r="CH99" s="1711" t="s">
        <v>9612</v>
      </c>
      <c r="CI99" s="1704">
        <v>13</v>
      </c>
      <c r="CJ99" s="1710" t="s">
        <v>278</v>
      </c>
      <c r="CK99" s="1702"/>
      <c r="CL99" s="1711"/>
      <c r="CM99" s="1704"/>
      <c r="CN99" s="1710"/>
      <c r="CO99" s="1702"/>
      <c r="CP99" s="1711"/>
      <c r="CQ99" s="1704"/>
      <c r="CR99" s="1710"/>
      <c r="CS99" s="1702"/>
      <c r="CT99" s="1711"/>
      <c r="CU99" s="1704"/>
      <c r="CV99" s="1710"/>
    </row>
    <row r="100" spans="1:100" ht="13.5">
      <c r="BA100" s="1702">
        <v>42549</v>
      </c>
      <c r="BB100" s="1711" t="s">
        <v>4605</v>
      </c>
      <c r="BC100" s="1748">
        <v>0</v>
      </c>
      <c r="BD100" s="1705"/>
      <c r="BE100" s="1702">
        <v>42909</v>
      </c>
      <c r="BF100" s="1711" t="s">
        <v>859</v>
      </c>
      <c r="BG100" s="1748">
        <v>21</v>
      </c>
      <c r="BH100" s="1705"/>
      <c r="BI100" s="1702">
        <v>43276</v>
      </c>
      <c r="BJ100" s="1711" t="s">
        <v>1180</v>
      </c>
      <c r="BK100" s="1748">
        <v>48</v>
      </c>
      <c r="BL100" s="1705"/>
      <c r="BM100" s="1702"/>
      <c r="BN100" s="1711"/>
      <c r="BO100" s="1748"/>
      <c r="BP100" s="1705"/>
      <c r="BQ100" s="1702"/>
      <c r="BR100" s="1711"/>
      <c r="BS100" s="1748"/>
      <c r="BT100" s="1705"/>
      <c r="BU100" s="1702"/>
      <c r="BV100" s="1711"/>
      <c r="BW100" s="1748"/>
      <c r="BX100" s="1705"/>
      <c r="BY100" s="1702"/>
      <c r="BZ100" s="1711"/>
      <c r="CA100" s="1748"/>
      <c r="CB100" s="1705"/>
      <c r="CC100" s="1702">
        <v>44739</v>
      </c>
      <c r="CD100" s="1711" t="s">
        <v>9613</v>
      </c>
      <c r="CE100" s="1748">
        <v>460</v>
      </c>
      <c r="CF100" s="1710" t="s">
        <v>381</v>
      </c>
      <c r="CG100" s="1702">
        <v>45106</v>
      </c>
      <c r="CH100" s="1711" t="s">
        <v>9614</v>
      </c>
      <c r="CI100" s="1704">
        <v>8</v>
      </c>
      <c r="CJ100" s="1710" t="s">
        <v>278</v>
      </c>
      <c r="CK100" s="1702"/>
      <c r="CL100" s="1711"/>
      <c r="CM100" s="1716"/>
      <c r="CN100" s="1710"/>
      <c r="CO100" s="1702"/>
      <c r="CP100" s="1711"/>
      <c r="CQ100" s="1716"/>
      <c r="CR100" s="1710"/>
      <c r="CS100" s="1702"/>
      <c r="CT100" s="1711"/>
      <c r="CU100" s="1716"/>
      <c r="CV100" s="1710"/>
    </row>
    <row r="101" spans="1:100" ht="13.5">
      <c r="BA101" s="1702">
        <v>42549</v>
      </c>
      <c r="BB101" s="1711" t="s">
        <v>9615</v>
      </c>
      <c r="BC101" s="1748">
        <v>55</v>
      </c>
      <c r="BD101" s="1705"/>
      <c r="BE101" s="1702">
        <v>42909</v>
      </c>
      <c r="BF101" s="1711" t="s">
        <v>9616</v>
      </c>
      <c r="BG101" s="1748">
        <v>2520</v>
      </c>
      <c r="BH101" s="1705"/>
      <c r="BI101" s="1702">
        <v>43278</v>
      </c>
      <c r="BJ101" s="1711" t="s">
        <v>9617</v>
      </c>
      <c r="BK101" s="1748">
        <v>36</v>
      </c>
      <c r="BL101" s="1705"/>
      <c r="BM101" s="1702"/>
      <c r="BN101" s="1711"/>
      <c r="BO101" s="1748"/>
      <c r="BP101" s="1705"/>
      <c r="BQ101" s="1702"/>
      <c r="BR101" s="1711"/>
      <c r="BS101" s="1748"/>
      <c r="BT101" s="1705"/>
      <c r="BU101" s="1702"/>
      <c r="BV101" s="1711"/>
      <c r="BW101" s="1748"/>
      <c r="BX101" s="1705"/>
      <c r="BY101" s="1702"/>
      <c r="BZ101" s="1711"/>
      <c r="CA101" s="1748"/>
      <c r="CB101" s="1705"/>
      <c r="CC101" s="1702">
        <v>44739</v>
      </c>
      <c r="CD101" s="1711" t="s">
        <v>9618</v>
      </c>
      <c r="CE101" s="1748">
        <v>120</v>
      </c>
      <c r="CF101" s="1710" t="s">
        <v>381</v>
      </c>
      <c r="CG101" s="1702">
        <v>45106</v>
      </c>
      <c r="CH101" s="1711" t="s">
        <v>1130</v>
      </c>
      <c r="CI101" s="1704">
        <v>37</v>
      </c>
      <c r="CJ101" s="1710" t="s">
        <v>278</v>
      </c>
      <c r="CK101" s="1702"/>
      <c r="CL101" s="1711"/>
      <c r="CM101" s="1716"/>
      <c r="CN101" s="1710"/>
      <c r="CO101" s="1702"/>
      <c r="CP101" s="1711"/>
      <c r="CQ101" s="1716"/>
      <c r="CR101" s="1710"/>
      <c r="CS101" s="1702"/>
      <c r="CT101" s="1711"/>
      <c r="CU101" s="1716"/>
      <c r="CV101" s="1710"/>
    </row>
    <row r="102" spans="1:100" ht="13.5">
      <c r="BA102" s="1702">
        <v>42549</v>
      </c>
      <c r="BB102" s="1711" t="s">
        <v>840</v>
      </c>
      <c r="BC102" s="1748">
        <v>99</v>
      </c>
      <c r="BD102" s="1705"/>
      <c r="BE102" s="1702">
        <v>42910</v>
      </c>
      <c r="BF102" s="1711" t="s">
        <v>3810</v>
      </c>
      <c r="BG102" s="1748">
        <v>85</v>
      </c>
      <c r="BH102" s="1705"/>
      <c r="BI102" s="1702">
        <v>43279</v>
      </c>
      <c r="BJ102" s="1711" t="s">
        <v>1180</v>
      </c>
      <c r="BK102" s="1748">
        <v>78</v>
      </c>
      <c r="BL102" s="1705"/>
      <c r="BM102" s="1702"/>
      <c r="BN102" s="1711"/>
      <c r="BO102" s="1748"/>
      <c r="BP102" s="1705"/>
      <c r="BQ102" s="1702"/>
      <c r="BR102" s="1711"/>
      <c r="BS102" s="1748"/>
      <c r="BT102" s="1705"/>
      <c r="BU102" s="1702"/>
      <c r="BV102" s="1711"/>
      <c r="BW102" s="1748"/>
      <c r="BX102" s="1705"/>
      <c r="BY102" s="1702"/>
      <c r="BZ102" s="1711"/>
      <c r="CA102" s="1748"/>
      <c r="CB102" s="1705"/>
      <c r="CC102" s="1702">
        <v>44739</v>
      </c>
      <c r="CD102" s="1711" t="s">
        <v>9619</v>
      </c>
      <c r="CE102" s="1748">
        <v>18</v>
      </c>
      <c r="CF102" s="1710" t="s">
        <v>278</v>
      </c>
      <c r="CG102" s="1702">
        <v>45106</v>
      </c>
      <c r="CH102" s="1711" t="s">
        <v>1235</v>
      </c>
      <c r="CI102" s="1704">
        <v>9</v>
      </c>
      <c r="CJ102" s="1710" t="s">
        <v>278</v>
      </c>
      <c r="CK102" s="1702"/>
      <c r="CL102" s="1711"/>
      <c r="CM102" s="1716"/>
      <c r="CN102" s="1710"/>
      <c r="CO102" s="1702"/>
      <c r="CP102" s="1711"/>
      <c r="CQ102" s="1716"/>
      <c r="CR102" s="1710"/>
      <c r="CS102" s="1702"/>
      <c r="CT102" s="1711"/>
      <c r="CU102" s="1716"/>
      <c r="CV102" s="1710"/>
    </row>
    <row r="103" spans="1:100" ht="13.5">
      <c r="BA103" s="1702">
        <v>42549</v>
      </c>
      <c r="BB103" s="1711" t="s">
        <v>9620</v>
      </c>
      <c r="BC103" s="1748">
        <v>45</v>
      </c>
      <c r="BD103" s="1705"/>
      <c r="BE103" s="1702">
        <v>42910</v>
      </c>
      <c r="BF103" s="1711" t="s">
        <v>823</v>
      </c>
      <c r="BG103" s="1748">
        <v>37</v>
      </c>
      <c r="BH103" s="1705"/>
      <c r="BI103" s="1702">
        <v>43279</v>
      </c>
      <c r="BJ103" s="1711" t="s">
        <v>823</v>
      </c>
      <c r="BK103" s="1748">
        <v>7</v>
      </c>
      <c r="BL103" s="1705"/>
      <c r="BM103" s="1702"/>
      <c r="BN103" s="1711"/>
      <c r="BO103" s="1748"/>
      <c r="BP103" s="1705"/>
      <c r="BQ103" s="1702"/>
      <c r="BR103" s="1711"/>
      <c r="BS103" s="1748"/>
      <c r="BT103" s="1705"/>
      <c r="BU103" s="1702"/>
      <c r="BV103" s="1711"/>
      <c r="BW103" s="1748"/>
      <c r="BX103" s="1705"/>
      <c r="BY103" s="1702"/>
      <c r="BZ103" s="1711"/>
      <c r="CA103" s="1748"/>
      <c r="CB103" s="1705"/>
      <c r="CC103" s="1702">
        <v>44739</v>
      </c>
      <c r="CD103" s="1711" t="s">
        <v>9581</v>
      </c>
      <c r="CE103" s="1748">
        <v>35</v>
      </c>
      <c r="CF103" s="1710" t="s">
        <v>278</v>
      </c>
      <c r="CG103" s="1702">
        <v>45106</v>
      </c>
      <c r="CH103" s="1711" t="s">
        <v>1151</v>
      </c>
      <c r="CI103" s="1748">
        <v>8</v>
      </c>
      <c r="CJ103" s="1710" t="s">
        <v>278</v>
      </c>
      <c r="CK103" s="1702"/>
      <c r="CL103" s="1711"/>
      <c r="CM103" s="1747"/>
      <c r="CN103" s="1710"/>
      <c r="CO103" s="1702"/>
      <c r="CP103" s="1711"/>
      <c r="CQ103" s="1747"/>
      <c r="CR103" s="1710"/>
      <c r="CS103" s="1702"/>
      <c r="CT103" s="1711"/>
      <c r="CU103" s="1747"/>
      <c r="CV103" s="1710"/>
    </row>
    <row r="104" spans="1:100" ht="13.5">
      <c r="BA104" s="1702">
        <v>42549</v>
      </c>
      <c r="BB104" s="1711" t="s">
        <v>9621</v>
      </c>
      <c r="BC104" s="1748">
        <v>30</v>
      </c>
      <c r="BD104" s="1705"/>
      <c r="BE104" s="1702">
        <v>42911</v>
      </c>
      <c r="BF104" s="1711" t="s">
        <v>9622</v>
      </c>
      <c r="BG104" s="1748">
        <v>55</v>
      </c>
      <c r="BH104" s="1705"/>
      <c r="BI104" s="1702">
        <v>43279</v>
      </c>
      <c r="BJ104" s="1711" t="s">
        <v>9623</v>
      </c>
      <c r="BK104" s="1748">
        <v>38</v>
      </c>
      <c r="BL104" s="1705"/>
      <c r="BM104" s="1702"/>
      <c r="BN104" s="1711"/>
      <c r="BO104" s="1748"/>
      <c r="BP104" s="1705"/>
      <c r="BQ104" s="1702"/>
      <c r="BR104" s="1711"/>
      <c r="BS104" s="1748"/>
      <c r="BT104" s="1705"/>
      <c r="BU104" s="1702"/>
      <c r="BV104" s="1711"/>
      <c r="BW104" s="1748"/>
      <c r="BX104" s="1705"/>
      <c r="BY104" s="1702"/>
      <c r="BZ104" s="1711"/>
      <c r="CA104" s="1748"/>
      <c r="CB104" s="1705"/>
      <c r="CC104" s="1702">
        <v>44739</v>
      </c>
      <c r="CD104" s="1711" t="s">
        <v>9624</v>
      </c>
      <c r="CE104" s="1748">
        <v>155</v>
      </c>
      <c r="CF104" s="1710" t="s">
        <v>278</v>
      </c>
      <c r="CG104" s="1702">
        <v>45106</v>
      </c>
      <c r="CH104" s="1711" t="s">
        <v>9625</v>
      </c>
      <c r="CI104" s="1748">
        <v>120</v>
      </c>
      <c r="CJ104" s="1710" t="s">
        <v>414</v>
      </c>
      <c r="CK104" s="1702"/>
      <c r="CL104" s="1711"/>
      <c r="CM104" s="1704"/>
      <c r="CN104" s="1710"/>
      <c r="CO104" s="1702"/>
      <c r="CP104" s="1711"/>
      <c r="CQ104" s="1704"/>
      <c r="CR104" s="1710"/>
      <c r="CS104" s="1702"/>
      <c r="CT104" s="1711"/>
      <c r="CU104" s="1704"/>
      <c r="CV104" s="1710"/>
    </row>
    <row r="105" spans="1:100" ht="13.5">
      <c r="BA105" s="1702">
        <v>42549</v>
      </c>
      <c r="BB105" s="1711" t="s">
        <v>9626</v>
      </c>
      <c r="BC105" s="1748">
        <v>53</v>
      </c>
      <c r="BD105" s="1705"/>
      <c r="BE105" s="1702">
        <v>42911</v>
      </c>
      <c r="BF105" s="1711" t="s">
        <v>9627</v>
      </c>
      <c r="BG105" s="1748">
        <v>60</v>
      </c>
      <c r="BH105" s="1705"/>
      <c r="BI105" s="1702">
        <v>43281</v>
      </c>
      <c r="BJ105" s="1711" t="s">
        <v>1180</v>
      </c>
      <c r="BK105" s="1748">
        <v>38</v>
      </c>
      <c r="BL105" s="1705"/>
      <c r="BM105" s="1702"/>
      <c r="BN105" s="1711"/>
      <c r="BO105" s="1748"/>
      <c r="BP105" s="1705"/>
      <c r="BQ105" s="1702"/>
      <c r="BR105" s="1711"/>
      <c r="BS105" s="1748"/>
      <c r="BT105" s="1705"/>
      <c r="BU105" s="1702"/>
      <c r="BV105" s="1711"/>
      <c r="BW105" s="1748"/>
      <c r="BX105" s="1705"/>
      <c r="BY105" s="1702"/>
      <c r="BZ105" s="1711"/>
      <c r="CA105" s="1748"/>
      <c r="CB105" s="1705"/>
      <c r="CC105" s="1702">
        <v>44740</v>
      </c>
      <c r="CD105" s="1711" t="s">
        <v>1180</v>
      </c>
      <c r="CE105" s="1748">
        <v>75</v>
      </c>
      <c r="CF105" s="1710" t="s">
        <v>410</v>
      </c>
      <c r="CG105" s="1702">
        <v>45106</v>
      </c>
      <c r="CH105" s="1711" t="s">
        <v>1180</v>
      </c>
      <c r="CI105" s="1704">
        <v>108</v>
      </c>
      <c r="CJ105" s="1710" t="s">
        <v>410</v>
      </c>
      <c r="CK105" s="1702"/>
      <c r="CL105" s="1711"/>
      <c r="CM105" s="1704"/>
      <c r="CN105" s="1710"/>
      <c r="CO105" s="1702"/>
      <c r="CP105" s="1711"/>
      <c r="CQ105" s="1704"/>
      <c r="CR105" s="1710"/>
      <c r="CS105" s="1702"/>
      <c r="CT105" s="1711"/>
      <c r="CU105" s="1704"/>
      <c r="CV105" s="1710"/>
    </row>
    <row r="106" spans="1:100" ht="13.5">
      <c r="BA106" s="1702">
        <v>42550</v>
      </c>
      <c r="BB106" s="1711" t="s">
        <v>4605</v>
      </c>
      <c r="BC106" s="1748">
        <v>0</v>
      </c>
      <c r="BD106" s="1705"/>
      <c r="BE106" s="1702">
        <v>42911</v>
      </c>
      <c r="BF106" s="1711" t="s">
        <v>823</v>
      </c>
      <c r="BG106" s="1748">
        <v>7</v>
      </c>
      <c r="BH106" s="1705"/>
      <c r="BI106" s="1702">
        <v>43281</v>
      </c>
      <c r="BJ106" s="1711" t="s">
        <v>9628</v>
      </c>
      <c r="BK106" s="1748"/>
      <c r="BL106" s="1705"/>
      <c r="BM106" s="1702"/>
      <c r="BN106" s="1711"/>
      <c r="BO106" s="1748"/>
      <c r="BP106" s="1705"/>
      <c r="BQ106" s="1702"/>
      <c r="BR106" s="1711"/>
      <c r="BS106" s="1748"/>
      <c r="BT106" s="1705"/>
      <c r="BU106" s="1702"/>
      <c r="BV106" s="1711"/>
      <c r="BW106" s="1748"/>
      <c r="BX106" s="1705"/>
      <c r="BY106" s="1702"/>
      <c r="BZ106" s="1711"/>
      <c r="CA106" s="1748"/>
      <c r="CB106" s="1705"/>
      <c r="CC106" s="1702">
        <v>44740</v>
      </c>
      <c r="CD106" s="1711" t="s">
        <v>9629</v>
      </c>
      <c r="CE106" s="1748">
        <v>12</v>
      </c>
      <c r="CF106" s="1710" t="s">
        <v>278</v>
      </c>
      <c r="CG106" s="1702">
        <v>45106</v>
      </c>
      <c r="CH106" s="1711" t="s">
        <v>9630</v>
      </c>
      <c r="CI106" s="1704">
        <v>24</v>
      </c>
      <c r="CJ106" s="1710" t="s">
        <v>698</v>
      </c>
      <c r="CK106" s="1702"/>
      <c r="CL106" s="1711"/>
      <c r="CM106" s="1704"/>
      <c r="CN106" s="1710"/>
      <c r="CO106" s="1702"/>
      <c r="CP106" s="1711"/>
      <c r="CQ106" s="1704"/>
      <c r="CR106" s="1710"/>
      <c r="CS106" s="1702"/>
      <c r="CT106" s="1711"/>
      <c r="CU106" s="1704"/>
      <c r="CV106" s="1710"/>
    </row>
    <row r="107" spans="1:100" ht="13.5">
      <c r="BA107" s="1702">
        <v>42550</v>
      </c>
      <c r="BB107" s="1711" t="s">
        <v>9600</v>
      </c>
      <c r="BC107" s="1748">
        <v>6</v>
      </c>
      <c r="BD107" s="1705"/>
      <c r="BE107" s="1702">
        <v>42912</v>
      </c>
      <c r="BF107" s="1711" t="s">
        <v>781</v>
      </c>
      <c r="BG107" s="1748">
        <v>10</v>
      </c>
      <c r="BH107" s="1705"/>
      <c r="BI107" s="1702"/>
      <c r="BJ107" s="1711"/>
      <c r="BK107" s="1748"/>
      <c r="BL107" s="1705"/>
      <c r="BM107" s="1702"/>
      <c r="BN107" s="1711"/>
      <c r="BO107" s="1748"/>
      <c r="BP107" s="1705"/>
      <c r="BQ107" s="1702"/>
      <c r="BR107" s="1711"/>
      <c r="BS107" s="1748"/>
      <c r="BT107" s="1705"/>
      <c r="BU107" s="1702"/>
      <c r="BV107" s="1711"/>
      <c r="BW107" s="1748"/>
      <c r="BX107" s="1705"/>
      <c r="BY107" s="1702"/>
      <c r="BZ107" s="1711"/>
      <c r="CA107" s="1748"/>
      <c r="CB107" s="1705"/>
      <c r="CC107" s="1702">
        <v>44740</v>
      </c>
      <c r="CD107" s="1711" t="s">
        <v>1235</v>
      </c>
      <c r="CE107" s="1748">
        <v>7</v>
      </c>
      <c r="CF107" s="1710" t="s">
        <v>278</v>
      </c>
      <c r="CG107" s="1702">
        <v>45106</v>
      </c>
      <c r="CH107" s="1711" t="s">
        <v>9631</v>
      </c>
      <c r="CI107" s="1704">
        <v>10</v>
      </c>
      <c r="CJ107" s="1710" t="s">
        <v>698</v>
      </c>
      <c r="CK107" s="1702"/>
      <c r="CL107" s="1711"/>
      <c r="CM107" s="1704"/>
      <c r="CN107" s="1710"/>
      <c r="CO107" s="1702"/>
      <c r="CP107" s="1711"/>
      <c r="CQ107" s="1704"/>
      <c r="CR107" s="1710"/>
      <c r="CS107" s="1702"/>
      <c r="CT107" s="1711"/>
      <c r="CU107" s="1704"/>
      <c r="CV107" s="1710"/>
    </row>
    <row r="108" spans="1:100" ht="13.5">
      <c r="BA108" s="1702">
        <v>42550</v>
      </c>
      <c r="BB108" s="1711" t="s">
        <v>9632</v>
      </c>
      <c r="BC108" s="1748">
        <v>32</v>
      </c>
      <c r="BD108" s="1705"/>
      <c r="BE108" s="1702">
        <v>42912</v>
      </c>
      <c r="BF108" s="1711" t="s">
        <v>1573</v>
      </c>
      <c r="BG108" s="1748">
        <v>36</v>
      </c>
      <c r="BH108" s="1705"/>
      <c r="BI108" s="1702"/>
      <c r="BJ108" s="1711"/>
      <c r="BK108" s="1748"/>
      <c r="BL108" s="1705"/>
      <c r="BM108" s="1702"/>
      <c r="BN108" s="1711"/>
      <c r="BO108" s="1748"/>
      <c r="BP108" s="1705"/>
      <c r="BQ108" s="1702"/>
      <c r="BR108" s="1711"/>
      <c r="BS108" s="1748"/>
      <c r="BT108" s="1705"/>
      <c r="BU108" s="1702"/>
      <c r="BV108" s="1711"/>
      <c r="BW108" s="1748"/>
      <c r="BX108" s="1705"/>
      <c r="BY108" s="1702"/>
      <c r="BZ108" s="1711"/>
      <c r="CA108" s="1748"/>
      <c r="CB108" s="1705"/>
      <c r="CC108" s="1702">
        <v>44740</v>
      </c>
      <c r="CD108" s="1711" t="s">
        <v>9633</v>
      </c>
      <c r="CE108" s="1748">
        <v>55</v>
      </c>
      <c r="CF108" s="1710" t="s">
        <v>278</v>
      </c>
      <c r="CG108" s="1702">
        <v>45107</v>
      </c>
      <c r="CH108" s="1711" t="s">
        <v>9634</v>
      </c>
      <c r="CI108" s="1748">
        <v>45</v>
      </c>
      <c r="CJ108" s="1710" t="s">
        <v>278</v>
      </c>
      <c r="CK108" s="1702"/>
      <c r="CL108" s="1711"/>
      <c r="CM108" s="1748"/>
      <c r="CN108" s="1710"/>
      <c r="CO108" s="1702"/>
      <c r="CP108" s="1711"/>
      <c r="CQ108" s="1748"/>
      <c r="CR108" s="1710"/>
      <c r="CS108" s="1702"/>
      <c r="CT108" s="1711"/>
      <c r="CU108" s="1748"/>
      <c r="CV108" s="1710"/>
    </row>
    <row r="109" spans="1:100" ht="13.5">
      <c r="BA109" s="1702">
        <v>42550</v>
      </c>
      <c r="BB109" s="1711" t="s">
        <v>9635</v>
      </c>
      <c r="BC109" s="1748">
        <v>17</v>
      </c>
      <c r="BD109" s="1705"/>
      <c r="BE109" s="1702">
        <v>42913</v>
      </c>
      <c r="BF109" s="1711" t="s">
        <v>9636</v>
      </c>
      <c r="BG109" s="1748">
        <v>0</v>
      </c>
      <c r="BH109" s="1705"/>
      <c r="BI109" s="1702"/>
      <c r="BJ109" s="1711"/>
      <c r="BK109" s="1748"/>
      <c r="BL109" s="1705"/>
      <c r="BM109" s="1702"/>
      <c r="BN109" s="1711"/>
      <c r="BO109" s="1748"/>
      <c r="BP109" s="1705"/>
      <c r="BQ109" s="1702"/>
      <c r="BR109" s="1711"/>
      <c r="BS109" s="1748"/>
      <c r="BT109" s="1705"/>
      <c r="BU109" s="1702"/>
      <c r="BV109" s="1711"/>
      <c r="BW109" s="1748"/>
      <c r="BX109" s="1705"/>
      <c r="BY109" s="1702"/>
      <c r="BZ109" s="1711"/>
      <c r="CA109" s="1748"/>
      <c r="CB109" s="1705"/>
      <c r="CC109" s="1702">
        <v>44741</v>
      </c>
      <c r="CD109" s="1711" t="s">
        <v>2162</v>
      </c>
      <c r="CE109" s="1748">
        <v>27</v>
      </c>
      <c r="CF109" s="1710" t="s">
        <v>414</v>
      </c>
      <c r="CG109" s="1702">
        <v>45107</v>
      </c>
      <c r="CH109" s="1711" t="s">
        <v>9637</v>
      </c>
      <c r="CI109" s="1748">
        <v>15</v>
      </c>
      <c r="CJ109" s="1710" t="s">
        <v>278</v>
      </c>
      <c r="CK109" s="1702"/>
      <c r="CL109" s="1711"/>
      <c r="CM109" s="1748"/>
      <c r="CN109" s="1710"/>
      <c r="CO109" s="1702"/>
      <c r="CP109" s="1711"/>
      <c r="CQ109" s="1748"/>
      <c r="CR109" s="1710"/>
      <c r="CS109" s="1702"/>
      <c r="CT109" s="1711"/>
      <c r="CU109" s="1748"/>
      <c r="CV109" s="1710"/>
    </row>
    <row r="110" spans="1:100" ht="13.5">
      <c r="BA110" s="1702">
        <v>42550</v>
      </c>
      <c r="BB110" s="1711" t="s">
        <v>9638</v>
      </c>
      <c r="BC110" s="1748">
        <v>32</v>
      </c>
      <c r="BD110" s="1705"/>
      <c r="BE110" s="1702">
        <v>42913</v>
      </c>
      <c r="BF110" s="1711" t="s">
        <v>9639</v>
      </c>
      <c r="BG110" s="1748">
        <v>0</v>
      </c>
      <c r="BH110" s="1705"/>
      <c r="BI110" s="1702"/>
      <c r="BJ110" s="1711"/>
      <c r="BK110" s="1748"/>
      <c r="BL110" s="1705"/>
      <c r="BM110" s="1702"/>
      <c r="BN110" s="1711"/>
      <c r="BO110" s="1748"/>
      <c r="BP110" s="1705"/>
      <c r="BQ110" s="1702"/>
      <c r="BR110" s="1711"/>
      <c r="BS110" s="1748"/>
      <c r="BT110" s="1705"/>
      <c r="BU110" s="1702"/>
      <c r="BV110" s="1711"/>
      <c r="BW110" s="1748"/>
      <c r="BX110" s="1705"/>
      <c r="BY110" s="1702"/>
      <c r="BZ110" s="1711"/>
      <c r="CA110" s="1748"/>
      <c r="CB110" s="1705"/>
      <c r="CC110" s="1702">
        <v>44741</v>
      </c>
      <c r="CD110" s="1711" t="s">
        <v>2079</v>
      </c>
      <c r="CE110" s="1748">
        <v>13</v>
      </c>
      <c r="CF110" s="1710" t="s">
        <v>414</v>
      </c>
      <c r="CG110" s="1702">
        <v>45107</v>
      </c>
      <c r="CH110" s="1711" t="s">
        <v>9640</v>
      </c>
      <c r="CI110" s="1748">
        <v>80</v>
      </c>
      <c r="CJ110" s="1710" t="s">
        <v>696</v>
      </c>
      <c r="CK110" s="1702"/>
      <c r="CL110" s="1711"/>
      <c r="CM110" s="1704"/>
      <c r="CN110" s="1710"/>
      <c r="CO110" s="1702"/>
      <c r="CP110" s="1711"/>
      <c r="CQ110" s="1704"/>
      <c r="CR110" s="1710"/>
      <c r="CS110" s="1702"/>
      <c r="CT110" s="1711"/>
      <c r="CU110" s="1704"/>
      <c r="CV110" s="1710"/>
    </row>
    <row r="111" spans="1:100" ht="13.5">
      <c r="BA111" s="1702">
        <v>42550</v>
      </c>
      <c r="BB111" s="1711" t="s">
        <v>781</v>
      </c>
      <c r="BC111" s="1748">
        <v>10</v>
      </c>
      <c r="BD111" s="1705"/>
      <c r="BE111" s="1702">
        <v>42915</v>
      </c>
      <c r="BF111" s="1711" t="s">
        <v>9641</v>
      </c>
      <c r="BG111" s="1748">
        <v>45</v>
      </c>
      <c r="BH111" s="1705"/>
      <c r="BI111" s="1702"/>
      <c r="BJ111" s="1711"/>
      <c r="BK111" s="1748"/>
      <c r="BL111" s="1705"/>
      <c r="BM111" s="1702"/>
      <c r="BN111" s="1711"/>
      <c r="BO111" s="1748"/>
      <c r="BP111" s="1705"/>
      <c r="BQ111" s="1702"/>
      <c r="BR111" s="1711"/>
      <c r="BS111" s="1748"/>
      <c r="BT111" s="1705"/>
      <c r="BU111" s="1702"/>
      <c r="BV111" s="1711"/>
      <c r="BW111" s="1748"/>
      <c r="BX111" s="1705"/>
      <c r="BY111" s="1702"/>
      <c r="BZ111" s="1711"/>
      <c r="CA111" s="1748"/>
      <c r="CB111" s="1705"/>
      <c r="CC111" s="1702">
        <v>44741</v>
      </c>
      <c r="CD111" s="1711" t="s">
        <v>772</v>
      </c>
      <c r="CE111" s="1748">
        <v>35</v>
      </c>
      <c r="CF111" s="1710" t="s">
        <v>414</v>
      </c>
      <c r="CG111" s="1702">
        <v>45107</v>
      </c>
      <c r="CH111" s="1711" t="s">
        <v>9457</v>
      </c>
      <c r="CI111" s="1748">
        <v>120</v>
      </c>
      <c r="CJ111" s="1710" t="s">
        <v>689</v>
      </c>
      <c r="CK111" s="1702"/>
      <c r="CL111" s="1711"/>
      <c r="CM111" s="1704"/>
      <c r="CN111" s="1710"/>
      <c r="CO111" s="1702"/>
      <c r="CP111" s="1711"/>
      <c r="CQ111" s="1704"/>
      <c r="CR111" s="1710"/>
      <c r="CS111" s="1702"/>
      <c r="CT111" s="1711"/>
      <c r="CU111" s="1704"/>
      <c r="CV111" s="1710"/>
    </row>
    <row r="112" spans="1:100" ht="13.5">
      <c r="BA112" s="1702">
        <v>42551</v>
      </c>
      <c r="BB112" s="1711" t="s">
        <v>9642</v>
      </c>
      <c r="BC112" s="1748">
        <v>120</v>
      </c>
      <c r="BD112" s="1705"/>
      <c r="BE112" s="1702">
        <v>42916</v>
      </c>
      <c r="BF112" s="1711" t="s">
        <v>797</v>
      </c>
      <c r="BG112" s="1748">
        <v>53</v>
      </c>
      <c r="BH112" s="1705"/>
      <c r="BI112" s="1702"/>
      <c r="BJ112" s="1711"/>
      <c r="BK112" s="1748"/>
      <c r="BL112" s="1705"/>
      <c r="BM112" s="1702"/>
      <c r="BN112" s="1711"/>
      <c r="BO112" s="1748"/>
      <c r="BP112" s="1705"/>
      <c r="BQ112" s="1702"/>
      <c r="BR112" s="1711"/>
      <c r="BS112" s="1748"/>
      <c r="BT112" s="1705"/>
      <c r="BU112" s="1702"/>
      <c r="BV112" s="1711"/>
      <c r="BW112" s="1748"/>
      <c r="BX112" s="1705"/>
      <c r="BY112" s="1702"/>
      <c r="BZ112" s="1711"/>
      <c r="CA112" s="1748"/>
      <c r="CB112" s="1705"/>
      <c r="CC112" s="1702">
        <v>44742</v>
      </c>
      <c r="CD112" s="1711" t="s">
        <v>872</v>
      </c>
      <c r="CE112" s="1748">
        <v>21</v>
      </c>
      <c r="CF112" s="1710" t="s">
        <v>414</v>
      </c>
      <c r="CG112" s="1702"/>
      <c r="CH112" s="1711"/>
      <c r="CI112" s="1748"/>
      <c r="CJ112" s="1710"/>
      <c r="CK112" s="1702"/>
      <c r="CL112" s="1711"/>
      <c r="CM112" s="1704"/>
      <c r="CN112" s="1710"/>
      <c r="CO112" s="1702"/>
      <c r="CP112" s="1711"/>
      <c r="CQ112" s="1704"/>
      <c r="CR112" s="1710"/>
      <c r="CS112" s="1702"/>
      <c r="CT112" s="1711"/>
      <c r="CU112" s="1704"/>
      <c r="CV112" s="1710"/>
    </row>
    <row r="113" spans="53:100" ht="13.5">
      <c r="BA113" s="1702">
        <v>42551</v>
      </c>
      <c r="BB113" s="1711" t="s">
        <v>9643</v>
      </c>
      <c r="BC113" s="1748">
        <v>215</v>
      </c>
      <c r="BD113" s="1705"/>
      <c r="BE113" s="1702"/>
      <c r="BF113" s="1711"/>
      <c r="BG113" s="1748"/>
      <c r="BH113" s="1705"/>
      <c r="BI113" s="1702"/>
      <c r="BJ113" s="1711"/>
      <c r="BK113" s="1748"/>
      <c r="BL113" s="1705"/>
      <c r="BM113" s="1702"/>
      <c r="BN113" s="1711"/>
      <c r="BO113" s="1748"/>
      <c r="BP113" s="1705"/>
      <c r="BQ113" s="1702"/>
      <c r="BR113" s="1711"/>
      <c r="BS113" s="1748"/>
      <c r="BT113" s="1705"/>
      <c r="BU113" s="1702"/>
      <c r="BV113" s="1711"/>
      <c r="BW113" s="1748"/>
      <c r="BX113" s="1705"/>
      <c r="BY113" s="1702"/>
      <c r="BZ113" s="1711"/>
      <c r="CA113" s="1748"/>
      <c r="CB113" s="1705"/>
      <c r="CC113" s="1702">
        <v>44742</v>
      </c>
      <c r="CD113" s="1711" t="s">
        <v>9644</v>
      </c>
      <c r="CE113" s="1748">
        <v>13</v>
      </c>
      <c r="CF113" s="1710" t="s">
        <v>278</v>
      </c>
      <c r="CG113" s="1702"/>
      <c r="CH113" s="1711"/>
      <c r="CI113" s="1748"/>
      <c r="CJ113" s="1710"/>
      <c r="CK113" s="1702"/>
      <c r="CL113" s="1711"/>
      <c r="CM113" s="1748"/>
      <c r="CN113" s="1710"/>
      <c r="CO113" s="1702"/>
      <c r="CP113" s="1711"/>
      <c r="CQ113" s="1748"/>
      <c r="CR113" s="1710"/>
      <c r="CS113" s="1702"/>
      <c r="CT113" s="1711"/>
      <c r="CU113" s="1748"/>
      <c r="CV113" s="1710"/>
    </row>
    <row r="114" spans="53:100" ht="13.5">
      <c r="BA114" s="1702">
        <v>42551</v>
      </c>
      <c r="BB114" s="1711" t="s">
        <v>9645</v>
      </c>
      <c r="BC114" s="1748">
        <v>700</v>
      </c>
      <c r="BD114" s="1705"/>
      <c r="BE114" s="1702"/>
      <c r="BF114" s="1711"/>
      <c r="BG114" s="1748"/>
      <c r="BH114" s="1705"/>
      <c r="BI114" s="1702"/>
      <c r="BJ114" s="1711"/>
      <c r="BK114" s="1748"/>
      <c r="BL114" s="1705"/>
      <c r="BM114" s="1702"/>
      <c r="BN114" s="1711"/>
      <c r="BO114" s="1748"/>
      <c r="BP114" s="1705"/>
      <c r="BQ114" s="1702"/>
      <c r="BR114" s="1711"/>
      <c r="BS114" s="1748"/>
      <c r="BT114" s="1705"/>
      <c r="BU114" s="1702"/>
      <c r="BV114" s="1711"/>
      <c r="BW114" s="1748"/>
      <c r="BX114" s="1705"/>
      <c r="BY114" s="1702"/>
      <c r="BZ114" s="1711"/>
      <c r="CA114" s="1748"/>
      <c r="CB114" s="1705"/>
      <c r="CC114" s="1702">
        <v>44742</v>
      </c>
      <c r="CD114" s="1711" t="s">
        <v>9646</v>
      </c>
      <c r="CE114" s="1748">
        <v>43</v>
      </c>
      <c r="CF114" s="1710" t="s">
        <v>426</v>
      </c>
      <c r="CG114" s="1702"/>
      <c r="CH114" s="1711"/>
      <c r="CI114" s="1748"/>
      <c r="CJ114" s="1710"/>
      <c r="CK114" s="1702"/>
      <c r="CL114" s="1711"/>
      <c r="CM114" s="1748"/>
      <c r="CN114" s="1710"/>
      <c r="CO114" s="1702"/>
      <c r="CP114" s="1711"/>
      <c r="CQ114" s="1748"/>
      <c r="CR114" s="1710"/>
      <c r="CS114" s="1702"/>
      <c r="CT114" s="1711"/>
      <c r="CU114" s="1748"/>
      <c r="CV114" s="1710"/>
    </row>
    <row r="115" spans="53:100" ht="13.5">
      <c r="BA115" s="1702">
        <v>42551</v>
      </c>
      <c r="BB115" s="1711" t="s">
        <v>9647</v>
      </c>
      <c r="BC115" s="1748">
        <v>195</v>
      </c>
      <c r="BD115" s="1705"/>
      <c r="BE115" s="1702"/>
      <c r="BF115" s="1711"/>
      <c r="BG115" s="1748"/>
      <c r="BH115" s="1705"/>
      <c r="BI115" s="1702"/>
      <c r="BJ115" s="1711"/>
      <c r="BK115" s="1748"/>
      <c r="BL115" s="1705"/>
      <c r="BM115" s="1702"/>
      <c r="BN115" s="1711"/>
      <c r="BO115" s="1748"/>
      <c r="BP115" s="1705"/>
      <c r="BQ115" s="1702"/>
      <c r="BR115" s="1711"/>
      <c r="BS115" s="1748"/>
      <c r="BT115" s="1705"/>
      <c r="BU115" s="1702"/>
      <c r="BV115" s="1711"/>
      <c r="BW115" s="1748"/>
      <c r="BX115" s="1705"/>
      <c r="BY115" s="1702"/>
      <c r="BZ115" s="1711"/>
      <c r="CA115" s="1748"/>
      <c r="CB115" s="1705"/>
      <c r="CC115" s="1702">
        <v>44742</v>
      </c>
      <c r="CD115" s="1711" t="s">
        <v>9648</v>
      </c>
      <c r="CE115" s="1748">
        <v>28</v>
      </c>
      <c r="CF115" s="1710" t="s">
        <v>278</v>
      </c>
      <c r="CG115" s="1702"/>
      <c r="CH115" s="1711"/>
      <c r="CI115" s="1748"/>
      <c r="CJ115" s="1710"/>
      <c r="CK115" s="1702"/>
      <c r="CL115" s="1711"/>
      <c r="CM115" s="1748"/>
      <c r="CN115" s="1710"/>
      <c r="CO115" s="1702"/>
      <c r="CP115" s="1711"/>
      <c r="CQ115" s="1748"/>
      <c r="CR115" s="1710"/>
      <c r="CS115" s="1702"/>
      <c r="CT115" s="1711"/>
      <c r="CU115" s="1748"/>
      <c r="CV115" s="1710"/>
    </row>
    <row r="116" spans="53:100" ht="13.5">
      <c r="BA116" s="1702">
        <v>42551</v>
      </c>
      <c r="BB116" s="1711" t="s">
        <v>9600</v>
      </c>
      <c r="BC116" s="1748">
        <v>7</v>
      </c>
      <c r="BD116" s="1705"/>
      <c r="BE116" s="1702"/>
      <c r="BF116" s="1711"/>
      <c r="BG116" s="1748"/>
      <c r="BH116" s="1705"/>
      <c r="BI116" s="1702"/>
      <c r="BJ116" s="1711"/>
      <c r="BK116" s="1748"/>
      <c r="BL116" s="1705"/>
      <c r="BM116" s="1702"/>
      <c r="BN116" s="1711"/>
      <c r="BO116" s="1748"/>
      <c r="BP116" s="1705"/>
      <c r="BQ116" s="1702"/>
      <c r="BR116" s="1711"/>
      <c r="BS116" s="1748"/>
      <c r="BT116" s="1705"/>
      <c r="BU116" s="1702"/>
      <c r="BV116" s="1711"/>
      <c r="BW116" s="1748"/>
      <c r="BX116" s="1705"/>
      <c r="BY116" s="1702"/>
      <c r="BZ116" s="1711"/>
      <c r="CA116" s="1748"/>
      <c r="CB116" s="1705"/>
      <c r="CC116" s="1702">
        <v>44742</v>
      </c>
      <c r="CD116" s="1711" t="s">
        <v>7463</v>
      </c>
      <c r="CE116" s="1748">
        <v>28</v>
      </c>
      <c r="CF116" s="1710" t="s">
        <v>278</v>
      </c>
      <c r="CG116" s="1702"/>
      <c r="CH116" s="1711"/>
      <c r="CI116" s="1748"/>
      <c r="CJ116" s="1710"/>
      <c r="CK116" s="1702"/>
      <c r="CL116" s="1711"/>
      <c r="CM116" s="1748"/>
      <c r="CN116" s="1710"/>
      <c r="CO116" s="1702"/>
      <c r="CP116" s="1711"/>
      <c r="CQ116" s="1748"/>
      <c r="CR116" s="1710"/>
      <c r="CS116" s="1702"/>
      <c r="CT116" s="1711"/>
      <c r="CU116" s="1748"/>
      <c r="CV116" s="1710"/>
    </row>
    <row r="117" spans="53:100" ht="13.5">
      <c r="BA117" s="1702">
        <v>42551</v>
      </c>
      <c r="BB117" s="1711" t="s">
        <v>9649</v>
      </c>
      <c r="BC117" s="1748">
        <v>9</v>
      </c>
      <c r="BD117" s="1705"/>
      <c r="BE117" s="1702"/>
      <c r="BF117" s="1711"/>
      <c r="BG117" s="1748"/>
      <c r="BH117" s="1705"/>
      <c r="BI117" s="1702"/>
      <c r="BJ117" s="1711"/>
      <c r="BK117" s="1748"/>
      <c r="BL117" s="1705"/>
      <c r="BM117" s="1702"/>
      <c r="BN117" s="1711"/>
      <c r="BO117" s="1748"/>
      <c r="BP117" s="1705"/>
      <c r="BQ117" s="1702"/>
      <c r="BR117" s="1711"/>
      <c r="BS117" s="1748"/>
      <c r="BT117" s="1705"/>
      <c r="BU117" s="1702"/>
      <c r="BV117" s="1711"/>
      <c r="BW117" s="1748"/>
      <c r="BX117" s="1705"/>
      <c r="BY117" s="1702"/>
      <c r="BZ117" s="1711"/>
      <c r="CA117" s="1748"/>
      <c r="CB117" s="1705"/>
      <c r="CC117" s="1702"/>
      <c r="CD117" s="1711"/>
      <c r="CE117" s="1748"/>
      <c r="CF117" s="1710" t="s">
        <v>414</v>
      </c>
      <c r="CG117" s="1702"/>
      <c r="CH117" s="1711"/>
      <c r="CI117" s="1748"/>
      <c r="CJ117" s="1710"/>
      <c r="CK117" s="1702"/>
      <c r="CL117" s="1711"/>
      <c r="CM117" s="1748"/>
      <c r="CN117" s="1710"/>
      <c r="CO117" s="1702"/>
      <c r="CP117" s="1711"/>
      <c r="CQ117" s="1748"/>
      <c r="CR117" s="1710"/>
      <c r="CS117" s="1702"/>
      <c r="CT117" s="1711"/>
      <c r="CU117" s="1748"/>
      <c r="CV117" s="1710"/>
    </row>
    <row r="118" spans="53:100" ht="13.5">
      <c r="BA118" s="1702">
        <v>42551</v>
      </c>
      <c r="BB118" s="1711" t="s">
        <v>9650</v>
      </c>
      <c r="BC118" s="1748"/>
      <c r="BD118" s="1705"/>
      <c r="BE118" s="1702"/>
      <c r="BF118" s="1711"/>
      <c r="BG118" s="1748"/>
      <c r="BH118" s="1705"/>
      <c r="BI118" s="1702"/>
      <c r="BJ118" s="1711"/>
      <c r="BK118" s="1748"/>
      <c r="BL118" s="1705"/>
      <c r="BM118" s="1702"/>
      <c r="BN118" s="1711"/>
      <c r="BO118" s="1748"/>
      <c r="BP118" s="1705"/>
      <c r="BQ118" s="1702"/>
      <c r="BR118" s="1711"/>
      <c r="BS118" s="1748"/>
      <c r="BT118" s="1705"/>
      <c r="BU118" s="1702"/>
      <c r="BV118" s="1711"/>
      <c r="BW118" s="1748"/>
      <c r="BX118" s="1705"/>
      <c r="BY118" s="1702"/>
      <c r="BZ118" s="1711"/>
      <c r="CA118" s="1748"/>
      <c r="CB118" s="1705"/>
      <c r="CC118" s="1702"/>
      <c r="CD118" s="1711"/>
      <c r="CE118" s="1748"/>
      <c r="CF118" s="1710" t="s">
        <v>414</v>
      </c>
      <c r="CG118" s="1702"/>
      <c r="CH118" s="1711"/>
      <c r="CI118" s="1748"/>
      <c r="CJ118" s="1710"/>
      <c r="CK118" s="1702"/>
      <c r="CL118" s="1711"/>
      <c r="CM118" s="1748"/>
      <c r="CN118" s="1710"/>
      <c r="CO118" s="1702"/>
      <c r="CP118" s="1711"/>
      <c r="CQ118" s="1748"/>
      <c r="CR118" s="1710"/>
      <c r="CS118" s="1702"/>
      <c r="CT118" s="1711"/>
      <c r="CU118" s="1748"/>
      <c r="CV118" s="1710"/>
    </row>
    <row r="119" spans="53:100" ht="13.5">
      <c r="BA119" s="1702">
        <v>42551</v>
      </c>
      <c r="BB119" s="1711" t="s">
        <v>797</v>
      </c>
      <c r="BC119" s="1748">
        <v>33</v>
      </c>
      <c r="BD119" s="1705"/>
      <c r="BE119" s="1753" t="s">
        <v>477</v>
      </c>
      <c r="BF119" s="1767"/>
      <c r="BG119" s="1768">
        <f>SUM(BG10:BG118)</f>
        <v>11897</v>
      </c>
      <c r="BH119" s="1755">
        <f>SUM(BH10:BH118)</f>
        <v>0</v>
      </c>
      <c r="BI119" s="1753" t="s">
        <v>477</v>
      </c>
      <c r="BJ119" s="1767"/>
      <c r="BK119" s="1768">
        <f>SUM(BK10:BK118)</f>
        <v>4867</v>
      </c>
      <c r="BL119" s="1755">
        <f>SUM(BL10:BL118)</f>
        <v>0</v>
      </c>
      <c r="BM119" s="1753" t="s">
        <v>477</v>
      </c>
      <c r="BN119" s="1767"/>
      <c r="BO119" s="1768">
        <f>SUM(BO10:BO118)</f>
        <v>0</v>
      </c>
      <c r="BP119" s="1755">
        <f>SUM(BP10:BP118)</f>
        <v>0</v>
      </c>
      <c r="BQ119" s="1753" t="s">
        <v>477</v>
      </c>
      <c r="BR119" s="1767"/>
      <c r="BS119" s="1768">
        <f>SUM(BS10:BS118)</f>
        <v>6634.5</v>
      </c>
      <c r="BT119" s="1755">
        <f>SUM(BT10:BT118)</f>
        <v>0</v>
      </c>
      <c r="BU119" s="1753" t="s">
        <v>477</v>
      </c>
      <c r="BV119" s="1767"/>
      <c r="BW119" s="1768">
        <f>SUM(BW10:BW118)</f>
        <v>7081</v>
      </c>
      <c r="BX119" s="1755">
        <f>SUM(BX10:BX118)</f>
        <v>0</v>
      </c>
      <c r="BY119" s="1753" t="s">
        <v>477</v>
      </c>
      <c r="BZ119" s="1767"/>
      <c r="CA119" s="1768">
        <f>SUM(CA10:CA118)</f>
        <v>7736</v>
      </c>
      <c r="CB119" s="1755">
        <f>SUM(CB10:CB118)</f>
        <v>0</v>
      </c>
      <c r="CC119" s="1702"/>
      <c r="CD119" s="1711"/>
      <c r="CE119" s="1748"/>
      <c r="CF119" s="1705"/>
      <c r="CG119" s="1702"/>
      <c r="CH119" s="1711"/>
      <c r="CI119" s="1748"/>
      <c r="CJ119" s="1710"/>
      <c r="CK119" s="1702"/>
      <c r="CL119" s="1711"/>
      <c r="CM119" s="1748"/>
      <c r="CN119" s="1710"/>
      <c r="CO119" s="1702"/>
      <c r="CP119" s="1711"/>
      <c r="CQ119" s="1748"/>
      <c r="CR119" s="1710"/>
      <c r="CS119" s="1702"/>
      <c r="CT119" s="1711"/>
      <c r="CU119" s="1748"/>
      <c r="CV119" s="1710"/>
    </row>
    <row r="120" spans="53:100" ht="13.5">
      <c r="BA120" s="1702">
        <v>42551</v>
      </c>
      <c r="BB120" s="1711" t="s">
        <v>802</v>
      </c>
      <c r="BC120" s="1748">
        <v>25</v>
      </c>
      <c r="BD120" s="1705"/>
      <c r="BE120" s="1757" t="s">
        <v>1672</v>
      </c>
      <c r="BF120" s="1758"/>
      <c r="BG120" s="1759"/>
      <c r="BH120" s="1760"/>
      <c r="BI120" s="1757" t="s">
        <v>1672</v>
      </c>
      <c r="BJ120" s="1758"/>
      <c r="BK120" s="1759"/>
      <c r="BL120" s="1760"/>
      <c r="BM120" s="1757" t="s">
        <v>1672</v>
      </c>
      <c r="BN120" s="1758"/>
      <c r="BO120" s="1759"/>
      <c r="BP120" s="1760"/>
      <c r="BQ120" s="1757" t="s">
        <v>1672</v>
      </c>
      <c r="BR120" s="1758"/>
      <c r="BS120" s="1759"/>
      <c r="BT120" s="1760"/>
      <c r="BU120" s="1757" t="s">
        <v>1672</v>
      </c>
      <c r="BV120" s="1758"/>
      <c r="BW120" s="1759"/>
      <c r="BX120" s="1760"/>
      <c r="BY120" s="1757" t="s">
        <v>1672</v>
      </c>
      <c r="BZ120" s="1758"/>
      <c r="CA120" s="1759"/>
      <c r="CB120" s="1760"/>
      <c r="CC120" s="1702"/>
      <c r="CD120" s="1711"/>
      <c r="CE120" s="1748"/>
      <c r="CF120" s="1705"/>
      <c r="CG120" s="1702"/>
      <c r="CH120" s="1711"/>
      <c r="CI120" s="1748"/>
      <c r="CJ120" s="1710"/>
      <c r="CK120" s="1702"/>
      <c r="CL120" s="1711"/>
      <c r="CM120" s="1748"/>
      <c r="CN120" s="1710"/>
      <c r="CO120" s="1702"/>
      <c r="CP120" s="1711"/>
      <c r="CQ120" s="1748"/>
      <c r="CR120" s="1710"/>
      <c r="CS120" s="1702"/>
      <c r="CT120" s="1711"/>
      <c r="CU120" s="1748"/>
      <c r="CV120" s="1710"/>
    </row>
    <row r="121" spans="53:100" ht="13.5">
      <c r="BA121" s="1702">
        <v>42551</v>
      </c>
      <c r="BB121" s="1711" t="s">
        <v>9651</v>
      </c>
      <c r="BC121" s="1748">
        <v>20</v>
      </c>
      <c r="BD121" s="1705"/>
      <c r="BE121" s="1762" t="s">
        <v>138</v>
      </c>
      <c r="BF121" s="1763"/>
      <c r="BG121" s="1764">
        <f>SUM(BG119,BH119)</f>
        <v>11897</v>
      </c>
      <c r="BH121" s="1765"/>
      <c r="BI121" s="1762" t="s">
        <v>138</v>
      </c>
      <c r="BJ121" s="1763"/>
      <c r="BK121" s="1764">
        <f>SUM(BK119,BL119)</f>
        <v>4867</v>
      </c>
      <c r="BL121" s="1765"/>
      <c r="BM121" s="1762" t="s">
        <v>138</v>
      </c>
      <c r="BN121" s="1763"/>
      <c r="BO121" s="1764">
        <f>SUM(BO119,BP119)</f>
        <v>0</v>
      </c>
      <c r="BP121" s="1765"/>
      <c r="BQ121" s="1762" t="s">
        <v>138</v>
      </c>
      <c r="BR121" s="1763"/>
      <c r="BS121" s="1764">
        <f>SUM(BS119,BT119)</f>
        <v>6634.5</v>
      </c>
      <c r="BT121" s="1765"/>
      <c r="BU121" s="1762" t="s">
        <v>138</v>
      </c>
      <c r="BV121" s="1763"/>
      <c r="BW121" s="1764">
        <f>SUM(BW119,BX119)</f>
        <v>7081</v>
      </c>
      <c r="BX121" s="1765"/>
      <c r="BY121" s="1762" t="s">
        <v>138</v>
      </c>
      <c r="BZ121" s="1763"/>
      <c r="CA121" s="1764">
        <f>SUM(CA119,CB119)</f>
        <v>7736</v>
      </c>
      <c r="CB121" s="1765"/>
      <c r="CC121" s="1702"/>
      <c r="CD121" s="1711"/>
      <c r="CE121" s="1748"/>
      <c r="CF121" s="1705"/>
      <c r="CG121" s="1702"/>
      <c r="CH121" s="1711"/>
      <c r="CI121" s="1748"/>
      <c r="CJ121" s="1710"/>
      <c r="CK121" s="1702"/>
      <c r="CL121" s="1711"/>
      <c r="CM121" s="1748"/>
      <c r="CN121" s="1710"/>
      <c r="CO121" s="1702"/>
      <c r="CP121" s="1711"/>
      <c r="CQ121" s="1748"/>
      <c r="CR121" s="1710"/>
      <c r="CS121" s="1702"/>
      <c r="CT121" s="1711"/>
      <c r="CU121" s="1748"/>
      <c r="CV121" s="1710"/>
    </row>
    <row r="122" spans="53:100" ht="13.5">
      <c r="BA122" s="1702">
        <v>42551</v>
      </c>
      <c r="BB122" s="1711" t="s">
        <v>754</v>
      </c>
      <c r="BC122" s="1704">
        <v>49</v>
      </c>
      <c r="BD122" s="1705"/>
      <c r="CC122" s="1702"/>
      <c r="CD122" s="1711"/>
      <c r="CE122" s="1748"/>
      <c r="CF122" s="1705"/>
      <c r="CG122" s="1702"/>
      <c r="CH122" s="1711"/>
      <c r="CI122" s="1748"/>
      <c r="CJ122" s="1710"/>
      <c r="CK122" s="1702"/>
      <c r="CL122" s="1711"/>
      <c r="CM122" s="1748"/>
      <c r="CN122" s="1710"/>
      <c r="CO122" s="1702"/>
      <c r="CP122" s="1711"/>
      <c r="CQ122" s="1748"/>
      <c r="CR122" s="1710"/>
      <c r="CS122" s="1702"/>
      <c r="CT122" s="1711"/>
      <c r="CU122" s="1748"/>
      <c r="CV122" s="1710"/>
    </row>
    <row r="123" spans="53:100" ht="13.5">
      <c r="BA123" s="1702"/>
      <c r="BB123" s="1731"/>
      <c r="BC123" s="1732"/>
      <c r="BD123" s="1705"/>
      <c r="CC123" s="1702"/>
      <c r="CD123" s="1711"/>
      <c r="CE123" s="1748"/>
      <c r="CF123" s="1705"/>
      <c r="CG123" s="1702"/>
      <c r="CH123" s="1711"/>
      <c r="CI123" s="1748"/>
      <c r="CJ123" s="1710"/>
      <c r="CK123" s="1702"/>
      <c r="CL123" s="1711"/>
      <c r="CM123" s="1748"/>
      <c r="CN123" s="1710"/>
      <c r="CO123" s="1702"/>
      <c r="CP123" s="1711"/>
      <c r="CQ123" s="1748"/>
      <c r="CR123" s="1710"/>
      <c r="CS123" s="1702"/>
      <c r="CT123" s="1711"/>
      <c r="CU123" s="1748"/>
      <c r="CV123" s="1710"/>
    </row>
    <row r="124" spans="53:100" ht="13.5">
      <c r="BA124" s="1753" t="s">
        <v>477</v>
      </c>
      <c r="BB124" s="1767"/>
      <c r="BC124" s="1768">
        <f>SUM(BC10:BC123)</f>
        <v>7800</v>
      </c>
      <c r="BD124" s="1755">
        <f>SUM(BD10:BD123)</f>
        <v>0</v>
      </c>
      <c r="CC124" s="1702"/>
      <c r="CD124" s="1711"/>
      <c r="CE124" s="1748"/>
      <c r="CF124" s="1705"/>
      <c r="CG124" s="1702"/>
      <c r="CH124" s="1711"/>
      <c r="CI124" s="1748"/>
      <c r="CJ124" s="1710"/>
      <c r="CK124" s="1702"/>
      <c r="CL124" s="1711"/>
      <c r="CM124" s="1748"/>
      <c r="CN124" s="1710"/>
      <c r="CO124" s="1702"/>
      <c r="CP124" s="1711"/>
      <c r="CQ124" s="1748"/>
      <c r="CR124" s="1710"/>
      <c r="CS124" s="1702"/>
      <c r="CT124" s="1711"/>
      <c r="CU124" s="1748"/>
      <c r="CV124" s="1710"/>
    </row>
    <row r="125" spans="53:100" ht="13.5">
      <c r="BA125" s="1757" t="s">
        <v>1672</v>
      </c>
      <c r="BB125" s="1758"/>
      <c r="BC125" s="1759"/>
      <c r="BD125" s="1760"/>
      <c r="CC125" s="1702"/>
      <c r="CD125" s="1711"/>
      <c r="CE125" s="1748"/>
      <c r="CF125" s="1705"/>
      <c r="CG125" s="1702"/>
      <c r="CH125" s="1711"/>
      <c r="CI125" s="1748"/>
      <c r="CJ125" s="1710"/>
      <c r="CK125" s="1702"/>
      <c r="CL125" s="1711"/>
      <c r="CM125" s="1748"/>
      <c r="CN125" s="1710"/>
      <c r="CO125" s="1702"/>
      <c r="CP125" s="1711"/>
      <c r="CQ125" s="1748"/>
      <c r="CR125" s="1710"/>
      <c r="CS125" s="1702"/>
      <c r="CT125" s="1711"/>
      <c r="CU125" s="1748"/>
      <c r="CV125" s="1710"/>
    </row>
    <row r="126" spans="53:100" ht="13.5">
      <c r="BA126" s="1762" t="s">
        <v>138</v>
      </c>
      <c r="BB126" s="1763"/>
      <c r="BC126" s="1764">
        <f>SUM(BC124,BD124)</f>
        <v>7800</v>
      </c>
      <c r="BD126" s="1765"/>
      <c r="CC126" s="1702"/>
      <c r="CD126" s="1711"/>
      <c r="CE126" s="1748"/>
      <c r="CF126" s="1705"/>
      <c r="CG126" s="1702"/>
      <c r="CH126" s="1711"/>
      <c r="CI126" s="1748"/>
      <c r="CJ126" s="1710"/>
      <c r="CK126" s="1702"/>
      <c r="CL126" s="1711"/>
      <c r="CM126" s="1748"/>
      <c r="CN126" s="1710"/>
      <c r="CO126" s="1702"/>
      <c r="CP126" s="1711"/>
      <c r="CQ126" s="1748"/>
      <c r="CR126" s="1710"/>
      <c r="CS126" s="1702"/>
      <c r="CT126" s="1711"/>
      <c r="CU126" s="1748"/>
      <c r="CV126" s="1710"/>
    </row>
    <row r="127" spans="53:100" ht="13.5">
      <c r="CC127" s="1702"/>
      <c r="CD127" s="1711"/>
      <c r="CE127" s="1748"/>
      <c r="CF127" s="1705"/>
      <c r="CG127" s="1702"/>
      <c r="CH127" s="1711"/>
      <c r="CI127" s="1748"/>
      <c r="CJ127" s="1710"/>
      <c r="CK127" s="1702"/>
      <c r="CL127" s="1711"/>
      <c r="CM127" s="1748"/>
      <c r="CN127" s="1710"/>
      <c r="CO127" s="1702"/>
      <c r="CP127" s="1711"/>
      <c r="CQ127" s="1748"/>
      <c r="CR127" s="1710"/>
      <c r="CS127" s="1702"/>
      <c r="CT127" s="1711"/>
      <c r="CU127" s="1748"/>
      <c r="CV127" s="1710"/>
    </row>
    <row r="128" spans="53:100" ht="13.5">
      <c r="CC128" s="1753" t="s">
        <v>477</v>
      </c>
      <c r="CD128" s="1767"/>
      <c r="CE128" s="1768">
        <f>SUM(CE10:CE127)</f>
        <v>12192</v>
      </c>
      <c r="CF128" s="1755">
        <f>SUM(CF10:CF127)</f>
        <v>0</v>
      </c>
      <c r="CG128" s="1702"/>
      <c r="CH128" s="1711"/>
      <c r="CI128" s="1748"/>
      <c r="CJ128" s="1705"/>
      <c r="CK128" s="1702"/>
      <c r="CL128" s="1711"/>
      <c r="CM128" s="1748"/>
      <c r="CN128" s="1710"/>
      <c r="CO128" s="1702"/>
      <c r="CP128" s="1711"/>
      <c r="CQ128" s="1748"/>
      <c r="CR128" s="1710"/>
      <c r="CS128" s="1702"/>
      <c r="CT128" s="1711"/>
      <c r="CU128" s="1748"/>
      <c r="CV128" s="1710"/>
    </row>
    <row r="129" spans="81:100" ht="13.5">
      <c r="CC129" s="1757" t="s">
        <v>1672</v>
      </c>
      <c r="CD129" s="1758"/>
      <c r="CE129" s="1759"/>
      <c r="CG129" s="1702"/>
      <c r="CH129" s="1711"/>
      <c r="CI129" s="1748"/>
      <c r="CJ129" s="1705"/>
      <c r="CK129" s="1702"/>
      <c r="CL129" s="1711"/>
      <c r="CM129" s="1748"/>
      <c r="CN129" s="1710"/>
      <c r="CO129" s="1702"/>
      <c r="CP129" s="1711"/>
      <c r="CQ129" s="1748"/>
      <c r="CR129" s="1710"/>
      <c r="CS129" s="1702"/>
      <c r="CT129" s="1711"/>
      <c r="CU129" s="1748"/>
      <c r="CV129" s="1710"/>
    </row>
    <row r="130" spans="81:100" ht="13.5">
      <c r="CC130" s="1762" t="s">
        <v>138</v>
      </c>
      <c r="CD130" s="1763"/>
      <c r="CE130" s="1764">
        <f>SUM(CE128,CF128)</f>
        <v>12192</v>
      </c>
      <c r="CG130" s="1702"/>
      <c r="CH130" s="1711"/>
      <c r="CI130" s="1748"/>
      <c r="CJ130" s="1705"/>
      <c r="CK130" s="1702"/>
      <c r="CL130" s="1711"/>
      <c r="CM130" s="1748"/>
      <c r="CN130" s="1710"/>
      <c r="CO130" s="1702"/>
      <c r="CP130" s="1711"/>
      <c r="CQ130" s="1748"/>
      <c r="CR130" s="1710"/>
      <c r="CS130" s="1702"/>
      <c r="CT130" s="1711"/>
      <c r="CU130" s="1748"/>
      <c r="CV130" s="1710"/>
    </row>
    <row r="131" spans="81:100" ht="13.5">
      <c r="CG131" s="1702"/>
      <c r="CH131" s="1711"/>
      <c r="CI131" s="1748"/>
      <c r="CJ131" s="1705"/>
      <c r="CK131" s="1702"/>
      <c r="CL131" s="1711"/>
      <c r="CM131" s="1748"/>
      <c r="CN131" s="1710"/>
      <c r="CO131" s="1702"/>
      <c r="CP131" s="1711"/>
      <c r="CQ131" s="1748"/>
      <c r="CR131" s="1710"/>
      <c r="CS131" s="1702"/>
      <c r="CT131" s="1711"/>
      <c r="CU131" s="1748"/>
      <c r="CV131" s="1710"/>
    </row>
    <row r="132" spans="81:100" ht="13.5">
      <c r="CG132" s="1702"/>
      <c r="CH132" s="1711"/>
      <c r="CI132" s="1748"/>
      <c r="CJ132" s="1705"/>
      <c r="CK132" s="1702"/>
      <c r="CL132" s="1711"/>
      <c r="CM132" s="1748"/>
      <c r="CN132" s="1710"/>
      <c r="CO132" s="1702"/>
      <c r="CP132" s="1711"/>
      <c r="CQ132" s="1748"/>
      <c r="CR132" s="1710"/>
      <c r="CS132" s="1702"/>
      <c r="CT132" s="1711"/>
      <c r="CU132" s="1748"/>
      <c r="CV132" s="1710"/>
    </row>
    <row r="133" spans="81:100" ht="13.5">
      <c r="CG133" s="1702"/>
      <c r="CH133" s="1711"/>
      <c r="CI133" s="1748"/>
      <c r="CJ133" s="1705"/>
      <c r="CK133" s="1702"/>
      <c r="CL133" s="1711"/>
      <c r="CM133" s="1748"/>
      <c r="CN133" s="1705"/>
      <c r="CO133" s="1702"/>
      <c r="CP133" s="1711"/>
      <c r="CQ133" s="1748"/>
      <c r="CR133" s="1705"/>
      <c r="CS133" s="1702"/>
      <c r="CT133" s="1711"/>
      <c r="CU133" s="1748"/>
      <c r="CV133" s="1705"/>
    </row>
    <row r="134" spans="81:100" ht="13.5">
      <c r="CG134" s="1702"/>
      <c r="CH134" s="1711"/>
      <c r="CI134" s="1748"/>
      <c r="CJ134" s="1705"/>
      <c r="CK134" s="1702"/>
      <c r="CL134" s="1711"/>
      <c r="CM134" s="1748"/>
      <c r="CN134" s="1705"/>
      <c r="CO134" s="1702"/>
      <c r="CP134" s="1711"/>
      <c r="CQ134" s="1748"/>
      <c r="CR134" s="1705"/>
      <c r="CS134" s="1702"/>
      <c r="CT134" s="1711"/>
      <c r="CU134" s="1748"/>
      <c r="CV134" s="1705"/>
    </row>
    <row r="135" spans="81:100" ht="13.5">
      <c r="CG135" s="1702"/>
      <c r="CH135" s="1711"/>
      <c r="CI135" s="1748"/>
      <c r="CJ135" s="1705"/>
      <c r="CK135" s="1702"/>
      <c r="CL135" s="1711"/>
      <c r="CM135" s="1748"/>
      <c r="CN135" s="1705"/>
      <c r="CO135" s="1702"/>
      <c r="CP135" s="1711"/>
      <c r="CQ135" s="1748"/>
      <c r="CR135" s="1705"/>
      <c r="CS135" s="1702"/>
      <c r="CT135" s="1711"/>
      <c r="CU135" s="1748"/>
      <c r="CV135" s="1705"/>
    </row>
    <row r="136" spans="81:100" ht="13.5">
      <c r="CG136" s="1702"/>
      <c r="CH136" s="1711"/>
      <c r="CI136" s="1748"/>
      <c r="CJ136" s="1705"/>
      <c r="CK136" s="1702"/>
      <c r="CL136" s="1711"/>
      <c r="CM136" s="1748"/>
      <c r="CN136" s="1705"/>
      <c r="CO136" s="1702"/>
      <c r="CP136" s="1711"/>
      <c r="CQ136" s="1748"/>
      <c r="CR136" s="1705"/>
      <c r="CS136" s="1702"/>
      <c r="CT136" s="1711"/>
      <c r="CU136" s="1748"/>
      <c r="CV136" s="1705"/>
    </row>
    <row r="137" spans="81:100" ht="13.5">
      <c r="CG137" s="1753" t="s">
        <v>477</v>
      </c>
      <c r="CH137" s="1767"/>
      <c r="CI137" s="1768">
        <f>SUM(CI10:CI136)</f>
        <v>14206</v>
      </c>
      <c r="CJ137" s="1755">
        <f>SUM(CJ10:CJ136)</f>
        <v>0</v>
      </c>
      <c r="CK137" s="1702"/>
      <c r="CL137" s="1711"/>
      <c r="CM137" s="1748"/>
      <c r="CN137" s="1705"/>
      <c r="CO137" s="1702"/>
      <c r="CP137" s="1711"/>
      <c r="CQ137" s="1748"/>
      <c r="CR137" s="1705"/>
      <c r="CS137" s="1702"/>
      <c r="CT137" s="1711"/>
      <c r="CU137" s="1748"/>
      <c r="CV137" s="1705"/>
    </row>
    <row r="138" spans="81:100" ht="13.5">
      <c r="CG138" s="1757" t="s">
        <v>1672</v>
      </c>
      <c r="CH138" s="1758"/>
      <c r="CI138" s="1759"/>
      <c r="CK138" s="1702"/>
      <c r="CL138" s="1711"/>
      <c r="CM138" s="1748"/>
      <c r="CN138" s="1705"/>
      <c r="CO138" s="1702"/>
      <c r="CP138" s="1711"/>
      <c r="CQ138" s="1748"/>
      <c r="CR138" s="1705"/>
      <c r="CS138" s="1702"/>
      <c r="CT138" s="1711"/>
      <c r="CU138" s="1748"/>
      <c r="CV138" s="1705"/>
    </row>
    <row r="139" spans="81:100" ht="13.5">
      <c r="CG139" s="1762" t="s">
        <v>138</v>
      </c>
      <c r="CH139" s="1763"/>
      <c r="CI139" s="1764">
        <f>SUM(CI137,CJ137)</f>
        <v>14206</v>
      </c>
      <c r="CK139" s="1702"/>
      <c r="CL139" s="1711"/>
      <c r="CM139" s="1748"/>
      <c r="CN139" s="1705"/>
      <c r="CO139" s="1702"/>
      <c r="CP139" s="1711"/>
      <c r="CQ139" s="1748"/>
      <c r="CR139" s="1705"/>
      <c r="CS139" s="1702"/>
      <c r="CT139" s="1711"/>
      <c r="CU139" s="1748"/>
      <c r="CV139" s="1705"/>
    </row>
    <row r="140" spans="81:100" ht="13.5">
      <c r="CK140" s="1702"/>
      <c r="CL140" s="1711"/>
      <c r="CM140" s="1748"/>
      <c r="CN140" s="1705"/>
      <c r="CO140" s="1702"/>
      <c r="CP140" s="1711"/>
      <c r="CQ140" s="1748"/>
      <c r="CR140" s="1705"/>
      <c r="CS140" s="1702"/>
      <c r="CT140" s="1711"/>
      <c r="CU140" s="1748"/>
      <c r="CV140" s="1705"/>
    </row>
    <row r="141" spans="81:100" ht="13.5">
      <c r="CK141" s="1702"/>
      <c r="CL141" s="1711"/>
      <c r="CM141" s="1748"/>
      <c r="CN141" s="1705"/>
      <c r="CO141" s="1702"/>
      <c r="CP141" s="1711"/>
      <c r="CQ141" s="1748"/>
      <c r="CR141" s="1705"/>
      <c r="CS141" s="1702"/>
      <c r="CT141" s="1711"/>
      <c r="CU141" s="1748"/>
      <c r="CV141" s="1705"/>
    </row>
    <row r="142" spans="81:100" ht="13.5">
      <c r="CK142" s="1753" t="s">
        <v>477</v>
      </c>
      <c r="CL142" s="1767"/>
      <c r="CM142" s="1768">
        <f>SUM(CM10:CM141)</f>
        <v>19835</v>
      </c>
      <c r="CN142" s="1755">
        <f>SUM(CN10:CN141)</f>
        <v>1.4988882150798462</v>
      </c>
      <c r="CO142" s="1753" t="s">
        <v>477</v>
      </c>
      <c r="CP142" s="1767"/>
      <c r="CQ142" s="1768">
        <f>SUM(CQ10:CQ141)</f>
        <v>4970.8599999999997</v>
      </c>
      <c r="CR142" s="1755">
        <f>SUM(CR10:CR141)</f>
        <v>-2111.14</v>
      </c>
      <c r="CS142" s="1753" t="s">
        <v>477</v>
      </c>
      <c r="CT142" s="1767"/>
      <c r="CU142" s="1768">
        <f>SUM(CU10:CU141)</f>
        <v>1898.6600000000003</v>
      </c>
      <c r="CV142" s="1755">
        <f>SUM(CV10:CV141)</f>
        <v>0</v>
      </c>
    </row>
    <row r="143" spans="81:100" ht="13.5">
      <c r="CK143" s="1757" t="s">
        <v>1672</v>
      </c>
      <c r="CL143" s="1758"/>
      <c r="CM143" s="1759"/>
      <c r="CO143" s="1757" t="s">
        <v>1672</v>
      </c>
      <c r="CP143" s="1758"/>
      <c r="CQ143" s="1759"/>
      <c r="CS143" s="1757" t="s">
        <v>1672</v>
      </c>
      <c r="CT143" s="1758"/>
      <c r="CU143" s="1759"/>
    </row>
    <row r="144" spans="81:100" ht="13.5">
      <c r="CK144" s="1762" t="s">
        <v>138</v>
      </c>
      <c r="CL144" s="1763"/>
      <c r="CM144" s="1764">
        <f>SUM(CM142,CN142)</f>
        <v>19836.498888215079</v>
      </c>
      <c r="CO144" s="1762" t="s">
        <v>138</v>
      </c>
      <c r="CP144" s="1763"/>
      <c r="CQ144" s="1764">
        <f>SUM(CQ142,CR142)</f>
        <v>2859.72</v>
      </c>
      <c r="CS144" s="1762" t="s">
        <v>138</v>
      </c>
      <c r="CT144" s="1763"/>
      <c r="CU144" s="1764">
        <f>SUM(CU142,CV142)</f>
        <v>1898.6600000000003</v>
      </c>
    </row>
    <row r="145" ht="13.5"/>
  </sheetData>
  <phoneticPr fontId="4" type="noConversion"/>
  <hyperlinks>
    <hyperlink ref="CP24" r:id="rId1" xr:uid="{37DE769F-014F-4250-ACBE-1D17EE9D37CE}"/>
    <hyperlink ref="CP26" r:id="rId2" xr:uid="{4C5687C9-B1D3-405E-A5E4-391C2F0F24E0}"/>
    <hyperlink ref="CP29" r:id="rId3" xr:uid="{88C9AAF7-EB5E-4354-B64B-7BEA08D5A710}"/>
    <hyperlink ref="CP32" r:id="rId4" xr:uid="{193631B7-8538-48B6-ACE0-C2EAC35D7EB1}"/>
  </hyperlinks>
  <pageMargins left="0.75" right="0.75" top="1" bottom="1" header="0.5" footer="0.5"/>
  <pageSetup orientation="portrait" horizontalDpi="4294967292" verticalDpi="4294967292" r:id="rId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Monthly!$V$556:$V$584</xm:f>
          </x14:formula1>
          <xm:sqref>BT12:BT57 BT62:BT83 BT59:BT60 BX15:BX83 CB15:CB39 CB41:CB88 CF19:CF118 CJ10:CJ127 CN10:CN14 CN29:CN132 CR10:CR14 CR35:CR132 CV10:CV14 CV35:CV132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indexed="49"/>
  </sheetPr>
  <dimension ref="A1:CN241"/>
  <sheetViews>
    <sheetView topLeftCell="CG156" zoomScale="174" zoomScaleNormal="174" workbookViewId="0">
      <selection activeCell="CL186" sqref="CL186"/>
    </sheetView>
  </sheetViews>
  <sheetFormatPr defaultColWidth="8.85546875" defaultRowHeight="14.25"/>
  <cols>
    <col min="1" max="1" width="7.7109375" style="1000" customWidth="1"/>
    <col min="2" max="2" width="31.85546875" style="1000" customWidth="1"/>
    <col min="3" max="3" width="13.85546875" style="1000" customWidth="1"/>
    <col min="4" max="4" width="12.28515625" style="1000" customWidth="1"/>
    <col min="5" max="5" width="9.28515625" style="1000" customWidth="1"/>
    <col min="6" max="6" width="27.85546875" style="1000" customWidth="1"/>
    <col min="7" max="7" width="12.140625" style="1000" customWidth="1"/>
    <col min="8" max="8" width="12.28515625" style="1000" customWidth="1"/>
    <col min="9" max="9" width="9" style="1000" bestFit="1" customWidth="1"/>
    <col min="10" max="10" width="29.28515625" style="1000" customWidth="1"/>
    <col min="11" max="11" width="14.28515625" style="1000" customWidth="1"/>
    <col min="12" max="12" width="13.85546875" style="1000" customWidth="1"/>
    <col min="13" max="13" width="9" style="1000" bestFit="1" customWidth="1"/>
    <col min="14" max="14" width="34.28515625" style="1000" customWidth="1"/>
    <col min="15" max="15" width="11.85546875" style="1000" customWidth="1"/>
    <col min="16" max="16" width="11" style="1000" customWidth="1"/>
    <col min="17" max="17" width="9" style="1000" bestFit="1" customWidth="1"/>
    <col min="18" max="18" width="41.140625" style="1000" customWidth="1"/>
    <col min="19" max="19" width="14.42578125" style="1000" customWidth="1"/>
    <col min="20" max="21" width="9" style="1000" bestFit="1" customWidth="1"/>
    <col min="22" max="22" width="44.85546875" style="1000" customWidth="1"/>
    <col min="23" max="23" width="12.28515625" style="1000" customWidth="1"/>
    <col min="24" max="25" width="9" style="1000" bestFit="1" customWidth="1"/>
    <col min="26" max="26" width="44" style="1000" customWidth="1"/>
    <col min="27" max="27" width="10.7109375" style="1000" customWidth="1"/>
    <col min="28" max="28" width="6.7109375" style="1000" customWidth="1"/>
    <col min="29" max="29" width="9" style="1000" bestFit="1" customWidth="1"/>
    <col min="30" max="30" width="32" style="1000" customWidth="1"/>
    <col min="31" max="31" width="12" style="1000" customWidth="1"/>
    <col min="32" max="32" width="9" style="1000" bestFit="1" customWidth="1"/>
    <col min="33" max="33" width="11" style="1000" customWidth="1"/>
    <col min="34" max="34" width="47.7109375" style="1000" customWidth="1"/>
    <col min="35" max="35" width="12.140625" style="1000" customWidth="1"/>
    <col min="36" max="37" width="9" style="1000" bestFit="1" customWidth="1"/>
    <col min="38" max="38" width="36.7109375" style="1000" customWidth="1"/>
    <col min="39" max="39" width="11.42578125" style="1000" bestFit="1" customWidth="1"/>
    <col min="40" max="41" width="9" style="1000" bestFit="1" customWidth="1"/>
    <col min="42" max="42" width="49.140625" style="1000" customWidth="1"/>
    <col min="43" max="43" width="11.42578125" style="1000" bestFit="1" customWidth="1"/>
    <col min="44" max="45" width="9" style="1000" bestFit="1" customWidth="1"/>
    <col min="46" max="46" width="45.42578125" style="1000" customWidth="1"/>
    <col min="47" max="47" width="11.42578125" style="1000" bestFit="1" customWidth="1"/>
    <col min="48" max="49" width="9" style="1000" bestFit="1" customWidth="1"/>
    <col min="50" max="50" width="53.7109375" style="1000" customWidth="1"/>
    <col min="51" max="51" width="10.7109375" style="1000" customWidth="1"/>
    <col min="52" max="53" width="9" style="1000" bestFit="1" customWidth="1"/>
    <col min="54" max="54" width="53.7109375" style="1000" customWidth="1"/>
    <col min="55" max="55" width="10.7109375" style="1000" customWidth="1"/>
    <col min="56" max="56" width="13" style="1000" customWidth="1"/>
    <col min="57" max="57" width="9" style="1000" bestFit="1" customWidth="1"/>
    <col min="58" max="58" width="53.7109375" style="1000" customWidth="1"/>
    <col min="59" max="59" width="10.7109375" style="1000" customWidth="1"/>
    <col min="60" max="60" width="13" style="1000" customWidth="1"/>
    <col min="61" max="61" width="9" style="1000" bestFit="1" customWidth="1"/>
    <col min="62" max="62" width="53.7109375" style="1000" customWidth="1"/>
    <col min="63" max="63" width="10.7109375" style="1000" customWidth="1"/>
    <col min="64" max="64" width="13" style="1000" customWidth="1"/>
    <col min="65" max="65" width="9" style="1000" bestFit="1" customWidth="1"/>
    <col min="66" max="66" width="53.7109375" style="1000" customWidth="1"/>
    <col min="67" max="67" width="10.7109375" style="1000" customWidth="1"/>
    <col min="68" max="68" width="13" style="1000" customWidth="1"/>
    <col min="69" max="69" width="9" style="1000" bestFit="1" customWidth="1"/>
    <col min="70" max="70" width="51" style="1000" customWidth="1"/>
    <col min="71" max="71" width="13.42578125" style="1000" customWidth="1"/>
    <col min="72" max="72" width="15.140625" style="1000" customWidth="1"/>
    <col min="73" max="73" width="9" style="1000" bestFit="1" customWidth="1"/>
    <col min="74" max="74" width="51" style="1000" customWidth="1"/>
    <col min="75" max="75" width="13.42578125" style="1000" customWidth="1"/>
    <col min="76" max="76" width="15.140625" style="1000" customWidth="1"/>
    <col min="77" max="77" width="9" style="1000" bestFit="1" customWidth="1"/>
    <col min="78" max="78" width="51" style="1000" customWidth="1"/>
    <col min="79" max="79" width="13.42578125" style="1000" customWidth="1"/>
    <col min="80" max="80" width="15.140625" style="1000" customWidth="1"/>
    <col min="81" max="81" width="9" style="1000" bestFit="1" customWidth="1"/>
    <col min="82" max="82" width="51" style="1000" customWidth="1"/>
    <col min="83" max="83" width="13.42578125" style="1000" customWidth="1"/>
    <col min="84" max="84" width="15.140625" style="1000" customWidth="1"/>
    <col min="85" max="85" width="9" style="1000" bestFit="1" customWidth="1"/>
    <col min="86" max="86" width="51" style="1000" customWidth="1"/>
    <col min="87" max="87" width="13.42578125" style="1000" customWidth="1"/>
    <col min="88" max="88" width="15.140625" style="1000" customWidth="1"/>
    <col min="89" max="89" width="8.85546875" style="1000"/>
    <col min="90" max="90" width="85.42578125" style="1000" customWidth="1"/>
    <col min="91" max="91" width="9.42578125" style="1000" bestFit="1" customWidth="1"/>
    <col min="92" max="92" width="12.140625" style="1000" customWidth="1"/>
    <col min="93" max="16384" width="8.85546875" style="1000"/>
  </cols>
  <sheetData>
    <row r="1" spans="1:92">
      <c r="A1" s="1050"/>
      <c r="B1" s="1051" t="s">
        <v>9652</v>
      </c>
      <c r="C1" s="1052"/>
      <c r="D1" s="1053"/>
      <c r="E1" s="995"/>
      <c r="F1" s="996" t="s">
        <v>9653</v>
      </c>
      <c r="G1" s="995"/>
      <c r="H1" s="997"/>
      <c r="I1" s="995"/>
      <c r="J1" s="996" t="s">
        <v>9654</v>
      </c>
      <c r="K1" s="995"/>
      <c r="L1" s="997"/>
      <c r="M1" s="995"/>
      <c r="N1" s="996" t="s">
        <v>9655</v>
      </c>
      <c r="O1" s="995"/>
      <c r="P1" s="997"/>
      <c r="Q1" s="995"/>
      <c r="R1" s="996" t="s">
        <v>9656</v>
      </c>
      <c r="S1" s="995"/>
      <c r="T1" s="997"/>
      <c r="U1" s="995"/>
      <c r="V1" s="998" t="s">
        <v>9657</v>
      </c>
      <c r="W1" s="995"/>
      <c r="X1" s="997"/>
      <c r="Y1" s="995"/>
      <c r="Z1" s="998" t="s">
        <v>9658</v>
      </c>
      <c r="AA1" s="995"/>
      <c r="AB1" s="997"/>
      <c r="AC1" s="995"/>
      <c r="AD1" s="998" t="s">
        <v>9659</v>
      </c>
      <c r="AE1" s="995"/>
      <c r="AF1" s="997"/>
      <c r="AG1" s="995"/>
      <c r="AH1" s="998" t="s">
        <v>9660</v>
      </c>
      <c r="AI1" s="995"/>
      <c r="AJ1" s="997"/>
      <c r="AK1" s="995"/>
      <c r="AL1" s="998" t="s">
        <v>9661</v>
      </c>
      <c r="AM1" s="995"/>
      <c r="AN1" s="997"/>
      <c r="AO1" s="995"/>
      <c r="AP1" s="998" t="s">
        <v>9662</v>
      </c>
      <c r="AQ1" s="995"/>
      <c r="AR1" s="997"/>
      <c r="AS1" s="995"/>
      <c r="AT1" s="998" t="s">
        <v>9663</v>
      </c>
      <c r="AU1" s="995"/>
      <c r="AV1" s="997"/>
      <c r="AW1" s="995"/>
      <c r="AX1" s="998" t="s">
        <v>9664</v>
      </c>
      <c r="AY1" s="995"/>
      <c r="AZ1" s="997"/>
      <c r="BA1" s="995"/>
      <c r="BB1" s="998" t="s">
        <v>9665</v>
      </c>
      <c r="BC1" s="995"/>
      <c r="BD1" s="1054"/>
      <c r="BE1" s="999"/>
      <c r="BF1" s="998" t="s">
        <v>9666</v>
      </c>
      <c r="BG1" s="995"/>
      <c r="BH1" s="997"/>
      <c r="BI1" s="999"/>
      <c r="BJ1" s="998" t="s">
        <v>9667</v>
      </c>
      <c r="BK1" s="995"/>
      <c r="BL1" s="997"/>
      <c r="BM1" s="999"/>
      <c r="BN1" s="998" t="s">
        <v>9668</v>
      </c>
      <c r="BO1" s="995"/>
      <c r="BP1" s="997"/>
      <c r="BQ1" s="999"/>
      <c r="BR1" s="998" t="s">
        <v>9669</v>
      </c>
      <c r="BS1" s="995"/>
      <c r="BT1" s="997"/>
      <c r="BU1" s="999"/>
      <c r="BV1" s="998" t="s">
        <v>9670</v>
      </c>
      <c r="BW1" s="995"/>
      <c r="BX1" s="997"/>
      <c r="BY1" s="999"/>
      <c r="BZ1" s="998" t="s">
        <v>9671</v>
      </c>
      <c r="CA1" s="995"/>
      <c r="CB1" s="997"/>
      <c r="CC1" s="999"/>
      <c r="CD1" s="998" t="s">
        <v>9672</v>
      </c>
      <c r="CE1" s="995"/>
      <c r="CF1" s="1054"/>
      <c r="CG1" s="1315"/>
      <c r="CH1" s="1316" t="s">
        <v>9673</v>
      </c>
      <c r="CI1" s="1317"/>
      <c r="CJ1" s="1318"/>
      <c r="CK1" s="1315"/>
      <c r="CL1" s="1316" t="s">
        <v>9673</v>
      </c>
      <c r="CM1" s="1317"/>
      <c r="CN1" s="1318"/>
    </row>
    <row r="2" spans="1:92">
      <c r="A2" s="1001" t="s">
        <v>1796</v>
      </c>
      <c r="B2" s="1002" t="s">
        <v>138</v>
      </c>
      <c r="C2" s="1003" t="s">
        <v>3008</v>
      </c>
      <c r="D2" s="1004" t="s">
        <v>3009</v>
      </c>
      <c r="E2" s="1001" t="s">
        <v>1796</v>
      </c>
      <c r="F2" s="1002" t="s">
        <v>138</v>
      </c>
      <c r="G2" s="1003" t="s">
        <v>3008</v>
      </c>
      <c r="H2" s="1004" t="s">
        <v>3009</v>
      </c>
      <c r="I2" s="1001" t="s">
        <v>1796</v>
      </c>
      <c r="J2" s="1002" t="s">
        <v>138</v>
      </c>
      <c r="K2" s="1003" t="s">
        <v>3008</v>
      </c>
      <c r="L2" s="1004" t="s">
        <v>3009</v>
      </c>
      <c r="M2" s="1001" t="s">
        <v>1796</v>
      </c>
      <c r="N2" s="1002" t="s">
        <v>138</v>
      </c>
      <c r="O2" s="1003" t="s">
        <v>3008</v>
      </c>
      <c r="P2" s="1004" t="s">
        <v>3009</v>
      </c>
      <c r="Q2" s="1001" t="s">
        <v>1796</v>
      </c>
      <c r="R2" s="1002" t="s">
        <v>138</v>
      </c>
      <c r="S2" s="1003" t="s">
        <v>3008</v>
      </c>
      <c r="T2" s="1004" t="s">
        <v>3009</v>
      </c>
      <c r="U2" s="1001" t="s">
        <v>1796</v>
      </c>
      <c r="V2" s="1002" t="s">
        <v>138</v>
      </c>
      <c r="W2" s="1003" t="s">
        <v>3008</v>
      </c>
      <c r="X2" s="1004" t="s">
        <v>3009</v>
      </c>
      <c r="Y2" s="1001" t="s">
        <v>1796</v>
      </c>
      <c r="Z2" s="1002" t="s">
        <v>138</v>
      </c>
      <c r="AA2" s="1003" t="s">
        <v>3008</v>
      </c>
      <c r="AB2" s="1004" t="s">
        <v>3009</v>
      </c>
      <c r="AC2" s="1001" t="s">
        <v>1796</v>
      </c>
      <c r="AD2" s="1002" t="s">
        <v>138</v>
      </c>
      <c r="AE2" s="1003" t="s">
        <v>3008</v>
      </c>
      <c r="AF2" s="1004" t="s">
        <v>3009</v>
      </c>
      <c r="AG2" s="1001" t="s">
        <v>1796</v>
      </c>
      <c r="AH2" s="1002" t="s">
        <v>138</v>
      </c>
      <c r="AI2" s="1003" t="s">
        <v>3008</v>
      </c>
      <c r="AJ2" s="1004" t="s">
        <v>3009</v>
      </c>
      <c r="AK2" s="1001" t="s">
        <v>1796</v>
      </c>
      <c r="AL2" s="1002" t="s">
        <v>138</v>
      </c>
      <c r="AM2" s="1003" t="s">
        <v>3008</v>
      </c>
      <c r="AN2" s="1004" t="s">
        <v>3009</v>
      </c>
      <c r="AO2" s="1001" t="s">
        <v>1796</v>
      </c>
      <c r="AP2" s="1002" t="s">
        <v>138</v>
      </c>
      <c r="AQ2" s="1003" t="s">
        <v>3008</v>
      </c>
      <c r="AR2" s="1004" t="s">
        <v>3009</v>
      </c>
      <c r="AS2" s="1001" t="s">
        <v>1796</v>
      </c>
      <c r="AT2" s="1002" t="s">
        <v>138</v>
      </c>
      <c r="AU2" s="1003" t="s">
        <v>3008</v>
      </c>
      <c r="AV2" s="1004" t="s">
        <v>3009</v>
      </c>
      <c r="AW2" s="1001" t="s">
        <v>1796</v>
      </c>
      <c r="AX2" s="1002" t="s">
        <v>138</v>
      </c>
      <c r="AY2" s="1003" t="s">
        <v>3008</v>
      </c>
      <c r="AZ2" s="1004" t="s">
        <v>3009</v>
      </c>
      <c r="BA2" s="1001" t="s">
        <v>1796</v>
      </c>
      <c r="BB2" s="1002" t="s">
        <v>138</v>
      </c>
      <c r="BC2" s="1003" t="s">
        <v>3008</v>
      </c>
      <c r="BD2" s="1055" t="s">
        <v>3009</v>
      </c>
      <c r="BE2" s="1001" t="s">
        <v>1796</v>
      </c>
      <c r="BF2" s="1002" t="s">
        <v>138</v>
      </c>
      <c r="BG2" s="1003" t="s">
        <v>3008</v>
      </c>
      <c r="BH2" s="1004" t="s">
        <v>3009</v>
      </c>
      <c r="BI2" s="1001" t="s">
        <v>1796</v>
      </c>
      <c r="BJ2" s="1002" t="s">
        <v>138</v>
      </c>
      <c r="BK2" s="1003" t="s">
        <v>3008</v>
      </c>
      <c r="BL2" s="1004" t="s">
        <v>3009</v>
      </c>
      <c r="BM2" s="1001" t="s">
        <v>1796</v>
      </c>
      <c r="BN2" s="1002" t="s">
        <v>138</v>
      </c>
      <c r="BO2" s="1003" t="s">
        <v>3008</v>
      </c>
      <c r="BP2" s="1004" t="s">
        <v>3009</v>
      </c>
      <c r="BQ2" s="1005" t="s">
        <v>1796</v>
      </c>
      <c r="BR2" s="1006" t="s">
        <v>138</v>
      </c>
      <c r="BS2" s="1007" t="s">
        <v>3008</v>
      </c>
      <c r="BT2" s="1004" t="s">
        <v>3009</v>
      </c>
      <c r="BU2" s="1005" t="s">
        <v>1796</v>
      </c>
      <c r="BV2" s="1006" t="s">
        <v>138</v>
      </c>
      <c r="BW2" s="1007" t="s">
        <v>3008</v>
      </c>
      <c r="BX2" s="1004" t="s">
        <v>3009</v>
      </c>
      <c r="BY2" s="1005" t="s">
        <v>1796</v>
      </c>
      <c r="BZ2" s="1006" t="s">
        <v>138</v>
      </c>
      <c r="CA2" s="1007" t="s">
        <v>3008</v>
      </c>
      <c r="CB2" s="1004" t="s">
        <v>3009</v>
      </c>
      <c r="CC2" s="1005" t="s">
        <v>1796</v>
      </c>
      <c r="CD2" s="1006" t="s">
        <v>138</v>
      </c>
      <c r="CE2" s="1007" t="s">
        <v>3008</v>
      </c>
      <c r="CF2" s="1055" t="s">
        <v>3009</v>
      </c>
      <c r="CG2" s="1319" t="s">
        <v>1796</v>
      </c>
      <c r="CH2" s="1006" t="s">
        <v>138</v>
      </c>
      <c r="CI2" s="1007" t="s">
        <v>3008</v>
      </c>
      <c r="CJ2" s="1320" t="s">
        <v>3009</v>
      </c>
      <c r="CK2" s="1319" t="s">
        <v>1796</v>
      </c>
      <c r="CL2" s="1006" t="s">
        <v>138</v>
      </c>
      <c r="CM2" s="1007" t="s">
        <v>3008</v>
      </c>
      <c r="CN2" s="1320" t="s">
        <v>3009</v>
      </c>
    </row>
    <row r="3" spans="1:92">
      <c r="A3" s="1008"/>
      <c r="B3" s="1008"/>
      <c r="C3" s="1009"/>
      <c r="D3" s="1010"/>
      <c r="E3" s="1011"/>
      <c r="F3" s="1012"/>
      <c r="G3" s="1013"/>
      <c r="H3" s="1011"/>
      <c r="I3" s="1011"/>
      <c r="J3" s="1012"/>
      <c r="K3" s="1013"/>
      <c r="L3" s="1011"/>
      <c r="M3" s="1011"/>
      <c r="N3" s="1012"/>
      <c r="O3" s="1013"/>
      <c r="P3" s="1011"/>
      <c r="Q3" s="1011"/>
      <c r="R3" s="1012"/>
      <c r="S3" s="1013"/>
      <c r="T3" s="1011"/>
      <c r="U3" s="1011"/>
      <c r="V3" s="1012"/>
      <c r="W3" s="1013"/>
      <c r="X3" s="1011"/>
      <c r="Y3" s="1011"/>
      <c r="Z3" s="1012"/>
      <c r="AA3" s="1013"/>
      <c r="AB3" s="1011"/>
      <c r="AC3" s="1011"/>
      <c r="AD3" s="1012"/>
      <c r="AE3" s="1013"/>
      <c r="AF3" s="1011"/>
      <c r="AG3" s="1011"/>
      <c r="AH3" s="1012"/>
      <c r="AI3" s="1013"/>
      <c r="AJ3" s="1011"/>
      <c r="AK3" s="1011"/>
      <c r="AL3" s="1012"/>
      <c r="AM3" s="1013"/>
      <c r="AN3" s="1011"/>
      <c r="AO3" s="1011"/>
      <c r="AP3" s="1012"/>
      <c r="AQ3" s="1013"/>
      <c r="AR3" s="1011"/>
      <c r="AS3" s="1011"/>
      <c r="AT3" s="1012"/>
      <c r="AU3" s="1013"/>
      <c r="AV3" s="1011"/>
      <c r="AW3" s="1011"/>
      <c r="AX3" s="1012"/>
      <c r="AY3" s="1013"/>
      <c r="AZ3" s="1011"/>
      <c r="BA3" s="1011"/>
      <c r="BB3" s="1012"/>
      <c r="BC3" s="1013"/>
      <c r="BD3" s="1056"/>
      <c r="BE3" s="1057"/>
      <c r="BF3" s="1012"/>
      <c r="BG3" s="1013"/>
      <c r="BH3" s="1016"/>
      <c r="BI3" s="1057"/>
      <c r="BJ3" s="1012"/>
      <c r="BK3" s="1013"/>
      <c r="BL3" s="1016"/>
      <c r="BM3" s="1057"/>
      <c r="BN3" s="1012"/>
      <c r="BO3" s="1013"/>
      <c r="BP3" s="1016"/>
      <c r="BQ3" s="1014"/>
      <c r="BR3" s="1012"/>
      <c r="BS3" s="1015"/>
      <c r="BT3" s="1016"/>
      <c r="BU3" s="1014"/>
      <c r="BV3" s="1012"/>
      <c r="BW3" s="1015"/>
      <c r="BX3" s="1016"/>
      <c r="BY3" s="1014"/>
      <c r="BZ3" s="1012"/>
      <c r="CA3" s="1015"/>
      <c r="CB3" s="1016"/>
      <c r="CC3" s="1014"/>
      <c r="CD3" s="1012"/>
      <c r="CE3" s="1015"/>
      <c r="CF3" s="1056"/>
      <c r="CG3" s="1321"/>
      <c r="CH3" s="1012"/>
      <c r="CI3" s="1015"/>
      <c r="CJ3" s="1322"/>
      <c r="CK3" s="1321"/>
      <c r="CL3" s="1012"/>
      <c r="CM3" s="1015"/>
      <c r="CN3" s="1322"/>
    </row>
    <row r="4" spans="1:92">
      <c r="A4" s="1077"/>
      <c r="B4" s="1032"/>
      <c r="C4" s="1033"/>
      <c r="D4" s="1034"/>
      <c r="E4" s="1017"/>
      <c r="F4" s="1019"/>
      <c r="G4" s="1036"/>
      <c r="H4" s="1034"/>
      <c r="I4" s="1017"/>
      <c r="J4" s="1019"/>
      <c r="K4" s="1036"/>
      <c r="L4" s="1034"/>
      <c r="M4" s="1017"/>
      <c r="N4" s="1019"/>
      <c r="O4" s="1036"/>
      <c r="P4" s="1034"/>
      <c r="Q4" s="1017"/>
      <c r="R4" s="1019"/>
      <c r="S4" s="1036"/>
      <c r="T4" s="1034"/>
      <c r="U4" s="1017"/>
      <c r="V4" s="1019"/>
      <c r="W4" s="1036"/>
      <c r="X4" s="1034"/>
      <c r="Y4" s="1017"/>
      <c r="Z4" s="1019"/>
      <c r="AA4" s="1036"/>
      <c r="AB4" s="1034"/>
      <c r="AC4" s="1017"/>
      <c r="AD4" s="1019"/>
      <c r="AE4" s="1036"/>
      <c r="AF4" s="1034"/>
      <c r="AG4" s="1017"/>
      <c r="AH4" s="1019"/>
      <c r="AI4" s="1036"/>
      <c r="AJ4" s="1034"/>
      <c r="AK4" s="1017"/>
      <c r="AL4" s="1019"/>
      <c r="AM4" s="1036"/>
      <c r="AN4" s="1034"/>
      <c r="AO4" s="1017"/>
      <c r="AP4" s="1019"/>
      <c r="AQ4" s="1036"/>
      <c r="AR4" s="1034"/>
      <c r="AS4" s="1017"/>
      <c r="AT4" s="1019"/>
      <c r="AU4" s="1036"/>
      <c r="AV4" s="1034"/>
      <c r="AW4" s="1017"/>
      <c r="AX4" s="1019"/>
      <c r="AY4" s="1036"/>
      <c r="AZ4" s="1034"/>
      <c r="BA4" s="1017"/>
      <c r="BB4" s="1019"/>
      <c r="BC4" s="1036"/>
      <c r="BD4" s="1378"/>
      <c r="BE4" s="1017"/>
      <c r="BF4" s="1019"/>
      <c r="BG4" s="1065"/>
      <c r="BH4" s="1034"/>
      <c r="BI4" s="1017"/>
      <c r="BJ4" s="1019"/>
      <c r="BK4" s="1065"/>
      <c r="BL4" s="1034"/>
      <c r="BM4" s="1017"/>
      <c r="BN4" s="1019"/>
      <c r="BO4" s="1065"/>
      <c r="BP4" s="1034"/>
      <c r="BQ4" s="1017">
        <v>43770</v>
      </c>
      <c r="BR4" s="1037" t="s">
        <v>759</v>
      </c>
      <c r="BS4" s="1038">
        <v>295</v>
      </c>
      <c r="BT4" s="1018" t="s">
        <v>689</v>
      </c>
      <c r="BU4" s="1017">
        <v>43770</v>
      </c>
      <c r="BV4" s="1037" t="s">
        <v>759</v>
      </c>
      <c r="BW4" s="1038">
        <v>295</v>
      </c>
      <c r="BX4" s="1039" t="s">
        <v>689</v>
      </c>
      <c r="BY4" s="1017">
        <v>44501</v>
      </c>
      <c r="BZ4" s="1019" t="s">
        <v>7047</v>
      </c>
      <c r="CA4" s="1038">
        <v>632</v>
      </c>
      <c r="CB4" s="1018" t="s">
        <v>689</v>
      </c>
      <c r="CC4" s="1017">
        <v>44501</v>
      </c>
      <c r="CD4" s="1019" t="s">
        <v>7047</v>
      </c>
      <c r="CE4" s="1379">
        <v>690</v>
      </c>
      <c r="CF4" s="1334" t="s">
        <v>689</v>
      </c>
      <c r="CG4" s="1326">
        <v>44501</v>
      </c>
      <c r="CH4" s="1019" t="s">
        <v>7047</v>
      </c>
      <c r="CI4" s="1379">
        <v>690</v>
      </c>
      <c r="CJ4" s="1323" t="s">
        <v>689</v>
      </c>
      <c r="CK4" s="1326">
        <v>44501</v>
      </c>
      <c r="CL4" s="1019" t="s">
        <v>7047</v>
      </c>
      <c r="CM4" s="1379">
        <v>690</v>
      </c>
      <c r="CN4" s="1323" t="s">
        <v>689</v>
      </c>
    </row>
    <row r="5" spans="1:92">
      <c r="A5" s="1077">
        <v>37561</v>
      </c>
      <c r="B5" s="1019" t="s">
        <v>556</v>
      </c>
      <c r="C5" s="1036">
        <v>1075</v>
      </c>
      <c r="D5" s="1034"/>
      <c r="E5" s="1017">
        <v>37926</v>
      </c>
      <c r="F5" s="1019" t="s">
        <v>556</v>
      </c>
      <c r="G5" s="1036">
        <v>1075</v>
      </c>
      <c r="H5" s="1034"/>
      <c r="I5" s="1017">
        <v>37926</v>
      </c>
      <c r="J5" s="1019" t="s">
        <v>556</v>
      </c>
      <c r="K5" s="1036">
        <v>1075</v>
      </c>
      <c r="L5" s="1034"/>
      <c r="M5" s="1017">
        <v>38658</v>
      </c>
      <c r="N5" s="1019" t="s">
        <v>9674</v>
      </c>
      <c r="O5" s="1036">
        <v>15</v>
      </c>
      <c r="P5" s="1034"/>
      <c r="Q5" s="1017">
        <v>39022</v>
      </c>
      <c r="R5" s="1019" t="s">
        <v>9675</v>
      </c>
      <c r="S5" s="1036">
        <v>2300</v>
      </c>
      <c r="T5" s="1034"/>
      <c r="U5" s="1017">
        <v>39389</v>
      </c>
      <c r="V5" s="1019" t="s">
        <v>9676</v>
      </c>
      <c r="W5" s="1036">
        <v>6</v>
      </c>
      <c r="X5" s="1034"/>
      <c r="Y5" s="1017">
        <v>39753</v>
      </c>
      <c r="Z5" s="1019" t="s">
        <v>9677</v>
      </c>
      <c r="AA5" s="1036">
        <v>0</v>
      </c>
      <c r="AB5" s="1034"/>
      <c r="AC5" s="1017">
        <v>39753</v>
      </c>
      <c r="AD5" s="1019" t="s">
        <v>781</v>
      </c>
      <c r="AE5" s="1036">
        <v>89</v>
      </c>
      <c r="AF5" s="1034"/>
      <c r="AG5" s="1017">
        <v>40483</v>
      </c>
      <c r="AH5" s="1019" t="s">
        <v>9678</v>
      </c>
      <c r="AI5" s="1036">
        <v>95</v>
      </c>
      <c r="AJ5" s="1034"/>
      <c r="AK5" s="1017">
        <v>40848</v>
      </c>
      <c r="AL5" s="1019" t="s">
        <v>9679</v>
      </c>
      <c r="AM5" s="1036">
        <v>34</v>
      </c>
      <c r="AN5" s="1034"/>
      <c r="AO5" s="1017">
        <v>41214</v>
      </c>
      <c r="AP5" s="1019" t="s">
        <v>802</v>
      </c>
      <c r="AQ5" s="1036">
        <v>50</v>
      </c>
      <c r="AR5" s="1034"/>
      <c r="AS5" s="1017">
        <v>41579</v>
      </c>
      <c r="AT5" s="1019" t="s">
        <v>772</v>
      </c>
      <c r="AU5" s="1036">
        <v>125</v>
      </c>
      <c r="AV5" s="1034"/>
      <c r="AW5" s="1017">
        <v>41944</v>
      </c>
      <c r="AX5" s="1019" t="s">
        <v>9680</v>
      </c>
      <c r="AY5" s="1036">
        <v>15</v>
      </c>
      <c r="AZ5" s="1034"/>
      <c r="BA5" s="1017">
        <v>42309</v>
      </c>
      <c r="BB5" s="1019" t="s">
        <v>1091</v>
      </c>
      <c r="BC5" s="1036">
        <v>16</v>
      </c>
      <c r="BD5" s="1378"/>
      <c r="BE5" s="1017">
        <v>42675</v>
      </c>
      <c r="BF5" s="1019" t="s">
        <v>1573</v>
      </c>
      <c r="BG5" s="1065">
        <v>78</v>
      </c>
      <c r="BH5" s="1034"/>
      <c r="BI5" s="1017">
        <v>43040</v>
      </c>
      <c r="BJ5" s="1019" t="s">
        <v>859</v>
      </c>
      <c r="BK5" s="1065">
        <v>11</v>
      </c>
      <c r="BL5" s="1034"/>
      <c r="BM5" s="1017">
        <v>43405</v>
      </c>
      <c r="BN5" s="1019" t="s">
        <v>9681</v>
      </c>
      <c r="BO5" s="1065">
        <v>356</v>
      </c>
      <c r="BP5" s="1034"/>
      <c r="BQ5" s="1017">
        <v>43770</v>
      </c>
      <c r="BR5" s="1019" t="s">
        <v>9682</v>
      </c>
      <c r="BS5" s="1036">
        <v>1495</v>
      </c>
      <c r="BT5" s="1018" t="s">
        <v>706</v>
      </c>
      <c r="BU5" s="1017">
        <v>43770</v>
      </c>
      <c r="BV5" s="1019" t="s">
        <v>777</v>
      </c>
      <c r="BW5" s="1036">
        <v>288</v>
      </c>
      <c r="BX5" s="1018" t="s">
        <v>689</v>
      </c>
      <c r="BY5" s="1017">
        <v>44501</v>
      </c>
      <c r="BZ5" s="1019" t="s">
        <v>4004</v>
      </c>
      <c r="CA5" s="1038">
        <v>400</v>
      </c>
      <c r="CB5" s="1018" t="s">
        <v>689</v>
      </c>
      <c r="CC5" s="1017">
        <v>44501</v>
      </c>
      <c r="CD5" s="1019" t="s">
        <v>760</v>
      </c>
      <c r="CE5" s="1379">
        <v>30</v>
      </c>
      <c r="CF5" s="1334" t="s">
        <v>689</v>
      </c>
      <c r="CG5" s="1326">
        <v>44501</v>
      </c>
      <c r="CH5" s="1019" t="s">
        <v>760</v>
      </c>
      <c r="CI5" s="1379">
        <v>30</v>
      </c>
      <c r="CJ5" s="1323" t="s">
        <v>689</v>
      </c>
      <c r="CK5" s="1326">
        <v>44501</v>
      </c>
      <c r="CL5" s="1019" t="s">
        <v>760</v>
      </c>
      <c r="CM5" s="1379">
        <v>30</v>
      </c>
      <c r="CN5" s="1323" t="s">
        <v>689</v>
      </c>
    </row>
    <row r="6" spans="1:92">
      <c r="A6" s="1077">
        <v>37561</v>
      </c>
      <c r="B6" s="1019" t="s">
        <v>276</v>
      </c>
      <c r="C6" s="1036">
        <v>622</v>
      </c>
      <c r="D6" s="1034">
        <v>386</v>
      </c>
      <c r="E6" s="1017">
        <v>37926</v>
      </c>
      <c r="F6" s="1019" t="s">
        <v>276</v>
      </c>
      <c r="G6" s="1036">
        <v>421</v>
      </c>
      <c r="H6" s="1034">
        <v>1300</v>
      </c>
      <c r="I6" s="1017">
        <v>37926</v>
      </c>
      <c r="J6" s="1019" t="s">
        <v>276</v>
      </c>
      <c r="K6" s="1036">
        <v>421</v>
      </c>
      <c r="L6" s="1034">
        <v>1300</v>
      </c>
      <c r="M6" s="1017">
        <v>38658</v>
      </c>
      <c r="N6" s="1019" t="s">
        <v>797</v>
      </c>
      <c r="O6" s="1036">
        <v>36</v>
      </c>
      <c r="P6" s="1034"/>
      <c r="Q6" s="1017">
        <v>39023</v>
      </c>
      <c r="R6" s="1019" t="s">
        <v>767</v>
      </c>
      <c r="S6" s="1036">
        <v>14</v>
      </c>
      <c r="T6" s="1034"/>
      <c r="U6" s="1017">
        <v>39389</v>
      </c>
      <c r="V6" s="1019" t="s">
        <v>9683</v>
      </c>
      <c r="W6" s="1036">
        <v>24</v>
      </c>
      <c r="X6" s="1034"/>
      <c r="Y6" s="1017">
        <v>39753</v>
      </c>
      <c r="Z6" s="1019" t="s">
        <v>9684</v>
      </c>
      <c r="AA6" s="1036">
        <v>28</v>
      </c>
      <c r="AB6" s="1034"/>
      <c r="AC6" s="1017">
        <v>39753</v>
      </c>
      <c r="AD6" s="1019" t="s">
        <v>797</v>
      </c>
      <c r="AE6" s="1036">
        <v>45</v>
      </c>
      <c r="AF6" s="1034"/>
      <c r="AG6" s="1017">
        <v>40483</v>
      </c>
      <c r="AH6" s="1019" t="s">
        <v>9685</v>
      </c>
      <c r="AI6" s="1036">
        <v>21</v>
      </c>
      <c r="AJ6" s="1034"/>
      <c r="AK6" s="1017">
        <v>40852</v>
      </c>
      <c r="AL6" s="1019" t="s">
        <v>802</v>
      </c>
      <c r="AM6" s="1036">
        <v>40</v>
      </c>
      <c r="AN6" s="1034"/>
      <c r="AO6" s="1017">
        <v>41215</v>
      </c>
      <c r="AP6" s="1019" t="s">
        <v>9686</v>
      </c>
      <c r="AQ6" s="1036">
        <v>31</v>
      </c>
      <c r="AR6" s="1034"/>
      <c r="AS6" s="1017">
        <v>41579</v>
      </c>
      <c r="AT6" s="1019" t="s">
        <v>754</v>
      </c>
      <c r="AU6" s="1036">
        <v>128</v>
      </c>
      <c r="AV6" s="1034"/>
      <c r="AW6" s="1017">
        <v>41945</v>
      </c>
      <c r="AX6" s="1019" t="s">
        <v>797</v>
      </c>
      <c r="AY6" s="1036">
        <v>33</v>
      </c>
      <c r="AZ6" s="1034"/>
      <c r="BA6" s="1017">
        <v>42309</v>
      </c>
      <c r="BB6" s="1019" t="s">
        <v>9687</v>
      </c>
      <c r="BC6" s="1036">
        <v>20</v>
      </c>
      <c r="BD6" s="1378"/>
      <c r="BE6" s="1017">
        <v>42678</v>
      </c>
      <c r="BF6" s="1019" t="s">
        <v>9688</v>
      </c>
      <c r="BG6" s="1065">
        <v>0</v>
      </c>
      <c r="BH6" s="1034"/>
      <c r="BI6" s="1017">
        <v>43041</v>
      </c>
      <c r="BJ6" s="1019" t="s">
        <v>873</v>
      </c>
      <c r="BK6" s="1065">
        <v>7</v>
      </c>
      <c r="BL6" s="1034"/>
      <c r="BM6" s="1017">
        <v>43405</v>
      </c>
      <c r="BN6" s="1019" t="s">
        <v>9689</v>
      </c>
      <c r="BO6" s="1065">
        <v>158</v>
      </c>
      <c r="BP6" s="1034"/>
      <c r="BQ6" s="1017">
        <v>43770</v>
      </c>
      <c r="BR6" s="1019" t="s">
        <v>842</v>
      </c>
      <c r="BS6" s="1036"/>
      <c r="BT6" s="1018" t="s">
        <v>689</v>
      </c>
      <c r="BU6" s="1017">
        <v>43770</v>
      </c>
      <c r="BV6" s="1019" t="s">
        <v>792</v>
      </c>
      <c r="BW6" s="1036">
        <v>30</v>
      </c>
      <c r="BX6" s="1018" t="s">
        <v>689</v>
      </c>
      <c r="BY6" s="1017">
        <v>44501</v>
      </c>
      <c r="BZ6" s="1019" t="s">
        <v>3547</v>
      </c>
      <c r="CA6" s="1038">
        <v>11</v>
      </c>
      <c r="CB6" s="1018" t="s">
        <v>280</v>
      </c>
      <c r="CC6" s="1017">
        <v>44501</v>
      </c>
      <c r="CD6" s="1019" t="s">
        <v>9690</v>
      </c>
      <c r="CE6" s="1379">
        <v>11</v>
      </c>
      <c r="CF6" s="1334" t="s">
        <v>280</v>
      </c>
      <c r="CG6" s="1326">
        <v>44501</v>
      </c>
      <c r="CH6" s="1019" t="s">
        <v>9690</v>
      </c>
      <c r="CI6" s="1379">
        <v>11</v>
      </c>
      <c r="CJ6" s="1323" t="s">
        <v>280</v>
      </c>
      <c r="CK6" s="1326">
        <v>44501</v>
      </c>
      <c r="CL6" s="1019" t="s">
        <v>9690</v>
      </c>
      <c r="CM6" s="1379">
        <v>11</v>
      </c>
      <c r="CN6" s="1323" t="s">
        <v>280</v>
      </c>
    </row>
    <row r="7" spans="1:92">
      <c r="A7" s="1077">
        <v>37561</v>
      </c>
      <c r="B7" s="1019" t="s">
        <v>400</v>
      </c>
      <c r="C7" s="1036">
        <v>200</v>
      </c>
      <c r="D7" s="1034">
        <v>0</v>
      </c>
      <c r="E7" s="1017">
        <v>37926</v>
      </c>
      <c r="F7" s="1019" t="s">
        <v>400</v>
      </c>
      <c r="G7" s="1036">
        <v>0</v>
      </c>
      <c r="H7" s="1034">
        <v>0</v>
      </c>
      <c r="I7" s="1017">
        <v>37926</v>
      </c>
      <c r="J7" s="1019" t="s">
        <v>400</v>
      </c>
      <c r="K7" s="1036">
        <v>0</v>
      </c>
      <c r="L7" s="1034">
        <v>0</v>
      </c>
      <c r="M7" s="1017">
        <v>38660</v>
      </c>
      <c r="N7" s="1019" t="s">
        <v>9691</v>
      </c>
      <c r="O7" s="1036">
        <v>18</v>
      </c>
      <c r="P7" s="1034"/>
      <c r="Q7" s="1017">
        <v>39025</v>
      </c>
      <c r="R7" s="1019" t="s">
        <v>767</v>
      </c>
      <c r="S7" s="1036">
        <v>33</v>
      </c>
      <c r="T7" s="1034"/>
      <c r="U7" s="1017">
        <v>39390</v>
      </c>
      <c r="V7" s="1019" t="s">
        <v>797</v>
      </c>
      <c r="W7" s="1036">
        <v>52</v>
      </c>
      <c r="X7" s="1034"/>
      <c r="Y7" s="1017">
        <v>39753</v>
      </c>
      <c r="Z7" s="1019" t="s">
        <v>783</v>
      </c>
      <c r="AA7" s="1036">
        <v>8</v>
      </c>
      <c r="AB7" s="1034"/>
      <c r="AC7" s="1017">
        <v>40123</v>
      </c>
      <c r="AD7" s="1019" t="s">
        <v>781</v>
      </c>
      <c r="AE7" s="1036">
        <v>116</v>
      </c>
      <c r="AF7" s="1034"/>
      <c r="AG7" s="1017">
        <v>40483</v>
      </c>
      <c r="AH7" s="1019" t="s">
        <v>937</v>
      </c>
      <c r="AI7" s="1036">
        <v>35</v>
      </c>
      <c r="AJ7" s="1034"/>
      <c r="AK7" s="1017">
        <v>40853</v>
      </c>
      <c r="AL7" s="1019" t="s">
        <v>781</v>
      </c>
      <c r="AM7" s="1036">
        <v>78</v>
      </c>
      <c r="AN7" s="1034"/>
      <c r="AO7" s="1017">
        <v>41215</v>
      </c>
      <c r="AP7" s="1019" t="s">
        <v>9692</v>
      </c>
      <c r="AQ7" s="1036">
        <v>276</v>
      </c>
      <c r="AR7" s="1034"/>
      <c r="AS7" s="1017">
        <v>41580</v>
      </c>
      <c r="AT7" s="1019" t="s">
        <v>9693</v>
      </c>
      <c r="AU7" s="1036">
        <v>32</v>
      </c>
      <c r="AV7" s="1034"/>
      <c r="AW7" s="1017">
        <v>41945</v>
      </c>
      <c r="AX7" s="1019" t="s">
        <v>802</v>
      </c>
      <c r="AY7" s="1036">
        <v>27</v>
      </c>
      <c r="AZ7" s="1034"/>
      <c r="BA7" s="1017">
        <v>42311</v>
      </c>
      <c r="BB7" s="1019" t="s">
        <v>1052</v>
      </c>
      <c r="BC7" s="1036">
        <v>18</v>
      </c>
      <c r="BD7" s="1378"/>
      <c r="BE7" s="1017">
        <v>42678</v>
      </c>
      <c r="BF7" s="1019" t="s">
        <v>9694</v>
      </c>
      <c r="BG7" s="1065">
        <v>90</v>
      </c>
      <c r="BH7" s="1034"/>
      <c r="BI7" s="1017">
        <v>43042</v>
      </c>
      <c r="BJ7" s="1019" t="s">
        <v>823</v>
      </c>
      <c r="BK7" s="1065">
        <v>31</v>
      </c>
      <c r="BL7" s="1034"/>
      <c r="BM7" s="1017">
        <v>43405</v>
      </c>
      <c r="BN7" s="1040" t="s">
        <v>9695</v>
      </c>
      <c r="BO7" s="1065"/>
      <c r="BP7" s="1034"/>
      <c r="BQ7" s="1017">
        <v>43770</v>
      </c>
      <c r="BR7" s="1019" t="s">
        <v>9696</v>
      </c>
      <c r="BS7" s="1036">
        <v>28</v>
      </c>
      <c r="BT7" s="1018" t="s">
        <v>689</v>
      </c>
      <c r="BU7" s="1017">
        <v>43770</v>
      </c>
      <c r="BV7" s="1019" t="s">
        <v>4004</v>
      </c>
      <c r="BW7" s="1036">
        <v>398</v>
      </c>
      <c r="BX7" s="1018" t="s">
        <v>689</v>
      </c>
      <c r="BY7" s="1017">
        <v>44506</v>
      </c>
      <c r="BZ7" s="1019" t="s">
        <v>843</v>
      </c>
      <c r="CA7" s="1041">
        <v>20</v>
      </c>
      <c r="CB7" s="1018" t="s">
        <v>414</v>
      </c>
      <c r="CC7" s="1017">
        <v>44870</v>
      </c>
      <c r="CD7" s="1019" t="s">
        <v>772</v>
      </c>
      <c r="CE7" s="1380">
        <v>20</v>
      </c>
      <c r="CF7" s="1334" t="s">
        <v>414</v>
      </c>
      <c r="CG7" s="1326">
        <v>44501</v>
      </c>
      <c r="CH7" s="983" t="s">
        <v>7057</v>
      </c>
      <c r="CI7" s="984">
        <v>250</v>
      </c>
      <c r="CJ7" s="1323" t="s">
        <v>689</v>
      </c>
      <c r="CK7" s="1326">
        <v>44501</v>
      </c>
      <c r="CL7" s="983" t="s">
        <v>7057</v>
      </c>
      <c r="CM7" s="984">
        <v>250</v>
      </c>
      <c r="CN7" s="1323" t="s">
        <v>689</v>
      </c>
    </row>
    <row r="8" spans="1:92">
      <c r="A8" s="1077">
        <v>37561</v>
      </c>
      <c r="B8" s="1019" t="s">
        <v>413</v>
      </c>
      <c r="C8" s="1041">
        <v>25</v>
      </c>
      <c r="D8" s="1042">
        <v>25</v>
      </c>
      <c r="E8" s="1017">
        <v>37926</v>
      </c>
      <c r="F8" s="1019" t="s">
        <v>413</v>
      </c>
      <c r="G8" s="1041">
        <v>5</v>
      </c>
      <c r="H8" s="1042">
        <v>25</v>
      </c>
      <c r="I8" s="1017">
        <v>37926</v>
      </c>
      <c r="J8" s="1019" t="s">
        <v>413</v>
      </c>
      <c r="K8" s="1041">
        <v>5</v>
      </c>
      <c r="L8" s="1042">
        <v>25</v>
      </c>
      <c r="M8" s="1017">
        <v>38661</v>
      </c>
      <c r="N8" s="1019" t="s">
        <v>9697</v>
      </c>
      <c r="O8" s="1041">
        <v>36</v>
      </c>
      <c r="P8" s="1042"/>
      <c r="Q8" s="1017">
        <v>39025</v>
      </c>
      <c r="R8" s="1019" t="s">
        <v>867</v>
      </c>
      <c r="S8" s="1041">
        <v>12</v>
      </c>
      <c r="T8" s="1042"/>
      <c r="U8" s="1017">
        <v>39392</v>
      </c>
      <c r="V8" s="1019" t="s">
        <v>9698</v>
      </c>
      <c r="W8" s="1041">
        <v>12</v>
      </c>
      <c r="X8" s="1042"/>
      <c r="Y8" s="1017">
        <v>39753</v>
      </c>
      <c r="Z8" s="1019" t="s">
        <v>781</v>
      </c>
      <c r="AA8" s="1041">
        <v>69</v>
      </c>
      <c r="AB8" s="1042"/>
      <c r="AC8" s="1017">
        <v>40123</v>
      </c>
      <c r="AD8" s="1019" t="s">
        <v>9699</v>
      </c>
      <c r="AE8" s="1041">
        <v>8</v>
      </c>
      <c r="AF8" s="1034"/>
      <c r="AG8" s="1017">
        <v>40483</v>
      </c>
      <c r="AH8" s="1019" t="s">
        <v>9700</v>
      </c>
      <c r="AI8" s="1041">
        <v>10</v>
      </c>
      <c r="AJ8" s="1034"/>
      <c r="AK8" s="1017">
        <v>40854</v>
      </c>
      <c r="AL8" s="1019" t="s">
        <v>885</v>
      </c>
      <c r="AM8" s="1036">
        <v>100</v>
      </c>
      <c r="AN8" s="1034"/>
      <c r="AO8" s="1017">
        <v>41216</v>
      </c>
      <c r="AP8" s="1019" t="s">
        <v>772</v>
      </c>
      <c r="AQ8" s="1036">
        <v>70</v>
      </c>
      <c r="AR8" s="1034"/>
      <c r="AS8" s="1017">
        <v>41580</v>
      </c>
      <c r="AT8" s="1019" t="s">
        <v>9701</v>
      </c>
      <c r="AU8" s="1036">
        <v>4</v>
      </c>
      <c r="AV8" s="1034"/>
      <c r="AW8" s="1017">
        <v>41947</v>
      </c>
      <c r="AX8" s="1019" t="s">
        <v>754</v>
      </c>
      <c r="AY8" s="1036">
        <v>31</v>
      </c>
      <c r="AZ8" s="1034"/>
      <c r="BA8" s="1017">
        <v>42312</v>
      </c>
      <c r="BB8" s="1019" t="s">
        <v>9702</v>
      </c>
      <c r="BC8" s="1036">
        <v>45</v>
      </c>
      <c r="BD8" s="1378"/>
      <c r="BE8" s="1017">
        <v>42678</v>
      </c>
      <c r="BF8" s="1019" t="s">
        <v>859</v>
      </c>
      <c r="BG8" s="1065">
        <v>31</v>
      </c>
      <c r="BH8" s="1034"/>
      <c r="BI8" s="1017">
        <v>43043</v>
      </c>
      <c r="BJ8" s="1019" t="s">
        <v>872</v>
      </c>
      <c r="BK8" s="1065">
        <v>24</v>
      </c>
      <c r="BL8" s="1034"/>
      <c r="BM8" s="1017">
        <v>43405</v>
      </c>
      <c r="BN8" s="1040" t="s">
        <v>9703</v>
      </c>
      <c r="BO8" s="1065">
        <v>267</v>
      </c>
      <c r="BP8" s="1034"/>
      <c r="BQ8" s="1017">
        <v>43771</v>
      </c>
      <c r="BR8" s="1019" t="s">
        <v>872</v>
      </c>
      <c r="BS8" s="1041">
        <v>25</v>
      </c>
      <c r="BT8" s="1018" t="s">
        <v>414</v>
      </c>
      <c r="BU8" s="1017">
        <v>43770</v>
      </c>
      <c r="BV8" s="1019" t="s">
        <v>3127</v>
      </c>
      <c r="BW8" s="1041">
        <v>13</v>
      </c>
      <c r="BX8" s="1018" t="s">
        <v>414</v>
      </c>
      <c r="BY8" s="1017">
        <v>44506</v>
      </c>
      <c r="BZ8" s="1019" t="s">
        <v>845</v>
      </c>
      <c r="CA8" s="1041">
        <v>83</v>
      </c>
      <c r="CB8" s="1018" t="s">
        <v>414</v>
      </c>
      <c r="CC8" s="1017">
        <v>44870</v>
      </c>
      <c r="CD8" s="1019" t="s">
        <v>845</v>
      </c>
      <c r="CE8" s="1380">
        <v>36</v>
      </c>
      <c r="CF8" s="1334" t="s">
        <v>414</v>
      </c>
      <c r="CG8" s="1326">
        <v>44501</v>
      </c>
      <c r="CH8" s="983" t="s">
        <v>1606</v>
      </c>
      <c r="CI8" s="984">
        <v>850</v>
      </c>
      <c r="CJ8" s="1323" t="s">
        <v>689</v>
      </c>
      <c r="CK8" s="1326">
        <v>44501</v>
      </c>
      <c r="CL8" s="983" t="s">
        <v>1606</v>
      </c>
      <c r="CM8" s="984">
        <v>850</v>
      </c>
      <c r="CN8" s="1323" t="s">
        <v>689</v>
      </c>
    </row>
    <row r="9" spans="1:92">
      <c r="A9" s="1077">
        <v>37561</v>
      </c>
      <c r="B9" s="1040" t="s">
        <v>811</v>
      </c>
      <c r="C9" s="1036"/>
      <c r="D9" s="1034">
        <v>400</v>
      </c>
      <c r="E9" s="1017">
        <v>37926</v>
      </c>
      <c r="F9" s="1040" t="s">
        <v>811</v>
      </c>
      <c r="G9" s="1036">
        <v>0</v>
      </c>
      <c r="H9" s="1034">
        <v>0</v>
      </c>
      <c r="I9" s="1017">
        <v>37926</v>
      </c>
      <c r="J9" s="1040" t="s">
        <v>811</v>
      </c>
      <c r="K9" s="1036">
        <v>0</v>
      </c>
      <c r="L9" s="1034">
        <v>0</v>
      </c>
      <c r="M9" s="1017">
        <v>38661</v>
      </c>
      <c r="N9" s="1040" t="s">
        <v>9704</v>
      </c>
      <c r="O9" s="1036">
        <v>20</v>
      </c>
      <c r="P9" s="1034"/>
      <c r="Q9" s="1017">
        <v>39025</v>
      </c>
      <c r="R9" s="1040" t="s">
        <v>1573</v>
      </c>
      <c r="S9" s="1036">
        <v>10</v>
      </c>
      <c r="T9" s="1034"/>
      <c r="U9" s="1017">
        <v>39393</v>
      </c>
      <c r="V9" s="1040" t="s">
        <v>9705</v>
      </c>
      <c r="W9" s="1036">
        <v>2</v>
      </c>
      <c r="X9" s="1034"/>
      <c r="Y9" s="1017">
        <v>39753</v>
      </c>
      <c r="Z9" s="1040" t="s">
        <v>767</v>
      </c>
      <c r="AA9" s="1036">
        <v>7</v>
      </c>
      <c r="AB9" s="1034"/>
      <c r="AC9" s="1017">
        <v>40124</v>
      </c>
      <c r="AD9" s="1019" t="s">
        <v>9706</v>
      </c>
      <c r="AE9" s="1041">
        <v>85</v>
      </c>
      <c r="AF9" s="1042"/>
      <c r="AG9" s="1017">
        <v>40483</v>
      </c>
      <c r="AH9" s="1040" t="s">
        <v>9707</v>
      </c>
      <c r="AI9" s="1036">
        <v>2500</v>
      </c>
      <c r="AJ9" s="1034"/>
      <c r="AK9" s="1017">
        <v>40854</v>
      </c>
      <c r="AL9" s="1019" t="s">
        <v>1303</v>
      </c>
      <c r="AM9" s="1041">
        <v>57</v>
      </c>
      <c r="AN9" s="1034"/>
      <c r="AO9" s="1017">
        <v>41216</v>
      </c>
      <c r="AP9" s="1019" t="s">
        <v>754</v>
      </c>
      <c r="AQ9" s="1041">
        <v>132</v>
      </c>
      <c r="AR9" s="1034"/>
      <c r="AS9" s="1017">
        <v>41582</v>
      </c>
      <c r="AT9" s="1019" t="s">
        <v>797</v>
      </c>
      <c r="AU9" s="1041">
        <v>34</v>
      </c>
      <c r="AV9" s="1034"/>
      <c r="AW9" s="1017">
        <v>41947</v>
      </c>
      <c r="AX9" s="1019" t="s">
        <v>781</v>
      </c>
      <c r="AY9" s="1036">
        <v>69</v>
      </c>
      <c r="AZ9" s="1034"/>
      <c r="BA9" s="1017">
        <v>42313</v>
      </c>
      <c r="BB9" s="1019" t="s">
        <v>1091</v>
      </c>
      <c r="BC9" s="1036">
        <v>15</v>
      </c>
      <c r="BD9" s="1378"/>
      <c r="BE9" s="1017">
        <v>42678</v>
      </c>
      <c r="BF9" s="1019" t="s">
        <v>998</v>
      </c>
      <c r="BG9" s="1065">
        <v>25</v>
      </c>
      <c r="BH9" s="1034"/>
      <c r="BI9" s="1017">
        <v>43043</v>
      </c>
      <c r="BJ9" s="1019" t="s">
        <v>772</v>
      </c>
      <c r="BK9" s="1065">
        <v>11</v>
      </c>
      <c r="BL9" s="1034"/>
      <c r="BM9" s="1017">
        <v>43407</v>
      </c>
      <c r="BN9" s="1019" t="s">
        <v>872</v>
      </c>
      <c r="BO9" s="1065">
        <v>18</v>
      </c>
      <c r="BP9" s="1034"/>
      <c r="BQ9" s="1017">
        <v>43771</v>
      </c>
      <c r="BR9" s="1019" t="s">
        <v>772</v>
      </c>
      <c r="BS9" s="1041">
        <v>58</v>
      </c>
      <c r="BT9" s="1018" t="s">
        <v>414</v>
      </c>
      <c r="BU9" s="1017">
        <v>43770</v>
      </c>
      <c r="BV9" s="1019" t="s">
        <v>2050</v>
      </c>
      <c r="BW9" s="1041">
        <v>10</v>
      </c>
      <c r="BX9" s="1018" t="s">
        <v>414</v>
      </c>
      <c r="BY9" s="1017">
        <v>44506</v>
      </c>
      <c r="BZ9" s="1019" t="s">
        <v>772</v>
      </c>
      <c r="CA9" s="1041">
        <v>63</v>
      </c>
      <c r="CB9" s="1018" t="s">
        <v>414</v>
      </c>
      <c r="CC9" s="1017">
        <v>44870</v>
      </c>
      <c r="CD9" s="1019" t="s">
        <v>843</v>
      </c>
      <c r="CE9" s="1380">
        <v>48</v>
      </c>
      <c r="CF9" s="1334" t="s">
        <v>414</v>
      </c>
      <c r="CG9" s="1326">
        <v>44501</v>
      </c>
      <c r="CH9" s="983" t="s">
        <v>794</v>
      </c>
      <c r="CI9" s="984">
        <v>299</v>
      </c>
      <c r="CJ9" s="1323" t="s">
        <v>689</v>
      </c>
      <c r="CK9" s="1326">
        <v>44501</v>
      </c>
      <c r="CL9" s="983" t="s">
        <v>794</v>
      </c>
      <c r="CM9" s="984">
        <v>299</v>
      </c>
      <c r="CN9" s="1323" t="s">
        <v>689</v>
      </c>
    </row>
    <row r="10" spans="1:92">
      <c r="A10" s="1077">
        <v>37561</v>
      </c>
      <c r="B10" s="1040" t="s">
        <v>1189</v>
      </c>
      <c r="C10" s="1036"/>
      <c r="D10" s="1034">
        <v>33</v>
      </c>
      <c r="E10" s="1017">
        <v>37926</v>
      </c>
      <c r="F10" s="1040" t="s">
        <v>415</v>
      </c>
      <c r="G10" s="1036">
        <v>50</v>
      </c>
      <c r="H10" s="1034"/>
      <c r="I10" s="1017">
        <v>37926</v>
      </c>
      <c r="J10" s="1040" t="s">
        <v>415</v>
      </c>
      <c r="K10" s="1036">
        <v>50</v>
      </c>
      <c r="L10" s="1034"/>
      <c r="M10" s="1017">
        <v>38661</v>
      </c>
      <c r="N10" s="1040" t="s">
        <v>9708</v>
      </c>
      <c r="O10" s="1036">
        <v>10</v>
      </c>
      <c r="P10" s="1034"/>
      <c r="Q10" s="1017">
        <v>39025</v>
      </c>
      <c r="R10" s="1040" t="s">
        <v>797</v>
      </c>
      <c r="S10" s="1036">
        <v>37</v>
      </c>
      <c r="T10" s="1034"/>
      <c r="U10" s="1017">
        <v>39393</v>
      </c>
      <c r="V10" s="1040" t="s">
        <v>9709</v>
      </c>
      <c r="W10" s="1036">
        <v>5</v>
      </c>
      <c r="X10" s="1034"/>
      <c r="Y10" s="1017">
        <v>39753</v>
      </c>
      <c r="Z10" s="1040" t="s">
        <v>9710</v>
      </c>
      <c r="AA10" s="1036">
        <v>24</v>
      </c>
      <c r="AB10" s="1034"/>
      <c r="AC10" s="1017">
        <v>40124</v>
      </c>
      <c r="AD10" s="1040" t="s">
        <v>9711</v>
      </c>
      <c r="AE10" s="1036">
        <v>60</v>
      </c>
      <c r="AF10" s="1034"/>
      <c r="AG10" s="1017">
        <v>40483</v>
      </c>
      <c r="AH10" s="1040" t="s">
        <v>9712</v>
      </c>
      <c r="AI10" s="1036">
        <v>2</v>
      </c>
      <c r="AJ10" s="1034"/>
      <c r="AK10" s="1017">
        <v>40856</v>
      </c>
      <c r="AL10" s="1040" t="s">
        <v>9713</v>
      </c>
      <c r="AM10" s="1036">
        <v>50</v>
      </c>
      <c r="AN10" s="1034"/>
      <c r="AO10" s="1017">
        <v>41216</v>
      </c>
      <c r="AP10" s="1040" t="s">
        <v>9714</v>
      </c>
      <c r="AQ10" s="1036">
        <v>2</v>
      </c>
      <c r="AR10" s="1034"/>
      <c r="AS10" s="1017">
        <v>41582</v>
      </c>
      <c r="AT10" s="1040" t="s">
        <v>9715</v>
      </c>
      <c r="AU10" s="1036">
        <v>20</v>
      </c>
      <c r="AV10" s="1034"/>
      <c r="AW10" s="1017">
        <v>41947</v>
      </c>
      <c r="AX10" s="1019" t="s">
        <v>925</v>
      </c>
      <c r="AY10" s="1041">
        <v>15</v>
      </c>
      <c r="AZ10" s="1034"/>
      <c r="BA10" s="1017">
        <v>42314</v>
      </c>
      <c r="BB10" s="1019" t="s">
        <v>802</v>
      </c>
      <c r="BC10" s="1041">
        <v>35</v>
      </c>
      <c r="BD10" s="1378"/>
      <c r="BE10" s="1017">
        <v>42678</v>
      </c>
      <c r="BF10" s="1019" t="s">
        <v>9716</v>
      </c>
      <c r="BG10" s="1381">
        <v>2</v>
      </c>
      <c r="BH10" s="1034"/>
      <c r="BI10" s="1017">
        <v>43044</v>
      </c>
      <c r="BJ10" s="1019" t="s">
        <v>9717</v>
      </c>
      <c r="BK10" s="1065">
        <v>9</v>
      </c>
      <c r="BL10" s="1034"/>
      <c r="BM10" s="1017">
        <v>43407</v>
      </c>
      <c r="BN10" s="1019" t="s">
        <v>873</v>
      </c>
      <c r="BO10" s="1065">
        <v>60</v>
      </c>
      <c r="BP10" s="1034"/>
      <c r="BQ10" s="1017">
        <v>43771</v>
      </c>
      <c r="BR10" s="1019" t="s">
        <v>873</v>
      </c>
      <c r="BS10" s="1041">
        <v>15</v>
      </c>
      <c r="BT10" s="1018" t="s">
        <v>414</v>
      </c>
      <c r="BU10" s="1017">
        <v>43770</v>
      </c>
      <c r="BV10" s="1019" t="s">
        <v>1375</v>
      </c>
      <c r="BW10" s="1041">
        <v>15</v>
      </c>
      <c r="BX10" s="1018" t="s">
        <v>414</v>
      </c>
      <c r="BY10" s="1017">
        <v>44506</v>
      </c>
      <c r="BZ10" s="1019" t="s">
        <v>9718</v>
      </c>
      <c r="CA10" s="1036">
        <v>38</v>
      </c>
      <c r="CB10" s="1018" t="s">
        <v>414</v>
      </c>
      <c r="CC10" s="1017">
        <v>44870</v>
      </c>
      <c r="CD10" s="1019" t="s">
        <v>828</v>
      </c>
      <c r="CE10" s="1058">
        <v>13</v>
      </c>
      <c r="CF10" s="1334" t="s">
        <v>414</v>
      </c>
      <c r="CG10" s="1326">
        <v>45231</v>
      </c>
      <c r="CH10" s="1017"/>
      <c r="CI10" s="1019"/>
      <c r="CJ10" s="1382"/>
      <c r="CK10" s="1326">
        <v>45231</v>
      </c>
      <c r="CL10" s="1017"/>
      <c r="CM10" s="1019"/>
      <c r="CN10" s="1382"/>
    </row>
    <row r="11" spans="1:92">
      <c r="A11" s="1077">
        <v>37561</v>
      </c>
      <c r="B11" s="1040" t="s">
        <v>1189</v>
      </c>
      <c r="C11" s="1036">
        <v>22</v>
      </c>
      <c r="D11" s="1034"/>
      <c r="E11" s="1017">
        <v>37926</v>
      </c>
      <c r="F11" s="1040" t="s">
        <v>847</v>
      </c>
      <c r="G11" s="1036">
        <v>70</v>
      </c>
      <c r="H11" s="1034"/>
      <c r="I11" s="1017">
        <v>37926</v>
      </c>
      <c r="J11" s="1040" t="s">
        <v>847</v>
      </c>
      <c r="K11" s="1036">
        <v>70</v>
      </c>
      <c r="L11" s="1034"/>
      <c r="M11" s="1017">
        <v>38662</v>
      </c>
      <c r="N11" s="1040" t="s">
        <v>9719</v>
      </c>
      <c r="O11" s="1036">
        <v>7</v>
      </c>
      <c r="P11" s="1034"/>
      <c r="Q11" s="1017">
        <v>39025</v>
      </c>
      <c r="R11" s="1040" t="s">
        <v>852</v>
      </c>
      <c r="S11" s="1036">
        <v>16</v>
      </c>
      <c r="T11" s="1034"/>
      <c r="U11" s="1017">
        <v>39394</v>
      </c>
      <c r="V11" s="1040" t="s">
        <v>797</v>
      </c>
      <c r="W11" s="1036">
        <v>31</v>
      </c>
      <c r="X11" s="1034"/>
      <c r="Y11" s="1017">
        <v>39757</v>
      </c>
      <c r="Z11" s="1040" t="s">
        <v>9720</v>
      </c>
      <c r="AA11" s="1036">
        <v>71</v>
      </c>
      <c r="AB11" s="1034"/>
      <c r="AC11" s="1017">
        <v>40124</v>
      </c>
      <c r="AD11" s="1040" t="s">
        <v>772</v>
      </c>
      <c r="AE11" s="1036">
        <v>92</v>
      </c>
      <c r="AF11" s="1034"/>
      <c r="AG11" s="1017">
        <v>40486</v>
      </c>
      <c r="AH11" s="1040" t="s">
        <v>802</v>
      </c>
      <c r="AI11" s="1036">
        <v>16</v>
      </c>
      <c r="AJ11" s="1034"/>
      <c r="AK11" s="1017">
        <v>40856</v>
      </c>
      <c r="AL11" s="1040" t="s">
        <v>9721</v>
      </c>
      <c r="AM11" s="1036">
        <v>32</v>
      </c>
      <c r="AN11" s="1034"/>
      <c r="AO11" s="1017">
        <v>41217</v>
      </c>
      <c r="AP11" s="1040" t="s">
        <v>9722</v>
      </c>
      <c r="AQ11" s="1036">
        <v>67</v>
      </c>
      <c r="AR11" s="1034"/>
      <c r="AS11" s="1017">
        <v>41586</v>
      </c>
      <c r="AT11" s="1040" t="s">
        <v>1244</v>
      </c>
      <c r="AU11" s="1036">
        <v>55</v>
      </c>
      <c r="AV11" s="1034"/>
      <c r="AW11" s="1017">
        <v>41947</v>
      </c>
      <c r="AX11" s="1040" t="s">
        <v>9723</v>
      </c>
      <c r="AY11" s="1036">
        <v>12</v>
      </c>
      <c r="AZ11" s="1034"/>
      <c r="BA11" s="1017">
        <v>42314</v>
      </c>
      <c r="BB11" s="1040" t="s">
        <v>797</v>
      </c>
      <c r="BC11" s="1036">
        <v>35</v>
      </c>
      <c r="BD11" s="1378"/>
      <c r="BE11" s="1017">
        <v>42679</v>
      </c>
      <c r="BF11" s="1040" t="s">
        <v>9724</v>
      </c>
      <c r="BG11" s="1065">
        <v>14</v>
      </c>
      <c r="BH11" s="1034"/>
      <c r="BI11" s="1017">
        <v>43044</v>
      </c>
      <c r="BJ11" s="1019" t="s">
        <v>9725</v>
      </c>
      <c r="BK11" s="1381">
        <v>8</v>
      </c>
      <c r="BL11" s="1034"/>
      <c r="BM11" s="1017">
        <v>43407</v>
      </c>
      <c r="BN11" s="1019" t="s">
        <v>772</v>
      </c>
      <c r="BO11" s="1065">
        <v>86</v>
      </c>
      <c r="BP11" s="1034"/>
      <c r="BQ11" s="1017">
        <v>43771</v>
      </c>
      <c r="BR11" s="1019" t="s">
        <v>845</v>
      </c>
      <c r="BS11" s="1036">
        <v>37</v>
      </c>
      <c r="BT11" s="1018" t="s">
        <v>414</v>
      </c>
      <c r="BU11" s="1017">
        <v>43770</v>
      </c>
      <c r="BV11" s="1019" t="s">
        <v>6914</v>
      </c>
      <c r="BW11" s="1036">
        <v>20</v>
      </c>
      <c r="BX11" s="1018" t="s">
        <v>414</v>
      </c>
      <c r="BY11" s="1017">
        <v>44506</v>
      </c>
      <c r="BZ11" s="1019" t="s">
        <v>2888</v>
      </c>
      <c r="CA11" s="1036">
        <v>0</v>
      </c>
      <c r="CB11" s="1018" t="s">
        <v>414</v>
      </c>
      <c r="CC11" s="1017">
        <v>44870</v>
      </c>
      <c r="CD11" s="1019" t="s">
        <v>2079</v>
      </c>
      <c r="CE11" s="1058">
        <v>21</v>
      </c>
      <c r="CF11" s="1334" t="s">
        <v>414</v>
      </c>
      <c r="CG11" s="1326">
        <v>45231</v>
      </c>
      <c r="CH11" s="1279" t="s">
        <v>9726</v>
      </c>
      <c r="CI11" s="1280">
        <f>SUM(CI12:CI18)</f>
        <v>7442</v>
      </c>
      <c r="CJ11" s="1324"/>
      <c r="CK11" s="1326">
        <v>45231</v>
      </c>
      <c r="CL11" s="1279" t="s">
        <v>9727</v>
      </c>
      <c r="CM11" s="1280">
        <f>SUM(CM12:CM18)</f>
        <v>6648</v>
      </c>
      <c r="CN11" s="1324"/>
    </row>
    <row r="12" spans="1:92">
      <c r="A12" s="1077">
        <v>37561</v>
      </c>
      <c r="B12" s="1040" t="s">
        <v>915</v>
      </c>
      <c r="C12" s="1036">
        <v>11</v>
      </c>
      <c r="D12" s="1034"/>
      <c r="E12" s="1017">
        <v>37926</v>
      </c>
      <c r="F12" s="1040" t="s">
        <v>864</v>
      </c>
      <c r="G12" s="1036">
        <v>30</v>
      </c>
      <c r="H12" s="1034">
        <v>50</v>
      </c>
      <c r="I12" s="1017">
        <v>37926</v>
      </c>
      <c r="J12" s="1040" t="s">
        <v>864</v>
      </c>
      <c r="K12" s="1036">
        <v>30</v>
      </c>
      <c r="L12" s="1034">
        <v>50</v>
      </c>
      <c r="M12" s="1017">
        <v>38663</v>
      </c>
      <c r="N12" s="1040" t="s">
        <v>9728</v>
      </c>
      <c r="O12" s="1036">
        <v>20</v>
      </c>
      <c r="P12" s="1034"/>
      <c r="Q12" s="1017">
        <v>39028</v>
      </c>
      <c r="R12" s="1040" t="s">
        <v>9729</v>
      </c>
      <c r="S12" s="1036">
        <v>0</v>
      </c>
      <c r="T12" s="1034"/>
      <c r="U12" s="1017">
        <v>39395</v>
      </c>
      <c r="V12" s="1040" t="s">
        <v>9730</v>
      </c>
      <c r="W12" s="1036">
        <v>21</v>
      </c>
      <c r="X12" s="1034"/>
      <c r="Y12" s="1017">
        <v>39758</v>
      </c>
      <c r="Z12" s="1040" t="s">
        <v>9731</v>
      </c>
      <c r="AA12" s="1036">
        <v>11</v>
      </c>
      <c r="AB12" s="1034"/>
      <c r="AC12" s="1017">
        <v>40124</v>
      </c>
      <c r="AD12" s="1040" t="s">
        <v>3108</v>
      </c>
      <c r="AE12" s="1036">
        <v>36</v>
      </c>
      <c r="AF12" s="1034"/>
      <c r="AG12" s="1017">
        <v>40486</v>
      </c>
      <c r="AH12" s="1040" t="s">
        <v>797</v>
      </c>
      <c r="AI12" s="1036">
        <v>15</v>
      </c>
      <c r="AJ12" s="1034"/>
      <c r="AK12" s="1017">
        <v>40856</v>
      </c>
      <c r="AL12" s="1040" t="s">
        <v>9732</v>
      </c>
      <c r="AM12" s="1036">
        <v>17</v>
      </c>
      <c r="AN12" s="1034"/>
      <c r="AO12" s="1017">
        <v>41217</v>
      </c>
      <c r="AP12" s="1040" t="s">
        <v>9733</v>
      </c>
      <c r="AQ12" s="1036">
        <v>20</v>
      </c>
      <c r="AR12" s="1034"/>
      <c r="AS12" s="1017">
        <v>41586</v>
      </c>
      <c r="AT12" s="1040" t="s">
        <v>979</v>
      </c>
      <c r="AU12" s="1036">
        <v>25</v>
      </c>
      <c r="AV12" s="1034"/>
      <c r="AW12" s="1017">
        <v>41948</v>
      </c>
      <c r="AX12" s="1040" t="s">
        <v>797</v>
      </c>
      <c r="AY12" s="1036">
        <v>36</v>
      </c>
      <c r="AZ12" s="1034"/>
      <c r="BA12" s="1017">
        <v>42315</v>
      </c>
      <c r="BB12" s="1040" t="s">
        <v>9734</v>
      </c>
      <c r="BC12" s="1036">
        <v>6</v>
      </c>
      <c r="BD12" s="1378"/>
      <c r="BE12" s="1017">
        <v>42679</v>
      </c>
      <c r="BF12" s="1040" t="s">
        <v>979</v>
      </c>
      <c r="BG12" s="1065">
        <v>79</v>
      </c>
      <c r="BH12" s="1034"/>
      <c r="BI12" s="1017">
        <v>43044</v>
      </c>
      <c r="BJ12" s="1040" t="s">
        <v>9735</v>
      </c>
      <c r="BK12" s="1065">
        <v>15</v>
      </c>
      <c r="BL12" s="1034"/>
      <c r="BM12" s="1017">
        <v>43407</v>
      </c>
      <c r="BN12" s="1019" t="s">
        <v>797</v>
      </c>
      <c r="BO12" s="1065">
        <v>46</v>
      </c>
      <c r="BP12" s="1034"/>
      <c r="BQ12" s="1017">
        <v>43771</v>
      </c>
      <c r="BR12" s="1019" t="s">
        <v>9736</v>
      </c>
      <c r="BS12" s="1036">
        <v>19</v>
      </c>
      <c r="BT12" s="1018"/>
      <c r="BU12" s="1017">
        <v>43770</v>
      </c>
      <c r="BV12" s="1019" t="s">
        <v>9737</v>
      </c>
      <c r="BW12" s="1036">
        <v>145</v>
      </c>
      <c r="BX12" s="1018" t="s">
        <v>414</v>
      </c>
      <c r="BY12" s="1017">
        <v>44506</v>
      </c>
      <c r="BZ12" s="1019" t="s">
        <v>9738</v>
      </c>
      <c r="CA12" s="1036">
        <v>0</v>
      </c>
      <c r="CB12" s="1018" t="s">
        <v>414</v>
      </c>
      <c r="CC12" s="1017">
        <v>44870</v>
      </c>
      <c r="CD12" s="1019" t="s">
        <v>9739</v>
      </c>
      <c r="CE12" s="1058">
        <v>0</v>
      </c>
      <c r="CF12" s="1334" t="s">
        <v>414</v>
      </c>
      <c r="CG12" s="1326">
        <v>45231</v>
      </c>
      <c r="CH12" s="1342" t="s">
        <v>5017</v>
      </c>
      <c r="CI12" s="1280">
        <v>4053</v>
      </c>
      <c r="CJ12" s="1325">
        <f t="shared" ref="CJ12:CJ19" si="0">CI12/CI$11</f>
        <v>0.54461166353130874</v>
      </c>
      <c r="CK12" s="1326">
        <v>45231</v>
      </c>
      <c r="CL12" s="1342" t="s">
        <v>5017</v>
      </c>
      <c r="CM12" s="1280">
        <v>4053</v>
      </c>
      <c r="CN12" s="1325">
        <f t="shared" ref="CN12:CN19" si="1">CM12/CM$11</f>
        <v>0.60965703971119134</v>
      </c>
    </row>
    <row r="13" spans="1:92">
      <c r="A13" s="1077">
        <v>37561</v>
      </c>
      <c r="B13" s="1040" t="s">
        <v>410</v>
      </c>
      <c r="C13" s="1036">
        <v>23</v>
      </c>
      <c r="D13" s="1034"/>
      <c r="E13" s="1017">
        <v>37926</v>
      </c>
      <c r="F13" s="1040" t="s">
        <v>419</v>
      </c>
      <c r="G13" s="1036">
        <v>190</v>
      </c>
      <c r="H13" s="1034">
        <v>0</v>
      </c>
      <c r="I13" s="1017">
        <v>37926</v>
      </c>
      <c r="J13" s="1040" t="s">
        <v>419</v>
      </c>
      <c r="K13" s="1036">
        <v>190</v>
      </c>
      <c r="L13" s="1034">
        <v>0</v>
      </c>
      <c r="M13" s="1017">
        <v>38664</v>
      </c>
      <c r="N13" s="1040" t="s">
        <v>802</v>
      </c>
      <c r="O13" s="1036">
        <v>35</v>
      </c>
      <c r="P13" s="1034"/>
      <c r="Q13" s="1017">
        <v>39031</v>
      </c>
      <c r="R13" s="1040" t="s">
        <v>9740</v>
      </c>
      <c r="S13" s="1036">
        <v>27</v>
      </c>
      <c r="T13" s="1034"/>
      <c r="U13" s="1017">
        <v>39395</v>
      </c>
      <c r="V13" s="1040" t="s">
        <v>9741</v>
      </c>
      <c r="W13" s="1036">
        <v>221</v>
      </c>
      <c r="X13" s="1034"/>
      <c r="Y13" s="1017">
        <v>39758</v>
      </c>
      <c r="Z13" s="1040" t="s">
        <v>9731</v>
      </c>
      <c r="AA13" s="1036">
        <v>26</v>
      </c>
      <c r="AB13" s="1034"/>
      <c r="AC13" s="1017">
        <v>40125</v>
      </c>
      <c r="AD13" s="1040" t="s">
        <v>9742</v>
      </c>
      <c r="AE13" s="1036">
        <v>27</v>
      </c>
      <c r="AF13" s="1034"/>
      <c r="AG13" s="1017">
        <v>40487</v>
      </c>
      <c r="AH13" s="1040" t="s">
        <v>9743</v>
      </c>
      <c r="AI13" s="1036">
        <v>32</v>
      </c>
      <c r="AJ13" s="1034"/>
      <c r="AK13" s="1017">
        <v>40858</v>
      </c>
      <c r="AL13" s="1040" t="s">
        <v>781</v>
      </c>
      <c r="AM13" s="1036">
        <v>109</v>
      </c>
      <c r="AN13" s="1034"/>
      <c r="AO13" s="1017">
        <v>41217</v>
      </c>
      <c r="AP13" s="1040" t="s">
        <v>781</v>
      </c>
      <c r="AQ13" s="1036">
        <v>13</v>
      </c>
      <c r="AR13" s="1034"/>
      <c r="AS13" s="1017">
        <v>41586</v>
      </c>
      <c r="AT13" s="1040" t="s">
        <v>754</v>
      </c>
      <c r="AU13" s="1036">
        <v>130</v>
      </c>
      <c r="AV13" s="1034"/>
      <c r="AW13" s="1017">
        <v>41949</v>
      </c>
      <c r="AX13" s="1040" t="s">
        <v>797</v>
      </c>
      <c r="AY13" s="1036">
        <v>31</v>
      </c>
      <c r="AZ13" s="1034"/>
      <c r="BA13" s="1017">
        <v>42315</v>
      </c>
      <c r="BB13" s="1040" t="s">
        <v>9744</v>
      </c>
      <c r="BC13" s="1036">
        <v>9</v>
      </c>
      <c r="BD13" s="1378"/>
      <c r="BE13" s="1017">
        <v>42679</v>
      </c>
      <c r="BF13" s="1040" t="s">
        <v>872</v>
      </c>
      <c r="BG13" s="1065">
        <v>43</v>
      </c>
      <c r="BH13" s="1034"/>
      <c r="BI13" s="1017">
        <v>43047</v>
      </c>
      <c r="BJ13" s="1040" t="s">
        <v>9745</v>
      </c>
      <c r="BK13" s="1065">
        <v>22</v>
      </c>
      <c r="BL13" s="1034"/>
      <c r="BM13" s="1017">
        <v>43408</v>
      </c>
      <c r="BN13" s="1019" t="s">
        <v>9746</v>
      </c>
      <c r="BO13" s="1381">
        <v>14</v>
      </c>
      <c r="BP13" s="1034"/>
      <c r="BQ13" s="1017">
        <v>43771</v>
      </c>
      <c r="BR13" s="1019" t="s">
        <v>9747</v>
      </c>
      <c r="BS13" s="1036">
        <v>10</v>
      </c>
      <c r="BT13" s="1018" t="s">
        <v>667</v>
      </c>
      <c r="BU13" s="1017">
        <v>43770</v>
      </c>
      <c r="BV13" s="1019" t="s">
        <v>9748</v>
      </c>
      <c r="BW13" s="1036">
        <v>6</v>
      </c>
      <c r="BX13" s="1018" t="s">
        <v>414</v>
      </c>
      <c r="BY13" s="1017">
        <v>44506</v>
      </c>
      <c r="BZ13" s="1019" t="s">
        <v>9749</v>
      </c>
      <c r="CA13" s="1036">
        <v>20</v>
      </c>
      <c r="CB13" s="1018" t="s">
        <v>414</v>
      </c>
      <c r="CC13" s="1017">
        <v>44871</v>
      </c>
      <c r="CD13" s="1019" t="s">
        <v>772</v>
      </c>
      <c r="CE13" s="1058">
        <v>9</v>
      </c>
      <c r="CF13" s="1334" t="s">
        <v>414</v>
      </c>
      <c r="CG13" s="1326">
        <v>45231</v>
      </c>
      <c r="CH13" s="1343" t="s">
        <v>9750</v>
      </c>
      <c r="CI13" s="1281">
        <v>1399</v>
      </c>
      <c r="CJ13" s="1325">
        <f t="shared" si="0"/>
        <v>0.18798710024187046</v>
      </c>
      <c r="CK13" s="1326">
        <v>45231</v>
      </c>
      <c r="CL13" s="1343" t="s">
        <v>9750</v>
      </c>
      <c r="CM13" s="1281">
        <v>1399</v>
      </c>
      <c r="CN13" s="1325">
        <f t="shared" si="1"/>
        <v>0.21043922984356198</v>
      </c>
    </row>
    <row r="14" spans="1:92">
      <c r="A14" s="1077">
        <v>37561</v>
      </c>
      <c r="B14" s="1040" t="s">
        <v>1220</v>
      </c>
      <c r="C14" s="1036">
        <v>137</v>
      </c>
      <c r="D14" s="1034"/>
      <c r="E14" s="1017">
        <v>37926</v>
      </c>
      <c r="F14" s="1040" t="s">
        <v>286</v>
      </c>
      <c r="G14" s="1036">
        <v>500</v>
      </c>
      <c r="H14" s="1034">
        <v>410</v>
      </c>
      <c r="I14" s="1017">
        <v>37926</v>
      </c>
      <c r="J14" s="1040" t="s">
        <v>286</v>
      </c>
      <c r="K14" s="1036">
        <v>500</v>
      </c>
      <c r="L14" s="1034">
        <v>410</v>
      </c>
      <c r="M14" s="1017">
        <v>38664</v>
      </c>
      <c r="N14" s="1040" t="s">
        <v>9751</v>
      </c>
      <c r="O14" s="1036">
        <v>16</v>
      </c>
      <c r="P14" s="1034"/>
      <c r="Q14" s="1017">
        <v>39032</v>
      </c>
      <c r="R14" s="1040" t="s">
        <v>9752</v>
      </c>
      <c r="S14" s="1036">
        <v>10</v>
      </c>
      <c r="T14" s="1034"/>
      <c r="U14" s="1017">
        <v>39396</v>
      </c>
      <c r="V14" s="1040" t="s">
        <v>6135</v>
      </c>
      <c r="W14" s="1036">
        <v>20</v>
      </c>
      <c r="X14" s="1034"/>
      <c r="Y14" s="1017">
        <v>39759</v>
      </c>
      <c r="Z14" s="1040" t="s">
        <v>9753</v>
      </c>
      <c r="AA14" s="1036">
        <v>11</v>
      </c>
      <c r="AB14" s="1034"/>
      <c r="AC14" s="1017">
        <v>40127</v>
      </c>
      <c r="AD14" s="1040" t="s">
        <v>9754</v>
      </c>
      <c r="AE14" s="1036">
        <v>11</v>
      </c>
      <c r="AF14" s="1034"/>
      <c r="AG14" s="1017">
        <v>40487</v>
      </c>
      <c r="AH14" s="1040" t="s">
        <v>9755</v>
      </c>
      <c r="AI14" s="1036">
        <v>4</v>
      </c>
      <c r="AJ14" s="1034"/>
      <c r="AK14" s="1017">
        <v>40859</v>
      </c>
      <c r="AL14" s="1040" t="s">
        <v>772</v>
      </c>
      <c r="AM14" s="1036">
        <v>61</v>
      </c>
      <c r="AN14" s="1034"/>
      <c r="AO14" s="1017">
        <v>41217</v>
      </c>
      <c r="AP14" s="1040" t="s">
        <v>797</v>
      </c>
      <c r="AQ14" s="1036">
        <v>36</v>
      </c>
      <c r="AR14" s="1034"/>
      <c r="AS14" s="1017">
        <v>41586</v>
      </c>
      <c r="AT14" s="1040" t="s">
        <v>802</v>
      </c>
      <c r="AU14" s="1036">
        <v>49</v>
      </c>
      <c r="AV14" s="1034"/>
      <c r="AW14" s="1017">
        <v>41950</v>
      </c>
      <c r="AX14" s="1040" t="s">
        <v>9756</v>
      </c>
      <c r="AY14" s="1036">
        <v>10</v>
      </c>
      <c r="AZ14" s="1034"/>
      <c r="BA14" s="1017">
        <v>42315</v>
      </c>
      <c r="BB14" s="1040" t="s">
        <v>979</v>
      </c>
      <c r="BC14" s="1036">
        <v>15</v>
      </c>
      <c r="BD14" s="1378"/>
      <c r="BE14" s="1017">
        <v>42680</v>
      </c>
      <c r="BF14" s="1040" t="s">
        <v>9757</v>
      </c>
      <c r="BG14" s="1065">
        <v>56</v>
      </c>
      <c r="BH14" s="1034"/>
      <c r="BI14" s="1017">
        <v>43047</v>
      </c>
      <c r="BJ14" s="1040" t="s">
        <v>9758</v>
      </c>
      <c r="BK14" s="1065">
        <v>10</v>
      </c>
      <c r="BL14" s="1034"/>
      <c r="BM14" s="1017">
        <v>43408</v>
      </c>
      <c r="BN14" s="1040" t="s">
        <v>772</v>
      </c>
      <c r="BO14" s="1065">
        <v>9</v>
      </c>
      <c r="BP14" s="1034"/>
      <c r="BQ14" s="1017">
        <v>43771</v>
      </c>
      <c r="BR14" s="1019" t="s">
        <v>890</v>
      </c>
      <c r="BS14" s="1036">
        <v>5</v>
      </c>
      <c r="BT14" s="1018" t="s">
        <v>414</v>
      </c>
      <c r="BU14" s="1017">
        <v>43770</v>
      </c>
      <c r="BV14" s="1019" t="s">
        <v>5049</v>
      </c>
      <c r="BW14" s="1036">
        <v>13</v>
      </c>
      <c r="BX14" s="1018" t="s">
        <v>414</v>
      </c>
      <c r="BY14" s="1017">
        <v>44506</v>
      </c>
      <c r="BZ14" s="1019" t="s">
        <v>4058</v>
      </c>
      <c r="CA14" s="1036">
        <v>0</v>
      </c>
      <c r="CB14" s="1018" t="s">
        <v>414</v>
      </c>
      <c r="CC14" s="1017">
        <v>44871</v>
      </c>
      <c r="CD14" s="1019" t="s">
        <v>797</v>
      </c>
      <c r="CE14" s="1058">
        <v>79</v>
      </c>
      <c r="CF14" s="1334" t="s">
        <v>410</v>
      </c>
      <c r="CG14" s="1326">
        <v>45231</v>
      </c>
      <c r="CH14" s="1343" t="s">
        <v>9759</v>
      </c>
      <c r="CI14" s="1281">
        <v>500</v>
      </c>
      <c r="CJ14" s="1325">
        <f t="shared" si="0"/>
        <v>6.7186240257995161E-2</v>
      </c>
      <c r="CK14" s="1326">
        <v>45231</v>
      </c>
      <c r="CL14" s="1343" t="s">
        <v>9759</v>
      </c>
      <c r="CM14" s="1281">
        <v>500</v>
      </c>
      <c r="CN14" s="1325">
        <f t="shared" si="1"/>
        <v>7.5210589651022869E-2</v>
      </c>
    </row>
    <row r="15" spans="1:92">
      <c r="A15" s="1077">
        <v>37561</v>
      </c>
      <c r="B15" s="1040" t="s">
        <v>1220</v>
      </c>
      <c r="C15" s="1036">
        <v>21</v>
      </c>
      <c r="D15" s="1034"/>
      <c r="E15" s="1017">
        <v>37926</v>
      </c>
      <c r="F15" s="1040" t="s">
        <v>512</v>
      </c>
      <c r="G15" s="1036">
        <v>412</v>
      </c>
      <c r="H15" s="1034"/>
      <c r="I15" s="1017">
        <v>38294</v>
      </c>
      <c r="J15" s="1040" t="s">
        <v>9760</v>
      </c>
      <c r="K15" s="1036">
        <v>5</v>
      </c>
      <c r="L15" s="1034"/>
      <c r="M15" s="1017">
        <v>38664</v>
      </c>
      <c r="N15" s="1040" t="s">
        <v>9761</v>
      </c>
      <c r="O15" s="1036">
        <v>10</v>
      </c>
      <c r="P15" s="1034"/>
      <c r="Q15" s="1017">
        <v>39032</v>
      </c>
      <c r="R15" s="1040" t="s">
        <v>9762</v>
      </c>
      <c r="S15" s="1036">
        <v>10</v>
      </c>
      <c r="T15" s="1034"/>
      <c r="U15" s="1017">
        <v>39396</v>
      </c>
      <c r="V15" s="1040" t="s">
        <v>1244</v>
      </c>
      <c r="W15" s="1036">
        <v>15</v>
      </c>
      <c r="X15" s="1034"/>
      <c r="Y15" s="1017">
        <v>39759</v>
      </c>
      <c r="Z15" s="1040" t="s">
        <v>9763</v>
      </c>
      <c r="AA15" s="1036">
        <v>6</v>
      </c>
      <c r="AB15" s="1034"/>
      <c r="AC15" s="1017">
        <v>40128</v>
      </c>
      <c r="AD15" s="1040" t="s">
        <v>797</v>
      </c>
      <c r="AE15" s="1036">
        <v>45</v>
      </c>
      <c r="AF15" s="1034"/>
      <c r="AG15" s="1017">
        <v>40487</v>
      </c>
      <c r="AH15" s="1040" t="s">
        <v>9764</v>
      </c>
      <c r="AI15" s="1036">
        <v>6</v>
      </c>
      <c r="AJ15" s="1034"/>
      <c r="AK15" s="1017">
        <v>40859</v>
      </c>
      <c r="AL15" s="1040" t="s">
        <v>754</v>
      </c>
      <c r="AM15" s="1036">
        <v>31</v>
      </c>
      <c r="AN15" s="1034"/>
      <c r="AO15" s="1017">
        <v>41217</v>
      </c>
      <c r="AP15" s="1040" t="s">
        <v>9765</v>
      </c>
      <c r="AQ15" s="1036">
        <v>10</v>
      </c>
      <c r="AR15" s="1034"/>
      <c r="AS15" s="1017">
        <v>41586</v>
      </c>
      <c r="AT15" s="1040" t="s">
        <v>1983</v>
      </c>
      <c r="AU15" s="1036">
        <v>38</v>
      </c>
      <c r="AV15" s="1034"/>
      <c r="AW15" s="1017">
        <v>41950</v>
      </c>
      <c r="AX15" s="1040" t="s">
        <v>998</v>
      </c>
      <c r="AY15" s="1036">
        <v>7</v>
      </c>
      <c r="AZ15" s="1034"/>
      <c r="BA15" s="1017">
        <v>42315</v>
      </c>
      <c r="BB15" s="1040" t="s">
        <v>962</v>
      </c>
      <c r="BC15" s="1036">
        <v>20</v>
      </c>
      <c r="BD15" s="1378"/>
      <c r="BE15" s="1017">
        <v>42680</v>
      </c>
      <c r="BF15" s="1040" t="s">
        <v>9766</v>
      </c>
      <c r="BG15" s="1065">
        <v>12</v>
      </c>
      <c r="BH15" s="1034"/>
      <c r="BI15" s="1017">
        <v>43047</v>
      </c>
      <c r="BJ15" s="1040" t="s">
        <v>859</v>
      </c>
      <c r="BK15" s="1065">
        <v>24</v>
      </c>
      <c r="BL15" s="1034"/>
      <c r="BM15" s="1017">
        <v>43408</v>
      </c>
      <c r="BN15" s="1040" t="s">
        <v>772</v>
      </c>
      <c r="BO15" s="1065">
        <v>10</v>
      </c>
      <c r="BP15" s="1034"/>
      <c r="BQ15" s="1017">
        <v>43771</v>
      </c>
      <c r="BR15" s="1019" t="s">
        <v>9767</v>
      </c>
      <c r="BS15" s="1036">
        <v>600</v>
      </c>
      <c r="BT15" s="1018" t="s">
        <v>381</v>
      </c>
      <c r="BU15" s="1017">
        <v>43770</v>
      </c>
      <c r="BV15" s="1019" t="s">
        <v>9768</v>
      </c>
      <c r="BW15" s="1036">
        <v>16</v>
      </c>
      <c r="BX15" s="1018" t="s">
        <v>414</v>
      </c>
      <c r="BY15" s="1017">
        <v>44506</v>
      </c>
      <c r="BZ15" s="1019" t="s">
        <v>9769</v>
      </c>
      <c r="CA15" s="1036">
        <v>0</v>
      </c>
      <c r="CB15" s="1018" t="s">
        <v>414</v>
      </c>
      <c r="CC15" s="1017">
        <v>44871</v>
      </c>
      <c r="CD15" s="1019" t="s">
        <v>2439</v>
      </c>
      <c r="CE15" s="1058">
        <v>31</v>
      </c>
      <c r="CF15" s="1334" t="s">
        <v>280</v>
      </c>
      <c r="CG15" s="1326">
        <v>45231</v>
      </c>
      <c r="CH15" s="1343" t="s">
        <v>9770</v>
      </c>
      <c r="CI15" s="1281">
        <f xml:space="preserve"> CI44+CI50+CI57+CI58+CI59+CI60+CI61+CI65+CI42+CI48</f>
        <v>306</v>
      </c>
      <c r="CJ15" s="1325">
        <f t="shared" si="0"/>
        <v>4.1117979037893042E-2</v>
      </c>
      <c r="CK15" s="1326">
        <v>45231</v>
      </c>
      <c r="CL15" s="1343" t="s">
        <v>9770</v>
      </c>
      <c r="CM15" s="1281">
        <f xml:space="preserve"> CM44+CM50+CM57+CM58+CM59+CM60+CM61+CM65+CM42+CM48</f>
        <v>466</v>
      </c>
      <c r="CN15" s="1325">
        <f t="shared" si="1"/>
        <v>7.0096269554753315E-2</v>
      </c>
    </row>
    <row r="16" spans="1:92">
      <c r="A16" s="1077">
        <v>37562</v>
      </c>
      <c r="B16" s="1040" t="s">
        <v>9771</v>
      </c>
      <c r="C16" s="1036">
        <v>10</v>
      </c>
      <c r="D16" s="1034"/>
      <c r="E16" s="1017">
        <v>37926</v>
      </c>
      <c r="F16" s="1040" t="s">
        <v>772</v>
      </c>
      <c r="G16" s="1036">
        <v>15</v>
      </c>
      <c r="H16" s="1034"/>
      <c r="I16" s="1017">
        <v>38294</v>
      </c>
      <c r="J16" s="1040" t="s">
        <v>9772</v>
      </c>
      <c r="K16" s="1036">
        <v>22</v>
      </c>
      <c r="L16" s="1034"/>
      <c r="M16" s="1017">
        <v>38665</v>
      </c>
      <c r="N16" s="1040" t="s">
        <v>937</v>
      </c>
      <c r="O16" s="1036">
        <v>10</v>
      </c>
      <c r="P16" s="1034"/>
      <c r="Q16" s="1017">
        <v>39032</v>
      </c>
      <c r="R16" s="1040" t="s">
        <v>9773</v>
      </c>
      <c r="S16" s="1036">
        <v>64</v>
      </c>
      <c r="T16" s="1034"/>
      <c r="U16" s="1017">
        <v>39396</v>
      </c>
      <c r="V16" s="1040" t="s">
        <v>2240</v>
      </c>
      <c r="W16" s="1036">
        <v>20</v>
      </c>
      <c r="X16" s="1034"/>
      <c r="Y16" s="1017">
        <v>39759</v>
      </c>
      <c r="Z16" s="1040" t="s">
        <v>9774</v>
      </c>
      <c r="AA16" s="1036">
        <v>4</v>
      </c>
      <c r="AB16" s="1034"/>
      <c r="AC16" s="1017">
        <v>40128</v>
      </c>
      <c r="AD16" s="1040" t="s">
        <v>802</v>
      </c>
      <c r="AE16" s="1036">
        <v>40</v>
      </c>
      <c r="AF16" s="1034"/>
      <c r="AG16" s="1017">
        <v>40488</v>
      </c>
      <c r="AH16" s="1040" t="s">
        <v>9775</v>
      </c>
      <c r="AI16" s="1036">
        <v>7</v>
      </c>
      <c r="AJ16" s="1034"/>
      <c r="AK16" s="1017">
        <v>40859</v>
      </c>
      <c r="AL16" s="1040" t="s">
        <v>9776</v>
      </c>
      <c r="AM16" s="1036">
        <v>8</v>
      </c>
      <c r="AN16" s="1034"/>
      <c r="AO16" s="1017">
        <v>41217</v>
      </c>
      <c r="AP16" s="1040" t="s">
        <v>9777</v>
      </c>
      <c r="AQ16" s="1036">
        <v>50</v>
      </c>
      <c r="AR16" s="1034"/>
      <c r="AS16" s="1017">
        <v>41587</v>
      </c>
      <c r="AT16" s="1040" t="s">
        <v>797</v>
      </c>
      <c r="AU16" s="1036">
        <v>51</v>
      </c>
      <c r="AV16" s="1034"/>
      <c r="AW16" s="1017">
        <v>41950</v>
      </c>
      <c r="AX16" s="1040" t="s">
        <v>9778</v>
      </c>
      <c r="AY16" s="1036">
        <v>8</v>
      </c>
      <c r="AZ16" s="1034"/>
      <c r="BA16" s="1017">
        <v>42315</v>
      </c>
      <c r="BB16" s="1040" t="s">
        <v>9779</v>
      </c>
      <c r="BC16" s="1036">
        <v>20</v>
      </c>
      <c r="BD16" s="1378"/>
      <c r="BE16" s="1017">
        <v>42680</v>
      </c>
      <c r="BF16" s="1040" t="s">
        <v>9780</v>
      </c>
      <c r="BG16" s="1065">
        <v>22</v>
      </c>
      <c r="BH16" s="1034"/>
      <c r="BI16" s="1017">
        <v>43047</v>
      </c>
      <c r="BJ16" s="1040" t="s">
        <v>797</v>
      </c>
      <c r="BK16" s="1065">
        <v>57</v>
      </c>
      <c r="BL16" s="1034"/>
      <c r="BM16" s="1017">
        <v>43408</v>
      </c>
      <c r="BN16" s="1040" t="s">
        <v>1770</v>
      </c>
      <c r="BO16" s="1065">
        <v>8</v>
      </c>
      <c r="BP16" s="1034"/>
      <c r="BQ16" s="1017">
        <v>43772</v>
      </c>
      <c r="BR16" s="1019" t="s">
        <v>1052</v>
      </c>
      <c r="BS16" s="1036"/>
      <c r="BT16" s="1018" t="s">
        <v>280</v>
      </c>
      <c r="BU16" s="1017">
        <v>43770</v>
      </c>
      <c r="BV16" s="1019" t="s">
        <v>9781</v>
      </c>
      <c r="BW16" s="1036">
        <v>5</v>
      </c>
      <c r="BX16" s="1018" t="s">
        <v>414</v>
      </c>
      <c r="BY16" s="1017">
        <v>44506</v>
      </c>
      <c r="BZ16" s="1019" t="s">
        <v>2193</v>
      </c>
      <c r="CA16" s="1036">
        <v>5</v>
      </c>
      <c r="CB16" s="1018" t="s">
        <v>414</v>
      </c>
      <c r="CC16" s="1017">
        <v>44872</v>
      </c>
      <c r="CD16" s="1019" t="s">
        <v>9782</v>
      </c>
      <c r="CE16" s="1058">
        <v>11</v>
      </c>
      <c r="CF16" s="1334" t="s">
        <v>700</v>
      </c>
      <c r="CG16" s="1326">
        <v>45231</v>
      </c>
      <c r="CH16" s="1282" t="s">
        <v>9783</v>
      </c>
      <c r="CI16" s="1283">
        <f>CI51+CI56</f>
        <v>134</v>
      </c>
      <c r="CJ16" s="1325">
        <f t="shared" si="0"/>
        <v>1.8005912389142703E-2</v>
      </c>
      <c r="CK16" s="1326">
        <v>45231</v>
      </c>
      <c r="CL16" s="1282" t="s">
        <v>9783</v>
      </c>
      <c r="CM16" s="1283">
        <f>CM51+CM56</f>
        <v>45</v>
      </c>
      <c r="CN16" s="1325">
        <f t="shared" si="1"/>
        <v>6.7689530685920577E-3</v>
      </c>
    </row>
    <row r="17" spans="1:92">
      <c r="A17" s="1077">
        <v>37563</v>
      </c>
      <c r="B17" s="1040" t="s">
        <v>915</v>
      </c>
      <c r="C17" s="1036">
        <v>5</v>
      </c>
      <c r="D17" s="1034"/>
      <c r="E17" s="1017">
        <v>37927</v>
      </c>
      <c r="F17" s="1040" t="s">
        <v>937</v>
      </c>
      <c r="G17" s="1036">
        <v>56</v>
      </c>
      <c r="H17" s="1034"/>
      <c r="I17" s="1017">
        <v>38294</v>
      </c>
      <c r="J17" s="1040" t="s">
        <v>802</v>
      </c>
      <c r="K17" s="1036">
        <v>28</v>
      </c>
      <c r="L17" s="1034"/>
      <c r="M17" s="1017">
        <v>38666</v>
      </c>
      <c r="N17" s="1040" t="s">
        <v>797</v>
      </c>
      <c r="O17" s="1036">
        <v>35</v>
      </c>
      <c r="P17" s="1034"/>
      <c r="Q17" s="1017">
        <v>39032</v>
      </c>
      <c r="R17" s="1040" t="s">
        <v>9784</v>
      </c>
      <c r="S17" s="1036">
        <v>25</v>
      </c>
      <c r="T17" s="1034"/>
      <c r="U17" s="1017">
        <v>39396</v>
      </c>
      <c r="V17" s="1040" t="s">
        <v>937</v>
      </c>
      <c r="W17" s="1036">
        <v>47</v>
      </c>
      <c r="X17" s="1034"/>
      <c r="Y17" s="1017">
        <v>39759</v>
      </c>
      <c r="Z17" s="1040" t="s">
        <v>9785</v>
      </c>
      <c r="AA17" s="1036">
        <v>15</v>
      </c>
      <c r="AB17" s="1034"/>
      <c r="AC17" s="1017">
        <v>40128</v>
      </c>
      <c r="AD17" s="1040" t="s">
        <v>9786</v>
      </c>
      <c r="AE17" s="1036">
        <v>1</v>
      </c>
      <c r="AF17" s="1034"/>
      <c r="AG17" s="1017">
        <v>40488</v>
      </c>
      <c r="AH17" s="1040" t="s">
        <v>9787</v>
      </c>
      <c r="AI17" s="1036">
        <v>15</v>
      </c>
      <c r="AJ17" s="1034"/>
      <c r="AK17" s="1017">
        <v>40859</v>
      </c>
      <c r="AL17" s="1040" t="s">
        <v>9788</v>
      </c>
      <c r="AM17" s="1036">
        <v>14</v>
      </c>
      <c r="AN17" s="1034"/>
      <c r="AO17" s="1017">
        <v>41220</v>
      </c>
      <c r="AP17" s="1040" t="s">
        <v>9789</v>
      </c>
      <c r="AQ17" s="1036">
        <v>20</v>
      </c>
      <c r="AR17" s="1034"/>
      <c r="AS17" s="1017">
        <v>41589</v>
      </c>
      <c r="AT17" s="1040" t="s">
        <v>9790</v>
      </c>
      <c r="AU17" s="1036">
        <v>5</v>
      </c>
      <c r="AV17" s="1034"/>
      <c r="AW17" s="1017">
        <v>41951</v>
      </c>
      <c r="AX17" s="1040" t="s">
        <v>9791</v>
      </c>
      <c r="AY17" s="1036">
        <v>35</v>
      </c>
      <c r="AZ17" s="1034"/>
      <c r="BA17" s="1017">
        <v>42315</v>
      </c>
      <c r="BB17" s="1040" t="s">
        <v>9792</v>
      </c>
      <c r="BC17" s="1036">
        <v>4</v>
      </c>
      <c r="BD17" s="1378"/>
      <c r="BE17" s="1017">
        <v>42680</v>
      </c>
      <c r="BF17" s="1040" t="s">
        <v>1052</v>
      </c>
      <c r="BG17" s="1065">
        <v>21</v>
      </c>
      <c r="BH17" s="1034"/>
      <c r="BI17" s="1017">
        <v>43049</v>
      </c>
      <c r="BJ17" s="1040" t="s">
        <v>9793</v>
      </c>
      <c r="BK17" s="1065">
        <v>22</v>
      </c>
      <c r="BL17" s="1034"/>
      <c r="BM17" s="1017">
        <v>43408</v>
      </c>
      <c r="BN17" s="1040" t="s">
        <v>9794</v>
      </c>
      <c r="BO17" s="1065">
        <v>11</v>
      </c>
      <c r="BP17" s="1034"/>
      <c r="BQ17" s="1017">
        <v>43772</v>
      </c>
      <c r="BR17" s="1019" t="s">
        <v>1429</v>
      </c>
      <c r="BS17" s="1036">
        <v>4</v>
      </c>
      <c r="BT17" s="1018" t="s">
        <v>414</v>
      </c>
      <c r="BU17" s="1017">
        <v>43770</v>
      </c>
      <c r="BV17" s="1019" t="s">
        <v>9795</v>
      </c>
      <c r="BW17" s="1036">
        <v>32</v>
      </c>
      <c r="BX17" s="1018" t="s">
        <v>414</v>
      </c>
      <c r="BY17" s="1017">
        <v>44506</v>
      </c>
      <c r="BZ17" s="1019" t="s">
        <v>1746</v>
      </c>
      <c r="CA17" s="1020">
        <v>16</v>
      </c>
      <c r="CB17" s="1018" t="s">
        <v>414</v>
      </c>
      <c r="CC17" s="1017">
        <v>44872</v>
      </c>
      <c r="CD17" s="1019" t="s">
        <v>9796</v>
      </c>
      <c r="CE17" s="1058">
        <v>10</v>
      </c>
      <c r="CF17" s="1334" t="s">
        <v>280</v>
      </c>
      <c r="CG17" s="1326">
        <v>45231</v>
      </c>
      <c r="CH17" s="1284" t="s">
        <v>9797</v>
      </c>
      <c r="CI17" s="1281">
        <f>CI55+CI52</f>
        <v>900</v>
      </c>
      <c r="CJ17" s="1325">
        <f t="shared" si="0"/>
        <v>0.12093523246439129</v>
      </c>
      <c r="CK17" s="1326">
        <v>45231</v>
      </c>
      <c r="CL17" s="1284" t="s">
        <v>9797</v>
      </c>
      <c r="CM17" s="1281">
        <f>CM55+CM52</f>
        <v>35</v>
      </c>
      <c r="CN17" s="1325">
        <f t="shared" si="1"/>
        <v>5.2647412755716001E-3</v>
      </c>
    </row>
    <row r="18" spans="1:92">
      <c r="A18" s="1077">
        <v>37563</v>
      </c>
      <c r="B18" s="1040" t="s">
        <v>2085</v>
      </c>
      <c r="C18" s="1036">
        <v>20</v>
      </c>
      <c r="D18" s="1034"/>
      <c r="E18" s="1017">
        <v>37927</v>
      </c>
      <c r="F18" s="1040" t="s">
        <v>9798</v>
      </c>
      <c r="G18" s="1036">
        <v>10</v>
      </c>
      <c r="H18" s="1034"/>
      <c r="I18" s="1017">
        <v>38296</v>
      </c>
      <c r="J18" s="1040" t="s">
        <v>1157</v>
      </c>
      <c r="K18" s="1036">
        <v>34</v>
      </c>
      <c r="L18" s="1034"/>
      <c r="M18" s="1017">
        <v>38669</v>
      </c>
      <c r="N18" s="1040" t="s">
        <v>9799</v>
      </c>
      <c r="O18" s="1036">
        <v>4</v>
      </c>
      <c r="P18" s="1034"/>
      <c r="Q18" s="1017">
        <v>39032</v>
      </c>
      <c r="R18" s="1040" t="s">
        <v>9800</v>
      </c>
      <c r="S18" s="1036">
        <v>20</v>
      </c>
      <c r="T18" s="1034"/>
      <c r="U18" s="1017">
        <v>39396</v>
      </c>
      <c r="V18" s="1040" t="s">
        <v>9801</v>
      </c>
      <c r="W18" s="1036">
        <v>15</v>
      </c>
      <c r="X18" s="1034"/>
      <c r="Y18" s="1017">
        <v>39759</v>
      </c>
      <c r="Z18" s="1040" t="s">
        <v>9802</v>
      </c>
      <c r="AA18" s="1036">
        <v>22</v>
      </c>
      <c r="AB18" s="1034"/>
      <c r="AC18" s="1017">
        <v>40129</v>
      </c>
      <c r="AD18" s="1040" t="s">
        <v>9803</v>
      </c>
      <c r="AE18" s="1036">
        <v>1</v>
      </c>
      <c r="AF18" s="1034"/>
      <c r="AG18" s="1017">
        <v>40488</v>
      </c>
      <c r="AH18" s="1040" t="s">
        <v>772</v>
      </c>
      <c r="AI18" s="1036">
        <v>66</v>
      </c>
      <c r="AJ18" s="1034"/>
      <c r="AK18" s="1017">
        <v>40859</v>
      </c>
      <c r="AL18" s="1040" t="s">
        <v>8839</v>
      </c>
      <c r="AM18" s="1036">
        <v>2</v>
      </c>
      <c r="AN18" s="1034"/>
      <c r="AO18" s="1017">
        <v>41220</v>
      </c>
      <c r="AP18" s="1040" t="s">
        <v>9804</v>
      </c>
      <c r="AQ18" s="1036">
        <v>99</v>
      </c>
      <c r="AR18" s="1034"/>
      <c r="AS18" s="1017">
        <v>41589</v>
      </c>
      <c r="AT18" s="1040" t="s">
        <v>9805</v>
      </c>
      <c r="AU18" s="1036">
        <v>5</v>
      </c>
      <c r="AV18" s="1034"/>
      <c r="AW18" s="1017">
        <v>41951</v>
      </c>
      <c r="AX18" s="1040" t="s">
        <v>772</v>
      </c>
      <c r="AY18" s="1036">
        <v>59</v>
      </c>
      <c r="AZ18" s="1034"/>
      <c r="BA18" s="1017">
        <v>42315</v>
      </c>
      <c r="BB18" s="1040" t="s">
        <v>9806</v>
      </c>
      <c r="BC18" s="1036">
        <v>139</v>
      </c>
      <c r="BD18" s="1378"/>
      <c r="BE18" s="1017">
        <v>42684</v>
      </c>
      <c r="BF18" s="1040" t="s">
        <v>9807</v>
      </c>
      <c r="BG18" s="1065">
        <v>8</v>
      </c>
      <c r="BH18" s="1034"/>
      <c r="BI18" s="1017">
        <v>43049</v>
      </c>
      <c r="BJ18" s="1040" t="s">
        <v>823</v>
      </c>
      <c r="BK18" s="1065">
        <v>26</v>
      </c>
      <c r="BL18" s="1034"/>
      <c r="BM18" s="1017">
        <v>43409</v>
      </c>
      <c r="BN18" s="1040" t="s">
        <v>9808</v>
      </c>
      <c r="BO18" s="1065">
        <v>41</v>
      </c>
      <c r="BP18" s="1034"/>
      <c r="BQ18" s="1017">
        <v>43772</v>
      </c>
      <c r="BR18" s="1019" t="s">
        <v>8692</v>
      </c>
      <c r="BS18" s="1020">
        <v>20</v>
      </c>
      <c r="BT18" s="1018" t="s">
        <v>280</v>
      </c>
      <c r="BU18" s="1017">
        <v>43770</v>
      </c>
      <c r="BV18" s="1019" t="s">
        <v>7355</v>
      </c>
      <c r="BW18" s="1020">
        <v>11</v>
      </c>
      <c r="BX18" s="1018" t="s">
        <v>414</v>
      </c>
      <c r="BY18" s="1017">
        <v>44506</v>
      </c>
      <c r="BZ18" s="1019" t="s">
        <v>781</v>
      </c>
      <c r="CA18" s="1020">
        <v>36</v>
      </c>
      <c r="CB18" s="1018" t="s">
        <v>414</v>
      </c>
      <c r="CC18" s="1017">
        <v>44872</v>
      </c>
      <c r="CD18" s="1019" t="s">
        <v>9809</v>
      </c>
      <c r="CE18" s="1058">
        <v>60</v>
      </c>
      <c r="CF18" s="1334" t="s">
        <v>280</v>
      </c>
      <c r="CG18" s="1326">
        <v>45231</v>
      </c>
      <c r="CH18" s="1284" t="s">
        <v>9810</v>
      </c>
      <c r="CI18" s="1281">
        <f>92+58</f>
        <v>150</v>
      </c>
      <c r="CJ18" s="1325">
        <f t="shared" si="0"/>
        <v>2.0155872077398548E-2</v>
      </c>
      <c r="CK18" s="1326">
        <v>45231</v>
      </c>
      <c r="CL18" s="1284" t="s">
        <v>9810</v>
      </c>
      <c r="CM18" s="1281">
        <f>92+58</f>
        <v>150</v>
      </c>
      <c r="CN18" s="1325">
        <f t="shared" si="1"/>
        <v>2.2563176895306861E-2</v>
      </c>
    </row>
    <row r="19" spans="1:92">
      <c r="A19" s="1077">
        <v>37564</v>
      </c>
      <c r="B19" s="1040" t="s">
        <v>9811</v>
      </c>
      <c r="C19" s="1036">
        <v>50</v>
      </c>
      <c r="D19" s="1034"/>
      <c r="E19" s="1017">
        <v>37927</v>
      </c>
      <c r="F19" s="1040" t="s">
        <v>9812</v>
      </c>
      <c r="G19" s="1036">
        <v>0</v>
      </c>
      <c r="H19" s="1034"/>
      <c r="I19" s="1017">
        <v>38297</v>
      </c>
      <c r="J19" s="1040" t="s">
        <v>9813</v>
      </c>
      <c r="K19" s="1036">
        <v>22</v>
      </c>
      <c r="L19" s="1034"/>
      <c r="M19" s="1017">
        <v>38669</v>
      </c>
      <c r="N19" s="1040" t="s">
        <v>937</v>
      </c>
      <c r="O19" s="1036">
        <v>13</v>
      </c>
      <c r="P19" s="1034"/>
      <c r="Q19" s="1017">
        <v>39032</v>
      </c>
      <c r="R19" s="1040" t="s">
        <v>797</v>
      </c>
      <c r="S19" s="1036">
        <v>15</v>
      </c>
      <c r="T19" s="1034"/>
      <c r="U19" s="1017">
        <v>39399</v>
      </c>
      <c r="V19" s="1040" t="s">
        <v>797</v>
      </c>
      <c r="W19" s="1036">
        <v>45</v>
      </c>
      <c r="X19" s="1034"/>
      <c r="Y19" s="1017">
        <v>39760</v>
      </c>
      <c r="Z19" s="1040" t="s">
        <v>2054</v>
      </c>
      <c r="AA19" s="1036">
        <v>8</v>
      </c>
      <c r="AB19" s="1034"/>
      <c r="AC19" s="1017">
        <v>40130</v>
      </c>
      <c r="AD19" s="1040" t="s">
        <v>781</v>
      </c>
      <c r="AE19" s="1036">
        <v>120</v>
      </c>
      <c r="AF19" s="1034"/>
      <c r="AG19" s="1017">
        <v>40488</v>
      </c>
      <c r="AH19" s="1040" t="s">
        <v>979</v>
      </c>
      <c r="AI19" s="1036">
        <v>30</v>
      </c>
      <c r="AJ19" s="1034"/>
      <c r="AK19" s="1017">
        <v>40863</v>
      </c>
      <c r="AL19" s="1040" t="s">
        <v>922</v>
      </c>
      <c r="AM19" s="1036">
        <v>10</v>
      </c>
      <c r="AN19" s="1034"/>
      <c r="AO19" s="1017">
        <v>41220</v>
      </c>
      <c r="AP19" s="1040" t="s">
        <v>925</v>
      </c>
      <c r="AQ19" s="1036">
        <v>20</v>
      </c>
      <c r="AR19" s="1034"/>
      <c r="AS19" s="1017">
        <v>41589</v>
      </c>
      <c r="AT19" s="1040" t="s">
        <v>9814</v>
      </c>
      <c r="AU19" s="1036">
        <v>165</v>
      </c>
      <c r="AV19" s="1034"/>
      <c r="AW19" s="1017">
        <v>41951</v>
      </c>
      <c r="AX19" s="1040" t="s">
        <v>754</v>
      </c>
      <c r="AY19" s="1036">
        <v>73</v>
      </c>
      <c r="AZ19" s="1034"/>
      <c r="BA19" s="1017">
        <v>42315</v>
      </c>
      <c r="BB19" s="1040" t="s">
        <v>954</v>
      </c>
      <c r="BC19" s="1036">
        <v>38</v>
      </c>
      <c r="BD19" s="1378"/>
      <c r="BE19" s="1017">
        <v>42685</v>
      </c>
      <c r="BF19" s="1040" t="s">
        <v>1180</v>
      </c>
      <c r="BG19" s="1065">
        <v>51</v>
      </c>
      <c r="BH19" s="1034"/>
      <c r="BI19" s="1017">
        <v>43049</v>
      </c>
      <c r="BJ19" s="1040" t="s">
        <v>9815</v>
      </c>
      <c r="BK19" s="1065">
        <v>39</v>
      </c>
      <c r="BL19" s="1034"/>
      <c r="BM19" s="1017">
        <v>43409</v>
      </c>
      <c r="BN19" s="1040" t="s">
        <v>5708</v>
      </c>
      <c r="BO19" s="1065">
        <v>130</v>
      </c>
      <c r="BP19" s="1034"/>
      <c r="BQ19" s="1017">
        <v>43772</v>
      </c>
      <c r="BR19" s="1019" t="s">
        <v>2764</v>
      </c>
      <c r="BS19" s="1020">
        <v>42</v>
      </c>
      <c r="BT19" s="1018" t="s">
        <v>700</v>
      </c>
      <c r="BU19" s="1017">
        <v>43770</v>
      </c>
      <c r="BV19" s="1019" t="s">
        <v>9816</v>
      </c>
      <c r="BW19" s="1020">
        <v>13</v>
      </c>
      <c r="BX19" s="1018" t="s">
        <v>414</v>
      </c>
      <c r="BY19" s="1017">
        <v>44506</v>
      </c>
      <c r="BZ19" s="1019" t="s">
        <v>859</v>
      </c>
      <c r="CA19" s="1020">
        <v>5</v>
      </c>
      <c r="CB19" s="1018" t="s">
        <v>414</v>
      </c>
      <c r="CC19" s="1017">
        <v>44874</v>
      </c>
      <c r="CD19" s="1019" t="s">
        <v>9817</v>
      </c>
      <c r="CE19" s="1058">
        <v>25</v>
      </c>
      <c r="CF19" s="1334" t="s">
        <v>667</v>
      </c>
      <c r="CG19" s="1326">
        <v>45231</v>
      </c>
      <c r="CH19" s="1282" t="s">
        <v>6154</v>
      </c>
      <c r="CI19" s="1285">
        <v>0</v>
      </c>
      <c r="CJ19" s="1325">
        <f t="shared" si="0"/>
        <v>0</v>
      </c>
      <c r="CK19" s="1326">
        <v>45231</v>
      </c>
      <c r="CL19" s="1282" t="s">
        <v>6154</v>
      </c>
      <c r="CM19" s="1285">
        <v>0</v>
      </c>
      <c r="CN19" s="1325">
        <f t="shared" si="1"/>
        <v>0</v>
      </c>
    </row>
    <row r="20" spans="1:92">
      <c r="A20" s="1077">
        <v>37565</v>
      </c>
      <c r="B20" s="1040" t="s">
        <v>410</v>
      </c>
      <c r="C20" s="1036"/>
      <c r="D20" s="1034">
        <v>28</v>
      </c>
      <c r="E20" s="1017">
        <v>37928</v>
      </c>
      <c r="F20" s="1040" t="s">
        <v>802</v>
      </c>
      <c r="G20" s="1036">
        <v>25</v>
      </c>
      <c r="H20" s="1034"/>
      <c r="I20" s="1017">
        <v>38297</v>
      </c>
      <c r="J20" s="1040" t="s">
        <v>9818</v>
      </c>
      <c r="K20" s="1036">
        <v>25</v>
      </c>
      <c r="L20" s="1034"/>
      <c r="M20" s="1017">
        <v>38670</v>
      </c>
      <c r="N20" s="1040" t="s">
        <v>9819</v>
      </c>
      <c r="O20" s="1036">
        <v>3</v>
      </c>
      <c r="P20" s="1034"/>
      <c r="Q20" s="1017">
        <v>39033</v>
      </c>
      <c r="R20" s="1040" t="s">
        <v>9820</v>
      </c>
      <c r="S20" s="1036">
        <v>2</v>
      </c>
      <c r="T20" s="1034"/>
      <c r="U20" s="1017">
        <v>39402</v>
      </c>
      <c r="V20" s="1040" t="s">
        <v>9821</v>
      </c>
      <c r="W20" s="1036">
        <v>25</v>
      </c>
      <c r="X20" s="1034"/>
      <c r="Y20" s="1017">
        <v>39760</v>
      </c>
      <c r="Z20" s="1040" t="s">
        <v>783</v>
      </c>
      <c r="AA20" s="1036">
        <v>17</v>
      </c>
      <c r="AB20" s="1034"/>
      <c r="AC20" s="1017">
        <v>40136</v>
      </c>
      <c r="AD20" s="1040" t="s">
        <v>784</v>
      </c>
      <c r="AE20" s="1036">
        <v>41</v>
      </c>
      <c r="AF20" s="1034"/>
      <c r="AG20" s="1017">
        <v>40488</v>
      </c>
      <c r="AH20" s="1040" t="s">
        <v>1244</v>
      </c>
      <c r="AI20" s="1036">
        <v>37</v>
      </c>
      <c r="AJ20" s="1034"/>
      <c r="AK20" s="1017">
        <v>40865</v>
      </c>
      <c r="AL20" s="1040" t="s">
        <v>9822</v>
      </c>
      <c r="AM20" s="1036">
        <v>15</v>
      </c>
      <c r="AN20" s="1034"/>
      <c r="AO20" s="1017">
        <v>41222</v>
      </c>
      <c r="AP20" s="1040" t="s">
        <v>9823</v>
      </c>
      <c r="AQ20" s="1036">
        <v>550</v>
      </c>
      <c r="AR20" s="1034"/>
      <c r="AS20" s="1017">
        <v>41589</v>
      </c>
      <c r="AT20" s="1040" t="s">
        <v>2005</v>
      </c>
      <c r="AU20" s="1036">
        <v>10</v>
      </c>
      <c r="AV20" s="1034"/>
      <c r="AW20" s="1017">
        <v>41951</v>
      </c>
      <c r="AX20" s="1040" t="s">
        <v>781</v>
      </c>
      <c r="AY20" s="1036">
        <v>66</v>
      </c>
      <c r="AZ20" s="1034"/>
      <c r="BA20" s="1017">
        <v>42315</v>
      </c>
      <c r="BB20" s="1040" t="s">
        <v>797</v>
      </c>
      <c r="BC20" s="1036">
        <v>20</v>
      </c>
      <c r="BD20" s="1378"/>
      <c r="BE20" s="1017">
        <v>42685</v>
      </c>
      <c r="BF20" s="1040" t="s">
        <v>3490</v>
      </c>
      <c r="BG20" s="1065">
        <v>30</v>
      </c>
      <c r="BH20" s="1034"/>
      <c r="BI20" s="1017">
        <v>43050</v>
      </c>
      <c r="BJ20" s="1040" t="s">
        <v>873</v>
      </c>
      <c r="BK20" s="1065">
        <v>27</v>
      </c>
      <c r="BL20" s="1034"/>
      <c r="BM20" s="1017">
        <v>43409</v>
      </c>
      <c r="BN20" s="1040" t="s">
        <v>9824</v>
      </c>
      <c r="BO20" s="1065">
        <v>8</v>
      </c>
      <c r="BP20" s="1034"/>
      <c r="BQ20" s="1017">
        <v>43776</v>
      </c>
      <c r="BR20" s="1019" t="s">
        <v>873</v>
      </c>
      <c r="BS20" s="1020">
        <v>10</v>
      </c>
      <c r="BT20" s="1018" t="s">
        <v>414</v>
      </c>
      <c r="BU20" s="1017">
        <v>43770</v>
      </c>
      <c r="BV20" s="1019" t="s">
        <v>9825</v>
      </c>
      <c r="BW20" s="1020">
        <v>26</v>
      </c>
      <c r="BX20" s="1018" t="s">
        <v>414</v>
      </c>
      <c r="BY20" s="1017">
        <v>44506</v>
      </c>
      <c r="BZ20" s="1019" t="s">
        <v>859</v>
      </c>
      <c r="CA20" s="1020">
        <v>38</v>
      </c>
      <c r="CB20" s="1018" t="s">
        <v>414</v>
      </c>
      <c r="CC20" s="1017">
        <v>44874</v>
      </c>
      <c r="CD20" s="1019" t="s">
        <v>9826</v>
      </c>
      <c r="CE20" s="1058">
        <v>90</v>
      </c>
      <c r="CF20" s="1334" t="s">
        <v>700</v>
      </c>
      <c r="CG20" s="1326">
        <v>45232</v>
      </c>
      <c r="CH20" s="1019" t="s">
        <v>9827</v>
      </c>
      <c r="CI20" s="1058">
        <v>30</v>
      </c>
      <c r="CJ20" s="1323" t="s">
        <v>280</v>
      </c>
      <c r="CK20" s="1326">
        <v>45603</v>
      </c>
      <c r="CL20" s="1019" t="s">
        <v>845</v>
      </c>
      <c r="CM20" s="1058">
        <v>37</v>
      </c>
      <c r="CN20" s="1323" t="s">
        <v>414</v>
      </c>
    </row>
    <row r="21" spans="1:92">
      <c r="A21" s="1077">
        <v>37566</v>
      </c>
      <c r="B21" s="1040" t="s">
        <v>915</v>
      </c>
      <c r="C21" s="1036">
        <v>13</v>
      </c>
      <c r="D21" s="1034"/>
      <c r="E21" s="1017">
        <v>37929</v>
      </c>
      <c r="F21" s="1040" t="s">
        <v>772</v>
      </c>
      <c r="G21" s="1036">
        <v>26</v>
      </c>
      <c r="H21" s="1034"/>
      <c r="I21" s="1017">
        <v>38297</v>
      </c>
      <c r="J21" s="1040" t="s">
        <v>9828</v>
      </c>
      <c r="K21" s="1036">
        <v>75</v>
      </c>
      <c r="L21" s="1034"/>
      <c r="M21" s="1017">
        <v>38670</v>
      </c>
      <c r="N21" s="1040" t="s">
        <v>1157</v>
      </c>
      <c r="O21" s="1036">
        <v>20</v>
      </c>
      <c r="P21" s="1034"/>
      <c r="Q21" s="1017">
        <v>39033</v>
      </c>
      <c r="R21" s="1040" t="s">
        <v>9829</v>
      </c>
      <c r="S21" s="1036">
        <v>12</v>
      </c>
      <c r="T21" s="1034"/>
      <c r="U21" s="1017">
        <v>39402</v>
      </c>
      <c r="V21" s="1040" t="s">
        <v>9830</v>
      </c>
      <c r="W21" s="1036">
        <v>20</v>
      </c>
      <c r="X21" s="1034"/>
      <c r="Y21" s="1017">
        <v>39760</v>
      </c>
      <c r="Z21" s="1040" t="s">
        <v>867</v>
      </c>
      <c r="AA21" s="1036">
        <v>6</v>
      </c>
      <c r="AB21" s="1034"/>
      <c r="AC21" s="1017">
        <v>40138</v>
      </c>
      <c r="AD21" s="1040" t="s">
        <v>772</v>
      </c>
      <c r="AE21" s="1036">
        <v>118</v>
      </c>
      <c r="AF21" s="1034"/>
      <c r="AG21" s="1017">
        <v>40488</v>
      </c>
      <c r="AH21" s="1040" t="s">
        <v>4598</v>
      </c>
      <c r="AI21" s="1036">
        <v>10</v>
      </c>
      <c r="AJ21" s="1034"/>
      <c r="AK21" s="1017">
        <v>40866</v>
      </c>
      <c r="AL21" s="1040" t="s">
        <v>781</v>
      </c>
      <c r="AM21" s="1036">
        <v>76</v>
      </c>
      <c r="AN21" s="1034"/>
      <c r="AO21" s="1017">
        <v>41223</v>
      </c>
      <c r="AP21" s="1040" t="s">
        <v>772</v>
      </c>
      <c r="AQ21" s="1036">
        <v>26</v>
      </c>
      <c r="AR21" s="1034"/>
      <c r="AS21" s="1017">
        <v>41592</v>
      </c>
      <c r="AT21" s="1040" t="s">
        <v>853</v>
      </c>
      <c r="AU21" s="1036">
        <v>5</v>
      </c>
      <c r="AV21" s="1034"/>
      <c r="AW21" s="1017">
        <v>41951</v>
      </c>
      <c r="AX21" s="1040" t="s">
        <v>2691</v>
      </c>
      <c r="AY21" s="1036">
        <v>35</v>
      </c>
      <c r="AZ21" s="1034"/>
      <c r="BA21" s="1017">
        <v>42316</v>
      </c>
      <c r="BB21" s="1040" t="s">
        <v>754</v>
      </c>
      <c r="BC21" s="1036">
        <v>16</v>
      </c>
      <c r="BD21" s="1378"/>
      <c r="BE21" s="1017">
        <v>42685</v>
      </c>
      <c r="BF21" s="1040" t="s">
        <v>9831</v>
      </c>
      <c r="BG21" s="1065">
        <v>333</v>
      </c>
      <c r="BH21" s="1034"/>
      <c r="BI21" s="1017">
        <v>43050</v>
      </c>
      <c r="BJ21" s="1040" t="s">
        <v>872</v>
      </c>
      <c r="BK21" s="1065">
        <v>6</v>
      </c>
      <c r="BL21" s="1034"/>
      <c r="BM21" s="1017">
        <v>43414</v>
      </c>
      <c r="BN21" s="1040" t="s">
        <v>872</v>
      </c>
      <c r="BO21" s="1065">
        <v>10</v>
      </c>
      <c r="BP21" s="1034"/>
      <c r="BQ21" s="1017">
        <v>43777</v>
      </c>
      <c r="BR21" s="1019" t="s">
        <v>9832</v>
      </c>
      <c r="BS21" s="1020">
        <v>32</v>
      </c>
      <c r="BT21" s="1018" t="s">
        <v>700</v>
      </c>
      <c r="BU21" s="1017">
        <v>43770</v>
      </c>
      <c r="BV21" s="1019" t="s">
        <v>9833</v>
      </c>
      <c r="BW21" s="1020">
        <v>8</v>
      </c>
      <c r="BX21" s="1018" t="s">
        <v>414</v>
      </c>
      <c r="BY21" s="1017">
        <v>44507</v>
      </c>
      <c r="BZ21" s="1019" t="s">
        <v>9834</v>
      </c>
      <c r="CA21" s="1020">
        <v>9</v>
      </c>
      <c r="CB21" s="1018" t="s">
        <v>667</v>
      </c>
      <c r="CC21" s="1017">
        <v>44874</v>
      </c>
      <c r="CD21" s="1019" t="s">
        <v>9835</v>
      </c>
      <c r="CE21" s="1058">
        <v>50</v>
      </c>
      <c r="CF21" s="1334" t="s">
        <v>280</v>
      </c>
      <c r="CG21" s="1326">
        <v>45234</v>
      </c>
      <c r="CH21" s="1019" t="s">
        <v>772</v>
      </c>
      <c r="CI21" s="1058">
        <v>116</v>
      </c>
      <c r="CJ21" s="1323" t="s">
        <v>414</v>
      </c>
      <c r="CK21" s="1326">
        <v>45603</v>
      </c>
      <c r="CL21" s="1019" t="s">
        <v>843</v>
      </c>
      <c r="CM21" s="1058">
        <v>50</v>
      </c>
      <c r="CN21" s="1323" t="s">
        <v>414</v>
      </c>
    </row>
    <row r="22" spans="1:92">
      <c r="A22" s="1077">
        <v>37568</v>
      </c>
      <c r="B22" s="1040" t="s">
        <v>410</v>
      </c>
      <c r="C22" s="1036">
        <v>23</v>
      </c>
      <c r="D22" s="1034"/>
      <c r="E22" s="1017">
        <v>37930</v>
      </c>
      <c r="F22" s="1040" t="s">
        <v>9836</v>
      </c>
      <c r="G22" s="1036">
        <v>12</v>
      </c>
      <c r="H22" s="1034"/>
      <c r="I22" s="1017">
        <v>38297</v>
      </c>
      <c r="J22" s="1040" t="s">
        <v>9837</v>
      </c>
      <c r="K22" s="1036">
        <v>0</v>
      </c>
      <c r="L22" s="1034"/>
      <c r="M22" s="1017">
        <v>38675</v>
      </c>
      <c r="N22" s="1040" t="s">
        <v>797</v>
      </c>
      <c r="O22" s="1036">
        <v>35</v>
      </c>
      <c r="P22" s="1034"/>
      <c r="Q22" s="1017">
        <v>39033</v>
      </c>
      <c r="R22" s="1040" t="s">
        <v>9838</v>
      </c>
      <c r="S22" s="1036">
        <v>59</v>
      </c>
      <c r="T22" s="1034"/>
      <c r="U22" s="1017">
        <v>39403</v>
      </c>
      <c r="V22" s="1040" t="s">
        <v>9839</v>
      </c>
      <c r="W22" s="1036">
        <v>20</v>
      </c>
      <c r="X22" s="1034"/>
      <c r="Y22" s="1017">
        <v>39760</v>
      </c>
      <c r="Z22" s="1040" t="s">
        <v>767</v>
      </c>
      <c r="AA22" s="1036">
        <v>37</v>
      </c>
      <c r="AB22" s="1034"/>
      <c r="AC22" s="1017">
        <v>40138</v>
      </c>
      <c r="AD22" s="1040" t="s">
        <v>781</v>
      </c>
      <c r="AE22" s="1036">
        <v>72</v>
      </c>
      <c r="AF22" s="1034"/>
      <c r="AG22" s="1017">
        <v>40488</v>
      </c>
      <c r="AH22" s="1040" t="s">
        <v>962</v>
      </c>
      <c r="AI22" s="1036">
        <v>16</v>
      </c>
      <c r="AJ22" s="1034"/>
      <c r="AK22" s="1017">
        <v>40867</v>
      </c>
      <c r="AL22" s="1040" t="s">
        <v>9840</v>
      </c>
      <c r="AM22" s="1036">
        <v>8</v>
      </c>
      <c r="AN22" s="1034"/>
      <c r="AO22" s="1017">
        <v>41223</v>
      </c>
      <c r="AP22" s="1040" t="s">
        <v>754</v>
      </c>
      <c r="AQ22" s="1036">
        <v>46</v>
      </c>
      <c r="AR22" s="1034"/>
      <c r="AS22" s="1017">
        <v>41593</v>
      </c>
      <c r="AT22" s="1040" t="s">
        <v>797</v>
      </c>
      <c r="AU22" s="1036">
        <v>60</v>
      </c>
      <c r="AV22" s="1034"/>
      <c r="AW22" s="1017">
        <v>41952</v>
      </c>
      <c r="AX22" s="1040" t="s">
        <v>9841</v>
      </c>
      <c r="AY22" s="1036">
        <v>36</v>
      </c>
      <c r="AZ22" s="1034"/>
      <c r="BA22" s="1017">
        <v>42316</v>
      </c>
      <c r="BB22" s="1040" t="s">
        <v>9842</v>
      </c>
      <c r="BC22" s="1036">
        <v>126</v>
      </c>
      <c r="BD22" s="1378"/>
      <c r="BE22" s="1017">
        <v>42686</v>
      </c>
      <c r="BF22" s="1040" t="s">
        <v>9843</v>
      </c>
      <c r="BG22" s="1065">
        <v>11</v>
      </c>
      <c r="BH22" s="1383"/>
      <c r="BI22" s="1017">
        <v>43050</v>
      </c>
      <c r="BJ22" s="1040" t="s">
        <v>890</v>
      </c>
      <c r="BK22" s="1065">
        <v>9</v>
      </c>
      <c r="BL22" s="1034"/>
      <c r="BM22" s="1017">
        <v>43414</v>
      </c>
      <c r="BN22" s="1040" t="s">
        <v>859</v>
      </c>
      <c r="BO22" s="1065">
        <v>13</v>
      </c>
      <c r="BP22" s="1034"/>
      <c r="BQ22" s="1017">
        <v>43778</v>
      </c>
      <c r="BR22" s="1019" t="s">
        <v>872</v>
      </c>
      <c r="BS22" s="1020">
        <v>23</v>
      </c>
      <c r="BT22" s="1018" t="s">
        <v>414</v>
      </c>
      <c r="BU22" s="1017">
        <v>43770</v>
      </c>
      <c r="BV22" s="1019" t="s">
        <v>9844</v>
      </c>
      <c r="BW22" s="1020">
        <v>13</v>
      </c>
      <c r="BX22" s="1018" t="s">
        <v>414</v>
      </c>
      <c r="BY22" s="1017">
        <v>44507</v>
      </c>
      <c r="BZ22" s="1019" t="s">
        <v>9845</v>
      </c>
      <c r="CA22" s="1020">
        <v>16</v>
      </c>
      <c r="CB22" s="1018" t="s">
        <v>667</v>
      </c>
      <c r="CC22" s="1017">
        <v>44877</v>
      </c>
      <c r="CD22" s="1019" t="s">
        <v>843</v>
      </c>
      <c r="CE22" s="1058">
        <v>37</v>
      </c>
      <c r="CF22" s="1334" t="s">
        <v>414</v>
      </c>
      <c r="CG22" s="1326">
        <v>45234</v>
      </c>
      <c r="CH22" s="1019" t="s">
        <v>781</v>
      </c>
      <c r="CI22" s="1058">
        <v>31</v>
      </c>
      <c r="CJ22" s="1323" t="s">
        <v>414</v>
      </c>
      <c r="CK22" s="1326">
        <v>45605</v>
      </c>
      <c r="CL22" s="1019" t="s">
        <v>1052</v>
      </c>
      <c r="CM22" s="1058">
        <v>36</v>
      </c>
      <c r="CN22" s="1323" t="s">
        <v>280</v>
      </c>
    </row>
    <row r="23" spans="1:92">
      <c r="A23" s="1077">
        <v>37568</v>
      </c>
      <c r="B23" s="1040" t="s">
        <v>9846</v>
      </c>
      <c r="C23" s="1036">
        <v>30</v>
      </c>
      <c r="D23" s="1034"/>
      <c r="E23" s="1017">
        <v>37931</v>
      </c>
      <c r="F23" s="1040" t="s">
        <v>797</v>
      </c>
      <c r="G23" s="1036">
        <v>31</v>
      </c>
      <c r="H23" s="1034"/>
      <c r="I23" s="1017">
        <v>38298</v>
      </c>
      <c r="J23" s="1040" t="s">
        <v>9847</v>
      </c>
      <c r="K23" s="1036">
        <v>30</v>
      </c>
      <c r="L23" s="1034"/>
      <c r="M23" s="1017">
        <v>38676</v>
      </c>
      <c r="N23" s="1040" t="s">
        <v>9848</v>
      </c>
      <c r="O23" s="1036">
        <v>4</v>
      </c>
      <c r="P23" s="1034"/>
      <c r="Q23" s="1017">
        <v>39033</v>
      </c>
      <c r="R23" s="1040" t="s">
        <v>767</v>
      </c>
      <c r="S23" s="1036">
        <v>22</v>
      </c>
      <c r="T23" s="1034"/>
      <c r="U23" s="1017">
        <v>39403</v>
      </c>
      <c r="V23" s="1040" t="s">
        <v>9849</v>
      </c>
      <c r="W23" s="1036">
        <v>40</v>
      </c>
      <c r="X23" s="1034"/>
      <c r="Y23" s="1017">
        <v>39760</v>
      </c>
      <c r="Z23" s="1040" t="s">
        <v>797</v>
      </c>
      <c r="AA23" s="1036">
        <v>43</v>
      </c>
      <c r="AB23" s="1034"/>
      <c r="AC23" s="1017">
        <v>40138</v>
      </c>
      <c r="AD23" s="1040" t="s">
        <v>1052</v>
      </c>
      <c r="AE23" s="1036">
        <v>18</v>
      </c>
      <c r="AF23" s="1034"/>
      <c r="AG23" s="1017">
        <v>40489</v>
      </c>
      <c r="AH23" s="1040" t="s">
        <v>937</v>
      </c>
      <c r="AI23" s="1036">
        <v>31</v>
      </c>
      <c r="AJ23" s="1034"/>
      <c r="AK23" s="1017">
        <v>40868</v>
      </c>
      <c r="AL23" s="1040" t="s">
        <v>797</v>
      </c>
      <c r="AM23" s="1036">
        <v>52</v>
      </c>
      <c r="AN23" s="1034"/>
      <c r="AO23" s="1017">
        <v>41223</v>
      </c>
      <c r="AP23" s="1040" t="s">
        <v>1130</v>
      </c>
      <c r="AQ23" s="1036">
        <v>7</v>
      </c>
      <c r="AR23" s="1034"/>
      <c r="AS23" s="1017">
        <v>41594</v>
      </c>
      <c r="AT23" s="1040" t="s">
        <v>9850</v>
      </c>
      <c r="AU23" s="1036">
        <v>15</v>
      </c>
      <c r="AV23" s="1034"/>
      <c r="AW23" s="1017">
        <v>41952</v>
      </c>
      <c r="AX23" s="1040" t="s">
        <v>9851</v>
      </c>
      <c r="AY23" s="1036">
        <v>9</v>
      </c>
      <c r="AZ23" s="1034"/>
      <c r="BA23" s="1017">
        <v>42317</v>
      </c>
      <c r="BB23" s="1040" t="s">
        <v>9852</v>
      </c>
      <c r="BC23" s="1036">
        <v>66</v>
      </c>
      <c r="BD23" s="1378"/>
      <c r="BE23" s="1017">
        <v>42687</v>
      </c>
      <c r="BF23" s="1040" t="s">
        <v>9853</v>
      </c>
      <c r="BG23" s="1065">
        <v>25</v>
      </c>
      <c r="BH23" s="1034"/>
      <c r="BI23" s="1017">
        <v>43050</v>
      </c>
      <c r="BJ23" s="1040" t="s">
        <v>9854</v>
      </c>
      <c r="BK23" s="1065">
        <v>18</v>
      </c>
      <c r="BL23" s="1383"/>
      <c r="BM23" s="1017">
        <v>43414</v>
      </c>
      <c r="BN23" s="1040" t="s">
        <v>797</v>
      </c>
      <c r="BO23" s="1065">
        <v>42</v>
      </c>
      <c r="BP23" s="1034"/>
      <c r="BQ23" s="1017">
        <v>43778</v>
      </c>
      <c r="BR23" s="1019" t="s">
        <v>772</v>
      </c>
      <c r="BS23" s="1020">
        <v>26</v>
      </c>
      <c r="BT23" s="1018" t="s">
        <v>414</v>
      </c>
      <c r="BU23" s="1017">
        <v>43770</v>
      </c>
      <c r="BV23" s="1019" t="s">
        <v>828</v>
      </c>
      <c r="BW23" s="1020">
        <v>10</v>
      </c>
      <c r="BX23" s="1018" t="s">
        <v>414</v>
      </c>
      <c r="BY23" s="1017">
        <v>44507</v>
      </c>
      <c r="BZ23" s="1019" t="s">
        <v>9855</v>
      </c>
      <c r="CA23" s="1020">
        <v>25</v>
      </c>
      <c r="CB23" s="1018" t="s">
        <v>280</v>
      </c>
      <c r="CC23" s="1017">
        <v>44877</v>
      </c>
      <c r="CD23" s="1019" t="s">
        <v>9856</v>
      </c>
      <c r="CE23" s="1058">
        <v>8</v>
      </c>
      <c r="CF23" s="1334" t="s">
        <v>414</v>
      </c>
      <c r="CG23" s="1326">
        <v>45234</v>
      </c>
      <c r="CH23" s="1019" t="s">
        <v>2079</v>
      </c>
      <c r="CI23" s="1058"/>
      <c r="CJ23" s="1323" t="s">
        <v>414</v>
      </c>
      <c r="CK23" s="1326">
        <v>45605</v>
      </c>
      <c r="CL23" s="1019" t="s">
        <v>772</v>
      </c>
      <c r="CM23" s="1058">
        <v>10</v>
      </c>
      <c r="CN23" s="1323" t="s">
        <v>414</v>
      </c>
    </row>
    <row r="24" spans="1:92">
      <c r="A24" s="1077">
        <v>37569</v>
      </c>
      <c r="B24" s="1040" t="s">
        <v>9857</v>
      </c>
      <c r="C24" s="1036">
        <v>5</v>
      </c>
      <c r="D24" s="1034"/>
      <c r="E24" s="1017">
        <v>37931</v>
      </c>
      <c r="F24" s="1040" t="s">
        <v>937</v>
      </c>
      <c r="G24" s="1036">
        <v>6</v>
      </c>
      <c r="H24" s="1034"/>
      <c r="I24" s="1017">
        <v>38298</v>
      </c>
      <c r="J24" s="1040" t="s">
        <v>9858</v>
      </c>
      <c r="K24" s="1036">
        <v>10</v>
      </c>
      <c r="L24" s="1034"/>
      <c r="M24" s="1017">
        <v>38677</v>
      </c>
      <c r="N24" s="1040" t="s">
        <v>802</v>
      </c>
      <c r="O24" s="1036">
        <v>27</v>
      </c>
      <c r="P24" s="1034"/>
      <c r="Q24" s="1017">
        <v>39033</v>
      </c>
      <c r="R24" s="1040" t="s">
        <v>797</v>
      </c>
      <c r="S24" s="1036">
        <v>34</v>
      </c>
      <c r="T24" s="1034"/>
      <c r="U24" s="1017">
        <v>39404</v>
      </c>
      <c r="V24" s="1040" t="s">
        <v>783</v>
      </c>
      <c r="W24" s="1036">
        <v>31</v>
      </c>
      <c r="X24" s="1034"/>
      <c r="Y24" s="1017">
        <v>39761</v>
      </c>
      <c r="Z24" s="1040" t="s">
        <v>9859</v>
      </c>
      <c r="AA24" s="1036">
        <v>2</v>
      </c>
      <c r="AB24" s="1034"/>
      <c r="AC24" s="1017">
        <v>40138</v>
      </c>
      <c r="AD24" s="1040" t="s">
        <v>767</v>
      </c>
      <c r="AE24" s="1036">
        <v>3</v>
      </c>
      <c r="AF24" s="1034"/>
      <c r="AG24" s="1017">
        <v>40489</v>
      </c>
      <c r="AH24" s="1040" t="s">
        <v>797</v>
      </c>
      <c r="AI24" s="1036">
        <v>44</v>
      </c>
      <c r="AJ24" s="1034"/>
      <c r="AK24" s="1017">
        <v>40869</v>
      </c>
      <c r="AL24" s="1040" t="s">
        <v>1303</v>
      </c>
      <c r="AM24" s="1036">
        <v>35</v>
      </c>
      <c r="AN24" s="1034"/>
      <c r="AO24" s="1017">
        <v>41223</v>
      </c>
      <c r="AP24" s="1040" t="s">
        <v>9860</v>
      </c>
      <c r="AQ24" s="1036">
        <v>3</v>
      </c>
      <c r="AR24" s="1034"/>
      <c r="AS24" s="1017">
        <v>41595</v>
      </c>
      <c r="AT24" s="1040" t="s">
        <v>772</v>
      </c>
      <c r="AU24" s="1036">
        <v>42</v>
      </c>
      <c r="AV24" s="1034"/>
      <c r="AW24" s="1017">
        <v>41952</v>
      </c>
      <c r="AX24" s="1040" t="s">
        <v>797</v>
      </c>
      <c r="AY24" s="1036">
        <v>48</v>
      </c>
      <c r="AZ24" s="1034"/>
      <c r="BA24" s="1017"/>
      <c r="BB24" s="1040" t="s">
        <v>9861</v>
      </c>
      <c r="BC24" s="1384">
        <f>SUM(BC26:BC65)</f>
        <v>69260</v>
      </c>
      <c r="BD24" s="1385">
        <f>SUM(BD26:BD65)</f>
        <v>1096.1455555555558</v>
      </c>
      <c r="BE24" s="1017">
        <v>42688</v>
      </c>
      <c r="BF24" s="1040" t="s">
        <v>859</v>
      </c>
      <c r="BG24" s="1065">
        <v>36</v>
      </c>
      <c r="BH24" s="1034"/>
      <c r="BI24" s="1017">
        <v>43050</v>
      </c>
      <c r="BJ24" s="1040" t="s">
        <v>9862</v>
      </c>
      <c r="BK24" s="1065">
        <v>21</v>
      </c>
      <c r="BL24" s="1034"/>
      <c r="BM24" s="1017">
        <v>43414</v>
      </c>
      <c r="BN24" s="1040" t="s">
        <v>9863</v>
      </c>
      <c r="BO24" s="1065">
        <v>10</v>
      </c>
      <c r="BP24" s="1034"/>
      <c r="BQ24" s="1017">
        <v>43778</v>
      </c>
      <c r="BR24" s="1019" t="s">
        <v>873</v>
      </c>
      <c r="BS24" s="1020">
        <v>30</v>
      </c>
      <c r="BT24" s="1018" t="s">
        <v>414</v>
      </c>
      <c r="BU24" s="1017">
        <v>43770</v>
      </c>
      <c r="BV24" s="1019" t="s">
        <v>9864</v>
      </c>
      <c r="BW24" s="1020">
        <v>183</v>
      </c>
      <c r="BX24" s="1018" t="s">
        <v>701</v>
      </c>
      <c r="BY24" s="1017">
        <v>44507</v>
      </c>
      <c r="BZ24" s="1019" t="s">
        <v>9865</v>
      </c>
      <c r="CA24" s="1020">
        <v>16</v>
      </c>
      <c r="CB24" s="1018" t="s">
        <v>280</v>
      </c>
      <c r="CC24" s="1017">
        <v>44877</v>
      </c>
      <c r="CD24" s="1019" t="s">
        <v>772</v>
      </c>
      <c r="CE24" s="1058">
        <v>8</v>
      </c>
      <c r="CF24" s="1334" t="s">
        <v>414</v>
      </c>
      <c r="CG24" s="1326">
        <v>45234</v>
      </c>
      <c r="CH24" s="1019" t="s">
        <v>843</v>
      </c>
      <c r="CI24" s="1058">
        <v>35</v>
      </c>
      <c r="CJ24" s="1323" t="s">
        <v>414</v>
      </c>
      <c r="CK24" s="1326">
        <v>45605</v>
      </c>
      <c r="CL24" s="1019" t="s">
        <v>9866</v>
      </c>
      <c r="CM24" s="1058">
        <v>100</v>
      </c>
      <c r="CN24" s="1323" t="s">
        <v>689</v>
      </c>
    </row>
    <row r="25" spans="1:92">
      <c r="A25" s="1077">
        <v>37569</v>
      </c>
      <c r="B25" s="1040" t="s">
        <v>9867</v>
      </c>
      <c r="C25" s="1036">
        <v>16</v>
      </c>
      <c r="D25" s="1034"/>
      <c r="E25" s="1017">
        <v>37931</v>
      </c>
      <c r="F25" s="1040" t="s">
        <v>9868</v>
      </c>
      <c r="G25" s="1036">
        <v>1</v>
      </c>
      <c r="H25" s="1034"/>
      <c r="I25" s="1017">
        <v>38298</v>
      </c>
      <c r="J25" s="1040" t="s">
        <v>797</v>
      </c>
      <c r="K25" s="1036">
        <v>34</v>
      </c>
      <c r="L25" s="1034"/>
      <c r="M25" s="1017">
        <v>38681</v>
      </c>
      <c r="N25" s="1040" t="s">
        <v>9869</v>
      </c>
      <c r="O25" s="1036">
        <v>95</v>
      </c>
      <c r="P25" s="1034"/>
      <c r="Q25" s="1017">
        <v>39033</v>
      </c>
      <c r="R25" s="1040" t="s">
        <v>9870</v>
      </c>
      <c r="S25" s="1036">
        <v>0</v>
      </c>
      <c r="T25" s="1034"/>
      <c r="U25" s="1017">
        <v>39404</v>
      </c>
      <c r="V25" s="1040" t="s">
        <v>937</v>
      </c>
      <c r="W25" s="1036">
        <v>43</v>
      </c>
      <c r="X25" s="1034"/>
      <c r="Y25" s="1017">
        <v>39761</v>
      </c>
      <c r="Z25" s="1040" t="s">
        <v>9871</v>
      </c>
      <c r="AA25" s="1036">
        <v>1</v>
      </c>
      <c r="AB25" s="1034"/>
      <c r="AC25" s="1017">
        <v>40139</v>
      </c>
      <c r="AD25" s="1040" t="s">
        <v>781</v>
      </c>
      <c r="AE25" s="1036">
        <v>55</v>
      </c>
      <c r="AF25" s="1034"/>
      <c r="AG25" s="1017">
        <v>40490</v>
      </c>
      <c r="AH25" s="1040" t="s">
        <v>802</v>
      </c>
      <c r="AI25" s="1036">
        <v>45</v>
      </c>
      <c r="AJ25" s="1034"/>
      <c r="AK25" s="1017">
        <v>40869</v>
      </c>
      <c r="AL25" s="1040" t="s">
        <v>867</v>
      </c>
      <c r="AM25" s="1036">
        <v>6</v>
      </c>
      <c r="AN25" s="1034"/>
      <c r="AO25" s="1017">
        <v>41223</v>
      </c>
      <c r="AP25" s="1040" t="s">
        <v>9872</v>
      </c>
      <c r="AQ25" s="1036">
        <v>5</v>
      </c>
      <c r="AR25" s="1034"/>
      <c r="AS25" s="1017">
        <v>41595</v>
      </c>
      <c r="AT25" s="1040" t="s">
        <v>867</v>
      </c>
      <c r="AU25" s="1036">
        <v>23</v>
      </c>
      <c r="AV25" s="1034"/>
      <c r="AW25" s="1017">
        <v>41954</v>
      </c>
      <c r="AX25" s="1040" t="s">
        <v>9873</v>
      </c>
      <c r="AY25" s="1036">
        <v>13</v>
      </c>
      <c r="AZ25" s="1034"/>
      <c r="BA25" s="1017">
        <v>42318</v>
      </c>
      <c r="BB25" s="1040" t="s">
        <v>9874</v>
      </c>
      <c r="BC25" s="1384"/>
      <c r="BD25" s="1378">
        <v>2600</v>
      </c>
      <c r="BE25" s="1017">
        <v>42692</v>
      </c>
      <c r="BF25" s="1040" t="s">
        <v>797</v>
      </c>
      <c r="BG25" s="1065">
        <v>33</v>
      </c>
      <c r="BH25" s="1034"/>
      <c r="BI25" s="1017">
        <v>43050</v>
      </c>
      <c r="BJ25" s="1040" t="s">
        <v>9875</v>
      </c>
      <c r="BK25" s="1065">
        <v>21</v>
      </c>
      <c r="BL25" s="1034"/>
      <c r="BM25" s="1017">
        <v>43417</v>
      </c>
      <c r="BN25" s="1040" t="s">
        <v>9876</v>
      </c>
      <c r="BO25" s="1065">
        <v>20</v>
      </c>
      <c r="BP25" s="1383"/>
      <c r="BQ25" s="1017">
        <v>43778</v>
      </c>
      <c r="BR25" s="1019" t="s">
        <v>845</v>
      </c>
      <c r="BS25" s="1020">
        <v>48</v>
      </c>
      <c r="BT25" s="1018" t="s">
        <v>414</v>
      </c>
      <c r="BU25" s="1017">
        <v>43770</v>
      </c>
      <c r="BV25" s="1019" t="s">
        <v>6336</v>
      </c>
      <c r="BW25" s="1020">
        <v>35</v>
      </c>
      <c r="BX25" s="1018" t="s">
        <v>414</v>
      </c>
      <c r="BY25" s="1017">
        <v>44507</v>
      </c>
      <c r="BZ25" s="1019" t="s">
        <v>805</v>
      </c>
      <c r="CA25" s="1020">
        <v>20</v>
      </c>
      <c r="CB25" s="1018" t="s">
        <v>280</v>
      </c>
      <c r="CC25" s="1017">
        <v>44877</v>
      </c>
      <c r="CD25" s="1019" t="s">
        <v>845</v>
      </c>
      <c r="CE25" s="1058">
        <v>45</v>
      </c>
      <c r="CF25" s="1334" t="s">
        <v>414</v>
      </c>
      <c r="CG25" s="1326">
        <v>45234</v>
      </c>
      <c r="CH25" s="1019" t="s">
        <v>9877</v>
      </c>
      <c r="CI25" s="1058">
        <v>65</v>
      </c>
      <c r="CJ25" s="1323" t="s">
        <v>700</v>
      </c>
      <c r="CK25" s="1326">
        <v>45605</v>
      </c>
      <c r="CL25" s="1019" t="s">
        <v>9878</v>
      </c>
      <c r="CM25" s="1058">
        <v>1000</v>
      </c>
      <c r="CN25" s="1323" t="s">
        <v>695</v>
      </c>
    </row>
    <row r="26" spans="1:92">
      <c r="A26" s="1077">
        <v>37569</v>
      </c>
      <c r="B26" s="1040" t="s">
        <v>414</v>
      </c>
      <c r="C26" s="1036">
        <v>4</v>
      </c>
      <c r="D26" s="1034"/>
      <c r="E26" s="1017">
        <v>37932</v>
      </c>
      <c r="F26" s="1040" t="s">
        <v>772</v>
      </c>
      <c r="G26" s="1036">
        <v>15</v>
      </c>
      <c r="H26" s="1034"/>
      <c r="I26" s="1017">
        <v>38302</v>
      </c>
      <c r="J26" s="1040" t="s">
        <v>802</v>
      </c>
      <c r="K26" s="1036">
        <v>30</v>
      </c>
      <c r="L26" s="1034"/>
      <c r="M26" s="1017">
        <v>38681</v>
      </c>
      <c r="N26" s="1040" t="s">
        <v>9879</v>
      </c>
      <c r="O26" s="1036">
        <v>18</v>
      </c>
      <c r="P26" s="1034"/>
      <c r="Q26" s="1017">
        <v>39033</v>
      </c>
      <c r="R26" s="1040" t="s">
        <v>9880</v>
      </c>
      <c r="S26" s="1036">
        <v>0</v>
      </c>
      <c r="T26" s="1034"/>
      <c r="U26" s="1017">
        <v>39404</v>
      </c>
      <c r="V26" s="1040" t="s">
        <v>867</v>
      </c>
      <c r="W26" s="1036">
        <v>17</v>
      </c>
      <c r="X26" s="1034"/>
      <c r="Y26" s="1017">
        <v>39761</v>
      </c>
      <c r="Z26" s="1040" t="s">
        <v>781</v>
      </c>
      <c r="AA26" s="1036">
        <v>7</v>
      </c>
      <c r="AB26" s="1034"/>
      <c r="AC26" s="1017">
        <v>40139</v>
      </c>
      <c r="AD26" s="1040" t="s">
        <v>867</v>
      </c>
      <c r="AE26" s="1036">
        <v>20</v>
      </c>
      <c r="AF26" s="1034"/>
      <c r="AG26" s="1017">
        <v>40493</v>
      </c>
      <c r="AH26" s="1040" t="s">
        <v>1052</v>
      </c>
      <c r="AI26" s="1036">
        <v>11</v>
      </c>
      <c r="AJ26" s="1034"/>
      <c r="AK26" s="1017">
        <v>40870</v>
      </c>
      <c r="AL26" s="1040" t="s">
        <v>754</v>
      </c>
      <c r="AM26" s="1036">
        <v>52</v>
      </c>
      <c r="AN26" s="1034"/>
      <c r="AO26" s="1017">
        <v>41223</v>
      </c>
      <c r="AP26" s="1040" t="s">
        <v>781</v>
      </c>
      <c r="AQ26" s="1036">
        <v>47</v>
      </c>
      <c r="AR26" s="1034"/>
      <c r="AS26" s="1017">
        <v>41595</v>
      </c>
      <c r="AT26" s="1040" t="s">
        <v>802</v>
      </c>
      <c r="AU26" s="1036">
        <v>50</v>
      </c>
      <c r="AV26" s="1034"/>
      <c r="AW26" s="1017">
        <v>41954</v>
      </c>
      <c r="AX26" s="1040" t="s">
        <v>802</v>
      </c>
      <c r="AY26" s="1036">
        <v>37</v>
      </c>
      <c r="AZ26" s="1034"/>
      <c r="BA26" s="1017">
        <v>42318</v>
      </c>
      <c r="BB26" s="1040" t="s">
        <v>9881</v>
      </c>
      <c r="BC26" s="1036"/>
      <c r="BD26" s="1378">
        <v>9</v>
      </c>
      <c r="BE26" s="1017">
        <v>42693</v>
      </c>
      <c r="BF26" s="1040" t="s">
        <v>9882</v>
      </c>
      <c r="BG26" s="1065">
        <v>29</v>
      </c>
      <c r="BH26" s="1034"/>
      <c r="BI26" s="1017">
        <v>43053</v>
      </c>
      <c r="BJ26" s="1040" t="s">
        <v>2162</v>
      </c>
      <c r="BK26" s="1065">
        <v>5</v>
      </c>
      <c r="BL26" s="1034"/>
      <c r="BM26" s="1017">
        <v>43418</v>
      </c>
      <c r="BN26" s="1040" t="s">
        <v>9883</v>
      </c>
      <c r="BO26" s="1065">
        <v>40</v>
      </c>
      <c r="BP26" s="1034"/>
      <c r="BQ26" s="1017">
        <v>43778</v>
      </c>
      <c r="BR26" s="1019" t="s">
        <v>9884</v>
      </c>
      <c r="BS26" s="1020">
        <v>12</v>
      </c>
      <c r="BT26" s="1018" t="s">
        <v>280</v>
      </c>
      <c r="BU26" s="1017">
        <v>43770</v>
      </c>
      <c r="BV26" s="1019" t="s">
        <v>2253</v>
      </c>
      <c r="BW26" s="1020">
        <v>31</v>
      </c>
      <c r="BX26" s="1018" t="s">
        <v>414</v>
      </c>
      <c r="BY26" s="1017">
        <v>44507</v>
      </c>
      <c r="BZ26" s="1019" t="s">
        <v>3547</v>
      </c>
      <c r="CA26" s="1020">
        <v>52</v>
      </c>
      <c r="CB26" s="1018" t="s">
        <v>280</v>
      </c>
      <c r="CC26" s="1017">
        <v>44884</v>
      </c>
      <c r="CD26" s="1019" t="s">
        <v>9885</v>
      </c>
      <c r="CE26" s="1058">
        <v>55</v>
      </c>
      <c r="CF26" s="1334" t="s">
        <v>700</v>
      </c>
      <c r="CG26" s="1326">
        <v>45234</v>
      </c>
      <c r="CH26" s="1019" t="s">
        <v>9886</v>
      </c>
      <c r="CI26" s="1058">
        <v>30</v>
      </c>
      <c r="CJ26" s="1323" t="s">
        <v>700</v>
      </c>
      <c r="CK26" s="1326">
        <v>45612</v>
      </c>
      <c r="CL26" s="1019" t="s">
        <v>797</v>
      </c>
      <c r="CM26" s="1058">
        <v>32</v>
      </c>
      <c r="CN26" s="1323" t="s">
        <v>410</v>
      </c>
    </row>
    <row r="27" spans="1:92">
      <c r="A27" s="1077">
        <v>37569</v>
      </c>
      <c r="B27" s="1040" t="s">
        <v>286</v>
      </c>
      <c r="C27" s="1036">
        <v>500</v>
      </c>
      <c r="D27" s="1034">
        <v>0</v>
      </c>
      <c r="E27" s="1017">
        <v>37933</v>
      </c>
      <c r="F27" s="1040" t="s">
        <v>8850</v>
      </c>
      <c r="G27" s="1036">
        <v>252</v>
      </c>
      <c r="H27" s="1034"/>
      <c r="I27" s="1017">
        <v>38303</v>
      </c>
      <c r="J27" s="1040" t="s">
        <v>1157</v>
      </c>
      <c r="K27" s="1036">
        <v>39</v>
      </c>
      <c r="L27" s="1034"/>
      <c r="M27" s="1017">
        <v>38681</v>
      </c>
      <c r="N27" s="1040" t="s">
        <v>9887</v>
      </c>
      <c r="O27" s="1036">
        <v>45</v>
      </c>
      <c r="P27" s="1034"/>
      <c r="Q27" s="1017">
        <v>39034</v>
      </c>
      <c r="R27" s="1040" t="s">
        <v>9888</v>
      </c>
      <c r="S27" s="1036">
        <v>16</v>
      </c>
      <c r="T27" s="1034"/>
      <c r="U27" s="1017">
        <v>39406</v>
      </c>
      <c r="V27" s="1040" t="s">
        <v>802</v>
      </c>
      <c r="W27" s="1036">
        <v>45</v>
      </c>
      <c r="X27" s="1034"/>
      <c r="Y27" s="1017">
        <v>39762</v>
      </c>
      <c r="Z27" s="1040" t="s">
        <v>767</v>
      </c>
      <c r="AA27" s="1036">
        <v>6</v>
      </c>
      <c r="AB27" s="1034"/>
      <c r="AC27" s="1017">
        <v>40140</v>
      </c>
      <c r="AD27" s="1040" t="s">
        <v>802</v>
      </c>
      <c r="AE27" s="1036">
        <v>40</v>
      </c>
      <c r="AF27" s="1034"/>
      <c r="AG27" s="1017">
        <v>40493</v>
      </c>
      <c r="AH27" s="1040" t="s">
        <v>1244</v>
      </c>
      <c r="AI27" s="1036">
        <v>22</v>
      </c>
      <c r="AJ27" s="1034"/>
      <c r="AK27" s="1017">
        <v>40870</v>
      </c>
      <c r="AL27" s="1040" t="s">
        <v>772</v>
      </c>
      <c r="AM27" s="1036">
        <v>50</v>
      </c>
      <c r="AN27" s="1034"/>
      <c r="AO27" s="1017">
        <v>41224</v>
      </c>
      <c r="AP27" s="1040" t="s">
        <v>797</v>
      </c>
      <c r="AQ27" s="1036">
        <v>53</v>
      </c>
      <c r="AR27" s="1034"/>
      <c r="AS27" s="1017">
        <v>41595</v>
      </c>
      <c r="AT27" s="1040" t="s">
        <v>9889</v>
      </c>
      <c r="AU27" s="1036">
        <v>17</v>
      </c>
      <c r="AV27" s="1034"/>
      <c r="AW27" s="1017">
        <v>41956</v>
      </c>
      <c r="AX27" s="1040" t="s">
        <v>754</v>
      </c>
      <c r="AY27" s="1036">
        <v>64</v>
      </c>
      <c r="AZ27" s="1034"/>
      <c r="BA27" s="1017">
        <v>42320</v>
      </c>
      <c r="BB27" s="1040" t="s">
        <v>9890</v>
      </c>
      <c r="BC27" s="1384">
        <v>1024</v>
      </c>
      <c r="BD27" s="1378">
        <v>17.59</v>
      </c>
      <c r="BE27" s="1017">
        <v>42693</v>
      </c>
      <c r="BF27" s="1040" t="s">
        <v>9766</v>
      </c>
      <c r="BG27" s="1065">
        <v>7</v>
      </c>
      <c r="BH27" s="1034"/>
      <c r="BI27" s="1017">
        <v>43053</v>
      </c>
      <c r="BJ27" s="1040" t="s">
        <v>859</v>
      </c>
      <c r="BK27" s="1065">
        <v>12</v>
      </c>
      <c r="BL27" s="1034"/>
      <c r="BM27" s="1017">
        <v>43420</v>
      </c>
      <c r="BN27" s="1040" t="s">
        <v>9891</v>
      </c>
      <c r="BO27" s="1065">
        <v>54</v>
      </c>
      <c r="BP27" s="1034"/>
      <c r="BQ27" s="1017">
        <v>43779</v>
      </c>
      <c r="BR27" s="1019" t="s">
        <v>9892</v>
      </c>
      <c r="BS27" s="1020">
        <v>86</v>
      </c>
      <c r="BT27" s="1018" t="s">
        <v>667</v>
      </c>
      <c r="BU27" s="1017">
        <v>43770</v>
      </c>
      <c r="BV27" s="1019" t="s">
        <v>9893</v>
      </c>
      <c r="BW27" s="1020">
        <v>45</v>
      </c>
      <c r="BX27" s="1018" t="s">
        <v>280</v>
      </c>
      <c r="BY27" s="1017">
        <v>44507</v>
      </c>
      <c r="BZ27" s="1019" t="s">
        <v>9894</v>
      </c>
      <c r="CA27" s="1020">
        <v>47</v>
      </c>
      <c r="CB27" s="1018" t="s">
        <v>280</v>
      </c>
      <c r="CC27" s="1017">
        <v>44884</v>
      </c>
      <c r="CD27" s="1019" t="s">
        <v>9895</v>
      </c>
      <c r="CE27" s="1058">
        <v>0</v>
      </c>
      <c r="CF27" s="1334" t="s">
        <v>700</v>
      </c>
      <c r="CG27" s="1326">
        <v>45234</v>
      </c>
      <c r="CH27" s="1019" t="s">
        <v>797</v>
      </c>
      <c r="CI27" s="1058">
        <v>85</v>
      </c>
      <c r="CJ27" s="1323" t="s">
        <v>410</v>
      </c>
      <c r="CK27" s="1326">
        <v>45612</v>
      </c>
      <c r="CL27" s="1019" t="s">
        <v>1180</v>
      </c>
      <c r="CM27" s="1058">
        <v>140</v>
      </c>
      <c r="CN27" s="1323" t="s">
        <v>410</v>
      </c>
    </row>
    <row r="28" spans="1:92">
      <c r="A28" s="1077">
        <v>37570</v>
      </c>
      <c r="B28" s="1040" t="s">
        <v>1189</v>
      </c>
      <c r="C28" s="1036">
        <v>38</v>
      </c>
      <c r="D28" s="1034"/>
      <c r="E28" s="1017">
        <v>37933</v>
      </c>
      <c r="F28" s="1040" t="s">
        <v>9896</v>
      </c>
      <c r="G28" s="1036">
        <v>3</v>
      </c>
      <c r="H28" s="1034"/>
      <c r="I28" s="1017">
        <v>38303</v>
      </c>
      <c r="J28" s="1040" t="s">
        <v>9897</v>
      </c>
      <c r="K28" s="1036">
        <v>20</v>
      </c>
      <c r="L28" s="1034"/>
      <c r="M28" s="1017">
        <v>38681</v>
      </c>
      <c r="N28" s="1040" t="s">
        <v>9898</v>
      </c>
      <c r="O28" s="1036">
        <v>14</v>
      </c>
      <c r="P28" s="1034"/>
      <c r="Q28" s="1017">
        <v>39035</v>
      </c>
      <c r="R28" s="1040" t="s">
        <v>802</v>
      </c>
      <c r="S28" s="1036">
        <v>30</v>
      </c>
      <c r="T28" s="1034"/>
      <c r="U28" s="1017">
        <v>39407</v>
      </c>
      <c r="V28" s="1040" t="s">
        <v>9899</v>
      </c>
      <c r="W28" s="1036">
        <v>5</v>
      </c>
      <c r="X28" s="1034"/>
      <c r="Y28" s="1017">
        <v>39762</v>
      </c>
      <c r="Z28" s="1040" t="s">
        <v>802</v>
      </c>
      <c r="AA28" s="1036">
        <v>35</v>
      </c>
      <c r="AB28" s="1034"/>
      <c r="AC28" s="1017">
        <v>40140</v>
      </c>
      <c r="AD28" s="1040" t="s">
        <v>797</v>
      </c>
      <c r="AE28" s="1036">
        <v>40</v>
      </c>
      <c r="AF28" s="1034"/>
      <c r="AG28" s="1017">
        <v>40495</v>
      </c>
      <c r="AH28" s="1040" t="s">
        <v>890</v>
      </c>
      <c r="AI28" s="1036">
        <v>145</v>
      </c>
      <c r="AJ28" s="1034"/>
      <c r="AK28" s="1017">
        <v>40872</v>
      </c>
      <c r="AL28" s="1040" t="s">
        <v>9900</v>
      </c>
      <c r="AM28" s="1036">
        <v>121</v>
      </c>
      <c r="AN28" s="1034"/>
      <c r="AO28" s="1017">
        <v>41225</v>
      </c>
      <c r="AP28" s="1040" t="s">
        <v>802</v>
      </c>
      <c r="AQ28" s="1036">
        <v>54</v>
      </c>
      <c r="AR28" s="1034"/>
      <c r="AS28" s="1017">
        <v>41595</v>
      </c>
      <c r="AT28" s="1040" t="s">
        <v>754</v>
      </c>
      <c r="AU28" s="1036">
        <v>127</v>
      </c>
      <c r="AV28" s="1034"/>
      <c r="AW28" s="1017">
        <v>41956</v>
      </c>
      <c r="AX28" s="1040" t="s">
        <v>925</v>
      </c>
      <c r="AY28" s="1036">
        <v>10</v>
      </c>
      <c r="AZ28" s="1034"/>
      <c r="BA28" s="1017">
        <v>42320</v>
      </c>
      <c r="BB28" s="1040" t="s">
        <v>9901</v>
      </c>
      <c r="BC28" s="1384">
        <v>1990</v>
      </c>
      <c r="BD28" s="1378">
        <v>31</v>
      </c>
      <c r="BE28" s="1017">
        <v>42693</v>
      </c>
      <c r="BF28" s="1040" t="s">
        <v>859</v>
      </c>
      <c r="BG28" s="1065">
        <v>22</v>
      </c>
      <c r="BH28" s="1034"/>
      <c r="BI28" s="1017">
        <v>43055</v>
      </c>
      <c r="BJ28" s="1040" t="s">
        <v>9902</v>
      </c>
      <c r="BK28" s="1065">
        <v>75</v>
      </c>
      <c r="BL28" s="1034"/>
      <c r="BM28" s="1017">
        <v>43421</v>
      </c>
      <c r="BN28" s="1040" t="s">
        <v>873</v>
      </c>
      <c r="BO28" s="1065">
        <v>54</v>
      </c>
      <c r="BP28" s="1034"/>
      <c r="BQ28" s="1017">
        <v>43779</v>
      </c>
      <c r="BR28" s="1019" t="s">
        <v>9903</v>
      </c>
      <c r="BS28" s="1020">
        <v>11</v>
      </c>
      <c r="BT28" s="1018" t="s">
        <v>667</v>
      </c>
      <c r="BU28" s="1017">
        <v>44139</v>
      </c>
      <c r="BV28" s="1019" t="s">
        <v>2888</v>
      </c>
      <c r="BW28" s="1020">
        <v>34</v>
      </c>
      <c r="BX28" s="1018" t="s">
        <v>414</v>
      </c>
      <c r="BY28" s="1017">
        <v>44507</v>
      </c>
      <c r="BZ28" s="1019" t="s">
        <v>9904</v>
      </c>
      <c r="CA28" s="1020">
        <v>15</v>
      </c>
      <c r="CB28" s="1018" t="s">
        <v>280</v>
      </c>
      <c r="CC28" s="1017">
        <v>44884</v>
      </c>
      <c r="CD28" s="1019" t="s">
        <v>5031</v>
      </c>
      <c r="CE28" s="1058">
        <v>17</v>
      </c>
      <c r="CF28" s="1334" t="s">
        <v>278</v>
      </c>
      <c r="CG28" s="1326">
        <v>45234</v>
      </c>
      <c r="CH28" s="1019" t="s">
        <v>9905</v>
      </c>
      <c r="CI28" s="1058">
        <v>92</v>
      </c>
      <c r="CJ28" s="1323" t="s">
        <v>280</v>
      </c>
      <c r="CK28" s="1326">
        <v>45612</v>
      </c>
      <c r="CL28" s="1019" t="s">
        <v>9906</v>
      </c>
      <c r="CM28" s="1058">
        <v>100</v>
      </c>
      <c r="CN28" s="1323" t="s">
        <v>700</v>
      </c>
    </row>
    <row r="29" spans="1:92">
      <c r="A29" s="1077">
        <v>37571</v>
      </c>
      <c r="B29" s="1040" t="s">
        <v>915</v>
      </c>
      <c r="C29" s="1036">
        <v>15</v>
      </c>
      <c r="D29" s="1034"/>
      <c r="E29" s="1017">
        <v>37933</v>
      </c>
      <c r="F29" s="1040" t="s">
        <v>989</v>
      </c>
      <c r="G29" s="1036">
        <v>10</v>
      </c>
      <c r="H29" s="1034"/>
      <c r="I29" s="1017">
        <v>38304</v>
      </c>
      <c r="J29" s="1040" t="s">
        <v>9907</v>
      </c>
      <c r="K29" s="1036">
        <v>82</v>
      </c>
      <c r="L29" s="1034"/>
      <c r="M29" s="1017">
        <v>38681</v>
      </c>
      <c r="N29" s="1040" t="s">
        <v>772</v>
      </c>
      <c r="O29" s="1036">
        <v>121</v>
      </c>
      <c r="P29" s="1034"/>
      <c r="Q29" s="1017">
        <v>39038</v>
      </c>
      <c r="R29" s="1040" t="s">
        <v>767</v>
      </c>
      <c r="S29" s="1036">
        <v>41</v>
      </c>
      <c r="T29" s="1034"/>
      <c r="U29" s="1017">
        <v>39407</v>
      </c>
      <c r="V29" s="1040" t="s">
        <v>9908</v>
      </c>
      <c r="W29" s="1036">
        <v>15</v>
      </c>
      <c r="X29" s="1034"/>
      <c r="Y29" s="1017">
        <v>39762</v>
      </c>
      <c r="Z29" s="1040" t="s">
        <v>9909</v>
      </c>
      <c r="AA29" s="1036">
        <v>12</v>
      </c>
      <c r="AB29" s="1034"/>
      <c r="AC29" s="1017">
        <v>40141</v>
      </c>
      <c r="AD29" s="1040" t="s">
        <v>867</v>
      </c>
      <c r="AE29" s="1036">
        <v>10</v>
      </c>
      <c r="AF29" s="1034"/>
      <c r="AG29" s="1017">
        <v>40495</v>
      </c>
      <c r="AH29" s="1040" t="s">
        <v>9910</v>
      </c>
      <c r="AI29" s="1036">
        <v>35</v>
      </c>
      <c r="AJ29" s="1034"/>
      <c r="AK29" s="1017">
        <v>40872</v>
      </c>
      <c r="AL29" s="1040" t="s">
        <v>9911</v>
      </c>
      <c r="AM29" s="1036">
        <v>15</v>
      </c>
      <c r="AN29" s="1034"/>
      <c r="AO29" s="1017">
        <v>41225</v>
      </c>
      <c r="AP29" s="1040" t="s">
        <v>9912</v>
      </c>
      <c r="AQ29" s="1036">
        <v>11</v>
      </c>
      <c r="AR29" s="1034"/>
      <c r="AS29" s="1017">
        <v>41596</v>
      </c>
      <c r="AT29" s="1040" t="s">
        <v>802</v>
      </c>
      <c r="AU29" s="1036">
        <v>50</v>
      </c>
      <c r="AV29" s="1034"/>
      <c r="AW29" s="1017">
        <v>41958</v>
      </c>
      <c r="AX29" s="1040" t="s">
        <v>9913</v>
      </c>
      <c r="AY29" s="1036">
        <v>72</v>
      </c>
      <c r="AZ29" s="1034"/>
      <c r="BA29" s="1017">
        <v>42320</v>
      </c>
      <c r="BB29" s="1040" t="s">
        <v>9914</v>
      </c>
      <c r="BC29" s="1384">
        <v>704</v>
      </c>
      <c r="BD29" s="1378">
        <v>8</v>
      </c>
      <c r="BE29" s="1017">
        <v>42693</v>
      </c>
      <c r="BF29" s="1040" t="s">
        <v>9915</v>
      </c>
      <c r="BG29" s="1065">
        <v>4</v>
      </c>
      <c r="BH29" s="1018"/>
      <c r="BI29" s="1017">
        <v>43056</v>
      </c>
      <c r="BJ29" s="1040" t="s">
        <v>1427</v>
      </c>
      <c r="BK29" s="1065">
        <v>5</v>
      </c>
      <c r="BL29" s="1034"/>
      <c r="BM29" s="1017">
        <v>43421</v>
      </c>
      <c r="BN29" s="1040" t="s">
        <v>872</v>
      </c>
      <c r="BO29" s="1065">
        <v>10</v>
      </c>
      <c r="BP29" s="1034"/>
      <c r="BQ29" s="1017">
        <v>43779</v>
      </c>
      <c r="BR29" s="1019" t="s">
        <v>9916</v>
      </c>
      <c r="BS29" s="1020">
        <v>10</v>
      </c>
      <c r="BT29" s="1018" t="s">
        <v>280</v>
      </c>
      <c r="BU29" s="1017">
        <v>44139</v>
      </c>
      <c r="BV29" s="1019" t="s">
        <v>828</v>
      </c>
      <c r="BW29" s="1020">
        <v>16</v>
      </c>
      <c r="BX29" s="1018" t="s">
        <v>414</v>
      </c>
      <c r="BY29" s="1017">
        <v>44507</v>
      </c>
      <c r="BZ29" s="1019" t="s">
        <v>9917</v>
      </c>
      <c r="CA29" s="1020">
        <v>19</v>
      </c>
      <c r="CB29" s="1018" t="s">
        <v>280</v>
      </c>
      <c r="CC29" s="1017">
        <v>44884</v>
      </c>
      <c r="CD29" s="1019" t="s">
        <v>2921</v>
      </c>
      <c r="CE29" s="1058">
        <v>13</v>
      </c>
      <c r="CF29" s="1334" t="s">
        <v>278</v>
      </c>
      <c r="CG29" s="1326">
        <v>45234</v>
      </c>
      <c r="CH29" s="1019" t="s">
        <v>1052</v>
      </c>
      <c r="CI29" s="1058">
        <v>65</v>
      </c>
      <c r="CJ29" s="1323" t="s">
        <v>280</v>
      </c>
      <c r="CK29" s="1326">
        <v>45612</v>
      </c>
      <c r="CL29" s="1019" t="s">
        <v>9918</v>
      </c>
      <c r="CM29" s="1058">
        <v>210</v>
      </c>
      <c r="CN29" s="1323" t="s">
        <v>280</v>
      </c>
    </row>
    <row r="30" spans="1:92">
      <c r="A30" s="1077">
        <v>37571</v>
      </c>
      <c r="B30" s="1040" t="s">
        <v>915</v>
      </c>
      <c r="C30" s="1036">
        <v>21</v>
      </c>
      <c r="D30" s="1034"/>
      <c r="E30" s="1017">
        <v>37934</v>
      </c>
      <c r="F30" s="1040" t="s">
        <v>9919</v>
      </c>
      <c r="G30" s="1036">
        <v>19</v>
      </c>
      <c r="H30" s="1034"/>
      <c r="I30" s="1017">
        <v>38305</v>
      </c>
      <c r="J30" s="1040" t="s">
        <v>9920</v>
      </c>
      <c r="K30" s="1036">
        <v>17</v>
      </c>
      <c r="L30" s="1034"/>
      <c r="M30" s="1017">
        <v>38681</v>
      </c>
      <c r="N30" s="1040" t="s">
        <v>9921</v>
      </c>
      <c r="O30" s="1036">
        <v>28</v>
      </c>
      <c r="P30" s="1034"/>
      <c r="Q30" s="1017">
        <v>39039</v>
      </c>
      <c r="R30" s="1040" t="s">
        <v>9922</v>
      </c>
      <c r="S30" s="1036">
        <v>30</v>
      </c>
      <c r="T30" s="1034"/>
      <c r="U30" s="1017">
        <v>39407</v>
      </c>
      <c r="V30" s="1040" t="s">
        <v>797</v>
      </c>
      <c r="W30" s="1036">
        <v>45</v>
      </c>
      <c r="X30" s="1034"/>
      <c r="Y30" s="1017">
        <v>39762</v>
      </c>
      <c r="Z30" s="1040" t="s">
        <v>781</v>
      </c>
      <c r="AA30" s="1036">
        <v>9</v>
      </c>
      <c r="AB30" s="1034"/>
      <c r="AC30" s="1017">
        <v>40141</v>
      </c>
      <c r="AD30" s="1040" t="s">
        <v>9923</v>
      </c>
      <c r="AE30" s="1036">
        <v>35</v>
      </c>
      <c r="AF30" s="1034"/>
      <c r="AG30" s="1017">
        <v>40495</v>
      </c>
      <c r="AH30" s="1040" t="s">
        <v>1573</v>
      </c>
      <c r="AI30" s="1036">
        <v>10</v>
      </c>
      <c r="AJ30" s="1034"/>
      <c r="AK30" s="1017">
        <v>40872</v>
      </c>
      <c r="AL30" s="1040" t="s">
        <v>9924</v>
      </c>
      <c r="AM30" s="1036">
        <v>80</v>
      </c>
      <c r="AN30" s="1034"/>
      <c r="AO30" s="1017">
        <v>41226</v>
      </c>
      <c r="AP30" s="1040" t="s">
        <v>9925</v>
      </c>
      <c r="AQ30" s="1036">
        <v>15</v>
      </c>
      <c r="AR30" s="1034"/>
      <c r="AS30" s="1017">
        <v>41596</v>
      </c>
      <c r="AT30" s="1040" t="s">
        <v>925</v>
      </c>
      <c r="AU30" s="1036">
        <v>4</v>
      </c>
      <c r="AV30" s="1034"/>
      <c r="AW30" s="1017">
        <v>41958</v>
      </c>
      <c r="AX30" s="1040" t="s">
        <v>9926</v>
      </c>
      <c r="AY30" s="1036">
        <v>20</v>
      </c>
      <c r="AZ30" s="1034"/>
      <c r="BA30" s="1017">
        <v>42321</v>
      </c>
      <c r="BB30" s="1040" t="s">
        <v>9927</v>
      </c>
      <c r="BC30" s="1384">
        <v>4800</v>
      </c>
      <c r="BD30" s="1378">
        <v>124</v>
      </c>
      <c r="BE30" s="1017">
        <v>42694</v>
      </c>
      <c r="BF30" s="1040" t="s">
        <v>9928</v>
      </c>
      <c r="BG30" s="1065">
        <v>41</v>
      </c>
      <c r="BH30" s="1034"/>
      <c r="BI30" s="1017">
        <v>43056</v>
      </c>
      <c r="BJ30" s="1040" t="s">
        <v>873</v>
      </c>
      <c r="BK30" s="1065">
        <v>10</v>
      </c>
      <c r="BL30" s="1018"/>
      <c r="BM30" s="1017">
        <v>43421</v>
      </c>
      <c r="BN30" s="1040" t="s">
        <v>772</v>
      </c>
      <c r="BO30" s="1065">
        <v>35</v>
      </c>
      <c r="BP30" s="1034"/>
      <c r="BQ30" s="1017">
        <v>43779</v>
      </c>
      <c r="BR30" s="1019" t="s">
        <v>9929</v>
      </c>
      <c r="BS30" s="1020">
        <v>81</v>
      </c>
      <c r="BT30" s="1018" t="s">
        <v>280</v>
      </c>
      <c r="BU30" s="1017">
        <v>44139</v>
      </c>
      <c r="BV30" s="1019" t="s">
        <v>9930</v>
      </c>
      <c r="BW30" s="1020">
        <v>29</v>
      </c>
      <c r="BX30" s="1018" t="s">
        <v>414</v>
      </c>
      <c r="BY30" s="1017">
        <v>44507</v>
      </c>
      <c r="BZ30" s="1019" t="s">
        <v>9931</v>
      </c>
      <c r="CA30" s="1020">
        <v>20</v>
      </c>
      <c r="CB30" s="1018" t="s">
        <v>280</v>
      </c>
      <c r="CC30" s="1017">
        <v>44884</v>
      </c>
      <c r="CD30" s="1019" t="s">
        <v>9932</v>
      </c>
      <c r="CE30" s="1058">
        <v>12</v>
      </c>
      <c r="CF30" s="1334" t="s">
        <v>278</v>
      </c>
      <c r="CG30" s="1326">
        <v>45234</v>
      </c>
      <c r="CH30" s="1019" t="s">
        <v>9933</v>
      </c>
      <c r="CI30" s="1058">
        <v>250</v>
      </c>
      <c r="CJ30" s="1323" t="s">
        <v>695</v>
      </c>
      <c r="CK30" s="1326">
        <v>45612</v>
      </c>
      <c r="CL30" s="1019" t="s">
        <v>9934</v>
      </c>
      <c r="CM30" s="1058">
        <v>15</v>
      </c>
      <c r="CN30" s="1323" t="s">
        <v>280</v>
      </c>
    </row>
    <row r="31" spans="1:92">
      <c r="A31" s="1077">
        <v>37571</v>
      </c>
      <c r="B31" s="1040" t="s">
        <v>1220</v>
      </c>
      <c r="C31" s="1036">
        <v>66</v>
      </c>
      <c r="D31" s="1034"/>
      <c r="E31" s="1017">
        <v>37934</v>
      </c>
      <c r="F31" s="1040" t="s">
        <v>9935</v>
      </c>
      <c r="G31" s="1036">
        <v>11</v>
      </c>
      <c r="H31" s="1034"/>
      <c r="I31" s="1017">
        <v>38305</v>
      </c>
      <c r="J31" s="1040" t="s">
        <v>9936</v>
      </c>
      <c r="K31" s="1036">
        <v>10</v>
      </c>
      <c r="L31" s="1034"/>
      <c r="M31" s="1017">
        <v>38682</v>
      </c>
      <c r="N31" s="1040" t="s">
        <v>797</v>
      </c>
      <c r="O31" s="1036">
        <v>35</v>
      </c>
      <c r="P31" s="1034"/>
      <c r="Q31" s="1017">
        <v>39040</v>
      </c>
      <c r="R31" s="1040" t="s">
        <v>9937</v>
      </c>
      <c r="S31" s="1036">
        <v>15</v>
      </c>
      <c r="T31" s="1034"/>
      <c r="U31" s="1017">
        <v>39409</v>
      </c>
      <c r="V31" s="1040" t="s">
        <v>9938</v>
      </c>
      <c r="W31" s="1036">
        <v>25</v>
      </c>
      <c r="X31" s="1034"/>
      <c r="Y31" s="1017">
        <v>39763</v>
      </c>
      <c r="Z31" s="1040" t="s">
        <v>9939</v>
      </c>
      <c r="AA31" s="1036">
        <v>4</v>
      </c>
      <c r="AB31" s="1034"/>
      <c r="AC31" s="1017">
        <v>40141</v>
      </c>
      <c r="AD31" s="1040" t="s">
        <v>937</v>
      </c>
      <c r="AE31" s="1036">
        <v>55</v>
      </c>
      <c r="AF31" s="1034"/>
      <c r="AG31" s="1017">
        <v>40495</v>
      </c>
      <c r="AH31" s="1040" t="s">
        <v>797</v>
      </c>
      <c r="AI31" s="1036">
        <v>30</v>
      </c>
      <c r="AJ31" s="1034"/>
      <c r="AK31" s="1017">
        <v>40872</v>
      </c>
      <c r="AL31" s="1040" t="s">
        <v>9940</v>
      </c>
      <c r="AM31" s="1036">
        <v>25</v>
      </c>
      <c r="AN31" s="1034"/>
      <c r="AO31" s="1017">
        <v>41226</v>
      </c>
      <c r="AP31" s="1040" t="s">
        <v>9941</v>
      </c>
      <c r="AQ31" s="1036">
        <v>15</v>
      </c>
      <c r="AR31" s="1034"/>
      <c r="AS31" s="1017">
        <v>41599</v>
      </c>
      <c r="AT31" s="1040" t="s">
        <v>1401</v>
      </c>
      <c r="AU31" s="1036">
        <v>30</v>
      </c>
      <c r="AV31" s="1034"/>
      <c r="AW31" s="1017">
        <v>41958</v>
      </c>
      <c r="AX31" s="1040" t="s">
        <v>781</v>
      </c>
      <c r="AY31" s="1036">
        <v>58</v>
      </c>
      <c r="AZ31" s="1034"/>
      <c r="BA31" s="1017">
        <v>42321</v>
      </c>
      <c r="BB31" s="1040" t="s">
        <v>9942</v>
      </c>
      <c r="BC31" s="1384">
        <v>3900</v>
      </c>
      <c r="BD31" s="1334" t="s">
        <v>9943</v>
      </c>
      <c r="BE31" s="1017">
        <v>42694</v>
      </c>
      <c r="BF31" s="1040" t="s">
        <v>9944</v>
      </c>
      <c r="BG31" s="1065">
        <v>7</v>
      </c>
      <c r="BH31" s="1034"/>
      <c r="BI31" s="1017">
        <v>43056</v>
      </c>
      <c r="BJ31" s="1040" t="s">
        <v>2246</v>
      </c>
      <c r="BK31" s="1065">
        <v>20</v>
      </c>
      <c r="BL31" s="1034"/>
      <c r="BM31" s="1017">
        <v>43421</v>
      </c>
      <c r="BN31" s="1040" t="s">
        <v>9945</v>
      </c>
      <c r="BO31" s="1065">
        <v>21</v>
      </c>
      <c r="BP31" s="1034"/>
      <c r="BQ31" s="1017">
        <v>43779</v>
      </c>
      <c r="BR31" s="1019" t="s">
        <v>797</v>
      </c>
      <c r="BS31" s="1020">
        <v>61</v>
      </c>
      <c r="BT31" s="1018" t="s">
        <v>410</v>
      </c>
      <c r="BU31" s="1017">
        <v>44142</v>
      </c>
      <c r="BV31" s="1019" t="s">
        <v>9946</v>
      </c>
      <c r="BW31" s="1020">
        <v>117</v>
      </c>
      <c r="BX31" s="1386" t="s">
        <v>701</v>
      </c>
      <c r="BY31" s="1017">
        <v>44507</v>
      </c>
      <c r="BZ31" s="1019" t="s">
        <v>1903</v>
      </c>
      <c r="CA31" s="1020">
        <v>136</v>
      </c>
      <c r="CB31" s="1018" t="s">
        <v>700</v>
      </c>
      <c r="CC31" s="1017">
        <v>44884</v>
      </c>
      <c r="CD31" s="1019" t="s">
        <v>1235</v>
      </c>
      <c r="CE31" s="1058">
        <v>5</v>
      </c>
      <c r="CF31" s="1334" t="s">
        <v>278</v>
      </c>
      <c r="CG31" s="1326">
        <v>45236</v>
      </c>
      <c r="CH31" s="1019" t="s">
        <v>9947</v>
      </c>
      <c r="CI31" s="1058">
        <v>60</v>
      </c>
      <c r="CJ31" s="1323" t="s">
        <v>692</v>
      </c>
      <c r="CK31" s="1326">
        <v>45612</v>
      </c>
      <c r="CL31" s="1019" t="s">
        <v>843</v>
      </c>
      <c r="CM31" s="1058">
        <v>65</v>
      </c>
      <c r="CN31" s="1323" t="s">
        <v>414</v>
      </c>
    </row>
    <row r="32" spans="1:92">
      <c r="A32" s="1077">
        <v>37572</v>
      </c>
      <c r="B32" s="1040" t="s">
        <v>1189</v>
      </c>
      <c r="C32" s="1036">
        <v>10</v>
      </c>
      <c r="D32" s="1034"/>
      <c r="E32" s="1017">
        <v>37934</v>
      </c>
      <c r="F32" s="1040" t="s">
        <v>1299</v>
      </c>
      <c r="G32" s="1036">
        <v>50</v>
      </c>
      <c r="H32" s="1034"/>
      <c r="I32" s="1017">
        <v>38307</v>
      </c>
      <c r="J32" s="1040" t="s">
        <v>1810</v>
      </c>
      <c r="K32" s="1036">
        <v>7</v>
      </c>
      <c r="L32" s="1034"/>
      <c r="M32" s="1017">
        <v>38682</v>
      </c>
      <c r="N32" s="1040" t="s">
        <v>9948</v>
      </c>
      <c r="O32" s="1036">
        <v>27</v>
      </c>
      <c r="P32" s="1034"/>
      <c r="Q32" s="1017">
        <v>39042</v>
      </c>
      <c r="R32" s="1040" t="s">
        <v>797</v>
      </c>
      <c r="S32" s="1036">
        <v>35</v>
      </c>
      <c r="T32" s="1034"/>
      <c r="U32" s="1017">
        <v>39409</v>
      </c>
      <c r="V32" s="1040" t="s">
        <v>9949</v>
      </c>
      <c r="W32" s="1036">
        <v>76</v>
      </c>
      <c r="X32" s="1034"/>
      <c r="Y32" s="1017">
        <v>39766</v>
      </c>
      <c r="Z32" s="1040" t="s">
        <v>9950</v>
      </c>
      <c r="AA32" s="1036">
        <v>22</v>
      </c>
      <c r="AB32" s="1034"/>
      <c r="AC32" s="1017">
        <v>40141</v>
      </c>
      <c r="AD32" s="1040" t="s">
        <v>746</v>
      </c>
      <c r="AE32" s="1036">
        <v>17</v>
      </c>
      <c r="AF32" s="1034"/>
      <c r="AG32" s="1017">
        <v>40495</v>
      </c>
      <c r="AH32" s="1040" t="s">
        <v>9951</v>
      </c>
      <c r="AI32" s="1036">
        <v>30</v>
      </c>
      <c r="AJ32" s="1034"/>
      <c r="AK32" s="1017">
        <v>40872</v>
      </c>
      <c r="AL32" s="1040" t="s">
        <v>9952</v>
      </c>
      <c r="AM32" s="1036">
        <v>40</v>
      </c>
      <c r="AN32" s="1034"/>
      <c r="AO32" s="1017">
        <v>41227</v>
      </c>
      <c r="AP32" s="1040" t="s">
        <v>9953</v>
      </c>
      <c r="AQ32" s="1036">
        <v>9</v>
      </c>
      <c r="AR32" s="1034"/>
      <c r="AS32" s="1017">
        <v>41599</v>
      </c>
      <c r="AT32" s="1040" t="s">
        <v>787</v>
      </c>
      <c r="AU32" s="1036">
        <v>15</v>
      </c>
      <c r="AV32" s="1034"/>
      <c r="AW32" s="1017">
        <v>41958</v>
      </c>
      <c r="AX32" s="1040" t="s">
        <v>9954</v>
      </c>
      <c r="AY32" s="1036">
        <v>361</v>
      </c>
      <c r="AZ32" s="1034"/>
      <c r="BA32" s="1017">
        <v>42324</v>
      </c>
      <c r="BB32" s="1040" t="s">
        <v>9955</v>
      </c>
      <c r="BC32" s="1384">
        <v>10000</v>
      </c>
      <c r="BD32" s="1378">
        <v>162</v>
      </c>
      <c r="BE32" s="1017">
        <v>42694</v>
      </c>
      <c r="BF32" s="1040" t="s">
        <v>872</v>
      </c>
      <c r="BG32" s="1065">
        <v>21</v>
      </c>
      <c r="BH32" s="1034"/>
      <c r="BI32" s="1017">
        <v>43056</v>
      </c>
      <c r="BJ32" s="1040" t="s">
        <v>1901</v>
      </c>
      <c r="BK32" s="1065">
        <v>24</v>
      </c>
      <c r="BL32" s="1034"/>
      <c r="BM32" s="1017">
        <v>43421</v>
      </c>
      <c r="BN32" s="1040" t="s">
        <v>9956</v>
      </c>
      <c r="BO32" s="1065">
        <v>50</v>
      </c>
      <c r="BP32" s="1034"/>
      <c r="BQ32" s="1017">
        <v>43779</v>
      </c>
      <c r="BR32" s="1019" t="s">
        <v>9957</v>
      </c>
      <c r="BS32" s="1020">
        <v>20</v>
      </c>
      <c r="BT32" s="1018" t="s">
        <v>280</v>
      </c>
      <c r="BU32" s="1017">
        <v>44142</v>
      </c>
      <c r="BV32" s="1019" t="s">
        <v>9958</v>
      </c>
      <c r="BW32" s="1020">
        <v>67</v>
      </c>
      <c r="BX32" s="1386" t="s">
        <v>701</v>
      </c>
      <c r="BY32" s="1017">
        <v>44508</v>
      </c>
      <c r="BZ32" s="1019" t="s">
        <v>9959</v>
      </c>
      <c r="CA32" s="1020">
        <v>27</v>
      </c>
      <c r="CB32" s="1018" t="s">
        <v>700</v>
      </c>
      <c r="CC32" s="1017">
        <v>44885</v>
      </c>
      <c r="CD32" s="1019" t="s">
        <v>843</v>
      </c>
      <c r="CE32" s="1058">
        <v>45</v>
      </c>
      <c r="CF32" s="1334" t="s">
        <v>414</v>
      </c>
      <c r="CG32" s="1326">
        <v>45236</v>
      </c>
      <c r="CH32" s="1019" t="s">
        <v>9960</v>
      </c>
      <c r="CI32" s="1058">
        <v>195</v>
      </c>
      <c r="CJ32" s="1323" t="s">
        <v>695</v>
      </c>
      <c r="CK32" s="1326">
        <v>45612</v>
      </c>
      <c r="CL32" s="1019" t="s">
        <v>845</v>
      </c>
      <c r="CM32" s="1058">
        <v>70</v>
      </c>
      <c r="CN32" s="1323" t="s">
        <v>414</v>
      </c>
    </row>
    <row r="33" spans="1:92">
      <c r="A33" s="1077">
        <v>37572</v>
      </c>
      <c r="B33" s="1040" t="s">
        <v>1189</v>
      </c>
      <c r="C33" s="1036">
        <v>20</v>
      </c>
      <c r="D33" s="1034"/>
      <c r="E33" s="1017">
        <v>37934</v>
      </c>
      <c r="F33" s="1040" t="s">
        <v>937</v>
      </c>
      <c r="G33" s="1036">
        <v>8</v>
      </c>
      <c r="H33" s="1034"/>
      <c r="I33" s="1017">
        <v>38307</v>
      </c>
      <c r="J33" s="1040" t="s">
        <v>797</v>
      </c>
      <c r="K33" s="1036">
        <v>37</v>
      </c>
      <c r="L33" s="1034"/>
      <c r="M33" s="1017">
        <v>38682</v>
      </c>
      <c r="N33" s="1040" t="s">
        <v>781</v>
      </c>
      <c r="O33" s="1036">
        <v>13</v>
      </c>
      <c r="P33" s="1034"/>
      <c r="Q33" s="1017">
        <v>39042</v>
      </c>
      <c r="R33" s="1040" t="s">
        <v>9961</v>
      </c>
      <c r="S33" s="1036">
        <v>6</v>
      </c>
      <c r="T33" s="1034"/>
      <c r="U33" s="1017">
        <v>39409</v>
      </c>
      <c r="V33" s="1040" t="s">
        <v>9962</v>
      </c>
      <c r="W33" s="1036">
        <v>30</v>
      </c>
      <c r="X33" s="1034"/>
      <c r="Y33" s="1017">
        <v>39766</v>
      </c>
      <c r="Z33" s="1040" t="s">
        <v>9963</v>
      </c>
      <c r="AA33" s="1036">
        <v>200</v>
      </c>
      <c r="AB33" s="1034"/>
      <c r="AC33" s="1017">
        <v>40141</v>
      </c>
      <c r="AD33" s="1040" t="s">
        <v>746</v>
      </c>
      <c r="AE33" s="1036">
        <v>11</v>
      </c>
      <c r="AF33" s="1034"/>
      <c r="AG33" s="1017">
        <v>40496</v>
      </c>
      <c r="AH33" s="1040" t="s">
        <v>802</v>
      </c>
      <c r="AI33" s="1036">
        <v>33</v>
      </c>
      <c r="AJ33" s="1034"/>
      <c r="AK33" s="1017">
        <v>40873</v>
      </c>
      <c r="AL33" s="1040" t="s">
        <v>9964</v>
      </c>
      <c r="AM33" s="1036">
        <v>16</v>
      </c>
      <c r="AN33" s="1034"/>
      <c r="AO33" s="1017">
        <v>41228</v>
      </c>
      <c r="AP33" s="1040" t="s">
        <v>787</v>
      </c>
      <c r="AQ33" s="1036">
        <v>10</v>
      </c>
      <c r="AR33" s="1034"/>
      <c r="AS33" s="1017">
        <v>41599</v>
      </c>
      <c r="AT33" s="1040" t="s">
        <v>9965</v>
      </c>
      <c r="AU33" s="1036">
        <v>315</v>
      </c>
      <c r="AV33" s="1034"/>
      <c r="AW33" s="1017">
        <v>41958</v>
      </c>
      <c r="AX33" s="1040" t="s">
        <v>9966</v>
      </c>
      <c r="AY33" s="1036">
        <v>28</v>
      </c>
      <c r="AZ33" s="1034"/>
      <c r="BA33" s="1017">
        <v>42326</v>
      </c>
      <c r="BB33" s="1040" t="s">
        <v>9967</v>
      </c>
      <c r="BC33" s="1384">
        <v>1699</v>
      </c>
      <c r="BD33" s="1378">
        <v>28</v>
      </c>
      <c r="BE33" s="1017">
        <v>42695</v>
      </c>
      <c r="BF33" s="1040" t="s">
        <v>9968</v>
      </c>
      <c r="BG33" s="1065">
        <v>21</v>
      </c>
      <c r="BH33" s="1034"/>
      <c r="BI33" s="1017">
        <v>43056</v>
      </c>
      <c r="BJ33" s="1040" t="s">
        <v>4650</v>
      </c>
      <c r="BK33" s="1065">
        <v>7</v>
      </c>
      <c r="BL33" s="1034"/>
      <c r="BM33" s="1017">
        <v>43422</v>
      </c>
      <c r="BN33" s="1040" t="s">
        <v>2708</v>
      </c>
      <c r="BO33" s="1065">
        <v>12</v>
      </c>
      <c r="BP33" s="1018"/>
      <c r="BQ33" s="1017">
        <v>43782</v>
      </c>
      <c r="BR33" s="1019" t="s">
        <v>9969</v>
      </c>
      <c r="BS33" s="1020">
        <v>17</v>
      </c>
      <c r="BT33" s="1018" t="s">
        <v>414</v>
      </c>
      <c r="BU33" s="1017">
        <v>44142</v>
      </c>
      <c r="BV33" s="1019" t="s">
        <v>2253</v>
      </c>
      <c r="BW33" s="1020">
        <v>31</v>
      </c>
      <c r="BX33" s="1018" t="s">
        <v>414</v>
      </c>
      <c r="BY33" s="1017">
        <v>44508</v>
      </c>
      <c r="BZ33" s="1019" t="s">
        <v>1696</v>
      </c>
      <c r="CA33" s="1020">
        <v>28</v>
      </c>
      <c r="CB33" s="1018" t="s">
        <v>700</v>
      </c>
      <c r="CC33" s="1017">
        <v>44885</v>
      </c>
      <c r="CD33" s="1019" t="s">
        <v>9970</v>
      </c>
      <c r="CE33" s="1058">
        <v>75</v>
      </c>
      <c r="CF33" s="1334" t="s">
        <v>414</v>
      </c>
      <c r="CG33" s="1326">
        <v>45236</v>
      </c>
      <c r="CH33" s="1019" t="s">
        <v>9971</v>
      </c>
      <c r="CI33" s="1058">
        <v>16</v>
      </c>
      <c r="CJ33" s="1323" t="s">
        <v>280</v>
      </c>
      <c r="CK33" s="1326">
        <v>45612</v>
      </c>
      <c r="CL33" s="1019" t="s">
        <v>9972</v>
      </c>
      <c r="CM33" s="1058">
        <v>198</v>
      </c>
      <c r="CN33" s="1323" t="s">
        <v>280</v>
      </c>
    </row>
    <row r="34" spans="1:92">
      <c r="A34" s="1077">
        <v>37573</v>
      </c>
      <c r="B34" s="1040" t="s">
        <v>410</v>
      </c>
      <c r="C34" s="1036"/>
      <c r="D34" s="1034">
        <v>26</v>
      </c>
      <c r="E34" s="1017">
        <v>37934</v>
      </c>
      <c r="F34" s="1040" t="s">
        <v>9973</v>
      </c>
      <c r="G34" s="1036">
        <v>23</v>
      </c>
      <c r="H34" s="1034"/>
      <c r="I34" s="1017">
        <v>38308</v>
      </c>
      <c r="J34" s="1040" t="s">
        <v>802</v>
      </c>
      <c r="K34" s="1036">
        <v>27</v>
      </c>
      <c r="L34" s="1034"/>
      <c r="M34" s="1017">
        <v>38682</v>
      </c>
      <c r="N34" s="1040" t="s">
        <v>9974</v>
      </c>
      <c r="O34" s="1036">
        <v>25</v>
      </c>
      <c r="P34" s="1034"/>
      <c r="Q34" s="1017">
        <v>39042</v>
      </c>
      <c r="R34" s="1040" t="s">
        <v>9975</v>
      </c>
      <c r="S34" s="1036">
        <v>5</v>
      </c>
      <c r="T34" s="1034"/>
      <c r="U34" s="1017">
        <v>39409</v>
      </c>
      <c r="V34" s="1040" t="s">
        <v>9976</v>
      </c>
      <c r="W34" s="1036">
        <v>15</v>
      </c>
      <c r="X34" s="1034"/>
      <c r="Y34" s="1017">
        <v>39767</v>
      </c>
      <c r="Z34" s="1040" t="s">
        <v>9977</v>
      </c>
      <c r="AA34" s="1036">
        <v>22</v>
      </c>
      <c r="AB34" s="1034"/>
      <c r="AC34" s="1017">
        <v>40144</v>
      </c>
      <c r="AD34" s="1040" t="s">
        <v>3049</v>
      </c>
      <c r="AE34" s="1036">
        <v>20</v>
      </c>
      <c r="AF34" s="1034"/>
      <c r="AG34" s="1017">
        <v>40499</v>
      </c>
      <c r="AH34" s="1040" t="s">
        <v>9978</v>
      </c>
      <c r="AI34" s="1036">
        <v>25</v>
      </c>
      <c r="AJ34" s="1034"/>
      <c r="AK34" s="1017">
        <v>40874</v>
      </c>
      <c r="AL34" s="1040" t="s">
        <v>9979</v>
      </c>
      <c r="AM34" s="1036">
        <v>20</v>
      </c>
      <c r="AN34" s="1034"/>
      <c r="AO34" s="1017">
        <v>41228</v>
      </c>
      <c r="AP34" s="1040" t="s">
        <v>2498</v>
      </c>
      <c r="AQ34" s="1036">
        <v>15</v>
      </c>
      <c r="AR34" s="1034"/>
      <c r="AS34" s="1017">
        <v>41600</v>
      </c>
      <c r="AT34" s="1040" t="s">
        <v>754</v>
      </c>
      <c r="AU34" s="1036">
        <v>66</v>
      </c>
      <c r="AV34" s="1034"/>
      <c r="AW34" s="1017">
        <v>41958</v>
      </c>
      <c r="AX34" s="1040" t="s">
        <v>9980</v>
      </c>
      <c r="AY34" s="1036">
        <v>38</v>
      </c>
      <c r="AZ34" s="1034"/>
      <c r="BA34" s="1017">
        <v>42328</v>
      </c>
      <c r="BB34" s="1040" t="s">
        <v>9981</v>
      </c>
      <c r="BC34" s="1384">
        <v>1990</v>
      </c>
      <c r="BD34" s="1378">
        <f>BC34/63</f>
        <v>31.587301587301589</v>
      </c>
      <c r="BE34" s="1017">
        <v>42696</v>
      </c>
      <c r="BF34" s="1040" t="s">
        <v>9982</v>
      </c>
      <c r="BG34" s="1065">
        <v>10</v>
      </c>
      <c r="BH34" s="1034"/>
      <c r="BI34" s="1017">
        <v>43056</v>
      </c>
      <c r="BJ34" s="1040" t="s">
        <v>5718</v>
      </c>
      <c r="BK34" s="1065">
        <v>14</v>
      </c>
      <c r="BL34" s="1034"/>
      <c r="BM34" s="1017">
        <v>43422</v>
      </c>
      <c r="BN34" s="1040" t="s">
        <v>9983</v>
      </c>
      <c r="BO34" s="1065">
        <v>28</v>
      </c>
      <c r="BP34" s="1034"/>
      <c r="BQ34" s="1017">
        <v>43782</v>
      </c>
      <c r="BR34" s="1019" t="s">
        <v>9984</v>
      </c>
      <c r="BS34" s="1020">
        <v>71</v>
      </c>
      <c r="BT34" s="1018" t="s">
        <v>414</v>
      </c>
      <c r="BU34" s="1017">
        <v>44142</v>
      </c>
      <c r="BV34" s="1019" t="s">
        <v>4441</v>
      </c>
      <c r="BW34" s="1020">
        <v>25</v>
      </c>
      <c r="BX34" s="1018" t="s">
        <v>414</v>
      </c>
      <c r="BY34" s="1017">
        <v>44509</v>
      </c>
      <c r="BZ34" s="1019" t="s">
        <v>9985</v>
      </c>
      <c r="CA34" s="1020">
        <v>170</v>
      </c>
      <c r="CB34" s="1018" t="s">
        <v>701</v>
      </c>
      <c r="CC34" s="1017">
        <v>44887</v>
      </c>
      <c r="CD34" s="1019" t="s">
        <v>9986</v>
      </c>
      <c r="CE34" s="1058">
        <v>22</v>
      </c>
      <c r="CF34" s="1334" t="s">
        <v>280</v>
      </c>
      <c r="CG34" s="1326">
        <v>45241</v>
      </c>
      <c r="CH34" s="1019" t="s">
        <v>9987</v>
      </c>
      <c r="CI34" s="1058">
        <v>29</v>
      </c>
      <c r="CJ34" s="1323" t="s">
        <v>700</v>
      </c>
      <c r="CK34" s="1326">
        <v>45612</v>
      </c>
      <c r="CL34" s="1019" t="s">
        <v>9988</v>
      </c>
      <c r="CM34" s="1058">
        <v>30</v>
      </c>
      <c r="CN34" s="1323" t="s">
        <v>414</v>
      </c>
    </row>
    <row r="35" spans="1:92">
      <c r="A35" s="1077">
        <v>37574</v>
      </c>
      <c r="B35" s="1040" t="s">
        <v>9989</v>
      </c>
      <c r="C35" s="1036">
        <v>8</v>
      </c>
      <c r="D35" s="1034"/>
      <c r="E35" s="1017">
        <v>37934</v>
      </c>
      <c r="F35" s="1040" t="s">
        <v>9990</v>
      </c>
      <c r="G35" s="1036">
        <v>15</v>
      </c>
      <c r="H35" s="1034"/>
      <c r="I35" s="1017">
        <v>38311</v>
      </c>
      <c r="J35" s="1040" t="s">
        <v>9991</v>
      </c>
      <c r="K35" s="1036">
        <v>63</v>
      </c>
      <c r="L35" s="1034"/>
      <c r="M35" s="1017">
        <v>38682</v>
      </c>
      <c r="N35" s="1040" t="s">
        <v>772</v>
      </c>
      <c r="O35" s="1036">
        <v>28</v>
      </c>
      <c r="P35" s="1034"/>
      <c r="Q35" s="1017">
        <v>39042</v>
      </c>
      <c r="R35" s="1040" t="s">
        <v>9992</v>
      </c>
      <c r="S35" s="1036">
        <v>3</v>
      </c>
      <c r="T35" s="1034"/>
      <c r="U35" s="1017">
        <v>39409</v>
      </c>
      <c r="V35" s="1040" t="s">
        <v>9993</v>
      </c>
      <c r="W35" s="1036">
        <v>9</v>
      </c>
      <c r="X35" s="1034"/>
      <c r="Y35" s="1017">
        <v>39767</v>
      </c>
      <c r="Z35" s="1040" t="s">
        <v>797</v>
      </c>
      <c r="AA35" s="1036">
        <v>10</v>
      </c>
      <c r="AB35" s="1034"/>
      <c r="AC35" s="1017">
        <v>40144</v>
      </c>
      <c r="AD35" s="1040" t="s">
        <v>9994</v>
      </c>
      <c r="AE35" s="1036">
        <v>20</v>
      </c>
      <c r="AF35" s="1034"/>
      <c r="AG35" s="1017">
        <v>40499</v>
      </c>
      <c r="AH35" s="1040" t="s">
        <v>9995</v>
      </c>
      <c r="AI35" s="1036">
        <v>10</v>
      </c>
      <c r="AJ35" s="1034"/>
      <c r="AK35" s="1017">
        <v>40874</v>
      </c>
      <c r="AL35" s="1040" t="s">
        <v>781</v>
      </c>
      <c r="AM35" s="1036">
        <v>105</v>
      </c>
      <c r="AN35" s="1034"/>
      <c r="AO35" s="1017">
        <v>41230</v>
      </c>
      <c r="AP35" s="1040" t="s">
        <v>781</v>
      </c>
      <c r="AQ35" s="1036">
        <v>81</v>
      </c>
      <c r="AR35" s="1034"/>
      <c r="AS35" s="1017">
        <v>41601</v>
      </c>
      <c r="AT35" s="1040" t="s">
        <v>9996</v>
      </c>
      <c r="AU35" s="1036">
        <v>40</v>
      </c>
      <c r="AV35" s="1034"/>
      <c r="AW35" s="1017">
        <v>41961</v>
      </c>
      <c r="AX35" s="1040" t="s">
        <v>802</v>
      </c>
      <c r="AY35" s="1036">
        <v>38</v>
      </c>
      <c r="AZ35" s="1034"/>
      <c r="BA35" s="1017">
        <v>42328</v>
      </c>
      <c r="BB35" s="1040" t="s">
        <v>9997</v>
      </c>
      <c r="BC35" s="1384">
        <v>699</v>
      </c>
      <c r="BD35" s="1378">
        <f t="shared" ref="BD35:BD68" si="2">BC35/63</f>
        <v>11.095238095238095</v>
      </c>
      <c r="BE35" s="1017">
        <v>42697</v>
      </c>
      <c r="BF35" s="1040" t="s">
        <v>9998</v>
      </c>
      <c r="BG35" s="1065">
        <v>25</v>
      </c>
      <c r="BH35" s="1034"/>
      <c r="BI35" s="1017">
        <v>43056</v>
      </c>
      <c r="BJ35" s="1040" t="s">
        <v>1977</v>
      </c>
      <c r="BK35" s="1065">
        <v>12</v>
      </c>
      <c r="BL35" s="1034"/>
      <c r="BM35" s="1017">
        <v>43422</v>
      </c>
      <c r="BN35" s="1040" t="s">
        <v>9999</v>
      </c>
      <c r="BO35" s="1065">
        <v>1</v>
      </c>
      <c r="BP35" s="1034"/>
      <c r="BQ35" s="1017">
        <v>43782</v>
      </c>
      <c r="BR35" s="1019" t="s">
        <v>10000</v>
      </c>
      <c r="BS35" s="1020">
        <v>38</v>
      </c>
      <c r="BT35" s="1018" t="s">
        <v>414</v>
      </c>
      <c r="BU35" s="1017">
        <v>44142</v>
      </c>
      <c r="BV35" s="1019" t="s">
        <v>10001</v>
      </c>
      <c r="BW35" s="1020">
        <v>13</v>
      </c>
      <c r="BX35" s="1018" t="s">
        <v>414</v>
      </c>
      <c r="BY35" s="1017">
        <v>44511</v>
      </c>
      <c r="BZ35" s="1019" t="s">
        <v>10002</v>
      </c>
      <c r="CA35" s="1020">
        <v>0</v>
      </c>
      <c r="CB35" s="1018" t="s">
        <v>414</v>
      </c>
      <c r="CC35" s="1017">
        <v>44887</v>
      </c>
      <c r="CD35" s="1019" t="s">
        <v>10003</v>
      </c>
      <c r="CE35" s="1058">
        <v>15</v>
      </c>
      <c r="CF35" s="1334" t="s">
        <v>414</v>
      </c>
      <c r="CG35" s="1326">
        <v>45243</v>
      </c>
      <c r="CH35" s="1019" t="s">
        <v>10004</v>
      </c>
      <c r="CI35" s="1058">
        <v>150</v>
      </c>
      <c r="CJ35" s="1323" t="s">
        <v>700</v>
      </c>
      <c r="CK35" s="1326">
        <v>45612</v>
      </c>
      <c r="CL35" s="1019" t="s">
        <v>10005</v>
      </c>
      <c r="CM35" s="1058">
        <v>30</v>
      </c>
      <c r="CN35" s="1323" t="s">
        <v>414</v>
      </c>
    </row>
    <row r="36" spans="1:92">
      <c r="A36" s="1077">
        <v>37574</v>
      </c>
      <c r="B36" s="1040" t="s">
        <v>10006</v>
      </c>
      <c r="C36" s="1036">
        <v>192</v>
      </c>
      <c r="D36" s="1034"/>
      <c r="E36" s="1017">
        <v>37934</v>
      </c>
      <c r="F36" s="1040" t="s">
        <v>7412</v>
      </c>
      <c r="G36" s="1036">
        <v>5</v>
      </c>
      <c r="H36" s="1034"/>
      <c r="I36" s="1017">
        <v>38311</v>
      </c>
      <c r="J36" s="1040" t="s">
        <v>772</v>
      </c>
      <c r="K36" s="1036">
        <v>55</v>
      </c>
      <c r="L36" s="1034"/>
      <c r="M36" s="1017">
        <v>38683</v>
      </c>
      <c r="N36" s="1040" t="s">
        <v>10007</v>
      </c>
      <c r="O36" s="1036">
        <v>40</v>
      </c>
      <c r="P36" s="1034"/>
      <c r="Q36" s="1017">
        <v>39042</v>
      </c>
      <c r="R36" s="1040" t="s">
        <v>10008</v>
      </c>
      <c r="S36" s="1036">
        <v>34</v>
      </c>
      <c r="T36" s="1034"/>
      <c r="U36" s="1017">
        <v>39409</v>
      </c>
      <c r="V36" s="1040" t="s">
        <v>10009</v>
      </c>
      <c r="W36" s="1036">
        <v>95</v>
      </c>
      <c r="X36" s="1034"/>
      <c r="Y36" s="1017">
        <v>39768</v>
      </c>
      <c r="Z36" s="1040" t="s">
        <v>10010</v>
      </c>
      <c r="AA36" s="1036">
        <v>80</v>
      </c>
      <c r="AB36" s="1034"/>
      <c r="AC36" s="1017">
        <v>40144</v>
      </c>
      <c r="AD36" s="1040" t="s">
        <v>10011</v>
      </c>
      <c r="AE36" s="1036">
        <v>30</v>
      </c>
      <c r="AF36" s="1034"/>
      <c r="AG36" s="1017">
        <v>40500</v>
      </c>
      <c r="AH36" s="1040" t="s">
        <v>10012</v>
      </c>
      <c r="AI36" s="1036">
        <v>25</v>
      </c>
      <c r="AJ36" s="1034"/>
      <c r="AK36" s="1017">
        <v>40875</v>
      </c>
      <c r="AL36" s="1040" t="s">
        <v>10013</v>
      </c>
      <c r="AM36" s="1036">
        <v>30</v>
      </c>
      <c r="AN36" s="1034"/>
      <c r="AO36" s="1017">
        <v>41231</v>
      </c>
      <c r="AP36" s="1040" t="s">
        <v>867</v>
      </c>
      <c r="AQ36" s="1036">
        <v>7</v>
      </c>
      <c r="AR36" s="1034"/>
      <c r="AS36" s="1017">
        <v>41602</v>
      </c>
      <c r="AT36" s="1040" t="s">
        <v>10014</v>
      </c>
      <c r="AU36" s="1036">
        <v>12</v>
      </c>
      <c r="AV36" s="1034"/>
      <c r="AW36" s="1017">
        <v>41962</v>
      </c>
      <c r="AX36" s="1040" t="s">
        <v>925</v>
      </c>
      <c r="AY36" s="1036">
        <v>6</v>
      </c>
      <c r="AZ36" s="1034"/>
      <c r="BA36" s="1017">
        <v>42328</v>
      </c>
      <c r="BB36" s="1040" t="s">
        <v>9914</v>
      </c>
      <c r="BC36" s="1384">
        <v>789</v>
      </c>
      <c r="BD36" s="1378">
        <f t="shared" si="2"/>
        <v>12.523809523809524</v>
      </c>
      <c r="BE36" s="1017">
        <v>42697</v>
      </c>
      <c r="BF36" s="1040" t="s">
        <v>10015</v>
      </c>
      <c r="BG36" s="1065">
        <v>15</v>
      </c>
      <c r="BH36" s="1034"/>
      <c r="BI36" s="1017">
        <v>43057</v>
      </c>
      <c r="BJ36" s="1040" t="s">
        <v>823</v>
      </c>
      <c r="BK36" s="1065">
        <v>29</v>
      </c>
      <c r="BL36" s="1034"/>
      <c r="BM36" s="1017">
        <v>43424</v>
      </c>
      <c r="BN36" s="1040" t="s">
        <v>10016</v>
      </c>
      <c r="BO36" s="1065">
        <v>62</v>
      </c>
      <c r="BP36" s="1034"/>
      <c r="BQ36" s="1017">
        <v>43782</v>
      </c>
      <c r="BR36" s="1019" t="s">
        <v>10017</v>
      </c>
      <c r="BS36" s="1020">
        <v>52</v>
      </c>
      <c r="BT36" s="1018" t="s">
        <v>414</v>
      </c>
      <c r="BU36" s="1017">
        <v>44142</v>
      </c>
      <c r="BV36" s="1019" t="s">
        <v>8082</v>
      </c>
      <c r="BW36" s="1020">
        <v>9</v>
      </c>
      <c r="BX36" s="1018" t="s">
        <v>414</v>
      </c>
      <c r="BY36" s="1017">
        <v>44512</v>
      </c>
      <c r="BZ36" s="1019" t="s">
        <v>1871</v>
      </c>
      <c r="CA36" s="1020">
        <v>30</v>
      </c>
      <c r="CB36" s="1018" t="s">
        <v>414</v>
      </c>
      <c r="CC36" s="1017">
        <v>44888</v>
      </c>
      <c r="CD36" s="1019" t="s">
        <v>843</v>
      </c>
      <c r="CE36" s="1058">
        <v>51</v>
      </c>
      <c r="CF36" s="1334" t="s">
        <v>414</v>
      </c>
      <c r="CG36" s="1326">
        <v>45243</v>
      </c>
      <c r="CH36" s="1019" t="s">
        <v>845</v>
      </c>
      <c r="CI36" s="1058">
        <v>30</v>
      </c>
      <c r="CJ36" s="1323" t="s">
        <v>414</v>
      </c>
      <c r="CK36" s="1326">
        <v>45612</v>
      </c>
      <c r="CL36" s="1019" t="s">
        <v>10018</v>
      </c>
      <c r="CM36" s="1058">
        <v>150</v>
      </c>
      <c r="CN36" s="1323" t="s">
        <v>700</v>
      </c>
    </row>
    <row r="37" spans="1:92">
      <c r="A37" s="1077">
        <v>37576</v>
      </c>
      <c r="B37" s="1040" t="s">
        <v>10019</v>
      </c>
      <c r="C37" s="1036">
        <v>90</v>
      </c>
      <c r="D37" s="1034"/>
      <c r="E37" s="1017">
        <v>37939</v>
      </c>
      <c r="F37" s="1040" t="s">
        <v>797</v>
      </c>
      <c r="G37" s="1036">
        <v>34</v>
      </c>
      <c r="H37" s="1034"/>
      <c r="I37" s="1017">
        <v>38311</v>
      </c>
      <c r="J37" s="1040" t="s">
        <v>2226</v>
      </c>
      <c r="K37" s="1036">
        <v>4</v>
      </c>
      <c r="L37" s="1034"/>
      <c r="M37" s="1017">
        <v>38683</v>
      </c>
      <c r="N37" s="1040" t="s">
        <v>2527</v>
      </c>
      <c r="O37" s="1036">
        <v>18</v>
      </c>
      <c r="P37" s="1034"/>
      <c r="Q37" s="1017">
        <v>39043</v>
      </c>
      <c r="R37" s="1040" t="s">
        <v>10020</v>
      </c>
      <c r="S37" s="1036">
        <v>30</v>
      </c>
      <c r="T37" s="1034"/>
      <c r="U37" s="1017">
        <v>39409</v>
      </c>
      <c r="V37" s="1040" t="s">
        <v>10021</v>
      </c>
      <c r="W37" s="1036">
        <v>40</v>
      </c>
      <c r="X37" s="1034"/>
      <c r="Y37" s="1017">
        <v>39768</v>
      </c>
      <c r="Z37" s="1040" t="s">
        <v>781</v>
      </c>
      <c r="AA37" s="1036">
        <v>50</v>
      </c>
      <c r="AB37" s="1034"/>
      <c r="AC37" s="1017">
        <v>40144</v>
      </c>
      <c r="AD37" s="1040" t="s">
        <v>10022</v>
      </c>
      <c r="AE37" s="1036">
        <v>15</v>
      </c>
      <c r="AF37" s="1034"/>
      <c r="AG37" s="1017">
        <v>40501</v>
      </c>
      <c r="AH37" s="1040" t="s">
        <v>802</v>
      </c>
      <c r="AI37" s="1036">
        <v>40</v>
      </c>
      <c r="AJ37" s="1034"/>
      <c r="AK37" s="1017">
        <v>40875</v>
      </c>
      <c r="AL37" s="1040" t="s">
        <v>1903</v>
      </c>
      <c r="AM37" s="1036">
        <v>46</v>
      </c>
      <c r="AN37" s="1034"/>
      <c r="AO37" s="1017">
        <v>41231</v>
      </c>
      <c r="AP37" s="1040" t="s">
        <v>10023</v>
      </c>
      <c r="AQ37" s="1036">
        <v>3</v>
      </c>
      <c r="AR37" s="1034"/>
      <c r="AS37" s="1017">
        <v>41602</v>
      </c>
      <c r="AT37" s="1040" t="s">
        <v>10024</v>
      </c>
      <c r="AU37" s="1036">
        <v>2</v>
      </c>
      <c r="AV37" s="1034"/>
      <c r="AW37" s="1017">
        <v>41962</v>
      </c>
      <c r="AX37" s="1040" t="s">
        <v>797</v>
      </c>
      <c r="AY37" s="1036">
        <v>54</v>
      </c>
      <c r="AZ37" s="1034"/>
      <c r="BA37" s="1017">
        <v>42328</v>
      </c>
      <c r="BB37" s="1040" t="s">
        <v>10025</v>
      </c>
      <c r="BC37" s="1384">
        <v>200</v>
      </c>
      <c r="BD37" s="1378">
        <f t="shared" si="2"/>
        <v>3.1746031746031744</v>
      </c>
      <c r="BE37" s="1017">
        <v>42698</v>
      </c>
      <c r="BF37" s="1040" t="s">
        <v>10026</v>
      </c>
      <c r="BG37" s="1065">
        <v>110</v>
      </c>
      <c r="BH37" s="1034"/>
      <c r="BI37" s="1017">
        <v>43057</v>
      </c>
      <c r="BJ37" s="1040" t="s">
        <v>772</v>
      </c>
      <c r="BK37" s="1065">
        <v>108</v>
      </c>
      <c r="BL37" s="1034"/>
      <c r="BM37" s="1017">
        <v>43424</v>
      </c>
      <c r="BN37" s="1040" t="s">
        <v>7350</v>
      </c>
      <c r="BO37" s="1065">
        <v>5</v>
      </c>
      <c r="BP37" s="1034"/>
      <c r="BQ37" s="1017">
        <v>43782</v>
      </c>
      <c r="BR37" s="1019" t="s">
        <v>1741</v>
      </c>
      <c r="BS37" s="1020">
        <v>0</v>
      </c>
      <c r="BT37" s="1018" t="s">
        <v>414</v>
      </c>
      <c r="BU37" s="1017">
        <v>44146</v>
      </c>
      <c r="BV37" s="1019" t="s">
        <v>7552</v>
      </c>
      <c r="BW37" s="1020">
        <v>31</v>
      </c>
      <c r="BX37" s="1018" t="s">
        <v>414</v>
      </c>
      <c r="BY37" s="1017">
        <v>44513</v>
      </c>
      <c r="BZ37" s="1019" t="s">
        <v>10027</v>
      </c>
      <c r="CA37" s="1020"/>
      <c r="CB37" s="1018"/>
      <c r="CC37" s="1017">
        <v>44888</v>
      </c>
      <c r="CD37" s="1019" t="s">
        <v>9856</v>
      </c>
      <c r="CE37" s="1058">
        <v>29</v>
      </c>
      <c r="CF37" s="1334" t="s">
        <v>414</v>
      </c>
      <c r="CG37" s="1326">
        <v>45243</v>
      </c>
      <c r="CH37" s="1019" t="s">
        <v>772</v>
      </c>
      <c r="CI37" s="1058">
        <v>9</v>
      </c>
      <c r="CJ37" s="1323" t="s">
        <v>414</v>
      </c>
      <c r="CK37" s="1326">
        <v>45612</v>
      </c>
      <c r="CL37" s="1019" t="s">
        <v>10028</v>
      </c>
      <c r="CM37" s="1058">
        <v>12</v>
      </c>
      <c r="CN37" s="1323" t="s">
        <v>414</v>
      </c>
    </row>
    <row r="38" spans="1:92">
      <c r="A38" s="1077">
        <v>37576</v>
      </c>
      <c r="B38" s="1040" t="s">
        <v>10029</v>
      </c>
      <c r="C38" s="1036"/>
      <c r="D38" s="1034">
        <v>38</v>
      </c>
      <c r="E38" s="1017">
        <v>37939</v>
      </c>
      <c r="F38" s="1040" t="s">
        <v>1502</v>
      </c>
      <c r="G38" s="1036">
        <v>10</v>
      </c>
      <c r="H38" s="1034"/>
      <c r="I38" s="1017">
        <v>38311</v>
      </c>
      <c r="J38" s="1040" t="s">
        <v>1157</v>
      </c>
      <c r="K38" s="1036">
        <v>10</v>
      </c>
      <c r="L38" s="1034"/>
      <c r="M38" s="1017"/>
      <c r="N38" s="1040"/>
      <c r="O38" s="1036"/>
      <c r="P38" s="1034"/>
      <c r="Q38" s="1017">
        <v>39043</v>
      </c>
      <c r="R38" s="1040" t="s">
        <v>10030</v>
      </c>
      <c r="S38" s="1036">
        <v>35</v>
      </c>
      <c r="T38" s="1034"/>
      <c r="U38" s="1017">
        <v>39409</v>
      </c>
      <c r="V38" s="1040" t="s">
        <v>2240</v>
      </c>
      <c r="W38" s="1036">
        <v>99</v>
      </c>
      <c r="X38" s="1034"/>
      <c r="Y38" s="1017">
        <v>39768</v>
      </c>
      <c r="Z38" s="1040" t="s">
        <v>10031</v>
      </c>
      <c r="AA38" s="1036">
        <v>0</v>
      </c>
      <c r="AB38" s="1034"/>
      <c r="AC38" s="1017">
        <v>40144</v>
      </c>
      <c r="AD38" s="1040" t="s">
        <v>10032</v>
      </c>
      <c r="AE38" s="1036">
        <v>68</v>
      </c>
      <c r="AF38" s="1034"/>
      <c r="AG38" s="1017">
        <v>40501</v>
      </c>
      <c r="AH38" s="1040" t="s">
        <v>10033</v>
      </c>
      <c r="AI38" s="1036">
        <v>13</v>
      </c>
      <c r="AJ38" s="1034"/>
      <c r="AK38" s="1017">
        <v>40875</v>
      </c>
      <c r="AL38" s="1040" t="s">
        <v>10034</v>
      </c>
      <c r="AM38" s="1036">
        <v>20</v>
      </c>
      <c r="AN38" s="1034"/>
      <c r="AO38" s="1017">
        <v>41231</v>
      </c>
      <c r="AP38" s="1040" t="s">
        <v>754</v>
      </c>
      <c r="AQ38" s="1036">
        <v>122</v>
      </c>
      <c r="AR38" s="1034"/>
      <c r="AS38" s="1017">
        <v>41602</v>
      </c>
      <c r="AT38" s="1040" t="s">
        <v>787</v>
      </c>
      <c r="AU38" s="1036">
        <v>60</v>
      </c>
      <c r="AV38" s="1034"/>
      <c r="AW38" s="1017">
        <v>41962</v>
      </c>
      <c r="AX38" s="1040" t="s">
        <v>867</v>
      </c>
      <c r="AY38" s="1036">
        <v>66</v>
      </c>
      <c r="AZ38" s="1034"/>
      <c r="BA38" s="1017">
        <v>42328</v>
      </c>
      <c r="BB38" s="1040" t="s">
        <v>10035</v>
      </c>
      <c r="BC38" s="1384">
        <v>100</v>
      </c>
      <c r="BD38" s="1378">
        <f t="shared" si="2"/>
        <v>1.5873015873015872</v>
      </c>
      <c r="BE38" s="1017">
        <v>42698</v>
      </c>
      <c r="BF38" s="1040" t="s">
        <v>10036</v>
      </c>
      <c r="BG38" s="1065">
        <v>28</v>
      </c>
      <c r="BH38" s="1034"/>
      <c r="BI38" s="1017">
        <v>43058</v>
      </c>
      <c r="BJ38" s="1040" t="s">
        <v>10037</v>
      </c>
      <c r="BK38" s="1065">
        <v>30</v>
      </c>
      <c r="BL38" s="1034"/>
      <c r="BM38" s="1017">
        <v>43424</v>
      </c>
      <c r="BN38" s="1040" t="s">
        <v>10038</v>
      </c>
      <c r="BO38" s="1065">
        <v>5</v>
      </c>
      <c r="BP38" s="1034"/>
      <c r="BQ38" s="1017">
        <v>43782</v>
      </c>
      <c r="BR38" s="1019" t="s">
        <v>10039</v>
      </c>
      <c r="BS38" s="1020">
        <v>6</v>
      </c>
      <c r="BT38" s="1018" t="s">
        <v>414</v>
      </c>
      <c r="BU38" s="1017">
        <v>44146</v>
      </c>
      <c r="BV38" s="1019" t="s">
        <v>10040</v>
      </c>
      <c r="BW38" s="1020">
        <v>11</v>
      </c>
      <c r="BX38" s="1018" t="s">
        <v>701</v>
      </c>
      <c r="BY38" s="1017">
        <v>44513</v>
      </c>
      <c r="BZ38" s="1019" t="s">
        <v>843</v>
      </c>
      <c r="CA38" s="1020">
        <v>75</v>
      </c>
      <c r="CB38" s="1018" t="s">
        <v>414</v>
      </c>
      <c r="CC38" s="1017">
        <v>44888</v>
      </c>
      <c r="CD38" s="1019" t="s">
        <v>772</v>
      </c>
      <c r="CE38" s="1058">
        <v>37</v>
      </c>
      <c r="CF38" s="1334" t="s">
        <v>414</v>
      </c>
      <c r="CG38" s="1326">
        <v>45243</v>
      </c>
      <c r="CH38" s="1019" t="s">
        <v>10041</v>
      </c>
      <c r="CI38" s="1058">
        <v>165</v>
      </c>
      <c r="CJ38" s="1323" t="s">
        <v>700</v>
      </c>
      <c r="CK38" s="1326">
        <v>45612</v>
      </c>
      <c r="CL38" s="1019" t="s">
        <v>10042</v>
      </c>
      <c r="CM38" s="1058">
        <v>53</v>
      </c>
      <c r="CN38" s="1323" t="s">
        <v>414</v>
      </c>
    </row>
    <row r="39" spans="1:92">
      <c r="A39" s="1077">
        <v>37576</v>
      </c>
      <c r="B39" s="1040" t="s">
        <v>10043</v>
      </c>
      <c r="C39" s="1036"/>
      <c r="D39" s="1034">
        <v>50</v>
      </c>
      <c r="E39" s="1017">
        <v>37940</v>
      </c>
      <c r="F39" s="1040" t="s">
        <v>10044</v>
      </c>
      <c r="G39" s="1036">
        <v>14</v>
      </c>
      <c r="H39" s="1034"/>
      <c r="I39" s="1017">
        <v>38311</v>
      </c>
      <c r="J39" s="1040" t="s">
        <v>10045</v>
      </c>
      <c r="K39" s="1036">
        <v>25</v>
      </c>
      <c r="L39" s="1034"/>
      <c r="M39" s="1017"/>
      <c r="N39" s="1040"/>
      <c r="O39" s="1036"/>
      <c r="P39" s="1034"/>
      <c r="Q39" s="1017">
        <v>39043</v>
      </c>
      <c r="R39" s="1040" t="s">
        <v>10046</v>
      </c>
      <c r="S39" s="1036">
        <v>6</v>
      </c>
      <c r="T39" s="1034"/>
      <c r="U39" s="1017">
        <v>39409</v>
      </c>
      <c r="V39" s="1040" t="s">
        <v>10047</v>
      </c>
      <c r="W39" s="1036">
        <v>13</v>
      </c>
      <c r="X39" s="1034"/>
      <c r="Y39" s="1017">
        <v>39768</v>
      </c>
      <c r="Z39" s="1040" t="s">
        <v>797</v>
      </c>
      <c r="AA39" s="1036">
        <v>30</v>
      </c>
      <c r="AB39" s="1034"/>
      <c r="AC39" s="1017">
        <v>40144</v>
      </c>
      <c r="AD39" s="1040" t="s">
        <v>10048</v>
      </c>
      <c r="AE39" s="1036">
        <v>30</v>
      </c>
      <c r="AF39" s="1034"/>
      <c r="AG39" s="1017">
        <v>40501</v>
      </c>
      <c r="AH39" s="1040" t="s">
        <v>10049</v>
      </c>
      <c r="AI39" s="1036">
        <v>35</v>
      </c>
      <c r="AJ39" s="1034"/>
      <c r="AK39" s="1017">
        <v>40876</v>
      </c>
      <c r="AL39" s="1040" t="s">
        <v>10050</v>
      </c>
      <c r="AM39" s="1036">
        <v>175</v>
      </c>
      <c r="AN39" s="1034"/>
      <c r="AO39" s="1017">
        <v>41233</v>
      </c>
      <c r="AP39" s="1040" t="s">
        <v>867</v>
      </c>
      <c r="AQ39" s="1036">
        <v>42</v>
      </c>
      <c r="AR39" s="1034"/>
      <c r="AS39" s="1017">
        <v>41602</v>
      </c>
      <c r="AT39" s="1040" t="s">
        <v>797</v>
      </c>
      <c r="AU39" s="1036">
        <v>43</v>
      </c>
      <c r="AV39" s="1034"/>
      <c r="AW39" s="1017">
        <v>41962</v>
      </c>
      <c r="AX39" s="1040" t="s">
        <v>10051</v>
      </c>
      <c r="AY39" s="1036">
        <v>20</v>
      </c>
      <c r="AZ39" s="1034"/>
      <c r="BA39" s="1017">
        <v>42329</v>
      </c>
      <c r="BB39" s="1040" t="s">
        <v>10052</v>
      </c>
      <c r="BC39" s="1384">
        <v>1750</v>
      </c>
      <c r="BD39" s="1378">
        <f t="shared" si="2"/>
        <v>27.777777777777779</v>
      </c>
      <c r="BE39" s="1017">
        <v>42698</v>
      </c>
      <c r="BF39" s="1040" t="s">
        <v>10053</v>
      </c>
      <c r="BG39" s="1065">
        <v>23</v>
      </c>
      <c r="BH39" s="1034"/>
      <c r="BI39" s="1017">
        <v>43058</v>
      </c>
      <c r="BJ39" s="1040" t="s">
        <v>10054</v>
      </c>
      <c r="BK39" s="1065">
        <v>38</v>
      </c>
      <c r="BL39" s="1034"/>
      <c r="BM39" s="1017">
        <v>43425</v>
      </c>
      <c r="BN39" s="1040" t="s">
        <v>10055</v>
      </c>
      <c r="BO39" s="1065">
        <v>4</v>
      </c>
      <c r="BP39" s="1034"/>
      <c r="BQ39" s="1017">
        <v>43782</v>
      </c>
      <c r="BR39" s="1019" t="s">
        <v>10056</v>
      </c>
      <c r="BS39" s="1020">
        <v>5</v>
      </c>
      <c r="BT39" s="1018" t="s">
        <v>414</v>
      </c>
      <c r="BU39" s="1017">
        <v>44146</v>
      </c>
      <c r="BV39" s="1019" t="s">
        <v>10057</v>
      </c>
      <c r="BW39" s="1020">
        <v>15</v>
      </c>
      <c r="BX39" s="1018" t="s">
        <v>414</v>
      </c>
      <c r="BY39" s="1017">
        <v>44513</v>
      </c>
      <c r="BZ39" s="1019" t="s">
        <v>10058</v>
      </c>
      <c r="CA39" s="1020">
        <v>45</v>
      </c>
      <c r="CB39" s="1018" t="s">
        <v>414</v>
      </c>
      <c r="CC39" s="1017">
        <v>44888</v>
      </c>
      <c r="CD39" s="1019" t="s">
        <v>845</v>
      </c>
      <c r="CE39" s="1058">
        <v>66</v>
      </c>
      <c r="CF39" s="1334" t="s">
        <v>414</v>
      </c>
      <c r="CG39" s="1326">
        <v>45243</v>
      </c>
      <c r="CH39" s="1019" t="s">
        <v>10059</v>
      </c>
      <c r="CI39" s="1058">
        <v>120</v>
      </c>
      <c r="CJ39" s="1323" t="s">
        <v>700</v>
      </c>
      <c r="CK39" s="1326">
        <v>45612</v>
      </c>
      <c r="CL39" s="1019" t="s">
        <v>10060</v>
      </c>
      <c r="CM39" s="1058">
        <v>77</v>
      </c>
      <c r="CN39" s="1323" t="s">
        <v>700</v>
      </c>
    </row>
    <row r="40" spans="1:92">
      <c r="A40" s="1077">
        <v>37576</v>
      </c>
      <c r="B40" s="1040" t="s">
        <v>10061</v>
      </c>
      <c r="C40" s="1036">
        <v>24</v>
      </c>
      <c r="D40" s="1034"/>
      <c r="E40" s="1017">
        <v>37940</v>
      </c>
      <c r="F40" s="1040" t="s">
        <v>10062</v>
      </c>
      <c r="G40" s="1036">
        <v>26</v>
      </c>
      <c r="H40" s="1034"/>
      <c r="I40" s="1017">
        <v>38311</v>
      </c>
      <c r="J40" s="1040" t="s">
        <v>1502</v>
      </c>
      <c r="K40" s="1036">
        <v>16</v>
      </c>
      <c r="L40" s="1034"/>
      <c r="M40" s="1017"/>
      <c r="N40" s="1040"/>
      <c r="O40" s="1036"/>
      <c r="P40" s="1034"/>
      <c r="Q40" s="1017">
        <v>39044</v>
      </c>
      <c r="R40" s="1040" t="s">
        <v>10063</v>
      </c>
      <c r="S40" s="1036">
        <v>32</v>
      </c>
      <c r="T40" s="1034"/>
      <c r="U40" s="1017">
        <v>39409</v>
      </c>
      <c r="V40" s="1040" t="s">
        <v>937</v>
      </c>
      <c r="W40" s="1036">
        <v>37</v>
      </c>
      <c r="X40" s="1034"/>
      <c r="Y40" s="1017">
        <v>39770</v>
      </c>
      <c r="Z40" s="1040" t="s">
        <v>772</v>
      </c>
      <c r="AA40" s="1036">
        <v>55</v>
      </c>
      <c r="AB40" s="1034"/>
      <c r="AC40" s="1017">
        <v>40144</v>
      </c>
      <c r="AD40" s="1040" t="s">
        <v>10064</v>
      </c>
      <c r="AE40" s="1036">
        <v>9</v>
      </c>
      <c r="AF40" s="1034"/>
      <c r="AG40" s="1017">
        <v>40502</v>
      </c>
      <c r="AH40" s="1040" t="s">
        <v>10065</v>
      </c>
      <c r="AI40" s="1036">
        <v>28</v>
      </c>
      <c r="AJ40" s="1034"/>
      <c r="AK40" s="1017">
        <v>40877</v>
      </c>
      <c r="AL40" s="1040" t="s">
        <v>10066</v>
      </c>
      <c r="AM40" s="1036">
        <v>1162</v>
      </c>
      <c r="AN40" s="1034"/>
      <c r="AO40" s="1017">
        <v>41233</v>
      </c>
      <c r="AP40" s="1040" t="s">
        <v>10067</v>
      </c>
      <c r="AQ40" s="1036">
        <v>200</v>
      </c>
      <c r="AR40" s="1034"/>
      <c r="AS40" s="1017">
        <v>41603</v>
      </c>
      <c r="AT40" s="1040" t="s">
        <v>10068</v>
      </c>
      <c r="AU40" s="1036">
        <v>25</v>
      </c>
      <c r="AV40" s="1034"/>
      <c r="AW40" s="1017">
        <v>41962</v>
      </c>
      <c r="AX40" s="1040" t="s">
        <v>10069</v>
      </c>
      <c r="AY40" s="1036">
        <v>20</v>
      </c>
      <c r="AZ40" s="1034"/>
      <c r="BA40" s="1017">
        <v>42329</v>
      </c>
      <c r="BB40" s="1040" t="s">
        <v>10070</v>
      </c>
      <c r="BC40" s="1384">
        <v>2200</v>
      </c>
      <c r="BD40" s="1378">
        <f t="shared" si="2"/>
        <v>34.920634920634917</v>
      </c>
      <c r="BE40" s="1017">
        <v>42698</v>
      </c>
      <c r="BF40" s="1040" t="s">
        <v>10071</v>
      </c>
      <c r="BG40" s="1065">
        <v>18</v>
      </c>
      <c r="BH40" s="1034"/>
      <c r="BI40" s="1017">
        <v>43059</v>
      </c>
      <c r="BJ40" s="1040" t="s">
        <v>872</v>
      </c>
      <c r="BK40" s="1065">
        <v>10</v>
      </c>
      <c r="BL40" s="1034"/>
      <c r="BM40" s="1017">
        <v>43425</v>
      </c>
      <c r="BN40" s="1040" t="s">
        <v>10072</v>
      </c>
      <c r="BO40" s="1065">
        <v>4</v>
      </c>
      <c r="BP40" s="1034"/>
      <c r="BQ40" s="1017">
        <v>43782</v>
      </c>
      <c r="BR40" s="1019" t="s">
        <v>10073</v>
      </c>
      <c r="BS40" s="1020">
        <v>6</v>
      </c>
      <c r="BT40" s="1018" t="s">
        <v>414</v>
      </c>
      <c r="BU40" s="1017">
        <v>44146</v>
      </c>
      <c r="BV40" s="1019" t="s">
        <v>10074</v>
      </c>
      <c r="BW40" s="1020">
        <v>51</v>
      </c>
      <c r="BX40" s="1018" t="s">
        <v>414</v>
      </c>
      <c r="BY40" s="1017">
        <v>44514</v>
      </c>
      <c r="BZ40" s="1019" t="s">
        <v>845</v>
      </c>
      <c r="CA40" s="1020">
        <v>29</v>
      </c>
      <c r="CB40" s="1018" t="s">
        <v>414</v>
      </c>
      <c r="CC40" s="1017">
        <v>44888</v>
      </c>
      <c r="CD40" s="1019" t="s">
        <v>2905</v>
      </c>
      <c r="CE40" s="1058">
        <v>61</v>
      </c>
      <c r="CF40" s="1334" t="s">
        <v>414</v>
      </c>
      <c r="CG40" s="1326">
        <v>45248</v>
      </c>
      <c r="CH40" s="1019" t="s">
        <v>9947</v>
      </c>
      <c r="CI40" s="1058">
        <v>51</v>
      </c>
      <c r="CJ40" s="1323" t="s">
        <v>692</v>
      </c>
      <c r="CK40" s="1326">
        <v>45612</v>
      </c>
      <c r="CL40" s="1019" t="s">
        <v>10075</v>
      </c>
      <c r="CM40" s="1058">
        <v>17</v>
      </c>
      <c r="CN40" s="1323" t="s">
        <v>280</v>
      </c>
    </row>
    <row r="41" spans="1:92">
      <c r="A41" s="1077">
        <v>37576</v>
      </c>
      <c r="B41" s="1040" t="s">
        <v>10076</v>
      </c>
      <c r="C41" s="1036">
        <v>9</v>
      </c>
      <c r="D41" s="1034"/>
      <c r="E41" s="1017">
        <v>37940</v>
      </c>
      <c r="F41" s="1040" t="s">
        <v>1299</v>
      </c>
      <c r="G41" s="1036">
        <v>56</v>
      </c>
      <c r="H41" s="1034"/>
      <c r="I41" s="1017">
        <v>38312</v>
      </c>
      <c r="J41" s="1040" t="s">
        <v>10077</v>
      </c>
      <c r="K41" s="1036">
        <v>20</v>
      </c>
      <c r="L41" s="1034"/>
      <c r="M41" s="1017"/>
      <c r="N41" s="1040"/>
      <c r="O41" s="1036"/>
      <c r="P41" s="1034"/>
      <c r="Q41" s="1017">
        <v>39044</v>
      </c>
      <c r="R41" s="1040" t="s">
        <v>802</v>
      </c>
      <c r="S41" s="1036">
        <v>24</v>
      </c>
      <c r="T41" s="1034"/>
      <c r="U41" s="1017">
        <v>39409</v>
      </c>
      <c r="V41" s="1040" t="s">
        <v>10078</v>
      </c>
      <c r="W41" s="1036">
        <v>1</v>
      </c>
      <c r="X41" s="1034"/>
      <c r="Y41" s="1017">
        <v>39772</v>
      </c>
      <c r="Z41" s="1040" t="s">
        <v>10079</v>
      </c>
      <c r="AA41" s="1036">
        <v>12</v>
      </c>
      <c r="AB41" s="1034"/>
      <c r="AC41" s="1017">
        <v>40144</v>
      </c>
      <c r="AD41" s="1040" t="s">
        <v>10080</v>
      </c>
      <c r="AE41" s="1036">
        <v>20</v>
      </c>
      <c r="AF41" s="1034"/>
      <c r="AG41" s="1017">
        <v>40503</v>
      </c>
      <c r="AH41" s="1040" t="s">
        <v>797</v>
      </c>
      <c r="AI41" s="1036">
        <v>52</v>
      </c>
      <c r="AJ41" s="1034"/>
      <c r="AK41" s="1017"/>
      <c r="AL41" s="1040"/>
      <c r="AM41" s="1036"/>
      <c r="AN41" s="1034"/>
      <c r="AO41" s="1017">
        <v>41236</v>
      </c>
      <c r="AP41" s="1040" t="s">
        <v>10081</v>
      </c>
      <c r="AQ41" s="1036">
        <v>36</v>
      </c>
      <c r="AR41" s="1034"/>
      <c r="AS41" s="1017">
        <v>41604</v>
      </c>
      <c r="AT41" s="1040" t="s">
        <v>10082</v>
      </c>
      <c r="AU41" s="1036">
        <v>15</v>
      </c>
      <c r="AV41" s="1034"/>
      <c r="AW41" s="1017">
        <v>41962</v>
      </c>
      <c r="AX41" s="1040" t="s">
        <v>10083</v>
      </c>
      <c r="AY41" s="1036">
        <v>6</v>
      </c>
      <c r="AZ41" s="1034"/>
      <c r="BA41" s="1017">
        <v>42329</v>
      </c>
      <c r="BB41" s="1040" t="s">
        <v>10084</v>
      </c>
      <c r="BC41" s="1384">
        <v>4000</v>
      </c>
      <c r="BD41" s="1378">
        <f t="shared" si="2"/>
        <v>63.492063492063494</v>
      </c>
      <c r="BE41" s="1017">
        <v>42699</v>
      </c>
      <c r="BF41" s="1040" t="s">
        <v>2162</v>
      </c>
      <c r="BG41" s="1065">
        <v>45</v>
      </c>
      <c r="BH41" s="1387"/>
      <c r="BI41" s="1017">
        <v>43059</v>
      </c>
      <c r="BJ41" s="1040" t="s">
        <v>823</v>
      </c>
      <c r="BK41" s="1065">
        <v>5</v>
      </c>
      <c r="BL41" s="1034"/>
      <c r="BM41" s="1017">
        <v>43425</v>
      </c>
      <c r="BN41" s="1040" t="s">
        <v>10085</v>
      </c>
      <c r="BO41" s="1065">
        <v>16</v>
      </c>
      <c r="BP41" s="1034"/>
      <c r="BQ41" s="1017">
        <v>43782</v>
      </c>
      <c r="BR41" s="1019" t="s">
        <v>10086</v>
      </c>
      <c r="BS41" s="1020">
        <v>4</v>
      </c>
      <c r="BT41" s="1018" t="s">
        <v>414</v>
      </c>
      <c r="BU41" s="1017">
        <v>44146</v>
      </c>
      <c r="BV41" s="1019" t="s">
        <v>10087</v>
      </c>
      <c r="BW41" s="1020">
        <v>180</v>
      </c>
      <c r="BX41" s="1018" t="s">
        <v>700</v>
      </c>
      <c r="BY41" s="1017">
        <v>44514</v>
      </c>
      <c r="BZ41" s="1019" t="s">
        <v>772</v>
      </c>
      <c r="CA41" s="1020">
        <v>40</v>
      </c>
      <c r="CB41" s="1018" t="s">
        <v>414</v>
      </c>
      <c r="CC41" s="1017">
        <v>44888</v>
      </c>
      <c r="CD41" s="1019" t="s">
        <v>2079</v>
      </c>
      <c r="CE41" s="1058">
        <v>12</v>
      </c>
      <c r="CF41" s="1334" t="s">
        <v>414</v>
      </c>
      <c r="CG41" s="1326">
        <v>45248</v>
      </c>
      <c r="CH41" s="1019" t="s">
        <v>9947</v>
      </c>
      <c r="CI41" s="1058">
        <v>35</v>
      </c>
      <c r="CJ41" s="1323" t="s">
        <v>692</v>
      </c>
      <c r="CK41" s="1326">
        <v>45612</v>
      </c>
      <c r="CL41" s="1019" t="s">
        <v>1750</v>
      </c>
      <c r="CM41" s="1058">
        <v>21</v>
      </c>
      <c r="CN41" s="1323" t="s">
        <v>414</v>
      </c>
    </row>
    <row r="42" spans="1:92">
      <c r="A42" s="1077">
        <v>37576</v>
      </c>
      <c r="B42" s="1040" t="s">
        <v>10088</v>
      </c>
      <c r="C42" s="1036">
        <v>18</v>
      </c>
      <c r="D42" s="1034"/>
      <c r="E42" s="1017">
        <v>37941</v>
      </c>
      <c r="F42" s="1040" t="s">
        <v>10089</v>
      </c>
      <c r="G42" s="1036">
        <v>10</v>
      </c>
      <c r="H42" s="1034"/>
      <c r="I42" s="1017">
        <v>38314</v>
      </c>
      <c r="J42" s="1040" t="s">
        <v>10090</v>
      </c>
      <c r="K42" s="1036">
        <v>0</v>
      </c>
      <c r="L42" s="1034"/>
      <c r="M42" s="1017"/>
      <c r="N42" s="1040"/>
      <c r="O42" s="1036"/>
      <c r="P42" s="1034"/>
      <c r="Q42" s="1017">
        <v>39045</v>
      </c>
      <c r="R42" s="1040" t="s">
        <v>10091</v>
      </c>
      <c r="S42" s="1036">
        <v>20</v>
      </c>
      <c r="T42" s="1034"/>
      <c r="U42" s="1017">
        <v>39410</v>
      </c>
      <c r="V42" s="1040" t="s">
        <v>797</v>
      </c>
      <c r="W42" s="1036">
        <v>46</v>
      </c>
      <c r="X42" s="1034"/>
      <c r="Y42" s="1017">
        <v>39773</v>
      </c>
      <c r="Z42" s="1040" t="s">
        <v>10092</v>
      </c>
      <c r="AA42" s="1036">
        <v>0</v>
      </c>
      <c r="AB42" s="1034"/>
      <c r="AC42" s="1017">
        <v>40144</v>
      </c>
      <c r="AD42" s="1040" t="s">
        <v>10093</v>
      </c>
      <c r="AE42" s="1036">
        <v>20</v>
      </c>
      <c r="AF42" s="1034"/>
      <c r="AG42" s="1017">
        <v>40503</v>
      </c>
      <c r="AH42" s="1040" t="s">
        <v>802</v>
      </c>
      <c r="AI42" s="1036">
        <v>27</v>
      </c>
      <c r="AJ42" s="1034"/>
      <c r="AK42" s="1017"/>
      <c r="AL42" s="1040"/>
      <c r="AM42" s="1036"/>
      <c r="AN42" s="1034"/>
      <c r="AO42" s="1017">
        <v>41236</v>
      </c>
      <c r="AP42" s="1040" t="s">
        <v>10094</v>
      </c>
      <c r="AQ42" s="1036">
        <v>15</v>
      </c>
      <c r="AR42" s="1034"/>
      <c r="AS42" s="1017">
        <v>41604</v>
      </c>
      <c r="AT42" s="1040" t="s">
        <v>10095</v>
      </c>
      <c r="AU42" s="1036">
        <v>42</v>
      </c>
      <c r="AV42" s="1034"/>
      <c r="AW42" s="1017">
        <v>41962</v>
      </c>
      <c r="AX42" s="1040" t="s">
        <v>925</v>
      </c>
      <c r="AY42" s="1036">
        <v>6</v>
      </c>
      <c r="AZ42" s="1034"/>
      <c r="BA42" s="1017">
        <v>42329</v>
      </c>
      <c r="BB42" s="1040" t="s">
        <v>10096</v>
      </c>
      <c r="BC42" s="1384">
        <v>600</v>
      </c>
      <c r="BD42" s="1378">
        <f t="shared" si="2"/>
        <v>9.5238095238095237</v>
      </c>
      <c r="BE42" s="1017">
        <v>42699</v>
      </c>
      <c r="BF42" s="1040" t="s">
        <v>10097</v>
      </c>
      <c r="BG42" s="1065">
        <v>10</v>
      </c>
      <c r="BH42" s="1034"/>
      <c r="BI42" s="1017">
        <v>43059</v>
      </c>
      <c r="BJ42" s="1040" t="s">
        <v>859</v>
      </c>
      <c r="BK42" s="1065">
        <v>7</v>
      </c>
      <c r="BL42" s="1387"/>
      <c r="BM42" s="1017">
        <v>43425</v>
      </c>
      <c r="BN42" s="1040" t="s">
        <v>10098</v>
      </c>
      <c r="BO42" s="1065">
        <v>11</v>
      </c>
      <c r="BP42" s="1034"/>
      <c r="BQ42" s="1017">
        <v>43782</v>
      </c>
      <c r="BR42" s="1019" t="s">
        <v>10099</v>
      </c>
      <c r="BS42" s="1020">
        <v>4</v>
      </c>
      <c r="BT42" s="1018" t="s">
        <v>414</v>
      </c>
      <c r="BU42" s="1017">
        <v>44146</v>
      </c>
      <c r="BV42" s="1019" t="s">
        <v>4441</v>
      </c>
      <c r="BW42" s="1045">
        <v>23</v>
      </c>
      <c r="BX42" s="1018" t="s">
        <v>414</v>
      </c>
      <c r="BY42" s="1017">
        <v>44514</v>
      </c>
      <c r="BZ42" s="1019" t="s">
        <v>797</v>
      </c>
      <c r="CA42" s="1045">
        <v>82</v>
      </c>
      <c r="CB42" s="1018" t="s">
        <v>410</v>
      </c>
      <c r="CC42" s="1017">
        <v>44888</v>
      </c>
      <c r="CD42" s="1019" t="s">
        <v>2162</v>
      </c>
      <c r="CE42" s="1058">
        <v>19</v>
      </c>
      <c r="CF42" s="1334" t="s">
        <v>414</v>
      </c>
      <c r="CG42" s="1326">
        <v>45249</v>
      </c>
      <c r="CH42" s="1019" t="s">
        <v>1151</v>
      </c>
      <c r="CI42" s="1058">
        <v>27</v>
      </c>
      <c r="CJ42" s="1323" t="s">
        <v>278</v>
      </c>
      <c r="CK42" s="1326">
        <v>45612</v>
      </c>
      <c r="CL42" s="1019" t="s">
        <v>10100</v>
      </c>
      <c r="CM42" s="1058">
        <v>25</v>
      </c>
      <c r="CN42" s="1323" t="s">
        <v>700</v>
      </c>
    </row>
    <row r="43" spans="1:92">
      <c r="A43" s="1077">
        <v>37576</v>
      </c>
      <c r="B43" s="1040" t="s">
        <v>7795</v>
      </c>
      <c r="C43" s="1036">
        <v>13</v>
      </c>
      <c r="D43" s="1034"/>
      <c r="E43" s="1017">
        <v>37941</v>
      </c>
      <c r="F43" s="1040" t="s">
        <v>10101</v>
      </c>
      <c r="G43" s="1036">
        <v>3</v>
      </c>
      <c r="H43" s="1034"/>
      <c r="I43" s="1017">
        <v>38315</v>
      </c>
      <c r="J43" s="1040" t="s">
        <v>802</v>
      </c>
      <c r="K43" s="1036">
        <v>27</v>
      </c>
      <c r="L43" s="1034"/>
      <c r="M43" s="1017"/>
      <c r="N43" s="1040"/>
      <c r="O43" s="1036"/>
      <c r="P43" s="1034"/>
      <c r="Q43" s="1017">
        <v>39045</v>
      </c>
      <c r="R43" s="1040" t="s">
        <v>9924</v>
      </c>
      <c r="S43" s="1036">
        <v>153</v>
      </c>
      <c r="T43" s="1034"/>
      <c r="U43" s="1017">
        <v>39412</v>
      </c>
      <c r="V43" s="1040" t="s">
        <v>1052</v>
      </c>
      <c r="W43" s="1036">
        <v>16</v>
      </c>
      <c r="X43" s="1034"/>
      <c r="Y43" s="1017">
        <v>39773</v>
      </c>
      <c r="Z43" s="1040" t="s">
        <v>10102</v>
      </c>
      <c r="AA43" s="1036">
        <v>20</v>
      </c>
      <c r="AB43" s="1034"/>
      <c r="AC43" s="1017">
        <v>40144</v>
      </c>
      <c r="AD43" s="1040" t="s">
        <v>10103</v>
      </c>
      <c r="AE43" s="1036">
        <v>2</v>
      </c>
      <c r="AF43" s="1034"/>
      <c r="AG43" s="1017">
        <v>40503</v>
      </c>
      <c r="AH43" s="1040" t="s">
        <v>1130</v>
      </c>
      <c r="AI43" s="1036">
        <v>15</v>
      </c>
      <c r="AJ43" s="1034"/>
      <c r="AK43" s="1017"/>
      <c r="AL43" s="1040"/>
      <c r="AM43" s="1036"/>
      <c r="AN43" s="1034"/>
      <c r="AO43" s="1017">
        <v>41236</v>
      </c>
      <c r="AP43" s="1040" t="s">
        <v>10104</v>
      </c>
      <c r="AQ43" s="1036">
        <v>63</v>
      </c>
      <c r="AR43" s="1034"/>
      <c r="AS43" s="1017">
        <v>41604</v>
      </c>
      <c r="AT43" s="1040" t="s">
        <v>10105</v>
      </c>
      <c r="AU43" s="1036">
        <v>13</v>
      </c>
      <c r="AV43" s="1034"/>
      <c r="AW43" s="1017"/>
      <c r="AX43" s="1040" t="s">
        <v>10106</v>
      </c>
      <c r="AY43" s="1036">
        <f>SUM(AY44:AY59)</f>
        <v>1087</v>
      </c>
      <c r="AZ43" s="1034"/>
      <c r="BA43" s="1017">
        <v>42330</v>
      </c>
      <c r="BB43" s="1040" t="s">
        <v>10107</v>
      </c>
      <c r="BC43" s="1384">
        <v>3600</v>
      </c>
      <c r="BD43" s="1378">
        <f t="shared" si="2"/>
        <v>57.142857142857146</v>
      </c>
      <c r="BE43" s="1017">
        <v>42699</v>
      </c>
      <c r="BF43" s="1040" t="s">
        <v>1303</v>
      </c>
      <c r="BG43" s="1065">
        <v>52</v>
      </c>
      <c r="BH43" s="1034"/>
      <c r="BI43" s="1017">
        <v>43060</v>
      </c>
      <c r="BJ43" s="1040" t="s">
        <v>890</v>
      </c>
      <c r="BK43" s="1065">
        <v>22</v>
      </c>
      <c r="BL43" s="1387"/>
      <c r="BM43" s="1017">
        <v>43426</v>
      </c>
      <c r="BN43" s="1040" t="s">
        <v>10108</v>
      </c>
      <c r="BO43" s="1065">
        <v>64</v>
      </c>
      <c r="BP43" s="1034"/>
      <c r="BQ43" s="1017">
        <v>43782</v>
      </c>
      <c r="BR43" s="1019" t="s">
        <v>4441</v>
      </c>
      <c r="BS43" s="1020">
        <v>7</v>
      </c>
      <c r="BT43" s="1018" t="s">
        <v>414</v>
      </c>
      <c r="BU43" s="1017">
        <v>44147</v>
      </c>
      <c r="BV43" s="1019" t="s">
        <v>2888</v>
      </c>
      <c r="BW43" s="1045">
        <v>77</v>
      </c>
      <c r="BX43" s="1018" t="s">
        <v>414</v>
      </c>
      <c r="BY43" s="1017">
        <v>44514</v>
      </c>
      <c r="BZ43" s="1019" t="s">
        <v>10109</v>
      </c>
      <c r="CA43" s="1045" t="s">
        <v>37</v>
      </c>
      <c r="CB43" s="1018" t="s">
        <v>280</v>
      </c>
      <c r="CC43" s="1017">
        <v>44888</v>
      </c>
      <c r="CD43" s="1019" t="s">
        <v>10110</v>
      </c>
      <c r="CE43" s="1058">
        <v>1100</v>
      </c>
      <c r="CF43" s="1334" t="s">
        <v>701</v>
      </c>
      <c r="CG43" s="1326">
        <v>45249</v>
      </c>
      <c r="CH43" s="1019" t="s">
        <v>10111</v>
      </c>
      <c r="CI43" s="1058">
        <v>58</v>
      </c>
      <c r="CJ43" s="1323" t="s">
        <v>690</v>
      </c>
      <c r="CK43" s="1326">
        <v>45612</v>
      </c>
      <c r="CL43" s="1019" t="s">
        <v>10112</v>
      </c>
      <c r="CM43" s="1058">
        <v>25</v>
      </c>
      <c r="CN43" s="1323" t="s">
        <v>700</v>
      </c>
    </row>
    <row r="44" spans="1:92">
      <c r="A44" s="1077">
        <v>37576</v>
      </c>
      <c r="B44" s="1040" t="s">
        <v>10113</v>
      </c>
      <c r="C44" s="1036">
        <v>117</v>
      </c>
      <c r="D44" s="1034"/>
      <c r="E44" s="1017">
        <v>37941</v>
      </c>
      <c r="F44" s="1040" t="s">
        <v>937</v>
      </c>
      <c r="G44" s="1036">
        <v>15</v>
      </c>
      <c r="H44" s="1034"/>
      <c r="I44" s="1017">
        <v>38315</v>
      </c>
      <c r="J44" s="1040" t="s">
        <v>10114</v>
      </c>
      <c r="K44" s="1036">
        <v>5</v>
      </c>
      <c r="L44" s="1034"/>
      <c r="M44" s="1017"/>
      <c r="N44" s="1040"/>
      <c r="O44" s="1036"/>
      <c r="P44" s="1034"/>
      <c r="Q44" s="1017">
        <v>39045</v>
      </c>
      <c r="R44" s="1040" t="s">
        <v>7017</v>
      </c>
      <c r="S44" s="1036">
        <v>11</v>
      </c>
      <c r="T44" s="1034"/>
      <c r="U44" s="1017">
        <v>39412</v>
      </c>
      <c r="V44" s="1040" t="s">
        <v>937</v>
      </c>
      <c r="W44" s="1036">
        <v>4</v>
      </c>
      <c r="X44" s="1034"/>
      <c r="Y44" s="1017">
        <v>39773</v>
      </c>
      <c r="Z44" s="1040" t="s">
        <v>781</v>
      </c>
      <c r="AA44" s="1036">
        <v>20</v>
      </c>
      <c r="AB44" s="1034"/>
      <c r="AC44" s="1017">
        <v>40144</v>
      </c>
      <c r="AD44" s="1040" t="s">
        <v>3384</v>
      </c>
      <c r="AE44" s="1036">
        <v>25</v>
      </c>
      <c r="AF44" s="1034"/>
      <c r="AG44" s="1017">
        <v>40503</v>
      </c>
      <c r="AH44" s="1040" t="s">
        <v>937</v>
      </c>
      <c r="AI44" s="1036">
        <v>27</v>
      </c>
      <c r="AJ44" s="1034"/>
      <c r="AK44" s="1017"/>
      <c r="AL44" s="1040"/>
      <c r="AM44" s="1036"/>
      <c r="AN44" s="1034"/>
      <c r="AO44" s="1017">
        <v>41236</v>
      </c>
      <c r="AP44" s="1040" t="s">
        <v>10115</v>
      </c>
      <c r="AQ44" s="1036">
        <v>10</v>
      </c>
      <c r="AR44" s="1034"/>
      <c r="AS44" s="1017">
        <v>41604</v>
      </c>
      <c r="AT44" s="1040" t="s">
        <v>1052</v>
      </c>
      <c r="AU44" s="1036">
        <v>19</v>
      </c>
      <c r="AV44" s="1034"/>
      <c r="AW44" s="1017">
        <v>41964</v>
      </c>
      <c r="AX44" s="1040" t="s">
        <v>10116</v>
      </c>
      <c r="AY44" s="1036">
        <v>560</v>
      </c>
      <c r="AZ44" s="1034"/>
      <c r="BA44" s="1017">
        <v>42330</v>
      </c>
      <c r="BB44" s="1040" t="s">
        <v>10117</v>
      </c>
      <c r="BC44" s="1384">
        <v>1000</v>
      </c>
      <c r="BD44" s="1378">
        <f t="shared" si="2"/>
        <v>15.873015873015873</v>
      </c>
      <c r="BE44" s="1017">
        <v>42699</v>
      </c>
      <c r="BF44" s="1040" t="s">
        <v>10118</v>
      </c>
      <c r="BG44" s="1065">
        <v>10</v>
      </c>
      <c r="BH44" s="1034"/>
      <c r="BI44" s="1017">
        <v>43060</v>
      </c>
      <c r="BJ44" s="1040" t="s">
        <v>10119</v>
      </c>
      <c r="BK44" s="1065"/>
      <c r="BL44" s="1034"/>
      <c r="BM44" s="1017">
        <v>43426</v>
      </c>
      <c r="BN44" s="1040" t="s">
        <v>10120</v>
      </c>
      <c r="BO44" s="1065">
        <v>11</v>
      </c>
      <c r="BP44" s="1034"/>
      <c r="BQ44" s="1017">
        <v>43782</v>
      </c>
      <c r="BR44" s="1019" t="s">
        <v>1357</v>
      </c>
      <c r="BS44" s="1020">
        <v>25</v>
      </c>
      <c r="BT44" s="1018" t="s">
        <v>414</v>
      </c>
      <c r="BU44" s="1017">
        <v>44147</v>
      </c>
      <c r="BV44" s="1019" t="s">
        <v>10121</v>
      </c>
      <c r="BW44" s="1045">
        <v>22</v>
      </c>
      <c r="BX44" s="1018" t="s">
        <v>701</v>
      </c>
      <c r="BY44" s="1017">
        <v>44515</v>
      </c>
      <c r="BZ44" s="1019" t="s">
        <v>10122</v>
      </c>
      <c r="CA44" s="1045">
        <v>10</v>
      </c>
      <c r="CB44" s="1018" t="s">
        <v>436</v>
      </c>
      <c r="CC44" s="1017">
        <v>44888</v>
      </c>
      <c r="CD44" s="1019" t="s">
        <v>10123</v>
      </c>
      <c r="CE44" s="1058">
        <v>25</v>
      </c>
      <c r="CF44" s="1334" t="s">
        <v>280</v>
      </c>
      <c r="CG44" s="1326">
        <v>45249</v>
      </c>
      <c r="CH44" s="1019" t="s">
        <v>10124</v>
      </c>
      <c r="CI44" s="1058">
        <v>9</v>
      </c>
      <c r="CJ44" s="1323" t="s">
        <v>278</v>
      </c>
      <c r="CK44" s="1326">
        <v>45612</v>
      </c>
      <c r="CL44" s="1019" t="s">
        <v>10125</v>
      </c>
      <c r="CM44" s="1058">
        <v>5</v>
      </c>
      <c r="CN44" s="1323" t="s">
        <v>414</v>
      </c>
    </row>
    <row r="45" spans="1:92">
      <c r="A45" s="1077">
        <v>37577</v>
      </c>
      <c r="B45" s="1040" t="s">
        <v>915</v>
      </c>
      <c r="C45" s="1036">
        <v>20</v>
      </c>
      <c r="D45" s="1034"/>
      <c r="E45" s="1017">
        <v>37941</v>
      </c>
      <c r="F45" s="1040" t="s">
        <v>10126</v>
      </c>
      <c r="G45" s="1036">
        <v>20</v>
      </c>
      <c r="H45" s="1034"/>
      <c r="I45" s="1017">
        <v>38317</v>
      </c>
      <c r="J45" s="1040" t="s">
        <v>1157</v>
      </c>
      <c r="K45" s="1036">
        <v>38</v>
      </c>
      <c r="L45" s="1034"/>
      <c r="M45" s="1017"/>
      <c r="N45" s="1040"/>
      <c r="O45" s="1036"/>
      <c r="P45" s="1034"/>
      <c r="Q45" s="1017">
        <v>39045</v>
      </c>
      <c r="R45" s="1040" t="s">
        <v>10127</v>
      </c>
      <c r="S45" s="1036">
        <v>18</v>
      </c>
      <c r="T45" s="1034"/>
      <c r="U45" s="1017">
        <v>39412</v>
      </c>
      <c r="V45" s="1040" t="s">
        <v>2367</v>
      </c>
      <c r="W45" s="1036">
        <v>10</v>
      </c>
      <c r="X45" s="1034"/>
      <c r="Y45" s="1017">
        <v>39773</v>
      </c>
      <c r="Z45" s="1040" t="s">
        <v>797</v>
      </c>
      <c r="AA45" s="1036">
        <v>26</v>
      </c>
      <c r="AB45" s="1034"/>
      <c r="AC45" s="1017">
        <v>40145</v>
      </c>
      <c r="AD45" s="1040" t="s">
        <v>3049</v>
      </c>
      <c r="AE45" s="1036">
        <v>85</v>
      </c>
      <c r="AF45" s="1034"/>
      <c r="AG45" s="1017">
        <v>40503</v>
      </c>
      <c r="AH45" s="1040" t="s">
        <v>2839</v>
      </c>
      <c r="AI45" s="1036">
        <v>8</v>
      </c>
      <c r="AJ45" s="1034"/>
      <c r="AK45" s="1017"/>
      <c r="AL45" s="1040"/>
      <c r="AM45" s="1036"/>
      <c r="AN45" s="1034"/>
      <c r="AO45" s="1017">
        <v>41236</v>
      </c>
      <c r="AP45" s="1040" t="s">
        <v>10128</v>
      </c>
      <c r="AQ45" s="1036">
        <v>40</v>
      </c>
      <c r="AR45" s="1034"/>
      <c r="AS45" s="1017">
        <v>41606</v>
      </c>
      <c r="AT45" s="1040" t="s">
        <v>797</v>
      </c>
      <c r="AU45" s="1036">
        <v>62</v>
      </c>
      <c r="AV45" s="1034"/>
      <c r="AW45" s="1017">
        <v>41964</v>
      </c>
      <c r="AX45" s="1040" t="s">
        <v>10129</v>
      </c>
      <c r="AY45" s="1036">
        <v>14</v>
      </c>
      <c r="AZ45" s="1034"/>
      <c r="BA45" s="1017">
        <v>42330</v>
      </c>
      <c r="BB45" s="1040" t="s">
        <v>10035</v>
      </c>
      <c r="BC45" s="1384">
        <v>100</v>
      </c>
      <c r="BD45" s="1378">
        <f t="shared" si="2"/>
        <v>1.5873015873015872</v>
      </c>
      <c r="BE45" s="1017">
        <v>42699</v>
      </c>
      <c r="BF45" s="1040" t="s">
        <v>10130</v>
      </c>
      <c r="BG45" s="1065">
        <v>26</v>
      </c>
      <c r="BH45" s="1034"/>
      <c r="BI45" s="1017">
        <v>43060</v>
      </c>
      <c r="BJ45" s="1040" t="s">
        <v>10131</v>
      </c>
      <c r="BK45" s="1065">
        <v>301</v>
      </c>
      <c r="BL45" s="1034"/>
      <c r="BM45" s="1017">
        <v>43426</v>
      </c>
      <c r="BN45" s="1040" t="s">
        <v>10132</v>
      </c>
      <c r="BO45" s="1065">
        <v>10</v>
      </c>
      <c r="BP45" s="1387"/>
      <c r="BQ45" s="1017">
        <v>43782</v>
      </c>
      <c r="BR45" s="1019" t="s">
        <v>2144</v>
      </c>
      <c r="BS45" s="1045">
        <v>5</v>
      </c>
      <c r="BT45" s="1018" t="s">
        <v>414</v>
      </c>
      <c r="BU45" s="1017">
        <v>44147</v>
      </c>
      <c r="BV45" s="1019" t="s">
        <v>845</v>
      </c>
      <c r="BW45" s="1045">
        <v>49</v>
      </c>
      <c r="BX45" s="1018" t="s">
        <v>414</v>
      </c>
      <c r="BY45" s="1017">
        <v>44515</v>
      </c>
      <c r="BZ45" s="1019" t="s">
        <v>2888</v>
      </c>
      <c r="CA45" s="1045">
        <v>40</v>
      </c>
      <c r="CB45" s="1018" t="s">
        <v>414</v>
      </c>
      <c r="CC45" s="1017">
        <v>44888</v>
      </c>
      <c r="CD45" s="1019" t="s">
        <v>797</v>
      </c>
      <c r="CE45" s="1058">
        <v>89</v>
      </c>
      <c r="CF45" s="1334" t="s">
        <v>410</v>
      </c>
      <c r="CG45" s="1326">
        <v>45249</v>
      </c>
      <c r="CH45" s="1019" t="s">
        <v>10133</v>
      </c>
      <c r="CI45" s="1058">
        <v>1399</v>
      </c>
      <c r="CJ45" s="1323" t="s">
        <v>381</v>
      </c>
      <c r="CK45" s="1326">
        <v>45612</v>
      </c>
      <c r="CL45" s="1019" t="s">
        <v>10134</v>
      </c>
      <c r="CM45" s="1058">
        <v>27</v>
      </c>
      <c r="CN45" s="1323" t="s">
        <v>414</v>
      </c>
    </row>
    <row r="46" spans="1:92">
      <c r="A46" s="1077">
        <v>37577</v>
      </c>
      <c r="B46" s="1040" t="s">
        <v>1189</v>
      </c>
      <c r="C46" s="1036">
        <v>33</v>
      </c>
      <c r="D46" s="1034"/>
      <c r="E46" s="1017">
        <v>37941</v>
      </c>
      <c r="F46" s="1040" t="s">
        <v>772</v>
      </c>
      <c r="G46" s="1036">
        <v>33</v>
      </c>
      <c r="H46" s="1034"/>
      <c r="I46" s="1017">
        <v>38317</v>
      </c>
      <c r="J46" s="1040" t="s">
        <v>1810</v>
      </c>
      <c r="K46" s="1036">
        <v>17</v>
      </c>
      <c r="L46" s="1034"/>
      <c r="M46" s="1017"/>
      <c r="N46" s="1040"/>
      <c r="O46" s="1036"/>
      <c r="P46" s="1034"/>
      <c r="Q46" s="1017">
        <v>39045</v>
      </c>
      <c r="R46" s="1040" t="s">
        <v>10135</v>
      </c>
      <c r="S46" s="1036">
        <v>10</v>
      </c>
      <c r="T46" s="1034"/>
      <c r="U46" s="1017">
        <v>39412</v>
      </c>
      <c r="V46" s="1040" t="s">
        <v>10136</v>
      </c>
      <c r="W46" s="1036">
        <v>10</v>
      </c>
      <c r="X46" s="1034"/>
      <c r="Y46" s="1017">
        <v>39774</v>
      </c>
      <c r="Z46" s="1040" t="s">
        <v>1052</v>
      </c>
      <c r="AA46" s="1036">
        <v>19</v>
      </c>
      <c r="AB46" s="1034"/>
      <c r="AC46" s="1017">
        <v>40146</v>
      </c>
      <c r="AD46" s="1040" t="s">
        <v>797</v>
      </c>
      <c r="AE46" s="1036">
        <v>50</v>
      </c>
      <c r="AF46" s="1034"/>
      <c r="AG46" s="1017">
        <v>40504</v>
      </c>
      <c r="AH46" s="1040" t="s">
        <v>10137</v>
      </c>
      <c r="AI46" s="1036">
        <v>3</v>
      </c>
      <c r="AJ46" s="1034"/>
      <c r="AK46" s="1017"/>
      <c r="AL46" s="1040"/>
      <c r="AM46" s="1036"/>
      <c r="AN46" s="1034"/>
      <c r="AO46" s="1017">
        <v>41236</v>
      </c>
      <c r="AP46" s="1040" t="s">
        <v>4243</v>
      </c>
      <c r="AQ46" s="1036">
        <v>11</v>
      </c>
      <c r="AR46" s="1034"/>
      <c r="AS46" s="1017">
        <v>41607</v>
      </c>
      <c r="AT46" s="1040" t="s">
        <v>10138</v>
      </c>
      <c r="AU46" s="1036">
        <v>0</v>
      </c>
      <c r="AV46" s="1034"/>
      <c r="AW46" s="1017">
        <v>41964</v>
      </c>
      <c r="AX46" s="1040" t="s">
        <v>10139</v>
      </c>
      <c r="AY46" s="1036">
        <v>32</v>
      </c>
      <c r="AZ46" s="1034"/>
      <c r="BA46" s="1017">
        <v>42330</v>
      </c>
      <c r="BB46" s="1040" t="s">
        <v>10140</v>
      </c>
      <c r="BC46" s="1384">
        <v>90</v>
      </c>
      <c r="BD46" s="1378">
        <f t="shared" si="2"/>
        <v>1.4285714285714286</v>
      </c>
      <c r="BE46" s="1017">
        <v>42700</v>
      </c>
      <c r="BF46" s="1040" t="s">
        <v>1180</v>
      </c>
      <c r="BG46" s="1065">
        <v>31</v>
      </c>
      <c r="BH46" s="1034"/>
      <c r="BI46" s="1017">
        <v>43060</v>
      </c>
      <c r="BJ46" s="1040" t="s">
        <v>10141</v>
      </c>
      <c r="BK46" s="1065">
        <v>145</v>
      </c>
      <c r="BL46" s="1034"/>
      <c r="BM46" s="1017">
        <v>43426</v>
      </c>
      <c r="BN46" s="1040" t="s">
        <v>10142</v>
      </c>
      <c r="BO46" s="1065">
        <v>7</v>
      </c>
      <c r="BP46" s="1387"/>
      <c r="BQ46" s="1017">
        <v>43782</v>
      </c>
      <c r="BR46" s="1019" t="s">
        <v>4085</v>
      </c>
      <c r="BS46" s="1045">
        <v>4</v>
      </c>
      <c r="BT46" s="1018" t="s">
        <v>414</v>
      </c>
      <c r="BU46" s="1017">
        <v>44148</v>
      </c>
      <c r="BV46" s="1019" t="s">
        <v>10143</v>
      </c>
      <c r="BW46" s="1045">
        <v>23</v>
      </c>
      <c r="BX46" s="1018" t="s">
        <v>702</v>
      </c>
      <c r="BY46" s="1017">
        <v>44516</v>
      </c>
      <c r="BZ46" s="1019" t="s">
        <v>10144</v>
      </c>
      <c r="CA46" s="1045">
        <v>30</v>
      </c>
      <c r="CB46" s="1018" t="s">
        <v>414</v>
      </c>
      <c r="CC46" s="1017">
        <v>44889</v>
      </c>
      <c r="CD46" s="1019" t="s">
        <v>10145</v>
      </c>
      <c r="CE46" s="1058">
        <v>35</v>
      </c>
      <c r="CF46" s="1334" t="s">
        <v>414</v>
      </c>
      <c r="CG46" s="1326">
        <v>45249</v>
      </c>
      <c r="CH46" s="1019" t="s">
        <v>10146</v>
      </c>
      <c r="CI46" s="1058">
        <v>500</v>
      </c>
      <c r="CJ46" s="1323" t="s">
        <v>381</v>
      </c>
      <c r="CK46" s="1326">
        <v>45612</v>
      </c>
      <c r="CL46" s="1019" t="s">
        <v>10147</v>
      </c>
      <c r="CM46" s="1058">
        <v>15</v>
      </c>
      <c r="CN46" s="1323" t="s">
        <v>414</v>
      </c>
    </row>
    <row r="47" spans="1:92">
      <c r="A47" s="1077">
        <v>37578</v>
      </c>
      <c r="B47" s="1040" t="s">
        <v>10148</v>
      </c>
      <c r="C47" s="1036"/>
      <c r="D47" s="1034">
        <v>260</v>
      </c>
      <c r="E47" s="1017">
        <v>37943</v>
      </c>
      <c r="F47" s="1040" t="s">
        <v>10149</v>
      </c>
      <c r="G47" s="1036">
        <v>15</v>
      </c>
      <c r="H47" s="1034"/>
      <c r="I47" s="1017">
        <v>38317</v>
      </c>
      <c r="J47" s="1040" t="s">
        <v>10150</v>
      </c>
      <c r="K47" s="1036">
        <v>6</v>
      </c>
      <c r="L47" s="1034"/>
      <c r="M47" s="1017"/>
      <c r="N47" s="1040"/>
      <c r="O47" s="1036"/>
      <c r="P47" s="1034"/>
      <c r="Q47" s="1017">
        <v>39045</v>
      </c>
      <c r="R47" s="1040" t="s">
        <v>10151</v>
      </c>
      <c r="S47" s="1036">
        <v>10</v>
      </c>
      <c r="T47" s="1034"/>
      <c r="U47" s="1017">
        <v>39413</v>
      </c>
      <c r="V47" s="1040" t="s">
        <v>10152</v>
      </c>
      <c r="W47" s="1036">
        <v>15</v>
      </c>
      <c r="X47" s="1034"/>
      <c r="Y47" s="1017">
        <v>39775</v>
      </c>
      <c r="Z47" s="1040" t="s">
        <v>802</v>
      </c>
      <c r="AA47" s="1036">
        <v>30</v>
      </c>
      <c r="AB47" s="1034"/>
      <c r="AC47" s="1017">
        <v>40146</v>
      </c>
      <c r="AD47" s="1040" t="s">
        <v>781</v>
      </c>
      <c r="AE47" s="1036">
        <v>68</v>
      </c>
      <c r="AF47" s="1034"/>
      <c r="AG47" s="1017">
        <v>40504</v>
      </c>
      <c r="AH47" s="1040" t="s">
        <v>7679</v>
      </c>
      <c r="AI47" s="1036">
        <v>4</v>
      </c>
      <c r="AJ47" s="1034"/>
      <c r="AK47" s="1017"/>
      <c r="AL47" s="1040"/>
      <c r="AM47" s="1036"/>
      <c r="AN47" s="1034"/>
      <c r="AO47" s="1017">
        <v>41236</v>
      </c>
      <c r="AP47" s="1040" t="s">
        <v>10153</v>
      </c>
      <c r="AQ47" s="1036">
        <v>63</v>
      </c>
      <c r="AR47" s="1034"/>
      <c r="AS47" s="1017">
        <v>41607</v>
      </c>
      <c r="AT47" s="1040" t="s">
        <v>10154</v>
      </c>
      <c r="AU47" s="1036">
        <v>7</v>
      </c>
      <c r="AV47" s="1034"/>
      <c r="AW47" s="1017">
        <v>41964</v>
      </c>
      <c r="AX47" s="1040" t="s">
        <v>10155</v>
      </c>
      <c r="AY47" s="1036">
        <v>15</v>
      </c>
      <c r="AZ47" s="1034"/>
      <c r="BA47" s="1017">
        <v>42330</v>
      </c>
      <c r="BB47" s="1040" t="s">
        <v>10156</v>
      </c>
      <c r="BC47" s="1384">
        <v>3507</v>
      </c>
      <c r="BD47" s="1378">
        <f t="shared" si="2"/>
        <v>55.666666666666664</v>
      </c>
      <c r="BE47" s="1017">
        <v>42700</v>
      </c>
      <c r="BF47" s="1040" t="s">
        <v>10157</v>
      </c>
      <c r="BG47" s="1065">
        <v>41</v>
      </c>
      <c r="BH47" s="1034"/>
      <c r="BI47" s="1017">
        <v>43060</v>
      </c>
      <c r="BJ47" s="1040" t="s">
        <v>1180</v>
      </c>
      <c r="BK47" s="1065">
        <v>51</v>
      </c>
      <c r="BL47" s="1034"/>
      <c r="BM47" s="1017">
        <v>43426</v>
      </c>
      <c r="BN47" s="1040" t="s">
        <v>10158</v>
      </c>
      <c r="BO47" s="1065">
        <v>25</v>
      </c>
      <c r="BP47" s="1034"/>
      <c r="BQ47" s="1017">
        <v>43782</v>
      </c>
      <c r="BR47" s="1019" t="s">
        <v>10159</v>
      </c>
      <c r="BS47" s="1045">
        <v>5</v>
      </c>
      <c r="BT47" s="1018" t="s">
        <v>414</v>
      </c>
      <c r="BU47" s="1017">
        <v>44149</v>
      </c>
      <c r="BV47" s="1019" t="s">
        <v>772</v>
      </c>
      <c r="BW47" s="1045">
        <v>37</v>
      </c>
      <c r="BX47" s="1018" t="s">
        <v>414</v>
      </c>
      <c r="BY47" s="1017">
        <v>44516</v>
      </c>
      <c r="BZ47" s="1019" t="s">
        <v>10160</v>
      </c>
      <c r="CA47" s="1045">
        <v>30</v>
      </c>
      <c r="CB47" s="1018" t="s">
        <v>414</v>
      </c>
      <c r="CC47" s="1017">
        <v>44891</v>
      </c>
      <c r="CD47" s="1019" t="s">
        <v>2888</v>
      </c>
      <c r="CE47" s="1058">
        <v>51</v>
      </c>
      <c r="CF47" s="1334" t="s">
        <v>414</v>
      </c>
      <c r="CG47" s="1326">
        <v>45249</v>
      </c>
      <c r="CH47" s="1019" t="s">
        <v>10161</v>
      </c>
      <c r="CI47" s="1058">
        <v>15</v>
      </c>
      <c r="CJ47" s="1323" t="s">
        <v>700</v>
      </c>
      <c r="CK47" s="1326">
        <v>45612</v>
      </c>
      <c r="CL47" s="1019" t="s">
        <v>10162</v>
      </c>
      <c r="CM47" s="1058">
        <v>140</v>
      </c>
      <c r="CN47" s="1323" t="s">
        <v>414</v>
      </c>
    </row>
    <row r="48" spans="1:92">
      <c r="A48" s="1077">
        <v>37578</v>
      </c>
      <c r="B48" s="1040" t="s">
        <v>915</v>
      </c>
      <c r="C48" s="1036"/>
      <c r="D48" s="1034">
        <v>12</v>
      </c>
      <c r="E48" s="1017">
        <v>37945</v>
      </c>
      <c r="F48" s="1040" t="s">
        <v>772</v>
      </c>
      <c r="G48" s="1036">
        <v>3</v>
      </c>
      <c r="H48" s="1034"/>
      <c r="I48" s="1017">
        <v>38317</v>
      </c>
      <c r="J48" s="1040" t="s">
        <v>10163</v>
      </c>
      <c r="K48" s="1036">
        <v>6</v>
      </c>
      <c r="L48" s="1034"/>
      <c r="M48" s="1017"/>
      <c r="N48" s="1040"/>
      <c r="O48" s="1036"/>
      <c r="P48" s="1034"/>
      <c r="Q48" s="1017">
        <v>39045</v>
      </c>
      <c r="R48" s="1040" t="s">
        <v>10164</v>
      </c>
      <c r="S48" s="1036">
        <v>27</v>
      </c>
      <c r="T48" s="1034"/>
      <c r="U48" s="1017">
        <v>39416</v>
      </c>
      <c r="V48" s="1040" t="s">
        <v>802</v>
      </c>
      <c r="W48" s="1036">
        <v>45</v>
      </c>
      <c r="X48" s="1034"/>
      <c r="Y48" s="1017">
        <v>39775</v>
      </c>
      <c r="Z48" s="1040" t="s">
        <v>867</v>
      </c>
      <c r="AA48" s="1036">
        <v>25</v>
      </c>
      <c r="AB48" s="1034"/>
      <c r="AC48" s="1017">
        <v>40146</v>
      </c>
      <c r="AD48" s="1040" t="s">
        <v>10165</v>
      </c>
      <c r="AE48" s="1036">
        <v>4</v>
      </c>
      <c r="AF48" s="1034"/>
      <c r="AG48" s="1017">
        <v>40505</v>
      </c>
      <c r="AH48" s="1040" t="s">
        <v>10166</v>
      </c>
      <c r="AI48" s="1036">
        <v>19</v>
      </c>
      <c r="AJ48" s="1034"/>
      <c r="AK48" s="1017"/>
      <c r="AL48" s="1040"/>
      <c r="AM48" s="1036"/>
      <c r="AN48" s="1034"/>
      <c r="AO48" s="1017">
        <v>41236</v>
      </c>
      <c r="AP48" s="1040" t="s">
        <v>9900</v>
      </c>
      <c r="AQ48" s="1036">
        <v>120</v>
      </c>
      <c r="AR48" s="1034"/>
      <c r="AS48" s="1017">
        <v>41607</v>
      </c>
      <c r="AT48" s="1040" t="s">
        <v>10167</v>
      </c>
      <c r="AU48" s="1036">
        <v>52</v>
      </c>
      <c r="AV48" s="1034"/>
      <c r="AW48" s="1017">
        <v>41964</v>
      </c>
      <c r="AX48" s="1040" t="s">
        <v>1308</v>
      </c>
      <c r="AY48" s="1036">
        <v>20</v>
      </c>
      <c r="AZ48" s="1034"/>
      <c r="BA48" s="1017">
        <v>42331</v>
      </c>
      <c r="BB48" s="1040" t="s">
        <v>10168</v>
      </c>
      <c r="BC48" s="1384">
        <v>150</v>
      </c>
      <c r="BD48" s="1378">
        <f t="shared" si="2"/>
        <v>2.3809523809523809</v>
      </c>
      <c r="BE48" s="1017">
        <v>42700</v>
      </c>
      <c r="BF48" s="1040" t="s">
        <v>10169</v>
      </c>
      <c r="BG48" s="1065">
        <v>7</v>
      </c>
      <c r="BH48" s="1034"/>
      <c r="BI48" s="1017">
        <v>43060</v>
      </c>
      <c r="BJ48" s="1040" t="s">
        <v>10170</v>
      </c>
      <c r="BK48" s="1065">
        <v>37</v>
      </c>
      <c r="BL48" s="1034"/>
      <c r="BM48" s="1017">
        <v>43426</v>
      </c>
      <c r="BN48" s="1040" t="s">
        <v>10171</v>
      </c>
      <c r="BO48" s="1065">
        <v>26</v>
      </c>
      <c r="BP48" s="1034"/>
      <c r="BQ48" s="1017">
        <v>43782</v>
      </c>
      <c r="BR48" s="1019" t="s">
        <v>10172</v>
      </c>
      <c r="BS48" s="1045">
        <v>20</v>
      </c>
      <c r="BT48" s="1018" t="s">
        <v>414</v>
      </c>
      <c r="BU48" s="1017">
        <v>44149</v>
      </c>
      <c r="BV48" s="1019" t="s">
        <v>845</v>
      </c>
      <c r="BW48" s="1045">
        <v>95</v>
      </c>
      <c r="BX48" s="1018" t="s">
        <v>414</v>
      </c>
      <c r="BY48" s="1017">
        <v>44520</v>
      </c>
      <c r="BZ48" s="1019" t="s">
        <v>1696</v>
      </c>
      <c r="CA48" s="1045">
        <v>45</v>
      </c>
      <c r="CB48" s="1018" t="s">
        <v>700</v>
      </c>
      <c r="CC48" s="1017">
        <v>44891</v>
      </c>
      <c r="CD48" s="1019" t="s">
        <v>10173</v>
      </c>
      <c r="CE48" s="1058">
        <v>0</v>
      </c>
      <c r="CF48" s="1334" t="s">
        <v>700</v>
      </c>
      <c r="CG48" s="1326">
        <v>45249</v>
      </c>
      <c r="CH48" s="1019" t="s">
        <v>10174</v>
      </c>
      <c r="CI48" s="1058">
        <v>69</v>
      </c>
      <c r="CJ48" s="1323" t="s">
        <v>278</v>
      </c>
      <c r="CK48" s="1326">
        <v>45612</v>
      </c>
      <c r="CL48" s="1019" t="s">
        <v>10175</v>
      </c>
      <c r="CM48" s="1058">
        <v>100</v>
      </c>
      <c r="CN48" s="1323" t="s">
        <v>700</v>
      </c>
    </row>
    <row r="49" spans="1:92">
      <c r="A49" s="1077">
        <v>37579</v>
      </c>
      <c r="B49" s="1040" t="s">
        <v>410</v>
      </c>
      <c r="C49" s="1036"/>
      <c r="D49" s="1034">
        <v>20</v>
      </c>
      <c r="E49" s="1017">
        <v>37945</v>
      </c>
      <c r="F49" s="1040" t="s">
        <v>802</v>
      </c>
      <c r="G49" s="1036">
        <v>25</v>
      </c>
      <c r="H49" s="1034"/>
      <c r="I49" s="1017">
        <v>38317</v>
      </c>
      <c r="J49" s="1040" t="s">
        <v>797</v>
      </c>
      <c r="K49" s="1036">
        <v>37</v>
      </c>
      <c r="L49" s="1034"/>
      <c r="M49" s="1017"/>
      <c r="N49" s="1040"/>
      <c r="O49" s="1036"/>
      <c r="P49" s="1034"/>
      <c r="Q49" s="1017">
        <v>39045</v>
      </c>
      <c r="R49" s="1040" t="s">
        <v>10176</v>
      </c>
      <c r="S49" s="1036">
        <v>7</v>
      </c>
      <c r="T49" s="1034"/>
      <c r="U49" s="1017"/>
      <c r="V49" s="1040"/>
      <c r="W49" s="1036"/>
      <c r="X49" s="1034"/>
      <c r="Y49" s="1017">
        <v>39775</v>
      </c>
      <c r="Z49" s="1040" t="s">
        <v>10177</v>
      </c>
      <c r="AA49" s="1036">
        <v>30</v>
      </c>
      <c r="AB49" s="1034"/>
      <c r="AC49" s="1017">
        <v>40146</v>
      </c>
      <c r="AD49" s="1040" t="s">
        <v>1714</v>
      </c>
      <c r="AE49" s="1036">
        <v>18</v>
      </c>
      <c r="AF49" s="1034"/>
      <c r="AG49" s="1017">
        <v>40505</v>
      </c>
      <c r="AH49" s="1040" t="s">
        <v>802</v>
      </c>
      <c r="AI49" s="1036">
        <v>40</v>
      </c>
      <c r="AJ49" s="1034"/>
      <c r="AK49" s="1017"/>
      <c r="AL49" s="1040"/>
      <c r="AM49" s="1036"/>
      <c r="AN49" s="1034"/>
      <c r="AO49" s="1017">
        <v>41236</v>
      </c>
      <c r="AP49" s="1040" t="s">
        <v>10178</v>
      </c>
      <c r="AQ49" s="1036">
        <v>9</v>
      </c>
      <c r="AR49" s="1034"/>
      <c r="AS49" s="1017">
        <v>41607</v>
      </c>
      <c r="AT49" s="1040" t="s">
        <v>10179</v>
      </c>
      <c r="AU49" s="1036">
        <v>10</v>
      </c>
      <c r="AV49" s="1034"/>
      <c r="AW49" s="1017">
        <v>41965</v>
      </c>
      <c r="AX49" s="1040" t="s">
        <v>10180</v>
      </c>
      <c r="AY49" s="1036">
        <v>10</v>
      </c>
      <c r="AZ49" s="1034"/>
      <c r="BA49" s="1017">
        <v>42331</v>
      </c>
      <c r="BB49" s="1040" t="s">
        <v>10181</v>
      </c>
      <c r="BC49" s="1384">
        <v>180</v>
      </c>
      <c r="BD49" s="1378">
        <f t="shared" si="2"/>
        <v>2.8571428571428572</v>
      </c>
      <c r="BE49" s="1017">
        <v>42700</v>
      </c>
      <c r="BF49" s="1040" t="s">
        <v>10182</v>
      </c>
      <c r="BG49" s="1065">
        <v>4</v>
      </c>
      <c r="BH49" s="1034"/>
      <c r="BI49" s="1017">
        <v>43061</v>
      </c>
      <c r="BJ49" s="1040" t="s">
        <v>10183</v>
      </c>
      <c r="BK49" s="1065"/>
      <c r="BL49" s="1034"/>
      <c r="BM49" s="1017">
        <v>43426</v>
      </c>
      <c r="BN49" s="1040" t="s">
        <v>10184</v>
      </c>
      <c r="BO49" s="1065">
        <v>12</v>
      </c>
      <c r="BP49" s="1034"/>
      <c r="BQ49" s="1017">
        <v>43785</v>
      </c>
      <c r="BR49" s="1019" t="s">
        <v>873</v>
      </c>
      <c r="BS49" s="1045">
        <v>30</v>
      </c>
      <c r="BT49" s="1018" t="s">
        <v>414</v>
      </c>
      <c r="BU49" s="1017">
        <v>44149</v>
      </c>
      <c r="BV49" s="1019" t="s">
        <v>10185</v>
      </c>
      <c r="BW49" s="1045">
        <v>10</v>
      </c>
      <c r="BX49" s="1018" t="s">
        <v>667</v>
      </c>
      <c r="BY49" s="1017">
        <v>44520</v>
      </c>
      <c r="BZ49" s="1019" t="s">
        <v>10186</v>
      </c>
      <c r="CA49" s="1020">
        <v>138</v>
      </c>
      <c r="CB49" s="1018" t="s">
        <v>280</v>
      </c>
      <c r="CC49" s="1017">
        <v>44891</v>
      </c>
      <c r="CD49" s="1019" t="s">
        <v>1713</v>
      </c>
      <c r="CE49" s="1058">
        <v>27</v>
      </c>
      <c r="CF49" s="1334" t="s">
        <v>414</v>
      </c>
      <c r="CG49" s="1326">
        <v>45250</v>
      </c>
      <c r="CH49" s="1019" t="s">
        <v>10187</v>
      </c>
      <c r="CI49" s="1058">
        <v>25</v>
      </c>
      <c r="CJ49" s="1323" t="s">
        <v>699</v>
      </c>
      <c r="CK49" s="1326">
        <v>45612</v>
      </c>
      <c r="CL49" s="1019" t="s">
        <v>10188</v>
      </c>
      <c r="CM49" s="1058">
        <v>55</v>
      </c>
      <c r="CN49" s="1323" t="s">
        <v>700</v>
      </c>
    </row>
    <row r="50" spans="1:92">
      <c r="A50" s="1077">
        <v>37580</v>
      </c>
      <c r="B50" s="1040" t="s">
        <v>1189</v>
      </c>
      <c r="C50" s="1036">
        <v>6</v>
      </c>
      <c r="D50" s="1034"/>
      <c r="E50" s="1017">
        <v>37946</v>
      </c>
      <c r="F50" s="1040" t="s">
        <v>10189</v>
      </c>
      <c r="G50" s="1036">
        <v>11</v>
      </c>
      <c r="H50" s="1034"/>
      <c r="I50" s="1017">
        <v>38317</v>
      </c>
      <c r="J50" s="1040" t="s">
        <v>10190</v>
      </c>
      <c r="K50" s="1036">
        <v>5</v>
      </c>
      <c r="L50" s="1034"/>
      <c r="M50" s="1017"/>
      <c r="N50" s="1040"/>
      <c r="O50" s="1036"/>
      <c r="P50" s="1034"/>
      <c r="Q50" s="1017">
        <v>39046</v>
      </c>
      <c r="R50" s="1040" t="s">
        <v>10191</v>
      </c>
      <c r="S50" s="1036">
        <v>346</v>
      </c>
      <c r="T50" s="1034"/>
      <c r="U50" s="1017"/>
      <c r="V50" s="1040"/>
      <c r="W50" s="1036"/>
      <c r="X50" s="1034"/>
      <c r="Y50" s="1017">
        <v>39776</v>
      </c>
      <c r="Z50" s="1040" t="s">
        <v>781</v>
      </c>
      <c r="AA50" s="1036">
        <v>20</v>
      </c>
      <c r="AB50" s="1034"/>
      <c r="AC50" s="1017">
        <v>40147</v>
      </c>
      <c r="AD50" s="1040" t="s">
        <v>10192</v>
      </c>
      <c r="AE50" s="1036">
        <v>244</v>
      </c>
      <c r="AF50" s="1034"/>
      <c r="AG50" s="1017">
        <v>40507</v>
      </c>
      <c r="AH50" s="1040" t="s">
        <v>10193</v>
      </c>
      <c r="AI50" s="1036">
        <v>40</v>
      </c>
      <c r="AJ50" s="1034"/>
      <c r="AK50" s="1017"/>
      <c r="AL50" s="1040"/>
      <c r="AM50" s="1036"/>
      <c r="AN50" s="1034"/>
      <c r="AO50" s="1017">
        <v>41237</v>
      </c>
      <c r="AP50" s="1040" t="s">
        <v>979</v>
      </c>
      <c r="AQ50" s="1036">
        <v>15</v>
      </c>
      <c r="AR50" s="1034"/>
      <c r="AS50" s="1017">
        <v>41608</v>
      </c>
      <c r="AT50" s="1040" t="s">
        <v>754</v>
      </c>
      <c r="AU50" s="1036">
        <v>92</v>
      </c>
      <c r="AV50" s="1034"/>
      <c r="AW50" s="1017">
        <v>41965</v>
      </c>
      <c r="AX50" s="1040" t="s">
        <v>10194</v>
      </c>
      <c r="AY50" s="1036">
        <v>140</v>
      </c>
      <c r="AZ50" s="1034"/>
      <c r="BA50" s="1017">
        <v>42331</v>
      </c>
      <c r="BB50" s="1040" t="s">
        <v>10195</v>
      </c>
      <c r="BC50" s="1384">
        <v>5600</v>
      </c>
      <c r="BD50" s="1378">
        <f t="shared" si="2"/>
        <v>88.888888888888886</v>
      </c>
      <c r="BE50" s="1017">
        <v>42700</v>
      </c>
      <c r="BF50" s="1040" t="s">
        <v>10196</v>
      </c>
      <c r="BG50" s="1065">
        <v>10</v>
      </c>
      <c r="BH50" s="1034"/>
      <c r="BI50" s="1017">
        <v>43061</v>
      </c>
      <c r="BJ50" s="1040" t="s">
        <v>7679</v>
      </c>
      <c r="BK50" s="1065">
        <v>10</v>
      </c>
      <c r="BL50" s="1034"/>
      <c r="BM50" s="1017">
        <v>43426</v>
      </c>
      <c r="BN50" s="1040" t="s">
        <v>10197</v>
      </c>
      <c r="BO50" s="1065">
        <v>15</v>
      </c>
      <c r="BP50" s="1034"/>
      <c r="BQ50" s="1017">
        <v>43785</v>
      </c>
      <c r="BR50" s="1019" t="s">
        <v>772</v>
      </c>
      <c r="BS50" s="1045">
        <v>40</v>
      </c>
      <c r="BT50" s="1018" t="s">
        <v>414</v>
      </c>
      <c r="BU50" s="1017">
        <v>44149</v>
      </c>
      <c r="BV50" s="1019" t="s">
        <v>828</v>
      </c>
      <c r="BW50" s="1020">
        <v>13</v>
      </c>
      <c r="BX50" s="1018" t="s">
        <v>414</v>
      </c>
      <c r="BY50" s="1017">
        <v>44520</v>
      </c>
      <c r="BZ50" s="1019" t="s">
        <v>845</v>
      </c>
      <c r="CA50" s="1020">
        <v>91</v>
      </c>
      <c r="CB50" s="1018" t="s">
        <v>414</v>
      </c>
      <c r="CC50" s="1017">
        <v>44891</v>
      </c>
      <c r="CD50" s="1019" t="s">
        <v>10198</v>
      </c>
      <c r="CE50" s="1058">
        <v>37</v>
      </c>
      <c r="CF50" s="1334" t="s">
        <v>414</v>
      </c>
      <c r="CG50" s="1326">
        <v>45250</v>
      </c>
      <c r="CH50" s="1019" t="s">
        <v>10199</v>
      </c>
      <c r="CI50" s="1058">
        <v>65</v>
      </c>
      <c r="CJ50" s="1323" t="s">
        <v>278</v>
      </c>
      <c r="CK50" s="1326">
        <v>45612</v>
      </c>
      <c r="CL50" s="1019" t="s">
        <v>10200</v>
      </c>
      <c r="CM50" s="1058">
        <v>22</v>
      </c>
      <c r="CN50" s="1323" t="s">
        <v>414</v>
      </c>
    </row>
    <row r="51" spans="1:92">
      <c r="A51" s="1077">
        <v>37580</v>
      </c>
      <c r="B51" s="1040" t="s">
        <v>847</v>
      </c>
      <c r="C51" s="1036">
        <v>70</v>
      </c>
      <c r="D51" s="1034"/>
      <c r="E51" s="1017">
        <v>37947</v>
      </c>
      <c r="F51" s="1040" t="s">
        <v>10201</v>
      </c>
      <c r="G51" s="1036">
        <v>90</v>
      </c>
      <c r="H51" s="1034"/>
      <c r="I51" s="1017">
        <v>38318</v>
      </c>
      <c r="J51" s="1040" t="s">
        <v>10202</v>
      </c>
      <c r="K51" s="1036">
        <v>412</v>
      </c>
      <c r="L51" s="1034"/>
      <c r="M51" s="1017"/>
      <c r="N51" s="1040"/>
      <c r="O51" s="1036"/>
      <c r="P51" s="1034"/>
      <c r="Q51" s="1017">
        <v>39046</v>
      </c>
      <c r="R51" s="1040" t="s">
        <v>10203</v>
      </c>
      <c r="S51" s="1036">
        <v>7</v>
      </c>
      <c r="T51" s="1034"/>
      <c r="U51" s="1017"/>
      <c r="V51" s="1040"/>
      <c r="W51" s="1036"/>
      <c r="X51" s="1034"/>
      <c r="Y51" s="1017">
        <v>39776</v>
      </c>
      <c r="Z51" s="1040" t="s">
        <v>797</v>
      </c>
      <c r="AA51" s="1036">
        <v>14</v>
      </c>
      <c r="AB51" s="1034"/>
      <c r="AC51" s="1017">
        <v>40147</v>
      </c>
      <c r="AD51" s="1040" t="s">
        <v>10204</v>
      </c>
      <c r="AE51" s="1036">
        <v>480</v>
      </c>
      <c r="AF51" s="1034"/>
      <c r="AG51" s="1017">
        <v>40508</v>
      </c>
      <c r="AH51" s="1040" t="s">
        <v>10205</v>
      </c>
      <c r="AI51" s="1036">
        <v>40</v>
      </c>
      <c r="AJ51" s="1034"/>
      <c r="AK51" s="1017"/>
      <c r="AL51" s="1040"/>
      <c r="AM51" s="1036"/>
      <c r="AN51" s="1034"/>
      <c r="AO51" s="1017">
        <v>41237</v>
      </c>
      <c r="AP51" s="1040" t="s">
        <v>10206</v>
      </c>
      <c r="AQ51" s="1036">
        <v>22</v>
      </c>
      <c r="AR51" s="1034"/>
      <c r="AS51" s="1017">
        <v>41608</v>
      </c>
      <c r="AT51" s="1040" t="s">
        <v>10207</v>
      </c>
      <c r="AU51" s="1036">
        <v>27</v>
      </c>
      <c r="AV51" s="1034"/>
      <c r="AW51" s="1017">
        <v>41966</v>
      </c>
      <c r="AX51" s="1040" t="s">
        <v>10208</v>
      </c>
      <c r="AY51" s="1036">
        <v>43</v>
      </c>
      <c r="AZ51" s="1034"/>
      <c r="BA51" s="1017">
        <v>42331</v>
      </c>
      <c r="BB51" s="1040" t="s">
        <v>10209</v>
      </c>
      <c r="BC51" s="1384">
        <v>5602</v>
      </c>
      <c r="BD51" s="1378">
        <f t="shared" si="2"/>
        <v>88.920634920634924</v>
      </c>
      <c r="BE51" s="1017">
        <v>42700</v>
      </c>
      <c r="BF51" s="1040" t="s">
        <v>1290</v>
      </c>
      <c r="BG51" s="1065">
        <v>38</v>
      </c>
      <c r="BH51" s="1034"/>
      <c r="BI51" s="1017">
        <v>43061</v>
      </c>
      <c r="BJ51" s="1040" t="s">
        <v>10210</v>
      </c>
      <c r="BK51" s="1065">
        <f>40</f>
        <v>40</v>
      </c>
      <c r="BL51" s="1034"/>
      <c r="BM51" s="1017">
        <v>43426</v>
      </c>
      <c r="BN51" s="1040" t="s">
        <v>10211</v>
      </c>
      <c r="BO51" s="1065">
        <v>3</v>
      </c>
      <c r="BP51" s="1034"/>
      <c r="BQ51" s="1017">
        <v>43785</v>
      </c>
      <c r="BR51" s="1019" t="s">
        <v>872</v>
      </c>
      <c r="BS51" s="1045">
        <v>21</v>
      </c>
      <c r="BT51" s="1018" t="s">
        <v>414</v>
      </c>
      <c r="BU51" s="1017">
        <v>44150</v>
      </c>
      <c r="BV51" s="1019" t="s">
        <v>772</v>
      </c>
      <c r="BW51" s="1020">
        <v>31</v>
      </c>
      <c r="BX51" s="1018" t="s">
        <v>414</v>
      </c>
      <c r="BY51" s="1017">
        <v>44521</v>
      </c>
      <c r="BZ51" s="1019" t="s">
        <v>1871</v>
      </c>
      <c r="CA51" s="1020">
        <v>26</v>
      </c>
      <c r="CB51" s="1018" t="s">
        <v>414</v>
      </c>
      <c r="CC51" s="1017">
        <v>44891</v>
      </c>
      <c r="CD51" s="1019" t="s">
        <v>10212</v>
      </c>
      <c r="CE51" s="1058">
        <v>9</v>
      </c>
      <c r="CF51" s="1334" t="s">
        <v>700</v>
      </c>
      <c r="CG51" s="1326">
        <v>45250</v>
      </c>
      <c r="CH51" s="1019" t="s">
        <v>9783</v>
      </c>
      <c r="CI51" s="1058">
        <v>59</v>
      </c>
      <c r="CJ51" s="1323" t="s">
        <v>410</v>
      </c>
      <c r="CK51" s="1326">
        <v>45612</v>
      </c>
      <c r="CL51" s="1019" t="s">
        <v>10213</v>
      </c>
      <c r="CM51" s="1058">
        <v>15</v>
      </c>
      <c r="CN51" s="1323" t="s">
        <v>280</v>
      </c>
    </row>
    <row r="52" spans="1:92">
      <c r="A52" s="1077">
        <v>37580</v>
      </c>
      <c r="B52" s="1040" t="s">
        <v>415</v>
      </c>
      <c r="C52" s="1036"/>
      <c r="D52" s="1034">
        <v>38</v>
      </c>
      <c r="E52" s="1017">
        <v>37947</v>
      </c>
      <c r="F52" s="1040" t="s">
        <v>10214</v>
      </c>
      <c r="G52" s="1036">
        <v>58</v>
      </c>
      <c r="H52" s="1034"/>
      <c r="I52" s="1017">
        <v>38318</v>
      </c>
      <c r="J52" s="1040" t="s">
        <v>10215</v>
      </c>
      <c r="K52" s="1036">
        <v>14</v>
      </c>
      <c r="L52" s="1034"/>
      <c r="M52" s="1017"/>
      <c r="N52" s="1040"/>
      <c r="O52" s="1036"/>
      <c r="P52" s="1034"/>
      <c r="Q52" s="1017">
        <v>39046</v>
      </c>
      <c r="R52" s="1040" t="s">
        <v>10216</v>
      </c>
      <c r="S52" s="1036">
        <v>11</v>
      </c>
      <c r="T52" s="1034"/>
      <c r="U52" s="1017"/>
      <c r="V52" s="1040"/>
      <c r="W52" s="1036"/>
      <c r="X52" s="1034"/>
      <c r="Y52" s="1017">
        <v>39779</v>
      </c>
      <c r="Z52" s="1040" t="s">
        <v>960</v>
      </c>
      <c r="AA52" s="1036">
        <v>0.79</v>
      </c>
      <c r="AB52" s="1034"/>
      <c r="AC52" s="1017"/>
      <c r="AD52" s="1040"/>
      <c r="AE52" s="1036"/>
      <c r="AF52" s="1034"/>
      <c r="AG52" s="1017">
        <v>40508</v>
      </c>
      <c r="AH52" s="1040" t="s">
        <v>10217</v>
      </c>
      <c r="AI52" s="1036">
        <v>34</v>
      </c>
      <c r="AJ52" s="1034"/>
      <c r="AK52" s="1017"/>
      <c r="AL52" s="1040"/>
      <c r="AM52" s="1036"/>
      <c r="AN52" s="1034"/>
      <c r="AO52" s="1017">
        <v>41237</v>
      </c>
      <c r="AP52" s="1040" t="s">
        <v>802</v>
      </c>
      <c r="AQ52" s="1036">
        <v>48</v>
      </c>
      <c r="AR52" s="1034"/>
      <c r="AS52" s="1017"/>
      <c r="AT52" s="1040"/>
      <c r="AU52" s="1036"/>
      <c r="AV52" s="1034"/>
      <c r="AW52" s="1017">
        <v>41966</v>
      </c>
      <c r="AX52" s="1040" t="s">
        <v>10218</v>
      </c>
      <c r="AY52" s="1036">
        <v>31</v>
      </c>
      <c r="AZ52" s="1034"/>
      <c r="BA52" s="1017">
        <v>42333</v>
      </c>
      <c r="BB52" s="1040" t="s">
        <v>10219</v>
      </c>
      <c r="BC52" s="1384">
        <v>90</v>
      </c>
      <c r="BD52" s="1378">
        <f t="shared" si="2"/>
        <v>1.4285714285714286</v>
      </c>
      <c r="BE52" s="1017">
        <v>42700</v>
      </c>
      <c r="BF52" s="1040" t="s">
        <v>10220</v>
      </c>
      <c r="BG52" s="1065">
        <v>4</v>
      </c>
      <c r="BH52" s="1034"/>
      <c r="BI52" s="1017">
        <v>43061</v>
      </c>
      <c r="BJ52" s="1040" t="s">
        <v>10221</v>
      </c>
      <c r="BK52" s="1065">
        <v>14</v>
      </c>
      <c r="BL52" s="1034"/>
      <c r="BM52" s="1017">
        <v>43426</v>
      </c>
      <c r="BN52" s="1040" t="s">
        <v>1977</v>
      </c>
      <c r="BO52" s="1065">
        <v>12</v>
      </c>
      <c r="BP52" s="1034"/>
      <c r="BQ52" s="1017">
        <v>43785</v>
      </c>
      <c r="BR52" s="1019" t="s">
        <v>10222</v>
      </c>
      <c r="BS52" s="1045">
        <v>14</v>
      </c>
      <c r="BT52" s="1018" t="s">
        <v>278</v>
      </c>
      <c r="BU52" s="1017">
        <v>44150</v>
      </c>
      <c r="BV52" s="1019" t="s">
        <v>828</v>
      </c>
      <c r="BW52" s="1020">
        <v>18</v>
      </c>
      <c r="BX52" s="1018" t="s">
        <v>414</v>
      </c>
      <c r="BY52" s="1017">
        <v>44521</v>
      </c>
      <c r="BZ52" s="1019" t="s">
        <v>772</v>
      </c>
      <c r="CA52" s="1020">
        <v>36</v>
      </c>
      <c r="CB52" s="1018" t="s">
        <v>414</v>
      </c>
      <c r="CC52" s="1017">
        <v>44891</v>
      </c>
      <c r="CD52" s="1019" t="s">
        <v>10223</v>
      </c>
      <c r="CE52" s="1058">
        <v>24</v>
      </c>
      <c r="CF52" s="1334" t="s">
        <v>701</v>
      </c>
      <c r="CG52" s="1326">
        <v>45250</v>
      </c>
      <c r="CH52" s="1019" t="s">
        <v>10224</v>
      </c>
      <c r="CI52" s="1058">
        <v>500</v>
      </c>
      <c r="CJ52" s="1323" t="s">
        <v>381</v>
      </c>
      <c r="CK52" s="1326">
        <v>45612</v>
      </c>
      <c r="CL52" s="1019" t="s">
        <v>10225</v>
      </c>
      <c r="CM52" s="1058">
        <v>5</v>
      </c>
      <c r="CN52" s="1323" t="s">
        <v>280</v>
      </c>
    </row>
    <row r="53" spans="1:92">
      <c r="A53" s="1077">
        <v>37580</v>
      </c>
      <c r="B53" s="1040" t="s">
        <v>421</v>
      </c>
      <c r="C53" s="1036">
        <v>30</v>
      </c>
      <c r="D53" s="1034">
        <v>130</v>
      </c>
      <c r="E53" s="1017">
        <v>37948</v>
      </c>
      <c r="F53" s="1040" t="s">
        <v>937</v>
      </c>
      <c r="G53" s="1036">
        <v>30</v>
      </c>
      <c r="H53" s="1034"/>
      <c r="I53" s="1017">
        <v>38319</v>
      </c>
      <c r="J53" s="1040" t="s">
        <v>1052</v>
      </c>
      <c r="K53" s="1036">
        <v>12</v>
      </c>
      <c r="L53" s="1034"/>
      <c r="M53" s="1017"/>
      <c r="N53" s="1040"/>
      <c r="O53" s="1036"/>
      <c r="P53" s="1034"/>
      <c r="Q53" s="1017">
        <v>39046</v>
      </c>
      <c r="R53" s="1040" t="s">
        <v>10226</v>
      </c>
      <c r="S53" s="1036">
        <v>0</v>
      </c>
      <c r="T53" s="1034"/>
      <c r="U53" s="1017"/>
      <c r="V53" s="1040"/>
      <c r="W53" s="1036"/>
      <c r="X53" s="1034"/>
      <c r="Y53" s="1017">
        <v>39779</v>
      </c>
      <c r="Z53" s="1040" t="s">
        <v>960</v>
      </c>
      <c r="AA53" s="1036">
        <v>0.02</v>
      </c>
      <c r="AB53" s="1034"/>
      <c r="AC53" s="1017"/>
      <c r="AD53" s="1040"/>
      <c r="AE53" s="1036"/>
      <c r="AF53" s="1034"/>
      <c r="AG53" s="1017">
        <v>40508</v>
      </c>
      <c r="AH53" s="1040" t="s">
        <v>10227</v>
      </c>
      <c r="AI53" s="1036">
        <v>24</v>
      </c>
      <c r="AJ53" s="1034"/>
      <c r="AK53" s="1017"/>
      <c r="AL53" s="1040"/>
      <c r="AM53" s="1036"/>
      <c r="AN53" s="1034"/>
      <c r="AO53" s="1017">
        <v>41237</v>
      </c>
      <c r="AP53" s="1040" t="s">
        <v>10228</v>
      </c>
      <c r="AQ53" s="1036">
        <v>4</v>
      </c>
      <c r="AR53" s="1034"/>
      <c r="AS53" s="1017"/>
      <c r="AT53" s="1040"/>
      <c r="AU53" s="1036"/>
      <c r="AV53" s="1034"/>
      <c r="AW53" s="1017">
        <v>41966</v>
      </c>
      <c r="AX53" s="1040" t="s">
        <v>10229</v>
      </c>
      <c r="AY53" s="1036">
        <v>10</v>
      </c>
      <c r="AZ53" s="1034"/>
      <c r="BA53" s="1017">
        <v>42333</v>
      </c>
      <c r="BB53" s="1040" t="s">
        <v>10230</v>
      </c>
      <c r="BC53" s="1384">
        <v>85</v>
      </c>
      <c r="BD53" s="1378">
        <f t="shared" si="2"/>
        <v>1.3492063492063493</v>
      </c>
      <c r="BE53" s="1017">
        <v>42700</v>
      </c>
      <c r="BF53" s="1040" t="s">
        <v>10231</v>
      </c>
      <c r="BG53" s="1065">
        <v>6</v>
      </c>
      <c r="BH53" s="1034"/>
      <c r="BI53" s="1017">
        <v>43061</v>
      </c>
      <c r="BJ53" s="1040" t="s">
        <v>10232</v>
      </c>
      <c r="BK53" s="1065">
        <v>39</v>
      </c>
      <c r="BL53" s="1034"/>
      <c r="BM53" s="1017">
        <v>43426</v>
      </c>
      <c r="BN53" s="1040" t="s">
        <v>10233</v>
      </c>
      <c r="BO53" s="1065">
        <v>7</v>
      </c>
      <c r="BP53" s="1034"/>
      <c r="BQ53" s="1017">
        <v>43785</v>
      </c>
      <c r="BR53" s="1019" t="s">
        <v>10234</v>
      </c>
      <c r="BS53" s="1020">
        <v>22</v>
      </c>
      <c r="BT53" s="1018" t="s">
        <v>278</v>
      </c>
      <c r="BU53" s="1017">
        <v>44153</v>
      </c>
      <c r="BV53" s="1019" t="s">
        <v>10235</v>
      </c>
      <c r="BW53" s="1020">
        <v>64</v>
      </c>
      <c r="BX53" s="1018" t="s">
        <v>414</v>
      </c>
      <c r="BY53" s="1017">
        <v>44521</v>
      </c>
      <c r="BZ53" s="1019" t="s">
        <v>843</v>
      </c>
      <c r="CA53" s="1020">
        <v>51</v>
      </c>
      <c r="CB53" s="1018" t="s">
        <v>414</v>
      </c>
      <c r="CC53" s="1017">
        <v>44891</v>
      </c>
      <c r="CD53" s="1019" t="s">
        <v>10236</v>
      </c>
      <c r="CE53" s="1058">
        <v>21</v>
      </c>
      <c r="CF53" s="1334" t="s">
        <v>280</v>
      </c>
      <c r="CG53" s="1326">
        <v>45251</v>
      </c>
      <c r="CH53" s="1019" t="s">
        <v>10237</v>
      </c>
      <c r="CI53" s="1058">
        <v>8</v>
      </c>
      <c r="CJ53" s="1323" t="s">
        <v>280</v>
      </c>
      <c r="CK53" s="1326">
        <v>45612</v>
      </c>
      <c r="CL53" s="1019" t="s">
        <v>1722</v>
      </c>
      <c r="CM53" s="1058">
        <v>15</v>
      </c>
      <c r="CN53" s="1323" t="s">
        <v>414</v>
      </c>
    </row>
    <row r="54" spans="1:92">
      <c r="A54" s="1077">
        <v>37582</v>
      </c>
      <c r="B54" s="1040" t="s">
        <v>1189</v>
      </c>
      <c r="C54" s="1036"/>
      <c r="D54" s="1034">
        <v>8</v>
      </c>
      <c r="E54" s="1017">
        <v>37948</v>
      </c>
      <c r="F54" s="1040" t="s">
        <v>772</v>
      </c>
      <c r="G54" s="1036">
        <v>15</v>
      </c>
      <c r="H54" s="1034"/>
      <c r="I54" s="1017">
        <v>38319</v>
      </c>
      <c r="J54" s="1040" t="s">
        <v>10238</v>
      </c>
      <c r="K54" s="1036">
        <v>14</v>
      </c>
      <c r="L54" s="1034"/>
      <c r="M54" s="1017"/>
      <c r="N54" s="1040"/>
      <c r="O54" s="1036"/>
      <c r="P54" s="1034"/>
      <c r="Q54" s="1017">
        <v>39047</v>
      </c>
      <c r="R54" s="1040" t="s">
        <v>10239</v>
      </c>
      <c r="S54" s="1036">
        <v>20</v>
      </c>
      <c r="T54" s="1034"/>
      <c r="U54" s="1017"/>
      <c r="V54" s="1040"/>
      <c r="W54" s="1036"/>
      <c r="X54" s="1034"/>
      <c r="Y54" s="1017">
        <v>39780</v>
      </c>
      <c r="Z54" s="1040" t="s">
        <v>10240</v>
      </c>
      <c r="AA54" s="1036">
        <v>100</v>
      </c>
      <c r="AB54" s="1034"/>
      <c r="AC54" s="1017"/>
      <c r="AD54" s="1040"/>
      <c r="AE54" s="1036"/>
      <c r="AF54" s="1034"/>
      <c r="AG54" s="1017">
        <v>40508</v>
      </c>
      <c r="AH54" s="1040" t="s">
        <v>4353</v>
      </c>
      <c r="AI54" s="1036">
        <v>25</v>
      </c>
      <c r="AJ54" s="1034"/>
      <c r="AK54" s="1017"/>
      <c r="AL54" s="1040"/>
      <c r="AM54" s="1036"/>
      <c r="AN54" s="1034"/>
      <c r="AO54" s="1017">
        <v>41237</v>
      </c>
      <c r="AP54" s="1040" t="s">
        <v>10241</v>
      </c>
      <c r="AQ54" s="1036">
        <v>1</v>
      </c>
      <c r="AR54" s="1034"/>
      <c r="AS54" s="1017"/>
      <c r="AT54" s="1040"/>
      <c r="AU54" s="1036"/>
      <c r="AV54" s="1034"/>
      <c r="AW54" s="1017">
        <v>41966</v>
      </c>
      <c r="AX54" s="1040" t="s">
        <v>797</v>
      </c>
      <c r="AY54" s="1036">
        <v>25</v>
      </c>
      <c r="AZ54" s="1034"/>
      <c r="BA54" s="1017">
        <v>42333</v>
      </c>
      <c r="BB54" s="1040" t="s">
        <v>10242</v>
      </c>
      <c r="BC54" s="1384">
        <v>100</v>
      </c>
      <c r="BD54" s="1378">
        <f t="shared" si="2"/>
        <v>1.5873015873015872</v>
      </c>
      <c r="BE54" s="1017">
        <v>42700</v>
      </c>
      <c r="BF54" s="1040" t="s">
        <v>872</v>
      </c>
      <c r="BG54" s="1065">
        <v>23</v>
      </c>
      <c r="BH54" s="1034"/>
      <c r="BI54" s="1017">
        <v>43062</v>
      </c>
      <c r="BJ54" s="1040" t="s">
        <v>10243</v>
      </c>
      <c r="BK54" s="1065">
        <v>26</v>
      </c>
      <c r="BL54" s="1034"/>
      <c r="BM54" s="1017">
        <v>43426</v>
      </c>
      <c r="BN54" s="1040" t="s">
        <v>10244</v>
      </c>
      <c r="BO54" s="1065">
        <v>6</v>
      </c>
      <c r="BP54" s="1034"/>
      <c r="BQ54" s="1017">
        <v>43785</v>
      </c>
      <c r="BR54" s="1019" t="s">
        <v>10245</v>
      </c>
      <c r="BS54" s="1020">
        <v>27</v>
      </c>
      <c r="BT54" s="1018" t="s">
        <v>278</v>
      </c>
      <c r="BU54" s="1017">
        <v>44153</v>
      </c>
      <c r="BV54" s="1019" t="s">
        <v>890</v>
      </c>
      <c r="BW54" s="1020">
        <v>67</v>
      </c>
      <c r="BX54" s="1018" t="s">
        <v>414</v>
      </c>
      <c r="BY54" s="1017">
        <v>44521</v>
      </c>
      <c r="BZ54" s="1019" t="s">
        <v>10246</v>
      </c>
      <c r="CA54" s="1020">
        <v>35</v>
      </c>
      <c r="CB54" s="1018" t="s">
        <v>410</v>
      </c>
      <c r="CC54" s="1017">
        <v>44891</v>
      </c>
      <c r="CD54" s="1019" t="s">
        <v>10247</v>
      </c>
      <c r="CE54" s="1058">
        <v>217</v>
      </c>
      <c r="CF54" s="1334" t="s">
        <v>701</v>
      </c>
      <c r="CG54" s="1326">
        <v>45251</v>
      </c>
      <c r="CH54" s="1019" t="s">
        <v>10248</v>
      </c>
      <c r="CI54" s="1058"/>
      <c r="CJ54" s="1323"/>
      <c r="CK54" s="1326">
        <v>45612</v>
      </c>
      <c r="CL54" s="1019" t="s">
        <v>9972</v>
      </c>
      <c r="CM54" s="1058">
        <v>198</v>
      </c>
      <c r="CN54" s="1323" t="s">
        <v>280</v>
      </c>
    </row>
    <row r="55" spans="1:92">
      <c r="A55" s="1077">
        <v>37582</v>
      </c>
      <c r="B55" s="1019" t="s">
        <v>10249</v>
      </c>
      <c r="C55" s="1036"/>
      <c r="D55" s="1034">
        <v>16</v>
      </c>
      <c r="E55" s="1017">
        <v>37948</v>
      </c>
      <c r="F55" s="1040" t="s">
        <v>2933</v>
      </c>
      <c r="G55" s="1036">
        <v>50</v>
      </c>
      <c r="H55" s="1034"/>
      <c r="I55" s="1017">
        <v>38321</v>
      </c>
      <c r="J55" s="1040" t="s">
        <v>10250</v>
      </c>
      <c r="K55" s="1036">
        <v>15</v>
      </c>
      <c r="L55" s="1034"/>
      <c r="M55" s="1017"/>
      <c r="N55" s="1040"/>
      <c r="O55" s="1036"/>
      <c r="P55" s="1034"/>
      <c r="Q55" s="1017">
        <v>39047</v>
      </c>
      <c r="R55" s="1040" t="s">
        <v>10251</v>
      </c>
      <c r="S55" s="1036">
        <v>60</v>
      </c>
      <c r="T55" s="1034"/>
      <c r="U55" s="1017"/>
      <c r="V55" s="1040"/>
      <c r="W55" s="1036"/>
      <c r="X55" s="1034"/>
      <c r="Y55" s="1017">
        <v>39780</v>
      </c>
      <c r="Z55" s="1040" t="s">
        <v>10252</v>
      </c>
      <c r="AA55" s="1036">
        <v>15</v>
      </c>
      <c r="AB55" s="1034"/>
      <c r="AC55" s="1017"/>
      <c r="AD55" s="1040"/>
      <c r="AE55" s="1036"/>
      <c r="AF55" s="1034"/>
      <c r="AG55" s="1017">
        <v>40508</v>
      </c>
      <c r="AH55" s="1040" t="s">
        <v>10253</v>
      </c>
      <c r="AI55" s="1036">
        <v>10</v>
      </c>
      <c r="AJ55" s="1034"/>
      <c r="AK55" s="1017"/>
      <c r="AL55" s="1040"/>
      <c r="AM55" s="1036"/>
      <c r="AN55" s="1034"/>
      <c r="AO55" s="1017">
        <v>41237</v>
      </c>
      <c r="AP55" s="1040" t="s">
        <v>10254</v>
      </c>
      <c r="AQ55" s="1036">
        <v>18</v>
      </c>
      <c r="AR55" s="1034"/>
      <c r="AS55" s="1017"/>
      <c r="AT55" s="1040"/>
      <c r="AU55" s="1036"/>
      <c r="AV55" s="1034"/>
      <c r="AW55" s="1017">
        <v>41967</v>
      </c>
      <c r="AX55" s="1040" t="s">
        <v>10255</v>
      </c>
      <c r="AY55" s="1036">
        <v>3</v>
      </c>
      <c r="AZ55" s="1034"/>
      <c r="BA55" s="1017">
        <v>42334</v>
      </c>
      <c r="BB55" s="1040" t="s">
        <v>10256</v>
      </c>
      <c r="BC55" s="1384">
        <v>1501</v>
      </c>
      <c r="BD55" s="1378">
        <f t="shared" si="2"/>
        <v>23.825396825396826</v>
      </c>
      <c r="BE55" s="1017">
        <v>42700</v>
      </c>
      <c r="BF55" s="1040" t="s">
        <v>859</v>
      </c>
      <c r="BG55" s="1065">
        <v>27</v>
      </c>
      <c r="BH55" s="1034"/>
      <c r="BI55" s="1017">
        <v>43062</v>
      </c>
      <c r="BJ55" s="1040" t="s">
        <v>10257</v>
      </c>
      <c r="BK55" s="1065">
        <v>45</v>
      </c>
      <c r="BL55" s="1034"/>
      <c r="BM55" s="1017">
        <v>43426</v>
      </c>
      <c r="BN55" s="1040" t="s">
        <v>10258</v>
      </c>
      <c r="BO55" s="1065">
        <v>22</v>
      </c>
      <c r="BP55" s="1034"/>
      <c r="BQ55" s="1017">
        <v>43785</v>
      </c>
      <c r="BR55" s="1019" t="s">
        <v>10259</v>
      </c>
      <c r="BS55" s="1020">
        <v>85</v>
      </c>
      <c r="BT55" s="1018" t="s">
        <v>667</v>
      </c>
      <c r="BU55" s="1017">
        <v>44153</v>
      </c>
      <c r="BV55" s="1019" t="s">
        <v>10260</v>
      </c>
      <c r="BW55" s="1020">
        <v>8</v>
      </c>
      <c r="BX55" s="1018" t="s">
        <v>414</v>
      </c>
      <c r="BY55" s="1017">
        <v>44521</v>
      </c>
      <c r="BZ55" s="1019" t="s">
        <v>10261</v>
      </c>
      <c r="CA55" s="1020">
        <v>40</v>
      </c>
      <c r="CB55" s="1018" t="s">
        <v>280</v>
      </c>
      <c r="CC55" s="1017">
        <v>44891</v>
      </c>
      <c r="CD55" s="1019" t="s">
        <v>6336</v>
      </c>
      <c r="CE55" s="1058">
        <v>27</v>
      </c>
      <c r="CF55" s="1334" t="s">
        <v>414</v>
      </c>
      <c r="CG55" s="1326">
        <v>45251</v>
      </c>
      <c r="CH55" s="1019" t="s">
        <v>10262</v>
      </c>
      <c r="CI55" s="1058">
        <v>400</v>
      </c>
      <c r="CJ55" s="1323" t="s">
        <v>381</v>
      </c>
      <c r="CK55" s="1326">
        <v>45612</v>
      </c>
      <c r="CL55" s="1019" t="s">
        <v>9988</v>
      </c>
      <c r="CM55" s="1058">
        <v>30</v>
      </c>
      <c r="CN55" s="1323" t="s">
        <v>414</v>
      </c>
    </row>
    <row r="56" spans="1:92">
      <c r="A56" s="1077">
        <v>37583</v>
      </c>
      <c r="B56" s="1040" t="s">
        <v>10263</v>
      </c>
      <c r="C56" s="1036"/>
      <c r="D56" s="1036">
        <v>50</v>
      </c>
      <c r="E56" s="1017">
        <v>37949</v>
      </c>
      <c r="F56" s="1040" t="s">
        <v>797</v>
      </c>
      <c r="G56" s="1036">
        <v>30</v>
      </c>
      <c r="H56" s="1034"/>
      <c r="I56" s="1017"/>
      <c r="J56" s="1040"/>
      <c r="K56" s="1036"/>
      <c r="L56" s="1034"/>
      <c r="M56" s="1017"/>
      <c r="N56" s="1040"/>
      <c r="O56" s="1036"/>
      <c r="P56" s="1034"/>
      <c r="Q56" s="1017">
        <v>39048</v>
      </c>
      <c r="R56" s="1040" t="s">
        <v>10264</v>
      </c>
      <c r="S56" s="1036">
        <v>36</v>
      </c>
      <c r="T56" s="1034"/>
      <c r="U56" s="1017"/>
      <c r="V56" s="1040"/>
      <c r="W56" s="1036"/>
      <c r="X56" s="1034"/>
      <c r="Y56" s="1017">
        <v>39780</v>
      </c>
      <c r="Z56" s="1040" t="s">
        <v>787</v>
      </c>
      <c r="AA56" s="1036">
        <v>10</v>
      </c>
      <c r="AB56" s="1034"/>
      <c r="AC56" s="1017"/>
      <c r="AD56" s="1040"/>
      <c r="AE56" s="1036"/>
      <c r="AF56" s="1034"/>
      <c r="AG56" s="1017">
        <v>40508</v>
      </c>
      <c r="AH56" s="1040" t="s">
        <v>937</v>
      </c>
      <c r="AI56" s="1036">
        <v>48</v>
      </c>
      <c r="AJ56" s="1034"/>
      <c r="AK56" s="1017"/>
      <c r="AL56" s="1040"/>
      <c r="AM56" s="1036"/>
      <c r="AN56" s="1034"/>
      <c r="AO56" s="1017">
        <v>41238</v>
      </c>
      <c r="AP56" s="1040" t="s">
        <v>1823</v>
      </c>
      <c r="AQ56" s="1036">
        <v>20</v>
      </c>
      <c r="AR56" s="1034"/>
      <c r="AS56" s="1017"/>
      <c r="AT56" s="1040"/>
      <c r="AU56" s="1036"/>
      <c r="AV56" s="1034"/>
      <c r="AW56" s="1017">
        <v>41967</v>
      </c>
      <c r="AX56" s="1040" t="s">
        <v>10265</v>
      </c>
      <c r="AY56" s="1036">
        <v>125</v>
      </c>
      <c r="AZ56" s="1034"/>
      <c r="BA56" s="1017">
        <v>42335</v>
      </c>
      <c r="BB56" s="1040" t="s">
        <v>10266</v>
      </c>
      <c r="BC56" s="1384">
        <v>90</v>
      </c>
      <c r="BD56" s="1378">
        <f t="shared" si="2"/>
        <v>1.4285714285714286</v>
      </c>
      <c r="BE56" s="1017">
        <v>42700</v>
      </c>
      <c r="BF56" s="1040" t="s">
        <v>797</v>
      </c>
      <c r="BG56" s="1065">
        <v>40</v>
      </c>
      <c r="BH56" s="1034"/>
      <c r="BI56" s="1017">
        <v>43062</v>
      </c>
      <c r="BJ56" s="1040" t="s">
        <v>1151</v>
      </c>
      <c r="BK56" s="1065">
        <v>10</v>
      </c>
      <c r="BL56" s="1034"/>
      <c r="BM56" s="1017">
        <v>43426</v>
      </c>
      <c r="BN56" s="1040" t="s">
        <v>10267</v>
      </c>
      <c r="BO56" s="1065">
        <v>0</v>
      </c>
      <c r="BP56" s="1034"/>
      <c r="BQ56" s="1017">
        <v>43785</v>
      </c>
      <c r="BR56" s="1019" t="s">
        <v>10268</v>
      </c>
      <c r="BS56" s="1020">
        <v>100</v>
      </c>
      <c r="BT56" s="1018" t="s">
        <v>690</v>
      </c>
      <c r="BU56" s="1017">
        <v>44153</v>
      </c>
      <c r="BV56" s="1019" t="s">
        <v>10269</v>
      </c>
      <c r="BW56" s="1020">
        <v>20</v>
      </c>
      <c r="BX56" s="1018" t="s">
        <v>280</v>
      </c>
      <c r="BY56" s="1017">
        <v>44521</v>
      </c>
      <c r="BZ56" s="1019" t="s">
        <v>10270</v>
      </c>
      <c r="CA56" s="1020">
        <v>10</v>
      </c>
      <c r="CB56" s="1018" t="s">
        <v>280</v>
      </c>
      <c r="CC56" s="1017">
        <v>44891</v>
      </c>
      <c r="CD56" s="1019" t="s">
        <v>2061</v>
      </c>
      <c r="CE56" s="1058">
        <v>11</v>
      </c>
      <c r="CF56" s="1334" t="s">
        <v>414</v>
      </c>
      <c r="CG56" s="1326">
        <v>45252</v>
      </c>
      <c r="CH56" s="1019" t="s">
        <v>9783</v>
      </c>
      <c r="CI56" s="1058">
        <v>75</v>
      </c>
      <c r="CJ56" s="1323" t="s">
        <v>410</v>
      </c>
      <c r="CK56" s="1326">
        <v>45612</v>
      </c>
      <c r="CL56" s="1019" t="s">
        <v>10005</v>
      </c>
      <c r="CM56" s="1058">
        <v>30</v>
      </c>
      <c r="CN56" s="1323" t="s">
        <v>700</v>
      </c>
    </row>
    <row r="57" spans="1:92">
      <c r="A57" s="1077">
        <v>37583</v>
      </c>
      <c r="B57" s="1040" t="s">
        <v>410</v>
      </c>
      <c r="C57" s="1036">
        <v>22</v>
      </c>
      <c r="D57" s="1036"/>
      <c r="E57" s="1017">
        <v>37950</v>
      </c>
      <c r="F57" s="1040" t="s">
        <v>10271</v>
      </c>
      <c r="G57" s="1036">
        <v>10</v>
      </c>
      <c r="H57" s="1034"/>
      <c r="I57" s="1017"/>
      <c r="J57" s="1040"/>
      <c r="K57" s="1036"/>
      <c r="L57" s="1034"/>
      <c r="M57" s="1017"/>
      <c r="N57" s="1040"/>
      <c r="O57" s="1036"/>
      <c r="P57" s="1034"/>
      <c r="Q57" s="1017">
        <v>39050</v>
      </c>
      <c r="R57" s="1040" t="s">
        <v>10272</v>
      </c>
      <c r="S57" s="1036">
        <v>250</v>
      </c>
      <c r="T57" s="1034"/>
      <c r="U57" s="1017"/>
      <c r="V57" s="1040"/>
      <c r="W57" s="1036"/>
      <c r="X57" s="1034"/>
      <c r="Y57" s="1017">
        <v>39781</v>
      </c>
      <c r="Z57" s="1040" t="s">
        <v>10240</v>
      </c>
      <c r="AA57" s="1036">
        <v>0</v>
      </c>
      <c r="AB57" s="1034"/>
      <c r="AC57" s="1017"/>
      <c r="AD57" s="1040"/>
      <c r="AE57" s="1036"/>
      <c r="AF57" s="1034"/>
      <c r="AG57" s="1017">
        <v>40508</v>
      </c>
      <c r="AH57" s="1040" t="s">
        <v>960</v>
      </c>
      <c r="AI57" s="1036">
        <v>11</v>
      </c>
      <c r="AJ57" s="1034"/>
      <c r="AK57" s="1017"/>
      <c r="AL57" s="1040"/>
      <c r="AM57" s="1036"/>
      <c r="AN57" s="1034"/>
      <c r="AO57" s="1017">
        <v>41238</v>
      </c>
      <c r="AP57" s="1040" t="s">
        <v>867</v>
      </c>
      <c r="AQ57" s="1036">
        <v>27</v>
      </c>
      <c r="AR57" s="1034"/>
      <c r="AS57" s="1017"/>
      <c r="AT57" s="1040"/>
      <c r="AU57" s="1036"/>
      <c r="AV57" s="1034"/>
      <c r="AW57" s="1017">
        <v>41967</v>
      </c>
      <c r="AX57" s="1040" t="s">
        <v>10273</v>
      </c>
      <c r="AY57" s="1036">
        <v>15</v>
      </c>
      <c r="AZ57" s="1034"/>
      <c r="BA57" s="1017">
        <v>42335</v>
      </c>
      <c r="BB57" s="1040" t="s">
        <v>10274</v>
      </c>
      <c r="BC57" s="1384">
        <v>30</v>
      </c>
      <c r="BD57" s="1378">
        <f t="shared" si="2"/>
        <v>0.47619047619047616</v>
      </c>
      <c r="BE57" s="1017">
        <v>42701</v>
      </c>
      <c r="BF57" s="1040" t="s">
        <v>10026</v>
      </c>
      <c r="BG57" s="1065">
        <v>81</v>
      </c>
      <c r="BH57" s="1034"/>
      <c r="BI57" s="1017">
        <v>43062</v>
      </c>
      <c r="BJ57" s="1040" t="s">
        <v>10275</v>
      </c>
      <c r="BK57" s="1065">
        <v>3</v>
      </c>
      <c r="BL57" s="1034"/>
      <c r="BM57" s="1017">
        <v>43426</v>
      </c>
      <c r="BN57" s="1040" t="s">
        <v>1180</v>
      </c>
      <c r="BO57" s="1065">
        <v>51</v>
      </c>
      <c r="BP57" s="1034"/>
      <c r="BQ57" s="1017">
        <v>43790</v>
      </c>
      <c r="BR57" s="1019" t="s">
        <v>797</v>
      </c>
      <c r="BS57" s="1020">
        <v>62</v>
      </c>
      <c r="BT57" s="1018" t="s">
        <v>410</v>
      </c>
      <c r="BU57" s="1017">
        <v>44153</v>
      </c>
      <c r="BV57" s="1019" t="s">
        <v>10276</v>
      </c>
      <c r="BW57" s="1020">
        <v>87</v>
      </c>
      <c r="BX57" s="1018" t="s">
        <v>280</v>
      </c>
      <c r="BY57" s="1017">
        <v>44521</v>
      </c>
      <c r="BZ57" s="1019" t="s">
        <v>10277</v>
      </c>
      <c r="CA57" s="1020">
        <v>15</v>
      </c>
      <c r="CB57" s="1018" t="s">
        <v>280</v>
      </c>
      <c r="CC57" s="1017">
        <v>44891</v>
      </c>
      <c r="CD57" s="1019" t="s">
        <v>4115</v>
      </c>
      <c r="CE57" s="1058">
        <v>12</v>
      </c>
      <c r="CF57" s="1334" t="s">
        <v>414</v>
      </c>
      <c r="CG57" s="1326">
        <v>45252</v>
      </c>
      <c r="CH57" s="1019" t="s">
        <v>10278</v>
      </c>
      <c r="CI57" s="1058">
        <v>7</v>
      </c>
      <c r="CJ57" s="1323" t="s">
        <v>278</v>
      </c>
      <c r="CK57" s="1326">
        <v>45612</v>
      </c>
      <c r="CL57" s="1019" t="s">
        <v>10018</v>
      </c>
      <c r="CM57" s="1058">
        <v>150</v>
      </c>
      <c r="CN57" s="1323" t="s">
        <v>414</v>
      </c>
    </row>
    <row r="58" spans="1:92">
      <c r="A58" s="1077">
        <v>37583</v>
      </c>
      <c r="B58" s="1040" t="s">
        <v>1365</v>
      </c>
      <c r="C58" s="1036">
        <v>28</v>
      </c>
      <c r="D58" s="1034"/>
      <c r="E58" s="1017">
        <v>37950</v>
      </c>
      <c r="F58" s="1040" t="s">
        <v>10279</v>
      </c>
      <c r="G58" s="1036">
        <v>10</v>
      </c>
      <c r="H58" s="1034"/>
      <c r="I58" s="1017"/>
      <c r="J58" s="1040"/>
      <c r="K58" s="1036"/>
      <c r="L58" s="1034"/>
      <c r="M58" s="1017"/>
      <c r="N58" s="1040"/>
      <c r="O58" s="1036"/>
      <c r="P58" s="1034"/>
      <c r="Q58" s="1017">
        <v>39050</v>
      </c>
      <c r="R58" s="1040" t="s">
        <v>767</v>
      </c>
      <c r="S58" s="1036">
        <v>10</v>
      </c>
      <c r="T58" s="1034"/>
      <c r="U58" s="1017"/>
      <c r="V58" s="1040"/>
      <c r="W58" s="1036"/>
      <c r="X58" s="1034"/>
      <c r="Y58" s="1017">
        <v>39781</v>
      </c>
      <c r="Z58" s="1040" t="s">
        <v>10240</v>
      </c>
      <c r="AA58" s="1036">
        <v>0</v>
      </c>
      <c r="AB58" s="1034"/>
      <c r="AC58" s="1017"/>
      <c r="AD58" s="1040"/>
      <c r="AE58" s="1036"/>
      <c r="AF58" s="1034"/>
      <c r="AG58" s="1017">
        <v>40509</v>
      </c>
      <c r="AH58" s="1040" t="s">
        <v>10280</v>
      </c>
      <c r="AI58" s="1036">
        <v>15</v>
      </c>
      <c r="AJ58" s="1034"/>
      <c r="AK58" s="1017"/>
      <c r="AL58" s="1040"/>
      <c r="AM58" s="1036"/>
      <c r="AN58" s="1034"/>
      <c r="AO58" s="1017">
        <v>41238</v>
      </c>
      <c r="AP58" s="1040" t="s">
        <v>754</v>
      </c>
      <c r="AQ58" s="1036">
        <v>146</v>
      </c>
      <c r="AR58" s="1034"/>
      <c r="AS58" s="1017"/>
      <c r="AT58" s="1040"/>
      <c r="AU58" s="1036"/>
      <c r="AV58" s="1034"/>
      <c r="AW58" s="1017">
        <v>41967</v>
      </c>
      <c r="AX58" s="1040" t="s">
        <v>10281</v>
      </c>
      <c r="AY58" s="1036">
        <v>3</v>
      </c>
      <c r="AZ58" s="1034"/>
      <c r="BA58" s="1017">
        <v>42335</v>
      </c>
      <c r="BB58" s="1040" t="s">
        <v>10282</v>
      </c>
      <c r="BC58" s="1384">
        <v>90</v>
      </c>
      <c r="BD58" s="1378">
        <f t="shared" si="2"/>
        <v>1.4285714285714286</v>
      </c>
      <c r="BE58" s="1017">
        <v>42701</v>
      </c>
      <c r="BF58" s="1040" t="s">
        <v>9766</v>
      </c>
      <c r="BG58" s="1065">
        <v>17</v>
      </c>
      <c r="BH58" s="1034"/>
      <c r="BI58" s="1017">
        <v>43062</v>
      </c>
      <c r="BJ58" s="1040" t="s">
        <v>10283</v>
      </c>
      <c r="BK58" s="1065">
        <v>47</v>
      </c>
      <c r="BL58" s="1034"/>
      <c r="BM58" s="1017">
        <v>43427</v>
      </c>
      <c r="BN58" s="1040" t="s">
        <v>10284</v>
      </c>
      <c r="BO58" s="1065">
        <v>137</v>
      </c>
      <c r="BP58" s="1034"/>
      <c r="BQ58" s="1017">
        <v>43791</v>
      </c>
      <c r="BR58" s="1019" t="s">
        <v>873</v>
      </c>
      <c r="BS58" s="1020">
        <v>21</v>
      </c>
      <c r="BT58" s="1018" t="s">
        <v>414</v>
      </c>
      <c r="BU58" s="1017">
        <v>44155</v>
      </c>
      <c r="BV58" s="1019" t="s">
        <v>10285</v>
      </c>
      <c r="BW58" s="1020">
        <v>11</v>
      </c>
      <c r="BX58" s="1018" t="s">
        <v>414</v>
      </c>
      <c r="BY58" s="1017">
        <v>44524</v>
      </c>
      <c r="BZ58" s="1019" t="s">
        <v>781</v>
      </c>
      <c r="CA58" s="1020">
        <v>38</v>
      </c>
      <c r="CB58" s="1018" t="s">
        <v>414</v>
      </c>
      <c r="CC58" s="1017">
        <v>44891</v>
      </c>
      <c r="CD58" s="1019" t="s">
        <v>2469</v>
      </c>
      <c r="CE58" s="1058">
        <v>3</v>
      </c>
      <c r="CF58" s="1334" t="s">
        <v>414</v>
      </c>
      <c r="CG58" s="1326">
        <v>45252</v>
      </c>
      <c r="CH58" s="1019" t="s">
        <v>10286</v>
      </c>
      <c r="CI58" s="1058">
        <v>4</v>
      </c>
      <c r="CJ58" s="1323" t="s">
        <v>278</v>
      </c>
      <c r="CK58" s="1326">
        <v>45612</v>
      </c>
      <c r="CL58" s="1019" t="s">
        <v>10028</v>
      </c>
      <c r="CM58" s="1058">
        <v>12</v>
      </c>
      <c r="CN58" s="1323" t="s">
        <v>414</v>
      </c>
    </row>
    <row r="59" spans="1:92">
      <c r="A59" s="1077">
        <v>37584</v>
      </c>
      <c r="B59" s="1040" t="s">
        <v>10287</v>
      </c>
      <c r="C59" s="1036">
        <v>198</v>
      </c>
      <c r="D59" s="1034"/>
      <c r="E59" s="1017">
        <v>37950</v>
      </c>
      <c r="F59" s="1040" t="s">
        <v>10288</v>
      </c>
      <c r="G59" s="1036">
        <v>17</v>
      </c>
      <c r="H59" s="1034"/>
      <c r="I59" s="1017"/>
      <c r="J59" s="1040"/>
      <c r="K59" s="1036"/>
      <c r="L59" s="1034"/>
      <c r="M59" s="1017"/>
      <c r="N59" s="1040"/>
      <c r="O59" s="1036"/>
      <c r="P59" s="1034"/>
      <c r="Q59" s="1017">
        <v>39050</v>
      </c>
      <c r="R59" s="1040" t="s">
        <v>4490</v>
      </c>
      <c r="S59" s="1036">
        <v>38</v>
      </c>
      <c r="T59" s="1034"/>
      <c r="U59" s="1017"/>
      <c r="V59" s="1040"/>
      <c r="W59" s="1036"/>
      <c r="X59" s="1034"/>
      <c r="Y59" s="1017">
        <v>39781</v>
      </c>
      <c r="Z59" s="1040" t="s">
        <v>787</v>
      </c>
      <c r="AA59" s="1036">
        <v>14</v>
      </c>
      <c r="AB59" s="1034"/>
      <c r="AC59" s="1017"/>
      <c r="AD59" s="1040"/>
      <c r="AE59" s="1036"/>
      <c r="AF59" s="1034"/>
      <c r="AG59" s="1017">
        <v>40509</v>
      </c>
      <c r="AH59" s="1040" t="s">
        <v>10289</v>
      </c>
      <c r="AI59" s="1036">
        <v>12</v>
      </c>
      <c r="AJ59" s="1034"/>
      <c r="AK59" s="1017"/>
      <c r="AL59" s="1040"/>
      <c r="AM59" s="1036"/>
      <c r="AN59" s="1034"/>
      <c r="AO59" s="1017">
        <v>41238</v>
      </c>
      <c r="AP59" s="1040" t="s">
        <v>772</v>
      </c>
      <c r="AQ59" s="1036">
        <v>32</v>
      </c>
      <c r="AR59" s="1034"/>
      <c r="AS59" s="1017"/>
      <c r="AT59" s="1040"/>
      <c r="AU59" s="1036"/>
      <c r="AV59" s="1034"/>
      <c r="AW59" s="1017">
        <v>41967</v>
      </c>
      <c r="AX59" s="1040" t="s">
        <v>10290</v>
      </c>
      <c r="AY59" s="1036">
        <v>41</v>
      </c>
      <c r="AZ59" s="1034"/>
      <c r="BA59" s="1017">
        <v>42336</v>
      </c>
      <c r="BB59" s="1040" t="s">
        <v>9914</v>
      </c>
      <c r="BC59" s="1384">
        <v>2899</v>
      </c>
      <c r="BD59" s="1378">
        <f t="shared" si="2"/>
        <v>46.015873015873019</v>
      </c>
      <c r="BE59" s="1017">
        <v>42701</v>
      </c>
      <c r="BF59" s="1040" t="s">
        <v>10291</v>
      </c>
      <c r="BG59" s="1065">
        <v>28</v>
      </c>
      <c r="BH59" s="1034"/>
      <c r="BI59" s="1017">
        <v>43062</v>
      </c>
      <c r="BJ59" s="1040" t="s">
        <v>10292</v>
      </c>
      <c r="BK59" s="1065">
        <v>56</v>
      </c>
      <c r="BL59" s="1034"/>
      <c r="BM59" s="1017">
        <v>43428</v>
      </c>
      <c r="BN59" s="1040" t="s">
        <v>872</v>
      </c>
      <c r="BO59" s="1065">
        <v>8</v>
      </c>
      <c r="BP59" s="1034"/>
      <c r="BQ59" s="1017">
        <v>43792</v>
      </c>
      <c r="BR59" s="1019" t="s">
        <v>873</v>
      </c>
      <c r="BS59" s="1020">
        <v>31</v>
      </c>
      <c r="BT59" s="1018" t="s">
        <v>414</v>
      </c>
      <c r="BU59" s="1017">
        <v>44155</v>
      </c>
      <c r="BV59" s="1019" t="s">
        <v>10293</v>
      </c>
      <c r="BW59" s="1020">
        <v>135</v>
      </c>
      <c r="BX59" s="1018" t="s">
        <v>701</v>
      </c>
      <c r="BY59" s="1017">
        <v>44524</v>
      </c>
      <c r="BZ59" s="1019" t="s">
        <v>805</v>
      </c>
      <c r="CA59" s="1020">
        <v>22</v>
      </c>
      <c r="CB59" s="1018" t="s">
        <v>280</v>
      </c>
      <c r="CC59" s="1017">
        <v>44891</v>
      </c>
      <c r="CD59" s="1019" t="s">
        <v>10294</v>
      </c>
      <c r="CE59" s="1058">
        <v>21</v>
      </c>
      <c r="CF59" s="1334" t="s">
        <v>414</v>
      </c>
      <c r="CG59" s="1326">
        <v>45252</v>
      </c>
      <c r="CH59" s="1019" t="s">
        <v>10295</v>
      </c>
      <c r="CI59" s="1058">
        <v>30</v>
      </c>
      <c r="CJ59" s="1323" t="s">
        <v>278</v>
      </c>
      <c r="CK59" s="1326">
        <v>45612</v>
      </c>
      <c r="CL59" s="1019" t="s">
        <v>10042</v>
      </c>
      <c r="CM59" s="1058">
        <v>53</v>
      </c>
      <c r="CN59" s="1323" t="s">
        <v>414</v>
      </c>
    </row>
    <row r="60" spans="1:92">
      <c r="A60" s="1077">
        <v>37584</v>
      </c>
      <c r="B60" s="1040" t="s">
        <v>10296</v>
      </c>
      <c r="C60" s="1036">
        <v>110</v>
      </c>
      <c r="D60" s="1034"/>
      <c r="E60" s="1017">
        <v>37951</v>
      </c>
      <c r="F60" s="1040" t="s">
        <v>10297</v>
      </c>
      <c r="G60" s="1036">
        <v>31</v>
      </c>
      <c r="H60" s="1034"/>
      <c r="I60" s="1017"/>
      <c r="J60" s="1040"/>
      <c r="K60" s="1036"/>
      <c r="L60" s="1034"/>
      <c r="M60" s="1017"/>
      <c r="N60" s="1040"/>
      <c r="O60" s="1036"/>
      <c r="P60" s="1034"/>
      <c r="Q60" s="1017"/>
      <c r="R60" s="1040"/>
      <c r="S60" s="1036"/>
      <c r="T60" s="1034"/>
      <c r="U60" s="1017"/>
      <c r="V60" s="1040"/>
      <c r="W60" s="1036"/>
      <c r="X60" s="1034"/>
      <c r="Y60" s="1017">
        <v>39781</v>
      </c>
      <c r="Z60" s="1040" t="s">
        <v>767</v>
      </c>
      <c r="AA60" s="1036">
        <v>15</v>
      </c>
      <c r="AB60" s="1034"/>
      <c r="AC60" s="1017"/>
      <c r="AD60" s="1040"/>
      <c r="AE60" s="1036"/>
      <c r="AF60" s="1034"/>
      <c r="AG60" s="1017">
        <v>40509</v>
      </c>
      <c r="AH60" s="1040" t="s">
        <v>10298</v>
      </c>
      <c r="AI60" s="1036">
        <v>25</v>
      </c>
      <c r="AJ60" s="1034"/>
      <c r="AK60" s="1017"/>
      <c r="AL60" s="1040"/>
      <c r="AM60" s="1036"/>
      <c r="AN60" s="1034"/>
      <c r="AO60" s="1017">
        <v>41239</v>
      </c>
      <c r="AP60" s="1040" t="s">
        <v>10299</v>
      </c>
      <c r="AQ60" s="1036">
        <v>27</v>
      </c>
      <c r="AR60" s="1034"/>
      <c r="AS60" s="1017"/>
      <c r="AT60" s="1040"/>
      <c r="AU60" s="1036"/>
      <c r="AV60" s="1034"/>
      <c r="AW60" s="1017">
        <v>41968</v>
      </c>
      <c r="AX60" s="1040" t="s">
        <v>754</v>
      </c>
      <c r="AY60" s="1036">
        <v>156</v>
      </c>
      <c r="AZ60" s="1034"/>
      <c r="BA60" s="1017">
        <v>42336</v>
      </c>
      <c r="BB60" s="1040" t="s">
        <v>10300</v>
      </c>
      <c r="BC60" s="1384">
        <v>2799</v>
      </c>
      <c r="BD60" s="1378">
        <f t="shared" si="2"/>
        <v>44.428571428571431</v>
      </c>
      <c r="BE60" s="1017">
        <v>42703</v>
      </c>
      <c r="BF60" s="1040" t="s">
        <v>10301</v>
      </c>
      <c r="BG60" s="1065">
        <v>8</v>
      </c>
      <c r="BH60" s="1034"/>
      <c r="BI60" s="1017">
        <v>43062</v>
      </c>
      <c r="BJ60" s="1040" t="s">
        <v>10302</v>
      </c>
      <c r="BK60" s="1065" t="s">
        <v>37</v>
      </c>
      <c r="BL60" s="1034"/>
      <c r="BM60" s="1017">
        <v>43428</v>
      </c>
      <c r="BN60" s="1040" t="s">
        <v>772</v>
      </c>
      <c r="BO60" s="1065">
        <v>12</v>
      </c>
      <c r="BP60" s="1034"/>
      <c r="BQ60" s="1017">
        <v>43792</v>
      </c>
      <c r="BR60" s="1019" t="s">
        <v>9832</v>
      </c>
      <c r="BS60" s="1020">
        <v>6</v>
      </c>
      <c r="BT60" s="1018" t="s">
        <v>700</v>
      </c>
      <c r="BU60" s="1017">
        <v>44155</v>
      </c>
      <c r="BV60" s="1019" t="s">
        <v>10303</v>
      </c>
      <c r="BW60" s="1020">
        <v>18</v>
      </c>
      <c r="BX60" s="1018" t="s">
        <v>280</v>
      </c>
      <c r="BY60" s="1017">
        <v>44526</v>
      </c>
      <c r="BZ60" s="1019" t="s">
        <v>10304</v>
      </c>
      <c r="CA60" s="1020"/>
      <c r="CB60" s="1018"/>
      <c r="CC60" s="1017">
        <v>44891</v>
      </c>
      <c r="CD60" s="1019" t="s">
        <v>1659</v>
      </c>
      <c r="CE60" s="1058">
        <v>21</v>
      </c>
      <c r="CF60" s="1334" t="s">
        <v>693</v>
      </c>
      <c r="CG60" s="1326">
        <v>45252</v>
      </c>
      <c r="CH60" s="1019" t="s">
        <v>10305</v>
      </c>
      <c r="CI60" s="1058">
        <v>14</v>
      </c>
      <c r="CJ60" s="1323" t="s">
        <v>278</v>
      </c>
      <c r="CK60" s="1326">
        <v>45612</v>
      </c>
      <c r="CL60" s="1019" t="s">
        <v>10060</v>
      </c>
      <c r="CM60" s="1058">
        <v>77</v>
      </c>
      <c r="CN60" s="1323" t="s">
        <v>700</v>
      </c>
    </row>
    <row r="61" spans="1:92">
      <c r="A61" s="1077">
        <v>37584</v>
      </c>
      <c r="B61" s="1040" t="s">
        <v>10306</v>
      </c>
      <c r="C61" s="1036">
        <v>60</v>
      </c>
      <c r="D61" s="1034"/>
      <c r="E61" s="1017">
        <v>37951</v>
      </c>
      <c r="F61" s="1040" t="s">
        <v>937</v>
      </c>
      <c r="G61" s="1036">
        <v>7</v>
      </c>
      <c r="H61" s="1034"/>
      <c r="I61" s="1017"/>
      <c r="J61" s="1040"/>
      <c r="K61" s="1036"/>
      <c r="L61" s="1034"/>
      <c r="M61" s="1017"/>
      <c r="N61" s="1040"/>
      <c r="O61" s="1036"/>
      <c r="P61" s="1034"/>
      <c r="Q61" s="1017"/>
      <c r="R61" s="1040"/>
      <c r="S61" s="1036"/>
      <c r="T61" s="1034"/>
      <c r="U61" s="1017"/>
      <c r="V61" s="1040"/>
      <c r="W61" s="1036"/>
      <c r="X61" s="1034"/>
      <c r="Y61" s="1017">
        <v>39782</v>
      </c>
      <c r="Z61" s="1040" t="s">
        <v>10240</v>
      </c>
      <c r="AA61" s="1036">
        <v>350</v>
      </c>
      <c r="AB61" s="1034"/>
      <c r="AC61" s="1017"/>
      <c r="AD61" s="1040"/>
      <c r="AE61" s="1036"/>
      <c r="AF61" s="1034"/>
      <c r="AG61" s="1017">
        <v>40510</v>
      </c>
      <c r="AH61" s="1040" t="s">
        <v>10307</v>
      </c>
      <c r="AI61" s="1036">
        <v>50</v>
      </c>
      <c r="AJ61" s="1034"/>
      <c r="AK61" s="1017"/>
      <c r="AL61" s="1040"/>
      <c r="AM61" s="1036"/>
      <c r="AN61" s="1034"/>
      <c r="AO61" s="1017">
        <v>41239</v>
      </c>
      <c r="AP61" s="1040" t="s">
        <v>797</v>
      </c>
      <c r="AQ61" s="1036">
        <v>58</v>
      </c>
      <c r="AR61" s="1034"/>
      <c r="AS61" s="1017"/>
      <c r="AT61" s="1040"/>
      <c r="AU61" s="1036"/>
      <c r="AV61" s="1034"/>
      <c r="AW61" s="1017">
        <v>41968</v>
      </c>
      <c r="AX61" s="1040" t="s">
        <v>772</v>
      </c>
      <c r="AY61" s="1036">
        <v>28</v>
      </c>
      <c r="AZ61" s="1034"/>
      <c r="BA61" s="1017">
        <v>42336</v>
      </c>
      <c r="BB61" s="1040" t="s">
        <v>10308</v>
      </c>
      <c r="BC61" s="1384">
        <v>680</v>
      </c>
      <c r="BD61" s="1378">
        <f t="shared" si="2"/>
        <v>10.793650793650794</v>
      </c>
      <c r="BE61" s="1017">
        <v>42703</v>
      </c>
      <c r="BF61" s="1040" t="s">
        <v>10309</v>
      </c>
      <c r="BG61" s="1065">
        <v>7</v>
      </c>
      <c r="BH61" s="1034"/>
      <c r="BI61" s="1017">
        <v>43062</v>
      </c>
      <c r="BJ61" s="1040" t="s">
        <v>10310</v>
      </c>
      <c r="BK61" s="1065">
        <v>0</v>
      </c>
      <c r="BL61" s="1034"/>
      <c r="BM61" s="1017">
        <v>43428</v>
      </c>
      <c r="BN61" s="1040" t="s">
        <v>873</v>
      </c>
      <c r="BO61" s="1065">
        <v>12</v>
      </c>
      <c r="BP61" s="1034"/>
      <c r="BQ61" s="1017">
        <v>43792</v>
      </c>
      <c r="BR61" s="1019" t="s">
        <v>872</v>
      </c>
      <c r="BS61" s="1020">
        <v>32</v>
      </c>
      <c r="BT61" s="1018" t="s">
        <v>414</v>
      </c>
      <c r="BU61" s="1017">
        <v>44155</v>
      </c>
      <c r="BV61" s="1019" t="s">
        <v>10311</v>
      </c>
      <c r="BW61" s="1020">
        <v>67</v>
      </c>
      <c r="BX61" s="1018" t="s">
        <v>280</v>
      </c>
      <c r="BY61" s="1017">
        <v>44526</v>
      </c>
      <c r="BZ61" s="1019" t="s">
        <v>10312</v>
      </c>
      <c r="CA61" s="1020">
        <v>2</v>
      </c>
      <c r="CB61" s="1018" t="s">
        <v>698</v>
      </c>
      <c r="CC61" s="1017">
        <v>44891</v>
      </c>
      <c r="CD61" s="1019" t="s">
        <v>10313</v>
      </c>
      <c r="CE61" s="1058">
        <v>20</v>
      </c>
      <c r="CF61" s="1334" t="s">
        <v>414</v>
      </c>
      <c r="CG61" s="1326">
        <v>45252</v>
      </c>
      <c r="CH61" s="1019" t="s">
        <v>10314</v>
      </c>
      <c r="CI61" s="1058">
        <v>65</v>
      </c>
      <c r="CJ61" s="1323" t="s">
        <v>278</v>
      </c>
      <c r="CK61" s="1326">
        <v>45612</v>
      </c>
      <c r="CL61" s="1019" t="s">
        <v>10075</v>
      </c>
      <c r="CM61" s="1058">
        <v>17</v>
      </c>
      <c r="CN61" s="1323" t="s">
        <v>280</v>
      </c>
    </row>
    <row r="62" spans="1:92">
      <c r="A62" s="1077">
        <v>37584</v>
      </c>
      <c r="B62" s="1040" t="s">
        <v>10315</v>
      </c>
      <c r="C62" s="1036">
        <v>30</v>
      </c>
      <c r="D62" s="1034"/>
      <c r="E62" s="1017">
        <v>37951</v>
      </c>
      <c r="F62" s="1040" t="s">
        <v>10316</v>
      </c>
      <c r="G62" s="1036">
        <v>9</v>
      </c>
      <c r="H62" s="1034"/>
      <c r="I62" s="1017"/>
      <c r="J62" s="1040"/>
      <c r="K62" s="1036"/>
      <c r="L62" s="1034"/>
      <c r="M62" s="1017"/>
      <c r="N62" s="1040"/>
      <c r="O62" s="1036"/>
      <c r="P62" s="1034"/>
      <c r="Q62" s="1017"/>
      <c r="R62" s="1040"/>
      <c r="S62" s="1036"/>
      <c r="T62" s="1034"/>
      <c r="U62" s="1017"/>
      <c r="V62" s="1040"/>
      <c r="W62" s="1036"/>
      <c r="X62" s="1034"/>
      <c r="Y62" s="1017">
        <v>39782</v>
      </c>
      <c r="Z62" s="1040" t="s">
        <v>10317</v>
      </c>
      <c r="AA62" s="1036">
        <v>10</v>
      </c>
      <c r="AB62" s="1034"/>
      <c r="AC62" s="1017"/>
      <c r="AD62" s="1040"/>
      <c r="AE62" s="1036"/>
      <c r="AF62" s="1034"/>
      <c r="AG62" s="1017">
        <v>40511</v>
      </c>
      <c r="AH62" s="1040" t="s">
        <v>10318</v>
      </c>
      <c r="AI62" s="1036">
        <v>425</v>
      </c>
      <c r="AJ62" s="1034"/>
      <c r="AK62" s="1017"/>
      <c r="AL62" s="1040"/>
      <c r="AM62" s="1036"/>
      <c r="AN62" s="1034"/>
      <c r="AO62" s="1017">
        <v>41240</v>
      </c>
      <c r="AP62" s="1040" t="s">
        <v>10319</v>
      </c>
      <c r="AQ62" s="1036">
        <v>10</v>
      </c>
      <c r="AR62" s="1034"/>
      <c r="AS62" s="1017"/>
      <c r="AT62" s="1040"/>
      <c r="AU62" s="1036"/>
      <c r="AV62" s="1034"/>
      <c r="AW62" s="1017">
        <v>41968</v>
      </c>
      <c r="AX62" s="1040" t="s">
        <v>1770</v>
      </c>
      <c r="AY62" s="1036">
        <v>15</v>
      </c>
      <c r="AZ62" s="1034"/>
      <c r="BA62" s="1017">
        <v>42336</v>
      </c>
      <c r="BB62" s="1040" t="s">
        <v>10320</v>
      </c>
      <c r="BC62" s="1384">
        <v>400</v>
      </c>
      <c r="BD62" s="1378">
        <f t="shared" si="2"/>
        <v>6.3492063492063489</v>
      </c>
      <c r="BE62" s="1017">
        <v>42703</v>
      </c>
      <c r="BF62" s="1040" t="s">
        <v>10321</v>
      </c>
      <c r="BG62" s="1065">
        <v>10</v>
      </c>
      <c r="BH62" s="1034"/>
      <c r="BI62" s="1017">
        <v>43062</v>
      </c>
      <c r="BJ62" s="1040" t="s">
        <v>10322</v>
      </c>
      <c r="BK62" s="1065">
        <v>67</v>
      </c>
      <c r="BL62" s="1034"/>
      <c r="BM62" s="1017">
        <v>43429</v>
      </c>
      <c r="BN62" s="1040" t="s">
        <v>10323</v>
      </c>
      <c r="BO62" s="1065">
        <v>41</v>
      </c>
      <c r="BP62" s="1034"/>
      <c r="BQ62" s="1017">
        <v>43792</v>
      </c>
      <c r="BR62" s="1019" t="s">
        <v>772</v>
      </c>
      <c r="BS62" s="1020">
        <v>12</v>
      </c>
      <c r="BT62" s="1018" t="s">
        <v>414</v>
      </c>
      <c r="BU62" s="1017">
        <v>44155</v>
      </c>
      <c r="BV62" s="1019" t="s">
        <v>10324</v>
      </c>
      <c r="BW62" s="1020">
        <v>65</v>
      </c>
      <c r="BX62" s="1018" t="s">
        <v>280</v>
      </c>
      <c r="BY62" s="1017">
        <v>44527</v>
      </c>
      <c r="BZ62" s="1019" t="s">
        <v>843</v>
      </c>
      <c r="CA62" s="1020">
        <v>26</v>
      </c>
      <c r="CB62" s="1018" t="s">
        <v>414</v>
      </c>
      <c r="CC62" s="1017">
        <v>44891</v>
      </c>
      <c r="CD62" s="1019" t="s">
        <v>10325</v>
      </c>
      <c r="CE62" s="1058">
        <v>15</v>
      </c>
      <c r="CF62" s="1334" t="s">
        <v>701</v>
      </c>
      <c r="CG62" s="1326">
        <v>45253</v>
      </c>
      <c r="CH62" s="1019" t="s">
        <v>10326</v>
      </c>
      <c r="CI62" s="1058">
        <v>65</v>
      </c>
      <c r="CJ62" s="1323" t="s">
        <v>414</v>
      </c>
      <c r="CK62" s="1326">
        <v>45612</v>
      </c>
      <c r="CL62" s="1019" t="s">
        <v>1750</v>
      </c>
      <c r="CM62" s="1058">
        <v>21</v>
      </c>
      <c r="CN62" s="1323" t="s">
        <v>414</v>
      </c>
    </row>
    <row r="63" spans="1:92">
      <c r="A63" s="1077">
        <v>37584</v>
      </c>
      <c r="B63" s="1040" t="s">
        <v>1189</v>
      </c>
      <c r="C63" s="1036">
        <v>23</v>
      </c>
      <c r="D63" s="1034"/>
      <c r="E63" s="1017">
        <v>37952</v>
      </c>
      <c r="F63" s="1040" t="s">
        <v>10327</v>
      </c>
      <c r="G63" s="1036">
        <v>20</v>
      </c>
      <c r="H63" s="1034"/>
      <c r="I63" s="1017"/>
      <c r="J63" s="1040"/>
      <c r="K63" s="1036"/>
      <c r="L63" s="1034"/>
      <c r="M63" s="1017"/>
      <c r="N63" s="1040"/>
      <c r="O63" s="1036"/>
      <c r="P63" s="1034"/>
      <c r="Q63" s="1017"/>
      <c r="R63" s="1040"/>
      <c r="S63" s="1036"/>
      <c r="T63" s="1034"/>
      <c r="U63" s="1017"/>
      <c r="V63" s="1040"/>
      <c r="W63" s="1036"/>
      <c r="X63" s="1034"/>
      <c r="Y63" s="1017"/>
      <c r="Z63" s="1040"/>
      <c r="AA63" s="1036"/>
      <c r="AB63" s="1034"/>
      <c r="AC63" s="1017"/>
      <c r="AD63" s="1040"/>
      <c r="AE63" s="1036"/>
      <c r="AF63" s="1034"/>
      <c r="AG63" s="1017">
        <v>40511</v>
      </c>
      <c r="AH63" s="1040" t="s">
        <v>7679</v>
      </c>
      <c r="AI63" s="1036">
        <v>6</v>
      </c>
      <c r="AJ63" s="1034"/>
      <c r="AK63" s="1017"/>
      <c r="AL63" s="1040"/>
      <c r="AM63" s="1036"/>
      <c r="AN63" s="1034"/>
      <c r="AO63" s="1017">
        <v>41240</v>
      </c>
      <c r="AP63" s="1040" t="s">
        <v>787</v>
      </c>
      <c r="AQ63" s="1036">
        <v>20</v>
      </c>
      <c r="AR63" s="1034"/>
      <c r="AS63" s="1017"/>
      <c r="AT63" s="1040"/>
      <c r="AU63" s="1036"/>
      <c r="AV63" s="1034"/>
      <c r="AW63" s="1017">
        <v>41969</v>
      </c>
      <c r="AX63" s="1040" t="s">
        <v>10328</v>
      </c>
      <c r="AY63" s="1036">
        <v>293</v>
      </c>
      <c r="AZ63" s="1034"/>
      <c r="BA63" s="1017">
        <v>42336</v>
      </c>
      <c r="BB63" s="1040" t="s">
        <v>10329</v>
      </c>
      <c r="BC63" s="1384">
        <v>1000</v>
      </c>
      <c r="BD63" s="1378">
        <f t="shared" si="2"/>
        <v>15.873015873015873</v>
      </c>
      <c r="BE63" s="1017"/>
      <c r="BF63" s="1040"/>
      <c r="BG63" s="1065"/>
      <c r="BH63" s="1034"/>
      <c r="BI63" s="1017">
        <v>43063</v>
      </c>
      <c r="BJ63" s="1040" t="s">
        <v>1849</v>
      </c>
      <c r="BK63" s="1065">
        <v>12</v>
      </c>
      <c r="BL63" s="1034"/>
      <c r="BM63" s="1017">
        <v>43429</v>
      </c>
      <c r="BN63" s="1040" t="s">
        <v>797</v>
      </c>
      <c r="BO63" s="1065">
        <v>50</v>
      </c>
      <c r="BP63" s="1034"/>
      <c r="BQ63" s="1017">
        <v>43792</v>
      </c>
      <c r="BR63" s="1019" t="s">
        <v>845</v>
      </c>
      <c r="BS63" s="1020">
        <v>44</v>
      </c>
      <c r="BT63" s="1018" t="s">
        <v>414</v>
      </c>
      <c r="BU63" s="1017">
        <v>44155</v>
      </c>
      <c r="BV63" s="1019" t="s">
        <v>10330</v>
      </c>
      <c r="BW63" s="1020">
        <v>18</v>
      </c>
      <c r="BX63" s="1018" t="s">
        <v>280</v>
      </c>
      <c r="BY63" s="1017">
        <v>44527</v>
      </c>
      <c r="BZ63" s="1019" t="s">
        <v>845</v>
      </c>
      <c r="CA63" s="1020">
        <v>34</v>
      </c>
      <c r="CB63" s="1018" t="s">
        <v>414</v>
      </c>
      <c r="CC63" s="1017">
        <v>44891</v>
      </c>
      <c r="CD63" s="1019" t="s">
        <v>10331</v>
      </c>
      <c r="CE63" s="1058">
        <v>10</v>
      </c>
      <c r="CF63" s="1334" t="s">
        <v>414</v>
      </c>
      <c r="CG63" s="1326">
        <v>45253</v>
      </c>
      <c r="CH63" s="1019" t="s">
        <v>10332</v>
      </c>
      <c r="CI63" s="1058">
        <v>92</v>
      </c>
      <c r="CJ63" s="1323" t="s">
        <v>690</v>
      </c>
      <c r="CK63" s="1326">
        <v>45612</v>
      </c>
      <c r="CL63" s="1019" t="s">
        <v>10100</v>
      </c>
      <c r="CM63" s="1058">
        <v>25</v>
      </c>
      <c r="CN63" s="1323" t="s">
        <v>700</v>
      </c>
    </row>
    <row r="64" spans="1:92">
      <c r="A64" s="1077">
        <v>37584</v>
      </c>
      <c r="B64" s="1040" t="s">
        <v>915</v>
      </c>
      <c r="C64" s="1036">
        <v>17</v>
      </c>
      <c r="D64" s="1034"/>
      <c r="E64" s="1017">
        <v>37952</v>
      </c>
      <c r="F64" s="1040" t="s">
        <v>10333</v>
      </c>
      <c r="G64" s="1036">
        <v>5</v>
      </c>
      <c r="H64" s="1034"/>
      <c r="I64" s="1017"/>
      <c r="J64" s="1040"/>
      <c r="K64" s="1036"/>
      <c r="L64" s="1034"/>
      <c r="M64" s="1017"/>
      <c r="N64" s="1040"/>
      <c r="O64" s="1036"/>
      <c r="P64" s="1034"/>
      <c r="Q64" s="1017"/>
      <c r="R64" s="1040"/>
      <c r="S64" s="1036"/>
      <c r="T64" s="1034"/>
      <c r="U64" s="1017"/>
      <c r="V64" s="1040"/>
      <c r="W64" s="1036"/>
      <c r="X64" s="1034"/>
      <c r="Y64" s="1017"/>
      <c r="Z64" s="1040"/>
      <c r="AA64" s="1036"/>
      <c r="AB64" s="1034"/>
      <c r="AC64" s="1017"/>
      <c r="AD64" s="1040"/>
      <c r="AE64" s="1036"/>
      <c r="AF64" s="1034"/>
      <c r="AG64" s="1017">
        <v>40511</v>
      </c>
      <c r="AH64" s="1040" t="s">
        <v>10334</v>
      </c>
      <c r="AI64" s="1036">
        <v>6</v>
      </c>
      <c r="AJ64" s="1034"/>
      <c r="AK64" s="1017"/>
      <c r="AL64" s="1040"/>
      <c r="AM64" s="1036"/>
      <c r="AN64" s="1034"/>
      <c r="AO64" s="1017">
        <v>41240</v>
      </c>
      <c r="AP64" s="1040" t="s">
        <v>886</v>
      </c>
      <c r="AQ64" s="1036">
        <v>30</v>
      </c>
      <c r="AR64" s="1034"/>
      <c r="AS64" s="1017"/>
      <c r="AT64" s="1040"/>
      <c r="AU64" s="1036"/>
      <c r="AV64" s="1034"/>
      <c r="AW64" s="1017">
        <v>41969</v>
      </c>
      <c r="AX64" s="1040" t="s">
        <v>2691</v>
      </c>
      <c r="AY64" s="1036">
        <v>14</v>
      </c>
      <c r="AZ64" s="1034"/>
      <c r="BA64" s="1017">
        <v>42337</v>
      </c>
      <c r="BB64" s="1040" t="s">
        <v>10335</v>
      </c>
      <c r="BC64" s="1384">
        <v>1200</v>
      </c>
      <c r="BD64" s="1378">
        <f t="shared" si="2"/>
        <v>19.047619047619047</v>
      </c>
      <c r="BE64" s="1017"/>
      <c r="BF64" s="1040"/>
      <c r="BG64" s="1065"/>
      <c r="BH64" s="1034"/>
      <c r="BI64" s="1017">
        <v>43063</v>
      </c>
      <c r="BJ64" s="1040" t="s">
        <v>10336</v>
      </c>
      <c r="BK64" s="1065">
        <v>26</v>
      </c>
      <c r="BL64" s="1034"/>
      <c r="BM64" s="1017">
        <v>43430</v>
      </c>
      <c r="BN64" s="1040" t="s">
        <v>9746</v>
      </c>
      <c r="BO64" s="1065">
        <v>13</v>
      </c>
      <c r="BP64" s="1034"/>
      <c r="BQ64" s="1017">
        <v>43792</v>
      </c>
      <c r="BR64" s="1019" t="s">
        <v>1180</v>
      </c>
      <c r="BS64" s="1020">
        <v>83</v>
      </c>
      <c r="BT64" s="1018" t="s">
        <v>410</v>
      </c>
      <c r="BU64" s="1017">
        <v>44155</v>
      </c>
      <c r="BV64" s="1019" t="s">
        <v>10337</v>
      </c>
      <c r="BW64" s="1020">
        <v>27</v>
      </c>
      <c r="BX64" s="1018" t="s">
        <v>701</v>
      </c>
      <c r="BY64" s="1017">
        <v>44527</v>
      </c>
      <c r="BZ64" s="1019" t="s">
        <v>772</v>
      </c>
      <c r="CA64" s="1020">
        <v>9</v>
      </c>
      <c r="CB64" s="1018" t="s">
        <v>414</v>
      </c>
      <c r="CC64" s="1017">
        <v>44891</v>
      </c>
      <c r="CD64" s="1019" t="s">
        <v>1750</v>
      </c>
      <c r="CE64" s="1058">
        <v>17</v>
      </c>
      <c r="CF64" s="1334" t="s">
        <v>414</v>
      </c>
      <c r="CG64" s="1326">
        <v>45253</v>
      </c>
      <c r="CH64" s="1019" t="s">
        <v>5186</v>
      </c>
      <c r="CI64" s="1058">
        <v>500</v>
      </c>
      <c r="CJ64" s="1323" t="s">
        <v>696</v>
      </c>
      <c r="CK64" s="1326">
        <v>45612</v>
      </c>
      <c r="CL64" s="1019" t="s">
        <v>10112</v>
      </c>
      <c r="CM64" s="1058">
        <v>25</v>
      </c>
      <c r="CN64" s="1323" t="s">
        <v>700</v>
      </c>
    </row>
    <row r="65" spans="1:92">
      <c r="A65" s="1077">
        <v>37585</v>
      </c>
      <c r="B65" s="1040" t="s">
        <v>10338</v>
      </c>
      <c r="C65" s="1036">
        <v>535</v>
      </c>
      <c r="D65" s="1034"/>
      <c r="E65" s="1017">
        <v>37953</v>
      </c>
      <c r="F65" s="1040" t="s">
        <v>10339</v>
      </c>
      <c r="G65" s="1036">
        <v>63</v>
      </c>
      <c r="H65" s="1034"/>
      <c r="I65" s="1017"/>
      <c r="J65" s="1040"/>
      <c r="K65" s="1036"/>
      <c r="L65" s="1034"/>
      <c r="M65" s="1017"/>
      <c r="N65" s="1040"/>
      <c r="O65" s="1036"/>
      <c r="P65" s="1034"/>
      <c r="Q65" s="1017"/>
      <c r="R65" s="1040"/>
      <c r="S65" s="1036"/>
      <c r="T65" s="1034"/>
      <c r="U65" s="1017"/>
      <c r="V65" s="1040"/>
      <c r="W65" s="1036"/>
      <c r="X65" s="1034"/>
      <c r="Y65" s="1017"/>
      <c r="Z65" s="1040"/>
      <c r="AA65" s="1036"/>
      <c r="AB65" s="1034"/>
      <c r="AC65" s="1017"/>
      <c r="AD65" s="1040"/>
      <c r="AE65" s="1036"/>
      <c r="AF65" s="1034"/>
      <c r="AG65" s="1017">
        <v>40511</v>
      </c>
      <c r="AH65" s="1040" t="s">
        <v>937</v>
      </c>
      <c r="AI65" s="1036">
        <v>6</v>
      </c>
      <c r="AJ65" s="1034"/>
      <c r="AK65" s="1017"/>
      <c r="AL65" s="1040"/>
      <c r="AM65" s="1036"/>
      <c r="AN65" s="1034"/>
      <c r="AO65" s="1017">
        <v>41241</v>
      </c>
      <c r="AP65" s="1040" t="s">
        <v>10340</v>
      </c>
      <c r="AQ65" s="1036">
        <v>15</v>
      </c>
      <c r="AR65" s="1034"/>
      <c r="AS65" s="1017"/>
      <c r="AT65" s="1040"/>
      <c r="AU65" s="1036"/>
      <c r="AV65" s="1034"/>
      <c r="AW65" s="1017">
        <v>41969</v>
      </c>
      <c r="AX65" s="1040" t="s">
        <v>10341</v>
      </c>
      <c r="AY65" s="1036">
        <v>11</v>
      </c>
      <c r="AZ65" s="1034"/>
      <c r="BA65" s="1017">
        <v>42337</v>
      </c>
      <c r="BB65" s="1040" t="s">
        <v>10342</v>
      </c>
      <c r="BC65" s="1384">
        <v>2022</v>
      </c>
      <c r="BD65" s="1378">
        <f t="shared" si="2"/>
        <v>32.095238095238095</v>
      </c>
      <c r="BE65" s="1017"/>
      <c r="BF65" s="1040"/>
      <c r="BG65" s="1065"/>
      <c r="BH65" s="1034"/>
      <c r="BI65" s="1017">
        <v>43063</v>
      </c>
      <c r="BJ65" s="1040" t="s">
        <v>873</v>
      </c>
      <c r="BK65" s="1065">
        <v>52</v>
      </c>
      <c r="BL65" s="1034"/>
      <c r="BM65" s="1017">
        <v>43430</v>
      </c>
      <c r="BN65" s="1040" t="s">
        <v>10343</v>
      </c>
      <c r="BO65" s="1065">
        <v>155</v>
      </c>
      <c r="BP65" s="1034"/>
      <c r="BQ65" s="1017">
        <v>43792</v>
      </c>
      <c r="BR65" s="1019" t="s">
        <v>10344</v>
      </c>
      <c r="BS65" s="1020"/>
      <c r="BT65" s="1018"/>
      <c r="BU65" s="1017">
        <v>44155</v>
      </c>
      <c r="BV65" s="1019" t="s">
        <v>10345</v>
      </c>
      <c r="BW65" s="1020">
        <v>27</v>
      </c>
      <c r="BX65" s="1018" t="s">
        <v>280</v>
      </c>
      <c r="BY65" s="1017">
        <v>44527</v>
      </c>
      <c r="BZ65" s="1019" t="s">
        <v>4372</v>
      </c>
      <c r="CA65" s="1020">
        <v>16</v>
      </c>
      <c r="CB65" s="1018" t="s">
        <v>414</v>
      </c>
      <c r="CC65" s="1017">
        <v>44891</v>
      </c>
      <c r="CD65" s="1019" t="s">
        <v>2012</v>
      </c>
      <c r="CE65" s="1058">
        <v>0</v>
      </c>
      <c r="CF65" s="1334" t="s">
        <v>414</v>
      </c>
      <c r="CG65" s="1326">
        <v>45253</v>
      </c>
      <c r="CH65" s="1019" t="s">
        <v>10346</v>
      </c>
      <c r="CI65" s="1058">
        <v>16</v>
      </c>
      <c r="CJ65" s="1323" t="s">
        <v>278</v>
      </c>
      <c r="CK65" s="1326">
        <v>45612</v>
      </c>
      <c r="CL65" s="1019" t="s">
        <v>7725</v>
      </c>
      <c r="CM65" s="1058">
        <v>5</v>
      </c>
      <c r="CN65" s="1323" t="s">
        <v>414</v>
      </c>
    </row>
    <row r="66" spans="1:92">
      <c r="A66" s="1077">
        <v>37585</v>
      </c>
      <c r="B66" s="1040" t="s">
        <v>1594</v>
      </c>
      <c r="C66" s="1036"/>
      <c r="D66" s="1034">
        <v>10</v>
      </c>
      <c r="E66" s="1017">
        <v>37953</v>
      </c>
      <c r="F66" s="1040" t="s">
        <v>10347</v>
      </c>
      <c r="G66" s="1036">
        <v>15</v>
      </c>
      <c r="H66" s="1034"/>
      <c r="I66" s="1017"/>
      <c r="J66" s="1040"/>
      <c r="K66" s="1036"/>
      <c r="L66" s="1034"/>
      <c r="M66" s="1017"/>
      <c r="N66" s="1040"/>
      <c r="O66" s="1036"/>
      <c r="P66" s="1034"/>
      <c r="Q66" s="1017"/>
      <c r="R66" s="1040"/>
      <c r="S66" s="1036"/>
      <c r="T66" s="1034"/>
      <c r="U66" s="1017"/>
      <c r="V66" s="1040"/>
      <c r="W66" s="1036"/>
      <c r="X66" s="1034"/>
      <c r="Y66" s="1017"/>
      <c r="Z66" s="1040"/>
      <c r="AA66" s="1036"/>
      <c r="AB66" s="1034"/>
      <c r="AC66" s="1017"/>
      <c r="AD66" s="1040"/>
      <c r="AE66" s="1036"/>
      <c r="AF66" s="1034"/>
      <c r="AG66" s="1017">
        <v>40511</v>
      </c>
      <c r="AH66" s="1040" t="s">
        <v>797</v>
      </c>
      <c r="AI66" s="1036">
        <v>54</v>
      </c>
      <c r="AJ66" s="1034"/>
      <c r="AK66" s="1017"/>
      <c r="AL66" s="1040"/>
      <c r="AM66" s="1036"/>
      <c r="AN66" s="1034"/>
      <c r="AO66" s="1017">
        <v>41242</v>
      </c>
      <c r="AP66" s="1040" t="s">
        <v>10348</v>
      </c>
      <c r="AQ66" s="1036">
        <v>25</v>
      </c>
      <c r="AR66" s="1034"/>
      <c r="AS66" s="1017"/>
      <c r="AT66" s="1040"/>
      <c r="AU66" s="1036"/>
      <c r="AV66" s="1034"/>
      <c r="AW66" s="1017">
        <v>41969</v>
      </c>
      <c r="AX66" s="1040" t="s">
        <v>10349</v>
      </c>
      <c r="AY66" s="1036">
        <v>30</v>
      </c>
      <c r="AZ66" s="1034"/>
      <c r="BA66" s="1017">
        <v>42337</v>
      </c>
      <c r="BB66" s="1040" t="s">
        <v>10350</v>
      </c>
      <c r="BC66" s="1384">
        <v>600</v>
      </c>
      <c r="BD66" s="1378">
        <f t="shared" si="2"/>
        <v>9.5238095238095237</v>
      </c>
      <c r="BE66" s="1017"/>
      <c r="BF66" s="1040"/>
      <c r="BG66" s="1065"/>
      <c r="BH66" s="1034"/>
      <c r="BI66" s="1017">
        <v>43063</v>
      </c>
      <c r="BJ66" s="1040" t="s">
        <v>10351</v>
      </c>
      <c r="BK66" s="1065">
        <v>23</v>
      </c>
      <c r="BL66" s="1034"/>
      <c r="BM66" s="1017"/>
      <c r="BN66" s="1040" t="s">
        <v>9695</v>
      </c>
      <c r="BO66" s="1065"/>
      <c r="BP66" s="1034"/>
      <c r="BQ66" s="1017">
        <v>43796</v>
      </c>
      <c r="BR66" s="1019" t="s">
        <v>873</v>
      </c>
      <c r="BS66" s="1020">
        <v>2</v>
      </c>
      <c r="BT66" s="1018" t="s">
        <v>414</v>
      </c>
      <c r="BU66" s="1017">
        <v>44155</v>
      </c>
      <c r="BV66" s="1019" t="s">
        <v>10352</v>
      </c>
      <c r="BW66" s="1020">
        <v>77</v>
      </c>
      <c r="BX66" s="1018" t="s">
        <v>701</v>
      </c>
      <c r="BY66" s="1017">
        <v>44527</v>
      </c>
      <c r="BZ66" s="1019" t="s">
        <v>1237</v>
      </c>
      <c r="CA66" s="1020">
        <v>70</v>
      </c>
      <c r="CB66" s="1018" t="s">
        <v>700</v>
      </c>
      <c r="CC66" s="1017">
        <v>44891</v>
      </c>
      <c r="CD66" s="1019" t="s">
        <v>10353</v>
      </c>
      <c r="CE66" s="1058">
        <v>22</v>
      </c>
      <c r="CF66" s="1334" t="s">
        <v>414</v>
      </c>
      <c r="CG66" s="1326">
        <v>45254</v>
      </c>
      <c r="CH66" s="1019" t="s">
        <v>2079</v>
      </c>
      <c r="CI66" s="1058">
        <v>69</v>
      </c>
      <c r="CJ66" s="1323" t="s">
        <v>414</v>
      </c>
      <c r="CK66" s="1326">
        <v>45612</v>
      </c>
      <c r="CL66" s="1019" t="s">
        <v>10134</v>
      </c>
      <c r="CM66" s="1058">
        <v>27</v>
      </c>
      <c r="CN66" s="1323" t="s">
        <v>414</v>
      </c>
    </row>
    <row r="67" spans="1:92">
      <c r="A67" s="1077">
        <v>37585</v>
      </c>
      <c r="B67" s="1040" t="s">
        <v>10354</v>
      </c>
      <c r="C67" s="1036">
        <v>22</v>
      </c>
      <c r="D67" s="1034"/>
      <c r="E67" s="1017">
        <v>37953</v>
      </c>
      <c r="F67" s="1040" t="s">
        <v>10355</v>
      </c>
      <c r="G67" s="1036">
        <v>20</v>
      </c>
      <c r="H67" s="1034"/>
      <c r="I67" s="1017"/>
      <c r="J67" s="1040"/>
      <c r="K67" s="1036"/>
      <c r="L67" s="1034"/>
      <c r="M67" s="1017"/>
      <c r="N67" s="1040"/>
      <c r="O67" s="1036"/>
      <c r="P67" s="1034"/>
      <c r="Q67" s="1017"/>
      <c r="R67" s="1040"/>
      <c r="S67" s="1036"/>
      <c r="T67" s="1034"/>
      <c r="U67" s="1017"/>
      <c r="V67" s="1040"/>
      <c r="W67" s="1036"/>
      <c r="X67" s="1034"/>
      <c r="Y67" s="1017"/>
      <c r="Z67" s="1040"/>
      <c r="AA67" s="1036"/>
      <c r="AB67" s="1034"/>
      <c r="AC67" s="1017"/>
      <c r="AD67" s="1040"/>
      <c r="AE67" s="1036"/>
      <c r="AF67" s="1034"/>
      <c r="AG67" s="1017">
        <v>40511</v>
      </c>
      <c r="AH67" s="1040" t="s">
        <v>4765</v>
      </c>
      <c r="AI67" s="1036">
        <v>22</v>
      </c>
      <c r="AJ67" s="1034"/>
      <c r="AK67" s="1017"/>
      <c r="AL67" s="1040"/>
      <c r="AM67" s="1036"/>
      <c r="AN67" s="1034"/>
      <c r="AO67" s="1017">
        <v>41242</v>
      </c>
      <c r="AP67" s="1040" t="s">
        <v>10356</v>
      </c>
      <c r="AQ67" s="1036">
        <v>26</v>
      </c>
      <c r="AR67" s="1034"/>
      <c r="AS67" s="1017"/>
      <c r="AT67" s="1040"/>
      <c r="AU67" s="1036"/>
      <c r="AV67" s="1034"/>
      <c r="AW67" s="1017">
        <v>41969</v>
      </c>
      <c r="AX67" s="1040" t="s">
        <v>10357</v>
      </c>
      <c r="AY67" s="1036">
        <v>7</v>
      </c>
      <c r="AZ67" s="1034"/>
      <c r="BA67" s="1017">
        <v>42337</v>
      </c>
      <c r="BB67" s="1040" t="s">
        <v>10358</v>
      </c>
      <c r="BC67" s="1384">
        <v>22</v>
      </c>
      <c r="BD67" s="1378">
        <f t="shared" si="2"/>
        <v>0.34920634920634919</v>
      </c>
      <c r="BE67" s="1017"/>
      <c r="BF67" s="1040"/>
      <c r="BG67" s="1065"/>
      <c r="BH67" s="1034"/>
      <c r="BI67" s="1017">
        <v>43063</v>
      </c>
      <c r="BJ67" s="1040" t="s">
        <v>840</v>
      </c>
      <c r="BK67" s="1065">
        <v>11</v>
      </c>
      <c r="BL67" s="1034"/>
      <c r="BM67" s="1017"/>
      <c r="BN67" s="1040" t="s">
        <v>9703</v>
      </c>
      <c r="BO67" s="1065"/>
      <c r="BP67" s="1034"/>
      <c r="BQ67" s="1017">
        <v>43797</v>
      </c>
      <c r="BR67" s="1019" t="s">
        <v>10359</v>
      </c>
      <c r="BS67" s="1020">
        <v>21</v>
      </c>
      <c r="BT67" s="1018" t="s">
        <v>280</v>
      </c>
      <c r="BU67" s="1017">
        <v>44155</v>
      </c>
      <c r="BV67" s="1019" t="s">
        <v>10360</v>
      </c>
      <c r="BW67" s="1020">
        <v>20</v>
      </c>
      <c r="BX67" s="1018" t="s">
        <v>701</v>
      </c>
      <c r="BY67" s="1017">
        <v>44527</v>
      </c>
      <c r="BZ67" s="1019" t="s">
        <v>1352</v>
      </c>
      <c r="CA67" s="1020">
        <v>170</v>
      </c>
      <c r="CB67" s="1018" t="s">
        <v>700</v>
      </c>
      <c r="CC67" s="1017">
        <v>44891</v>
      </c>
      <c r="CD67" s="1019" t="s">
        <v>10361</v>
      </c>
      <c r="CE67" s="1058">
        <v>17</v>
      </c>
      <c r="CF67" s="1334" t="s">
        <v>414</v>
      </c>
      <c r="CG67" s="1326">
        <v>45254</v>
      </c>
      <c r="CH67" s="1019" t="s">
        <v>828</v>
      </c>
      <c r="CI67" s="1058">
        <v>13</v>
      </c>
      <c r="CJ67" s="1323" t="s">
        <v>414</v>
      </c>
      <c r="CK67" s="1326">
        <v>45612</v>
      </c>
      <c r="CL67" s="1019" t="s">
        <v>10147</v>
      </c>
      <c r="CM67" s="1058">
        <v>15</v>
      </c>
      <c r="CN67" s="1323" t="s">
        <v>414</v>
      </c>
    </row>
    <row r="68" spans="1:92">
      <c r="A68" s="1077">
        <v>37585</v>
      </c>
      <c r="B68" s="1040" t="s">
        <v>10362</v>
      </c>
      <c r="C68" s="1036">
        <v>137</v>
      </c>
      <c r="D68" s="1034"/>
      <c r="E68" s="1017">
        <v>37953</v>
      </c>
      <c r="F68" s="1040" t="s">
        <v>10363</v>
      </c>
      <c r="G68" s="1036">
        <v>38</v>
      </c>
      <c r="H68" s="1034"/>
      <c r="I68" s="1017"/>
      <c r="J68" s="1040"/>
      <c r="K68" s="1036"/>
      <c r="L68" s="1034"/>
      <c r="M68" s="1017"/>
      <c r="N68" s="1040"/>
      <c r="O68" s="1036"/>
      <c r="P68" s="1034"/>
      <c r="Q68" s="1017"/>
      <c r="R68" s="1040"/>
      <c r="S68" s="1036"/>
      <c r="T68" s="1034"/>
      <c r="U68" s="1017"/>
      <c r="V68" s="1040"/>
      <c r="W68" s="1036"/>
      <c r="X68" s="1034"/>
      <c r="Y68" s="1017"/>
      <c r="Z68" s="1040"/>
      <c r="AA68" s="1036"/>
      <c r="AB68" s="1034"/>
      <c r="AC68" s="1017"/>
      <c r="AD68" s="1040"/>
      <c r="AE68" s="1036"/>
      <c r="AF68" s="1034"/>
      <c r="AG68" s="1017">
        <v>40511</v>
      </c>
      <c r="AH68" s="1040" t="s">
        <v>9712</v>
      </c>
      <c r="AI68" s="1036">
        <v>9</v>
      </c>
      <c r="AJ68" s="1034"/>
      <c r="AK68" s="1017"/>
      <c r="AL68" s="1040"/>
      <c r="AM68" s="1036"/>
      <c r="AN68" s="1034"/>
      <c r="AO68" s="1017">
        <v>41242</v>
      </c>
      <c r="AP68" s="1040" t="s">
        <v>10364</v>
      </c>
      <c r="AQ68" s="1036">
        <v>24</v>
      </c>
      <c r="AR68" s="1034"/>
      <c r="AS68" s="1017"/>
      <c r="AT68" s="1040"/>
      <c r="AU68" s="1036"/>
      <c r="AV68" s="1034"/>
      <c r="AW68" s="1017">
        <v>41969</v>
      </c>
      <c r="AX68" s="1040" t="s">
        <v>781</v>
      </c>
      <c r="AY68" s="1036">
        <v>17</v>
      </c>
      <c r="AZ68" s="1034"/>
      <c r="BA68" s="1017">
        <v>42337</v>
      </c>
      <c r="BB68" s="1040" t="s">
        <v>10282</v>
      </c>
      <c r="BC68" s="1384">
        <v>72</v>
      </c>
      <c r="BD68" s="1378">
        <f t="shared" si="2"/>
        <v>1.1428571428571428</v>
      </c>
      <c r="BE68" s="1017"/>
      <c r="BF68" s="1040"/>
      <c r="BG68" s="1065"/>
      <c r="BH68" s="1034"/>
      <c r="BI68" s="1017">
        <v>43063</v>
      </c>
      <c r="BJ68" s="1040" t="s">
        <v>10365</v>
      </c>
      <c r="BK68" s="1065">
        <v>22</v>
      </c>
      <c r="BL68" s="1034"/>
      <c r="BM68" s="1017">
        <v>43431</v>
      </c>
      <c r="BN68" s="1040" t="s">
        <v>10366</v>
      </c>
      <c r="BO68" s="1065">
        <v>15</v>
      </c>
      <c r="BP68" s="1034"/>
      <c r="BQ68" s="1017">
        <v>43798</v>
      </c>
      <c r="BR68" s="1019" t="s">
        <v>873</v>
      </c>
      <c r="BS68" s="1020">
        <v>22</v>
      </c>
      <c r="BT68" s="1018" t="s">
        <v>414</v>
      </c>
      <c r="BU68" s="1017">
        <v>44155</v>
      </c>
      <c r="BV68" s="1019" t="s">
        <v>10367</v>
      </c>
      <c r="BW68" s="1020">
        <v>30</v>
      </c>
      <c r="BX68" s="1018" t="s">
        <v>280</v>
      </c>
      <c r="BY68" s="1017">
        <v>44527</v>
      </c>
      <c r="BZ68" s="1019" t="s">
        <v>10109</v>
      </c>
      <c r="CA68" s="1020">
        <v>500</v>
      </c>
      <c r="CB68" s="1018" t="s">
        <v>280</v>
      </c>
      <c r="CC68" s="1017">
        <v>44891</v>
      </c>
      <c r="CD68" s="1019" t="s">
        <v>1710</v>
      </c>
      <c r="CE68" s="1058">
        <v>26</v>
      </c>
      <c r="CF68" s="1334" t="s">
        <v>414</v>
      </c>
      <c r="CG68" s="1326">
        <v>45254</v>
      </c>
      <c r="CH68" s="1019" t="s">
        <v>948</v>
      </c>
      <c r="CI68" s="1058">
        <v>78</v>
      </c>
      <c r="CJ68" s="1323" t="s">
        <v>414</v>
      </c>
      <c r="CK68" s="1326">
        <v>45612</v>
      </c>
      <c r="CL68" s="1019" t="s">
        <v>10162</v>
      </c>
      <c r="CM68" s="1058">
        <v>140</v>
      </c>
      <c r="CN68" s="1323" t="s">
        <v>414</v>
      </c>
    </row>
    <row r="69" spans="1:92">
      <c r="A69" s="1077">
        <v>37588</v>
      </c>
      <c r="B69" s="1040" t="s">
        <v>410</v>
      </c>
      <c r="C69" s="1036">
        <v>12</v>
      </c>
      <c r="D69" s="1034">
        <v>28</v>
      </c>
      <c r="E69" s="1017">
        <v>37953</v>
      </c>
      <c r="F69" s="1040" t="s">
        <v>6090</v>
      </c>
      <c r="G69" s="1036">
        <v>5</v>
      </c>
      <c r="H69" s="1034"/>
      <c r="I69" s="1017"/>
      <c r="J69" s="1040"/>
      <c r="K69" s="1036"/>
      <c r="L69" s="1034"/>
      <c r="M69" s="1017"/>
      <c r="N69" s="1040"/>
      <c r="O69" s="1036"/>
      <c r="P69" s="1034"/>
      <c r="Q69" s="1017"/>
      <c r="R69" s="1040"/>
      <c r="S69" s="1036"/>
      <c r="T69" s="1034"/>
      <c r="U69" s="1017"/>
      <c r="V69" s="1040"/>
      <c r="W69" s="1036"/>
      <c r="X69" s="1034"/>
      <c r="Y69" s="1017"/>
      <c r="Z69" s="1040"/>
      <c r="AA69" s="1036"/>
      <c r="AB69" s="1034"/>
      <c r="AC69" s="1017"/>
      <c r="AD69" s="1040"/>
      <c r="AE69" s="1036"/>
      <c r="AF69" s="1034"/>
      <c r="AG69" s="1017">
        <v>40512</v>
      </c>
      <c r="AH69" s="1040" t="s">
        <v>10368</v>
      </c>
      <c r="AI69" s="1036">
        <v>300</v>
      </c>
      <c r="AJ69" s="1034"/>
      <c r="AK69" s="1017"/>
      <c r="AL69" s="1040"/>
      <c r="AM69" s="1036"/>
      <c r="AN69" s="1034"/>
      <c r="AO69" s="1017">
        <v>41242</v>
      </c>
      <c r="AP69" s="1040" t="s">
        <v>1272</v>
      </c>
      <c r="AQ69" s="1036">
        <v>30</v>
      </c>
      <c r="AR69" s="1034"/>
      <c r="AS69" s="1017"/>
      <c r="AT69" s="1040"/>
      <c r="AU69" s="1036"/>
      <c r="AV69" s="1034"/>
      <c r="AW69" s="1017">
        <v>41969</v>
      </c>
      <c r="AX69" s="1040" t="s">
        <v>10369</v>
      </c>
      <c r="AY69" s="1036">
        <v>7</v>
      </c>
      <c r="AZ69" s="1034"/>
      <c r="BA69" s="1017">
        <v>42334</v>
      </c>
      <c r="BB69" s="1040" t="s">
        <v>10370</v>
      </c>
      <c r="BC69" s="1384"/>
      <c r="BD69" s="1378">
        <v>9</v>
      </c>
      <c r="BE69" s="1017"/>
      <c r="BF69" s="1040"/>
      <c r="BG69" s="1065"/>
      <c r="BH69" s="1034"/>
      <c r="BI69" s="1017">
        <v>43064</v>
      </c>
      <c r="BJ69" s="1040" t="s">
        <v>10371</v>
      </c>
      <c r="BK69" s="1065">
        <v>152</v>
      </c>
      <c r="BL69" s="1034"/>
      <c r="BM69" s="1017">
        <v>43431</v>
      </c>
      <c r="BN69" s="1040" t="s">
        <v>10372</v>
      </c>
      <c r="BO69" s="1065">
        <v>12</v>
      </c>
      <c r="BP69" s="1034"/>
      <c r="BQ69" s="1017">
        <v>43798</v>
      </c>
      <c r="BR69" s="1019" t="s">
        <v>10373</v>
      </c>
      <c r="BS69" s="1020"/>
      <c r="BT69" s="1018"/>
      <c r="BU69" s="1017">
        <v>44155</v>
      </c>
      <c r="BV69" s="1019" t="s">
        <v>10374</v>
      </c>
      <c r="BW69" s="1020">
        <v>32</v>
      </c>
      <c r="BX69" s="1018" t="s">
        <v>280</v>
      </c>
      <c r="BY69" s="1017">
        <v>44527</v>
      </c>
      <c r="BZ69" s="1019" t="s">
        <v>10375</v>
      </c>
      <c r="CA69" s="1020">
        <v>13</v>
      </c>
      <c r="CB69" s="1018" t="s">
        <v>280</v>
      </c>
      <c r="CC69" s="1017">
        <v>44891</v>
      </c>
      <c r="CD69" s="1019" t="s">
        <v>10376</v>
      </c>
      <c r="CE69" s="1058">
        <v>71</v>
      </c>
      <c r="CF69" s="1334" t="s">
        <v>414</v>
      </c>
      <c r="CG69" s="1326">
        <v>45254</v>
      </c>
      <c r="CH69" s="1019" t="s">
        <v>772</v>
      </c>
      <c r="CI69" s="1058">
        <v>35</v>
      </c>
      <c r="CJ69" s="1323" t="s">
        <v>414</v>
      </c>
      <c r="CK69" s="1326">
        <v>45612</v>
      </c>
      <c r="CL69" s="1019" t="s">
        <v>10175</v>
      </c>
      <c r="CM69" s="1058">
        <v>100</v>
      </c>
      <c r="CN69" s="1323" t="s">
        <v>700</v>
      </c>
    </row>
    <row r="70" spans="1:92">
      <c r="A70" s="1077">
        <v>37588</v>
      </c>
      <c r="B70" s="1040" t="s">
        <v>1394</v>
      </c>
      <c r="C70" s="1036"/>
      <c r="D70" s="1034">
        <v>15</v>
      </c>
      <c r="E70" s="1017">
        <v>37953</v>
      </c>
      <c r="F70" s="1040" t="s">
        <v>10377</v>
      </c>
      <c r="G70" s="1036">
        <v>16</v>
      </c>
      <c r="H70" s="1034"/>
      <c r="I70" s="1017"/>
      <c r="J70" s="1040"/>
      <c r="K70" s="1036"/>
      <c r="L70" s="1034"/>
      <c r="M70" s="1017"/>
      <c r="N70" s="1040"/>
      <c r="O70" s="1036"/>
      <c r="P70" s="1034"/>
      <c r="Q70" s="1017"/>
      <c r="R70" s="1040"/>
      <c r="S70" s="1036"/>
      <c r="T70" s="1034"/>
      <c r="U70" s="1017"/>
      <c r="V70" s="1040"/>
      <c r="W70" s="1036"/>
      <c r="X70" s="1034"/>
      <c r="Y70" s="1017"/>
      <c r="Z70" s="1040"/>
      <c r="AA70" s="1036"/>
      <c r="AB70" s="1034"/>
      <c r="AC70" s="1017"/>
      <c r="AD70" s="1040"/>
      <c r="AE70" s="1036"/>
      <c r="AF70" s="1034"/>
      <c r="AG70" s="1017"/>
      <c r="AH70" s="1040"/>
      <c r="AI70" s="1036"/>
      <c r="AJ70" s="1034"/>
      <c r="AK70" s="1017"/>
      <c r="AL70" s="1040"/>
      <c r="AM70" s="1036"/>
      <c r="AN70" s="1034"/>
      <c r="AO70" s="1017"/>
      <c r="AP70" s="1040"/>
      <c r="AQ70" s="1036"/>
      <c r="AR70" s="1034"/>
      <c r="AS70" s="1017"/>
      <c r="AT70" s="1040"/>
      <c r="AU70" s="1036"/>
      <c r="AV70" s="1034"/>
      <c r="AW70" s="1017">
        <v>41970</v>
      </c>
      <c r="AX70" s="1040" t="s">
        <v>10378</v>
      </c>
      <c r="AY70" s="1036"/>
      <c r="AZ70" s="1034"/>
      <c r="BA70" s="1017">
        <v>42334</v>
      </c>
      <c r="BB70" s="1040" t="s">
        <v>10379</v>
      </c>
      <c r="BC70" s="1384"/>
      <c r="BD70" s="1378">
        <v>79</v>
      </c>
      <c r="BE70" s="1017"/>
      <c r="BF70" s="1040"/>
      <c r="BG70" s="1065"/>
      <c r="BH70" s="1034"/>
      <c r="BI70" s="1017">
        <v>43064</v>
      </c>
      <c r="BJ70" s="1040" t="s">
        <v>890</v>
      </c>
      <c r="BK70" s="1065">
        <v>34</v>
      </c>
      <c r="BL70" s="1034"/>
      <c r="BM70" s="1017">
        <v>43431</v>
      </c>
      <c r="BN70" s="1040" t="s">
        <v>10380</v>
      </c>
      <c r="BO70" s="1065">
        <v>9</v>
      </c>
      <c r="BP70" s="1034"/>
      <c r="BQ70" s="1017">
        <v>43798</v>
      </c>
      <c r="BR70" s="1019" t="s">
        <v>10381</v>
      </c>
      <c r="BS70" s="1020">
        <v>6</v>
      </c>
      <c r="BT70" s="1018" t="s">
        <v>458</v>
      </c>
      <c r="BU70" s="1017">
        <v>44156</v>
      </c>
      <c r="BV70" s="1019" t="s">
        <v>948</v>
      </c>
      <c r="BW70" s="1020">
        <v>64</v>
      </c>
      <c r="BX70" s="1018" t="s">
        <v>414</v>
      </c>
      <c r="BY70" s="1017">
        <v>44529</v>
      </c>
      <c r="BZ70" s="1019" t="s">
        <v>10382</v>
      </c>
      <c r="CA70" s="1020">
        <v>45</v>
      </c>
      <c r="CB70" s="1018" t="s">
        <v>280</v>
      </c>
      <c r="CC70" s="1017">
        <v>44891</v>
      </c>
      <c r="CD70" s="1019" t="s">
        <v>4987</v>
      </c>
      <c r="CE70" s="1058">
        <v>69</v>
      </c>
      <c r="CF70" s="1334" t="s">
        <v>414</v>
      </c>
      <c r="CG70" s="1326">
        <v>45254</v>
      </c>
      <c r="CH70" s="1019" t="s">
        <v>10383</v>
      </c>
      <c r="CI70" s="1058">
        <v>140</v>
      </c>
      <c r="CJ70" s="1323" t="s">
        <v>700</v>
      </c>
      <c r="CK70" s="1326">
        <v>45612</v>
      </c>
      <c r="CL70" s="1019" t="s">
        <v>10188</v>
      </c>
      <c r="CM70" s="1058">
        <v>55</v>
      </c>
      <c r="CN70" s="1323" t="s">
        <v>700</v>
      </c>
    </row>
    <row r="71" spans="1:92">
      <c r="A71" s="1077">
        <v>37589</v>
      </c>
      <c r="B71" s="1040" t="s">
        <v>1365</v>
      </c>
      <c r="C71" s="1036">
        <v>30</v>
      </c>
      <c r="D71" s="1034"/>
      <c r="E71" s="1017">
        <v>37953</v>
      </c>
      <c r="F71" s="1040" t="s">
        <v>10384</v>
      </c>
      <c r="G71" s="1036">
        <v>18</v>
      </c>
      <c r="H71" s="1034"/>
      <c r="I71" s="1017"/>
      <c r="J71" s="1040"/>
      <c r="K71" s="1036"/>
      <c r="L71" s="1034"/>
      <c r="M71" s="1017"/>
      <c r="N71" s="1040"/>
      <c r="O71" s="1036"/>
      <c r="P71" s="1034"/>
      <c r="Q71" s="1017"/>
      <c r="R71" s="1040"/>
      <c r="S71" s="1036"/>
      <c r="T71" s="1034"/>
      <c r="U71" s="1017"/>
      <c r="V71" s="1040"/>
      <c r="W71" s="1036"/>
      <c r="X71" s="1034"/>
      <c r="Y71" s="1017"/>
      <c r="Z71" s="1040"/>
      <c r="AA71" s="1036"/>
      <c r="AB71" s="1034"/>
      <c r="AC71" s="1017"/>
      <c r="AD71" s="1040"/>
      <c r="AE71" s="1036"/>
      <c r="AF71" s="1034"/>
      <c r="AG71" s="1017"/>
      <c r="AH71" s="1040"/>
      <c r="AI71" s="1036"/>
      <c r="AJ71" s="1034"/>
      <c r="AK71" s="1017"/>
      <c r="AL71" s="1040"/>
      <c r="AM71" s="1036"/>
      <c r="AN71" s="1034"/>
      <c r="AO71" s="1017"/>
      <c r="AP71" s="1040"/>
      <c r="AQ71" s="1036"/>
      <c r="AR71" s="1034"/>
      <c r="AS71" s="1017"/>
      <c r="AT71" s="1040"/>
      <c r="AU71" s="1036"/>
      <c r="AV71" s="1034"/>
      <c r="AW71" s="1017">
        <v>41971</v>
      </c>
      <c r="AX71" s="1040" t="s">
        <v>10385</v>
      </c>
      <c r="AY71" s="1036">
        <v>33</v>
      </c>
      <c r="AZ71" s="1034"/>
      <c r="BA71" s="1017">
        <v>42337</v>
      </c>
      <c r="BB71" s="1040" t="s">
        <v>10386</v>
      </c>
      <c r="BC71" s="1384"/>
      <c r="BD71" s="1378">
        <v>56</v>
      </c>
      <c r="BE71" s="1017"/>
      <c r="BF71" s="1040"/>
      <c r="BG71" s="1065"/>
      <c r="BH71" s="1034"/>
      <c r="BI71" s="1017">
        <v>43064</v>
      </c>
      <c r="BJ71" s="1040" t="s">
        <v>10387</v>
      </c>
      <c r="BK71" s="1065">
        <v>24</v>
      </c>
      <c r="BL71" s="1034"/>
      <c r="BM71" s="1017"/>
      <c r="BN71" s="1040"/>
      <c r="BO71" s="1065"/>
      <c r="BP71" s="1034"/>
      <c r="BQ71" s="1017">
        <v>43798</v>
      </c>
      <c r="BR71" s="1019" t="s">
        <v>10388</v>
      </c>
      <c r="BS71" s="1020">
        <v>20</v>
      </c>
      <c r="BT71" s="1018" t="s">
        <v>278</v>
      </c>
      <c r="BU71" s="1017">
        <v>44156</v>
      </c>
      <c r="BV71" s="1019" t="s">
        <v>828</v>
      </c>
      <c r="BW71" s="1020">
        <v>16</v>
      </c>
      <c r="BX71" s="1018" t="s">
        <v>414</v>
      </c>
      <c r="BY71" s="1017">
        <v>44529</v>
      </c>
      <c r="BZ71" s="1019" t="s">
        <v>10389</v>
      </c>
      <c r="CA71" s="1020">
        <v>12</v>
      </c>
      <c r="CB71" s="1018" t="s">
        <v>280</v>
      </c>
      <c r="CC71" s="1017">
        <v>44891</v>
      </c>
      <c r="CD71" s="1019" t="s">
        <v>10390</v>
      </c>
      <c r="CE71" s="1058">
        <v>0</v>
      </c>
      <c r="CF71" s="1334" t="s">
        <v>414</v>
      </c>
      <c r="CG71" s="1326">
        <v>45254</v>
      </c>
      <c r="CH71" s="1019" t="s">
        <v>10391</v>
      </c>
      <c r="CI71" s="1058">
        <v>115</v>
      </c>
      <c r="CJ71" s="1323" t="s">
        <v>700</v>
      </c>
      <c r="CK71" s="1326">
        <v>45612</v>
      </c>
      <c r="CL71" s="1019" t="s">
        <v>10200</v>
      </c>
      <c r="CM71" s="1058">
        <v>22</v>
      </c>
      <c r="CN71" s="1323" t="s">
        <v>414</v>
      </c>
    </row>
    <row r="72" spans="1:92">
      <c r="A72" s="1077">
        <v>37589</v>
      </c>
      <c r="B72" s="1040" t="s">
        <v>10392</v>
      </c>
      <c r="C72" s="1036">
        <v>0</v>
      </c>
      <c r="D72" s="1034"/>
      <c r="E72" s="1017">
        <v>37953</v>
      </c>
      <c r="F72" s="1040" t="s">
        <v>2580</v>
      </c>
      <c r="G72" s="1036">
        <v>18</v>
      </c>
      <c r="H72" s="1034"/>
      <c r="I72" s="1017"/>
      <c r="J72" s="1040"/>
      <c r="K72" s="1036"/>
      <c r="L72" s="1034"/>
      <c r="M72" s="1017"/>
      <c r="N72" s="1040"/>
      <c r="O72" s="1036"/>
      <c r="P72" s="1034"/>
      <c r="Q72" s="1017"/>
      <c r="R72" s="1040"/>
      <c r="S72" s="1036"/>
      <c r="T72" s="1034"/>
      <c r="U72" s="1017"/>
      <c r="V72" s="1040"/>
      <c r="W72" s="1036"/>
      <c r="X72" s="1034"/>
      <c r="Y72" s="1017"/>
      <c r="Z72" s="1040"/>
      <c r="AA72" s="1036"/>
      <c r="AB72" s="1034"/>
      <c r="AC72" s="1017"/>
      <c r="AD72" s="1040"/>
      <c r="AE72" s="1036"/>
      <c r="AF72" s="1034"/>
      <c r="AG72" s="1017"/>
      <c r="AH72" s="1040"/>
      <c r="AI72" s="1036"/>
      <c r="AJ72" s="1034"/>
      <c r="AK72" s="1017"/>
      <c r="AL72" s="1040"/>
      <c r="AM72" s="1036"/>
      <c r="AN72" s="1034"/>
      <c r="AO72" s="1017"/>
      <c r="AP72" s="1040"/>
      <c r="AQ72" s="1036"/>
      <c r="AR72" s="1034"/>
      <c r="AS72" s="1017"/>
      <c r="AT72" s="1040"/>
      <c r="AU72" s="1036"/>
      <c r="AV72" s="1034"/>
      <c r="AW72" s="1017">
        <v>41971</v>
      </c>
      <c r="AX72" s="1040" t="s">
        <v>10393</v>
      </c>
      <c r="AY72" s="1036">
        <v>45</v>
      </c>
      <c r="AZ72" s="1034"/>
      <c r="BA72" s="1017"/>
      <c r="BB72" s="1040"/>
      <c r="BC72" s="1384"/>
      <c r="BD72" s="1378"/>
      <c r="BE72" s="1017"/>
      <c r="BF72" s="1040"/>
      <c r="BG72" s="1065"/>
      <c r="BH72" s="1034"/>
      <c r="BI72" s="1017">
        <v>43064</v>
      </c>
      <c r="BJ72" s="1040" t="s">
        <v>10394</v>
      </c>
      <c r="BK72" s="1065">
        <v>5</v>
      </c>
      <c r="BL72" s="1034"/>
      <c r="BM72" s="1017"/>
      <c r="BN72" s="1040"/>
      <c r="BO72" s="1065"/>
      <c r="BP72" s="1034"/>
      <c r="BQ72" s="1017">
        <v>43799</v>
      </c>
      <c r="BR72" s="1019" t="s">
        <v>859</v>
      </c>
      <c r="BS72" s="1020">
        <v>2</v>
      </c>
      <c r="BT72" s="1018" t="s">
        <v>414</v>
      </c>
      <c r="BU72" s="1017">
        <v>44156</v>
      </c>
      <c r="BV72" s="1019" t="s">
        <v>772</v>
      </c>
      <c r="BW72" s="1020">
        <v>38</v>
      </c>
      <c r="BX72" s="1018" t="s">
        <v>414</v>
      </c>
      <c r="BY72" s="1017">
        <v>44529</v>
      </c>
      <c r="BZ72" s="1019" t="s">
        <v>10395</v>
      </c>
      <c r="CA72" s="1020">
        <v>17</v>
      </c>
      <c r="CB72" s="1018" t="s">
        <v>280</v>
      </c>
      <c r="CC72" s="1017">
        <v>44891</v>
      </c>
      <c r="CD72" s="1019" t="s">
        <v>10396</v>
      </c>
      <c r="CE72" s="1058">
        <v>0</v>
      </c>
      <c r="CF72" s="1334" t="s">
        <v>414</v>
      </c>
      <c r="CG72" s="1326">
        <v>45254</v>
      </c>
      <c r="CH72" s="1019" t="s">
        <v>10397</v>
      </c>
      <c r="CI72" s="1058">
        <v>35</v>
      </c>
      <c r="CJ72" s="1323" t="s">
        <v>280</v>
      </c>
      <c r="CK72" s="1326">
        <v>45612</v>
      </c>
      <c r="CL72" s="1019" t="s">
        <v>10213</v>
      </c>
      <c r="CM72" s="1058">
        <v>15</v>
      </c>
      <c r="CN72" s="1323" t="s">
        <v>280</v>
      </c>
    </row>
    <row r="73" spans="1:92">
      <c r="A73" s="1077">
        <v>37589</v>
      </c>
      <c r="B73" s="1040" t="s">
        <v>10398</v>
      </c>
      <c r="C73" s="1036">
        <v>115</v>
      </c>
      <c r="D73" s="1034"/>
      <c r="E73" s="1017">
        <v>37955</v>
      </c>
      <c r="F73" s="1040" t="s">
        <v>10399</v>
      </c>
      <c r="G73" s="1036">
        <v>15</v>
      </c>
      <c r="H73" s="1034"/>
      <c r="I73" s="1017"/>
      <c r="J73" s="1040"/>
      <c r="K73" s="1036"/>
      <c r="L73" s="1034"/>
      <c r="M73" s="1017"/>
      <c r="N73" s="1040"/>
      <c r="O73" s="1036"/>
      <c r="P73" s="1034"/>
      <c r="Q73" s="1017"/>
      <c r="R73" s="1040"/>
      <c r="S73" s="1036"/>
      <c r="T73" s="1034"/>
      <c r="U73" s="1017"/>
      <c r="V73" s="1040"/>
      <c r="W73" s="1036"/>
      <c r="X73" s="1034"/>
      <c r="Y73" s="1017"/>
      <c r="Z73" s="1040"/>
      <c r="AA73" s="1036"/>
      <c r="AB73" s="1034"/>
      <c r="AC73" s="1017"/>
      <c r="AD73" s="1040"/>
      <c r="AE73" s="1036"/>
      <c r="AF73" s="1034"/>
      <c r="AG73" s="1017"/>
      <c r="AH73" s="1040"/>
      <c r="AI73" s="1036"/>
      <c r="AJ73" s="1034"/>
      <c r="AK73" s="1017"/>
      <c r="AL73" s="1040"/>
      <c r="AM73" s="1036"/>
      <c r="AN73" s="1034"/>
      <c r="AO73" s="1017"/>
      <c r="AP73" s="1040"/>
      <c r="AQ73" s="1036"/>
      <c r="AR73" s="1034"/>
      <c r="AS73" s="1017"/>
      <c r="AT73" s="1040"/>
      <c r="AU73" s="1036"/>
      <c r="AV73" s="1034"/>
      <c r="AW73" s="1017">
        <v>41971</v>
      </c>
      <c r="AX73" s="1040" t="s">
        <v>10400</v>
      </c>
      <c r="AY73" s="1036">
        <v>7</v>
      </c>
      <c r="AZ73" s="1034"/>
      <c r="BA73" s="1017"/>
      <c r="BB73" s="1040"/>
      <c r="BC73" s="1384"/>
      <c r="BD73" s="1378"/>
      <c r="BE73" s="1017"/>
      <c r="BF73" s="1040"/>
      <c r="BG73" s="1065"/>
      <c r="BH73" s="1034"/>
      <c r="BI73" s="1017">
        <v>43065</v>
      </c>
      <c r="BJ73" s="1040" t="s">
        <v>10401</v>
      </c>
      <c r="BK73" s="1065">
        <v>48</v>
      </c>
      <c r="BL73" s="1034"/>
      <c r="BM73" s="1017"/>
      <c r="BN73" s="1040"/>
      <c r="BO73" s="1065"/>
      <c r="BP73" s="1034"/>
      <c r="BQ73" s="1017">
        <v>43799</v>
      </c>
      <c r="BR73" s="1019" t="s">
        <v>872</v>
      </c>
      <c r="BS73" s="1020">
        <v>33</v>
      </c>
      <c r="BT73" s="1018" t="s">
        <v>414</v>
      </c>
      <c r="BU73" s="1017">
        <v>44156</v>
      </c>
      <c r="BV73" s="1019" t="s">
        <v>772</v>
      </c>
      <c r="BW73" s="1020">
        <v>33</v>
      </c>
      <c r="BX73" s="1018" t="s">
        <v>414</v>
      </c>
      <c r="BY73" s="1017"/>
      <c r="BZ73" s="1019"/>
      <c r="CA73" s="1020"/>
      <c r="CB73" s="1018"/>
      <c r="CC73" s="1017">
        <v>44891</v>
      </c>
      <c r="CD73" s="1019" t="s">
        <v>10402</v>
      </c>
      <c r="CE73" s="1058">
        <v>20</v>
      </c>
      <c r="CF73" s="1334" t="s">
        <v>280</v>
      </c>
      <c r="CG73" s="1326">
        <v>45254</v>
      </c>
      <c r="CH73" s="1019" t="s">
        <v>10403</v>
      </c>
      <c r="CI73" s="1058">
        <v>164</v>
      </c>
      <c r="CJ73" s="1323" t="s">
        <v>674</v>
      </c>
      <c r="CK73" s="1326">
        <v>45612</v>
      </c>
      <c r="CL73" s="1019" t="s">
        <v>10225</v>
      </c>
      <c r="CM73" s="1058">
        <v>5</v>
      </c>
      <c r="CN73" s="1323" t="s">
        <v>280</v>
      </c>
    </row>
    <row r="74" spans="1:92">
      <c r="A74" s="1077">
        <v>37589</v>
      </c>
      <c r="B74" s="1040" t="s">
        <v>10404</v>
      </c>
      <c r="C74" s="1036">
        <v>100</v>
      </c>
      <c r="D74" s="1034"/>
      <c r="E74" s="1017">
        <v>37955</v>
      </c>
      <c r="F74" s="1040" t="s">
        <v>10405</v>
      </c>
      <c r="G74" s="1036">
        <v>40</v>
      </c>
      <c r="H74" s="1034"/>
      <c r="I74" s="1017"/>
      <c r="J74" s="1040"/>
      <c r="K74" s="1036"/>
      <c r="L74" s="1034"/>
      <c r="M74" s="1017"/>
      <c r="N74" s="1040"/>
      <c r="O74" s="1036"/>
      <c r="P74" s="1034"/>
      <c r="Q74" s="1017"/>
      <c r="R74" s="1040"/>
      <c r="S74" s="1036"/>
      <c r="T74" s="1034"/>
      <c r="U74" s="1017"/>
      <c r="V74" s="1040"/>
      <c r="W74" s="1036"/>
      <c r="X74" s="1034"/>
      <c r="Y74" s="1017"/>
      <c r="Z74" s="1040"/>
      <c r="AA74" s="1036"/>
      <c r="AB74" s="1034"/>
      <c r="AC74" s="1017"/>
      <c r="AD74" s="1040"/>
      <c r="AE74" s="1036"/>
      <c r="AF74" s="1034"/>
      <c r="AG74" s="1017"/>
      <c r="AH74" s="1040"/>
      <c r="AI74" s="1036"/>
      <c r="AJ74" s="1034"/>
      <c r="AK74" s="1017"/>
      <c r="AL74" s="1040"/>
      <c r="AM74" s="1036"/>
      <c r="AN74" s="1034"/>
      <c r="AO74" s="1017"/>
      <c r="AP74" s="1040"/>
      <c r="AQ74" s="1036"/>
      <c r="AR74" s="1034"/>
      <c r="AS74" s="1017"/>
      <c r="AT74" s="1040"/>
      <c r="AU74" s="1036"/>
      <c r="AV74" s="1034"/>
      <c r="AW74" s="1017">
        <v>41972</v>
      </c>
      <c r="AX74" s="1040" t="s">
        <v>754</v>
      </c>
      <c r="AY74" s="1036">
        <v>106</v>
      </c>
      <c r="AZ74" s="1034"/>
      <c r="BA74" s="1017"/>
      <c r="BB74" s="1040"/>
      <c r="BC74" s="1384"/>
      <c r="BD74" s="1378"/>
      <c r="BE74" s="1017"/>
      <c r="BF74" s="1040"/>
      <c r="BG74" s="1384"/>
      <c r="BH74" s="1034"/>
      <c r="BI74" s="1017">
        <v>43065</v>
      </c>
      <c r="BJ74" s="1040" t="s">
        <v>10406</v>
      </c>
      <c r="BK74" s="1065">
        <v>0</v>
      </c>
      <c r="BL74" s="1034"/>
      <c r="BM74" s="1017"/>
      <c r="BN74" s="1040"/>
      <c r="BO74" s="1065"/>
      <c r="BP74" s="1034"/>
      <c r="BQ74" s="1017">
        <v>43799</v>
      </c>
      <c r="BR74" s="1019" t="s">
        <v>845</v>
      </c>
      <c r="BS74" s="1020">
        <v>17</v>
      </c>
      <c r="BT74" s="1018" t="s">
        <v>414</v>
      </c>
      <c r="BU74" s="1017">
        <v>44158</v>
      </c>
      <c r="BV74" s="1019" t="s">
        <v>10407</v>
      </c>
      <c r="BW74" s="1020">
        <v>30</v>
      </c>
      <c r="BX74" s="1018" t="s">
        <v>280</v>
      </c>
      <c r="BY74" s="1017"/>
      <c r="BZ74" s="1019"/>
      <c r="CA74" s="1020"/>
      <c r="CB74" s="1018"/>
      <c r="CC74" s="1017">
        <v>44891</v>
      </c>
      <c r="CD74" s="1019" t="s">
        <v>10408</v>
      </c>
      <c r="CE74" s="1058">
        <v>14</v>
      </c>
      <c r="CF74" s="1334" t="s">
        <v>280</v>
      </c>
      <c r="CG74" s="1326">
        <v>45254</v>
      </c>
      <c r="CH74" s="1019" t="s">
        <v>10409</v>
      </c>
      <c r="CI74" s="1058">
        <v>0</v>
      </c>
      <c r="CJ74" s="1323" t="s">
        <v>381</v>
      </c>
      <c r="CK74" s="1326">
        <v>45612</v>
      </c>
      <c r="CL74" s="1019" t="s">
        <v>1722</v>
      </c>
      <c r="CM74" s="1058">
        <v>15</v>
      </c>
      <c r="CN74" s="1323" t="s">
        <v>414</v>
      </c>
    </row>
    <row r="75" spans="1:92">
      <c r="A75" s="1077">
        <v>37589</v>
      </c>
      <c r="B75" s="1040" t="s">
        <v>10410</v>
      </c>
      <c r="C75" s="1036">
        <v>106</v>
      </c>
      <c r="D75" s="1034"/>
      <c r="E75" s="1017">
        <v>37955</v>
      </c>
      <c r="F75" s="1040" t="s">
        <v>10411</v>
      </c>
      <c r="G75" s="1036">
        <v>53</v>
      </c>
      <c r="H75" s="1034"/>
      <c r="I75" s="1017"/>
      <c r="J75" s="1040"/>
      <c r="K75" s="1036"/>
      <c r="L75" s="1034"/>
      <c r="M75" s="1017"/>
      <c r="N75" s="1040"/>
      <c r="O75" s="1036"/>
      <c r="P75" s="1034"/>
      <c r="Q75" s="1017"/>
      <c r="R75" s="1040"/>
      <c r="S75" s="1036"/>
      <c r="T75" s="1034"/>
      <c r="U75" s="1017"/>
      <c r="V75" s="1040"/>
      <c r="W75" s="1036"/>
      <c r="X75" s="1034"/>
      <c r="Y75" s="1017"/>
      <c r="Z75" s="1040"/>
      <c r="AA75" s="1036"/>
      <c r="AB75" s="1034"/>
      <c r="AC75" s="1017"/>
      <c r="AD75" s="1040"/>
      <c r="AE75" s="1036"/>
      <c r="AF75" s="1034"/>
      <c r="AG75" s="1017"/>
      <c r="AH75" s="1040"/>
      <c r="AI75" s="1036"/>
      <c r="AJ75" s="1034"/>
      <c r="AK75" s="1017"/>
      <c r="AL75" s="1040"/>
      <c r="AM75" s="1036"/>
      <c r="AN75" s="1034"/>
      <c r="AO75" s="1017"/>
      <c r="AP75" s="1040"/>
      <c r="AQ75" s="1036"/>
      <c r="AR75" s="1034"/>
      <c r="AS75" s="1017"/>
      <c r="AT75" s="1040"/>
      <c r="AU75" s="1036"/>
      <c r="AV75" s="1034"/>
      <c r="AW75" s="1017">
        <v>41972</v>
      </c>
      <c r="AX75" s="1040" t="s">
        <v>772</v>
      </c>
      <c r="AY75" s="1036">
        <v>9</v>
      </c>
      <c r="AZ75" s="1034"/>
      <c r="BA75" s="1017"/>
      <c r="BB75" s="1040"/>
      <c r="BC75" s="1384"/>
      <c r="BD75" s="1378"/>
      <c r="BE75" s="1017"/>
      <c r="BF75" s="1040"/>
      <c r="BG75" s="1384"/>
      <c r="BH75" s="1034"/>
      <c r="BI75" s="1017">
        <v>43065</v>
      </c>
      <c r="BJ75" s="1040" t="s">
        <v>872</v>
      </c>
      <c r="BK75" s="1065">
        <v>26</v>
      </c>
      <c r="BL75" s="1034"/>
      <c r="BM75" s="1017"/>
      <c r="BN75" s="1040"/>
      <c r="BO75" s="1065"/>
      <c r="BP75" s="1034"/>
      <c r="BQ75" s="1017">
        <v>43799</v>
      </c>
      <c r="BR75" s="1019" t="s">
        <v>772</v>
      </c>
      <c r="BS75" s="1020">
        <v>40</v>
      </c>
      <c r="BT75" s="1018" t="s">
        <v>414</v>
      </c>
      <c r="BU75" s="1017">
        <v>44158</v>
      </c>
      <c r="BV75" s="1019" t="s">
        <v>10412</v>
      </c>
      <c r="BW75" s="1020">
        <v>8</v>
      </c>
      <c r="BX75" s="1018" t="s">
        <v>280</v>
      </c>
      <c r="BY75" s="1017"/>
      <c r="BZ75" s="1019"/>
      <c r="CA75" s="1020"/>
      <c r="CB75" s="1018"/>
      <c r="CC75" s="1017">
        <v>44891</v>
      </c>
      <c r="CD75" s="1019" t="s">
        <v>10413</v>
      </c>
      <c r="CE75" s="1058">
        <v>90</v>
      </c>
      <c r="CF75" s="1334" t="s">
        <v>414</v>
      </c>
      <c r="CG75" s="1326">
        <v>45254</v>
      </c>
      <c r="CH75" s="1019" t="s">
        <v>10414</v>
      </c>
      <c r="CI75" s="1058">
        <v>15</v>
      </c>
      <c r="CJ75" s="1323" t="s">
        <v>414</v>
      </c>
      <c r="CK75" s="1326">
        <v>45613</v>
      </c>
      <c r="CL75" s="1019" t="s">
        <v>843</v>
      </c>
      <c r="CM75" s="1058">
        <v>67</v>
      </c>
      <c r="CN75" s="1323" t="s">
        <v>414</v>
      </c>
    </row>
    <row r="76" spans="1:92">
      <c r="A76" s="1077">
        <v>37589</v>
      </c>
      <c r="B76" s="1040" t="s">
        <v>1220</v>
      </c>
      <c r="C76" s="1036">
        <v>157</v>
      </c>
      <c r="D76" s="1034"/>
      <c r="E76" s="1017">
        <v>37955</v>
      </c>
      <c r="F76" s="1040" t="s">
        <v>10415</v>
      </c>
      <c r="G76" s="1036">
        <v>4</v>
      </c>
      <c r="H76" s="1034"/>
      <c r="I76" s="1017"/>
      <c r="J76" s="1040"/>
      <c r="K76" s="1036"/>
      <c r="L76" s="1034"/>
      <c r="M76" s="1017"/>
      <c r="N76" s="1040"/>
      <c r="O76" s="1036"/>
      <c r="P76" s="1034"/>
      <c r="Q76" s="1017"/>
      <c r="R76" s="1040"/>
      <c r="S76" s="1036"/>
      <c r="T76" s="1034"/>
      <c r="U76" s="1017"/>
      <c r="V76" s="1040"/>
      <c r="W76" s="1036"/>
      <c r="X76" s="1034"/>
      <c r="Y76" s="1017"/>
      <c r="Z76" s="1040"/>
      <c r="AA76" s="1036"/>
      <c r="AB76" s="1034"/>
      <c r="AC76" s="1017"/>
      <c r="AD76" s="1040"/>
      <c r="AE76" s="1036"/>
      <c r="AF76" s="1034"/>
      <c r="AG76" s="1017"/>
      <c r="AH76" s="1040"/>
      <c r="AI76" s="1036"/>
      <c r="AJ76" s="1034"/>
      <c r="AK76" s="1017"/>
      <c r="AL76" s="1040"/>
      <c r="AM76" s="1036"/>
      <c r="AN76" s="1034"/>
      <c r="AO76" s="1017"/>
      <c r="AP76" s="1040"/>
      <c r="AQ76" s="1036"/>
      <c r="AR76" s="1034"/>
      <c r="AS76" s="1017"/>
      <c r="AT76" s="1040"/>
      <c r="AU76" s="1036"/>
      <c r="AV76" s="1034"/>
      <c r="AW76" s="1017">
        <v>41972</v>
      </c>
      <c r="AX76" s="1040" t="s">
        <v>10416</v>
      </c>
      <c r="AY76" s="1036">
        <v>21</v>
      </c>
      <c r="AZ76" s="1034"/>
      <c r="BA76" s="1017"/>
      <c r="BB76" s="1040"/>
      <c r="BC76" s="1384"/>
      <c r="BD76" s="1378"/>
      <c r="BE76" s="1017"/>
      <c r="BF76" s="1040"/>
      <c r="BG76" s="1036"/>
      <c r="BH76" s="1034"/>
      <c r="BI76" s="1017">
        <v>43065</v>
      </c>
      <c r="BJ76" s="1040" t="s">
        <v>10417</v>
      </c>
      <c r="BK76" s="1065">
        <v>43</v>
      </c>
      <c r="BL76" s="1034"/>
      <c r="BM76" s="1017"/>
      <c r="BN76" s="1040"/>
      <c r="BO76" s="1065"/>
      <c r="BP76" s="1034"/>
      <c r="BQ76" s="1017">
        <v>43799</v>
      </c>
      <c r="BR76" s="1019" t="s">
        <v>9865</v>
      </c>
      <c r="BS76" s="1020">
        <v>26</v>
      </c>
      <c r="BT76" s="1018" t="s">
        <v>280</v>
      </c>
      <c r="BU76" s="1017">
        <v>44158</v>
      </c>
      <c r="BV76" s="1019" t="s">
        <v>10418</v>
      </c>
      <c r="BW76" s="1020">
        <v>32</v>
      </c>
      <c r="BX76" s="1018" t="s">
        <v>280</v>
      </c>
      <c r="BY76" s="1017"/>
      <c r="BZ76" s="1019"/>
      <c r="CA76" s="1020"/>
      <c r="CB76" s="1018"/>
      <c r="CC76" s="1017">
        <v>44891</v>
      </c>
      <c r="CD76" s="1019" t="s">
        <v>10419</v>
      </c>
      <c r="CE76" s="1058">
        <v>59</v>
      </c>
      <c r="CF76" s="1334" t="s">
        <v>414</v>
      </c>
      <c r="CG76" s="1326">
        <v>45254</v>
      </c>
      <c r="CH76" s="1019" t="s">
        <v>10420</v>
      </c>
      <c r="CI76" s="1058">
        <v>110</v>
      </c>
      <c r="CJ76" s="1323" t="s">
        <v>414</v>
      </c>
      <c r="CK76" s="1326">
        <v>45613</v>
      </c>
      <c r="CL76" s="1019" t="s">
        <v>845</v>
      </c>
      <c r="CM76" s="1058">
        <v>100</v>
      </c>
      <c r="CN76" s="1323" t="s">
        <v>414</v>
      </c>
    </row>
    <row r="77" spans="1:92">
      <c r="A77" s="1077">
        <v>37589</v>
      </c>
      <c r="B77" s="1040" t="s">
        <v>10421</v>
      </c>
      <c r="C77" s="1036">
        <v>7</v>
      </c>
      <c r="D77" s="1034"/>
      <c r="E77" s="1017"/>
      <c r="F77" s="1040"/>
      <c r="G77" s="1036"/>
      <c r="H77" s="1034"/>
      <c r="I77" s="1017"/>
      <c r="J77" s="1040"/>
      <c r="K77" s="1036"/>
      <c r="L77" s="1034"/>
      <c r="M77" s="1017"/>
      <c r="N77" s="1040"/>
      <c r="O77" s="1036"/>
      <c r="P77" s="1034"/>
      <c r="Q77" s="1017"/>
      <c r="R77" s="1040"/>
      <c r="S77" s="1036"/>
      <c r="T77" s="1034"/>
      <c r="U77" s="1017"/>
      <c r="V77" s="1040"/>
      <c r="W77" s="1036"/>
      <c r="X77" s="1034"/>
      <c r="Y77" s="1017"/>
      <c r="Z77" s="1040"/>
      <c r="AA77" s="1036"/>
      <c r="AB77" s="1034"/>
      <c r="AC77" s="1017"/>
      <c r="AD77" s="1040"/>
      <c r="AE77" s="1036"/>
      <c r="AF77" s="1034"/>
      <c r="AG77" s="1017"/>
      <c r="AH77" s="1040"/>
      <c r="AI77" s="1036"/>
      <c r="AJ77" s="1034"/>
      <c r="AK77" s="1017"/>
      <c r="AL77" s="1040"/>
      <c r="AM77" s="1036"/>
      <c r="AN77" s="1034"/>
      <c r="AO77" s="1017"/>
      <c r="AP77" s="1040"/>
      <c r="AQ77" s="1036"/>
      <c r="AR77" s="1034"/>
      <c r="AS77" s="1017"/>
      <c r="AT77" s="1040"/>
      <c r="AU77" s="1036"/>
      <c r="AV77" s="1034"/>
      <c r="AW77" s="1017">
        <v>41972</v>
      </c>
      <c r="AX77" s="1040" t="s">
        <v>4378</v>
      </c>
      <c r="AY77" s="1036">
        <v>21</v>
      </c>
      <c r="AZ77" s="1034"/>
      <c r="BA77" s="1017"/>
      <c r="BB77" s="1040"/>
      <c r="BC77" s="1384"/>
      <c r="BD77" s="1378"/>
      <c r="BE77" s="1017"/>
      <c r="BF77" s="1040"/>
      <c r="BG77" s="1036"/>
      <c r="BH77" s="1034"/>
      <c r="BI77" s="1017">
        <v>43066</v>
      </c>
      <c r="BJ77" s="1040" t="s">
        <v>1052</v>
      </c>
      <c r="BK77" s="1065">
        <v>23</v>
      </c>
      <c r="BL77" s="1034"/>
      <c r="BM77" s="1017"/>
      <c r="BN77" s="1040"/>
      <c r="BO77" s="1065"/>
      <c r="BP77" s="1034"/>
      <c r="BQ77" s="1017">
        <v>43799</v>
      </c>
      <c r="BR77" s="1019" t="s">
        <v>8355</v>
      </c>
      <c r="BS77" s="1020">
        <v>51</v>
      </c>
      <c r="BT77" s="1018" t="s">
        <v>667</v>
      </c>
      <c r="BU77" s="1017">
        <v>44158</v>
      </c>
      <c r="BV77" s="1019" t="s">
        <v>10422</v>
      </c>
      <c r="BW77" s="1020">
        <v>30</v>
      </c>
      <c r="BX77" s="1018" t="s">
        <v>700</v>
      </c>
      <c r="BY77" s="1017"/>
      <c r="BZ77" s="1019"/>
      <c r="CA77" s="1020"/>
      <c r="CB77" s="1018"/>
      <c r="CC77" s="1017">
        <v>44891</v>
      </c>
      <c r="CD77" s="1019" t="s">
        <v>843</v>
      </c>
      <c r="CE77" s="1058">
        <v>21</v>
      </c>
      <c r="CF77" s="1334" t="s">
        <v>414</v>
      </c>
      <c r="CG77" s="1326">
        <v>45254</v>
      </c>
      <c r="CH77" s="1019" t="s">
        <v>10423</v>
      </c>
      <c r="CI77" s="1058">
        <v>38</v>
      </c>
      <c r="CJ77" s="1323" t="s">
        <v>414</v>
      </c>
      <c r="CK77" s="1326">
        <v>45614</v>
      </c>
      <c r="CL77" s="1019" t="s">
        <v>10424</v>
      </c>
      <c r="CM77" s="1058">
        <v>30</v>
      </c>
      <c r="CN77" s="1323" t="s">
        <v>426</v>
      </c>
    </row>
    <row r="78" spans="1:92">
      <c r="A78" s="1077">
        <v>37589</v>
      </c>
      <c r="B78" s="1040" t="s">
        <v>1189</v>
      </c>
      <c r="C78" s="1036">
        <v>23</v>
      </c>
      <c r="D78" s="1034"/>
      <c r="E78" s="1017"/>
      <c r="F78" s="1040"/>
      <c r="G78" s="1036"/>
      <c r="H78" s="1034"/>
      <c r="I78" s="1017"/>
      <c r="J78" s="1040"/>
      <c r="K78" s="1036"/>
      <c r="L78" s="1034"/>
      <c r="M78" s="1017"/>
      <c r="N78" s="1040"/>
      <c r="O78" s="1036"/>
      <c r="P78" s="1034"/>
      <c r="Q78" s="1017"/>
      <c r="R78" s="1040"/>
      <c r="S78" s="1036"/>
      <c r="T78" s="1034"/>
      <c r="U78" s="1017"/>
      <c r="V78" s="1040"/>
      <c r="W78" s="1036"/>
      <c r="X78" s="1034"/>
      <c r="Y78" s="1017"/>
      <c r="Z78" s="1040"/>
      <c r="AA78" s="1036"/>
      <c r="AB78" s="1034"/>
      <c r="AC78" s="1017"/>
      <c r="AD78" s="1040"/>
      <c r="AE78" s="1036"/>
      <c r="AF78" s="1034"/>
      <c r="AG78" s="1017"/>
      <c r="AH78" s="1040"/>
      <c r="AI78" s="1036"/>
      <c r="AJ78" s="1034"/>
      <c r="AK78" s="1017"/>
      <c r="AL78" s="1040"/>
      <c r="AM78" s="1036"/>
      <c r="AN78" s="1034"/>
      <c r="AO78" s="1017"/>
      <c r="AP78" s="1040"/>
      <c r="AQ78" s="1036"/>
      <c r="AR78" s="1034"/>
      <c r="AS78" s="1017"/>
      <c r="AT78" s="1040"/>
      <c r="AU78" s="1036"/>
      <c r="AV78" s="1034"/>
      <c r="AW78" s="1017">
        <v>41973</v>
      </c>
      <c r="AX78" s="1040" t="s">
        <v>10425</v>
      </c>
      <c r="AY78" s="1036">
        <v>32</v>
      </c>
      <c r="AZ78" s="1034"/>
      <c r="BA78" s="1017"/>
      <c r="BB78" s="1040"/>
      <c r="BC78" s="1036"/>
      <c r="BD78" s="1378"/>
      <c r="BE78" s="1017"/>
      <c r="BF78" s="1040"/>
      <c r="BG78" s="1036"/>
      <c r="BH78" s="1034"/>
      <c r="BI78" s="1017">
        <v>43066</v>
      </c>
      <c r="BJ78" s="1040" t="s">
        <v>10426</v>
      </c>
      <c r="BK78" s="1065">
        <v>12</v>
      </c>
      <c r="BL78" s="1034"/>
      <c r="BM78" s="1017"/>
      <c r="BN78" s="1040"/>
      <c r="BO78" s="1065"/>
      <c r="BP78" s="1034"/>
      <c r="BQ78" s="1017">
        <v>43799</v>
      </c>
      <c r="BR78" s="1019" t="s">
        <v>1180</v>
      </c>
      <c r="BS78" s="1020">
        <v>64</v>
      </c>
      <c r="BT78" s="1018" t="s">
        <v>410</v>
      </c>
      <c r="BU78" s="1017">
        <v>44159</v>
      </c>
      <c r="BV78" s="1019" t="s">
        <v>10427</v>
      </c>
      <c r="BW78" s="1020">
        <v>38</v>
      </c>
      <c r="BX78" s="1018" t="s">
        <v>280</v>
      </c>
      <c r="BY78" s="1017"/>
      <c r="BZ78" s="1019"/>
      <c r="CA78" s="1020"/>
      <c r="CB78" s="1018"/>
      <c r="CC78" s="1017">
        <v>44891</v>
      </c>
      <c r="CD78" s="1019" t="s">
        <v>805</v>
      </c>
      <c r="CE78" s="1058">
        <v>26</v>
      </c>
      <c r="CF78" s="1334" t="s">
        <v>280</v>
      </c>
      <c r="CG78" s="1326">
        <v>45254</v>
      </c>
      <c r="CH78" s="1019" t="s">
        <v>10428</v>
      </c>
      <c r="CI78" s="1058">
        <v>18</v>
      </c>
      <c r="CJ78" s="1323" t="s">
        <v>414</v>
      </c>
      <c r="CK78" s="1326">
        <v>45614</v>
      </c>
      <c r="CL78" s="1019" t="s">
        <v>772</v>
      </c>
      <c r="CM78" s="1058">
        <v>8</v>
      </c>
      <c r="CN78" s="1323" t="s">
        <v>414</v>
      </c>
    </row>
    <row r="79" spans="1:92">
      <c r="A79" s="1077">
        <v>37589</v>
      </c>
      <c r="B79" s="1040" t="s">
        <v>915</v>
      </c>
      <c r="C79" s="1036">
        <v>7</v>
      </c>
      <c r="D79" s="1034"/>
      <c r="E79" s="1017"/>
      <c r="F79" s="1040"/>
      <c r="G79" s="1036"/>
      <c r="H79" s="1034"/>
      <c r="I79" s="1017"/>
      <c r="J79" s="1040"/>
      <c r="K79" s="1036"/>
      <c r="L79" s="1034"/>
      <c r="M79" s="1017"/>
      <c r="N79" s="1040"/>
      <c r="O79" s="1036"/>
      <c r="P79" s="1034"/>
      <c r="Q79" s="1017"/>
      <c r="R79" s="1040"/>
      <c r="S79" s="1036"/>
      <c r="T79" s="1034"/>
      <c r="U79" s="1017"/>
      <c r="V79" s="1040"/>
      <c r="W79" s="1036"/>
      <c r="X79" s="1034"/>
      <c r="Y79" s="1017"/>
      <c r="Z79" s="1040"/>
      <c r="AA79" s="1036"/>
      <c r="AB79" s="1034"/>
      <c r="AC79" s="1017"/>
      <c r="AD79" s="1040"/>
      <c r="AE79" s="1036"/>
      <c r="AF79" s="1034"/>
      <c r="AG79" s="1017"/>
      <c r="AH79" s="1040"/>
      <c r="AI79" s="1036"/>
      <c r="AJ79" s="1034"/>
      <c r="AK79" s="1017"/>
      <c r="AL79" s="1040"/>
      <c r="AM79" s="1036"/>
      <c r="AN79" s="1034"/>
      <c r="AO79" s="1017"/>
      <c r="AP79" s="1040"/>
      <c r="AQ79" s="1036"/>
      <c r="AR79" s="1034"/>
      <c r="AS79" s="1017"/>
      <c r="AT79" s="1040"/>
      <c r="AU79" s="1036"/>
      <c r="AV79" s="1034"/>
      <c r="AW79" s="1017"/>
      <c r="AX79" s="1040"/>
      <c r="AY79" s="1036"/>
      <c r="AZ79" s="1034"/>
      <c r="BA79" s="1017"/>
      <c r="BB79" s="1040"/>
      <c r="BC79" s="1036"/>
      <c r="BD79" s="1378"/>
      <c r="BE79" s="1017"/>
      <c r="BF79" s="1040"/>
      <c r="BG79" s="1036"/>
      <c r="BH79" s="1034"/>
      <c r="BI79" s="1017">
        <v>43066</v>
      </c>
      <c r="BJ79" s="1040" t="s">
        <v>10429</v>
      </c>
      <c r="BK79" s="1065">
        <v>24</v>
      </c>
      <c r="BL79" s="1034"/>
      <c r="BM79" s="1017"/>
      <c r="BN79" s="1040"/>
      <c r="BO79" s="1065"/>
      <c r="BP79" s="1034"/>
      <c r="BQ79" s="1017">
        <v>43799</v>
      </c>
      <c r="BR79" s="1019" t="s">
        <v>2888</v>
      </c>
      <c r="BS79" s="1020">
        <v>39</v>
      </c>
      <c r="BT79" s="1018" t="s">
        <v>414</v>
      </c>
      <c r="BU79" s="1017">
        <v>44159</v>
      </c>
      <c r="BV79" s="1019" t="s">
        <v>10430</v>
      </c>
      <c r="BW79" s="1020">
        <v>9</v>
      </c>
      <c r="BX79" s="1018" t="s">
        <v>280</v>
      </c>
      <c r="BY79" s="1017"/>
      <c r="BZ79" s="1019"/>
      <c r="CA79" s="1020"/>
      <c r="CB79" s="1018"/>
      <c r="CC79" s="1017">
        <v>44891</v>
      </c>
      <c r="CD79" s="1019" t="s">
        <v>2470</v>
      </c>
      <c r="CE79" s="1058">
        <v>14</v>
      </c>
      <c r="CF79" s="1334" t="s">
        <v>414</v>
      </c>
      <c r="CG79" s="1326">
        <v>45254</v>
      </c>
      <c r="CH79" s="1019" t="s">
        <v>10431</v>
      </c>
      <c r="CI79" s="1058">
        <v>20</v>
      </c>
      <c r="CJ79" s="1323" t="s">
        <v>414</v>
      </c>
      <c r="CK79" s="1326">
        <v>45614</v>
      </c>
      <c r="CL79" s="1019" t="s">
        <v>10432</v>
      </c>
      <c r="CM79" s="1058">
        <v>196</v>
      </c>
      <c r="CN79" s="1323" t="s">
        <v>284</v>
      </c>
    </row>
    <row r="80" spans="1:92">
      <c r="A80" s="1077">
        <v>37589</v>
      </c>
      <c r="B80" s="1040" t="s">
        <v>2169</v>
      </c>
      <c r="C80" s="1036">
        <v>9</v>
      </c>
      <c r="D80" s="1034"/>
      <c r="E80" s="1017"/>
      <c r="F80" s="1040"/>
      <c r="G80" s="1036"/>
      <c r="H80" s="1034"/>
      <c r="I80" s="1017"/>
      <c r="J80" s="1040"/>
      <c r="K80" s="1036"/>
      <c r="L80" s="1034"/>
      <c r="M80" s="1017"/>
      <c r="N80" s="1040"/>
      <c r="O80" s="1036"/>
      <c r="P80" s="1034"/>
      <c r="Q80" s="1017"/>
      <c r="R80" s="1040"/>
      <c r="S80" s="1036"/>
      <c r="T80" s="1034"/>
      <c r="U80" s="1017"/>
      <c r="V80" s="1040"/>
      <c r="W80" s="1036"/>
      <c r="X80" s="1034"/>
      <c r="Y80" s="1017"/>
      <c r="Z80" s="1040"/>
      <c r="AA80" s="1036"/>
      <c r="AB80" s="1034"/>
      <c r="AC80" s="1017"/>
      <c r="AD80" s="1040"/>
      <c r="AE80" s="1036"/>
      <c r="AF80" s="1034"/>
      <c r="AG80" s="1017"/>
      <c r="AH80" s="1040"/>
      <c r="AI80" s="1036"/>
      <c r="AJ80" s="1034"/>
      <c r="AK80" s="1017"/>
      <c r="AL80" s="1040"/>
      <c r="AM80" s="1036"/>
      <c r="AN80" s="1034"/>
      <c r="AO80" s="1017"/>
      <c r="AP80" s="1040"/>
      <c r="AQ80" s="1036"/>
      <c r="AR80" s="1034"/>
      <c r="AS80" s="1017"/>
      <c r="AT80" s="1040"/>
      <c r="AU80" s="1036"/>
      <c r="AV80" s="1034"/>
      <c r="AW80" s="1017"/>
      <c r="AX80" s="1040"/>
      <c r="AY80" s="1036"/>
      <c r="AZ80" s="1034"/>
      <c r="BA80" s="1017"/>
      <c r="BB80" s="1040"/>
      <c r="BC80" s="1036"/>
      <c r="BD80" s="1378"/>
      <c r="BE80" s="1017"/>
      <c r="BF80" s="1040"/>
      <c r="BG80" s="1036"/>
      <c r="BH80" s="1034"/>
      <c r="BI80" s="1017">
        <v>43066</v>
      </c>
      <c r="BJ80" s="1040" t="s">
        <v>890</v>
      </c>
      <c r="BK80" s="1065"/>
      <c r="BL80" s="1034"/>
      <c r="BM80" s="1017"/>
      <c r="BN80" s="1040"/>
      <c r="BO80" s="1065"/>
      <c r="BP80" s="1034"/>
      <c r="BQ80" s="1017">
        <v>43799</v>
      </c>
      <c r="BR80" s="1019" t="s">
        <v>1429</v>
      </c>
      <c r="BS80" s="1020">
        <v>20</v>
      </c>
      <c r="BT80" s="1018" t="s">
        <v>414</v>
      </c>
      <c r="BU80" s="1017">
        <v>44159</v>
      </c>
      <c r="BV80" s="1019" t="s">
        <v>10433</v>
      </c>
      <c r="BW80" s="1020">
        <v>235</v>
      </c>
      <c r="BX80" s="1018" t="s">
        <v>280</v>
      </c>
      <c r="BY80" s="1017"/>
      <c r="BZ80" s="1019"/>
      <c r="CA80" s="1020"/>
      <c r="CB80" s="1018"/>
      <c r="CC80" s="1017">
        <v>44891</v>
      </c>
      <c r="CD80" s="1019" t="s">
        <v>10434</v>
      </c>
      <c r="CE80" s="1058">
        <v>35</v>
      </c>
      <c r="CF80" s="1334" t="s">
        <v>381</v>
      </c>
      <c r="CG80" s="1326">
        <v>45254</v>
      </c>
      <c r="CH80" s="1019" t="s">
        <v>10435</v>
      </c>
      <c r="CI80" s="1058">
        <v>85</v>
      </c>
      <c r="CJ80" s="1323" t="s">
        <v>692</v>
      </c>
      <c r="CK80" s="1326">
        <v>45614</v>
      </c>
      <c r="CL80" s="1019" t="s">
        <v>10436</v>
      </c>
      <c r="CM80" s="1058">
        <v>8</v>
      </c>
      <c r="CN80" s="1323" t="s">
        <v>700</v>
      </c>
    </row>
    <row r="81" spans="1:92">
      <c r="A81" s="1077">
        <v>37590</v>
      </c>
      <c r="B81" s="1040" t="s">
        <v>10437</v>
      </c>
      <c r="C81" s="1036">
        <v>45</v>
      </c>
      <c r="D81" s="1034"/>
      <c r="E81" s="1017"/>
      <c r="F81" s="1040"/>
      <c r="G81" s="1036"/>
      <c r="H81" s="1034"/>
      <c r="I81" s="1017"/>
      <c r="J81" s="1040"/>
      <c r="K81" s="1036"/>
      <c r="L81" s="1034"/>
      <c r="M81" s="1017"/>
      <c r="N81" s="1040"/>
      <c r="O81" s="1036"/>
      <c r="P81" s="1034"/>
      <c r="Q81" s="1017"/>
      <c r="R81" s="1040"/>
      <c r="S81" s="1036"/>
      <c r="T81" s="1034"/>
      <c r="U81" s="1017"/>
      <c r="V81" s="1040"/>
      <c r="W81" s="1036"/>
      <c r="X81" s="1034"/>
      <c r="Y81" s="1017"/>
      <c r="Z81" s="1040"/>
      <c r="AA81" s="1036"/>
      <c r="AB81" s="1034"/>
      <c r="AC81" s="1017"/>
      <c r="AD81" s="1040"/>
      <c r="AE81" s="1036"/>
      <c r="AF81" s="1034"/>
      <c r="AG81" s="1017"/>
      <c r="AH81" s="1040"/>
      <c r="AI81" s="1036"/>
      <c r="AJ81" s="1034"/>
      <c r="AK81" s="1017"/>
      <c r="AL81" s="1040"/>
      <c r="AM81" s="1036"/>
      <c r="AN81" s="1034"/>
      <c r="AO81" s="1017"/>
      <c r="AP81" s="1040"/>
      <c r="AQ81" s="1036"/>
      <c r="AR81" s="1034"/>
      <c r="AS81" s="1017"/>
      <c r="AT81" s="1040"/>
      <c r="AU81" s="1036"/>
      <c r="AV81" s="1034"/>
      <c r="AW81" s="1017"/>
      <c r="AX81" s="1040"/>
      <c r="AY81" s="1036"/>
      <c r="AZ81" s="1034"/>
      <c r="BA81" s="1017"/>
      <c r="BB81" s="1040"/>
      <c r="BC81" s="1036"/>
      <c r="BD81" s="1378"/>
      <c r="BE81" s="1017"/>
      <c r="BF81" s="1040"/>
      <c r="BG81" s="1036"/>
      <c r="BH81" s="1034"/>
      <c r="BI81" s="1017">
        <v>43066</v>
      </c>
      <c r="BJ81" s="1040" t="s">
        <v>823</v>
      </c>
      <c r="BK81" s="1065">
        <v>21</v>
      </c>
      <c r="BL81" s="1034"/>
      <c r="BM81" s="1017"/>
      <c r="BN81" s="1040"/>
      <c r="BO81" s="1065"/>
      <c r="BP81" s="1034"/>
      <c r="BQ81" s="1017">
        <v>43799</v>
      </c>
      <c r="BR81" s="1019" t="s">
        <v>10438</v>
      </c>
      <c r="BS81" s="1020">
        <v>28</v>
      </c>
      <c r="BT81" s="1018" t="s">
        <v>414</v>
      </c>
      <c r="BU81" s="1017">
        <v>44159</v>
      </c>
      <c r="BV81" s="1019" t="s">
        <v>10439</v>
      </c>
      <c r="BW81" s="1020">
        <v>21</v>
      </c>
      <c r="BX81" s="1018" t="s">
        <v>414</v>
      </c>
      <c r="BY81" s="1017"/>
      <c r="BZ81" s="1019"/>
      <c r="CA81" s="1020"/>
      <c r="CB81" s="1018"/>
      <c r="CC81" s="1017">
        <v>44892</v>
      </c>
      <c r="CD81" s="1019" t="s">
        <v>10376</v>
      </c>
      <c r="CE81" s="1058">
        <v>16</v>
      </c>
      <c r="CF81" s="1334" t="s">
        <v>414</v>
      </c>
      <c r="CG81" s="1326">
        <v>45254</v>
      </c>
      <c r="CH81" s="1019" t="s">
        <v>1124</v>
      </c>
      <c r="CI81" s="1058">
        <v>25</v>
      </c>
      <c r="CJ81" s="1323" t="s">
        <v>414</v>
      </c>
      <c r="CK81" s="1326">
        <v>45614</v>
      </c>
      <c r="CL81" s="1019" t="s">
        <v>10440</v>
      </c>
      <c r="CM81" s="1058">
        <v>10</v>
      </c>
      <c r="CN81" s="1323" t="s">
        <v>280</v>
      </c>
    </row>
    <row r="82" spans="1:92">
      <c r="A82" s="1077">
        <v>37590</v>
      </c>
      <c r="B82" s="1040" t="s">
        <v>10441</v>
      </c>
      <c r="C82" s="1036">
        <v>12</v>
      </c>
      <c r="D82" s="1034"/>
      <c r="E82" s="1017"/>
      <c r="F82" s="1040"/>
      <c r="G82" s="1036"/>
      <c r="H82" s="1034"/>
      <c r="I82" s="1017"/>
      <c r="J82" s="1040"/>
      <c r="K82" s="1036"/>
      <c r="L82" s="1034"/>
      <c r="M82" s="1017"/>
      <c r="N82" s="1040"/>
      <c r="O82" s="1036"/>
      <c r="P82" s="1034"/>
      <c r="Q82" s="1017"/>
      <c r="R82" s="1040"/>
      <c r="S82" s="1036"/>
      <c r="T82" s="1034"/>
      <c r="U82" s="1017"/>
      <c r="V82" s="1040"/>
      <c r="W82" s="1036"/>
      <c r="X82" s="1034"/>
      <c r="Y82" s="1017"/>
      <c r="Z82" s="1040"/>
      <c r="AA82" s="1036"/>
      <c r="AB82" s="1034"/>
      <c r="AC82" s="1017"/>
      <c r="AD82" s="1040"/>
      <c r="AE82" s="1036"/>
      <c r="AF82" s="1034"/>
      <c r="AG82" s="1017"/>
      <c r="AH82" s="1040"/>
      <c r="AI82" s="1036"/>
      <c r="AJ82" s="1034"/>
      <c r="AK82" s="1017"/>
      <c r="AL82" s="1040"/>
      <c r="AM82" s="1036"/>
      <c r="AN82" s="1034"/>
      <c r="AO82" s="1017"/>
      <c r="AP82" s="1040"/>
      <c r="AQ82" s="1036"/>
      <c r="AR82" s="1034"/>
      <c r="AS82" s="1017"/>
      <c r="AT82" s="1040"/>
      <c r="AU82" s="1036"/>
      <c r="AV82" s="1034"/>
      <c r="AW82" s="1017"/>
      <c r="AX82" s="1040"/>
      <c r="AY82" s="1036"/>
      <c r="AZ82" s="1034"/>
      <c r="BA82" s="1017"/>
      <c r="BB82" s="1040"/>
      <c r="BC82" s="1036"/>
      <c r="BD82" s="1378"/>
      <c r="BE82" s="1017"/>
      <c r="BF82" s="1040"/>
      <c r="BG82" s="1036"/>
      <c r="BH82" s="1034"/>
      <c r="BI82" s="1017">
        <v>43066</v>
      </c>
      <c r="BJ82" s="1040" t="s">
        <v>10442</v>
      </c>
      <c r="BK82" s="1065">
        <v>11</v>
      </c>
      <c r="BL82" s="1034"/>
      <c r="BM82" s="1017"/>
      <c r="BN82" s="1040"/>
      <c r="BO82" s="1065"/>
      <c r="BP82" s="1034"/>
      <c r="BQ82" s="1017">
        <v>43799</v>
      </c>
      <c r="BR82" s="1019" t="s">
        <v>10443</v>
      </c>
      <c r="BS82" s="1020">
        <v>4</v>
      </c>
      <c r="BT82" s="1018" t="s">
        <v>667</v>
      </c>
      <c r="BU82" s="1017">
        <v>44160</v>
      </c>
      <c r="BV82" s="1019" t="s">
        <v>10444</v>
      </c>
      <c r="BW82" s="1020">
        <v>13</v>
      </c>
      <c r="BX82" s="1018" t="s">
        <v>278</v>
      </c>
      <c r="BY82" s="1017"/>
      <c r="BZ82" s="1019"/>
      <c r="CA82" s="1020"/>
      <c r="CB82" s="1018"/>
      <c r="CC82" s="1017">
        <v>44892</v>
      </c>
      <c r="CD82" s="1019" t="s">
        <v>10445</v>
      </c>
      <c r="CE82" s="1058">
        <v>16</v>
      </c>
      <c r="CF82" s="1334" t="s">
        <v>700</v>
      </c>
      <c r="CG82" s="1326">
        <v>45254</v>
      </c>
      <c r="CH82" s="1019" t="s">
        <v>10446</v>
      </c>
      <c r="CI82" s="1058">
        <v>25</v>
      </c>
      <c r="CJ82" s="1323" t="s">
        <v>284</v>
      </c>
      <c r="CK82" s="1326">
        <v>45616</v>
      </c>
      <c r="CL82" s="1019" t="s">
        <v>10447</v>
      </c>
      <c r="CM82" s="1058">
        <v>130</v>
      </c>
      <c r="CN82" s="1323" t="s">
        <v>700</v>
      </c>
    </row>
    <row r="83" spans="1:92">
      <c r="A83" s="1077">
        <v>37590</v>
      </c>
      <c r="B83" s="1040" t="s">
        <v>1600</v>
      </c>
      <c r="C83" s="1036">
        <v>7</v>
      </c>
      <c r="D83" s="1034"/>
      <c r="E83" s="1017"/>
      <c r="F83" s="1040"/>
      <c r="G83" s="1036"/>
      <c r="H83" s="1034"/>
      <c r="I83" s="1017"/>
      <c r="J83" s="1040"/>
      <c r="K83" s="1036"/>
      <c r="L83" s="1034"/>
      <c r="M83" s="1017"/>
      <c r="N83" s="1040"/>
      <c r="O83" s="1036"/>
      <c r="P83" s="1034"/>
      <c r="Q83" s="1017"/>
      <c r="R83" s="1040"/>
      <c r="S83" s="1036"/>
      <c r="T83" s="1034"/>
      <c r="U83" s="1017"/>
      <c r="V83" s="1040"/>
      <c r="W83" s="1036"/>
      <c r="X83" s="1034"/>
      <c r="Y83" s="1017"/>
      <c r="Z83" s="1040"/>
      <c r="AA83" s="1036"/>
      <c r="AB83" s="1034"/>
      <c r="AC83" s="1017"/>
      <c r="AD83" s="1040"/>
      <c r="AE83" s="1036"/>
      <c r="AF83" s="1034"/>
      <c r="AG83" s="1017"/>
      <c r="AH83" s="1040"/>
      <c r="AI83" s="1036"/>
      <c r="AJ83" s="1034"/>
      <c r="AK83" s="1017"/>
      <c r="AL83" s="1040"/>
      <c r="AM83" s="1036"/>
      <c r="AN83" s="1034"/>
      <c r="AO83" s="1017"/>
      <c r="AP83" s="1040"/>
      <c r="AQ83" s="1036"/>
      <c r="AR83" s="1034"/>
      <c r="AS83" s="1017"/>
      <c r="AT83" s="1040"/>
      <c r="AU83" s="1036"/>
      <c r="AV83" s="1034"/>
      <c r="AW83" s="1017"/>
      <c r="AX83" s="1040"/>
      <c r="AY83" s="1036"/>
      <c r="AZ83" s="1034"/>
      <c r="BA83" s="1017"/>
      <c r="BB83" s="1040"/>
      <c r="BC83" s="1036"/>
      <c r="BD83" s="1378"/>
      <c r="BE83" s="1017"/>
      <c r="BF83" s="1040"/>
      <c r="BG83" s="1036"/>
      <c r="BH83" s="1034"/>
      <c r="BI83" s="1017">
        <v>43066</v>
      </c>
      <c r="BJ83" s="1040" t="s">
        <v>10448</v>
      </c>
      <c r="BK83" s="1065">
        <v>2</v>
      </c>
      <c r="BL83" s="1034"/>
      <c r="BM83" s="1017"/>
      <c r="BN83" s="1040"/>
      <c r="BO83" s="1065"/>
      <c r="BP83" s="1034"/>
      <c r="BQ83" s="1017">
        <v>43799</v>
      </c>
      <c r="BR83" s="1019" t="s">
        <v>10449</v>
      </c>
      <c r="BS83" s="1020">
        <v>20</v>
      </c>
      <c r="BT83" s="1018" t="s">
        <v>280</v>
      </c>
      <c r="BU83" s="1017">
        <v>44160</v>
      </c>
      <c r="BV83" s="1019" t="s">
        <v>10450</v>
      </c>
      <c r="BW83" s="1020">
        <v>11</v>
      </c>
      <c r="BX83" s="1018" t="s">
        <v>280</v>
      </c>
      <c r="BY83" s="1017"/>
      <c r="BZ83" s="1019"/>
      <c r="CA83" s="1020"/>
      <c r="CB83" s="1018"/>
      <c r="CC83" s="1017">
        <v>44892</v>
      </c>
      <c r="CD83" s="1019" t="s">
        <v>10451</v>
      </c>
      <c r="CE83" s="1058">
        <v>38</v>
      </c>
      <c r="CF83" s="1334" t="s">
        <v>700</v>
      </c>
      <c r="CG83" s="1326">
        <v>45254</v>
      </c>
      <c r="CH83" s="1019" t="s">
        <v>10452</v>
      </c>
      <c r="CI83" s="1058">
        <v>20</v>
      </c>
      <c r="CJ83" s="1323" t="s">
        <v>284</v>
      </c>
      <c r="CK83" s="1326">
        <v>45616</v>
      </c>
      <c r="CL83" s="1019" t="s">
        <v>10453</v>
      </c>
      <c r="CM83" s="1058">
        <v>200</v>
      </c>
      <c r="CN83" s="1323" t="s">
        <v>700</v>
      </c>
    </row>
    <row r="84" spans="1:92">
      <c r="A84" s="1077">
        <v>37590</v>
      </c>
      <c r="B84" s="1040" t="s">
        <v>10454</v>
      </c>
      <c r="C84" s="1036">
        <v>20</v>
      </c>
      <c r="D84" s="1034"/>
      <c r="E84" s="1017"/>
      <c r="F84" s="1040"/>
      <c r="G84" s="1036"/>
      <c r="H84" s="1034"/>
      <c r="I84" s="1017"/>
      <c r="J84" s="1040"/>
      <c r="K84" s="1036"/>
      <c r="L84" s="1034"/>
      <c r="M84" s="1017"/>
      <c r="N84" s="1040"/>
      <c r="O84" s="1036"/>
      <c r="P84" s="1034"/>
      <c r="Q84" s="1017"/>
      <c r="R84" s="1040"/>
      <c r="S84" s="1036"/>
      <c r="T84" s="1034"/>
      <c r="U84" s="1017"/>
      <c r="V84" s="1040"/>
      <c r="W84" s="1036"/>
      <c r="X84" s="1034"/>
      <c r="Y84" s="1017"/>
      <c r="Z84" s="1040"/>
      <c r="AA84" s="1036"/>
      <c r="AB84" s="1034"/>
      <c r="AC84" s="1017"/>
      <c r="AD84" s="1040"/>
      <c r="AE84" s="1036"/>
      <c r="AF84" s="1034"/>
      <c r="AG84" s="1017"/>
      <c r="AH84" s="1040"/>
      <c r="AI84" s="1036"/>
      <c r="AJ84" s="1034"/>
      <c r="AK84" s="1017"/>
      <c r="AL84" s="1040"/>
      <c r="AM84" s="1036"/>
      <c r="AN84" s="1034"/>
      <c r="AO84" s="1017"/>
      <c r="AP84" s="1040"/>
      <c r="AQ84" s="1036"/>
      <c r="AR84" s="1034"/>
      <c r="AS84" s="1017"/>
      <c r="AT84" s="1040"/>
      <c r="AU84" s="1036"/>
      <c r="AV84" s="1034"/>
      <c r="AW84" s="1017"/>
      <c r="AX84" s="1040"/>
      <c r="AY84" s="1036"/>
      <c r="AZ84" s="1034"/>
      <c r="BA84" s="1017"/>
      <c r="BB84" s="1040"/>
      <c r="BC84" s="1036"/>
      <c r="BD84" s="1378"/>
      <c r="BE84" s="1017"/>
      <c r="BF84" s="1040"/>
      <c r="BG84" s="1036"/>
      <c r="BH84" s="1034"/>
      <c r="BI84" s="1017">
        <v>43066</v>
      </c>
      <c r="BJ84" s="1040" t="s">
        <v>10455</v>
      </c>
      <c r="BK84" s="1065">
        <v>18</v>
      </c>
      <c r="BL84" s="1034"/>
      <c r="BM84" s="1017"/>
      <c r="BN84" s="1040"/>
      <c r="BO84" s="1065"/>
      <c r="BP84" s="1034"/>
      <c r="BQ84" s="1017">
        <v>43799</v>
      </c>
      <c r="BR84" s="1019" t="s">
        <v>10456</v>
      </c>
      <c r="BS84" s="1020">
        <v>10</v>
      </c>
      <c r="BT84" s="1018" t="s">
        <v>280</v>
      </c>
      <c r="BU84" s="1017">
        <v>44160</v>
      </c>
      <c r="BV84" s="1019" t="s">
        <v>5759</v>
      </c>
      <c r="BW84" s="1020">
        <v>7</v>
      </c>
      <c r="BX84" s="1018" t="s">
        <v>414</v>
      </c>
      <c r="BY84" s="1017"/>
      <c r="BZ84" s="1019"/>
      <c r="CA84" s="1020"/>
      <c r="CB84" s="1018"/>
      <c r="CC84" s="1017">
        <v>44892</v>
      </c>
      <c r="CD84" s="1019" t="s">
        <v>10457</v>
      </c>
      <c r="CE84" s="1058">
        <v>0</v>
      </c>
      <c r="CF84" s="1334" t="s">
        <v>700</v>
      </c>
      <c r="CG84" s="1326">
        <v>45254</v>
      </c>
      <c r="CH84" s="1019" t="s">
        <v>10458</v>
      </c>
      <c r="CI84" s="1058">
        <v>10</v>
      </c>
      <c r="CJ84" s="1323" t="s">
        <v>414</v>
      </c>
      <c r="CK84" s="1326">
        <v>45618</v>
      </c>
      <c r="CL84" s="1019" t="s">
        <v>10459</v>
      </c>
      <c r="CM84" s="1058">
        <f>SUM(CM85:CM238)</f>
        <v>6907.62</v>
      </c>
      <c r="CN84" s="1323"/>
    </row>
    <row r="85" spans="1:92">
      <c r="A85" s="1077"/>
      <c r="B85" s="1040"/>
      <c r="C85" s="1036"/>
      <c r="D85" s="1034"/>
      <c r="E85" s="1017"/>
      <c r="F85" s="1040"/>
      <c r="G85" s="1036"/>
      <c r="H85" s="1034"/>
      <c r="I85" s="1017"/>
      <c r="J85" s="1040"/>
      <c r="K85" s="1036"/>
      <c r="L85" s="1034"/>
      <c r="M85" s="1017"/>
      <c r="N85" s="1040"/>
      <c r="O85" s="1036"/>
      <c r="P85" s="1034"/>
      <c r="Q85" s="1017"/>
      <c r="R85" s="1040"/>
      <c r="S85" s="1036"/>
      <c r="T85" s="1034"/>
      <c r="U85" s="1017"/>
      <c r="V85" s="1040"/>
      <c r="W85" s="1036"/>
      <c r="X85" s="1034"/>
      <c r="Y85" s="1017"/>
      <c r="Z85" s="1040"/>
      <c r="AA85" s="1036"/>
      <c r="AB85" s="1034"/>
      <c r="AC85" s="1017"/>
      <c r="AD85" s="1040"/>
      <c r="AE85" s="1036"/>
      <c r="AF85" s="1034"/>
      <c r="AG85" s="1017"/>
      <c r="AH85" s="1040"/>
      <c r="AI85" s="1036"/>
      <c r="AJ85" s="1034"/>
      <c r="AK85" s="1017"/>
      <c r="AL85" s="1040"/>
      <c r="AM85" s="1036"/>
      <c r="AN85" s="1034"/>
      <c r="AO85" s="1017"/>
      <c r="AP85" s="1040"/>
      <c r="AQ85" s="1036"/>
      <c r="AR85" s="1034"/>
      <c r="AS85" s="1017"/>
      <c r="AT85" s="1040"/>
      <c r="AU85" s="1036"/>
      <c r="AV85" s="1034"/>
      <c r="AW85" s="1017"/>
      <c r="AX85" s="1040"/>
      <c r="AY85" s="1036"/>
      <c r="AZ85" s="1034"/>
      <c r="BA85" s="1017"/>
      <c r="BB85" s="1040"/>
      <c r="BC85" s="1036"/>
      <c r="BD85" s="1378"/>
      <c r="BE85" s="1017"/>
      <c r="BF85" s="1040"/>
      <c r="BG85" s="1036"/>
      <c r="BH85" s="1034"/>
      <c r="BI85" s="1017">
        <v>43066</v>
      </c>
      <c r="BJ85" s="1040" t="s">
        <v>10460</v>
      </c>
      <c r="BK85" s="1065">
        <v>38</v>
      </c>
      <c r="BL85" s="1034"/>
      <c r="BM85" s="1017"/>
      <c r="BN85" s="1040"/>
      <c r="BO85" s="1065"/>
      <c r="BP85" s="1034"/>
      <c r="BQ85" s="1017">
        <v>43799</v>
      </c>
      <c r="BR85" s="1019" t="s">
        <v>10461</v>
      </c>
      <c r="BS85" s="1020">
        <v>45</v>
      </c>
      <c r="BT85" s="1018" t="s">
        <v>280</v>
      </c>
      <c r="BU85" s="1017">
        <v>44160</v>
      </c>
      <c r="BV85" s="1019" t="s">
        <v>10462</v>
      </c>
      <c r="BW85" s="1020">
        <v>15</v>
      </c>
      <c r="BX85" s="1018" t="s">
        <v>414</v>
      </c>
      <c r="BY85" s="1017"/>
      <c r="BZ85" s="1019"/>
      <c r="CA85" s="1020"/>
      <c r="CB85" s="1018"/>
      <c r="CC85" s="1017">
        <v>44893</v>
      </c>
      <c r="CD85" s="1019" t="s">
        <v>10463</v>
      </c>
      <c r="CE85" s="1058">
        <v>50</v>
      </c>
      <c r="CF85" s="1334" t="s">
        <v>702</v>
      </c>
      <c r="CG85" s="1326">
        <v>45254</v>
      </c>
      <c r="CH85" s="1019" t="s">
        <v>10464</v>
      </c>
      <c r="CI85" s="1058">
        <v>12</v>
      </c>
      <c r="CJ85" s="1323" t="s">
        <v>414</v>
      </c>
      <c r="CK85" s="1326">
        <v>45618</v>
      </c>
      <c r="CL85" s="1019" t="s">
        <v>10465</v>
      </c>
      <c r="CM85" s="1058">
        <v>5000</v>
      </c>
      <c r="CN85" s="1323" t="s">
        <v>707</v>
      </c>
    </row>
    <row r="86" spans="1:92">
      <c r="A86" s="1046" t="s">
        <v>477</v>
      </c>
      <c r="B86" s="1022"/>
      <c r="C86" s="1023">
        <f>SUM(C4:C85)</f>
        <v>5444</v>
      </c>
      <c r="D86" s="1023">
        <f>SUM(D4:D85)</f>
        <v>1573</v>
      </c>
      <c r="E86" s="1046" t="s">
        <v>477</v>
      </c>
      <c r="F86" s="1022"/>
      <c r="G86" s="1023">
        <f>SUM(G4:G85)</f>
        <v>4308</v>
      </c>
      <c r="H86" s="1023">
        <f>SUM(H4:H85)</f>
        <v>1785</v>
      </c>
      <c r="I86" s="1046" t="s">
        <v>477</v>
      </c>
      <c r="J86" s="1022"/>
      <c r="K86" s="1023">
        <f>SUM(K4:K85)</f>
        <v>3696</v>
      </c>
      <c r="L86" s="1023">
        <f>SUM(L4:L85)</f>
        <v>1785</v>
      </c>
      <c r="M86" s="1046" t="s">
        <v>477</v>
      </c>
      <c r="N86" s="1022"/>
      <c r="O86" s="1023">
        <f>SUM(O4:O85)</f>
        <v>881</v>
      </c>
      <c r="P86" s="1023">
        <f>SUM(P4:P85)</f>
        <v>0</v>
      </c>
      <c r="Q86" s="1046" t="s">
        <v>477</v>
      </c>
      <c r="R86" s="1022"/>
      <c r="S86" s="1023">
        <f>SUM(S4:S85)</f>
        <v>4098</v>
      </c>
      <c r="T86" s="1023">
        <f>SUM(T4:T85)</f>
        <v>0</v>
      </c>
      <c r="U86" s="1046" t="s">
        <v>477</v>
      </c>
      <c r="V86" s="1022"/>
      <c r="W86" s="1023">
        <f>SUM(W4:W85)</f>
        <v>1428</v>
      </c>
      <c r="X86" s="1023">
        <f>SUM(X4:X85)</f>
        <v>0</v>
      </c>
      <c r="Y86" s="1046" t="s">
        <v>477</v>
      </c>
      <c r="Z86" s="1022"/>
      <c r="AA86" s="1023">
        <f>SUM(AA4:AA85)</f>
        <v>1688.81</v>
      </c>
      <c r="AB86" s="1023">
        <f>SUM(AB4:AB85)</f>
        <v>0</v>
      </c>
      <c r="AC86" s="1046" t="s">
        <v>477</v>
      </c>
      <c r="AD86" s="1022"/>
      <c r="AE86" s="1023">
        <f>SUM(AE4:AE85)</f>
        <v>2519</v>
      </c>
      <c r="AF86" s="1023">
        <f>SUM(AF4:AF85)</f>
        <v>0</v>
      </c>
      <c r="AG86" s="1046" t="s">
        <v>477</v>
      </c>
      <c r="AH86" s="1022"/>
      <c r="AI86" s="1023">
        <f>SUM(AI4:AI85)</f>
        <v>4886</v>
      </c>
      <c r="AJ86" s="1023">
        <f>SUM(AJ4:AJ85)</f>
        <v>0</v>
      </c>
      <c r="AK86" s="1046" t="s">
        <v>477</v>
      </c>
      <c r="AL86" s="1022"/>
      <c r="AM86" s="1023">
        <f>SUM(AM4:AM85)</f>
        <v>2792</v>
      </c>
      <c r="AN86" s="1023">
        <f>SUM(AN4:AN85)</f>
        <v>0</v>
      </c>
      <c r="AO86" s="1046" t="s">
        <v>477</v>
      </c>
      <c r="AP86" s="1022"/>
      <c r="AQ86" s="1023">
        <f>SUM(AQ4:AQ85)</f>
        <v>3182</v>
      </c>
      <c r="AR86" s="1023">
        <f>SUM(AR4:AR85)</f>
        <v>0</v>
      </c>
      <c r="AS86" s="1046" t="s">
        <v>477</v>
      </c>
      <c r="AT86" s="1022"/>
      <c r="AU86" s="1023">
        <f>SUM(AU4:AU85)</f>
        <v>2216</v>
      </c>
      <c r="AV86" s="1023">
        <f>SUM(AV4:AV85)</f>
        <v>0</v>
      </c>
      <c r="AW86" s="1046" t="s">
        <v>477</v>
      </c>
      <c r="AX86" s="1022"/>
      <c r="AY86" s="1023">
        <f>SUM(AY4:AY85)</f>
        <v>4598</v>
      </c>
      <c r="AZ86" s="1023">
        <f>SUM(AZ4:AZ85)</f>
        <v>0</v>
      </c>
      <c r="BA86" s="1046" t="s">
        <v>477</v>
      </c>
      <c r="BB86" s="1022"/>
      <c r="BC86" s="1023">
        <f>SUM(BC4:BC85)</f>
        <v>139877</v>
      </c>
      <c r="BD86" s="1335">
        <f>SUM(BD4:BD85)</f>
        <v>4947.3069841269853</v>
      </c>
      <c r="BE86" s="1046" t="s">
        <v>477</v>
      </c>
      <c r="BF86" s="1022"/>
      <c r="BG86" s="1023">
        <f>SUM(BG4:BG85)</f>
        <v>1906</v>
      </c>
      <c r="BH86" s="1023">
        <f>SUM(BH4:BH85)</f>
        <v>0</v>
      </c>
      <c r="BI86" s="1017">
        <v>43066</v>
      </c>
      <c r="BJ86" s="1040" t="s">
        <v>10466</v>
      </c>
      <c r="BK86" s="1065">
        <v>5</v>
      </c>
      <c r="BL86" s="1034"/>
      <c r="BM86" s="1017"/>
      <c r="BN86" s="1040"/>
      <c r="BO86" s="1065"/>
      <c r="BP86" s="1034"/>
      <c r="BQ86" s="1017">
        <v>43799</v>
      </c>
      <c r="BR86" s="1019" t="s">
        <v>10467</v>
      </c>
      <c r="BS86" s="1020">
        <v>99</v>
      </c>
      <c r="BT86" s="1018" t="s">
        <v>690</v>
      </c>
      <c r="BU86" s="1017">
        <v>44160</v>
      </c>
      <c r="BV86" s="1019" t="s">
        <v>2888</v>
      </c>
      <c r="BW86" s="1020">
        <v>81</v>
      </c>
      <c r="BX86" s="1018" t="s">
        <v>414</v>
      </c>
      <c r="BY86" s="1017"/>
      <c r="BZ86" s="1019"/>
      <c r="CA86" s="1020"/>
      <c r="CB86" s="1018"/>
      <c r="CC86" s="1017">
        <v>44893</v>
      </c>
      <c r="CD86" s="1019" t="s">
        <v>10468</v>
      </c>
      <c r="CE86" s="1058">
        <v>120</v>
      </c>
      <c r="CF86" s="1334" t="s">
        <v>700</v>
      </c>
      <c r="CG86" s="1326">
        <v>45254</v>
      </c>
      <c r="CH86" s="1019" t="s">
        <v>10469</v>
      </c>
      <c r="CI86" s="1058">
        <v>52</v>
      </c>
      <c r="CJ86" s="1323" t="s">
        <v>414</v>
      </c>
      <c r="CK86" s="1326">
        <v>45618</v>
      </c>
      <c r="CL86" s="1019" t="s">
        <v>10470</v>
      </c>
      <c r="CM86" s="1058">
        <v>700</v>
      </c>
      <c r="CN86" s="1323" t="s">
        <v>707</v>
      </c>
    </row>
    <row r="87" spans="1:92">
      <c r="A87" s="1024" t="s">
        <v>1672</v>
      </c>
      <c r="B87" s="1025"/>
      <c r="C87" s="1026"/>
      <c r="D87" s="1027"/>
      <c r="E87" s="1024" t="s">
        <v>1672</v>
      </c>
      <c r="F87" s="1025"/>
      <c r="G87" s="1026"/>
      <c r="H87" s="1027"/>
      <c r="I87" s="1024" t="s">
        <v>1672</v>
      </c>
      <c r="J87" s="1025"/>
      <c r="K87" s="1026"/>
      <c r="L87" s="1027"/>
      <c r="M87" s="1024" t="s">
        <v>1672</v>
      </c>
      <c r="N87" s="1025"/>
      <c r="O87" s="1026"/>
      <c r="P87" s="1027"/>
      <c r="Q87" s="1024" t="s">
        <v>1672</v>
      </c>
      <c r="R87" s="1025"/>
      <c r="S87" s="1026"/>
      <c r="T87" s="1027"/>
      <c r="U87" s="1024" t="s">
        <v>1672</v>
      </c>
      <c r="V87" s="1025"/>
      <c r="W87" s="1026"/>
      <c r="X87" s="1027"/>
      <c r="Y87" s="1024" t="s">
        <v>1672</v>
      </c>
      <c r="Z87" s="1025"/>
      <c r="AA87" s="1026"/>
      <c r="AB87" s="1027"/>
      <c r="AC87" s="1024" t="s">
        <v>1672</v>
      </c>
      <c r="AD87" s="1025"/>
      <c r="AE87" s="1026"/>
      <c r="AF87" s="1027"/>
      <c r="AG87" s="1024" t="s">
        <v>1672</v>
      </c>
      <c r="AH87" s="1025"/>
      <c r="AI87" s="1026"/>
      <c r="AJ87" s="1027"/>
      <c r="AK87" s="1024" t="s">
        <v>1672</v>
      </c>
      <c r="AL87" s="1025"/>
      <c r="AM87" s="1026"/>
      <c r="AN87" s="1027"/>
      <c r="AO87" s="1024" t="s">
        <v>1672</v>
      </c>
      <c r="AP87" s="1025"/>
      <c r="AQ87" s="1026"/>
      <c r="AR87" s="1027"/>
      <c r="AS87" s="1024" t="s">
        <v>1672</v>
      </c>
      <c r="AT87" s="1025"/>
      <c r="AU87" s="1026"/>
      <c r="AV87" s="1027"/>
      <c r="AW87" s="1024" t="s">
        <v>1672</v>
      </c>
      <c r="AX87" s="1025"/>
      <c r="AY87" s="1026"/>
      <c r="AZ87" s="1027"/>
      <c r="BA87" s="1024" t="s">
        <v>1672</v>
      </c>
      <c r="BB87" s="1025"/>
      <c r="BC87" s="1026"/>
      <c r="BD87" s="1336"/>
      <c r="BE87" s="1024" t="s">
        <v>1672</v>
      </c>
      <c r="BF87" s="1025"/>
      <c r="BG87" s="1026"/>
      <c r="BH87" s="1027"/>
      <c r="BI87" s="1017">
        <v>43067</v>
      </c>
      <c r="BJ87" s="1040" t="s">
        <v>10471</v>
      </c>
      <c r="BK87" s="1065">
        <v>16</v>
      </c>
      <c r="BL87" s="1034"/>
      <c r="BM87" s="1017"/>
      <c r="BN87" s="1040"/>
      <c r="BO87" s="1065"/>
      <c r="BP87" s="1034"/>
      <c r="BQ87" s="1017"/>
      <c r="BR87" s="1019"/>
      <c r="BS87" s="1020"/>
      <c r="BT87" s="1018"/>
      <c r="BU87" s="1017">
        <v>44160</v>
      </c>
      <c r="BV87" s="1019" t="s">
        <v>10472</v>
      </c>
      <c r="BW87" s="1020">
        <v>285</v>
      </c>
      <c r="BX87" s="1018" t="s">
        <v>280</v>
      </c>
      <c r="BY87" s="1017"/>
      <c r="BZ87" s="1019"/>
      <c r="CA87" s="1020"/>
      <c r="CB87" s="1018"/>
      <c r="CC87" s="1017">
        <v>44893</v>
      </c>
      <c r="CD87" s="1019" t="s">
        <v>10473</v>
      </c>
      <c r="CE87" s="1058">
        <v>30</v>
      </c>
      <c r="CF87" s="1334" t="s">
        <v>414</v>
      </c>
      <c r="CG87" s="1326">
        <v>45254</v>
      </c>
      <c r="CH87" s="1019" t="s">
        <v>10474</v>
      </c>
      <c r="CI87" s="1058">
        <v>13</v>
      </c>
      <c r="CJ87" s="1323" t="s">
        <v>414</v>
      </c>
      <c r="CK87" s="1326">
        <v>45618</v>
      </c>
      <c r="CL87" s="1019" t="s">
        <v>10475</v>
      </c>
      <c r="CM87" s="1058">
        <v>700</v>
      </c>
      <c r="CN87" s="1323" t="s">
        <v>707</v>
      </c>
    </row>
    <row r="88" spans="1:92">
      <c r="A88" s="1028" t="s">
        <v>138</v>
      </c>
      <c r="B88" s="1029"/>
      <c r="C88" s="1030">
        <f>SUM(C86,D86)</f>
        <v>7017</v>
      </c>
      <c r="D88" s="1031"/>
      <c r="E88" s="1028" t="s">
        <v>138</v>
      </c>
      <c r="F88" s="1028"/>
      <c r="G88" s="1030">
        <f>SUM(G86,H86)</f>
        <v>6093</v>
      </c>
      <c r="H88" s="1031"/>
      <c r="I88" s="1028" t="s">
        <v>138</v>
      </c>
      <c r="J88" s="1028"/>
      <c r="K88" s="1030">
        <f>SUM(K86,L86)</f>
        <v>5481</v>
      </c>
      <c r="L88" s="1031"/>
      <c r="M88" s="1028" t="s">
        <v>138</v>
      </c>
      <c r="N88" s="1028"/>
      <c r="O88" s="1030">
        <f>SUM(O86,P86)</f>
        <v>881</v>
      </c>
      <c r="P88" s="1031"/>
      <c r="Q88" s="1028" t="s">
        <v>138</v>
      </c>
      <c r="R88" s="1028"/>
      <c r="S88" s="1030">
        <f>SUM(S86,T86)</f>
        <v>4098</v>
      </c>
      <c r="T88" s="1031"/>
      <c r="U88" s="1028" t="s">
        <v>138</v>
      </c>
      <c r="V88" s="1028"/>
      <c r="W88" s="1030">
        <f>SUM(W86,X86)</f>
        <v>1428</v>
      </c>
      <c r="X88" s="1031"/>
      <c r="Y88" s="1028" t="s">
        <v>138</v>
      </c>
      <c r="Z88" s="1028"/>
      <c r="AA88" s="1030">
        <f>SUM(AA86,AB86)</f>
        <v>1688.81</v>
      </c>
      <c r="AB88" s="1031"/>
      <c r="AC88" s="1028" t="s">
        <v>138</v>
      </c>
      <c r="AD88" s="1028"/>
      <c r="AE88" s="1030">
        <f>SUM(AE86,AF86)</f>
        <v>2519</v>
      </c>
      <c r="AF88" s="1031"/>
      <c r="AG88" s="1028" t="s">
        <v>138</v>
      </c>
      <c r="AH88" s="1028"/>
      <c r="AI88" s="1030">
        <f>SUM(AI86,AJ86)</f>
        <v>4886</v>
      </c>
      <c r="AJ88" s="1031"/>
      <c r="AK88" s="1028" t="s">
        <v>138</v>
      </c>
      <c r="AL88" s="1028"/>
      <c r="AM88" s="1030">
        <f>SUM(AM86,AN86)</f>
        <v>2792</v>
      </c>
      <c r="AN88" s="1031"/>
      <c r="AO88" s="1028" t="s">
        <v>138</v>
      </c>
      <c r="AP88" s="1028"/>
      <c r="AQ88" s="1030">
        <f>SUM(AQ86,AR86)</f>
        <v>3182</v>
      </c>
      <c r="AR88" s="1031"/>
      <c r="AS88" s="1028" t="s">
        <v>138</v>
      </c>
      <c r="AT88" s="1028"/>
      <c r="AU88" s="1030">
        <f>SUM(AU86,AV86)</f>
        <v>2216</v>
      </c>
      <c r="AV88" s="1031"/>
      <c r="AW88" s="1028" t="s">
        <v>138</v>
      </c>
      <c r="AX88" s="1028"/>
      <c r="AY88" s="1030">
        <f>SUM(AY86,AZ86)</f>
        <v>4598</v>
      </c>
      <c r="AZ88" s="1031"/>
      <c r="BA88" s="1028" t="s">
        <v>138</v>
      </c>
      <c r="BB88" s="1028"/>
      <c r="BC88" s="1030">
        <f>SUM(BC86,BD86)</f>
        <v>144824.30698412698</v>
      </c>
      <c r="BD88" s="1337"/>
      <c r="BE88" s="1028" t="s">
        <v>138</v>
      </c>
      <c r="BF88" s="1028"/>
      <c r="BG88" s="1030">
        <f>SUM(BG86,BH86)</f>
        <v>1906</v>
      </c>
      <c r="BH88" s="1031"/>
      <c r="BI88" s="1017">
        <v>43068</v>
      </c>
      <c r="BJ88" s="1040" t="s">
        <v>797</v>
      </c>
      <c r="BK88" s="1065">
        <v>16</v>
      </c>
      <c r="BL88" s="1034"/>
      <c r="BM88" s="1017"/>
      <c r="BN88" s="1040"/>
      <c r="BO88" s="1065"/>
      <c r="BP88" s="1034"/>
      <c r="BQ88" s="1017"/>
      <c r="BR88" s="1019"/>
      <c r="BS88" s="1020"/>
      <c r="BT88" s="1018"/>
      <c r="BU88" s="1017">
        <v>44162</v>
      </c>
      <c r="BV88" s="1019" t="s">
        <v>828</v>
      </c>
      <c r="BW88" s="1020">
        <v>8</v>
      </c>
      <c r="BX88" s="1018" t="s">
        <v>414</v>
      </c>
      <c r="BY88" s="1017"/>
      <c r="BZ88" s="1019"/>
      <c r="CA88" s="1020"/>
      <c r="CB88" s="1018"/>
      <c r="CC88" s="1017">
        <v>44893</v>
      </c>
      <c r="CD88" s="1019" t="s">
        <v>10476</v>
      </c>
      <c r="CE88" s="1058">
        <v>120</v>
      </c>
      <c r="CF88" s="1334" t="s">
        <v>700</v>
      </c>
      <c r="CG88" s="1326">
        <v>45254</v>
      </c>
      <c r="CH88" s="1019" t="s">
        <v>2734</v>
      </c>
      <c r="CI88" s="1058">
        <v>25</v>
      </c>
      <c r="CJ88" s="1323" t="s">
        <v>693</v>
      </c>
      <c r="CK88" s="1326">
        <v>45618</v>
      </c>
      <c r="CL88" s="1019" t="s">
        <v>10477</v>
      </c>
      <c r="CM88" s="1058">
        <v>700</v>
      </c>
      <c r="CN88" s="1323" t="s">
        <v>707</v>
      </c>
    </row>
    <row r="89" spans="1:92">
      <c r="A89" s="1048"/>
      <c r="B89" s="1048"/>
      <c r="C89" s="1048"/>
      <c r="D89" s="1048"/>
      <c r="E89" s="1048"/>
      <c r="F89" s="1048"/>
      <c r="G89" s="1048"/>
      <c r="H89" s="1048"/>
      <c r="I89" s="1048"/>
      <c r="J89" s="1048"/>
      <c r="K89" s="1048"/>
      <c r="L89" s="1048"/>
      <c r="M89" s="1048"/>
      <c r="N89" s="1048"/>
      <c r="O89" s="1048"/>
      <c r="P89" s="1048"/>
      <c r="Q89" s="1048"/>
      <c r="R89" s="1048"/>
      <c r="S89" s="1048"/>
      <c r="T89" s="1048"/>
      <c r="U89" s="1048"/>
      <c r="V89" s="1048"/>
      <c r="W89" s="1048"/>
      <c r="X89" s="1048"/>
      <c r="Y89" s="1048"/>
      <c r="Z89" s="1048"/>
      <c r="AA89" s="1048"/>
      <c r="AB89" s="1048"/>
      <c r="AC89" s="1048"/>
      <c r="AD89" s="1048"/>
      <c r="AE89" s="1048"/>
      <c r="AF89" s="1048"/>
      <c r="AG89" s="1048"/>
      <c r="AH89" s="1048"/>
      <c r="AI89" s="1048"/>
      <c r="AJ89" s="1048"/>
      <c r="AK89" s="1048"/>
      <c r="AL89" s="1048"/>
      <c r="AM89" s="1048"/>
      <c r="AN89" s="1048"/>
      <c r="AO89" s="1048"/>
      <c r="AP89" s="1048"/>
      <c r="AQ89" s="1048"/>
      <c r="AR89" s="1048"/>
      <c r="AS89" s="1048"/>
      <c r="AT89" s="1048"/>
      <c r="AU89" s="1048"/>
      <c r="AV89" s="1048"/>
      <c r="AW89" s="1048"/>
      <c r="AX89" s="1048"/>
      <c r="AY89" s="1048"/>
      <c r="AZ89" s="1048"/>
      <c r="BA89" s="1048"/>
      <c r="BB89" s="1048"/>
      <c r="BC89" s="1048"/>
      <c r="BD89" s="1048"/>
      <c r="BE89" s="1048"/>
      <c r="BF89" s="1048"/>
      <c r="BG89" s="1048"/>
      <c r="BH89" s="1048"/>
      <c r="BI89" s="1017">
        <v>43068</v>
      </c>
      <c r="BJ89" s="1040" t="s">
        <v>859</v>
      </c>
      <c r="BK89" s="1065">
        <v>18</v>
      </c>
      <c r="BL89" s="1034"/>
      <c r="BM89" s="1017"/>
      <c r="BN89" s="1040"/>
      <c r="BO89" s="1065"/>
      <c r="BP89" s="1034"/>
      <c r="BQ89" s="1017"/>
      <c r="BR89" s="1019"/>
      <c r="BS89" s="1020"/>
      <c r="BT89" s="1018"/>
      <c r="BU89" s="1017">
        <v>44162</v>
      </c>
      <c r="BV89" s="1019" t="s">
        <v>823</v>
      </c>
      <c r="BW89" s="1020">
        <v>30</v>
      </c>
      <c r="BX89" s="1018" t="s">
        <v>414</v>
      </c>
      <c r="BY89" s="1017"/>
      <c r="BZ89" s="1019"/>
      <c r="CA89" s="1020"/>
      <c r="CB89" s="1018"/>
      <c r="CC89" s="1017">
        <v>44893</v>
      </c>
      <c r="CD89" s="1019" t="s">
        <v>10478</v>
      </c>
      <c r="CE89" s="1058">
        <v>77</v>
      </c>
      <c r="CF89" s="1334" t="s">
        <v>700</v>
      </c>
      <c r="CG89" s="1326">
        <v>45254</v>
      </c>
      <c r="CH89" s="1019" t="s">
        <v>10479</v>
      </c>
      <c r="CI89" s="1058">
        <v>10</v>
      </c>
      <c r="CJ89" s="1323" t="s">
        <v>414</v>
      </c>
      <c r="CK89" s="1326">
        <v>45618</v>
      </c>
      <c r="CL89" s="1019" t="s">
        <v>10480</v>
      </c>
      <c r="CM89" s="1058">
        <v>150</v>
      </c>
      <c r="CN89" s="1323" t="s">
        <v>707</v>
      </c>
    </row>
    <row r="90" spans="1:92">
      <c r="A90" s="1048"/>
      <c r="B90" s="1048"/>
      <c r="C90" s="1048"/>
      <c r="D90" s="1048"/>
      <c r="E90" s="1048"/>
      <c r="F90" s="1048"/>
      <c r="G90" s="1048"/>
      <c r="H90" s="1048"/>
      <c r="I90" s="1048"/>
      <c r="J90" s="1048"/>
      <c r="K90" s="1048"/>
      <c r="L90" s="1048"/>
      <c r="M90" s="1048"/>
      <c r="N90" s="1048"/>
      <c r="O90" s="1048"/>
      <c r="P90" s="1048"/>
      <c r="Q90" s="1048"/>
      <c r="R90" s="1048"/>
      <c r="S90" s="1048"/>
      <c r="T90" s="1048"/>
      <c r="U90" s="1048"/>
      <c r="V90" s="1048"/>
      <c r="W90" s="1048"/>
      <c r="X90" s="1048"/>
      <c r="Y90" s="1048"/>
      <c r="Z90" s="1048"/>
      <c r="AA90" s="1048"/>
      <c r="AB90" s="1048"/>
      <c r="AC90" s="1048"/>
      <c r="AD90" s="1048"/>
      <c r="AE90" s="1048"/>
      <c r="AF90" s="1048"/>
      <c r="AG90" s="1048"/>
      <c r="AH90" s="1048"/>
      <c r="AI90" s="1048"/>
      <c r="AJ90" s="1048"/>
      <c r="AK90" s="1048"/>
      <c r="AL90" s="1048"/>
      <c r="AM90" s="1048"/>
      <c r="AN90" s="1048"/>
      <c r="AO90" s="1048"/>
      <c r="AP90" s="1048"/>
      <c r="AQ90" s="1048"/>
      <c r="AR90" s="1048"/>
      <c r="AS90" s="1048"/>
      <c r="AT90" s="1048"/>
      <c r="AU90" s="1048"/>
      <c r="AV90" s="1048"/>
      <c r="AW90" s="1048"/>
      <c r="AX90" s="1048"/>
      <c r="AY90" s="1048"/>
      <c r="AZ90" s="1048"/>
      <c r="BA90" s="1048"/>
      <c r="BB90" s="1048"/>
      <c r="BC90" s="1048"/>
      <c r="BD90" s="1048"/>
      <c r="BE90" s="1048"/>
      <c r="BF90" s="1048"/>
      <c r="BG90" s="1048"/>
      <c r="BH90" s="1048"/>
      <c r="BI90" s="1017">
        <v>43068</v>
      </c>
      <c r="BJ90" s="1040" t="s">
        <v>10481</v>
      </c>
      <c r="BK90" s="1065">
        <v>14</v>
      </c>
      <c r="BL90" s="1034"/>
      <c r="BM90" s="1017"/>
      <c r="BN90" s="1040"/>
      <c r="BO90" s="1065"/>
      <c r="BP90" s="1034"/>
      <c r="BQ90" s="1017"/>
      <c r="BR90" s="1019"/>
      <c r="BS90" s="1020"/>
      <c r="BT90" s="1018"/>
      <c r="BU90" s="1017">
        <v>44162</v>
      </c>
      <c r="BV90" s="1019" t="s">
        <v>10482</v>
      </c>
      <c r="BW90" s="1020">
        <v>0</v>
      </c>
      <c r="BX90" s="1018" t="s">
        <v>701</v>
      </c>
      <c r="BY90" s="1017"/>
      <c r="BZ90" s="1019"/>
      <c r="CA90" s="1020"/>
      <c r="CB90" s="1018"/>
      <c r="CC90" s="1017"/>
      <c r="CD90" s="1019"/>
      <c r="CE90" s="1058"/>
      <c r="CF90" s="1334"/>
      <c r="CG90" s="1326">
        <v>45254</v>
      </c>
      <c r="CH90" s="1019" t="s">
        <v>10483</v>
      </c>
      <c r="CI90" s="1058">
        <v>6</v>
      </c>
      <c r="CJ90" s="1323" t="s">
        <v>414</v>
      </c>
      <c r="CK90" s="1326">
        <v>45618</v>
      </c>
      <c r="CL90" s="1019" t="s">
        <v>10484</v>
      </c>
      <c r="CM90" s="1058">
        <v>150</v>
      </c>
      <c r="CN90" s="1323" t="s">
        <v>707</v>
      </c>
    </row>
    <row r="91" spans="1:92">
      <c r="A91" s="1048"/>
      <c r="B91" s="1048"/>
      <c r="C91" s="1048"/>
      <c r="D91" s="1048"/>
      <c r="E91" s="1048"/>
      <c r="F91" s="1048"/>
      <c r="G91" s="1048"/>
      <c r="H91" s="1048"/>
      <c r="I91" s="1048"/>
      <c r="J91" s="1048"/>
      <c r="K91" s="1048"/>
      <c r="L91" s="1048"/>
      <c r="M91" s="1048"/>
      <c r="N91" s="1048"/>
      <c r="O91" s="1048"/>
      <c r="P91" s="1048"/>
      <c r="Q91" s="1048"/>
      <c r="R91" s="1048"/>
      <c r="S91" s="1048"/>
      <c r="T91" s="1048"/>
      <c r="U91" s="1048"/>
      <c r="V91" s="1048"/>
      <c r="W91" s="1048"/>
      <c r="X91" s="1048"/>
      <c r="Y91" s="1048"/>
      <c r="Z91" s="1048"/>
      <c r="AA91" s="1048"/>
      <c r="AB91" s="1048"/>
      <c r="AC91" s="1048"/>
      <c r="AD91" s="1048"/>
      <c r="AE91" s="1048"/>
      <c r="AF91" s="1048"/>
      <c r="AG91" s="1048"/>
      <c r="AH91" s="1048"/>
      <c r="AI91" s="1048"/>
      <c r="AJ91" s="1048"/>
      <c r="AK91" s="1048"/>
      <c r="AL91" s="1048"/>
      <c r="AM91" s="1048"/>
      <c r="AN91" s="1048"/>
      <c r="AO91" s="1048"/>
      <c r="AP91" s="1048"/>
      <c r="AQ91" s="1048"/>
      <c r="AR91" s="1048"/>
      <c r="AS91" s="1048"/>
      <c r="AT91" s="1048"/>
      <c r="AU91" s="1048"/>
      <c r="AV91" s="1048"/>
      <c r="AW91" s="1048"/>
      <c r="AX91" s="1048"/>
      <c r="AY91" s="1048"/>
      <c r="AZ91" s="1048"/>
      <c r="BA91" s="1048"/>
      <c r="BB91" s="1048"/>
      <c r="BC91" s="1048"/>
      <c r="BD91" s="1048"/>
      <c r="BE91" s="1048"/>
      <c r="BF91" s="1048"/>
      <c r="BG91" s="1048"/>
      <c r="BH91" s="1048"/>
      <c r="BI91" s="1017">
        <v>43068</v>
      </c>
      <c r="BJ91" s="1040" t="s">
        <v>10485</v>
      </c>
      <c r="BK91" s="1065">
        <v>15</v>
      </c>
      <c r="BL91" s="1034"/>
      <c r="BM91" s="1017"/>
      <c r="BN91" s="1040"/>
      <c r="BO91" s="1065"/>
      <c r="BP91" s="1034"/>
      <c r="BQ91" s="1017"/>
      <c r="BR91" s="1019"/>
      <c r="BS91" s="1020"/>
      <c r="BT91" s="1018"/>
      <c r="BU91" s="1017">
        <v>44162</v>
      </c>
      <c r="BV91" s="1019" t="s">
        <v>10486</v>
      </c>
      <c r="BW91" s="1020">
        <v>75</v>
      </c>
      <c r="BX91" s="1018" t="s">
        <v>701</v>
      </c>
      <c r="BY91" s="1017"/>
      <c r="BZ91" s="1019"/>
      <c r="CA91" s="1020"/>
      <c r="CB91" s="1018"/>
      <c r="CC91" s="1017"/>
      <c r="CD91" s="1019"/>
      <c r="CE91" s="1058"/>
      <c r="CF91" s="1334"/>
      <c r="CG91" s="1326">
        <v>45254</v>
      </c>
      <c r="CH91" s="1019" t="s">
        <v>10487</v>
      </c>
      <c r="CI91" s="1058">
        <v>13</v>
      </c>
      <c r="CJ91" s="1323" t="s">
        <v>414</v>
      </c>
      <c r="CK91" s="1326">
        <v>45618</v>
      </c>
      <c r="CL91" s="1019" t="s">
        <v>10488</v>
      </c>
      <c r="CM91" s="1058">
        <v>100</v>
      </c>
      <c r="CN91" s="1323" t="s">
        <v>707</v>
      </c>
    </row>
    <row r="92" spans="1:92">
      <c r="A92" s="1048"/>
      <c r="B92" s="1048"/>
      <c r="C92" s="1048"/>
      <c r="D92" s="1048"/>
      <c r="E92" s="1048"/>
      <c r="F92" s="1048"/>
      <c r="G92" s="1048"/>
      <c r="H92" s="1048"/>
      <c r="I92" s="1048"/>
      <c r="J92" s="1048"/>
      <c r="K92" s="1048"/>
      <c r="L92" s="1048"/>
      <c r="M92" s="1048"/>
      <c r="N92" s="1048"/>
      <c r="O92" s="1048"/>
      <c r="P92" s="1048"/>
      <c r="Q92" s="1048"/>
      <c r="R92" s="1048"/>
      <c r="S92" s="1048"/>
      <c r="T92" s="1048"/>
      <c r="U92" s="1048"/>
      <c r="V92" s="1048"/>
      <c r="W92" s="1048"/>
      <c r="X92" s="1048"/>
      <c r="Y92" s="1048"/>
      <c r="Z92" s="1048"/>
      <c r="AA92" s="1048"/>
      <c r="AB92" s="1048"/>
      <c r="AC92" s="1048"/>
      <c r="AD92" s="1048"/>
      <c r="AE92" s="1048"/>
      <c r="AF92" s="1048"/>
      <c r="AG92" s="1048"/>
      <c r="AH92" s="1048"/>
      <c r="AI92" s="1048"/>
      <c r="AJ92" s="1048"/>
      <c r="AK92" s="1048"/>
      <c r="AL92" s="1048"/>
      <c r="AM92" s="1048"/>
      <c r="AN92" s="1048"/>
      <c r="AO92" s="1048"/>
      <c r="AP92" s="1048"/>
      <c r="AQ92" s="1048"/>
      <c r="AR92" s="1048"/>
      <c r="AS92" s="1048"/>
      <c r="AT92" s="1048"/>
      <c r="AU92" s="1048"/>
      <c r="AV92" s="1048"/>
      <c r="AW92" s="1048"/>
      <c r="AX92" s="1048"/>
      <c r="AY92" s="1048"/>
      <c r="AZ92" s="1048"/>
      <c r="BA92" s="1048"/>
      <c r="BB92" s="1048"/>
      <c r="BC92" s="1048"/>
      <c r="BD92" s="1048"/>
      <c r="BE92" s="1048"/>
      <c r="BF92" s="1048"/>
      <c r="BG92" s="1048"/>
      <c r="BH92" s="1048"/>
      <c r="BI92" s="1017">
        <v>43068</v>
      </c>
      <c r="BJ92" s="1040" t="s">
        <v>10489</v>
      </c>
      <c r="BK92" s="1065">
        <v>40</v>
      </c>
      <c r="BL92" s="1034"/>
      <c r="BM92" s="1017"/>
      <c r="BN92" s="1040"/>
      <c r="BO92" s="1065"/>
      <c r="BP92" s="1034"/>
      <c r="BQ92" s="1017"/>
      <c r="BR92" s="1019"/>
      <c r="BS92" s="1020"/>
      <c r="BT92" s="1018"/>
      <c r="BU92" s="1017">
        <v>44162</v>
      </c>
      <c r="BV92" s="1019" t="s">
        <v>10490</v>
      </c>
      <c r="BW92" s="1020">
        <v>0</v>
      </c>
      <c r="BX92" s="1018" t="s">
        <v>701</v>
      </c>
      <c r="BY92" s="1017"/>
      <c r="BZ92" s="1019"/>
      <c r="CA92" s="1020"/>
      <c r="CB92" s="1018"/>
      <c r="CC92" s="1017"/>
      <c r="CD92" s="1019"/>
      <c r="CE92" s="1058"/>
      <c r="CF92" s="1334"/>
      <c r="CG92" s="1326">
        <v>45254</v>
      </c>
      <c r="CH92" s="1019" t="s">
        <v>10389</v>
      </c>
      <c r="CI92" s="1058">
        <v>30</v>
      </c>
      <c r="CJ92" s="1323" t="s">
        <v>280</v>
      </c>
      <c r="CK92" s="1326">
        <v>45618</v>
      </c>
      <c r="CL92" s="1019" t="s">
        <v>10491</v>
      </c>
      <c r="CM92" s="1058">
        <v>200</v>
      </c>
      <c r="CN92" s="1323" t="s">
        <v>707</v>
      </c>
    </row>
    <row r="93" spans="1:92">
      <c r="A93" s="1048"/>
      <c r="B93" s="1048"/>
      <c r="C93" s="1048"/>
      <c r="D93" s="1048"/>
      <c r="E93" s="1048"/>
      <c r="F93" s="1048"/>
      <c r="G93" s="1048"/>
      <c r="H93" s="1048"/>
      <c r="I93" s="1048"/>
      <c r="J93" s="1048"/>
      <c r="K93" s="1048"/>
      <c r="L93" s="1048"/>
      <c r="M93" s="1048"/>
      <c r="N93" s="1048"/>
      <c r="O93" s="1048"/>
      <c r="P93" s="1048"/>
      <c r="Q93" s="1048"/>
      <c r="R93" s="1048"/>
      <c r="S93" s="1048"/>
      <c r="T93" s="1048"/>
      <c r="U93" s="1048"/>
      <c r="V93" s="1048"/>
      <c r="W93" s="1048"/>
      <c r="X93" s="1048"/>
      <c r="Y93" s="1048"/>
      <c r="Z93" s="1048"/>
      <c r="AA93" s="1048"/>
      <c r="AB93" s="1048"/>
      <c r="AC93" s="1048"/>
      <c r="AD93" s="1048"/>
      <c r="AE93" s="1048"/>
      <c r="AF93" s="1048"/>
      <c r="AG93" s="1048"/>
      <c r="AH93" s="1048"/>
      <c r="AI93" s="1048"/>
      <c r="AJ93" s="1048"/>
      <c r="AK93" s="1048"/>
      <c r="AL93" s="1048"/>
      <c r="AM93" s="1048"/>
      <c r="AN93" s="1048"/>
      <c r="AO93" s="1048"/>
      <c r="AP93" s="1048"/>
      <c r="AQ93" s="1048"/>
      <c r="AR93" s="1048"/>
      <c r="AS93" s="1048"/>
      <c r="AT93" s="1048"/>
      <c r="AU93" s="1048"/>
      <c r="AV93" s="1048"/>
      <c r="AW93" s="1048"/>
      <c r="AX93" s="1048"/>
      <c r="AY93" s="1048"/>
      <c r="AZ93" s="1048"/>
      <c r="BA93" s="1048"/>
      <c r="BB93" s="1048"/>
      <c r="BC93" s="1048"/>
      <c r="BD93" s="1048"/>
      <c r="BE93" s="1048"/>
      <c r="BF93" s="1048"/>
      <c r="BG93" s="1048"/>
      <c r="BH93" s="1048"/>
      <c r="BI93" s="1017">
        <v>43068</v>
      </c>
      <c r="BJ93" s="1040" t="s">
        <v>890</v>
      </c>
      <c r="BK93" s="1065">
        <v>11</v>
      </c>
      <c r="BL93" s="1034"/>
      <c r="BM93" s="1017"/>
      <c r="BN93" s="1040"/>
      <c r="BO93" s="1065"/>
      <c r="BP93" s="1034"/>
      <c r="BQ93" s="1017"/>
      <c r="BR93" s="1019"/>
      <c r="BS93" s="1020"/>
      <c r="BT93" s="1018"/>
      <c r="BU93" s="1017">
        <v>44162</v>
      </c>
      <c r="BV93" s="1019" t="s">
        <v>10325</v>
      </c>
      <c r="BW93" s="1020">
        <v>100</v>
      </c>
      <c r="BX93" s="1018" t="s">
        <v>701</v>
      </c>
      <c r="BY93" s="1017"/>
      <c r="BZ93" s="1019"/>
      <c r="CA93" s="1020"/>
      <c r="CB93" s="1018"/>
      <c r="CC93" s="1017"/>
      <c r="CD93" s="1019"/>
      <c r="CE93" s="1058"/>
      <c r="CF93" s="1334"/>
      <c r="CG93" s="1326">
        <v>45254</v>
      </c>
      <c r="CH93" s="1019" t="s">
        <v>5049</v>
      </c>
      <c r="CI93" s="1058">
        <v>25</v>
      </c>
      <c r="CJ93" s="1323" t="s">
        <v>414</v>
      </c>
      <c r="CK93" s="1326">
        <v>45618</v>
      </c>
      <c r="CL93" s="1019" t="s">
        <v>10492</v>
      </c>
      <c r="CM93" s="1058">
        <v>75</v>
      </c>
      <c r="CN93" s="1323" t="s">
        <v>707</v>
      </c>
    </row>
    <row r="94" spans="1:92">
      <c r="A94" s="1048"/>
      <c r="B94" s="1048"/>
      <c r="C94" s="1048"/>
      <c r="D94" s="1048"/>
      <c r="E94" s="1048"/>
      <c r="F94" s="1048"/>
      <c r="G94" s="1048"/>
      <c r="H94" s="1048"/>
      <c r="I94" s="1048"/>
      <c r="J94" s="1048"/>
      <c r="K94" s="1048"/>
      <c r="L94" s="1048"/>
      <c r="M94" s="1048"/>
      <c r="N94" s="1048"/>
      <c r="O94" s="1048"/>
      <c r="P94" s="1048"/>
      <c r="Q94" s="1048"/>
      <c r="R94" s="1048"/>
      <c r="S94" s="1048"/>
      <c r="T94" s="1048"/>
      <c r="U94" s="1048"/>
      <c r="V94" s="1048"/>
      <c r="W94" s="1048"/>
      <c r="X94" s="1048"/>
      <c r="Y94" s="1048"/>
      <c r="Z94" s="1048"/>
      <c r="AA94" s="1048"/>
      <c r="AB94" s="1048"/>
      <c r="AC94" s="1048"/>
      <c r="AD94" s="1048"/>
      <c r="AE94" s="1048"/>
      <c r="AF94" s="1048"/>
      <c r="AG94" s="1048"/>
      <c r="AH94" s="1048"/>
      <c r="AI94" s="1048"/>
      <c r="AJ94" s="1048"/>
      <c r="AK94" s="1048"/>
      <c r="AL94" s="1048"/>
      <c r="AM94" s="1048"/>
      <c r="AN94" s="1048"/>
      <c r="AO94" s="1048"/>
      <c r="AP94" s="1048"/>
      <c r="AQ94" s="1048"/>
      <c r="AR94" s="1048"/>
      <c r="AS94" s="1048"/>
      <c r="AT94" s="1048"/>
      <c r="AU94" s="1048"/>
      <c r="AV94" s="1048"/>
      <c r="AW94" s="1048"/>
      <c r="AX94" s="1048"/>
      <c r="AY94" s="1048"/>
      <c r="AZ94" s="1048"/>
      <c r="BA94" s="1048"/>
      <c r="BB94" s="1048"/>
      <c r="BC94" s="1048"/>
      <c r="BD94" s="1048"/>
      <c r="BE94" s="1048"/>
      <c r="BF94" s="1048"/>
      <c r="BG94" s="1048"/>
      <c r="BH94" s="1048"/>
      <c r="BI94" s="1017">
        <v>43069</v>
      </c>
      <c r="BJ94" s="1040" t="s">
        <v>10493</v>
      </c>
      <c r="BK94" s="1065">
        <v>50</v>
      </c>
      <c r="BL94" s="1034"/>
      <c r="BM94" s="1017"/>
      <c r="BN94" s="1040"/>
      <c r="BO94" s="1065"/>
      <c r="BP94" s="1034"/>
      <c r="BQ94" s="1017"/>
      <c r="BR94" s="1019"/>
      <c r="BS94" s="1020"/>
      <c r="BT94" s="1018"/>
      <c r="BU94" s="1017">
        <v>44162</v>
      </c>
      <c r="BV94" s="1019" t="s">
        <v>10494</v>
      </c>
      <c r="BW94" s="1020">
        <v>0</v>
      </c>
      <c r="BX94" s="1018" t="s">
        <v>701</v>
      </c>
      <c r="BY94" s="1017"/>
      <c r="BZ94" s="1019"/>
      <c r="CA94" s="1020"/>
      <c r="CB94" s="1018"/>
      <c r="CC94" s="1017"/>
      <c r="CD94" s="1019"/>
      <c r="CE94" s="1058"/>
      <c r="CF94" s="1334"/>
      <c r="CG94" s="1326">
        <v>45254</v>
      </c>
      <c r="CH94" s="1019" t="s">
        <v>2061</v>
      </c>
      <c r="CI94" s="1058">
        <v>15</v>
      </c>
      <c r="CJ94" s="1323" t="s">
        <v>414</v>
      </c>
      <c r="CK94" s="1326">
        <v>45618</v>
      </c>
      <c r="CL94" s="1019" t="s">
        <v>10495</v>
      </c>
      <c r="CM94" s="1058">
        <v>60</v>
      </c>
      <c r="CN94" s="1323" t="s">
        <v>707</v>
      </c>
    </row>
    <row r="95" spans="1:92">
      <c r="A95" s="1048"/>
      <c r="B95" s="1048"/>
      <c r="C95" s="1048"/>
      <c r="D95" s="1048"/>
      <c r="E95" s="1048"/>
      <c r="F95" s="1048"/>
      <c r="G95" s="1048"/>
      <c r="H95" s="1048"/>
      <c r="I95" s="1048"/>
      <c r="J95" s="1048"/>
      <c r="K95" s="1048"/>
      <c r="L95" s="1048"/>
      <c r="M95" s="1048"/>
      <c r="N95" s="1048"/>
      <c r="O95" s="1048"/>
      <c r="P95" s="1048"/>
      <c r="Q95" s="1048"/>
      <c r="R95" s="1048"/>
      <c r="S95" s="1048"/>
      <c r="T95" s="1048"/>
      <c r="U95" s="1048"/>
      <c r="V95" s="1048"/>
      <c r="W95" s="1048"/>
      <c r="X95" s="1048"/>
      <c r="Y95" s="1048"/>
      <c r="Z95" s="1048"/>
      <c r="AA95" s="1048"/>
      <c r="AB95" s="1048"/>
      <c r="AC95" s="1048"/>
      <c r="AD95" s="1048"/>
      <c r="AE95" s="1048"/>
      <c r="AF95" s="1048"/>
      <c r="AG95" s="1048"/>
      <c r="AH95" s="1048"/>
      <c r="AI95" s="1048"/>
      <c r="AJ95" s="1048"/>
      <c r="AK95" s="1048"/>
      <c r="AL95" s="1048"/>
      <c r="AM95" s="1048"/>
      <c r="AN95" s="1048"/>
      <c r="AO95" s="1048"/>
      <c r="AP95" s="1048"/>
      <c r="AQ95" s="1048"/>
      <c r="AR95" s="1048"/>
      <c r="AS95" s="1048"/>
      <c r="AT95" s="1048"/>
      <c r="AU95" s="1048"/>
      <c r="AV95" s="1048"/>
      <c r="AW95" s="1048"/>
      <c r="AX95" s="1048"/>
      <c r="AY95" s="1048"/>
      <c r="AZ95" s="1048"/>
      <c r="BA95" s="1048"/>
      <c r="BB95" s="1048"/>
      <c r="BC95" s="1048"/>
      <c r="BD95" s="1048"/>
      <c r="BE95" s="1048"/>
      <c r="BF95" s="1048"/>
      <c r="BG95" s="1048"/>
      <c r="BH95" s="1048"/>
      <c r="BI95" s="1046" t="s">
        <v>477</v>
      </c>
      <c r="BJ95" s="1022"/>
      <c r="BK95" s="1023">
        <f>SUM(BK4:BK94)</f>
        <v>2554</v>
      </c>
      <c r="BL95" s="1023">
        <f>SUM(BL4:BL94)</f>
        <v>0</v>
      </c>
      <c r="BM95" s="1046" t="s">
        <v>477</v>
      </c>
      <c r="BN95" s="1022"/>
      <c r="BO95" s="1023">
        <f>SUM(BO4:BO94)</f>
        <v>2464</v>
      </c>
      <c r="BP95" s="1023">
        <f>SUM(BP4:BP94)</f>
        <v>0</v>
      </c>
      <c r="BQ95" s="1046" t="s">
        <v>477</v>
      </c>
      <c r="BR95" s="1022"/>
      <c r="BS95" s="1023">
        <f>SUM(BS4:BS94)</f>
        <v>4571</v>
      </c>
      <c r="BT95" s="1023">
        <f>SUM(BT4:BT94)</f>
        <v>0</v>
      </c>
      <c r="BU95" s="1017">
        <v>44163</v>
      </c>
      <c r="BV95" s="1019" t="s">
        <v>2888</v>
      </c>
      <c r="BW95" s="1020">
        <v>42</v>
      </c>
      <c r="BX95" s="1018" t="s">
        <v>414</v>
      </c>
      <c r="BY95" s="1017"/>
      <c r="BZ95" s="1019"/>
      <c r="CA95" s="1020"/>
      <c r="CB95" s="1018"/>
      <c r="CC95" s="1017"/>
      <c r="CD95" s="1019"/>
      <c r="CE95" s="1058"/>
      <c r="CF95" s="1334"/>
      <c r="CG95" s="1326">
        <v>45254</v>
      </c>
      <c r="CH95" s="1019" t="s">
        <v>10496</v>
      </c>
      <c r="CI95" s="1058">
        <v>14</v>
      </c>
      <c r="CJ95" s="1323" t="s">
        <v>414</v>
      </c>
      <c r="CK95" s="1326">
        <v>45618</v>
      </c>
      <c r="CL95" s="1019" t="s">
        <v>10497</v>
      </c>
      <c r="CM95" s="1058">
        <v>60</v>
      </c>
      <c r="CN95" s="1323" t="s">
        <v>707</v>
      </c>
    </row>
    <row r="96" spans="1:92">
      <c r="A96" s="1048"/>
      <c r="B96" s="1048"/>
      <c r="C96" s="1048"/>
      <c r="D96" s="1048"/>
      <c r="E96" s="1048"/>
      <c r="F96" s="1048"/>
      <c r="G96" s="1048"/>
      <c r="H96" s="1048"/>
      <c r="I96" s="1048"/>
      <c r="J96" s="1048"/>
      <c r="K96" s="1048"/>
      <c r="L96" s="1048"/>
      <c r="M96" s="1048"/>
      <c r="N96" s="1048"/>
      <c r="O96" s="1048"/>
      <c r="P96" s="1048"/>
      <c r="Q96" s="1048"/>
      <c r="R96" s="1048"/>
      <c r="S96" s="1048"/>
      <c r="T96" s="1048"/>
      <c r="U96" s="1048"/>
      <c r="V96" s="1048"/>
      <c r="W96" s="1048"/>
      <c r="X96" s="1048"/>
      <c r="Y96" s="1048"/>
      <c r="Z96" s="1048"/>
      <c r="AA96" s="1048"/>
      <c r="AB96" s="1048"/>
      <c r="AC96" s="1048"/>
      <c r="AD96" s="1048"/>
      <c r="AE96" s="1048"/>
      <c r="AF96" s="1048"/>
      <c r="AG96" s="1048"/>
      <c r="AH96" s="1048"/>
      <c r="AI96" s="1048"/>
      <c r="AJ96" s="1048"/>
      <c r="AK96" s="1048"/>
      <c r="AL96" s="1048"/>
      <c r="AM96" s="1048"/>
      <c r="AN96" s="1048"/>
      <c r="AO96" s="1048"/>
      <c r="AP96" s="1048"/>
      <c r="AQ96" s="1048"/>
      <c r="AR96" s="1048"/>
      <c r="AS96" s="1048"/>
      <c r="AT96" s="1048"/>
      <c r="AU96" s="1048"/>
      <c r="AV96" s="1048"/>
      <c r="AW96" s="1048"/>
      <c r="AX96" s="1048"/>
      <c r="AY96" s="1048"/>
      <c r="AZ96" s="1048"/>
      <c r="BA96" s="1048"/>
      <c r="BB96" s="1048"/>
      <c r="BC96" s="1048"/>
      <c r="BD96" s="1048"/>
      <c r="BE96" s="1048"/>
      <c r="BF96" s="1048"/>
      <c r="BG96" s="1048"/>
      <c r="BH96" s="1048"/>
      <c r="BI96" s="1024" t="s">
        <v>1672</v>
      </c>
      <c r="BJ96" s="1025"/>
      <c r="BK96" s="1026"/>
      <c r="BL96" s="1027"/>
      <c r="BM96" s="1024" t="s">
        <v>1672</v>
      </c>
      <c r="BN96" s="1025"/>
      <c r="BO96" s="1026"/>
      <c r="BP96" s="1027"/>
      <c r="BQ96" s="1024" t="s">
        <v>1672</v>
      </c>
      <c r="BR96" s="1025"/>
      <c r="BS96" s="1026"/>
      <c r="BT96" s="1027"/>
      <c r="BU96" s="1017"/>
      <c r="BV96" s="1019"/>
      <c r="BW96" s="1020"/>
      <c r="BX96" s="1018"/>
      <c r="BY96" s="1017"/>
      <c r="BZ96" s="1019"/>
      <c r="CA96" s="1020"/>
      <c r="CB96" s="1018"/>
      <c r="CC96" s="1017"/>
      <c r="CD96" s="1019"/>
      <c r="CE96" s="1058"/>
      <c r="CF96" s="1334"/>
      <c r="CG96" s="1326">
        <v>45257</v>
      </c>
      <c r="CH96" s="1019" t="s">
        <v>10498</v>
      </c>
      <c r="CI96" s="1058">
        <v>135</v>
      </c>
      <c r="CJ96" s="1323" t="s">
        <v>280</v>
      </c>
      <c r="CK96" s="1326">
        <v>45617</v>
      </c>
      <c r="CL96" s="1019" t="s">
        <v>10499</v>
      </c>
      <c r="CM96" s="1323">
        <v>-193.46</v>
      </c>
      <c r="CN96" s="1323" t="s">
        <v>284</v>
      </c>
    </row>
    <row r="97" spans="1:92">
      <c r="A97" s="1048"/>
      <c r="B97" s="1048"/>
      <c r="C97" s="1048"/>
      <c r="D97" s="1048"/>
      <c r="E97" s="1048"/>
      <c r="F97" s="1048"/>
      <c r="G97" s="1048"/>
      <c r="H97" s="1048"/>
      <c r="I97" s="1048"/>
      <c r="J97" s="1048"/>
      <c r="K97" s="1048"/>
      <c r="L97" s="1048"/>
      <c r="M97" s="1048"/>
      <c r="N97" s="1048"/>
      <c r="O97" s="1048"/>
      <c r="P97" s="1048"/>
      <c r="Q97" s="1048"/>
      <c r="R97" s="1048"/>
      <c r="S97" s="1048"/>
      <c r="T97" s="1048"/>
      <c r="U97" s="1048"/>
      <c r="V97" s="1048"/>
      <c r="W97" s="1048"/>
      <c r="X97" s="1048"/>
      <c r="Y97" s="1048"/>
      <c r="Z97" s="1048"/>
      <c r="AA97" s="1048"/>
      <c r="AB97" s="1048"/>
      <c r="AC97" s="1048"/>
      <c r="AD97" s="1048"/>
      <c r="AE97" s="1048"/>
      <c r="AF97" s="1048"/>
      <c r="AG97" s="1048"/>
      <c r="AH97" s="1048"/>
      <c r="AI97" s="1048"/>
      <c r="AJ97" s="1048"/>
      <c r="AK97" s="1048"/>
      <c r="AL97" s="1048"/>
      <c r="AM97" s="1048"/>
      <c r="AN97" s="1048"/>
      <c r="AO97" s="1048"/>
      <c r="AP97" s="1048"/>
      <c r="AQ97" s="1048"/>
      <c r="AR97" s="1048"/>
      <c r="AS97" s="1048"/>
      <c r="AT97" s="1048"/>
      <c r="AU97" s="1048"/>
      <c r="AV97" s="1048"/>
      <c r="AW97" s="1048"/>
      <c r="AX97" s="1048"/>
      <c r="AY97" s="1048"/>
      <c r="AZ97" s="1048"/>
      <c r="BA97" s="1048"/>
      <c r="BB97" s="1048"/>
      <c r="BC97" s="1048"/>
      <c r="BD97" s="1048"/>
      <c r="BE97" s="1048"/>
      <c r="BF97" s="1048"/>
      <c r="BG97" s="1048"/>
      <c r="BH97" s="1048"/>
      <c r="BI97" s="1028" t="s">
        <v>138</v>
      </c>
      <c r="BJ97" s="1028"/>
      <c r="BK97" s="1030">
        <f>SUM(BK95,BL95)</f>
        <v>2554</v>
      </c>
      <c r="BL97" s="1031"/>
      <c r="BM97" s="1028" t="s">
        <v>138</v>
      </c>
      <c r="BN97" s="1028"/>
      <c r="BO97" s="1030">
        <f>SUM(BO95,BP95)</f>
        <v>2464</v>
      </c>
      <c r="BP97" s="1031"/>
      <c r="BQ97" s="1028" t="s">
        <v>138</v>
      </c>
      <c r="BR97" s="1029"/>
      <c r="BS97" s="1030">
        <f>SUM(BS95,BT95)</f>
        <v>4571</v>
      </c>
      <c r="BT97" s="1031"/>
      <c r="BU97" s="1017"/>
      <c r="BV97" s="1019"/>
      <c r="BW97" s="1020"/>
      <c r="BX97" s="1018"/>
      <c r="BY97" s="1017"/>
      <c r="BZ97" s="1019"/>
      <c r="CA97" s="1020"/>
      <c r="CB97" s="1018"/>
      <c r="CC97" s="1017"/>
      <c r="CD97" s="1019"/>
      <c r="CE97" s="1058"/>
      <c r="CF97" s="1334"/>
      <c r="CG97" s="1326">
        <v>45257</v>
      </c>
      <c r="CH97" s="1019" t="s">
        <v>845</v>
      </c>
      <c r="CI97" s="1058">
        <v>16</v>
      </c>
      <c r="CJ97" s="1323" t="s">
        <v>414</v>
      </c>
      <c r="CK97" s="1326">
        <v>45618</v>
      </c>
      <c r="CL97" s="1019" t="s">
        <v>10500</v>
      </c>
      <c r="CM97" s="1323">
        <v>-5.86</v>
      </c>
      <c r="CN97" s="1323" t="s">
        <v>280</v>
      </c>
    </row>
    <row r="98" spans="1:92">
      <c r="BU98" s="1017"/>
      <c r="BV98" s="1019"/>
      <c r="BW98" s="1020"/>
      <c r="BX98" s="1018"/>
      <c r="BY98" s="1017"/>
      <c r="BZ98" s="1019"/>
      <c r="CA98" s="1020"/>
      <c r="CB98" s="1018"/>
      <c r="CC98" s="1017"/>
      <c r="CD98" s="1019"/>
      <c r="CE98" s="1058"/>
      <c r="CF98" s="1334"/>
      <c r="CG98" s="1326">
        <v>45259</v>
      </c>
      <c r="CH98" s="1019" t="s">
        <v>10501</v>
      </c>
      <c r="CI98" s="1058">
        <v>66</v>
      </c>
      <c r="CJ98" s="1323" t="s">
        <v>414</v>
      </c>
      <c r="CK98" s="1326">
        <v>45618</v>
      </c>
      <c r="CL98" s="1019" t="s">
        <v>10502</v>
      </c>
      <c r="CM98" s="1323">
        <v>-32.72</v>
      </c>
      <c r="CN98" s="1323" t="s">
        <v>280</v>
      </c>
    </row>
    <row r="99" spans="1:92">
      <c r="BU99" s="1017"/>
      <c r="BV99" s="1019"/>
      <c r="BW99" s="1020"/>
      <c r="BX99" s="1018"/>
      <c r="BY99" s="1017"/>
      <c r="BZ99" s="1019"/>
      <c r="CA99" s="1020"/>
      <c r="CB99" s="1018"/>
      <c r="CC99" s="1017"/>
      <c r="CD99" s="1019"/>
      <c r="CE99" s="1058"/>
      <c r="CF99" s="1334"/>
      <c r="CG99" s="1326">
        <v>45260</v>
      </c>
      <c r="CH99" s="1019" t="s">
        <v>10503</v>
      </c>
      <c r="CI99" s="1058">
        <v>700</v>
      </c>
      <c r="CJ99" s="1323" t="s">
        <v>689</v>
      </c>
      <c r="CK99" s="1326">
        <v>45620</v>
      </c>
      <c r="CL99" s="1019" t="s">
        <v>10504</v>
      </c>
      <c r="CM99" s="1323">
        <v>-71.709999999999994</v>
      </c>
      <c r="CN99" s="1323" t="s">
        <v>712</v>
      </c>
    </row>
    <row r="100" spans="1:92">
      <c r="BU100" s="1046" t="s">
        <v>477</v>
      </c>
      <c r="BV100" s="1022"/>
      <c r="BW100" s="1023">
        <f>SUM(BW4:BW99)</f>
        <v>4682</v>
      </c>
      <c r="BX100" s="1023">
        <f>SUM(BX4:BX99)</f>
        <v>0</v>
      </c>
      <c r="BY100" s="1046" t="s">
        <v>477</v>
      </c>
      <c r="BZ100" s="1022"/>
      <c r="CA100" s="1023">
        <f>SUM(CA4:CA99)</f>
        <v>3839</v>
      </c>
      <c r="CB100" s="1023">
        <f>SUM(CB4:CB99)</f>
        <v>0</v>
      </c>
      <c r="CC100" s="1046" t="s">
        <v>477</v>
      </c>
      <c r="CD100" s="1022"/>
      <c r="CE100" s="1059">
        <f>SUM(CE4:CE99)</f>
        <v>4609</v>
      </c>
      <c r="CF100" s="1335">
        <f>SUM(CF4:CF99)</f>
        <v>0</v>
      </c>
      <c r="CG100" s="1326"/>
      <c r="CH100" s="1019"/>
      <c r="CI100" s="1058"/>
      <c r="CJ100" s="1323"/>
      <c r="CK100" s="1326">
        <v>45620</v>
      </c>
      <c r="CL100" s="1019" t="s">
        <v>10505</v>
      </c>
      <c r="CM100" s="1323">
        <v>-36.92</v>
      </c>
      <c r="CN100" s="1323" t="s">
        <v>707</v>
      </c>
    </row>
    <row r="101" spans="1:92">
      <c r="BU101" s="1024" t="s">
        <v>1672</v>
      </c>
      <c r="BV101" s="1025"/>
      <c r="BW101" s="1026"/>
      <c r="BX101" s="1027"/>
      <c r="BY101" s="1024" t="s">
        <v>1672</v>
      </c>
      <c r="BZ101" s="1025"/>
      <c r="CA101" s="1026"/>
      <c r="CB101" s="1027"/>
      <c r="CC101" s="1024" t="s">
        <v>1672</v>
      </c>
      <c r="CD101" s="1025"/>
      <c r="CE101" s="1060"/>
      <c r="CF101" s="1336"/>
      <c r="CG101" s="1326"/>
      <c r="CH101" s="1019"/>
      <c r="CI101" s="1058"/>
      <c r="CJ101" s="1323"/>
      <c r="CK101" s="1326">
        <v>45621</v>
      </c>
      <c r="CL101" s="1019" t="s">
        <v>10506</v>
      </c>
      <c r="CM101" s="1323">
        <v>-261.14</v>
      </c>
      <c r="CN101" s="1323" t="s">
        <v>707</v>
      </c>
    </row>
    <row r="102" spans="1:92">
      <c r="BU102" s="1028" t="s">
        <v>138</v>
      </c>
      <c r="BV102" s="1029"/>
      <c r="BW102" s="1030">
        <f>SUM(BW100,BX100)</f>
        <v>4682</v>
      </c>
      <c r="BX102" s="1031"/>
      <c r="BY102" s="1028" t="s">
        <v>138</v>
      </c>
      <c r="BZ102" s="1029"/>
      <c r="CA102" s="1030">
        <f>SUM(CA100,CB100)</f>
        <v>3839</v>
      </c>
      <c r="CB102" s="1031"/>
      <c r="CC102" s="1028" t="s">
        <v>138</v>
      </c>
      <c r="CD102" s="1029"/>
      <c r="CE102" s="1061">
        <f>SUM(CE100,CF100)</f>
        <v>4609</v>
      </c>
      <c r="CF102" s="1337"/>
      <c r="CG102" s="1327" t="s">
        <v>477</v>
      </c>
      <c r="CH102" s="1022"/>
      <c r="CI102" s="1059">
        <f>SUM(CI4:CI101)</f>
        <v>24822</v>
      </c>
      <c r="CJ102" s="1329">
        <f>SUM(CJ4:CJ101)</f>
        <v>1</v>
      </c>
      <c r="CK102" s="1326">
        <v>45621</v>
      </c>
      <c r="CL102" s="1019" t="s">
        <v>10507</v>
      </c>
      <c r="CM102" s="1323">
        <v>-28.83</v>
      </c>
      <c r="CN102" s="1323" t="s">
        <v>278</v>
      </c>
    </row>
    <row r="103" spans="1:92">
      <c r="CG103" s="1328" t="s">
        <v>1672</v>
      </c>
      <c r="CH103" s="1331"/>
      <c r="CI103" s="1332"/>
      <c r="CJ103" s="1333"/>
      <c r="CK103" s="1326">
        <v>45621</v>
      </c>
      <c r="CL103" s="1019" t="s">
        <v>10507</v>
      </c>
      <c r="CM103" s="1323">
        <v>-11.69</v>
      </c>
      <c r="CN103" s="1323" t="s">
        <v>278</v>
      </c>
    </row>
    <row r="104" spans="1:92">
      <c r="CG104" s="1330" t="s">
        <v>138</v>
      </c>
      <c r="CH104" s="1338"/>
      <c r="CI104" s="1339">
        <f>SUM(CI102,CJ102)</f>
        <v>24823</v>
      </c>
      <c r="CJ104" s="1340"/>
      <c r="CK104" s="1326">
        <v>45621</v>
      </c>
      <c r="CL104" s="1019" t="s">
        <v>10507</v>
      </c>
      <c r="CM104" s="1323">
        <v>-9.41</v>
      </c>
      <c r="CN104" s="1323" t="s">
        <v>278</v>
      </c>
    </row>
    <row r="105" spans="1:92">
      <c r="CK105" s="1326">
        <v>45621</v>
      </c>
      <c r="CL105" s="1019" t="s">
        <v>10508</v>
      </c>
      <c r="CM105" s="1323">
        <v>-14.12</v>
      </c>
      <c r="CN105" s="1323" t="s">
        <v>278</v>
      </c>
    </row>
    <row r="106" spans="1:92">
      <c r="CK106" s="1326">
        <v>45621</v>
      </c>
      <c r="CL106" s="1019" t="s">
        <v>10508</v>
      </c>
      <c r="CM106" s="1323">
        <v>-14.13</v>
      </c>
      <c r="CN106" s="1323" t="s">
        <v>278</v>
      </c>
    </row>
    <row r="107" spans="1:92">
      <c r="CK107" s="1326">
        <v>45621</v>
      </c>
      <c r="CL107" s="1019" t="s">
        <v>10508</v>
      </c>
      <c r="CM107" s="1323">
        <v>-7.06</v>
      </c>
      <c r="CN107" s="1323" t="s">
        <v>278</v>
      </c>
    </row>
    <row r="108" spans="1:92">
      <c r="CK108" s="1326">
        <v>45621</v>
      </c>
      <c r="CL108" s="1019" t="s">
        <v>10509</v>
      </c>
      <c r="CM108" s="1323">
        <v>-13.21</v>
      </c>
      <c r="CN108" s="1323" t="s">
        <v>278</v>
      </c>
    </row>
    <row r="109" spans="1:92">
      <c r="CK109" s="1326">
        <v>45622</v>
      </c>
      <c r="CL109" s="1019" t="s">
        <v>10510</v>
      </c>
      <c r="CM109" s="1323">
        <v>-55.01</v>
      </c>
      <c r="CN109" s="1323" t="s">
        <v>410</v>
      </c>
    </row>
    <row r="110" spans="1:92">
      <c r="CK110" s="1326">
        <v>45622</v>
      </c>
      <c r="CL110" s="1019" t="s">
        <v>10511</v>
      </c>
      <c r="CM110" s="1323">
        <v>-18.88</v>
      </c>
      <c r="CN110" s="1323" t="s">
        <v>707</v>
      </c>
    </row>
    <row r="111" spans="1:92">
      <c r="CK111" s="1326">
        <v>45622</v>
      </c>
      <c r="CL111" s="1019" t="s">
        <v>10511</v>
      </c>
      <c r="CM111" s="1323">
        <v>-13.02</v>
      </c>
      <c r="CN111" s="1323" t="s">
        <v>707</v>
      </c>
    </row>
    <row r="112" spans="1:92">
      <c r="CK112" s="1326">
        <v>45622</v>
      </c>
      <c r="CL112" s="1019" t="s">
        <v>10511</v>
      </c>
      <c r="CM112" s="1323">
        <v>-9.11</v>
      </c>
      <c r="CN112" s="1323" t="s">
        <v>707</v>
      </c>
    </row>
    <row r="113" spans="89:92">
      <c r="CK113" s="1326">
        <v>45622</v>
      </c>
      <c r="CL113" s="1019" t="s">
        <v>10512</v>
      </c>
      <c r="CM113" s="1323">
        <v>-3.04</v>
      </c>
      <c r="CN113" s="1323" t="s">
        <v>280</v>
      </c>
    </row>
    <row r="114" spans="89:92">
      <c r="CK114" s="1326">
        <v>45623</v>
      </c>
      <c r="CL114" s="1019" t="s">
        <v>10513</v>
      </c>
      <c r="CM114" s="1323">
        <v>-20.55</v>
      </c>
      <c r="CN114" s="1323" t="s">
        <v>278</v>
      </c>
    </row>
    <row r="115" spans="89:92">
      <c r="CK115" s="1326">
        <v>45623</v>
      </c>
      <c r="CL115" s="1019" t="s">
        <v>10511</v>
      </c>
      <c r="CM115" s="1323">
        <v>-10.46</v>
      </c>
      <c r="CN115" s="1323" t="s">
        <v>707</v>
      </c>
    </row>
    <row r="116" spans="89:92">
      <c r="CK116" s="1326">
        <v>45623</v>
      </c>
      <c r="CL116" s="1019" t="s">
        <v>10514</v>
      </c>
      <c r="CM116" s="1323">
        <v>-3.46</v>
      </c>
      <c r="CN116" s="1323" t="s">
        <v>278</v>
      </c>
    </row>
    <row r="117" spans="89:92">
      <c r="CK117" s="1326">
        <v>45623</v>
      </c>
      <c r="CL117" s="1019" t="s">
        <v>10514</v>
      </c>
      <c r="CM117" s="1323">
        <v>-1.96</v>
      </c>
      <c r="CN117" s="1323" t="s">
        <v>278</v>
      </c>
    </row>
    <row r="118" spans="89:92">
      <c r="CK118" s="1326">
        <v>45623</v>
      </c>
      <c r="CL118" s="1019" t="s">
        <v>10515</v>
      </c>
      <c r="CM118" s="1323">
        <v>-5.85</v>
      </c>
      <c r="CN118" s="1323" t="s">
        <v>278</v>
      </c>
    </row>
    <row r="119" spans="89:92">
      <c r="CK119" s="1326">
        <v>45623</v>
      </c>
      <c r="CL119" s="1019" t="s">
        <v>10516</v>
      </c>
      <c r="CM119" s="1323">
        <v>-8.0299999999999994</v>
      </c>
      <c r="CN119" s="1323" t="s">
        <v>426</v>
      </c>
    </row>
    <row r="120" spans="89:92">
      <c r="CK120" s="1326">
        <v>45623</v>
      </c>
      <c r="CL120" s="1019" t="s">
        <v>10517</v>
      </c>
      <c r="CM120" s="1323">
        <v>-7.79</v>
      </c>
      <c r="CN120" s="1323" t="s">
        <v>707</v>
      </c>
    </row>
    <row r="121" spans="89:92">
      <c r="CK121" s="1326">
        <v>45623</v>
      </c>
      <c r="CL121" s="1019" t="s">
        <v>10518</v>
      </c>
      <c r="CM121" s="1323">
        <v>-74.180000000000007</v>
      </c>
      <c r="CN121" s="1323" t="s">
        <v>280</v>
      </c>
    </row>
    <row r="122" spans="89:92">
      <c r="CK122" s="1326">
        <v>45624</v>
      </c>
      <c r="CL122" s="1019" t="s">
        <v>10519</v>
      </c>
      <c r="CM122" s="1323">
        <v>-26.39</v>
      </c>
      <c r="CN122" s="1323" t="s">
        <v>278</v>
      </c>
    </row>
    <row r="123" spans="89:92">
      <c r="CK123" s="1326">
        <v>45624</v>
      </c>
      <c r="CL123" s="1019" t="s">
        <v>10520</v>
      </c>
      <c r="CM123" s="1323">
        <v>-1.93</v>
      </c>
      <c r="CN123" s="1323" t="s">
        <v>278</v>
      </c>
    </row>
    <row r="124" spans="89:92">
      <c r="CK124" s="1326">
        <v>45624</v>
      </c>
      <c r="CL124" s="1019" t="s">
        <v>10521</v>
      </c>
      <c r="CM124" s="1323">
        <v>-8.8699999999999992</v>
      </c>
      <c r="CN124" s="1323" t="s">
        <v>278</v>
      </c>
    </row>
    <row r="125" spans="89:92">
      <c r="CK125" s="1326">
        <v>45624</v>
      </c>
      <c r="CL125" s="1019" t="s">
        <v>10522</v>
      </c>
      <c r="CM125" s="1323">
        <v>-47.89</v>
      </c>
      <c r="CN125" s="1323" t="s">
        <v>414</v>
      </c>
    </row>
    <row r="126" spans="89:92" ht="17.25" customHeight="1">
      <c r="CK126" s="1326">
        <v>45624</v>
      </c>
      <c r="CL126" s="1019" t="s">
        <v>10523</v>
      </c>
      <c r="CM126" s="1323">
        <v>-33.83</v>
      </c>
      <c r="CN126" s="1323" t="s">
        <v>278</v>
      </c>
    </row>
    <row r="127" spans="89:92" ht="16.5" customHeight="1">
      <c r="CK127" s="1326">
        <v>45624</v>
      </c>
      <c r="CL127" s="1019" t="s">
        <v>10524</v>
      </c>
      <c r="CM127" s="1323">
        <v>-5.86</v>
      </c>
      <c r="CN127" s="1323" t="s">
        <v>278</v>
      </c>
    </row>
    <row r="128" spans="89:92">
      <c r="CK128" s="1326">
        <v>45624</v>
      </c>
      <c r="CL128" s="1019" t="s">
        <v>10525</v>
      </c>
      <c r="CM128" s="1323">
        <v>-33.83</v>
      </c>
      <c r="CN128" s="1323" t="s">
        <v>278</v>
      </c>
    </row>
    <row r="129" spans="89:92">
      <c r="CK129" s="1326">
        <v>45624</v>
      </c>
      <c r="CL129" s="1019" t="s">
        <v>10526</v>
      </c>
      <c r="CM129" s="1323">
        <v>-8.44</v>
      </c>
      <c r="CN129" s="1323" t="s">
        <v>278</v>
      </c>
    </row>
    <row r="130" spans="89:92">
      <c r="CK130" s="1326">
        <v>45624</v>
      </c>
      <c r="CL130" s="1019" t="s">
        <v>10521</v>
      </c>
      <c r="CM130" s="1323">
        <v>-5.85</v>
      </c>
      <c r="CN130" s="1323" t="s">
        <v>278</v>
      </c>
    </row>
    <row r="131" spans="89:92">
      <c r="CK131" s="1326">
        <v>45625</v>
      </c>
      <c r="CL131" s="1019" t="s">
        <v>10527</v>
      </c>
      <c r="CM131" s="1323">
        <v>-40</v>
      </c>
      <c r="CN131" s="1323" t="s">
        <v>707</v>
      </c>
    </row>
    <row r="132" spans="89:92">
      <c r="CK132" s="1326">
        <v>45625</v>
      </c>
      <c r="CL132" s="1019" t="s">
        <v>10528</v>
      </c>
      <c r="CM132" s="1323">
        <v>-21.13</v>
      </c>
      <c r="CN132" s="1323" t="s">
        <v>278</v>
      </c>
    </row>
    <row r="133" spans="89:92">
      <c r="CK133" s="1326">
        <v>45625</v>
      </c>
      <c r="CL133" s="1019" t="s">
        <v>10529</v>
      </c>
      <c r="CM133" s="1323">
        <v>-7.74</v>
      </c>
      <c r="CN133" s="1323" t="s">
        <v>278</v>
      </c>
    </row>
    <row r="134" spans="89:92">
      <c r="CK134" s="1326">
        <v>45625</v>
      </c>
      <c r="CL134" s="1019" t="s">
        <v>10530</v>
      </c>
      <c r="CM134" s="1323">
        <v>-14.38</v>
      </c>
      <c r="CN134" s="1323" t="s">
        <v>278</v>
      </c>
    </row>
    <row r="135" spans="89:92">
      <c r="CK135" s="1326">
        <v>45625</v>
      </c>
      <c r="CL135" s="1019" t="s">
        <v>10531</v>
      </c>
      <c r="CM135" s="1323">
        <v>-10</v>
      </c>
      <c r="CN135" s="1323" t="s">
        <v>278</v>
      </c>
    </row>
    <row r="136" spans="89:92">
      <c r="CK136" s="1326">
        <v>45625</v>
      </c>
      <c r="CL136" s="1019" t="s">
        <v>10525</v>
      </c>
      <c r="CM136" s="1323">
        <v>-8.82</v>
      </c>
      <c r="CN136" s="1323" t="s">
        <v>278</v>
      </c>
    </row>
    <row r="137" spans="89:92">
      <c r="CK137" s="1326">
        <v>45625</v>
      </c>
      <c r="CL137" s="1019" t="s">
        <v>10525</v>
      </c>
      <c r="CM137" s="1323">
        <v>-1.1299999999999999</v>
      </c>
      <c r="CN137" s="1323" t="s">
        <v>278</v>
      </c>
    </row>
    <row r="138" spans="89:92">
      <c r="CK138" s="1326">
        <v>45625</v>
      </c>
      <c r="CL138" s="1019" t="s">
        <v>10532</v>
      </c>
      <c r="CM138" s="1323">
        <v>-6.54</v>
      </c>
      <c r="CN138" s="1323" t="s">
        <v>278</v>
      </c>
    </row>
    <row r="139" spans="89:92">
      <c r="CK139" s="1326">
        <v>45625</v>
      </c>
      <c r="CL139" s="1019" t="s">
        <v>10533</v>
      </c>
      <c r="CM139" s="1323">
        <v>-10</v>
      </c>
      <c r="CN139" s="1323" t="s">
        <v>278</v>
      </c>
    </row>
    <row r="140" spans="89:92">
      <c r="CK140" s="1326">
        <v>45625</v>
      </c>
      <c r="CL140" s="1019" t="s">
        <v>10525</v>
      </c>
      <c r="CM140" s="1323">
        <v>-9.1999999999999993</v>
      </c>
      <c r="CN140" s="1323" t="s">
        <v>278</v>
      </c>
    </row>
    <row r="141" spans="89:92">
      <c r="CK141" s="1326">
        <v>45625</v>
      </c>
      <c r="CL141" s="1019" t="s">
        <v>10530</v>
      </c>
      <c r="CM141" s="1323">
        <v>-17.98</v>
      </c>
      <c r="CN141" s="1323" t="s">
        <v>278</v>
      </c>
    </row>
    <row r="142" spans="89:92">
      <c r="CK142" s="1326">
        <v>45625</v>
      </c>
      <c r="CL142" s="1019" t="s">
        <v>10525</v>
      </c>
      <c r="CM142" s="1323">
        <v>-3.29</v>
      </c>
      <c r="CN142" s="1323" t="s">
        <v>278</v>
      </c>
    </row>
    <row r="143" spans="89:92">
      <c r="CK143" s="1326">
        <v>45625</v>
      </c>
      <c r="CL143" s="1019" t="s">
        <v>10534</v>
      </c>
      <c r="CM143" s="1323">
        <v>-10</v>
      </c>
      <c r="CN143" s="1323" t="s">
        <v>278</v>
      </c>
    </row>
    <row r="144" spans="89:92">
      <c r="CK144" s="1326">
        <v>45625</v>
      </c>
      <c r="CL144" s="1019" t="s">
        <v>10535</v>
      </c>
      <c r="CM144" s="1323">
        <v>-10</v>
      </c>
      <c r="CN144" s="1323" t="s">
        <v>278</v>
      </c>
    </row>
    <row r="145" spans="89:92">
      <c r="CK145" s="1326">
        <v>45625</v>
      </c>
      <c r="CL145" s="1019" t="s">
        <v>10536</v>
      </c>
      <c r="CM145" s="1323">
        <v>-40</v>
      </c>
      <c r="CN145" s="1323" t="s">
        <v>278</v>
      </c>
    </row>
    <row r="146" spans="89:92">
      <c r="CK146" s="1326">
        <v>45625</v>
      </c>
      <c r="CL146" s="1019" t="s">
        <v>10529</v>
      </c>
      <c r="CM146" s="1323">
        <v>-8.84</v>
      </c>
      <c r="CN146" s="1323" t="s">
        <v>278</v>
      </c>
    </row>
    <row r="147" spans="89:92">
      <c r="CK147" s="1326">
        <v>45625</v>
      </c>
      <c r="CL147" s="1019" t="s">
        <v>10537</v>
      </c>
      <c r="CM147" s="1323">
        <v>-40</v>
      </c>
      <c r="CN147" s="1323" t="s">
        <v>278</v>
      </c>
    </row>
    <row r="148" spans="89:92">
      <c r="CK148" s="1326">
        <v>45625</v>
      </c>
      <c r="CL148" s="1019" t="s">
        <v>10538</v>
      </c>
      <c r="CM148" s="1323">
        <v>-0.02</v>
      </c>
      <c r="CN148" s="1323" t="s">
        <v>278</v>
      </c>
    </row>
    <row r="149" spans="89:92">
      <c r="CK149" s="1326">
        <v>45625</v>
      </c>
      <c r="CL149" s="1019" t="s">
        <v>10529</v>
      </c>
      <c r="CM149" s="1323">
        <v>-4.08</v>
      </c>
      <c r="CN149" s="1323" t="s">
        <v>278</v>
      </c>
    </row>
    <row r="150" spans="89:92">
      <c r="CK150" s="1326">
        <v>45625</v>
      </c>
      <c r="CL150" s="1019" t="s">
        <v>10539</v>
      </c>
      <c r="CM150" s="1323">
        <v>-40</v>
      </c>
      <c r="CN150" s="1323" t="s">
        <v>278</v>
      </c>
    </row>
    <row r="151" spans="89:92">
      <c r="CK151" s="1326">
        <v>45625</v>
      </c>
      <c r="CL151" s="1019" t="s">
        <v>10538</v>
      </c>
      <c r="CM151" s="1323">
        <v>-16.670000000000002</v>
      </c>
      <c r="CN151" s="1323" t="s">
        <v>278</v>
      </c>
    </row>
    <row r="152" spans="89:92">
      <c r="CK152" s="1326">
        <v>45625</v>
      </c>
      <c r="CL152" s="1019" t="s">
        <v>10540</v>
      </c>
      <c r="CM152" s="1323">
        <v>-5.23</v>
      </c>
      <c r="CN152" s="1323" t="s">
        <v>278</v>
      </c>
    </row>
    <row r="153" spans="89:92">
      <c r="CK153" s="1326">
        <v>45625</v>
      </c>
      <c r="CL153" s="1019" t="s">
        <v>10530</v>
      </c>
      <c r="CM153" s="1323">
        <v>-5.03</v>
      </c>
      <c r="CN153" s="1323" t="s">
        <v>278</v>
      </c>
    </row>
    <row r="154" spans="89:92">
      <c r="CK154" s="1326">
        <v>45626</v>
      </c>
      <c r="CL154" s="1019" t="s">
        <v>10541</v>
      </c>
      <c r="CM154" s="1323">
        <v>-7.21</v>
      </c>
      <c r="CN154" s="1323" t="s">
        <v>278</v>
      </c>
    </row>
    <row r="155" spans="89:92">
      <c r="CK155" s="1326">
        <v>45626</v>
      </c>
      <c r="CL155" s="1019" t="s">
        <v>10541</v>
      </c>
      <c r="CM155" s="1323">
        <v>-4.33</v>
      </c>
      <c r="CN155" s="1323" t="s">
        <v>278</v>
      </c>
    </row>
    <row r="156" spans="89:92">
      <c r="CK156" s="1326">
        <v>45626</v>
      </c>
      <c r="CL156" s="1019" t="s">
        <v>10541</v>
      </c>
      <c r="CM156" s="1323">
        <v>-3.99</v>
      </c>
      <c r="CN156" s="1323" t="s">
        <v>278</v>
      </c>
    </row>
    <row r="157" spans="89:92">
      <c r="CK157" s="1326">
        <v>45626</v>
      </c>
      <c r="CL157" s="1019" t="s">
        <v>10542</v>
      </c>
      <c r="CM157" s="1323">
        <v>53.29</v>
      </c>
      <c r="CN157" s="1323" t="s">
        <v>278</v>
      </c>
    </row>
    <row r="158" spans="89:92">
      <c r="CK158" s="1326">
        <v>45626</v>
      </c>
      <c r="CL158" s="1019" t="s">
        <v>10508</v>
      </c>
      <c r="CM158" s="1323">
        <v>-5.07</v>
      </c>
      <c r="CN158" s="1323" t="s">
        <v>278</v>
      </c>
    </row>
    <row r="159" spans="89:92">
      <c r="CK159" s="1326">
        <v>45626</v>
      </c>
      <c r="CL159" s="1019" t="s">
        <v>10543</v>
      </c>
      <c r="CM159" s="1323">
        <v>-2.87</v>
      </c>
      <c r="CN159" s="1323" t="s">
        <v>278</v>
      </c>
    </row>
    <row r="160" spans="89:92">
      <c r="CK160" s="1326">
        <v>45626</v>
      </c>
      <c r="CL160" s="1019" t="s">
        <v>10544</v>
      </c>
      <c r="CM160" s="1323">
        <v>-7.31</v>
      </c>
      <c r="CN160" s="1323" t="s">
        <v>278</v>
      </c>
    </row>
    <row r="161" spans="89:92">
      <c r="CK161" s="1326">
        <v>45626</v>
      </c>
      <c r="CL161" s="1019" t="s">
        <v>10545</v>
      </c>
      <c r="CM161" s="1323">
        <v>-54.23</v>
      </c>
      <c r="CN161" s="1323" t="s">
        <v>278</v>
      </c>
    </row>
    <row r="162" spans="89:92">
      <c r="CK162" s="1326">
        <v>45626</v>
      </c>
      <c r="CL162" s="1019" t="s">
        <v>10546</v>
      </c>
      <c r="CM162" s="1323">
        <v>-24.09</v>
      </c>
      <c r="CN162" s="1323" t="s">
        <v>278</v>
      </c>
    </row>
    <row r="163" spans="89:92">
      <c r="CK163" s="1326">
        <v>45626</v>
      </c>
      <c r="CL163" s="1019" t="s">
        <v>10547</v>
      </c>
      <c r="CM163" s="1323">
        <v>-52.98</v>
      </c>
      <c r="CN163" s="1323" t="s">
        <v>278</v>
      </c>
    </row>
    <row r="164" spans="89:92">
      <c r="CK164" s="1326">
        <v>45626</v>
      </c>
      <c r="CL164" s="1019" t="s">
        <v>10548</v>
      </c>
      <c r="CM164" s="1323">
        <v>-5.32</v>
      </c>
      <c r="CN164" s="1323" t="s">
        <v>278</v>
      </c>
    </row>
    <row r="165" spans="89:92">
      <c r="CK165" s="1326">
        <v>45626</v>
      </c>
      <c r="CL165" s="1019" t="s">
        <v>10549</v>
      </c>
      <c r="CM165" s="1323">
        <v>-59.88</v>
      </c>
      <c r="CN165" s="1323" t="s">
        <v>278</v>
      </c>
    </row>
    <row r="166" spans="89:92">
      <c r="CK166" s="1326">
        <v>45626</v>
      </c>
      <c r="CL166" s="1019" t="s">
        <v>10508</v>
      </c>
      <c r="CM166" s="1323">
        <v>-11.67</v>
      </c>
      <c r="CN166" s="1323" t="s">
        <v>278</v>
      </c>
    </row>
    <row r="167" spans="89:92">
      <c r="CK167" s="1326">
        <v>45626</v>
      </c>
      <c r="CL167" s="1019" t="s">
        <v>10547</v>
      </c>
      <c r="CM167" s="1323">
        <v>-18.21</v>
      </c>
      <c r="CN167" s="1323" t="s">
        <v>278</v>
      </c>
    </row>
    <row r="168" spans="89:92">
      <c r="CK168" s="1326">
        <v>45626</v>
      </c>
      <c r="CL168" s="1019" t="s">
        <v>10550</v>
      </c>
      <c r="CM168" s="1323">
        <v>-7.38</v>
      </c>
      <c r="CN168" s="1323" t="s">
        <v>278</v>
      </c>
    </row>
    <row r="169" spans="89:92">
      <c r="CK169" s="1326">
        <v>45626</v>
      </c>
      <c r="CL169" s="1019" t="s">
        <v>10508</v>
      </c>
      <c r="CM169" s="1323">
        <v>-7.06</v>
      </c>
      <c r="CN169" s="1323" t="s">
        <v>278</v>
      </c>
    </row>
    <row r="170" spans="89:92">
      <c r="CK170" s="1326">
        <v>45626</v>
      </c>
      <c r="CL170" s="1019" t="s">
        <v>10547</v>
      </c>
      <c r="CM170" s="1323">
        <v>-21.86</v>
      </c>
      <c r="CN170" s="1323" t="s">
        <v>278</v>
      </c>
    </row>
    <row r="171" spans="89:92">
      <c r="CK171" s="1326">
        <v>45626</v>
      </c>
      <c r="CL171" s="1019" t="s">
        <v>10551</v>
      </c>
      <c r="CM171" s="1323">
        <v>-9.4700000000000006</v>
      </c>
      <c r="CN171" s="1323" t="s">
        <v>278</v>
      </c>
    </row>
    <row r="172" spans="89:92">
      <c r="CK172" s="1326">
        <v>45626</v>
      </c>
      <c r="CL172" s="1019" t="s">
        <v>10552</v>
      </c>
      <c r="CM172" s="1323">
        <v>-59.65</v>
      </c>
      <c r="CN172" s="1323" t="s">
        <v>414</v>
      </c>
    </row>
    <row r="173" spans="89:92">
      <c r="CK173" s="1326">
        <v>45626</v>
      </c>
      <c r="CL173" s="1019" t="s">
        <v>10545</v>
      </c>
      <c r="CM173" s="1323">
        <v>-55.82</v>
      </c>
      <c r="CN173" s="1323" t="s">
        <v>414</v>
      </c>
    </row>
    <row r="174" spans="89:92">
      <c r="CK174" s="1326">
        <v>45626</v>
      </c>
      <c r="CL174" s="1019" t="s">
        <v>10553</v>
      </c>
      <c r="CM174" s="1323">
        <v>-56.91</v>
      </c>
      <c r="CN174" s="1323" t="s">
        <v>707</v>
      </c>
    </row>
    <row r="175" spans="89:92">
      <c r="CK175" s="1326">
        <v>45626</v>
      </c>
      <c r="CL175" s="1019" t="s">
        <v>10547</v>
      </c>
      <c r="CM175" s="1323">
        <v>-14.55</v>
      </c>
      <c r="CN175" s="1323" t="s">
        <v>278</v>
      </c>
    </row>
    <row r="176" spans="89:92">
      <c r="CK176" s="1326">
        <v>45626</v>
      </c>
      <c r="CL176" s="1019" t="s">
        <v>10554</v>
      </c>
      <c r="CM176" s="1323">
        <v>-5.32</v>
      </c>
      <c r="CN176" s="1323" t="s">
        <v>278</v>
      </c>
    </row>
    <row r="177" spans="89:92">
      <c r="CK177" s="1326">
        <v>45626</v>
      </c>
      <c r="CL177" s="1019" t="s">
        <v>10555</v>
      </c>
      <c r="CM177" s="1323">
        <v>-6.43</v>
      </c>
      <c r="CN177" s="1323" t="s">
        <v>278</v>
      </c>
    </row>
    <row r="178" spans="89:92">
      <c r="CK178" s="1326">
        <v>45626</v>
      </c>
      <c r="CL178" s="1019" t="s">
        <v>10556</v>
      </c>
      <c r="CM178" s="1323">
        <v>-7.84</v>
      </c>
      <c r="CN178" s="1323" t="s">
        <v>278</v>
      </c>
    </row>
    <row r="179" spans="89:92">
      <c r="CK179" s="1326">
        <v>45626</v>
      </c>
      <c r="CL179" s="1019" t="s">
        <v>10556</v>
      </c>
      <c r="CM179" s="1323">
        <v>-11.11</v>
      </c>
      <c r="CN179" s="1323" t="s">
        <v>278</v>
      </c>
    </row>
    <row r="180" spans="89:92">
      <c r="CK180" s="1326">
        <v>45626</v>
      </c>
      <c r="CL180" s="1019" t="s">
        <v>10556</v>
      </c>
      <c r="CM180" s="1323">
        <v>-3.27</v>
      </c>
      <c r="CN180" s="1323" t="s">
        <v>278</v>
      </c>
    </row>
    <row r="181" spans="89:92">
      <c r="CK181" s="1326">
        <v>45626</v>
      </c>
      <c r="CL181" s="1019" t="s">
        <v>10557</v>
      </c>
      <c r="CM181" s="1323">
        <v>-26.15</v>
      </c>
      <c r="CN181" s="1323" t="s">
        <v>278</v>
      </c>
    </row>
    <row r="182" spans="89:92">
      <c r="CK182" s="1326">
        <v>45626</v>
      </c>
      <c r="CL182" s="1019" t="s">
        <v>10508</v>
      </c>
      <c r="CM182" s="1323">
        <v>-9.52</v>
      </c>
      <c r="CN182" s="1323" t="s">
        <v>278</v>
      </c>
    </row>
    <row r="183" spans="89:92">
      <c r="CK183" s="1326">
        <v>45626</v>
      </c>
      <c r="CL183" s="1019" t="s">
        <v>10508</v>
      </c>
      <c r="CM183" s="1323">
        <v>-7.06</v>
      </c>
      <c r="CN183" s="1323" t="s">
        <v>278</v>
      </c>
    </row>
    <row r="184" spans="89:92">
      <c r="CK184" s="1326">
        <v>45626</v>
      </c>
      <c r="CL184" s="1019" t="s">
        <v>10558</v>
      </c>
      <c r="CM184" s="1323">
        <v>-60.54</v>
      </c>
      <c r="CN184" s="1323" t="s">
        <v>278</v>
      </c>
    </row>
    <row r="185" spans="89:92">
      <c r="CK185" s="1326"/>
      <c r="CL185" s="1019"/>
      <c r="CM185" s="1058"/>
      <c r="CN185" s="1323"/>
    </row>
    <row r="186" spans="89:92">
      <c r="CK186" s="1326"/>
      <c r="CL186" s="1019"/>
      <c r="CM186" s="1058"/>
      <c r="CN186" s="1323"/>
    </row>
    <row r="187" spans="89:92">
      <c r="CK187" s="1326"/>
      <c r="CL187" s="1019"/>
      <c r="CM187" s="1058"/>
      <c r="CN187" s="1323"/>
    </row>
    <row r="188" spans="89:92">
      <c r="CK188" s="1326"/>
      <c r="CL188" s="1019"/>
      <c r="CM188" s="1058"/>
      <c r="CN188" s="1323"/>
    </row>
    <row r="189" spans="89:92">
      <c r="CK189" s="1326"/>
      <c r="CL189" s="1019"/>
      <c r="CM189" s="1058"/>
      <c r="CN189" s="1323"/>
    </row>
    <row r="190" spans="89:92">
      <c r="CK190" s="1326"/>
      <c r="CL190" s="1019"/>
      <c r="CM190" s="1058"/>
      <c r="CN190" s="1323"/>
    </row>
    <row r="191" spans="89:92">
      <c r="CK191" s="1326"/>
      <c r="CL191" s="1019"/>
      <c r="CM191" s="1058"/>
      <c r="CN191" s="1323"/>
    </row>
    <row r="192" spans="89:92">
      <c r="CK192" s="1326"/>
      <c r="CL192" s="1019"/>
      <c r="CM192" s="1058"/>
      <c r="CN192" s="1323"/>
    </row>
    <row r="193" spans="89:92">
      <c r="CK193" s="1326"/>
      <c r="CL193" s="1019"/>
      <c r="CM193" s="1058"/>
      <c r="CN193" s="1323"/>
    </row>
    <row r="194" spans="89:92">
      <c r="CK194" s="1326"/>
      <c r="CL194" s="1019"/>
      <c r="CM194" s="1058"/>
      <c r="CN194" s="1323"/>
    </row>
    <row r="195" spans="89:92">
      <c r="CK195" s="1326"/>
      <c r="CL195" s="1019"/>
      <c r="CM195" s="1058"/>
      <c r="CN195" s="1323"/>
    </row>
    <row r="196" spans="89:92">
      <c r="CK196" s="1326"/>
      <c r="CL196" s="1019"/>
      <c r="CM196" s="1058"/>
      <c r="CN196" s="1323"/>
    </row>
    <row r="197" spans="89:92">
      <c r="CK197" s="1326"/>
      <c r="CL197" s="1019"/>
      <c r="CM197" s="1058"/>
      <c r="CN197" s="1323"/>
    </row>
    <row r="198" spans="89:92">
      <c r="CK198" s="1326"/>
      <c r="CL198" s="1019"/>
      <c r="CM198" s="1058"/>
      <c r="CN198" s="1323"/>
    </row>
    <row r="199" spans="89:92">
      <c r="CK199" s="1326"/>
      <c r="CL199" s="1019"/>
      <c r="CM199" s="1058"/>
      <c r="CN199" s="1323"/>
    </row>
    <row r="200" spans="89:92">
      <c r="CK200" s="1326"/>
      <c r="CL200" s="1019"/>
      <c r="CM200" s="1058"/>
      <c r="CN200" s="1323"/>
    </row>
    <row r="201" spans="89:92">
      <c r="CK201" s="1326"/>
      <c r="CL201" s="1019"/>
      <c r="CM201" s="1058"/>
      <c r="CN201" s="1323"/>
    </row>
    <row r="202" spans="89:92">
      <c r="CK202" s="1326"/>
      <c r="CL202" s="1019"/>
      <c r="CM202" s="1058"/>
      <c r="CN202" s="1323"/>
    </row>
    <row r="203" spans="89:92">
      <c r="CK203" s="1326"/>
      <c r="CL203" s="1019"/>
      <c r="CM203" s="1058"/>
      <c r="CN203" s="1323"/>
    </row>
    <row r="204" spans="89:92">
      <c r="CK204" s="1326"/>
      <c r="CL204" s="1019"/>
      <c r="CM204" s="1058"/>
      <c r="CN204" s="1323"/>
    </row>
    <row r="205" spans="89:92">
      <c r="CK205" s="1326"/>
      <c r="CL205" s="1019"/>
      <c r="CM205" s="1058"/>
      <c r="CN205" s="1323"/>
    </row>
    <row r="206" spans="89:92">
      <c r="CK206" s="1326"/>
      <c r="CL206" s="1019"/>
      <c r="CM206" s="1058"/>
      <c r="CN206" s="1323"/>
    </row>
    <row r="207" spans="89:92">
      <c r="CK207" s="1326"/>
      <c r="CL207" s="1019"/>
      <c r="CM207" s="1058"/>
      <c r="CN207" s="1323"/>
    </row>
    <row r="208" spans="89:92">
      <c r="CK208" s="1326"/>
      <c r="CL208" s="1019"/>
      <c r="CM208" s="1058"/>
      <c r="CN208" s="1323"/>
    </row>
    <row r="209" spans="89:92">
      <c r="CK209" s="1326"/>
      <c r="CL209" s="1019"/>
      <c r="CM209" s="1058"/>
      <c r="CN209" s="1323"/>
    </row>
    <row r="210" spans="89:92">
      <c r="CK210" s="1326"/>
      <c r="CL210" s="1019"/>
      <c r="CM210" s="1058"/>
      <c r="CN210" s="1323"/>
    </row>
    <row r="211" spans="89:92">
      <c r="CK211" s="1326"/>
      <c r="CL211" s="1019"/>
      <c r="CM211" s="1058"/>
      <c r="CN211" s="1323"/>
    </row>
    <row r="212" spans="89:92">
      <c r="CK212" s="1326"/>
      <c r="CL212" s="1019"/>
      <c r="CM212" s="1058"/>
      <c r="CN212" s="1323"/>
    </row>
    <row r="213" spans="89:92">
      <c r="CK213" s="1326"/>
      <c r="CL213" s="1019"/>
      <c r="CM213" s="1058"/>
      <c r="CN213" s="1323"/>
    </row>
    <row r="214" spans="89:92">
      <c r="CK214" s="1326"/>
      <c r="CL214" s="1019"/>
      <c r="CM214" s="1058"/>
      <c r="CN214" s="1323"/>
    </row>
    <row r="215" spans="89:92">
      <c r="CK215" s="1326"/>
      <c r="CL215" s="1019"/>
      <c r="CM215" s="1058"/>
      <c r="CN215" s="1323"/>
    </row>
    <row r="216" spans="89:92">
      <c r="CK216" s="1326"/>
      <c r="CL216" s="1019"/>
      <c r="CM216" s="1058"/>
      <c r="CN216" s="1323"/>
    </row>
    <row r="217" spans="89:92">
      <c r="CK217" s="1326">
        <v>45623</v>
      </c>
      <c r="CL217" s="1019"/>
      <c r="CM217" s="1058"/>
      <c r="CN217" s="1323"/>
    </row>
    <row r="218" spans="89:92">
      <c r="CK218" s="1326">
        <v>45623</v>
      </c>
      <c r="CL218" s="1019"/>
      <c r="CM218" s="1058"/>
      <c r="CN218" s="1323"/>
    </row>
    <row r="219" spans="89:92">
      <c r="CK219" s="1326">
        <v>45623</v>
      </c>
      <c r="CL219" s="1019" t="s">
        <v>10559</v>
      </c>
      <c r="CM219" s="1058">
        <v>150</v>
      </c>
      <c r="CN219" s="1323" t="s">
        <v>707</v>
      </c>
    </row>
    <row r="220" spans="89:92">
      <c r="CK220" s="1326">
        <v>45623</v>
      </c>
      <c r="CL220" s="1019" t="s">
        <v>10560</v>
      </c>
      <c r="CM220" s="1058">
        <v>100</v>
      </c>
      <c r="CN220" s="1323" t="s">
        <v>278</v>
      </c>
    </row>
    <row r="221" spans="89:92">
      <c r="CK221" s="1326">
        <v>45624</v>
      </c>
      <c r="CL221" s="1019" t="s">
        <v>4592</v>
      </c>
      <c r="CM221" s="1058">
        <v>50</v>
      </c>
      <c r="CN221" s="1323" t="s">
        <v>278</v>
      </c>
    </row>
    <row r="222" spans="89:92">
      <c r="CK222" s="1326">
        <v>45624</v>
      </c>
      <c r="CL222" s="1019" t="s">
        <v>10561</v>
      </c>
      <c r="CM222" s="1058">
        <v>100</v>
      </c>
      <c r="CN222" s="1323" t="s">
        <v>700</v>
      </c>
    </row>
    <row r="223" spans="89:92">
      <c r="CK223" s="1326">
        <v>45624</v>
      </c>
      <c r="CL223" s="1019" t="s">
        <v>10562</v>
      </c>
      <c r="CM223" s="1058">
        <v>41</v>
      </c>
      <c r="CN223" s="1323" t="s">
        <v>700</v>
      </c>
    </row>
    <row r="224" spans="89:92">
      <c r="CK224" s="1326">
        <v>45624</v>
      </c>
      <c r="CL224" s="1019" t="s">
        <v>10563</v>
      </c>
      <c r="CM224" s="1058">
        <v>6</v>
      </c>
      <c r="CN224" s="1323"/>
    </row>
    <row r="225" spans="89:92">
      <c r="CK225" s="1326">
        <v>45624</v>
      </c>
      <c r="CL225" s="1019" t="s">
        <v>10564</v>
      </c>
      <c r="CM225" s="1058">
        <v>10</v>
      </c>
      <c r="CN225" s="1323"/>
    </row>
    <row r="226" spans="89:92">
      <c r="CK226" s="1326">
        <v>45624</v>
      </c>
      <c r="CL226" s="1019" t="s">
        <v>8348</v>
      </c>
      <c r="CM226" s="1058">
        <v>8</v>
      </c>
      <c r="CN226" s="1323"/>
    </row>
    <row r="227" spans="89:92">
      <c r="CK227" s="1326">
        <v>45624</v>
      </c>
      <c r="CL227" s="1019" t="s">
        <v>10565</v>
      </c>
      <c r="CM227" s="1058">
        <v>25</v>
      </c>
      <c r="CN227" s="1323" t="s">
        <v>278</v>
      </c>
    </row>
    <row r="228" spans="89:92">
      <c r="CK228" s="1326">
        <v>45624</v>
      </c>
      <c r="CL228" s="2041" t="s">
        <v>10566</v>
      </c>
      <c r="CM228" s="1058">
        <v>27</v>
      </c>
      <c r="CN228" s="1323" t="s">
        <v>278</v>
      </c>
    </row>
    <row r="229" spans="89:92">
      <c r="CK229" s="1326">
        <v>45624</v>
      </c>
      <c r="CL229" s="1019" t="s">
        <v>10567</v>
      </c>
      <c r="CM229" s="1058">
        <v>61</v>
      </c>
      <c r="CN229" s="1323" t="s">
        <v>278</v>
      </c>
    </row>
    <row r="230" spans="89:92">
      <c r="CK230" s="1326">
        <v>45624</v>
      </c>
      <c r="CL230" s="1019" t="s">
        <v>10568</v>
      </c>
      <c r="CM230" s="1058">
        <v>40</v>
      </c>
      <c r="CN230" s="1323" t="s">
        <v>278</v>
      </c>
    </row>
    <row r="231" spans="89:92">
      <c r="CK231" s="1326">
        <v>45625</v>
      </c>
      <c r="CL231" s="1019" t="s">
        <v>10569</v>
      </c>
      <c r="CM231" s="1058">
        <v>50</v>
      </c>
      <c r="CN231" s="1323" t="s">
        <v>278</v>
      </c>
    </row>
    <row r="232" spans="89:92">
      <c r="CK232" s="1326">
        <v>45626</v>
      </c>
      <c r="CL232" s="1019" t="s">
        <v>10570</v>
      </c>
      <c r="CM232" s="1058">
        <v>65</v>
      </c>
      <c r="CN232" s="1323" t="s">
        <v>700</v>
      </c>
    </row>
    <row r="233" spans="89:92">
      <c r="CK233" s="1326">
        <v>45626</v>
      </c>
      <c r="CL233" s="1019" t="s">
        <v>772</v>
      </c>
      <c r="CM233" s="1058">
        <v>49</v>
      </c>
      <c r="CN233" s="1323" t="s">
        <v>414</v>
      </c>
    </row>
    <row r="234" spans="89:92">
      <c r="CK234" s="1326">
        <v>45626</v>
      </c>
      <c r="CL234" s="1019" t="s">
        <v>948</v>
      </c>
      <c r="CM234" s="1058">
        <v>68</v>
      </c>
      <c r="CN234" s="1323" t="s">
        <v>414</v>
      </c>
    </row>
    <row r="235" spans="89:92">
      <c r="CK235" s="1326">
        <v>45626</v>
      </c>
      <c r="CL235" s="1019" t="s">
        <v>845</v>
      </c>
      <c r="CM235" s="1058">
        <v>58</v>
      </c>
      <c r="CN235" s="1323" t="s">
        <v>414</v>
      </c>
    </row>
    <row r="236" spans="89:92">
      <c r="CK236" s="1326">
        <v>45626</v>
      </c>
      <c r="CL236" s="1019" t="s">
        <v>10571</v>
      </c>
      <c r="CM236" s="1058">
        <v>45</v>
      </c>
      <c r="CN236" s="1323" t="s">
        <v>700</v>
      </c>
    </row>
    <row r="237" spans="89:92">
      <c r="CK237" s="1326">
        <v>45626</v>
      </c>
      <c r="CL237" s="1019" t="s">
        <v>2079</v>
      </c>
      <c r="CM237" s="1058">
        <v>20</v>
      </c>
      <c r="CN237" s="1323" t="s">
        <v>414</v>
      </c>
    </row>
    <row r="238" spans="89:92">
      <c r="CK238" s="1326">
        <v>45626</v>
      </c>
      <c r="CL238" s="1019" t="s">
        <v>4274</v>
      </c>
      <c r="CM238" s="1058">
        <v>48</v>
      </c>
      <c r="CN238" s="1323" t="s">
        <v>414</v>
      </c>
    </row>
    <row r="239" spans="89:92">
      <c r="CK239" s="1327" t="s">
        <v>477</v>
      </c>
      <c r="CL239" s="1022"/>
      <c r="CM239" s="1059">
        <f>SUM(CM4:CM238)</f>
        <v>33929.240000000013</v>
      </c>
      <c r="CN239" s="1329">
        <f>SUM(CN4:CN238)</f>
        <v>1.0000000000000002</v>
      </c>
    </row>
    <row r="240" spans="89:92">
      <c r="CK240" s="1328" t="s">
        <v>1672</v>
      </c>
      <c r="CL240" s="1331"/>
      <c r="CM240" s="1332"/>
      <c r="CN240" s="1333"/>
    </row>
    <row r="241" spans="89:92">
      <c r="CK241" s="1330" t="s">
        <v>138</v>
      </c>
      <c r="CL241" s="1338"/>
      <c r="CM241" s="1339">
        <f>SUM(CM239,CN239)</f>
        <v>33930.240000000013</v>
      </c>
      <c r="CN241" s="1340"/>
    </row>
  </sheetData>
  <autoFilter ref="A3:CB97" xr:uid="{165E70E3-3E6F-304F-9DDC-92161193AE1E}"/>
  <phoneticPr fontId="4" type="noConversion"/>
  <dataValidations count="1">
    <dataValidation allowBlank="1" showInputMessage="1" showErrorMessage="1" sqref="CM101:CM193" xr:uid="{B7E57093-E890-4849-844C-17641C3854C6}"/>
  </dataValidations>
  <hyperlinks>
    <hyperlink ref="V1" location="Monthly!A1" display="Nov'07" xr:uid="{00000000-0004-0000-1200-000000000000}"/>
    <hyperlink ref="Z1" location="Monthly!A1" display="Nov'08" xr:uid="{00000000-0004-0000-1200-000001000000}"/>
    <hyperlink ref="AD1" location="Monthly!A1" display="Nov'09" xr:uid="{00000000-0004-0000-1200-000002000000}"/>
    <hyperlink ref="AH1" location="Monthly!A1" display="Nov'10" xr:uid="{00000000-0004-0000-1200-000003000000}"/>
    <hyperlink ref="AL1" location="Monthly!A1" display="Nov'11" xr:uid="{00000000-0004-0000-1200-000004000000}"/>
    <hyperlink ref="AP1" location="Monthly!A1" display="Nov'12" xr:uid="{00000000-0004-0000-1200-000005000000}"/>
    <hyperlink ref="AT1" location="Monthly!A1" display="Nov'13" xr:uid="{00000000-0004-0000-1200-000006000000}"/>
    <hyperlink ref="AX1" location="Monthly!A1" display="Nov'14" xr:uid="{00000000-0004-0000-1200-000007000000}"/>
    <hyperlink ref="BB1" location="Monthly!A1" display="Nov'14" xr:uid="{00000000-0004-0000-1200-000008000000}"/>
    <hyperlink ref="BF1" location="Monthly!A1" display="Nov'14" xr:uid="{00000000-0004-0000-1200-000009000000}"/>
    <hyperlink ref="BJ1" location="Monthly!A1" display="Nov'14" xr:uid="{00000000-0004-0000-1200-00000A000000}"/>
    <hyperlink ref="BN1" location="Monthly!A1" display="Nov'14" xr:uid="{00000000-0004-0000-1200-00000B000000}"/>
    <hyperlink ref="BR1" location="Monthly!A1" display="Sep'14" xr:uid="{00000000-0004-0000-1200-00000C000000}"/>
    <hyperlink ref="BV1" location="Monthly!A1" display="Sep'14" xr:uid="{36E1B3E6-D406-F84C-865D-C27C58E98F97}"/>
    <hyperlink ref="BZ1" location="Monthly!A1" display="Sep'14" xr:uid="{C9DBCCCB-8169-A142-A71C-C6490F84901B}"/>
    <hyperlink ref="CD1" location="Monthly!A1" display="Sep'14" xr:uid="{9E53EA60-93AC-4BA7-82C9-85013A826355}"/>
    <hyperlink ref="CH1" location="Monthly!A1" display="Sep'14" xr:uid="{BD32FC2C-4667-4434-ABB4-3B171B564E4C}"/>
    <hyperlink ref="CL1" location="Monthly!A1" display="Sep'14" xr:uid="{EE8253B8-D306-4907-AB4F-58D656726008}"/>
  </hyperlinks>
  <pageMargins left="0.75" right="0.75" top="1" bottom="1" header="0.5" footer="0.5"/>
  <pageSetup orientation="portrait" horizontalDpi="4294967292" verticalDpi="429496729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6B3D29-7356-A94E-8CDF-156934285268}">
          <x14:formula1>
            <xm:f>Monthly!$V$556:$V$584</xm:f>
          </x14:formula1>
          <xm:sqref>BT4:BT94 BX5:BX30 BX33:BX99 CB4:CB99 CF4:CF99 CJ4:CJ9 CJ20:CJ101 CN4:CN9 CM96:CM100 CN20:CN238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3">
    <tabColor indexed="53"/>
  </sheetPr>
  <dimension ref="A1:CN143"/>
  <sheetViews>
    <sheetView topLeftCell="CD2" zoomScale="188" zoomScaleNormal="188" workbookViewId="0">
      <selection activeCell="CL30" sqref="CL30"/>
    </sheetView>
  </sheetViews>
  <sheetFormatPr defaultColWidth="8.85546875" defaultRowHeight="14.25"/>
  <cols>
    <col min="1" max="1" width="9" style="1078" bestFit="1" customWidth="1"/>
    <col min="2" max="2" width="32.28515625" style="1078" customWidth="1"/>
    <col min="3" max="3" width="13.42578125" style="1078" customWidth="1"/>
    <col min="4" max="4" width="13" style="1078" customWidth="1"/>
    <col min="5" max="5" width="9" style="1078" bestFit="1" customWidth="1"/>
    <col min="6" max="6" width="31.28515625" style="1078" customWidth="1"/>
    <col min="7" max="7" width="14.140625" style="1078" customWidth="1"/>
    <col min="8" max="8" width="12.28515625" style="1078" customWidth="1"/>
    <col min="9" max="9" width="9" style="1078" bestFit="1" customWidth="1"/>
    <col min="10" max="10" width="27.85546875" style="1078" customWidth="1"/>
    <col min="11" max="11" width="11.85546875" style="1078" customWidth="1"/>
    <col min="12" max="12" width="14.140625" style="1078" customWidth="1"/>
    <col min="13" max="13" width="9" style="1078" bestFit="1" customWidth="1"/>
    <col min="14" max="14" width="36.85546875" style="1078" customWidth="1"/>
    <col min="15" max="15" width="13" style="1078" customWidth="1"/>
    <col min="16" max="16" width="9" style="1078" bestFit="1" customWidth="1"/>
    <col min="17" max="17" width="9.42578125" style="1078" customWidth="1"/>
    <col min="18" max="18" width="43.28515625" style="1078" customWidth="1"/>
    <col min="19" max="19" width="11.85546875" style="1078" customWidth="1"/>
    <col min="20" max="20" width="11.42578125" style="1078" customWidth="1"/>
    <col min="21" max="21" width="9" style="1078" bestFit="1" customWidth="1"/>
    <col min="22" max="22" width="48.28515625" style="1078" customWidth="1"/>
    <col min="23" max="23" width="14.28515625" style="1078" customWidth="1"/>
    <col min="24" max="25" width="9" style="1078" bestFit="1" customWidth="1"/>
    <col min="26" max="26" width="42" style="1078" customWidth="1"/>
    <col min="27" max="27" width="11.42578125" style="1083" customWidth="1"/>
    <col min="28" max="28" width="11.140625" style="1078" customWidth="1"/>
    <col min="29" max="29" width="9" style="1078" bestFit="1" customWidth="1"/>
    <col min="30" max="30" width="46.28515625" style="1078" customWidth="1"/>
    <col min="31" max="31" width="12.140625" style="1078" bestFit="1" customWidth="1"/>
    <col min="32" max="32" width="9" style="1078" bestFit="1" customWidth="1"/>
    <col min="33" max="33" width="11.140625" style="1078" customWidth="1"/>
    <col min="34" max="34" width="52.28515625" style="1078" customWidth="1"/>
    <col min="35" max="35" width="9.140625" style="1078" bestFit="1" customWidth="1"/>
    <col min="36" max="37" width="9" style="1078" bestFit="1" customWidth="1"/>
    <col min="38" max="38" width="33.7109375" style="1078" customWidth="1"/>
    <col min="39" max="39" width="12.85546875" style="1078" customWidth="1"/>
    <col min="40" max="41" width="9" style="1078" bestFit="1" customWidth="1"/>
    <col min="42" max="42" width="57.28515625" style="1078" customWidth="1"/>
    <col min="43" max="43" width="9.140625" style="1078" bestFit="1" customWidth="1"/>
    <col min="44" max="45" width="9" style="1078" bestFit="1" customWidth="1"/>
    <col min="46" max="46" width="43.42578125" style="1078" customWidth="1"/>
    <col min="47" max="47" width="9.28515625" style="1078" bestFit="1" customWidth="1"/>
    <col min="48" max="49" width="9" style="1078" bestFit="1" customWidth="1"/>
    <col min="50" max="50" width="53.28515625" style="1078" customWidth="1"/>
    <col min="51" max="51" width="9.42578125" style="1078" bestFit="1" customWidth="1"/>
    <col min="52" max="53" width="9" style="1078" bestFit="1" customWidth="1"/>
    <col min="54" max="54" width="59.140625" style="1078" customWidth="1"/>
    <col min="55" max="55" width="12.140625" style="1078" customWidth="1"/>
    <col min="56" max="57" width="9" style="1078" bestFit="1" customWidth="1"/>
    <col min="58" max="58" width="70.140625" style="1078" customWidth="1"/>
    <col min="59" max="59" width="12.140625" style="1078" customWidth="1"/>
    <col min="60" max="61" width="9" style="1078" bestFit="1" customWidth="1"/>
    <col min="62" max="62" width="70.140625" style="1078" customWidth="1"/>
    <col min="63" max="63" width="12.140625" style="1078" customWidth="1"/>
    <col min="64" max="65" width="9" style="1078" bestFit="1" customWidth="1"/>
    <col min="66" max="66" width="91" style="1078" customWidth="1"/>
    <col min="67" max="67" width="12.140625" style="1078" customWidth="1"/>
    <col min="68" max="69" width="9" style="1078" bestFit="1" customWidth="1"/>
    <col min="70" max="70" width="59.42578125" style="1078" customWidth="1"/>
    <col min="71" max="71" width="13.42578125" style="1083" customWidth="1"/>
    <col min="72" max="72" width="12.85546875" style="1083" customWidth="1"/>
    <col min="73" max="73" width="9" style="1078" bestFit="1" customWidth="1"/>
    <col min="74" max="74" width="59.42578125" style="1078" customWidth="1"/>
    <col min="75" max="75" width="13.42578125" style="1084" customWidth="1"/>
    <col min="76" max="76" width="12.85546875" style="1083" customWidth="1"/>
    <col min="77" max="77" width="9" style="1078" bestFit="1" customWidth="1"/>
    <col min="78" max="78" width="59.42578125" style="1078" customWidth="1"/>
    <col min="79" max="79" width="13.42578125" style="1084" customWidth="1"/>
    <col min="80" max="80" width="12.85546875" style="1083" customWidth="1"/>
    <col min="81" max="81" width="9" style="1078" bestFit="1" customWidth="1"/>
    <col min="82" max="82" width="59.42578125" style="1078" customWidth="1"/>
    <col min="83" max="83" width="13.42578125" style="1084" customWidth="1"/>
    <col min="84" max="84" width="12.85546875" style="1083" customWidth="1"/>
    <col min="85" max="85" width="9" style="1078" bestFit="1" customWidth="1"/>
    <col min="86" max="86" width="59.42578125" style="1078" customWidth="1"/>
    <col min="87" max="87" width="13.42578125" style="1084" customWidth="1"/>
    <col min="88" max="88" width="12.85546875" style="1083" customWidth="1"/>
    <col min="89" max="89" width="8.85546875" style="1078"/>
    <col min="90" max="90" width="76" style="1078" customWidth="1"/>
    <col min="91" max="91" width="8.85546875" style="1078"/>
    <col min="92" max="92" width="17" style="1078" customWidth="1"/>
    <col min="93" max="16384" width="8.85546875" style="1078"/>
  </cols>
  <sheetData>
    <row r="1" spans="1:92">
      <c r="A1" s="1050"/>
      <c r="B1" s="1051" t="s">
        <v>10572</v>
      </c>
      <c r="C1" s="1052"/>
      <c r="D1" s="1053"/>
      <c r="E1" s="995"/>
      <c r="F1" s="996" t="s">
        <v>10573</v>
      </c>
      <c r="G1" s="995"/>
      <c r="H1" s="997"/>
      <c r="I1" s="995"/>
      <c r="J1" s="996" t="s">
        <v>3</v>
      </c>
      <c r="K1" s="995"/>
      <c r="L1" s="997"/>
      <c r="M1" s="1000"/>
      <c r="N1" s="1079" t="s">
        <v>4</v>
      </c>
      <c r="O1" s="1000"/>
      <c r="P1" s="1000"/>
      <c r="Q1" s="995"/>
      <c r="R1" s="996" t="s">
        <v>5</v>
      </c>
      <c r="S1" s="995"/>
      <c r="T1" s="997"/>
      <c r="U1" s="995"/>
      <c r="V1" s="1080" t="s">
        <v>10574</v>
      </c>
      <c r="W1" s="995"/>
      <c r="X1" s="997"/>
      <c r="Y1" s="995"/>
      <c r="Z1" s="998" t="s">
        <v>10575</v>
      </c>
      <c r="AA1" s="1085"/>
      <c r="AB1" s="997"/>
      <c r="AC1" s="995"/>
      <c r="AD1" s="998" t="s">
        <v>10576</v>
      </c>
      <c r="AE1" s="1085"/>
      <c r="AF1" s="997"/>
      <c r="AG1" s="995"/>
      <c r="AH1" s="998" t="s">
        <v>10577</v>
      </c>
      <c r="AI1" s="1085"/>
      <c r="AJ1" s="997"/>
      <c r="AK1" s="995"/>
      <c r="AL1" s="998" t="s">
        <v>10578</v>
      </c>
      <c r="AM1" s="1085"/>
      <c r="AN1" s="997"/>
      <c r="AO1" s="995"/>
      <c r="AP1" s="998" t="s">
        <v>10579</v>
      </c>
      <c r="AQ1" s="1085"/>
      <c r="AR1" s="997"/>
      <c r="AS1" s="995"/>
      <c r="AT1" s="998" t="s">
        <v>10580</v>
      </c>
      <c r="AU1" s="1085"/>
      <c r="AV1" s="997"/>
      <c r="AW1" s="995"/>
      <c r="AX1" s="998" t="s">
        <v>10581</v>
      </c>
      <c r="AY1" s="1085"/>
      <c r="AZ1" s="997"/>
      <c r="BA1" s="995"/>
      <c r="BB1" s="998" t="s">
        <v>10582</v>
      </c>
      <c r="BC1" s="1085"/>
      <c r="BD1" s="997"/>
      <c r="BE1" s="995"/>
      <c r="BF1" s="998" t="s">
        <v>10583</v>
      </c>
      <c r="BG1" s="1085"/>
      <c r="BH1" s="997"/>
      <c r="BI1" s="995"/>
      <c r="BJ1" s="998" t="s">
        <v>10584</v>
      </c>
      <c r="BK1" s="1085"/>
      <c r="BL1" s="997"/>
      <c r="BM1" s="995"/>
      <c r="BN1" s="998" t="s">
        <v>10585</v>
      </c>
      <c r="BO1" s="1085"/>
      <c r="BP1" s="997"/>
      <c r="BQ1" s="999"/>
      <c r="BR1" s="998" t="s">
        <v>18</v>
      </c>
      <c r="BS1" s="1085"/>
      <c r="BT1" s="1086"/>
      <c r="BU1" s="999"/>
      <c r="BV1" s="998" t="s">
        <v>19</v>
      </c>
      <c r="BW1" s="1087"/>
      <c r="BX1" s="1086"/>
      <c r="BY1" s="999"/>
      <c r="BZ1" s="998" t="s">
        <v>20</v>
      </c>
      <c r="CA1" s="1087"/>
      <c r="CB1" s="1086"/>
      <c r="CC1" s="999"/>
      <c r="CD1" s="998" t="s">
        <v>21</v>
      </c>
      <c r="CE1" s="1087"/>
      <c r="CF1" s="1086"/>
      <c r="CG1" s="999"/>
      <c r="CH1" s="998" t="s">
        <v>22</v>
      </c>
      <c r="CI1" s="1087"/>
      <c r="CJ1" s="1086"/>
      <c r="CK1" s="999"/>
      <c r="CL1" s="998" t="s">
        <v>23</v>
      </c>
      <c r="CM1" s="1087"/>
      <c r="CN1" s="1086"/>
    </row>
    <row r="2" spans="1:92">
      <c r="A2" s="1001" t="s">
        <v>740</v>
      </c>
      <c r="B2" s="1002" t="s">
        <v>138</v>
      </c>
      <c r="C2" s="1003" t="s">
        <v>741</v>
      </c>
      <c r="D2" s="1004" t="s">
        <v>742</v>
      </c>
      <c r="E2" s="1001" t="s">
        <v>740</v>
      </c>
      <c r="F2" s="1002" t="s">
        <v>138</v>
      </c>
      <c r="G2" s="1003" t="s">
        <v>741</v>
      </c>
      <c r="H2" s="1004" t="s">
        <v>742</v>
      </c>
      <c r="I2" s="1001" t="s">
        <v>740</v>
      </c>
      <c r="J2" s="1002" t="s">
        <v>138</v>
      </c>
      <c r="K2" s="1003" t="s">
        <v>741</v>
      </c>
      <c r="L2" s="1004" t="s">
        <v>742</v>
      </c>
      <c r="M2" s="1000"/>
      <c r="N2" s="1000"/>
      <c r="O2" s="1000"/>
      <c r="P2" s="1000"/>
      <c r="Q2" s="1001" t="s">
        <v>740</v>
      </c>
      <c r="R2" s="1002" t="s">
        <v>138</v>
      </c>
      <c r="S2" s="1003" t="s">
        <v>741</v>
      </c>
      <c r="T2" s="1004" t="s">
        <v>742</v>
      </c>
      <c r="U2" s="1001" t="s">
        <v>740</v>
      </c>
      <c r="V2" s="1002" t="s">
        <v>138</v>
      </c>
      <c r="W2" s="1003" t="s">
        <v>741</v>
      </c>
      <c r="X2" s="1004" t="s">
        <v>742</v>
      </c>
      <c r="Y2" s="1001" t="s">
        <v>740</v>
      </c>
      <c r="Z2" s="1002" t="s">
        <v>138</v>
      </c>
      <c r="AA2" s="1088" t="s">
        <v>741</v>
      </c>
      <c r="AB2" s="1004" t="s">
        <v>742</v>
      </c>
      <c r="AC2" s="1001" t="s">
        <v>740</v>
      </c>
      <c r="AD2" s="1002" t="s">
        <v>138</v>
      </c>
      <c r="AE2" s="1088" t="s">
        <v>741</v>
      </c>
      <c r="AF2" s="1004" t="s">
        <v>742</v>
      </c>
      <c r="AG2" s="1001" t="s">
        <v>740</v>
      </c>
      <c r="AH2" s="1002" t="s">
        <v>138</v>
      </c>
      <c r="AI2" s="1088" t="s">
        <v>741</v>
      </c>
      <c r="AJ2" s="1004" t="s">
        <v>742</v>
      </c>
      <c r="AK2" s="1001" t="s">
        <v>740</v>
      </c>
      <c r="AL2" s="1002" t="s">
        <v>138</v>
      </c>
      <c r="AM2" s="1088" t="s">
        <v>741</v>
      </c>
      <c r="AN2" s="1004" t="s">
        <v>742</v>
      </c>
      <c r="AO2" s="1001" t="s">
        <v>740</v>
      </c>
      <c r="AP2" s="1002" t="s">
        <v>138</v>
      </c>
      <c r="AQ2" s="1088" t="s">
        <v>741</v>
      </c>
      <c r="AR2" s="1004" t="s">
        <v>742</v>
      </c>
      <c r="AS2" s="1001" t="s">
        <v>740</v>
      </c>
      <c r="AT2" s="1002" t="s">
        <v>138</v>
      </c>
      <c r="AU2" s="1088" t="s">
        <v>741</v>
      </c>
      <c r="AV2" s="1004" t="s">
        <v>742</v>
      </c>
      <c r="AW2" s="1001" t="s">
        <v>740</v>
      </c>
      <c r="AX2" s="1002" t="s">
        <v>138</v>
      </c>
      <c r="AY2" s="1088" t="s">
        <v>741</v>
      </c>
      <c r="AZ2" s="1004" t="s">
        <v>742</v>
      </c>
      <c r="BA2" s="1001" t="s">
        <v>740</v>
      </c>
      <c r="BB2" s="1002" t="s">
        <v>138</v>
      </c>
      <c r="BC2" s="1088" t="s">
        <v>741</v>
      </c>
      <c r="BD2" s="1004" t="s">
        <v>742</v>
      </c>
      <c r="BE2" s="1001" t="s">
        <v>740</v>
      </c>
      <c r="BF2" s="1002" t="s">
        <v>138</v>
      </c>
      <c r="BG2" s="1088" t="s">
        <v>741</v>
      </c>
      <c r="BH2" s="1004" t="s">
        <v>742</v>
      </c>
      <c r="BI2" s="1001" t="s">
        <v>740</v>
      </c>
      <c r="BJ2" s="1002" t="s">
        <v>138</v>
      </c>
      <c r="BK2" s="1088" t="s">
        <v>741</v>
      </c>
      <c r="BL2" s="1004" t="s">
        <v>742</v>
      </c>
      <c r="BM2" s="1001" t="s">
        <v>740</v>
      </c>
      <c r="BN2" s="1002" t="s">
        <v>138</v>
      </c>
      <c r="BO2" s="1088" t="s">
        <v>741</v>
      </c>
      <c r="BP2" s="1004" t="s">
        <v>742</v>
      </c>
      <c r="BQ2" s="1005" t="s">
        <v>740</v>
      </c>
      <c r="BR2" s="1006" t="s">
        <v>138</v>
      </c>
      <c r="BS2" s="1089" t="s">
        <v>741</v>
      </c>
      <c r="BT2" s="1090" t="s">
        <v>742</v>
      </c>
      <c r="BU2" s="1005" t="s">
        <v>740</v>
      </c>
      <c r="BV2" s="1006" t="s">
        <v>138</v>
      </c>
      <c r="BW2" s="1091" t="s">
        <v>741</v>
      </c>
      <c r="BX2" s="1090" t="s">
        <v>742</v>
      </c>
      <c r="BY2" s="1005" t="s">
        <v>740</v>
      </c>
      <c r="BZ2" s="1006" t="s">
        <v>138</v>
      </c>
      <c r="CA2" s="1091" t="s">
        <v>741</v>
      </c>
      <c r="CB2" s="1090" t="s">
        <v>742</v>
      </c>
      <c r="CC2" s="1005" t="s">
        <v>740</v>
      </c>
      <c r="CD2" s="1006" t="s">
        <v>138</v>
      </c>
      <c r="CE2" s="1091" t="s">
        <v>741</v>
      </c>
      <c r="CF2" s="1090" t="s">
        <v>742</v>
      </c>
      <c r="CG2" s="1005" t="s">
        <v>740</v>
      </c>
      <c r="CH2" s="1006" t="s">
        <v>138</v>
      </c>
      <c r="CI2" s="1091" t="s">
        <v>741</v>
      </c>
      <c r="CJ2" s="1090" t="s">
        <v>742</v>
      </c>
      <c r="CK2" s="1005" t="s">
        <v>740</v>
      </c>
      <c r="CL2" s="1006" t="s">
        <v>138</v>
      </c>
      <c r="CM2" s="1091" t="s">
        <v>741</v>
      </c>
      <c r="CN2" s="1090" t="s">
        <v>742</v>
      </c>
    </row>
    <row r="3" spans="1:92" s="1081" customFormat="1">
      <c r="A3" s="1008"/>
      <c r="B3" s="1008"/>
      <c r="C3" s="1009"/>
      <c r="D3" s="1010"/>
      <c r="E3" s="1011"/>
      <c r="F3" s="1012"/>
      <c r="G3" s="1013"/>
      <c r="H3" s="1016"/>
      <c r="I3" s="1011"/>
      <c r="J3" s="1012"/>
      <c r="K3" s="1013"/>
      <c r="L3" s="1016"/>
      <c r="M3" s="1011"/>
      <c r="N3" s="1012"/>
      <c r="O3" s="1013"/>
      <c r="P3" s="1016"/>
      <c r="Q3" s="1011"/>
      <c r="R3" s="1012"/>
      <c r="S3" s="1013"/>
      <c r="T3" s="1016"/>
      <c r="U3" s="1011"/>
      <c r="V3" s="1012"/>
      <c r="W3" s="1013"/>
      <c r="X3" s="1016"/>
      <c r="Y3" s="1011"/>
      <c r="Z3" s="1012"/>
      <c r="AA3" s="1092"/>
      <c r="AB3" s="1016"/>
      <c r="AC3" s="1011"/>
      <c r="AD3" s="1012"/>
      <c r="AE3" s="1092"/>
      <c r="AF3" s="1016"/>
      <c r="AG3" s="1011"/>
      <c r="AH3" s="1012"/>
      <c r="AI3" s="1092"/>
      <c r="AJ3" s="1016"/>
      <c r="AK3" s="1011"/>
      <c r="AL3" s="1012"/>
      <c r="AM3" s="1092"/>
      <c r="AN3" s="1016"/>
      <c r="AO3" s="1011"/>
      <c r="AP3" s="1012"/>
      <c r="AQ3" s="1092"/>
      <c r="AR3" s="1016"/>
      <c r="AS3" s="1011"/>
      <c r="AT3" s="1012"/>
      <c r="AU3" s="1092"/>
      <c r="AV3" s="1016"/>
      <c r="AW3" s="1011"/>
      <c r="AX3" s="1012"/>
      <c r="AY3" s="1092"/>
      <c r="AZ3" s="1016"/>
      <c r="BA3" s="1011"/>
      <c r="BB3" s="1012"/>
      <c r="BC3" s="1092"/>
      <c r="BD3" s="1016"/>
      <c r="BE3" s="1011"/>
      <c r="BF3" s="1012"/>
      <c r="BG3" s="1092"/>
      <c r="BH3" s="1016"/>
      <c r="BI3" s="1011"/>
      <c r="BJ3" s="1012"/>
      <c r="BK3" s="1092"/>
      <c r="BL3" s="1016"/>
      <c r="BM3" s="1011"/>
      <c r="BN3" s="1012"/>
      <c r="BO3" s="1092"/>
      <c r="BP3" s="1016"/>
      <c r="BQ3" s="1014"/>
      <c r="BR3" s="1012"/>
      <c r="BS3" s="1093"/>
      <c r="BT3" s="1094"/>
      <c r="BU3" s="1014"/>
      <c r="BV3" s="1012"/>
      <c r="BW3" s="1095"/>
      <c r="BX3" s="1094"/>
      <c r="BY3" s="1014"/>
      <c r="BZ3" s="1012"/>
      <c r="CA3" s="1095"/>
      <c r="CB3" s="1094"/>
      <c r="CC3" s="1014"/>
      <c r="CD3" s="1012"/>
      <c r="CE3" s="1095"/>
      <c r="CF3" s="1094"/>
      <c r="CG3" s="1014"/>
      <c r="CH3" s="1012"/>
      <c r="CI3" s="1095"/>
      <c r="CJ3" s="1094"/>
      <c r="CK3" s="1014"/>
      <c r="CL3" s="1012"/>
      <c r="CM3" s="1095"/>
      <c r="CN3" s="1094"/>
    </row>
    <row r="4" spans="1:92" s="1081" customFormat="1">
      <c r="A4" s="1077"/>
      <c r="B4" s="1032"/>
      <c r="C4" s="1033"/>
      <c r="D4" s="1034"/>
      <c r="E4" s="1096"/>
      <c r="F4" s="1097"/>
      <c r="G4" s="1098"/>
      <c r="H4" s="1099"/>
      <c r="I4" s="1096"/>
      <c r="J4" s="1097"/>
      <c r="K4" s="1098"/>
      <c r="L4" s="1099"/>
      <c r="M4" s="1096"/>
      <c r="N4" s="1097"/>
      <c r="O4" s="1098"/>
      <c r="P4" s="1099"/>
      <c r="Q4" s="1096"/>
      <c r="R4" s="1097"/>
      <c r="S4" s="1100"/>
      <c r="T4" s="1099"/>
      <c r="U4" s="1096"/>
      <c r="V4" s="1097"/>
      <c r="W4" s="1100"/>
      <c r="X4" s="1099"/>
      <c r="Y4" s="1096"/>
      <c r="Z4" s="1097"/>
      <c r="AA4" s="1101"/>
      <c r="AB4" s="1099"/>
      <c r="AC4" s="1096"/>
      <c r="AD4" s="1097"/>
      <c r="AE4" s="1101"/>
      <c r="AF4" s="1099"/>
      <c r="AG4" s="1096"/>
      <c r="AH4" s="1097"/>
      <c r="AI4" s="1101"/>
      <c r="AJ4" s="1099"/>
      <c r="AK4" s="1096"/>
      <c r="AL4" s="1097"/>
      <c r="AM4" s="1101"/>
      <c r="AN4" s="1099"/>
      <c r="AO4" s="1096"/>
      <c r="AP4" s="1097"/>
      <c r="AQ4" s="1101"/>
      <c r="AR4" s="1099"/>
      <c r="AS4" s="1096"/>
      <c r="AT4" s="1097"/>
      <c r="AU4" s="1101"/>
      <c r="AV4" s="1099"/>
      <c r="AW4" s="1096"/>
      <c r="AX4" s="1097"/>
      <c r="AY4" s="1101"/>
      <c r="AZ4" s="1099"/>
      <c r="BA4" s="1096"/>
      <c r="BB4" s="1097"/>
      <c r="BC4" s="1101"/>
      <c r="BD4" s="1099"/>
      <c r="BE4" s="1096"/>
      <c r="BF4" s="1097"/>
      <c r="BG4" s="1101"/>
      <c r="BH4" s="1099"/>
      <c r="BI4" s="1096"/>
      <c r="BJ4" s="1097"/>
      <c r="BK4" s="1101"/>
      <c r="BL4" s="1099"/>
      <c r="BM4" s="1388">
        <v>43800</v>
      </c>
      <c r="BN4" s="1389" t="s">
        <v>759</v>
      </c>
      <c r="BO4" s="1390">
        <v>295</v>
      </c>
      <c r="BP4" s="1429" t="s">
        <v>689</v>
      </c>
      <c r="BQ4" s="1391">
        <v>43800</v>
      </c>
      <c r="BR4" s="1389" t="s">
        <v>759</v>
      </c>
      <c r="BS4" s="1390">
        <v>295</v>
      </c>
      <c r="BT4" s="1392" t="s">
        <v>689</v>
      </c>
      <c r="BU4" s="1391">
        <v>44166</v>
      </c>
      <c r="BV4" s="1389" t="s">
        <v>759</v>
      </c>
      <c r="BW4" s="1390">
        <v>295</v>
      </c>
      <c r="BX4" s="1392" t="s">
        <v>689</v>
      </c>
      <c r="BY4" s="1391">
        <v>44166</v>
      </c>
      <c r="BZ4" s="1393" t="s">
        <v>7047</v>
      </c>
      <c r="CA4" s="1390">
        <v>632</v>
      </c>
      <c r="CB4" s="1392" t="s">
        <v>689</v>
      </c>
      <c r="CC4" s="1391">
        <v>44166</v>
      </c>
      <c r="CD4" s="1393" t="s">
        <v>7047</v>
      </c>
      <c r="CE4" s="1390">
        <v>0</v>
      </c>
      <c r="CF4" s="1392" t="s">
        <v>689</v>
      </c>
      <c r="CG4" s="1394">
        <v>45261</v>
      </c>
      <c r="CH4" s="1393" t="s">
        <v>7047</v>
      </c>
      <c r="CI4" s="1395"/>
      <c r="CJ4" s="1396" t="s">
        <v>689</v>
      </c>
      <c r="CK4" s="1326">
        <v>45627</v>
      </c>
      <c r="CL4" s="1019" t="s">
        <v>794</v>
      </c>
      <c r="CM4" s="1379">
        <v>690</v>
      </c>
      <c r="CN4" s="1323" t="s">
        <v>689</v>
      </c>
    </row>
    <row r="5" spans="1:92" s="1081" customFormat="1">
      <c r="A5" s="1077">
        <v>37591</v>
      </c>
      <c r="B5" s="1019" t="s">
        <v>556</v>
      </c>
      <c r="C5" s="1036">
        <v>1075</v>
      </c>
      <c r="D5" s="1034"/>
      <c r="E5" s="1017">
        <v>37956</v>
      </c>
      <c r="F5" s="1019" t="s">
        <v>556</v>
      </c>
      <c r="G5" s="1036">
        <v>1075</v>
      </c>
      <c r="H5" s="1034"/>
      <c r="I5" s="1017">
        <v>37956</v>
      </c>
      <c r="J5" s="1019" t="s">
        <v>556</v>
      </c>
      <c r="K5" s="1036">
        <v>1075</v>
      </c>
      <c r="L5" s="1034"/>
      <c r="M5" s="1017">
        <v>38689</v>
      </c>
      <c r="N5" s="1019" t="s">
        <v>10586</v>
      </c>
      <c r="O5" s="1036">
        <v>17</v>
      </c>
      <c r="P5" s="1034"/>
      <c r="Q5" s="1017">
        <v>37956</v>
      </c>
      <c r="R5" s="1019" t="s">
        <v>802</v>
      </c>
      <c r="S5" s="1102">
        <v>35</v>
      </c>
      <c r="T5" s="1034"/>
      <c r="U5" s="1017">
        <v>39417</v>
      </c>
      <c r="V5" s="1019" t="s">
        <v>10587</v>
      </c>
      <c r="W5" s="1103">
        <v>352</v>
      </c>
      <c r="X5" s="1034"/>
      <c r="Y5" s="1017">
        <v>39783</v>
      </c>
      <c r="Z5" s="1019" t="s">
        <v>10588</v>
      </c>
      <c r="AA5" s="1104">
        <v>6</v>
      </c>
      <c r="AB5" s="1034"/>
      <c r="AC5" s="1017">
        <v>40149</v>
      </c>
      <c r="AD5" s="1019" t="s">
        <v>10589</v>
      </c>
      <c r="AE5" s="1104">
        <v>32</v>
      </c>
      <c r="AF5" s="1034"/>
      <c r="AG5" s="1017">
        <v>40513</v>
      </c>
      <c r="AH5" s="1019" t="s">
        <v>10590</v>
      </c>
      <c r="AI5" s="1104">
        <v>50</v>
      </c>
      <c r="AJ5" s="1034"/>
      <c r="AK5" s="1017">
        <v>40878</v>
      </c>
      <c r="AL5" s="1019" t="s">
        <v>797</v>
      </c>
      <c r="AM5" s="1104">
        <v>20</v>
      </c>
      <c r="AN5" s="1034"/>
      <c r="AO5" s="1017">
        <v>41244</v>
      </c>
      <c r="AP5" s="1019" t="s">
        <v>754</v>
      </c>
      <c r="AQ5" s="1104">
        <v>108</v>
      </c>
      <c r="AR5" s="1034"/>
      <c r="AS5" s="1017">
        <v>41244</v>
      </c>
      <c r="AT5" s="1019" t="s">
        <v>10591</v>
      </c>
      <c r="AU5" s="1104">
        <v>301</v>
      </c>
      <c r="AV5" s="1034"/>
      <c r="AW5" s="1017">
        <v>41975</v>
      </c>
      <c r="AX5" s="1019" t="s">
        <v>797</v>
      </c>
      <c r="AY5" s="1104">
        <v>48</v>
      </c>
      <c r="AZ5" s="1034"/>
      <c r="BA5" s="1017">
        <v>42339</v>
      </c>
      <c r="BB5" s="1019" t="s">
        <v>954</v>
      </c>
      <c r="BC5" s="1104">
        <v>69</v>
      </c>
      <c r="BD5" s="1034"/>
      <c r="BE5" s="1017">
        <v>42339</v>
      </c>
      <c r="BF5" s="1040" t="s">
        <v>10592</v>
      </c>
      <c r="BG5" s="1063">
        <v>4693</v>
      </c>
      <c r="BH5" s="1034"/>
      <c r="BI5" s="1017">
        <v>43070</v>
      </c>
      <c r="BJ5" s="1040" t="s">
        <v>10593</v>
      </c>
      <c r="BK5" s="1063">
        <v>360</v>
      </c>
      <c r="BL5" s="1034"/>
      <c r="BM5" s="1391">
        <v>43435</v>
      </c>
      <c r="BN5" s="1397" t="s">
        <v>872</v>
      </c>
      <c r="BO5" s="1398">
        <v>9</v>
      </c>
      <c r="BP5" s="1399"/>
      <c r="BQ5" s="1391">
        <v>43800</v>
      </c>
      <c r="BR5" s="1393" t="s">
        <v>7056</v>
      </c>
      <c r="BS5" s="1400">
        <v>1495</v>
      </c>
      <c r="BT5" s="1392" t="s">
        <v>706</v>
      </c>
      <c r="BU5" s="1391">
        <v>44166</v>
      </c>
      <c r="BV5" s="1393" t="s">
        <v>777</v>
      </c>
      <c r="BW5" s="1401">
        <v>288</v>
      </c>
      <c r="BX5" s="1392" t="s">
        <v>689</v>
      </c>
      <c r="BY5" s="1391">
        <v>44166</v>
      </c>
      <c r="BZ5" s="1393" t="s">
        <v>4004</v>
      </c>
      <c r="CA5" s="1390">
        <v>400</v>
      </c>
      <c r="CB5" s="1392" t="s">
        <v>689</v>
      </c>
      <c r="CC5" s="1391">
        <v>44166</v>
      </c>
      <c r="CD5" s="1393" t="s">
        <v>4004</v>
      </c>
      <c r="CE5" s="1390">
        <v>0</v>
      </c>
      <c r="CF5" s="1392" t="s">
        <v>689</v>
      </c>
      <c r="CG5" s="1394">
        <v>45261</v>
      </c>
      <c r="CH5" s="1393" t="s">
        <v>760</v>
      </c>
      <c r="CI5" s="1395">
        <v>30</v>
      </c>
      <c r="CJ5" s="1396" t="s">
        <v>689</v>
      </c>
      <c r="CK5" s="1326">
        <v>45627</v>
      </c>
      <c r="CL5" s="1019" t="s">
        <v>760</v>
      </c>
      <c r="CM5" s="1379">
        <v>30</v>
      </c>
      <c r="CN5" s="1323" t="s">
        <v>689</v>
      </c>
    </row>
    <row r="6" spans="1:92" s="1081" customFormat="1">
      <c r="A6" s="1077">
        <v>37591</v>
      </c>
      <c r="B6" s="1019" t="s">
        <v>276</v>
      </c>
      <c r="C6" s="1036">
        <v>422</v>
      </c>
      <c r="D6" s="1034">
        <v>386</v>
      </c>
      <c r="E6" s="1017">
        <v>37956</v>
      </c>
      <c r="F6" s="1019" t="s">
        <v>276</v>
      </c>
      <c r="G6" s="1036">
        <v>421</v>
      </c>
      <c r="H6" s="1034">
        <v>1000</v>
      </c>
      <c r="I6" s="1017">
        <v>37956</v>
      </c>
      <c r="J6" s="1019" t="s">
        <v>276</v>
      </c>
      <c r="K6" s="1036">
        <v>421</v>
      </c>
      <c r="L6" s="1034">
        <v>1000</v>
      </c>
      <c r="M6" s="1017">
        <v>38689</v>
      </c>
      <c r="N6" s="1019" t="s">
        <v>10594</v>
      </c>
      <c r="O6" s="1036">
        <v>15</v>
      </c>
      <c r="P6" s="1034"/>
      <c r="Q6" s="1017">
        <v>39053</v>
      </c>
      <c r="R6" s="1019" t="s">
        <v>782</v>
      </c>
      <c r="S6" s="1102">
        <v>60</v>
      </c>
      <c r="T6" s="1034"/>
      <c r="U6" s="1017">
        <v>39420</v>
      </c>
      <c r="V6" s="1019" t="s">
        <v>797</v>
      </c>
      <c r="W6" s="1103">
        <v>41</v>
      </c>
      <c r="X6" s="1034"/>
      <c r="Y6" s="1017">
        <v>39783</v>
      </c>
      <c r="Z6" s="1019" t="s">
        <v>10595</v>
      </c>
      <c r="AA6" s="1104">
        <v>75</v>
      </c>
      <c r="AB6" s="1034"/>
      <c r="AC6" s="1017">
        <v>40149</v>
      </c>
      <c r="AD6" s="1019" t="s">
        <v>10596</v>
      </c>
      <c r="AE6" s="1104">
        <v>13</v>
      </c>
      <c r="AF6" s="1034"/>
      <c r="AG6" s="1017">
        <v>40514</v>
      </c>
      <c r="AH6" s="1019" t="s">
        <v>802</v>
      </c>
      <c r="AI6" s="1104">
        <v>45</v>
      </c>
      <c r="AJ6" s="1034"/>
      <c r="AK6" s="1017">
        <v>40878</v>
      </c>
      <c r="AL6" s="1019" t="s">
        <v>10597</v>
      </c>
      <c r="AM6" s="1104">
        <v>60</v>
      </c>
      <c r="AN6" s="1034"/>
      <c r="AO6" s="1017">
        <v>41245</v>
      </c>
      <c r="AP6" s="1019" t="s">
        <v>10598</v>
      </c>
      <c r="AQ6" s="1104">
        <v>16</v>
      </c>
      <c r="AR6" s="1034"/>
      <c r="AS6" s="1017">
        <v>41610</v>
      </c>
      <c r="AT6" s="1019" t="s">
        <v>10599</v>
      </c>
      <c r="AU6" s="1104">
        <v>26</v>
      </c>
      <c r="AV6" s="1034"/>
      <c r="AW6" s="1017">
        <v>41975</v>
      </c>
      <c r="AX6" s="1019" t="s">
        <v>802</v>
      </c>
      <c r="AY6" s="1104">
        <v>39</v>
      </c>
      <c r="AZ6" s="1034"/>
      <c r="BA6" s="1017">
        <v>42339</v>
      </c>
      <c r="BB6" s="1019" t="s">
        <v>10600</v>
      </c>
      <c r="BC6" s="1104">
        <v>57</v>
      </c>
      <c r="BD6" s="1034"/>
      <c r="BE6" s="1017">
        <v>42339</v>
      </c>
      <c r="BF6" s="1040" t="s">
        <v>10601</v>
      </c>
      <c r="BG6" s="1063">
        <v>128</v>
      </c>
      <c r="BH6" s="1034"/>
      <c r="BI6" s="1017">
        <v>43070</v>
      </c>
      <c r="BJ6" s="1040" t="s">
        <v>873</v>
      </c>
      <c r="BK6" s="1063">
        <v>22</v>
      </c>
      <c r="BL6" s="1034"/>
      <c r="BM6" s="1391">
        <v>43435</v>
      </c>
      <c r="BN6" s="1397" t="s">
        <v>823</v>
      </c>
      <c r="BO6" s="1398">
        <v>50</v>
      </c>
      <c r="BP6" s="1399"/>
      <c r="BQ6" s="1391">
        <v>43800</v>
      </c>
      <c r="BR6" s="1393" t="s">
        <v>842</v>
      </c>
      <c r="BS6" s="1400">
        <v>700</v>
      </c>
      <c r="BT6" s="1392" t="s">
        <v>689</v>
      </c>
      <c r="BU6" s="1391">
        <v>44166</v>
      </c>
      <c r="BV6" s="1393" t="s">
        <v>792</v>
      </c>
      <c r="BW6" s="1401">
        <v>30</v>
      </c>
      <c r="BX6" s="1392" t="s">
        <v>689</v>
      </c>
      <c r="BY6" s="1391">
        <v>44166</v>
      </c>
      <c r="BZ6" s="1393" t="s">
        <v>792</v>
      </c>
      <c r="CA6" s="1401">
        <v>0</v>
      </c>
      <c r="CB6" s="1392" t="s">
        <v>689</v>
      </c>
      <c r="CC6" s="1391">
        <v>44166</v>
      </c>
      <c r="CD6" s="1393" t="s">
        <v>792</v>
      </c>
      <c r="CE6" s="1401">
        <v>30</v>
      </c>
      <c r="CF6" s="1392" t="s">
        <v>689</v>
      </c>
      <c r="CG6" s="1394">
        <v>45261</v>
      </c>
      <c r="CH6" s="1393" t="s">
        <v>9690</v>
      </c>
      <c r="CI6" s="1395">
        <v>11</v>
      </c>
      <c r="CJ6" s="1396" t="s">
        <v>280</v>
      </c>
      <c r="CK6" s="1326">
        <v>45627</v>
      </c>
      <c r="CL6" s="1019" t="s">
        <v>1756</v>
      </c>
      <c r="CM6" s="1379">
        <v>400</v>
      </c>
      <c r="CN6" s="1323" t="s">
        <v>280</v>
      </c>
    </row>
    <row r="7" spans="1:92" s="1081" customFormat="1">
      <c r="A7" s="1077">
        <v>37591</v>
      </c>
      <c r="B7" s="1019" t="s">
        <v>400</v>
      </c>
      <c r="C7" s="1036">
        <v>0</v>
      </c>
      <c r="D7" s="1034">
        <v>0</v>
      </c>
      <c r="E7" s="1017">
        <v>37956</v>
      </c>
      <c r="F7" s="1019" t="s">
        <v>400</v>
      </c>
      <c r="G7" s="1036">
        <v>0</v>
      </c>
      <c r="H7" s="1034">
        <v>0</v>
      </c>
      <c r="I7" s="1017">
        <v>37956</v>
      </c>
      <c r="J7" s="1019" t="s">
        <v>400</v>
      </c>
      <c r="K7" s="1036">
        <v>0</v>
      </c>
      <c r="L7" s="1034">
        <v>0</v>
      </c>
      <c r="M7" s="1017">
        <v>38689</v>
      </c>
      <c r="N7" s="1019" t="s">
        <v>10602</v>
      </c>
      <c r="O7" s="1036">
        <v>4</v>
      </c>
      <c r="P7" s="1034"/>
      <c r="Q7" s="1017">
        <v>39053</v>
      </c>
      <c r="R7" s="1019" t="s">
        <v>10603</v>
      </c>
      <c r="S7" s="1102">
        <v>8</v>
      </c>
      <c r="T7" s="1034"/>
      <c r="U7" s="1017">
        <v>39422</v>
      </c>
      <c r="V7" s="1019" t="s">
        <v>937</v>
      </c>
      <c r="W7" s="1103">
        <v>28</v>
      </c>
      <c r="X7" s="1034"/>
      <c r="Y7" s="1017">
        <v>39788</v>
      </c>
      <c r="Z7" s="1019" t="s">
        <v>10604</v>
      </c>
      <c r="AA7" s="1104">
        <v>1</v>
      </c>
      <c r="AB7" s="1034"/>
      <c r="AC7" s="1017">
        <v>40150</v>
      </c>
      <c r="AD7" s="1019" t="s">
        <v>10605</v>
      </c>
      <c r="AE7" s="1104">
        <v>33</v>
      </c>
      <c r="AF7" s="1034"/>
      <c r="AG7" s="1017">
        <v>40514</v>
      </c>
      <c r="AH7" s="1019" t="s">
        <v>10606</v>
      </c>
      <c r="AI7" s="1104">
        <v>35</v>
      </c>
      <c r="AJ7" s="1034"/>
      <c r="AK7" s="1017">
        <v>40881</v>
      </c>
      <c r="AL7" s="1019" t="s">
        <v>781</v>
      </c>
      <c r="AM7" s="1104">
        <v>90</v>
      </c>
      <c r="AN7" s="1034"/>
      <c r="AO7" s="1017">
        <v>41245</v>
      </c>
      <c r="AP7" s="1019" t="s">
        <v>10607</v>
      </c>
      <c r="AQ7" s="1104">
        <v>12</v>
      </c>
      <c r="AR7" s="1034"/>
      <c r="AS7" s="1017">
        <v>41611</v>
      </c>
      <c r="AT7" s="1019" t="s">
        <v>925</v>
      </c>
      <c r="AU7" s="1104">
        <v>4</v>
      </c>
      <c r="AV7" s="1034"/>
      <c r="AW7" s="1017">
        <v>41977</v>
      </c>
      <c r="AX7" s="1019" t="s">
        <v>10608</v>
      </c>
      <c r="AY7" s="1104">
        <v>15</v>
      </c>
      <c r="AZ7" s="1034"/>
      <c r="BA7" s="1017">
        <v>42339</v>
      </c>
      <c r="BB7" s="1019" t="s">
        <v>802</v>
      </c>
      <c r="BC7" s="1104">
        <v>27</v>
      </c>
      <c r="BD7" s="1034"/>
      <c r="BE7" s="1017">
        <v>42339</v>
      </c>
      <c r="BF7" s="1019" t="s">
        <v>867</v>
      </c>
      <c r="BG7" s="1063">
        <v>37</v>
      </c>
      <c r="BH7" s="1034"/>
      <c r="BI7" s="1017">
        <v>43070</v>
      </c>
      <c r="BJ7" s="1040" t="s">
        <v>1427</v>
      </c>
      <c r="BK7" s="1063">
        <v>11</v>
      </c>
      <c r="BL7" s="1034"/>
      <c r="BM7" s="1391">
        <v>43435</v>
      </c>
      <c r="BN7" s="1397" t="s">
        <v>873</v>
      </c>
      <c r="BO7" s="1398">
        <v>38</v>
      </c>
      <c r="BP7" s="1399"/>
      <c r="BQ7" s="1391">
        <v>43800</v>
      </c>
      <c r="BR7" s="1393" t="s">
        <v>9696</v>
      </c>
      <c r="BS7" s="1400">
        <v>28</v>
      </c>
      <c r="BT7" s="1392" t="s">
        <v>689</v>
      </c>
      <c r="BU7" s="1391">
        <v>44166</v>
      </c>
      <c r="BV7" s="1393" t="s">
        <v>10609</v>
      </c>
      <c r="BW7" s="1401">
        <f>398 + 55 *4</f>
        <v>618</v>
      </c>
      <c r="BX7" s="1392" t="s">
        <v>689</v>
      </c>
      <c r="BY7" s="1391">
        <v>44166</v>
      </c>
      <c r="BZ7" s="1393" t="s">
        <v>10609</v>
      </c>
      <c r="CA7" s="1401">
        <v>0</v>
      </c>
      <c r="CB7" s="1392" t="s">
        <v>689</v>
      </c>
      <c r="CC7" s="1391">
        <v>44898</v>
      </c>
      <c r="CD7" s="1393" t="s">
        <v>845</v>
      </c>
      <c r="CE7" s="1401">
        <v>49</v>
      </c>
      <c r="CF7" s="1392" t="s">
        <v>414</v>
      </c>
      <c r="CG7" s="1394">
        <v>45261</v>
      </c>
      <c r="CH7" s="1402" t="s">
        <v>7057</v>
      </c>
      <c r="CI7" s="1403">
        <v>250</v>
      </c>
      <c r="CJ7" s="1396" t="s">
        <v>689</v>
      </c>
      <c r="CK7" s="1326">
        <v>45627</v>
      </c>
      <c r="CL7" s="983" t="s">
        <v>10610</v>
      </c>
      <c r="CM7" s="984">
        <v>250</v>
      </c>
      <c r="CN7" s="1323" t="s">
        <v>689</v>
      </c>
    </row>
    <row r="8" spans="1:92" s="1081" customFormat="1">
      <c r="A8" s="1077">
        <v>37591</v>
      </c>
      <c r="B8" s="1019" t="s">
        <v>413</v>
      </c>
      <c r="C8" s="1041">
        <v>0</v>
      </c>
      <c r="D8" s="1042">
        <v>5</v>
      </c>
      <c r="E8" s="1017">
        <v>37956</v>
      </c>
      <c r="F8" s="1019" t="s">
        <v>413</v>
      </c>
      <c r="G8" s="1041">
        <v>5</v>
      </c>
      <c r="H8" s="1042">
        <v>25</v>
      </c>
      <c r="I8" s="1017">
        <v>37956</v>
      </c>
      <c r="J8" s="1019" t="s">
        <v>413</v>
      </c>
      <c r="K8" s="1041">
        <v>5</v>
      </c>
      <c r="L8" s="1042">
        <v>25</v>
      </c>
      <c r="M8" s="1017">
        <v>38689</v>
      </c>
      <c r="N8" s="1019" t="s">
        <v>10611</v>
      </c>
      <c r="O8" s="1041">
        <v>12</v>
      </c>
      <c r="P8" s="1042"/>
      <c r="Q8" s="1017">
        <v>39054</v>
      </c>
      <c r="R8" s="1019" t="s">
        <v>772</v>
      </c>
      <c r="S8" s="1105">
        <v>120</v>
      </c>
      <c r="T8" s="1042" t="s">
        <v>670</v>
      </c>
      <c r="U8" s="1017">
        <v>39423</v>
      </c>
      <c r="V8" s="1019" t="s">
        <v>802</v>
      </c>
      <c r="W8" s="1103">
        <v>46</v>
      </c>
      <c r="X8" s="1034"/>
      <c r="Y8" s="1017">
        <v>39789</v>
      </c>
      <c r="Z8" s="1019" t="s">
        <v>767</v>
      </c>
      <c r="AA8" s="1104">
        <v>13</v>
      </c>
      <c r="AB8" s="1034"/>
      <c r="AC8" s="1017">
        <v>40151</v>
      </c>
      <c r="AD8" s="1019" t="s">
        <v>1352</v>
      </c>
      <c r="AE8" s="1104">
        <v>35</v>
      </c>
      <c r="AF8" s="1034"/>
      <c r="AG8" s="1017">
        <v>40516</v>
      </c>
      <c r="AH8" s="1019" t="s">
        <v>10612</v>
      </c>
      <c r="AI8" s="1104">
        <v>10</v>
      </c>
      <c r="AJ8" s="1034"/>
      <c r="AK8" s="1017">
        <v>40881</v>
      </c>
      <c r="AL8" s="1019" t="s">
        <v>797</v>
      </c>
      <c r="AM8" s="1104">
        <v>50</v>
      </c>
      <c r="AN8" s="1034"/>
      <c r="AO8" s="1017">
        <v>41246</v>
      </c>
      <c r="AP8" s="1019" t="s">
        <v>802</v>
      </c>
      <c r="AQ8" s="1104">
        <v>47</v>
      </c>
      <c r="AR8" s="1034"/>
      <c r="AS8" s="1017">
        <v>41613</v>
      </c>
      <c r="AT8" s="1019" t="s">
        <v>802</v>
      </c>
      <c r="AU8" s="1104">
        <v>49</v>
      </c>
      <c r="AV8" s="1034"/>
      <c r="AW8" s="1017">
        <v>41979</v>
      </c>
      <c r="AX8" s="1019" t="s">
        <v>10613</v>
      </c>
      <c r="AY8" s="1104">
        <v>10</v>
      </c>
      <c r="AZ8" s="1034"/>
      <c r="BA8" s="1017">
        <v>42341</v>
      </c>
      <c r="BB8" s="1019" t="s">
        <v>925</v>
      </c>
      <c r="BC8" s="1104">
        <v>5</v>
      </c>
      <c r="BD8" s="1034"/>
      <c r="BE8" s="1017">
        <v>42705</v>
      </c>
      <c r="BF8" s="1019" t="s">
        <v>10614</v>
      </c>
      <c r="BG8" s="1063">
        <v>55</v>
      </c>
      <c r="BH8" s="1034"/>
      <c r="BI8" s="1017">
        <v>43070</v>
      </c>
      <c r="BJ8" s="1019" t="s">
        <v>823</v>
      </c>
      <c r="BK8" s="1063">
        <v>25</v>
      </c>
      <c r="BL8" s="1034"/>
      <c r="BM8" s="1391">
        <v>43435</v>
      </c>
      <c r="BN8" s="1393" t="s">
        <v>10615</v>
      </c>
      <c r="BO8" s="1398">
        <v>27</v>
      </c>
      <c r="BP8" s="1399"/>
      <c r="BQ8" s="1391">
        <v>43800</v>
      </c>
      <c r="BR8" s="1393" t="s">
        <v>772</v>
      </c>
      <c r="BS8" s="1404">
        <v>3</v>
      </c>
      <c r="BT8" s="1392" t="s">
        <v>414</v>
      </c>
      <c r="BU8" s="1391">
        <v>44170</v>
      </c>
      <c r="BV8" s="1393" t="s">
        <v>843</v>
      </c>
      <c r="BW8" s="1405">
        <v>28</v>
      </c>
      <c r="BX8" s="1392" t="s">
        <v>414</v>
      </c>
      <c r="BY8" s="1391">
        <v>44166</v>
      </c>
      <c r="BZ8" s="1393" t="s">
        <v>797</v>
      </c>
      <c r="CA8" s="1405">
        <v>76</v>
      </c>
      <c r="CB8" s="1392" t="s">
        <v>410</v>
      </c>
      <c r="CC8" s="1391">
        <v>44898</v>
      </c>
      <c r="CD8" s="1393" t="s">
        <v>843</v>
      </c>
      <c r="CE8" s="1405">
        <v>29</v>
      </c>
      <c r="CF8" s="1392" t="s">
        <v>414</v>
      </c>
      <c r="CG8" s="1394">
        <v>45261</v>
      </c>
      <c r="CH8" s="1402" t="s">
        <v>7064</v>
      </c>
      <c r="CI8" s="1403">
        <v>850</v>
      </c>
      <c r="CJ8" s="1396" t="s">
        <v>689</v>
      </c>
      <c r="CK8" s="1326">
        <v>45627</v>
      </c>
      <c r="CL8" s="983" t="s">
        <v>10616</v>
      </c>
      <c r="CM8" s="984">
        <v>850</v>
      </c>
      <c r="CN8" s="1323" t="s">
        <v>381</v>
      </c>
    </row>
    <row r="9" spans="1:92" s="1081" customFormat="1">
      <c r="A9" s="1077">
        <v>37591</v>
      </c>
      <c r="B9" s="1040" t="s">
        <v>811</v>
      </c>
      <c r="C9" s="1036"/>
      <c r="D9" s="1034">
        <v>100</v>
      </c>
      <c r="E9" s="1017">
        <v>37956</v>
      </c>
      <c r="F9" s="1040" t="s">
        <v>811</v>
      </c>
      <c r="G9" s="1036"/>
      <c r="H9" s="1034">
        <v>0</v>
      </c>
      <c r="I9" s="1017">
        <v>37956</v>
      </c>
      <c r="J9" s="1040" t="s">
        <v>811</v>
      </c>
      <c r="K9" s="1036"/>
      <c r="L9" s="1034">
        <v>0</v>
      </c>
      <c r="M9" s="1017">
        <v>38689</v>
      </c>
      <c r="N9" s="1040" t="s">
        <v>10617</v>
      </c>
      <c r="O9" s="1036">
        <v>13</v>
      </c>
      <c r="P9" s="1034"/>
      <c r="Q9" s="1017">
        <v>39055</v>
      </c>
      <c r="R9" s="1040" t="s">
        <v>10618</v>
      </c>
      <c r="S9" s="1102">
        <v>17</v>
      </c>
      <c r="T9" s="1034"/>
      <c r="U9" s="1017">
        <v>39424</v>
      </c>
      <c r="V9" s="1019" t="s">
        <v>797</v>
      </c>
      <c r="W9" s="1106">
        <v>47</v>
      </c>
      <c r="X9" s="1042"/>
      <c r="Y9" s="1017">
        <v>39790</v>
      </c>
      <c r="Z9" s="1019" t="s">
        <v>10619</v>
      </c>
      <c r="AA9" s="1107">
        <v>30</v>
      </c>
      <c r="AB9" s="1042"/>
      <c r="AC9" s="1017">
        <v>40151</v>
      </c>
      <c r="AD9" s="1019" t="s">
        <v>10620</v>
      </c>
      <c r="AE9" s="1107">
        <v>5</v>
      </c>
      <c r="AF9" s="1042"/>
      <c r="AG9" s="1017">
        <v>40516</v>
      </c>
      <c r="AH9" s="1019" t="s">
        <v>10621</v>
      </c>
      <c r="AI9" s="1107">
        <v>53</v>
      </c>
      <c r="AJ9" s="1042"/>
      <c r="AK9" s="1017">
        <v>40881</v>
      </c>
      <c r="AL9" s="1019" t="s">
        <v>998</v>
      </c>
      <c r="AM9" s="1107">
        <v>12</v>
      </c>
      <c r="AN9" s="1042"/>
      <c r="AO9" s="1017">
        <v>41247</v>
      </c>
      <c r="AP9" s="1019" t="s">
        <v>10622</v>
      </c>
      <c r="AQ9" s="1107">
        <v>15</v>
      </c>
      <c r="AR9" s="1042"/>
      <c r="AS9" s="1017">
        <v>41615</v>
      </c>
      <c r="AT9" s="1019" t="s">
        <v>10623</v>
      </c>
      <c r="AU9" s="1107">
        <v>40</v>
      </c>
      <c r="AV9" s="1042"/>
      <c r="AW9" s="1017">
        <v>41979</v>
      </c>
      <c r="AX9" s="1019" t="s">
        <v>797</v>
      </c>
      <c r="AY9" s="1107">
        <v>29</v>
      </c>
      <c r="AZ9" s="1042"/>
      <c r="BA9" s="1017">
        <v>42342</v>
      </c>
      <c r="BB9" s="1019" t="s">
        <v>4490</v>
      </c>
      <c r="BC9" s="1107">
        <v>35</v>
      </c>
      <c r="BD9" s="1042"/>
      <c r="BE9" s="1017">
        <v>42706</v>
      </c>
      <c r="BF9" s="1019" t="s">
        <v>9733</v>
      </c>
      <c r="BG9" s="1063">
        <v>21</v>
      </c>
      <c r="BH9" s="1034"/>
      <c r="BI9" s="1017">
        <v>43070</v>
      </c>
      <c r="BJ9" s="1019" t="s">
        <v>10624</v>
      </c>
      <c r="BK9" s="1063">
        <v>18</v>
      </c>
      <c r="BL9" s="1034"/>
      <c r="BM9" s="1391">
        <v>43435</v>
      </c>
      <c r="BN9" s="1393" t="s">
        <v>10625</v>
      </c>
      <c r="BO9" s="1398">
        <v>13</v>
      </c>
      <c r="BP9" s="1399"/>
      <c r="BQ9" s="1391">
        <v>43800</v>
      </c>
      <c r="BR9" s="1393" t="s">
        <v>10626</v>
      </c>
      <c r="BS9" s="1404">
        <v>11</v>
      </c>
      <c r="BT9" s="1392" t="s">
        <v>414</v>
      </c>
      <c r="BU9" s="1391">
        <v>44170</v>
      </c>
      <c r="BV9" s="1393" t="s">
        <v>845</v>
      </c>
      <c r="BW9" s="1406">
        <v>46</v>
      </c>
      <c r="BX9" s="1392" t="s">
        <v>414</v>
      </c>
      <c r="BY9" s="1391">
        <v>44532</v>
      </c>
      <c r="BZ9" s="1393" t="s">
        <v>10627</v>
      </c>
      <c r="CA9" s="1406">
        <v>40</v>
      </c>
      <c r="CB9" s="1392" t="s">
        <v>280</v>
      </c>
      <c r="CC9" s="1391">
        <v>44898</v>
      </c>
      <c r="CD9" s="1393" t="s">
        <v>872</v>
      </c>
      <c r="CE9" s="1406">
        <v>14</v>
      </c>
      <c r="CF9" s="1392" t="s">
        <v>414</v>
      </c>
      <c r="CG9" s="1394">
        <v>45261</v>
      </c>
      <c r="CH9" s="1402" t="s">
        <v>794</v>
      </c>
      <c r="CI9" s="1403">
        <v>299</v>
      </c>
      <c r="CJ9" s="1396" t="s">
        <v>689</v>
      </c>
      <c r="CK9" s="1326">
        <v>45627</v>
      </c>
      <c r="CL9" s="983" t="s">
        <v>10628</v>
      </c>
      <c r="CM9" s="984">
        <v>700</v>
      </c>
      <c r="CN9" s="1323" t="s">
        <v>381</v>
      </c>
    </row>
    <row r="10" spans="1:92" s="1081" customFormat="1">
      <c r="A10" s="1077">
        <v>37591</v>
      </c>
      <c r="B10" s="1040" t="s">
        <v>1220</v>
      </c>
      <c r="C10" s="1036">
        <v>17</v>
      </c>
      <c r="D10" s="1034"/>
      <c r="E10" s="1017">
        <v>37956</v>
      </c>
      <c r="F10" s="1040" t="s">
        <v>415</v>
      </c>
      <c r="G10" s="1036">
        <v>45</v>
      </c>
      <c r="H10" s="1034"/>
      <c r="I10" s="1017">
        <v>37956</v>
      </c>
      <c r="J10" s="1040" t="s">
        <v>415</v>
      </c>
      <c r="K10" s="1036">
        <v>45</v>
      </c>
      <c r="L10" s="1034"/>
      <c r="M10" s="1017">
        <v>38690</v>
      </c>
      <c r="N10" s="1040" t="s">
        <v>1157</v>
      </c>
      <c r="O10" s="1036">
        <v>35</v>
      </c>
      <c r="P10" s="1034"/>
      <c r="Q10" s="1017">
        <v>39056</v>
      </c>
      <c r="R10" s="1040" t="s">
        <v>797</v>
      </c>
      <c r="S10" s="1102">
        <v>36</v>
      </c>
      <c r="T10" s="1034"/>
      <c r="U10" s="1017">
        <v>39424</v>
      </c>
      <c r="V10" s="1040" t="s">
        <v>10629</v>
      </c>
      <c r="W10" s="1103">
        <v>8</v>
      </c>
      <c r="X10" s="1034"/>
      <c r="Y10" s="1017">
        <v>39791</v>
      </c>
      <c r="Z10" s="1040" t="s">
        <v>797</v>
      </c>
      <c r="AA10" s="1104">
        <v>31</v>
      </c>
      <c r="AB10" s="1034"/>
      <c r="AC10" s="1017">
        <v>40153</v>
      </c>
      <c r="AD10" s="1040" t="s">
        <v>781</v>
      </c>
      <c r="AE10" s="1104">
        <v>150</v>
      </c>
      <c r="AF10" s="1034"/>
      <c r="AG10" s="1017">
        <v>40516</v>
      </c>
      <c r="AH10" s="1040" t="s">
        <v>867</v>
      </c>
      <c r="AI10" s="1104">
        <v>25</v>
      </c>
      <c r="AJ10" s="1034"/>
      <c r="AK10" s="1017">
        <v>40881</v>
      </c>
      <c r="AL10" s="1040" t="s">
        <v>1983</v>
      </c>
      <c r="AM10" s="1104">
        <v>40</v>
      </c>
      <c r="AN10" s="1034"/>
      <c r="AO10" s="1017">
        <v>41247</v>
      </c>
      <c r="AP10" s="1040" t="s">
        <v>2380</v>
      </c>
      <c r="AQ10" s="1104">
        <v>20</v>
      </c>
      <c r="AR10" s="1034"/>
      <c r="AS10" s="1017">
        <v>41615</v>
      </c>
      <c r="AT10" s="1040" t="s">
        <v>797</v>
      </c>
      <c r="AU10" s="1104">
        <v>65</v>
      </c>
      <c r="AV10" s="1034"/>
      <c r="AW10" s="1017">
        <v>41980</v>
      </c>
      <c r="AX10" s="1019" t="s">
        <v>754</v>
      </c>
      <c r="AY10" s="1104">
        <v>110</v>
      </c>
      <c r="AZ10" s="1034"/>
      <c r="BA10" s="1017">
        <v>42342</v>
      </c>
      <c r="BB10" s="1019" t="s">
        <v>10600</v>
      </c>
      <c r="BC10" s="1104">
        <v>57</v>
      </c>
      <c r="BD10" s="1034"/>
      <c r="BE10" s="1017">
        <v>42706</v>
      </c>
      <c r="BF10" s="1019" t="s">
        <v>10630</v>
      </c>
      <c r="BG10" s="1109">
        <v>20</v>
      </c>
      <c r="BH10" s="1042"/>
      <c r="BI10" s="1017">
        <v>43070</v>
      </c>
      <c r="BJ10" s="1019" t="s">
        <v>10631</v>
      </c>
      <c r="BK10" s="1063">
        <v>18</v>
      </c>
      <c r="BL10" s="1034"/>
      <c r="BM10" s="1391">
        <v>43435</v>
      </c>
      <c r="BN10" s="1393" t="s">
        <v>10632</v>
      </c>
      <c r="BO10" s="1398">
        <v>27</v>
      </c>
      <c r="BP10" s="1399"/>
      <c r="BQ10" s="1391">
        <v>43800</v>
      </c>
      <c r="BR10" s="1393" t="s">
        <v>845</v>
      </c>
      <c r="BS10" s="1404">
        <v>10</v>
      </c>
      <c r="BT10" s="1392" t="s">
        <v>414</v>
      </c>
      <c r="BU10" s="1391">
        <v>44170</v>
      </c>
      <c r="BV10" s="1393" t="s">
        <v>10633</v>
      </c>
      <c r="BW10" s="1406">
        <v>10</v>
      </c>
      <c r="BX10" s="1392" t="s">
        <v>414</v>
      </c>
      <c r="BY10" s="1391">
        <v>44532</v>
      </c>
      <c r="BZ10" s="1393" t="s">
        <v>7960</v>
      </c>
      <c r="CA10" s="1406">
        <v>60</v>
      </c>
      <c r="CB10" s="1392" t="s">
        <v>414</v>
      </c>
      <c r="CC10" s="1391">
        <v>44898</v>
      </c>
      <c r="CD10" s="1393" t="s">
        <v>772</v>
      </c>
      <c r="CE10" s="1406">
        <v>29</v>
      </c>
      <c r="CF10" s="1392" t="s">
        <v>414</v>
      </c>
      <c r="CG10" s="1394">
        <v>45261</v>
      </c>
      <c r="CH10" s="1393" t="s">
        <v>10634</v>
      </c>
      <c r="CI10" s="1406">
        <v>17</v>
      </c>
      <c r="CJ10" s="1392" t="s">
        <v>414</v>
      </c>
      <c r="CK10" s="1326">
        <v>45627</v>
      </c>
      <c r="CL10" s="1393" t="s">
        <v>2162</v>
      </c>
      <c r="CM10" s="1406">
        <v>19</v>
      </c>
      <c r="CN10" s="1392" t="s">
        <v>414</v>
      </c>
    </row>
    <row r="11" spans="1:92" s="1081" customFormat="1">
      <c r="A11" s="1077">
        <v>37591</v>
      </c>
      <c r="B11" s="1040" t="s">
        <v>10635</v>
      </c>
      <c r="C11" s="1036">
        <v>31</v>
      </c>
      <c r="D11" s="1034"/>
      <c r="E11" s="1017">
        <v>37956</v>
      </c>
      <c r="F11" s="1040" t="s">
        <v>847</v>
      </c>
      <c r="G11" s="1036">
        <v>70</v>
      </c>
      <c r="H11" s="1034"/>
      <c r="I11" s="1017">
        <v>37956</v>
      </c>
      <c r="J11" s="1040" t="s">
        <v>847</v>
      </c>
      <c r="K11" s="1036">
        <v>70</v>
      </c>
      <c r="L11" s="1034"/>
      <c r="M11" s="1017">
        <v>38691</v>
      </c>
      <c r="N11" s="1040" t="s">
        <v>10636</v>
      </c>
      <c r="O11" s="1036">
        <v>25</v>
      </c>
      <c r="P11" s="1034"/>
      <c r="Q11" s="1017">
        <v>39059</v>
      </c>
      <c r="R11" s="1040" t="s">
        <v>10637</v>
      </c>
      <c r="S11" s="1082">
        <v>-7000</v>
      </c>
      <c r="T11" s="1034"/>
      <c r="U11" s="1017">
        <v>39424</v>
      </c>
      <c r="V11" s="1040" t="s">
        <v>10638</v>
      </c>
      <c r="W11" s="1103">
        <v>15</v>
      </c>
      <c r="X11" s="1034"/>
      <c r="Y11" s="1017">
        <v>39792</v>
      </c>
      <c r="Z11" s="1040" t="s">
        <v>772</v>
      </c>
      <c r="AA11" s="1043">
        <v>34</v>
      </c>
      <c r="AB11" s="1034"/>
      <c r="AC11" s="1017">
        <v>40153</v>
      </c>
      <c r="AD11" s="1040" t="s">
        <v>797</v>
      </c>
      <c r="AE11" s="1043">
        <v>40</v>
      </c>
      <c r="AF11" s="1034"/>
      <c r="AG11" s="1017">
        <v>40516</v>
      </c>
      <c r="AH11" s="1040" t="s">
        <v>10639</v>
      </c>
      <c r="AI11" s="1043">
        <v>121</v>
      </c>
      <c r="AJ11" s="1034"/>
      <c r="AK11" s="1017">
        <v>40882</v>
      </c>
      <c r="AL11" s="1040" t="s">
        <v>1052</v>
      </c>
      <c r="AM11" s="1104">
        <v>21</v>
      </c>
      <c r="AN11" s="1034"/>
      <c r="AO11" s="1017">
        <v>41248</v>
      </c>
      <c r="AP11" s="1040" t="s">
        <v>979</v>
      </c>
      <c r="AQ11" s="1104">
        <v>78</v>
      </c>
      <c r="AR11" s="1034"/>
      <c r="AS11" s="1017">
        <v>41615</v>
      </c>
      <c r="AT11" s="1040" t="s">
        <v>10640</v>
      </c>
      <c r="AU11" s="1104">
        <v>25</v>
      </c>
      <c r="AV11" s="1034"/>
      <c r="AW11" s="1017">
        <v>41981</v>
      </c>
      <c r="AX11" s="1019" t="s">
        <v>4994</v>
      </c>
      <c r="AY11" s="1104">
        <v>24</v>
      </c>
      <c r="AZ11" s="1034"/>
      <c r="BA11" s="1110">
        <v>42342</v>
      </c>
      <c r="BB11" s="1019" t="s">
        <v>10641</v>
      </c>
      <c r="BC11" s="1104">
        <v>15</v>
      </c>
      <c r="BD11" s="1034"/>
      <c r="BE11" s="1017">
        <v>42707</v>
      </c>
      <c r="BF11" s="1019" t="s">
        <v>1770</v>
      </c>
      <c r="BG11" s="1063">
        <v>10</v>
      </c>
      <c r="BH11" s="1034"/>
      <c r="BI11" s="1017">
        <v>43071</v>
      </c>
      <c r="BJ11" s="1019" t="s">
        <v>10642</v>
      </c>
      <c r="BK11" s="1109">
        <v>31</v>
      </c>
      <c r="BL11" s="1042"/>
      <c r="BM11" s="1391">
        <v>43435</v>
      </c>
      <c r="BN11" s="1393" t="s">
        <v>10643</v>
      </c>
      <c r="BO11" s="1407">
        <v>22</v>
      </c>
      <c r="BP11" s="1408"/>
      <c r="BQ11" s="1391">
        <v>43800</v>
      </c>
      <c r="BR11" s="1393" t="s">
        <v>10644</v>
      </c>
      <c r="BS11" s="1400">
        <v>24</v>
      </c>
      <c r="BT11" s="1392" t="s">
        <v>278</v>
      </c>
      <c r="BU11" s="1391">
        <v>44170</v>
      </c>
      <c r="BV11" s="1393" t="s">
        <v>10645</v>
      </c>
      <c r="BW11" s="1406">
        <v>99</v>
      </c>
      <c r="BX11" s="1392" t="s">
        <v>701</v>
      </c>
      <c r="BY11" s="1391">
        <v>44533</v>
      </c>
      <c r="BZ11" s="1393" t="s">
        <v>10646</v>
      </c>
      <c r="CA11" s="1406">
        <v>15</v>
      </c>
      <c r="CB11" s="1392" t="s">
        <v>280</v>
      </c>
      <c r="CC11" s="1391">
        <v>44899</v>
      </c>
      <c r="CD11" s="1393" t="s">
        <v>1052</v>
      </c>
      <c r="CE11" s="1406">
        <v>34</v>
      </c>
      <c r="CF11" s="1392" t="s">
        <v>414</v>
      </c>
      <c r="CG11" s="1394">
        <v>45261</v>
      </c>
      <c r="CH11" s="1393" t="s">
        <v>10647</v>
      </c>
      <c r="CI11" s="1406">
        <v>120</v>
      </c>
      <c r="CJ11" s="1392" t="s">
        <v>414</v>
      </c>
      <c r="CK11" s="1326">
        <v>45627</v>
      </c>
      <c r="CL11" s="1393" t="s">
        <v>797</v>
      </c>
      <c r="CM11" s="1406">
        <v>60</v>
      </c>
      <c r="CN11" s="1392" t="s">
        <v>410</v>
      </c>
    </row>
    <row r="12" spans="1:92" s="1081" customFormat="1">
      <c r="A12" s="1077">
        <v>37591</v>
      </c>
      <c r="B12" s="1040" t="s">
        <v>10648</v>
      </c>
      <c r="C12" s="1036">
        <v>32</v>
      </c>
      <c r="D12" s="1034"/>
      <c r="E12" s="1017">
        <v>37956</v>
      </c>
      <c r="F12" s="1040" t="s">
        <v>864</v>
      </c>
      <c r="G12" s="1036">
        <v>30</v>
      </c>
      <c r="H12" s="1034">
        <v>60</v>
      </c>
      <c r="I12" s="1017">
        <v>37956</v>
      </c>
      <c r="J12" s="1040" t="s">
        <v>864</v>
      </c>
      <c r="K12" s="1036">
        <v>30</v>
      </c>
      <c r="L12" s="1034">
        <v>60</v>
      </c>
      <c r="M12" s="1017">
        <v>38692</v>
      </c>
      <c r="N12" s="1040" t="s">
        <v>10649</v>
      </c>
      <c r="O12" s="1036">
        <v>20</v>
      </c>
      <c r="P12" s="1034"/>
      <c r="Q12" s="1017">
        <v>39060</v>
      </c>
      <c r="R12" s="1040" t="s">
        <v>10650</v>
      </c>
      <c r="S12" s="1102">
        <v>48</v>
      </c>
      <c r="T12" s="1034"/>
      <c r="U12" s="1017">
        <v>39424</v>
      </c>
      <c r="V12" s="1040" t="s">
        <v>8180</v>
      </c>
      <c r="W12" s="1044">
        <v>15</v>
      </c>
      <c r="X12" s="1034"/>
      <c r="Y12" s="1017">
        <v>39792</v>
      </c>
      <c r="Z12" s="1040" t="s">
        <v>10651</v>
      </c>
      <c r="AA12" s="1043">
        <v>1</v>
      </c>
      <c r="AB12" s="1034"/>
      <c r="AC12" s="1017">
        <v>40159</v>
      </c>
      <c r="AD12" s="1040" t="s">
        <v>3606</v>
      </c>
      <c r="AE12" s="1043">
        <v>84</v>
      </c>
      <c r="AF12" s="1034"/>
      <c r="AG12" s="1017">
        <v>40516</v>
      </c>
      <c r="AH12" s="1040" t="s">
        <v>10652</v>
      </c>
      <c r="AI12" s="1043">
        <v>50</v>
      </c>
      <c r="AJ12" s="1034"/>
      <c r="AK12" s="1017">
        <v>40882</v>
      </c>
      <c r="AL12" s="1040" t="s">
        <v>1245</v>
      </c>
      <c r="AM12" s="1104">
        <v>12</v>
      </c>
      <c r="AN12" s="1034"/>
      <c r="AO12" s="1017">
        <v>41248</v>
      </c>
      <c r="AP12" s="1040" t="s">
        <v>1573</v>
      </c>
      <c r="AQ12" s="1104">
        <v>43</v>
      </c>
      <c r="AR12" s="1034"/>
      <c r="AS12" s="1017">
        <v>41615</v>
      </c>
      <c r="AT12" s="1040" t="s">
        <v>10653</v>
      </c>
      <c r="AU12" s="1104">
        <v>15</v>
      </c>
      <c r="AV12" s="1034"/>
      <c r="AW12" s="1017">
        <v>41981</v>
      </c>
      <c r="AX12" s="1019" t="s">
        <v>10654</v>
      </c>
      <c r="AY12" s="1104">
        <v>15</v>
      </c>
      <c r="AZ12" s="1034"/>
      <c r="BA12" s="1110">
        <v>42342</v>
      </c>
      <c r="BB12" s="1019" t="s">
        <v>10655</v>
      </c>
      <c r="BC12" s="1104">
        <v>45</v>
      </c>
      <c r="BD12" s="1034"/>
      <c r="BE12" s="1017">
        <v>42707</v>
      </c>
      <c r="BF12" s="1019" t="s">
        <v>10656</v>
      </c>
      <c r="BG12" s="1063">
        <v>3</v>
      </c>
      <c r="BH12" s="1034"/>
      <c r="BI12" s="1017">
        <v>43071</v>
      </c>
      <c r="BJ12" s="1019" t="s">
        <v>10657</v>
      </c>
      <c r="BK12" s="1063">
        <v>20</v>
      </c>
      <c r="BL12" s="1034"/>
      <c r="BM12" s="1391">
        <v>43435</v>
      </c>
      <c r="BN12" s="1393" t="s">
        <v>890</v>
      </c>
      <c r="BO12" s="1398">
        <v>13</v>
      </c>
      <c r="BP12" s="1399"/>
      <c r="BQ12" s="1391">
        <v>43806</v>
      </c>
      <c r="BR12" s="1393" t="s">
        <v>10658</v>
      </c>
      <c r="BS12" s="1400">
        <v>0</v>
      </c>
      <c r="BT12" s="1392" t="s">
        <v>700</v>
      </c>
      <c r="BU12" s="1391">
        <v>44170</v>
      </c>
      <c r="BV12" s="1393" t="s">
        <v>10659</v>
      </c>
      <c r="BW12" s="1406">
        <v>68</v>
      </c>
      <c r="BX12" s="1392" t="s">
        <v>701</v>
      </c>
      <c r="BY12" s="1391">
        <v>44533</v>
      </c>
      <c r="BZ12" s="1393" t="s">
        <v>10660</v>
      </c>
      <c r="CA12" s="1406">
        <v>35</v>
      </c>
      <c r="CB12" s="1392" t="s">
        <v>280</v>
      </c>
      <c r="CC12" s="1391">
        <v>44902</v>
      </c>
      <c r="CD12" s="1393" t="s">
        <v>797</v>
      </c>
      <c r="CE12" s="1406">
        <v>59</v>
      </c>
      <c r="CF12" s="1392" t="s">
        <v>410</v>
      </c>
      <c r="CG12" s="1394">
        <v>45261</v>
      </c>
      <c r="CH12" s="1393" t="s">
        <v>10661</v>
      </c>
      <c r="CI12" s="1406">
        <v>20</v>
      </c>
      <c r="CJ12" s="1392" t="s">
        <v>414</v>
      </c>
      <c r="CK12" s="1326">
        <v>45627</v>
      </c>
      <c r="CL12" s="1393" t="s">
        <v>10662</v>
      </c>
      <c r="CM12" s="1406">
        <v>60</v>
      </c>
      <c r="CN12" s="1392" t="s">
        <v>414</v>
      </c>
    </row>
    <row r="13" spans="1:92" s="1081" customFormat="1">
      <c r="A13" s="1077">
        <v>37591</v>
      </c>
      <c r="B13" s="1040" t="s">
        <v>7973</v>
      </c>
      <c r="C13" s="1036">
        <v>6</v>
      </c>
      <c r="D13" s="1034"/>
      <c r="E13" s="1017">
        <v>37956</v>
      </c>
      <c r="F13" s="1040" t="s">
        <v>419</v>
      </c>
      <c r="G13" s="1036">
        <v>192</v>
      </c>
      <c r="H13" s="1034">
        <v>0</v>
      </c>
      <c r="I13" s="1017">
        <v>37956</v>
      </c>
      <c r="J13" s="1040" t="s">
        <v>419</v>
      </c>
      <c r="K13" s="1036"/>
      <c r="L13" s="1034">
        <v>0</v>
      </c>
      <c r="M13" s="1017">
        <v>38696</v>
      </c>
      <c r="N13" s="1040" t="s">
        <v>8558</v>
      </c>
      <c r="O13" s="1036">
        <v>26</v>
      </c>
      <c r="P13" s="1034"/>
      <c r="Q13" s="1017">
        <v>39061</v>
      </c>
      <c r="R13" s="1040" t="s">
        <v>10663</v>
      </c>
      <c r="S13" s="1102">
        <v>10</v>
      </c>
      <c r="T13" s="1034"/>
      <c r="U13" s="1017">
        <v>39424</v>
      </c>
      <c r="V13" s="1040" t="s">
        <v>10664</v>
      </c>
      <c r="W13" s="1044">
        <v>12</v>
      </c>
      <c r="X13" s="1034"/>
      <c r="Y13" s="1017">
        <v>39792</v>
      </c>
      <c r="Z13" s="1040" t="s">
        <v>10665</v>
      </c>
      <c r="AA13" s="1043">
        <v>10</v>
      </c>
      <c r="AB13" s="1034"/>
      <c r="AC13" s="1017">
        <v>40160</v>
      </c>
      <c r="AD13" s="1040" t="s">
        <v>781</v>
      </c>
      <c r="AE13" s="1043">
        <v>61</v>
      </c>
      <c r="AF13" s="1034"/>
      <c r="AG13" s="1017">
        <v>40516</v>
      </c>
      <c r="AH13" s="1040" t="s">
        <v>3082</v>
      </c>
      <c r="AI13" s="1043">
        <v>40</v>
      </c>
      <c r="AJ13" s="1034"/>
      <c r="AK13" s="1017">
        <v>40885</v>
      </c>
      <c r="AL13" s="1040" t="s">
        <v>10666</v>
      </c>
      <c r="AM13" s="1104">
        <v>25</v>
      </c>
      <c r="AN13" s="1034"/>
      <c r="AO13" s="1017">
        <v>41249</v>
      </c>
      <c r="AP13" s="1040" t="s">
        <v>10667</v>
      </c>
      <c r="AQ13" s="1104">
        <v>849</v>
      </c>
      <c r="AR13" s="1034"/>
      <c r="AS13" s="1017">
        <v>41615</v>
      </c>
      <c r="AT13" s="1040" t="s">
        <v>10668</v>
      </c>
      <c r="AU13" s="1104">
        <v>20</v>
      </c>
      <c r="AV13" s="1034"/>
      <c r="AW13" s="1017">
        <v>41981</v>
      </c>
      <c r="AX13" s="1019" t="s">
        <v>10669</v>
      </c>
      <c r="AY13" s="1104">
        <v>29</v>
      </c>
      <c r="AZ13" s="1034"/>
      <c r="BA13" s="1017">
        <v>42343</v>
      </c>
      <c r="BB13" s="1019" t="s">
        <v>2240</v>
      </c>
      <c r="BC13" s="1104">
        <v>66</v>
      </c>
      <c r="BD13" s="1034"/>
      <c r="BE13" s="1017">
        <v>43074</v>
      </c>
      <c r="BF13" s="1019" t="s">
        <v>10670</v>
      </c>
      <c r="BG13" s="1063">
        <v>6</v>
      </c>
      <c r="BH13" s="1034"/>
      <c r="BI13" s="1017">
        <v>43072</v>
      </c>
      <c r="BJ13" s="1019" t="s">
        <v>797</v>
      </c>
      <c r="BK13" s="1063">
        <v>55</v>
      </c>
      <c r="BL13" s="1034"/>
      <c r="BM13" s="1391">
        <v>43436</v>
      </c>
      <c r="BN13" s="1393" t="s">
        <v>772</v>
      </c>
      <c r="BO13" s="1398">
        <v>13</v>
      </c>
      <c r="BP13" s="1399"/>
      <c r="BQ13" s="1391">
        <v>43806</v>
      </c>
      <c r="BR13" s="1393" t="s">
        <v>10671</v>
      </c>
      <c r="BS13" s="1400">
        <v>30</v>
      </c>
      <c r="BT13" s="1392" t="s">
        <v>280</v>
      </c>
      <c r="BU13" s="1391">
        <v>44170</v>
      </c>
      <c r="BV13" s="1393" t="s">
        <v>10672</v>
      </c>
      <c r="BW13" s="1406">
        <v>106</v>
      </c>
      <c r="BX13" s="1392" t="s">
        <v>701</v>
      </c>
      <c r="BY13" s="1391">
        <v>44533</v>
      </c>
      <c r="BZ13" s="1393" t="s">
        <v>10673</v>
      </c>
      <c r="CA13" s="1406">
        <v>35</v>
      </c>
      <c r="CB13" s="1392" t="s">
        <v>280</v>
      </c>
      <c r="CC13" s="1391">
        <v>44902</v>
      </c>
      <c r="CD13" s="1393" t="s">
        <v>10674</v>
      </c>
      <c r="CE13" s="1406">
        <v>60</v>
      </c>
      <c r="CF13" s="1392" t="s">
        <v>280</v>
      </c>
      <c r="CG13" s="1394">
        <v>45261</v>
      </c>
      <c r="CH13" s="1393" t="s">
        <v>845</v>
      </c>
      <c r="CI13" s="1406">
        <v>17</v>
      </c>
      <c r="CJ13" s="1392" t="s">
        <v>414</v>
      </c>
      <c r="CK13" s="1326">
        <v>45628</v>
      </c>
      <c r="CL13" s="1393" t="s">
        <v>10675</v>
      </c>
      <c r="CM13" s="1406">
        <v>210</v>
      </c>
      <c r="CN13" s="1392" t="s">
        <v>712</v>
      </c>
    </row>
    <row r="14" spans="1:92" s="1081" customFormat="1">
      <c r="A14" s="1077">
        <v>37591</v>
      </c>
      <c r="B14" s="1040" t="s">
        <v>915</v>
      </c>
      <c r="C14" s="1036">
        <v>15</v>
      </c>
      <c r="D14" s="1034"/>
      <c r="E14" s="1017">
        <v>37956</v>
      </c>
      <c r="F14" s="1040" t="s">
        <v>2447</v>
      </c>
      <c r="G14" s="1036">
        <v>500</v>
      </c>
      <c r="H14" s="1034">
        <v>260</v>
      </c>
      <c r="I14" s="1017">
        <v>37956</v>
      </c>
      <c r="J14" s="1040" t="s">
        <v>2447</v>
      </c>
      <c r="K14" s="1036"/>
      <c r="L14" s="1034"/>
      <c r="M14" s="1017">
        <v>38696</v>
      </c>
      <c r="N14" s="1040" t="s">
        <v>10676</v>
      </c>
      <c r="O14" s="1036">
        <v>15</v>
      </c>
      <c r="P14" s="1034"/>
      <c r="Q14" s="1017">
        <v>39061</v>
      </c>
      <c r="R14" s="1040" t="s">
        <v>10677</v>
      </c>
      <c r="S14" s="1102">
        <v>17</v>
      </c>
      <c r="T14" s="1034"/>
      <c r="U14" s="1017">
        <v>39425</v>
      </c>
      <c r="V14" s="1040" t="s">
        <v>2005</v>
      </c>
      <c r="W14" s="1044">
        <v>15</v>
      </c>
      <c r="X14" s="1034"/>
      <c r="Y14" s="1017">
        <v>39793</v>
      </c>
      <c r="Z14" s="1040" t="s">
        <v>767</v>
      </c>
      <c r="AA14" s="1043">
        <v>9</v>
      </c>
      <c r="AB14" s="1034"/>
      <c r="AC14" s="1017">
        <v>40160</v>
      </c>
      <c r="AD14" s="1040" t="s">
        <v>1911</v>
      </c>
      <c r="AE14" s="1043">
        <v>30</v>
      </c>
      <c r="AF14" s="1034"/>
      <c r="AG14" s="1017">
        <v>40517</v>
      </c>
      <c r="AH14" s="1040" t="s">
        <v>10678</v>
      </c>
      <c r="AI14" s="1043">
        <v>13</v>
      </c>
      <c r="AJ14" s="1034"/>
      <c r="AK14" s="1017">
        <v>40886</v>
      </c>
      <c r="AL14" s="1040" t="s">
        <v>781</v>
      </c>
      <c r="AM14" s="1043">
        <v>107</v>
      </c>
      <c r="AN14" s="1034"/>
      <c r="AO14" s="1017">
        <v>41249</v>
      </c>
      <c r="AP14" s="1040" t="s">
        <v>10679</v>
      </c>
      <c r="AQ14" s="1104">
        <v>103</v>
      </c>
      <c r="AR14" s="1034"/>
      <c r="AS14" s="1017">
        <v>41615</v>
      </c>
      <c r="AT14" s="1040" t="s">
        <v>10680</v>
      </c>
      <c r="AU14" s="1104">
        <v>33</v>
      </c>
      <c r="AV14" s="1034"/>
      <c r="AW14" s="1017">
        <v>41985</v>
      </c>
      <c r="AX14" s="1019" t="s">
        <v>802</v>
      </c>
      <c r="AY14" s="1104">
        <v>45</v>
      </c>
      <c r="AZ14" s="1034"/>
      <c r="BA14" s="1017">
        <v>42343</v>
      </c>
      <c r="BB14" s="1019" t="s">
        <v>6025</v>
      </c>
      <c r="BC14" s="1104">
        <v>40</v>
      </c>
      <c r="BD14" s="1034"/>
      <c r="BE14" s="1017">
        <v>42710</v>
      </c>
      <c r="BF14" s="1019" t="s">
        <v>10681</v>
      </c>
      <c r="BG14" s="1063">
        <v>16</v>
      </c>
      <c r="BH14" s="1034"/>
      <c r="BI14" s="1017">
        <v>43072</v>
      </c>
      <c r="BJ14" s="1019" t="s">
        <v>772</v>
      </c>
      <c r="BK14" s="1063">
        <v>78</v>
      </c>
      <c r="BL14" s="1034"/>
      <c r="BM14" s="1391">
        <v>43436</v>
      </c>
      <c r="BN14" s="1393" t="s">
        <v>772</v>
      </c>
      <c r="BO14" s="1398">
        <v>12</v>
      </c>
      <c r="BP14" s="1399"/>
      <c r="BQ14" s="1391">
        <v>43806</v>
      </c>
      <c r="BR14" s="1393" t="s">
        <v>10682</v>
      </c>
      <c r="BS14" s="1400">
        <v>30</v>
      </c>
      <c r="BT14" s="1392" t="s">
        <v>280</v>
      </c>
      <c r="BU14" s="1391">
        <v>44170</v>
      </c>
      <c r="BV14" s="1389" t="s">
        <v>10683</v>
      </c>
      <c r="BW14" s="1406">
        <v>59</v>
      </c>
      <c r="BX14" s="1392" t="s">
        <v>701</v>
      </c>
      <c r="BY14" s="1391">
        <v>44533</v>
      </c>
      <c r="BZ14" s="1389" t="s">
        <v>10684</v>
      </c>
      <c r="CA14" s="1406">
        <v>18</v>
      </c>
      <c r="CB14" s="1392" t="s">
        <v>280</v>
      </c>
      <c r="CC14" s="1391">
        <v>44902</v>
      </c>
      <c r="CD14" s="1389" t="s">
        <v>10685</v>
      </c>
      <c r="CE14" s="1406">
        <v>13</v>
      </c>
      <c r="CF14" s="1392" t="s">
        <v>280</v>
      </c>
      <c r="CG14" s="1391">
        <v>45268</v>
      </c>
      <c r="CH14" s="1393" t="s">
        <v>10686</v>
      </c>
      <c r="CI14" s="1406">
        <v>20</v>
      </c>
      <c r="CJ14" s="1392" t="s">
        <v>414</v>
      </c>
      <c r="CK14" s="1326">
        <v>45628</v>
      </c>
      <c r="CL14" s="1393" t="s">
        <v>10687</v>
      </c>
      <c r="CM14" s="1406">
        <v>45</v>
      </c>
      <c r="CN14" s="1392" t="s">
        <v>700</v>
      </c>
    </row>
    <row r="15" spans="1:92" s="1081" customFormat="1">
      <c r="A15" s="1077">
        <v>37591</v>
      </c>
      <c r="B15" s="1040" t="s">
        <v>10421</v>
      </c>
      <c r="C15" s="1036">
        <v>58</v>
      </c>
      <c r="D15" s="1034"/>
      <c r="E15" s="1017">
        <v>37957</v>
      </c>
      <c r="F15" s="1040" t="s">
        <v>1591</v>
      </c>
      <c r="G15" s="1036">
        <v>8</v>
      </c>
      <c r="H15" s="1034"/>
      <c r="I15" s="1017">
        <v>37956</v>
      </c>
      <c r="J15" s="1040" t="s">
        <v>2567</v>
      </c>
      <c r="K15" s="1036">
        <v>11</v>
      </c>
      <c r="L15" s="1034"/>
      <c r="M15" s="1017">
        <v>38696</v>
      </c>
      <c r="N15" s="1040" t="s">
        <v>10688</v>
      </c>
      <c r="O15" s="1036">
        <v>24</v>
      </c>
      <c r="P15" s="1034"/>
      <c r="Q15" s="1017">
        <v>39064</v>
      </c>
      <c r="R15" s="1040" t="s">
        <v>797</v>
      </c>
      <c r="S15" s="1102">
        <v>35</v>
      </c>
      <c r="T15" s="1034"/>
      <c r="U15" s="1017">
        <v>39425</v>
      </c>
      <c r="V15" s="1040" t="s">
        <v>10689</v>
      </c>
      <c r="W15" s="1036">
        <v>25</v>
      </c>
      <c r="X15" s="1034"/>
      <c r="Y15" s="1017">
        <v>39795</v>
      </c>
      <c r="Z15" s="1040" t="s">
        <v>10690</v>
      </c>
      <c r="AA15" s="1043">
        <v>6</v>
      </c>
      <c r="AB15" s="1034"/>
      <c r="AC15" s="1017">
        <v>40160</v>
      </c>
      <c r="AD15" s="1040" t="s">
        <v>2054</v>
      </c>
      <c r="AE15" s="1043">
        <v>33</v>
      </c>
      <c r="AF15" s="1034"/>
      <c r="AG15" s="1017">
        <v>40517</v>
      </c>
      <c r="AH15" s="1040" t="s">
        <v>10691</v>
      </c>
      <c r="AI15" s="1043">
        <v>40</v>
      </c>
      <c r="AJ15" s="1034"/>
      <c r="AK15" s="1017">
        <v>40887</v>
      </c>
      <c r="AL15" s="1040" t="s">
        <v>4496</v>
      </c>
      <c r="AM15" s="1043">
        <v>12</v>
      </c>
      <c r="AN15" s="1034"/>
      <c r="AO15" s="1017">
        <v>41249</v>
      </c>
      <c r="AP15" s="1040" t="s">
        <v>10692</v>
      </c>
      <c r="AQ15" s="1104">
        <v>7</v>
      </c>
      <c r="AR15" s="1034"/>
      <c r="AS15" s="1017">
        <v>41615</v>
      </c>
      <c r="AT15" s="1040" t="s">
        <v>10693</v>
      </c>
      <c r="AU15" s="1043">
        <v>11</v>
      </c>
      <c r="AV15" s="1034"/>
      <c r="AW15" s="1017">
        <v>41985</v>
      </c>
      <c r="AX15" s="1019" t="s">
        <v>925</v>
      </c>
      <c r="AY15" s="1043">
        <v>10</v>
      </c>
      <c r="AZ15" s="1034"/>
      <c r="BA15" s="1017">
        <v>42343</v>
      </c>
      <c r="BB15" s="1019" t="s">
        <v>10694</v>
      </c>
      <c r="BC15" s="1043">
        <v>55</v>
      </c>
      <c r="BD15" s="1034"/>
      <c r="BE15" s="1017">
        <v>42710</v>
      </c>
      <c r="BF15" s="1019" t="s">
        <v>10695</v>
      </c>
      <c r="BG15" s="1063">
        <v>13</v>
      </c>
      <c r="BH15" s="1034"/>
      <c r="BI15" s="1017">
        <v>43072</v>
      </c>
      <c r="BJ15" s="1019" t="s">
        <v>872</v>
      </c>
      <c r="BK15" s="1063">
        <v>34</v>
      </c>
      <c r="BL15" s="1034"/>
      <c r="BM15" s="1391">
        <v>43436</v>
      </c>
      <c r="BN15" s="1393" t="s">
        <v>10696</v>
      </c>
      <c r="BO15" s="1398">
        <v>7</v>
      </c>
      <c r="BP15" s="1399"/>
      <c r="BQ15" s="1391">
        <v>43806</v>
      </c>
      <c r="BR15" s="1393" t="s">
        <v>772</v>
      </c>
      <c r="BS15" s="1400">
        <v>49</v>
      </c>
      <c r="BT15" s="1392" t="s">
        <v>414</v>
      </c>
      <c r="BU15" s="1391">
        <v>44170</v>
      </c>
      <c r="BV15" s="1393" t="s">
        <v>8200</v>
      </c>
      <c r="BW15" s="1406">
        <v>51</v>
      </c>
      <c r="BX15" s="1392" t="s">
        <v>414</v>
      </c>
      <c r="BY15" s="1391">
        <v>44533</v>
      </c>
      <c r="BZ15" s="1393" t="s">
        <v>10697</v>
      </c>
      <c r="CA15" s="1406">
        <v>27</v>
      </c>
      <c r="CB15" s="1392" t="s">
        <v>280</v>
      </c>
      <c r="CC15" s="1391">
        <v>44902</v>
      </c>
      <c r="CD15" s="1393" t="s">
        <v>10698</v>
      </c>
      <c r="CE15" s="1406">
        <v>30</v>
      </c>
      <c r="CF15" s="1392" t="s">
        <v>280</v>
      </c>
      <c r="CG15" s="1391">
        <v>45268</v>
      </c>
      <c r="CH15" s="1393" t="s">
        <v>797</v>
      </c>
      <c r="CI15" s="1406">
        <v>67</v>
      </c>
      <c r="CJ15" s="1392" t="s">
        <v>410</v>
      </c>
      <c r="CK15" s="1391">
        <v>45632</v>
      </c>
      <c r="CL15" s="1393" t="s">
        <v>845</v>
      </c>
      <c r="CM15" s="1406">
        <v>21</v>
      </c>
      <c r="CN15" s="1392" t="s">
        <v>414</v>
      </c>
    </row>
    <row r="16" spans="1:92" s="1081" customFormat="1">
      <c r="A16" s="1077">
        <v>37591</v>
      </c>
      <c r="B16" s="1040" t="s">
        <v>410</v>
      </c>
      <c r="C16" s="1036">
        <v>13</v>
      </c>
      <c r="D16" s="1034">
        <v>28</v>
      </c>
      <c r="E16" s="1017">
        <v>37958</v>
      </c>
      <c r="F16" s="1040" t="s">
        <v>797</v>
      </c>
      <c r="G16" s="1036">
        <v>12</v>
      </c>
      <c r="H16" s="1034"/>
      <c r="I16" s="1017">
        <v>38323</v>
      </c>
      <c r="J16" s="1040" t="s">
        <v>10699</v>
      </c>
      <c r="K16" s="1036">
        <v>11</v>
      </c>
      <c r="L16" s="1034"/>
      <c r="M16" s="1017">
        <v>38696</v>
      </c>
      <c r="N16" s="1040" t="s">
        <v>10700</v>
      </c>
      <c r="O16" s="1036">
        <v>8</v>
      </c>
      <c r="P16" s="1034"/>
      <c r="Q16" s="1017">
        <v>39066</v>
      </c>
      <c r="R16" s="1040" t="s">
        <v>802</v>
      </c>
      <c r="S16" s="1102">
        <v>35</v>
      </c>
      <c r="T16" s="1034"/>
      <c r="U16" s="1017">
        <v>39425</v>
      </c>
      <c r="V16" s="1040" t="s">
        <v>10701</v>
      </c>
      <c r="W16" s="1036">
        <v>60</v>
      </c>
      <c r="X16" s="1034"/>
      <c r="Y16" s="1017">
        <v>39796</v>
      </c>
      <c r="Z16" s="1040" t="s">
        <v>781</v>
      </c>
      <c r="AA16" s="1043">
        <v>80</v>
      </c>
      <c r="AB16" s="1034"/>
      <c r="AC16" s="1017">
        <v>40160</v>
      </c>
      <c r="AD16" s="1040" t="s">
        <v>797</v>
      </c>
      <c r="AE16" s="1043">
        <v>36</v>
      </c>
      <c r="AF16" s="1034"/>
      <c r="AG16" s="1017">
        <v>40517</v>
      </c>
      <c r="AH16" s="1040" t="s">
        <v>10702</v>
      </c>
      <c r="AI16" s="1043">
        <v>12</v>
      </c>
      <c r="AJ16" s="1034"/>
      <c r="AK16" s="1017">
        <v>40888</v>
      </c>
      <c r="AL16" s="1040" t="s">
        <v>797</v>
      </c>
      <c r="AM16" s="1043">
        <v>52</v>
      </c>
      <c r="AN16" s="1034"/>
      <c r="AO16" s="1017">
        <v>41249</v>
      </c>
      <c r="AP16" s="1040" t="s">
        <v>10703</v>
      </c>
      <c r="AQ16" s="1043">
        <v>5</v>
      </c>
      <c r="AR16" s="1034"/>
      <c r="AS16" s="1017">
        <v>41615</v>
      </c>
      <c r="AT16" s="1040" t="s">
        <v>754</v>
      </c>
      <c r="AU16" s="1043">
        <v>110</v>
      </c>
      <c r="AV16" s="1034"/>
      <c r="AW16" s="1017">
        <v>41985</v>
      </c>
      <c r="AX16" s="1019" t="s">
        <v>998</v>
      </c>
      <c r="AY16" s="1043">
        <v>20</v>
      </c>
      <c r="AZ16" s="1034"/>
      <c r="BA16" s="1017">
        <v>42343</v>
      </c>
      <c r="BB16" s="1019" t="s">
        <v>754</v>
      </c>
      <c r="BC16" s="1043">
        <v>124</v>
      </c>
      <c r="BD16" s="1034"/>
      <c r="BE16" s="1017">
        <v>42711</v>
      </c>
      <c r="BF16" s="1019" t="s">
        <v>10704</v>
      </c>
      <c r="BG16" s="1063">
        <v>8</v>
      </c>
      <c r="BH16" s="1034"/>
      <c r="BI16" s="1017">
        <v>43073</v>
      </c>
      <c r="BJ16" s="1019" t="s">
        <v>10705</v>
      </c>
      <c r="BK16" s="1063"/>
      <c r="BL16" s="1034"/>
      <c r="BM16" s="1391">
        <v>43436</v>
      </c>
      <c r="BN16" s="1393" t="s">
        <v>797</v>
      </c>
      <c r="BO16" s="1398">
        <v>52</v>
      </c>
      <c r="BP16" s="1399"/>
      <c r="BQ16" s="1391">
        <v>43806</v>
      </c>
      <c r="BR16" s="1393" t="s">
        <v>872</v>
      </c>
      <c r="BS16" s="1400">
        <v>34</v>
      </c>
      <c r="BT16" s="1392" t="s">
        <v>414</v>
      </c>
      <c r="BU16" s="1391">
        <v>44170</v>
      </c>
      <c r="BV16" s="1393" t="s">
        <v>10706</v>
      </c>
      <c r="BW16" s="1406">
        <v>16</v>
      </c>
      <c r="BX16" s="1392" t="s">
        <v>414</v>
      </c>
      <c r="BY16" s="1391">
        <v>44533</v>
      </c>
      <c r="BZ16" s="1393" t="s">
        <v>10707</v>
      </c>
      <c r="CA16" s="1406">
        <v>47</v>
      </c>
      <c r="CB16" s="1392" t="s">
        <v>280</v>
      </c>
      <c r="CC16" s="1391">
        <v>44902</v>
      </c>
      <c r="CD16" s="1393" t="s">
        <v>10708</v>
      </c>
      <c r="CE16" s="1406">
        <v>20</v>
      </c>
      <c r="CF16" s="1392" t="s">
        <v>280</v>
      </c>
      <c r="CG16" s="1391">
        <v>45269</v>
      </c>
      <c r="CH16" s="1393" t="s">
        <v>772</v>
      </c>
      <c r="CI16" s="1406">
        <v>38</v>
      </c>
      <c r="CJ16" s="1392" t="s">
        <v>414</v>
      </c>
      <c r="CK16" s="1391">
        <v>45632</v>
      </c>
      <c r="CL16" s="1393" t="s">
        <v>843</v>
      </c>
      <c r="CM16" s="1406">
        <v>61</v>
      </c>
      <c r="CN16" s="1392" t="s">
        <v>414</v>
      </c>
    </row>
    <row r="17" spans="1:92" s="1081" customFormat="1">
      <c r="A17" s="1077">
        <v>37592</v>
      </c>
      <c r="B17" s="1040" t="s">
        <v>10709</v>
      </c>
      <c r="C17" s="1036">
        <v>10</v>
      </c>
      <c r="D17" s="1034"/>
      <c r="E17" s="1017">
        <v>37960</v>
      </c>
      <c r="F17" s="1040" t="s">
        <v>10710</v>
      </c>
      <c r="G17" s="1036">
        <v>200</v>
      </c>
      <c r="H17" s="1034"/>
      <c r="I17" s="1017">
        <v>38324</v>
      </c>
      <c r="J17" s="1040" t="s">
        <v>802</v>
      </c>
      <c r="K17" s="1036">
        <v>28</v>
      </c>
      <c r="L17" s="1034"/>
      <c r="M17" s="1017">
        <v>38696</v>
      </c>
      <c r="N17" s="1040" t="s">
        <v>10711</v>
      </c>
      <c r="O17" s="1036">
        <v>6</v>
      </c>
      <c r="P17" s="1034"/>
      <c r="Q17" s="1017">
        <v>39066</v>
      </c>
      <c r="R17" s="1040" t="s">
        <v>900</v>
      </c>
      <c r="S17" s="1102">
        <v>3</v>
      </c>
      <c r="T17" s="1034"/>
      <c r="U17" s="1017">
        <v>39425</v>
      </c>
      <c r="V17" s="1040" t="s">
        <v>867</v>
      </c>
      <c r="W17" s="1036">
        <v>34</v>
      </c>
      <c r="X17" s="1034"/>
      <c r="Y17" s="1017">
        <v>39796</v>
      </c>
      <c r="Z17" s="1040" t="s">
        <v>937</v>
      </c>
      <c r="AA17" s="1043">
        <v>10</v>
      </c>
      <c r="AB17" s="1034"/>
      <c r="AC17" s="1017">
        <v>40163</v>
      </c>
      <c r="AD17" s="1040" t="s">
        <v>10712</v>
      </c>
      <c r="AE17" s="1043">
        <v>21</v>
      </c>
      <c r="AF17" s="1034"/>
      <c r="AG17" s="1017">
        <v>40517</v>
      </c>
      <c r="AH17" s="1040" t="s">
        <v>781</v>
      </c>
      <c r="AI17" s="1043">
        <v>90</v>
      </c>
      <c r="AJ17" s="1034"/>
      <c r="AK17" s="1017">
        <v>40889</v>
      </c>
      <c r="AL17" s="1040" t="s">
        <v>781</v>
      </c>
      <c r="AM17" s="1043">
        <v>12</v>
      </c>
      <c r="AN17" s="1034"/>
      <c r="AO17" s="1017">
        <v>41249</v>
      </c>
      <c r="AP17" s="1040" t="s">
        <v>10713</v>
      </c>
      <c r="AQ17" s="1043">
        <v>4</v>
      </c>
      <c r="AR17" s="1034"/>
      <c r="AS17" s="1017">
        <v>41615</v>
      </c>
      <c r="AT17" s="1040" t="s">
        <v>802</v>
      </c>
      <c r="AU17" s="1043">
        <v>58</v>
      </c>
      <c r="AV17" s="1034"/>
      <c r="AW17" s="1017">
        <v>41986</v>
      </c>
      <c r="AX17" s="1019" t="s">
        <v>754</v>
      </c>
      <c r="AY17" s="1043">
        <v>128</v>
      </c>
      <c r="AZ17" s="1034"/>
      <c r="BA17" s="1017">
        <v>42343</v>
      </c>
      <c r="BB17" s="1019" t="s">
        <v>954</v>
      </c>
      <c r="BC17" s="1043">
        <v>18</v>
      </c>
      <c r="BD17" s="1034"/>
      <c r="BE17" s="1017">
        <v>42711</v>
      </c>
      <c r="BF17" s="1019" t="s">
        <v>10714</v>
      </c>
      <c r="BG17" s="1063">
        <v>8</v>
      </c>
      <c r="BH17" s="1034"/>
      <c r="BI17" s="1017">
        <v>43073</v>
      </c>
      <c r="BJ17" s="1019" t="s">
        <v>10715</v>
      </c>
      <c r="BK17" s="1063">
        <v>25</v>
      </c>
      <c r="BL17" s="1034"/>
      <c r="BM17" s="1391">
        <v>43437</v>
      </c>
      <c r="BN17" s="1393" t="s">
        <v>1303</v>
      </c>
      <c r="BO17" s="1398">
        <v>16</v>
      </c>
      <c r="BP17" s="1399"/>
      <c r="BQ17" s="1391">
        <v>43806</v>
      </c>
      <c r="BR17" s="1393" t="s">
        <v>845</v>
      </c>
      <c r="BS17" s="1400">
        <v>27</v>
      </c>
      <c r="BT17" s="1392" t="s">
        <v>414</v>
      </c>
      <c r="BU17" s="1391">
        <v>44170</v>
      </c>
      <c r="BV17" s="1393" t="s">
        <v>10716</v>
      </c>
      <c r="BW17" s="1406">
        <v>10</v>
      </c>
      <c r="BX17" s="1392" t="s">
        <v>414</v>
      </c>
      <c r="BY17" s="1391">
        <v>44533</v>
      </c>
      <c r="BZ17" s="1393" t="s">
        <v>10717</v>
      </c>
      <c r="CA17" s="1406">
        <v>50</v>
      </c>
      <c r="CB17" s="1392" t="s">
        <v>280</v>
      </c>
      <c r="CC17" s="1391">
        <v>44902</v>
      </c>
      <c r="CD17" s="1393" t="s">
        <v>7776</v>
      </c>
      <c r="CE17" s="1406">
        <v>20</v>
      </c>
      <c r="CF17" s="1392" t="s">
        <v>280</v>
      </c>
      <c r="CG17" s="1391">
        <v>45269</v>
      </c>
      <c r="CH17" s="1393" t="s">
        <v>948</v>
      </c>
      <c r="CI17" s="1406">
        <v>66</v>
      </c>
      <c r="CJ17" s="1392" t="s">
        <v>414</v>
      </c>
      <c r="CK17" s="1391">
        <v>45632</v>
      </c>
      <c r="CL17" s="1393" t="s">
        <v>10718</v>
      </c>
      <c r="CM17" s="1406">
        <v>24</v>
      </c>
      <c r="CN17" s="1392" t="s">
        <v>414</v>
      </c>
    </row>
    <row r="18" spans="1:92" s="1081" customFormat="1">
      <c r="A18" s="1077">
        <v>37593</v>
      </c>
      <c r="B18" s="1040" t="s">
        <v>10719</v>
      </c>
      <c r="C18" s="1036">
        <v>50</v>
      </c>
      <c r="D18" s="1034"/>
      <c r="E18" s="1017">
        <v>37960</v>
      </c>
      <c r="F18" s="1040" t="s">
        <v>802</v>
      </c>
      <c r="G18" s="1036">
        <v>25</v>
      </c>
      <c r="H18" s="1034"/>
      <c r="I18" s="1017">
        <v>38324</v>
      </c>
      <c r="J18" s="1040" t="s">
        <v>10720</v>
      </c>
      <c r="K18" s="1036">
        <v>0</v>
      </c>
      <c r="L18" s="1034"/>
      <c r="M18" s="1017">
        <v>38696</v>
      </c>
      <c r="N18" s="1040" t="s">
        <v>10721</v>
      </c>
      <c r="O18" s="1036">
        <v>7</v>
      </c>
      <c r="P18" s="1034"/>
      <c r="Q18" s="1017">
        <v>39067</v>
      </c>
      <c r="R18" s="1040" t="s">
        <v>10722</v>
      </c>
      <c r="S18" s="1102">
        <v>2</v>
      </c>
      <c r="T18" s="1034"/>
      <c r="U18" s="1017">
        <v>39425</v>
      </c>
      <c r="V18" s="1040" t="s">
        <v>937</v>
      </c>
      <c r="W18" s="1036">
        <v>14</v>
      </c>
      <c r="X18" s="1034"/>
      <c r="Y18" s="1017">
        <v>39796</v>
      </c>
      <c r="Z18" s="1040" t="s">
        <v>797</v>
      </c>
      <c r="AA18" s="1043">
        <v>16</v>
      </c>
      <c r="AB18" s="1034"/>
      <c r="AC18" s="1017">
        <v>40163</v>
      </c>
      <c r="AD18" s="1040" t="s">
        <v>10723</v>
      </c>
      <c r="AE18" s="1043">
        <v>16</v>
      </c>
      <c r="AF18" s="1034"/>
      <c r="AG18" s="1017">
        <v>40517</v>
      </c>
      <c r="AH18" s="1040" t="s">
        <v>10724</v>
      </c>
      <c r="AI18" s="1043">
        <v>12</v>
      </c>
      <c r="AJ18" s="1034"/>
      <c r="AK18" s="1017">
        <v>40889</v>
      </c>
      <c r="AL18" s="1040" t="s">
        <v>10725</v>
      </c>
      <c r="AM18" s="1043">
        <v>10</v>
      </c>
      <c r="AN18" s="1034"/>
      <c r="AO18" s="1017">
        <v>41249</v>
      </c>
      <c r="AP18" s="1040" t="s">
        <v>797</v>
      </c>
      <c r="AQ18" s="1043">
        <v>62</v>
      </c>
      <c r="AR18" s="1034"/>
      <c r="AS18" s="1017">
        <v>41617</v>
      </c>
      <c r="AT18" s="1040" t="s">
        <v>10726</v>
      </c>
      <c r="AU18" s="1043">
        <v>9</v>
      </c>
      <c r="AV18" s="1034"/>
      <c r="AW18" s="1017">
        <v>41986</v>
      </c>
      <c r="AX18" s="1019" t="s">
        <v>10727</v>
      </c>
      <c r="AY18" s="1043">
        <v>120</v>
      </c>
      <c r="AZ18" s="1034"/>
      <c r="BA18" s="1017">
        <v>42343</v>
      </c>
      <c r="BB18" s="1019" t="s">
        <v>10728</v>
      </c>
      <c r="BC18" s="1043">
        <v>50</v>
      </c>
      <c r="BD18" s="1034"/>
      <c r="BE18" s="1017">
        <v>42712</v>
      </c>
      <c r="BF18" s="1019" t="s">
        <v>10729</v>
      </c>
      <c r="BG18" s="1063">
        <v>21</v>
      </c>
      <c r="BH18" s="1034"/>
      <c r="BI18" s="1017">
        <v>43073</v>
      </c>
      <c r="BJ18" s="1019" t="s">
        <v>10730</v>
      </c>
      <c r="BK18" s="1063">
        <v>135</v>
      </c>
      <c r="BL18" s="1034"/>
      <c r="BM18" s="1391">
        <v>43437</v>
      </c>
      <c r="BN18" s="1393" t="s">
        <v>10731</v>
      </c>
      <c r="BO18" s="1398">
        <v>30</v>
      </c>
      <c r="BP18" s="1399"/>
      <c r="BQ18" s="1391">
        <v>43806</v>
      </c>
      <c r="BR18" s="1393" t="s">
        <v>948</v>
      </c>
      <c r="BS18" s="1409">
        <v>16</v>
      </c>
      <c r="BT18" s="1392" t="s">
        <v>414</v>
      </c>
      <c r="BU18" s="1391">
        <v>44170</v>
      </c>
      <c r="BV18" s="1393" t="s">
        <v>10732</v>
      </c>
      <c r="BW18" s="1406">
        <v>5</v>
      </c>
      <c r="BX18" s="1392" t="s">
        <v>414</v>
      </c>
      <c r="BY18" s="1391">
        <v>44533</v>
      </c>
      <c r="BZ18" s="1393" t="s">
        <v>10733</v>
      </c>
      <c r="CA18" s="1406">
        <v>55</v>
      </c>
      <c r="CB18" s="1392" t="s">
        <v>280</v>
      </c>
      <c r="CC18" s="1391">
        <v>44902</v>
      </c>
      <c r="CD18" s="1393" t="s">
        <v>10734</v>
      </c>
      <c r="CE18" s="1406">
        <v>44</v>
      </c>
      <c r="CF18" s="1392" t="s">
        <v>280</v>
      </c>
      <c r="CG18" s="1391">
        <v>45269</v>
      </c>
      <c r="CH18" s="1393" t="s">
        <v>845</v>
      </c>
      <c r="CI18" s="1406">
        <v>38</v>
      </c>
      <c r="CJ18" s="1392" t="s">
        <v>414</v>
      </c>
      <c r="CK18" s="1391">
        <v>45632</v>
      </c>
      <c r="CL18" s="1393" t="s">
        <v>10735</v>
      </c>
      <c r="CM18" s="1406">
        <v>16</v>
      </c>
      <c r="CN18" s="1392" t="s">
        <v>414</v>
      </c>
    </row>
    <row r="19" spans="1:92" s="1081" customFormat="1">
      <c r="A19" s="1077">
        <v>37593</v>
      </c>
      <c r="B19" s="1040" t="s">
        <v>410</v>
      </c>
      <c r="C19" s="1036">
        <v>24</v>
      </c>
      <c r="D19" s="1034"/>
      <c r="E19" s="1017">
        <v>37960</v>
      </c>
      <c r="F19" s="1040" t="s">
        <v>10736</v>
      </c>
      <c r="G19" s="1036">
        <v>6</v>
      </c>
      <c r="H19" s="1034"/>
      <c r="I19" s="1017">
        <v>38325</v>
      </c>
      <c r="J19" s="1040" t="s">
        <v>867</v>
      </c>
      <c r="K19" s="1036">
        <v>38</v>
      </c>
      <c r="L19" s="1034"/>
      <c r="M19" s="1017">
        <v>38696</v>
      </c>
      <c r="N19" s="1040" t="s">
        <v>10737</v>
      </c>
      <c r="O19" s="1036">
        <v>7</v>
      </c>
      <c r="P19" s="1034"/>
      <c r="Q19" s="1017">
        <v>39067</v>
      </c>
      <c r="R19" s="1040" t="s">
        <v>786</v>
      </c>
      <c r="S19" s="1102">
        <v>31</v>
      </c>
      <c r="T19" s="1034"/>
      <c r="U19" s="1017">
        <v>39425</v>
      </c>
      <c r="V19" s="1040" t="s">
        <v>10738</v>
      </c>
      <c r="W19" s="1036">
        <v>10</v>
      </c>
      <c r="X19" s="1034"/>
      <c r="Y19" s="1017">
        <v>39797</v>
      </c>
      <c r="Z19" s="1040" t="s">
        <v>10739</v>
      </c>
      <c r="AA19" s="1043">
        <v>18</v>
      </c>
      <c r="AB19" s="1034"/>
      <c r="AC19" s="1017">
        <v>40164</v>
      </c>
      <c r="AD19" s="1040" t="s">
        <v>746</v>
      </c>
      <c r="AE19" s="1043">
        <v>32</v>
      </c>
      <c r="AF19" s="1034"/>
      <c r="AG19" s="1017">
        <v>40517</v>
      </c>
      <c r="AH19" s="1040" t="s">
        <v>867</v>
      </c>
      <c r="AI19" s="1043">
        <v>35</v>
      </c>
      <c r="AJ19" s="1034"/>
      <c r="AK19" s="1017">
        <v>40889</v>
      </c>
      <c r="AL19" s="1040" t="s">
        <v>10740</v>
      </c>
      <c r="AM19" s="1043">
        <v>1</v>
      </c>
      <c r="AN19" s="1034"/>
      <c r="AO19" s="1017">
        <v>41250</v>
      </c>
      <c r="AP19" s="1040" t="s">
        <v>10741</v>
      </c>
      <c r="AQ19" s="1043">
        <v>22</v>
      </c>
      <c r="AR19" s="1034"/>
      <c r="AS19" s="1017">
        <v>41617</v>
      </c>
      <c r="AT19" s="1040" t="s">
        <v>10742</v>
      </c>
      <c r="AU19" s="1043">
        <v>8</v>
      </c>
      <c r="AV19" s="1034"/>
      <c r="AW19" s="1017">
        <v>41986</v>
      </c>
      <c r="AX19" s="1019" t="s">
        <v>10743</v>
      </c>
      <c r="AY19" s="1043">
        <v>120</v>
      </c>
      <c r="AZ19" s="1034"/>
      <c r="BA19" s="1017">
        <v>42343</v>
      </c>
      <c r="BB19" s="1019" t="s">
        <v>10744</v>
      </c>
      <c r="BC19" s="1043">
        <v>4</v>
      </c>
      <c r="BD19" s="1034"/>
      <c r="BE19" s="1017">
        <v>42712</v>
      </c>
      <c r="BF19" s="1019" t="s">
        <v>10745</v>
      </c>
      <c r="BG19" s="1063">
        <v>75</v>
      </c>
      <c r="BH19" s="1034"/>
      <c r="BI19" s="1017">
        <v>43073</v>
      </c>
      <c r="BJ19" s="1019" t="s">
        <v>10746</v>
      </c>
      <c r="BK19" s="1063">
        <v>1</v>
      </c>
      <c r="BL19" s="1034"/>
      <c r="BM19" s="1391">
        <v>43439</v>
      </c>
      <c r="BN19" s="1393" t="s">
        <v>1903</v>
      </c>
      <c r="BO19" s="1398">
        <v>120</v>
      </c>
      <c r="BP19" s="1399"/>
      <c r="BQ19" s="1391">
        <v>43806</v>
      </c>
      <c r="BR19" s="1393" t="s">
        <v>10747</v>
      </c>
      <c r="BS19" s="1409">
        <v>81</v>
      </c>
      <c r="BT19" s="1392" t="s">
        <v>278</v>
      </c>
      <c r="BU19" s="1391">
        <v>44170</v>
      </c>
      <c r="BV19" s="1389" t="s">
        <v>10748</v>
      </c>
      <c r="BW19" s="1406">
        <v>160</v>
      </c>
      <c r="BX19" s="1392" t="s">
        <v>414</v>
      </c>
      <c r="BY19" s="1391">
        <v>44533</v>
      </c>
      <c r="BZ19" s="1389" t="s">
        <v>10749</v>
      </c>
      <c r="CA19" s="1406">
        <v>0</v>
      </c>
      <c r="CB19" s="1392" t="s">
        <v>280</v>
      </c>
      <c r="CC19" s="1391">
        <v>44904</v>
      </c>
      <c r="CD19" s="1389" t="s">
        <v>10750</v>
      </c>
      <c r="CE19" s="1406">
        <v>179</v>
      </c>
      <c r="CF19" s="1392" t="s">
        <v>695</v>
      </c>
      <c r="CG19" s="1391">
        <v>45269</v>
      </c>
      <c r="CH19" s="1393" t="s">
        <v>828</v>
      </c>
      <c r="CI19" s="1406">
        <v>8</v>
      </c>
      <c r="CJ19" s="1392" t="s">
        <v>414</v>
      </c>
      <c r="CK19" s="1391">
        <v>45632</v>
      </c>
      <c r="CL19" s="1393" t="s">
        <v>10751</v>
      </c>
      <c r="CM19" s="1406">
        <v>10</v>
      </c>
      <c r="CN19" s="1392" t="s">
        <v>414</v>
      </c>
    </row>
    <row r="20" spans="1:92" s="1081" customFormat="1" ht="13.5">
      <c r="A20" s="1077">
        <v>37593</v>
      </c>
      <c r="B20" s="1040" t="s">
        <v>10752</v>
      </c>
      <c r="C20" s="1036">
        <v>60</v>
      </c>
      <c r="D20" s="1034"/>
      <c r="E20" s="1017">
        <v>37960</v>
      </c>
      <c r="F20" s="1040" t="s">
        <v>3386</v>
      </c>
      <c r="G20" s="1036">
        <v>25</v>
      </c>
      <c r="H20" s="1034"/>
      <c r="I20" s="1017">
        <v>38326</v>
      </c>
      <c r="J20" s="1040" t="s">
        <v>10753</v>
      </c>
      <c r="K20" s="1036">
        <v>53</v>
      </c>
      <c r="L20" s="1034"/>
      <c r="M20" s="1017">
        <v>38696</v>
      </c>
      <c r="N20" s="1040" t="s">
        <v>10754</v>
      </c>
      <c r="O20" s="1036">
        <v>33</v>
      </c>
      <c r="P20" s="1034"/>
      <c r="Q20" s="1017">
        <v>39067</v>
      </c>
      <c r="R20" s="1040" t="s">
        <v>10755</v>
      </c>
      <c r="S20" s="1102">
        <v>10</v>
      </c>
      <c r="T20" s="1034"/>
      <c r="U20" s="1017">
        <v>39425</v>
      </c>
      <c r="V20" s="1040" t="s">
        <v>10756</v>
      </c>
      <c r="W20" s="1036">
        <v>20</v>
      </c>
      <c r="X20" s="1034"/>
      <c r="Y20" s="1017">
        <v>39798</v>
      </c>
      <c r="Z20" s="1040" t="s">
        <v>10757</v>
      </c>
      <c r="AA20" s="1043">
        <v>21</v>
      </c>
      <c r="AB20" s="1034"/>
      <c r="AC20" s="1017">
        <v>40164</v>
      </c>
      <c r="AD20" s="1040" t="s">
        <v>1052</v>
      </c>
      <c r="AE20" s="1043">
        <v>18</v>
      </c>
      <c r="AF20" s="1034"/>
      <c r="AG20" s="1017">
        <v>40517</v>
      </c>
      <c r="AH20" s="1040" t="s">
        <v>10758</v>
      </c>
      <c r="AI20" s="1043">
        <v>110</v>
      </c>
      <c r="AJ20" s="1034"/>
      <c r="AK20" s="1017">
        <v>40890</v>
      </c>
      <c r="AL20" s="1040" t="s">
        <v>10759</v>
      </c>
      <c r="AM20" s="1043">
        <v>2</v>
      </c>
      <c r="AN20" s="1034"/>
      <c r="AO20" s="1017">
        <v>41250</v>
      </c>
      <c r="AP20" s="1040" t="s">
        <v>10760</v>
      </c>
      <c r="AQ20" s="1043">
        <v>9</v>
      </c>
      <c r="AR20" s="1034"/>
      <c r="AS20" s="1017">
        <v>41617</v>
      </c>
      <c r="AT20" s="1040" t="s">
        <v>10761</v>
      </c>
      <c r="AU20" s="1043">
        <v>27</v>
      </c>
      <c r="AV20" s="1034"/>
      <c r="AW20" s="1017">
        <v>41986</v>
      </c>
      <c r="AX20" s="1019" t="s">
        <v>8510</v>
      </c>
      <c r="AY20" s="1043">
        <v>12</v>
      </c>
      <c r="AZ20" s="1034"/>
      <c r="BA20" s="1017">
        <v>42344</v>
      </c>
      <c r="BB20" s="1019" t="s">
        <v>1573</v>
      </c>
      <c r="BC20" s="1043">
        <v>40</v>
      </c>
      <c r="BD20" s="1034"/>
      <c r="BE20" s="1017">
        <v>42713</v>
      </c>
      <c r="BF20" s="1019" t="s">
        <v>10762</v>
      </c>
      <c r="BG20" s="1063"/>
      <c r="BH20" s="1034"/>
      <c r="BI20" s="1017">
        <v>43073</v>
      </c>
      <c r="BJ20" s="1019" t="s">
        <v>10763</v>
      </c>
      <c r="BK20" s="1063">
        <v>30</v>
      </c>
      <c r="BL20" s="1034"/>
      <c r="BM20" s="1391">
        <v>43441</v>
      </c>
      <c r="BN20" s="1393" t="s">
        <v>1903</v>
      </c>
      <c r="BO20" s="1398">
        <v>60</v>
      </c>
      <c r="BP20" s="1399"/>
      <c r="BQ20" s="1391">
        <v>43806</v>
      </c>
      <c r="BR20" s="1393" t="s">
        <v>10764</v>
      </c>
      <c r="BS20" s="1409">
        <v>22</v>
      </c>
      <c r="BT20" s="1392" t="s">
        <v>414</v>
      </c>
      <c r="BU20" s="1391">
        <v>44170</v>
      </c>
      <c r="BV20" s="1389" t="s">
        <v>10765</v>
      </c>
      <c r="BW20" s="1406">
        <v>15</v>
      </c>
      <c r="BX20" s="1392" t="s">
        <v>414</v>
      </c>
      <c r="BY20" s="1391">
        <v>44533</v>
      </c>
      <c r="BZ20" s="1389" t="s">
        <v>10766</v>
      </c>
      <c r="CA20" s="1406">
        <v>17</v>
      </c>
      <c r="CB20" s="1392" t="s">
        <v>280</v>
      </c>
      <c r="CC20" s="1391">
        <v>44904</v>
      </c>
      <c r="CD20" s="1389" t="s">
        <v>10767</v>
      </c>
      <c r="CE20" s="1406">
        <v>7</v>
      </c>
      <c r="CF20" s="1392" t="s">
        <v>280</v>
      </c>
      <c r="CG20" s="1391">
        <v>45269</v>
      </c>
      <c r="CH20" s="1393" t="s">
        <v>10768</v>
      </c>
      <c r="CI20" s="1406">
        <v>76</v>
      </c>
      <c r="CJ20" s="1392" t="s">
        <v>700</v>
      </c>
      <c r="CK20" s="1391"/>
      <c r="CL20" s="1393"/>
      <c r="CM20" s="1406"/>
      <c r="CN20" s="1392"/>
    </row>
    <row r="21" spans="1:92" s="1081" customFormat="1" ht="13.5">
      <c r="A21" s="1077">
        <v>37593</v>
      </c>
      <c r="B21" s="1040" t="s">
        <v>10769</v>
      </c>
      <c r="C21" s="1036">
        <v>20</v>
      </c>
      <c r="D21" s="1034"/>
      <c r="E21" s="1017">
        <v>37960</v>
      </c>
      <c r="F21" s="1040" t="s">
        <v>797</v>
      </c>
      <c r="G21" s="1036">
        <v>31</v>
      </c>
      <c r="H21" s="1034"/>
      <c r="I21" s="1017">
        <v>38326</v>
      </c>
      <c r="J21" s="1040" t="s">
        <v>10770</v>
      </c>
      <c r="K21" s="1036">
        <v>24</v>
      </c>
      <c r="L21" s="1034"/>
      <c r="M21" s="1017">
        <v>38696</v>
      </c>
      <c r="N21" s="1040" t="s">
        <v>10636</v>
      </c>
      <c r="O21" s="1036">
        <v>10</v>
      </c>
      <c r="P21" s="1034"/>
      <c r="Q21" s="1017">
        <v>39068</v>
      </c>
      <c r="R21" s="1040" t="s">
        <v>10771</v>
      </c>
      <c r="S21" s="1102">
        <v>58</v>
      </c>
      <c r="T21" s="1034"/>
      <c r="U21" s="1017">
        <v>39425</v>
      </c>
      <c r="V21" s="1040" t="s">
        <v>10772</v>
      </c>
      <c r="W21" s="1036">
        <v>7</v>
      </c>
      <c r="X21" s="1034"/>
      <c r="Y21" s="1017">
        <v>39800</v>
      </c>
      <c r="Z21" s="1040" t="s">
        <v>10773</v>
      </c>
      <c r="AA21" s="1043">
        <v>0</v>
      </c>
      <c r="AB21" s="1034"/>
      <c r="AC21" s="1017">
        <v>40166</v>
      </c>
      <c r="AD21" s="1040" t="s">
        <v>10774</v>
      </c>
      <c r="AE21" s="1043">
        <v>36</v>
      </c>
      <c r="AF21" s="1034"/>
      <c r="AG21" s="1017">
        <v>40517</v>
      </c>
      <c r="AH21" s="1040" t="s">
        <v>797</v>
      </c>
      <c r="AI21" s="1043">
        <v>33</v>
      </c>
      <c r="AJ21" s="1034"/>
      <c r="AK21" s="1017">
        <v>40890</v>
      </c>
      <c r="AL21" s="1040" t="s">
        <v>787</v>
      </c>
      <c r="AM21" s="1043">
        <v>12</v>
      </c>
      <c r="AN21" s="1034"/>
      <c r="AO21" s="1017">
        <v>41250</v>
      </c>
      <c r="AP21" s="1040" t="s">
        <v>10775</v>
      </c>
      <c r="AQ21" s="1043">
        <v>10</v>
      </c>
      <c r="AR21" s="1034"/>
      <c r="AS21" s="1017">
        <v>41617</v>
      </c>
      <c r="AT21" s="1040" t="s">
        <v>10776</v>
      </c>
      <c r="AU21" s="1043">
        <v>29</v>
      </c>
      <c r="AV21" s="1034"/>
      <c r="AW21" s="1017">
        <v>41986</v>
      </c>
      <c r="AX21" s="1019" t="s">
        <v>10777</v>
      </c>
      <c r="AY21" s="1043">
        <v>5</v>
      </c>
      <c r="AZ21" s="1034"/>
      <c r="BA21" s="1017">
        <v>42344</v>
      </c>
      <c r="BB21" s="1019" t="s">
        <v>867</v>
      </c>
      <c r="BC21" s="1043">
        <v>20</v>
      </c>
      <c r="BD21" s="1034"/>
      <c r="BE21" s="1017">
        <v>42714</v>
      </c>
      <c r="BF21" s="1019" t="s">
        <v>10778</v>
      </c>
      <c r="BG21" s="1063">
        <v>18</v>
      </c>
      <c r="BH21" s="1034"/>
      <c r="BI21" s="1017">
        <v>43076</v>
      </c>
      <c r="BJ21" s="1019" t="s">
        <v>873</v>
      </c>
      <c r="BK21" s="1063">
        <v>7</v>
      </c>
      <c r="BL21" s="1034"/>
      <c r="BM21" s="1391">
        <v>43441</v>
      </c>
      <c r="BN21" s="1393" t="s">
        <v>873</v>
      </c>
      <c r="BO21" s="1398">
        <v>3</v>
      </c>
      <c r="BP21" s="1399"/>
      <c r="BQ21" s="1391">
        <v>43806</v>
      </c>
      <c r="BR21" s="1393" t="s">
        <v>781</v>
      </c>
      <c r="BS21" s="1409">
        <v>15</v>
      </c>
      <c r="BT21" s="1392" t="s">
        <v>414</v>
      </c>
      <c r="BU21" s="1391">
        <v>44170</v>
      </c>
      <c r="BV21" s="1389" t="s">
        <v>10779</v>
      </c>
      <c r="BW21" s="1406">
        <v>4</v>
      </c>
      <c r="BX21" s="1392" t="s">
        <v>414</v>
      </c>
      <c r="BY21" s="1391">
        <v>44534</v>
      </c>
      <c r="BZ21" s="1389" t="s">
        <v>772</v>
      </c>
      <c r="CA21" s="1406">
        <v>50</v>
      </c>
      <c r="CB21" s="1392" t="s">
        <v>280</v>
      </c>
      <c r="CC21" s="1391">
        <v>44904</v>
      </c>
      <c r="CD21" s="1389" t="s">
        <v>10780</v>
      </c>
      <c r="CE21" s="1406">
        <v>22</v>
      </c>
      <c r="CF21" s="1392" t="s">
        <v>280</v>
      </c>
      <c r="CG21" s="1391">
        <v>45269</v>
      </c>
      <c r="CH21" s="1393" t="s">
        <v>998</v>
      </c>
      <c r="CI21" s="1406">
        <v>15</v>
      </c>
      <c r="CJ21" s="1392" t="s">
        <v>414</v>
      </c>
      <c r="CK21" s="1391"/>
      <c r="CL21" s="1393"/>
      <c r="CM21" s="1406"/>
      <c r="CN21" s="1392"/>
    </row>
    <row r="22" spans="1:92" s="1081" customFormat="1" ht="13.5">
      <c r="A22" s="1077">
        <v>37594</v>
      </c>
      <c r="B22" s="1040" t="s">
        <v>10781</v>
      </c>
      <c r="C22" s="1036">
        <v>30</v>
      </c>
      <c r="D22" s="1034"/>
      <c r="E22" s="1017">
        <v>37960</v>
      </c>
      <c r="F22" s="1040" t="s">
        <v>10782</v>
      </c>
      <c r="G22" s="1036">
        <v>5</v>
      </c>
      <c r="H22" s="1034"/>
      <c r="I22" s="1017">
        <v>38328</v>
      </c>
      <c r="J22" s="1040" t="s">
        <v>10783</v>
      </c>
      <c r="K22" s="1036">
        <v>12</v>
      </c>
      <c r="L22" s="1034"/>
      <c r="M22" s="1017">
        <v>38697</v>
      </c>
      <c r="N22" s="1040" t="s">
        <v>10784</v>
      </c>
      <c r="O22" s="1036">
        <v>20</v>
      </c>
      <c r="P22" s="1034"/>
      <c r="Q22" s="1017">
        <v>39068</v>
      </c>
      <c r="R22" s="1040" t="s">
        <v>10785</v>
      </c>
      <c r="S22" s="1102">
        <v>113</v>
      </c>
      <c r="T22" s="1034"/>
      <c r="U22" s="1017">
        <v>39426</v>
      </c>
      <c r="V22" s="1040" t="s">
        <v>10786</v>
      </c>
      <c r="W22" s="1036">
        <v>30</v>
      </c>
      <c r="X22" s="1034"/>
      <c r="Y22" s="1017">
        <v>39800</v>
      </c>
      <c r="Z22" s="1040" t="s">
        <v>937</v>
      </c>
      <c r="AA22" s="1043">
        <v>21</v>
      </c>
      <c r="AB22" s="1034"/>
      <c r="AC22" s="1017">
        <v>40166</v>
      </c>
      <c r="AD22" s="1040" t="s">
        <v>10787</v>
      </c>
      <c r="AE22" s="1043">
        <v>71</v>
      </c>
      <c r="AF22" s="1034"/>
      <c r="AG22" s="1017">
        <v>40518</v>
      </c>
      <c r="AH22" s="1040" t="s">
        <v>802</v>
      </c>
      <c r="AI22" s="1043">
        <v>47</v>
      </c>
      <c r="AJ22" s="1034"/>
      <c r="AK22" s="1017">
        <v>40890</v>
      </c>
      <c r="AL22" s="1040" t="s">
        <v>10788</v>
      </c>
      <c r="AM22" s="1043">
        <v>10</v>
      </c>
      <c r="AN22" s="1034"/>
      <c r="AO22" s="1017">
        <v>41250</v>
      </c>
      <c r="AP22" s="1040" t="s">
        <v>10775</v>
      </c>
      <c r="AQ22" s="1043">
        <v>25</v>
      </c>
      <c r="AR22" s="1034"/>
      <c r="AS22" s="1017">
        <v>41617</v>
      </c>
      <c r="AT22" s="1040" t="s">
        <v>10789</v>
      </c>
      <c r="AU22" s="1043">
        <v>6</v>
      </c>
      <c r="AV22" s="1034"/>
      <c r="AW22" s="1017">
        <v>41986</v>
      </c>
      <c r="AX22" s="1019" t="s">
        <v>10790</v>
      </c>
      <c r="AY22" s="1043">
        <v>1097</v>
      </c>
      <c r="AZ22" s="1034"/>
      <c r="BA22" s="1017">
        <v>42345</v>
      </c>
      <c r="BB22" s="1019" t="s">
        <v>10791</v>
      </c>
      <c r="BC22" s="1043">
        <v>16</v>
      </c>
      <c r="BD22" s="1034"/>
      <c r="BE22" s="1017">
        <v>42714</v>
      </c>
      <c r="BF22" s="1019" t="s">
        <v>10792</v>
      </c>
      <c r="BG22" s="1063">
        <v>54</v>
      </c>
      <c r="BH22" s="1034"/>
      <c r="BI22" s="1017">
        <v>43076</v>
      </c>
      <c r="BJ22" s="1019" t="s">
        <v>859</v>
      </c>
      <c r="BK22" s="1063">
        <v>10</v>
      </c>
      <c r="BL22" s="1034"/>
      <c r="BM22" s="1391">
        <v>43441</v>
      </c>
      <c r="BN22" s="1393" t="s">
        <v>823</v>
      </c>
      <c r="BO22" s="1398">
        <v>40</v>
      </c>
      <c r="BP22" s="1399"/>
      <c r="BQ22" s="1391">
        <v>43806</v>
      </c>
      <c r="BR22" s="1393" t="s">
        <v>10793</v>
      </c>
      <c r="BS22" s="1409">
        <v>8</v>
      </c>
      <c r="BT22" s="1392" t="s">
        <v>426</v>
      </c>
      <c r="BU22" s="1391">
        <v>44170</v>
      </c>
      <c r="BV22" s="1389" t="s">
        <v>10794</v>
      </c>
      <c r="BW22" s="1406">
        <v>7</v>
      </c>
      <c r="BX22" s="1392" t="s">
        <v>414</v>
      </c>
      <c r="BY22" s="1391">
        <v>44534</v>
      </c>
      <c r="BZ22" s="1389" t="s">
        <v>10795</v>
      </c>
      <c r="CA22" s="1406">
        <v>17</v>
      </c>
      <c r="CB22" s="1392" t="s">
        <v>280</v>
      </c>
      <c r="CC22" s="1391">
        <v>44905</v>
      </c>
      <c r="CD22" s="1393" t="s">
        <v>8398</v>
      </c>
      <c r="CE22" s="1406">
        <v>13</v>
      </c>
      <c r="CF22" s="1392" t="s">
        <v>414</v>
      </c>
      <c r="CG22" s="1391">
        <v>45269</v>
      </c>
      <c r="CH22" s="1393" t="s">
        <v>10796</v>
      </c>
      <c r="CI22" s="1406">
        <v>25</v>
      </c>
      <c r="CJ22" s="1392" t="s">
        <v>700</v>
      </c>
      <c r="CK22" s="1391"/>
      <c r="CL22" s="1393"/>
      <c r="CM22" s="1406"/>
      <c r="CN22" s="1392"/>
    </row>
    <row r="23" spans="1:92" s="1081" customFormat="1" ht="13.5">
      <c r="A23" s="1077">
        <v>37594</v>
      </c>
      <c r="B23" s="1040" t="s">
        <v>10797</v>
      </c>
      <c r="C23" s="1036">
        <v>10</v>
      </c>
      <c r="D23" s="1034"/>
      <c r="E23" s="1017">
        <v>37963</v>
      </c>
      <c r="F23" s="1040" t="s">
        <v>10798</v>
      </c>
      <c r="G23" s="1036">
        <v>47</v>
      </c>
      <c r="H23" s="1034"/>
      <c r="I23" s="1017">
        <v>38331</v>
      </c>
      <c r="J23" s="1040" t="s">
        <v>10799</v>
      </c>
      <c r="K23" s="1036">
        <v>12</v>
      </c>
      <c r="L23" s="1034"/>
      <c r="M23" s="1017">
        <v>38697</v>
      </c>
      <c r="N23" s="1040" t="s">
        <v>10800</v>
      </c>
      <c r="O23" s="1036">
        <v>14</v>
      </c>
      <c r="P23" s="1034"/>
      <c r="Q23" s="1017">
        <v>39068</v>
      </c>
      <c r="R23" s="1040" t="s">
        <v>10801</v>
      </c>
      <c r="S23" s="1102">
        <v>30</v>
      </c>
      <c r="T23" s="1034"/>
      <c r="U23" s="1017">
        <v>39428</v>
      </c>
      <c r="V23" s="1040" t="s">
        <v>957</v>
      </c>
      <c r="W23" s="1036">
        <v>20</v>
      </c>
      <c r="X23" s="1034"/>
      <c r="Y23" s="1017">
        <v>39800</v>
      </c>
      <c r="Z23" s="1040" t="s">
        <v>10802</v>
      </c>
      <c r="AA23" s="1043">
        <v>4</v>
      </c>
      <c r="AB23" s="1034"/>
      <c r="AC23" s="1017">
        <v>40166</v>
      </c>
      <c r="AD23" s="1040" t="s">
        <v>10803</v>
      </c>
      <c r="AE23" s="1043">
        <v>20</v>
      </c>
      <c r="AF23" s="1034"/>
      <c r="AG23" s="1017">
        <v>40520</v>
      </c>
      <c r="AH23" s="1040" t="s">
        <v>10804</v>
      </c>
      <c r="AI23" s="1043">
        <v>20</v>
      </c>
      <c r="AJ23" s="1034"/>
      <c r="AK23" s="1017">
        <v>40890</v>
      </c>
      <c r="AL23" s="1040" t="s">
        <v>10805</v>
      </c>
      <c r="AM23" s="1043">
        <v>20</v>
      </c>
      <c r="AN23" s="1034"/>
      <c r="AO23" s="1017">
        <v>41250</v>
      </c>
      <c r="AP23" s="1040" t="s">
        <v>10806</v>
      </c>
      <c r="AQ23" s="1043">
        <v>90</v>
      </c>
      <c r="AR23" s="1034"/>
      <c r="AS23" s="1017">
        <v>41617</v>
      </c>
      <c r="AT23" s="1040" t="s">
        <v>10807</v>
      </c>
      <c r="AU23" s="1043">
        <v>11</v>
      </c>
      <c r="AV23" s="1034"/>
      <c r="AW23" s="1017">
        <v>41986</v>
      </c>
      <c r="AX23" s="1019" t="s">
        <v>1573</v>
      </c>
      <c r="AY23" s="1043">
        <v>43</v>
      </c>
      <c r="AZ23" s="1034"/>
      <c r="BA23" s="1017">
        <v>42346</v>
      </c>
      <c r="BB23" s="1019" t="s">
        <v>998</v>
      </c>
      <c r="BC23" s="1043">
        <v>25</v>
      </c>
      <c r="BD23" s="1034"/>
      <c r="BE23" s="1017">
        <v>42715</v>
      </c>
      <c r="BF23" s="1019" t="s">
        <v>10808</v>
      </c>
      <c r="BG23" s="1063">
        <v>11</v>
      </c>
      <c r="BH23" s="1034"/>
      <c r="BI23" s="1017">
        <v>43076</v>
      </c>
      <c r="BJ23" s="1019" t="s">
        <v>2409</v>
      </c>
      <c r="BK23" s="1063">
        <v>18</v>
      </c>
      <c r="BL23" s="1034"/>
      <c r="BM23" s="1391">
        <v>43441</v>
      </c>
      <c r="BN23" s="1393" t="s">
        <v>10809</v>
      </c>
      <c r="BO23" s="1398">
        <v>9</v>
      </c>
      <c r="BP23" s="1399"/>
      <c r="BQ23" s="1391">
        <v>43806</v>
      </c>
      <c r="BR23" s="1393" t="s">
        <v>772</v>
      </c>
      <c r="BS23" s="1409">
        <v>5</v>
      </c>
      <c r="BT23" s="1392" t="s">
        <v>414</v>
      </c>
      <c r="BU23" s="1391">
        <v>44170</v>
      </c>
      <c r="BV23" s="1393" t="s">
        <v>10810</v>
      </c>
      <c r="BW23" s="1406">
        <v>15</v>
      </c>
      <c r="BX23" s="1392" t="s">
        <v>414</v>
      </c>
      <c r="BY23" s="1391">
        <v>44534</v>
      </c>
      <c r="BZ23" s="1393" t="s">
        <v>843</v>
      </c>
      <c r="CA23" s="1406">
        <v>24</v>
      </c>
      <c r="CB23" s="1392" t="s">
        <v>280</v>
      </c>
      <c r="CC23" s="1391">
        <v>44905</v>
      </c>
      <c r="CD23" s="1393" t="s">
        <v>843</v>
      </c>
      <c r="CE23" s="1406">
        <v>56</v>
      </c>
      <c r="CF23" s="1392" t="s">
        <v>414</v>
      </c>
      <c r="CG23" s="1391">
        <v>45269</v>
      </c>
      <c r="CH23" s="1393" t="s">
        <v>10811</v>
      </c>
      <c r="CI23" s="1406">
        <v>35</v>
      </c>
      <c r="CJ23" s="1392" t="s">
        <v>426</v>
      </c>
      <c r="CK23" s="1391"/>
      <c r="CL23" s="1393"/>
      <c r="CM23" s="1406"/>
      <c r="CN23" s="1392"/>
    </row>
    <row r="24" spans="1:92" s="1081" customFormat="1" ht="13.5">
      <c r="A24" s="1077">
        <v>37594</v>
      </c>
      <c r="B24" s="1040" t="s">
        <v>286</v>
      </c>
      <c r="C24" s="1036">
        <v>500</v>
      </c>
      <c r="D24" s="1034">
        <v>1200</v>
      </c>
      <c r="E24" s="1017">
        <v>37963</v>
      </c>
      <c r="F24" s="1040" t="s">
        <v>10812</v>
      </c>
      <c r="G24" s="1036">
        <v>16</v>
      </c>
      <c r="H24" s="1034"/>
      <c r="I24" s="1017">
        <v>38331</v>
      </c>
      <c r="J24" s="1040" t="s">
        <v>802</v>
      </c>
      <c r="K24" s="1036">
        <v>24</v>
      </c>
      <c r="L24" s="1034"/>
      <c r="M24" s="1017">
        <v>38698</v>
      </c>
      <c r="N24" s="1040" t="s">
        <v>10813</v>
      </c>
      <c r="O24" s="1036">
        <v>0</v>
      </c>
      <c r="P24" s="1034"/>
      <c r="Q24" s="1017">
        <v>39069</v>
      </c>
      <c r="R24" s="1040" t="s">
        <v>10814</v>
      </c>
      <c r="S24" s="1102">
        <v>6</v>
      </c>
      <c r="T24" s="1034"/>
      <c r="U24" s="1017">
        <v>39428</v>
      </c>
      <c r="V24" s="1040" t="s">
        <v>10815</v>
      </c>
      <c r="W24" s="1036">
        <v>36</v>
      </c>
      <c r="X24" s="1034"/>
      <c r="Y24" s="1017">
        <v>39804</v>
      </c>
      <c r="Z24" s="1040" t="s">
        <v>772</v>
      </c>
      <c r="AA24" s="1043">
        <v>51</v>
      </c>
      <c r="AB24" s="1034"/>
      <c r="AC24" s="1017">
        <v>40166</v>
      </c>
      <c r="AD24" s="1040" t="s">
        <v>10816</v>
      </c>
      <c r="AE24" s="1043">
        <v>48</v>
      </c>
      <c r="AF24" s="1034"/>
      <c r="AG24" s="1017">
        <v>40521</v>
      </c>
      <c r="AH24" s="1040" t="s">
        <v>7679</v>
      </c>
      <c r="AI24" s="1043">
        <v>2</v>
      </c>
      <c r="AJ24" s="1034"/>
      <c r="AK24" s="1017">
        <v>40891</v>
      </c>
      <c r="AL24" s="1040" t="s">
        <v>998</v>
      </c>
      <c r="AM24" s="1043">
        <v>13</v>
      </c>
      <c r="AN24" s="1034"/>
      <c r="AO24" s="1017">
        <v>41251</v>
      </c>
      <c r="AP24" s="1040" t="s">
        <v>10775</v>
      </c>
      <c r="AQ24" s="1043">
        <v>3</v>
      </c>
      <c r="AR24" s="1034"/>
      <c r="AS24" s="1017">
        <v>41617</v>
      </c>
      <c r="AT24" s="1040" t="s">
        <v>4994</v>
      </c>
      <c r="AU24" s="1043">
        <v>73</v>
      </c>
      <c r="AV24" s="1034"/>
      <c r="AW24" s="1017">
        <v>41986</v>
      </c>
      <c r="AX24" s="1019" t="s">
        <v>10817</v>
      </c>
      <c r="AY24" s="1043">
        <v>29</v>
      </c>
      <c r="AZ24" s="1034"/>
      <c r="BA24" s="1017">
        <v>42346</v>
      </c>
      <c r="BB24" s="1019" t="s">
        <v>10818</v>
      </c>
      <c r="BC24" s="1043">
        <v>3</v>
      </c>
      <c r="BD24" s="1034"/>
      <c r="BE24" s="1017">
        <v>42715</v>
      </c>
      <c r="BF24" s="1019" t="s">
        <v>10819</v>
      </c>
      <c r="BG24" s="1063">
        <v>12</v>
      </c>
      <c r="BH24" s="1034"/>
      <c r="BI24" s="1017">
        <v>43076</v>
      </c>
      <c r="BJ24" s="1019" t="s">
        <v>10820</v>
      </c>
      <c r="BK24" s="1063">
        <v>72</v>
      </c>
      <c r="BL24" s="1034"/>
      <c r="BM24" s="1391">
        <v>43441</v>
      </c>
      <c r="BN24" s="1393" t="s">
        <v>10821</v>
      </c>
      <c r="BO24" s="1398">
        <v>25</v>
      </c>
      <c r="BP24" s="1399"/>
      <c r="BQ24" s="1391">
        <v>43806</v>
      </c>
      <c r="BR24" s="1393" t="s">
        <v>859</v>
      </c>
      <c r="BS24" s="1409">
        <v>10</v>
      </c>
      <c r="BT24" s="1392" t="s">
        <v>414</v>
      </c>
      <c r="BU24" s="1391">
        <v>44170</v>
      </c>
      <c r="BV24" s="1389" t="s">
        <v>10822</v>
      </c>
      <c r="BW24" s="1406">
        <v>26</v>
      </c>
      <c r="BX24" s="1392" t="s">
        <v>414</v>
      </c>
      <c r="BY24" s="1391">
        <v>44534</v>
      </c>
      <c r="BZ24" s="1389" t="s">
        <v>872</v>
      </c>
      <c r="CA24" s="1406">
        <v>18</v>
      </c>
      <c r="CB24" s="1392" t="s">
        <v>280</v>
      </c>
      <c r="CC24" s="1391">
        <v>44905</v>
      </c>
      <c r="CD24" s="1393" t="s">
        <v>872</v>
      </c>
      <c r="CE24" s="1406">
        <v>7</v>
      </c>
      <c r="CF24" s="1392" t="s">
        <v>414</v>
      </c>
      <c r="CG24" s="1391">
        <v>45269</v>
      </c>
      <c r="CH24" s="1393" t="s">
        <v>10823</v>
      </c>
      <c r="CI24" s="1406">
        <v>28</v>
      </c>
      <c r="CJ24" s="1392" t="s">
        <v>426</v>
      </c>
      <c r="CK24" s="1391"/>
      <c r="CL24" s="1393"/>
      <c r="CM24" s="1406"/>
      <c r="CN24" s="1392"/>
    </row>
    <row r="25" spans="1:92" s="1081" customFormat="1" ht="13.5">
      <c r="A25" s="1077">
        <v>37594</v>
      </c>
      <c r="B25" s="1040" t="s">
        <v>10441</v>
      </c>
      <c r="C25" s="1036">
        <v>13</v>
      </c>
      <c r="D25" s="1034"/>
      <c r="E25" s="1017">
        <v>37963</v>
      </c>
      <c r="F25" s="1040" t="s">
        <v>10824</v>
      </c>
      <c r="G25" s="1036">
        <v>50</v>
      </c>
      <c r="H25" s="1034"/>
      <c r="I25" s="1017">
        <v>38333</v>
      </c>
      <c r="J25" s="1040" t="s">
        <v>10825</v>
      </c>
      <c r="K25" s="1036">
        <v>10</v>
      </c>
      <c r="L25" s="1034"/>
      <c r="M25" s="1017">
        <v>38698</v>
      </c>
      <c r="N25" s="1040" t="s">
        <v>10826</v>
      </c>
      <c r="O25" s="1036">
        <v>32</v>
      </c>
      <c r="P25" s="1034"/>
      <c r="Q25" s="1017">
        <v>39072</v>
      </c>
      <c r="R25" s="1040" t="s">
        <v>10827</v>
      </c>
      <c r="S25" s="1102">
        <v>18</v>
      </c>
      <c r="T25" s="1034"/>
      <c r="U25" s="1017">
        <v>39431</v>
      </c>
      <c r="V25" s="1040" t="s">
        <v>783</v>
      </c>
      <c r="W25" s="1036">
        <v>24</v>
      </c>
      <c r="X25" s="1034"/>
      <c r="Y25" s="1017">
        <v>39805</v>
      </c>
      <c r="Z25" s="1040" t="s">
        <v>937</v>
      </c>
      <c r="AA25" s="1043">
        <v>30</v>
      </c>
      <c r="AB25" s="1034"/>
      <c r="AC25" s="1017">
        <v>40166</v>
      </c>
      <c r="AD25" s="1040" t="s">
        <v>10828</v>
      </c>
      <c r="AE25" s="1043">
        <v>40</v>
      </c>
      <c r="AF25" s="1034"/>
      <c r="AG25" s="1017">
        <v>40521</v>
      </c>
      <c r="AH25" s="1040" t="s">
        <v>10829</v>
      </c>
      <c r="AI25" s="1043">
        <v>50</v>
      </c>
      <c r="AJ25" s="1034"/>
      <c r="AK25" s="1017">
        <v>40891</v>
      </c>
      <c r="AL25" s="1040" t="s">
        <v>802</v>
      </c>
      <c r="AM25" s="1043">
        <v>25</v>
      </c>
      <c r="AN25" s="1034"/>
      <c r="AO25" s="1017">
        <v>41251</v>
      </c>
      <c r="AP25" s="1040" t="s">
        <v>10703</v>
      </c>
      <c r="AQ25" s="1043">
        <v>10</v>
      </c>
      <c r="AR25" s="1034"/>
      <c r="AS25" s="1017">
        <v>41617</v>
      </c>
      <c r="AT25" s="1040" t="s">
        <v>10830</v>
      </c>
      <c r="AU25" s="1043">
        <v>16</v>
      </c>
      <c r="AV25" s="1034"/>
      <c r="AW25" s="1017">
        <v>41986</v>
      </c>
      <c r="AX25" s="1019" t="s">
        <v>10831</v>
      </c>
      <c r="AY25" s="1043">
        <v>5</v>
      </c>
      <c r="AZ25" s="1034"/>
      <c r="BA25" s="1017">
        <v>42346</v>
      </c>
      <c r="BB25" s="1019" t="s">
        <v>802</v>
      </c>
      <c r="BC25" s="1043">
        <v>28</v>
      </c>
      <c r="BD25" s="1034"/>
      <c r="BE25" s="1017">
        <v>42715</v>
      </c>
      <c r="BF25" s="1019" t="s">
        <v>10832</v>
      </c>
      <c r="BG25" s="1063">
        <v>29</v>
      </c>
      <c r="BH25" s="1034"/>
      <c r="BI25" s="1017">
        <v>43077</v>
      </c>
      <c r="BJ25" s="1019" t="s">
        <v>1180</v>
      </c>
      <c r="BK25" s="1063">
        <v>60</v>
      </c>
      <c r="BL25" s="1034"/>
      <c r="BM25" s="1391">
        <v>43442</v>
      </c>
      <c r="BN25" s="1393" t="s">
        <v>872</v>
      </c>
      <c r="BO25" s="1398">
        <v>14</v>
      </c>
      <c r="BP25" s="1399"/>
      <c r="BQ25" s="1391">
        <v>43806</v>
      </c>
      <c r="BR25" s="1393" t="s">
        <v>10658</v>
      </c>
      <c r="BS25" s="1409">
        <v>0</v>
      </c>
      <c r="BT25" s="1392" t="s">
        <v>700</v>
      </c>
      <c r="BU25" s="1391">
        <v>44170</v>
      </c>
      <c r="BV25" s="1389" t="s">
        <v>10833</v>
      </c>
      <c r="BW25" s="1406">
        <v>30</v>
      </c>
      <c r="BX25" s="1392" t="s">
        <v>414</v>
      </c>
      <c r="BY25" s="1391">
        <v>44534</v>
      </c>
      <c r="BZ25" s="1389" t="s">
        <v>845</v>
      </c>
      <c r="CA25" s="1406">
        <v>29</v>
      </c>
      <c r="CB25" s="1392" t="s">
        <v>280</v>
      </c>
      <c r="CC25" s="1391">
        <v>44905</v>
      </c>
      <c r="CD25" s="1393" t="s">
        <v>10834</v>
      </c>
      <c r="CE25" s="1406">
        <v>70</v>
      </c>
      <c r="CF25" s="1392" t="s">
        <v>700</v>
      </c>
      <c r="CG25" s="1391">
        <v>45269</v>
      </c>
      <c r="CH25" s="1393" t="s">
        <v>10835</v>
      </c>
      <c r="CI25" s="1406">
        <v>40</v>
      </c>
      <c r="CJ25" s="1392" t="s">
        <v>426</v>
      </c>
      <c r="CK25" s="1391"/>
      <c r="CL25" s="1393"/>
      <c r="CM25" s="1406"/>
      <c r="CN25" s="1392"/>
    </row>
    <row r="26" spans="1:92" s="1081" customFormat="1" ht="13.5">
      <c r="A26" s="1077">
        <v>37594</v>
      </c>
      <c r="B26" s="1040" t="s">
        <v>10836</v>
      </c>
      <c r="C26" s="1036">
        <v>60</v>
      </c>
      <c r="D26" s="1034"/>
      <c r="E26" s="1017">
        <v>37964</v>
      </c>
      <c r="F26" s="1040" t="s">
        <v>772</v>
      </c>
      <c r="G26" s="1036">
        <v>4</v>
      </c>
      <c r="H26" s="1034"/>
      <c r="I26" s="1017">
        <v>38333</v>
      </c>
      <c r="J26" s="1040" t="s">
        <v>10837</v>
      </c>
      <c r="K26" s="1036">
        <v>30</v>
      </c>
      <c r="L26" s="1034"/>
      <c r="M26" s="1017">
        <v>38699</v>
      </c>
      <c r="N26" s="1040" t="s">
        <v>867</v>
      </c>
      <c r="O26" s="1036">
        <v>15</v>
      </c>
      <c r="P26" s="1034"/>
      <c r="Q26" s="1017">
        <v>39072</v>
      </c>
      <c r="R26" s="1040" t="s">
        <v>10838</v>
      </c>
      <c r="S26" s="1102">
        <v>15</v>
      </c>
      <c r="T26" s="1034"/>
      <c r="U26" s="1017">
        <v>39431</v>
      </c>
      <c r="V26" s="1040" t="s">
        <v>937</v>
      </c>
      <c r="W26" s="1036">
        <v>32</v>
      </c>
      <c r="X26" s="1034"/>
      <c r="Y26" s="1017">
        <v>39805</v>
      </c>
      <c r="Z26" s="1040" t="s">
        <v>10839</v>
      </c>
      <c r="AA26" s="1043">
        <v>63</v>
      </c>
      <c r="AB26" s="1034"/>
      <c r="AC26" s="1017">
        <v>40166</v>
      </c>
      <c r="AD26" s="1040" t="s">
        <v>781</v>
      </c>
      <c r="AE26" s="1043">
        <v>98</v>
      </c>
      <c r="AF26" s="1034"/>
      <c r="AG26" s="1017">
        <v>40521</v>
      </c>
      <c r="AH26" s="1040" t="s">
        <v>10840</v>
      </c>
      <c r="AI26" s="1043">
        <v>30</v>
      </c>
      <c r="AJ26" s="1034"/>
      <c r="AK26" s="1017">
        <v>40891</v>
      </c>
      <c r="AL26" s="1040" t="s">
        <v>781</v>
      </c>
      <c r="AM26" s="1043">
        <v>6</v>
      </c>
      <c r="AN26" s="1034"/>
      <c r="AO26" s="1017">
        <v>41251</v>
      </c>
      <c r="AP26" s="1040" t="s">
        <v>10841</v>
      </c>
      <c r="AQ26" s="1043">
        <v>11</v>
      </c>
      <c r="AR26" s="1034"/>
      <c r="AS26" s="1017">
        <v>41617</v>
      </c>
      <c r="AT26" s="1040" t="s">
        <v>10842</v>
      </c>
      <c r="AU26" s="1043">
        <v>11</v>
      </c>
      <c r="AV26" s="1034"/>
      <c r="AW26" s="1017">
        <v>41986</v>
      </c>
      <c r="AX26" s="1019" t="s">
        <v>10843</v>
      </c>
      <c r="AY26" s="1043">
        <v>2</v>
      </c>
      <c r="AZ26" s="1034"/>
      <c r="BA26" s="1017">
        <v>42346</v>
      </c>
      <c r="BB26" s="1019" t="s">
        <v>1052</v>
      </c>
      <c r="BC26" s="1043">
        <v>19</v>
      </c>
      <c r="BD26" s="1034"/>
      <c r="BE26" s="1017">
        <v>42715</v>
      </c>
      <c r="BF26" s="1019" t="s">
        <v>10844</v>
      </c>
      <c r="BG26" s="1063">
        <f>200/65</f>
        <v>3.0769230769230771</v>
      </c>
      <c r="BH26" s="1034"/>
      <c r="BI26" s="1017">
        <v>43077</v>
      </c>
      <c r="BJ26" s="1019" t="s">
        <v>10845</v>
      </c>
      <c r="BK26" s="1063">
        <v>59</v>
      </c>
      <c r="BL26" s="1034"/>
      <c r="BM26" s="1391">
        <v>43442</v>
      </c>
      <c r="BN26" s="1393" t="s">
        <v>873</v>
      </c>
      <c r="BO26" s="1398">
        <v>53</v>
      </c>
      <c r="BP26" s="1399"/>
      <c r="BQ26" s="1391">
        <v>43806</v>
      </c>
      <c r="BR26" s="1393" t="s">
        <v>10846</v>
      </c>
      <c r="BS26" s="1409">
        <v>30</v>
      </c>
      <c r="BT26" s="1392" t="s">
        <v>700</v>
      </c>
      <c r="BU26" s="1391">
        <v>44170</v>
      </c>
      <c r="BV26" s="1389" t="s">
        <v>10847</v>
      </c>
      <c r="BW26" s="1406">
        <v>15</v>
      </c>
      <c r="BX26" s="1392" t="s">
        <v>280</v>
      </c>
      <c r="BY26" s="1391">
        <v>44534</v>
      </c>
      <c r="BZ26" s="1389" t="s">
        <v>10848</v>
      </c>
      <c r="CA26" s="1406">
        <v>84</v>
      </c>
      <c r="CB26" s="1392" t="s">
        <v>280</v>
      </c>
      <c r="CC26" s="1391">
        <v>44905</v>
      </c>
      <c r="CD26" s="1389" t="s">
        <v>10849</v>
      </c>
      <c r="CE26" s="1406">
        <v>20</v>
      </c>
      <c r="CF26" s="1392" t="s">
        <v>280</v>
      </c>
      <c r="CG26" s="1391">
        <v>45275</v>
      </c>
      <c r="CH26" s="1389" t="s">
        <v>772</v>
      </c>
      <c r="CI26" s="1406">
        <v>15</v>
      </c>
      <c r="CJ26" s="1392" t="s">
        <v>414</v>
      </c>
      <c r="CK26" s="1391"/>
      <c r="CL26" s="1389"/>
      <c r="CM26" s="1406"/>
      <c r="CN26" s="1392"/>
    </row>
    <row r="27" spans="1:92" s="1081" customFormat="1" ht="13.5">
      <c r="A27" s="1077">
        <v>37595</v>
      </c>
      <c r="B27" s="1040" t="s">
        <v>10850</v>
      </c>
      <c r="C27" s="1036">
        <v>90</v>
      </c>
      <c r="D27" s="1034"/>
      <c r="E27" s="1017">
        <v>37964</v>
      </c>
      <c r="F27" s="1040" t="s">
        <v>10851</v>
      </c>
      <c r="G27" s="1036">
        <v>9</v>
      </c>
      <c r="H27" s="1034"/>
      <c r="I27" s="1017">
        <v>38336</v>
      </c>
      <c r="J27" s="1040" t="s">
        <v>786</v>
      </c>
      <c r="K27" s="1036">
        <v>53</v>
      </c>
      <c r="L27" s="1034"/>
      <c r="M27" s="1017">
        <v>38699</v>
      </c>
      <c r="N27" s="1040" t="s">
        <v>782</v>
      </c>
      <c r="O27" s="1036">
        <v>5</v>
      </c>
      <c r="P27" s="1034"/>
      <c r="Q27" s="1017">
        <v>39073</v>
      </c>
      <c r="R27" s="1040" t="s">
        <v>10852</v>
      </c>
      <c r="S27" s="1102">
        <v>20</v>
      </c>
      <c r="T27" s="1034"/>
      <c r="U27" s="1017">
        <v>39434</v>
      </c>
      <c r="V27" s="1040" t="s">
        <v>797</v>
      </c>
      <c r="W27" s="1036">
        <v>51</v>
      </c>
      <c r="X27" s="1034"/>
      <c r="Y27" s="1017">
        <v>39805</v>
      </c>
      <c r="Z27" s="1040" t="s">
        <v>797</v>
      </c>
      <c r="AA27" s="1043">
        <v>12</v>
      </c>
      <c r="AB27" s="1034"/>
      <c r="AC27" s="1017">
        <v>40166</v>
      </c>
      <c r="AD27" s="1040" t="s">
        <v>802</v>
      </c>
      <c r="AE27" s="1043">
        <v>40</v>
      </c>
      <c r="AF27" s="1034"/>
      <c r="AG27" s="1017">
        <v>40523</v>
      </c>
      <c r="AH27" s="1040" t="s">
        <v>10853</v>
      </c>
      <c r="AI27" s="1043">
        <v>25</v>
      </c>
      <c r="AJ27" s="1034"/>
      <c r="AK27" s="1017">
        <v>40893</v>
      </c>
      <c r="AL27" s="1040" t="s">
        <v>10854</v>
      </c>
      <c r="AM27" s="1043">
        <v>152</v>
      </c>
      <c r="AN27" s="1034"/>
      <c r="AO27" s="1017">
        <v>41251</v>
      </c>
      <c r="AP27" s="1040" t="s">
        <v>754</v>
      </c>
      <c r="AQ27" s="1043">
        <v>109</v>
      </c>
      <c r="AR27" s="1034"/>
      <c r="AS27" s="1017">
        <v>41617</v>
      </c>
      <c r="AT27" s="1040" t="s">
        <v>802</v>
      </c>
      <c r="AU27" s="1043">
        <v>50</v>
      </c>
      <c r="AV27" s="1034"/>
      <c r="AW27" s="1017">
        <v>41987</v>
      </c>
      <c r="AX27" s="1019" t="s">
        <v>781</v>
      </c>
      <c r="AY27" s="1043">
        <v>85</v>
      </c>
      <c r="AZ27" s="1034"/>
      <c r="BA27" s="1017">
        <v>42348</v>
      </c>
      <c r="BB27" s="1019" t="s">
        <v>925</v>
      </c>
      <c r="BC27" s="1043">
        <v>4</v>
      </c>
      <c r="BD27" s="1034"/>
      <c r="BE27" s="1017">
        <v>42716</v>
      </c>
      <c r="BF27" s="1019" t="s">
        <v>10855</v>
      </c>
      <c r="BG27" s="1111">
        <v>873</v>
      </c>
      <c r="BH27" s="1112">
        <f t="shared" ref="BH27:BH38" si="0">BG27/65</f>
        <v>13.430769230769231</v>
      </c>
      <c r="BI27" s="1017">
        <v>43077</v>
      </c>
      <c r="BJ27" s="1019" t="s">
        <v>10856</v>
      </c>
      <c r="BK27" s="1063">
        <v>50</v>
      </c>
      <c r="BL27" s="1034"/>
      <c r="BM27" s="1391">
        <v>43442</v>
      </c>
      <c r="BN27" s="1393" t="s">
        <v>859</v>
      </c>
      <c r="BO27" s="1398">
        <v>9</v>
      </c>
      <c r="BP27" s="1399"/>
      <c r="BQ27" s="1391">
        <v>43813</v>
      </c>
      <c r="BR27" s="1393" t="s">
        <v>10857</v>
      </c>
      <c r="BS27" s="1409">
        <v>21</v>
      </c>
      <c r="BT27" s="1392" t="s">
        <v>381</v>
      </c>
      <c r="BU27" s="1391">
        <v>44170</v>
      </c>
      <c r="BV27" s="1393" t="s">
        <v>10858</v>
      </c>
      <c r="BW27" s="1406">
        <v>15</v>
      </c>
      <c r="BX27" s="1392" t="s">
        <v>414</v>
      </c>
      <c r="BY27" s="1391">
        <v>44534</v>
      </c>
      <c r="BZ27" s="1393" t="s">
        <v>10859</v>
      </c>
      <c r="CA27" s="1406">
        <v>0</v>
      </c>
      <c r="CB27" s="1392" t="s">
        <v>280</v>
      </c>
      <c r="CC27" s="1391">
        <v>44905</v>
      </c>
      <c r="CD27" s="1393" t="s">
        <v>10860</v>
      </c>
      <c r="CE27" s="1406">
        <v>21</v>
      </c>
      <c r="CF27" s="1392" t="s">
        <v>700</v>
      </c>
      <c r="CG27" s="1391">
        <v>45275</v>
      </c>
      <c r="CH27" s="1393" t="s">
        <v>845</v>
      </c>
      <c r="CI27" s="1406">
        <v>45</v>
      </c>
      <c r="CJ27" s="1392" t="s">
        <v>414</v>
      </c>
      <c r="CK27" s="1391"/>
      <c r="CL27" s="1393"/>
      <c r="CM27" s="1406"/>
      <c r="CN27" s="1392"/>
    </row>
    <row r="28" spans="1:92" s="1081" customFormat="1" ht="13.5">
      <c r="A28" s="1077">
        <v>37618</v>
      </c>
      <c r="B28" s="1040" t="s">
        <v>1189</v>
      </c>
      <c r="C28" s="1036">
        <v>42</v>
      </c>
      <c r="D28" s="1034"/>
      <c r="E28" s="1017">
        <v>37964</v>
      </c>
      <c r="F28" s="1040" t="s">
        <v>10861</v>
      </c>
      <c r="G28" s="1036">
        <v>27</v>
      </c>
      <c r="H28" s="1034"/>
      <c r="I28" s="1017">
        <v>38337</v>
      </c>
      <c r="J28" s="1040" t="s">
        <v>1810</v>
      </c>
      <c r="K28" s="1036">
        <v>15</v>
      </c>
      <c r="L28" s="1034"/>
      <c r="M28" s="1017">
        <v>38699</v>
      </c>
      <c r="N28" s="1040" t="s">
        <v>10862</v>
      </c>
      <c r="O28" s="1036">
        <v>10</v>
      </c>
      <c r="P28" s="1034"/>
      <c r="Q28" s="1017">
        <v>39073</v>
      </c>
      <c r="R28" s="1040" t="s">
        <v>937</v>
      </c>
      <c r="S28" s="1102">
        <v>25</v>
      </c>
      <c r="T28" s="1034"/>
      <c r="U28" s="1017">
        <v>39436</v>
      </c>
      <c r="V28" s="1040" t="s">
        <v>802</v>
      </c>
      <c r="W28" s="1036">
        <v>42</v>
      </c>
      <c r="X28" s="1034"/>
      <c r="Y28" s="1017">
        <v>39805</v>
      </c>
      <c r="Z28" s="1040" t="s">
        <v>10863</v>
      </c>
      <c r="AA28" s="1043">
        <v>60</v>
      </c>
      <c r="AB28" s="1034"/>
      <c r="AC28" s="1017">
        <v>40167</v>
      </c>
      <c r="AD28" s="1040" t="s">
        <v>10864</v>
      </c>
      <c r="AE28" s="1043">
        <v>40</v>
      </c>
      <c r="AF28" s="1034"/>
      <c r="AG28" s="1017">
        <v>40523</v>
      </c>
      <c r="AH28" s="1040" t="s">
        <v>10865</v>
      </c>
      <c r="AI28" s="1043">
        <v>9</v>
      </c>
      <c r="AJ28" s="1034"/>
      <c r="AK28" s="1017">
        <v>40893</v>
      </c>
      <c r="AL28" s="1040" t="s">
        <v>10866</v>
      </c>
      <c r="AM28" s="1043">
        <v>15</v>
      </c>
      <c r="AN28" s="1034"/>
      <c r="AO28" s="1017">
        <v>41251</v>
      </c>
      <c r="AP28" s="1040" t="s">
        <v>10867</v>
      </c>
      <c r="AQ28" s="1043">
        <v>64</v>
      </c>
      <c r="AR28" s="1034"/>
      <c r="AS28" s="1017">
        <v>41619</v>
      </c>
      <c r="AT28" s="1040" t="s">
        <v>10868</v>
      </c>
      <c r="AU28" s="1043">
        <v>13</v>
      </c>
      <c r="AV28" s="1034"/>
      <c r="AW28" s="1017">
        <v>41987</v>
      </c>
      <c r="AX28" s="1019" t="s">
        <v>802</v>
      </c>
      <c r="AY28" s="1043">
        <v>44</v>
      </c>
      <c r="AZ28" s="1034"/>
      <c r="BA28" s="1017">
        <v>42349</v>
      </c>
      <c r="BB28" s="1019" t="s">
        <v>1720</v>
      </c>
      <c r="BC28" s="1043">
        <v>10</v>
      </c>
      <c r="BD28" s="1034"/>
      <c r="BE28" s="1017">
        <v>42716</v>
      </c>
      <c r="BF28" s="1019" t="s">
        <v>1732</v>
      </c>
      <c r="BG28" s="1111">
        <v>3300</v>
      </c>
      <c r="BH28" s="1112">
        <f t="shared" si="0"/>
        <v>50.769230769230766</v>
      </c>
      <c r="BI28" s="1017">
        <v>43077</v>
      </c>
      <c r="BJ28" s="1019" t="s">
        <v>10869</v>
      </c>
      <c r="BK28" s="1063">
        <v>50</v>
      </c>
      <c r="BL28" s="1112"/>
      <c r="BM28" s="1391">
        <v>43442</v>
      </c>
      <c r="BN28" s="1393" t="s">
        <v>772</v>
      </c>
      <c r="BO28" s="1398">
        <v>44</v>
      </c>
      <c r="BP28" s="1410"/>
      <c r="BQ28" s="1391">
        <v>43813</v>
      </c>
      <c r="BR28" s="1393" t="s">
        <v>845</v>
      </c>
      <c r="BS28" s="1409">
        <v>50</v>
      </c>
      <c r="BT28" s="1392" t="s">
        <v>414</v>
      </c>
      <c r="BU28" s="1391">
        <v>44170</v>
      </c>
      <c r="BV28" s="1393" t="s">
        <v>10870</v>
      </c>
      <c r="BW28" s="1406">
        <v>18</v>
      </c>
      <c r="BX28" s="1392" t="s">
        <v>280</v>
      </c>
      <c r="BY28" s="1391">
        <v>44535</v>
      </c>
      <c r="BZ28" s="1393" t="s">
        <v>1052</v>
      </c>
      <c r="CA28" s="1406">
        <v>29</v>
      </c>
      <c r="CB28" s="1392" t="s">
        <v>280</v>
      </c>
      <c r="CC28" s="1391">
        <v>44907</v>
      </c>
      <c r="CD28" s="1393" t="s">
        <v>10871</v>
      </c>
      <c r="CE28" s="1406">
        <v>2100</v>
      </c>
      <c r="CF28" s="1392" t="s">
        <v>695</v>
      </c>
      <c r="CG28" s="1391">
        <v>45275</v>
      </c>
      <c r="CH28" s="1393" t="s">
        <v>843</v>
      </c>
      <c r="CI28" s="1406">
        <v>39</v>
      </c>
      <c r="CJ28" s="1392" t="s">
        <v>414</v>
      </c>
      <c r="CK28" s="1391"/>
      <c r="CL28" s="1393"/>
      <c r="CM28" s="1406"/>
      <c r="CN28" s="1392"/>
    </row>
    <row r="29" spans="1:92" s="1081" customFormat="1" ht="13.5">
      <c r="A29" s="1077">
        <v>37618</v>
      </c>
      <c r="B29" s="1040" t="s">
        <v>797</v>
      </c>
      <c r="C29" s="1036">
        <v>26</v>
      </c>
      <c r="D29" s="1034">
        <v>33</v>
      </c>
      <c r="E29" s="1017">
        <v>37964</v>
      </c>
      <c r="F29" s="1040" t="s">
        <v>787</v>
      </c>
      <c r="G29" s="1036">
        <v>10</v>
      </c>
      <c r="H29" s="1034"/>
      <c r="I29" s="1017">
        <v>38337</v>
      </c>
      <c r="J29" s="1040" t="s">
        <v>10872</v>
      </c>
      <c r="K29" s="1036">
        <v>85</v>
      </c>
      <c r="L29" s="1034"/>
      <c r="M29" s="1017">
        <v>38700</v>
      </c>
      <c r="N29" s="1040" t="s">
        <v>867</v>
      </c>
      <c r="O29" s="1036">
        <v>20</v>
      </c>
      <c r="P29" s="1034"/>
      <c r="Q29" s="1017">
        <v>39073</v>
      </c>
      <c r="R29" s="1040" t="s">
        <v>10873</v>
      </c>
      <c r="S29" s="1102">
        <v>8</v>
      </c>
      <c r="T29" s="1034"/>
      <c r="U29" s="1017">
        <v>39437</v>
      </c>
      <c r="V29" s="1040" t="s">
        <v>937</v>
      </c>
      <c r="W29" s="1036">
        <v>52</v>
      </c>
      <c r="X29" s="1034"/>
      <c r="Y29" s="1017">
        <v>39805</v>
      </c>
      <c r="Z29" s="1040" t="s">
        <v>10874</v>
      </c>
      <c r="AA29" s="1043">
        <v>6</v>
      </c>
      <c r="AB29" s="1034"/>
      <c r="AC29" s="1017">
        <v>40167</v>
      </c>
      <c r="AD29" s="1040" t="s">
        <v>10875</v>
      </c>
      <c r="AE29" s="1043">
        <v>0</v>
      </c>
      <c r="AF29" s="1034"/>
      <c r="AG29" s="1017">
        <v>40523</v>
      </c>
      <c r="AH29" s="1040" t="s">
        <v>803</v>
      </c>
      <c r="AI29" s="1043">
        <v>20</v>
      </c>
      <c r="AJ29" s="1034"/>
      <c r="AK29" s="1017">
        <v>40893</v>
      </c>
      <c r="AL29" s="1040" t="s">
        <v>10876</v>
      </c>
      <c r="AM29" s="1043">
        <v>10</v>
      </c>
      <c r="AN29" s="1034"/>
      <c r="AO29" s="1017">
        <v>41251</v>
      </c>
      <c r="AP29" s="1040" t="s">
        <v>10877</v>
      </c>
      <c r="AQ29" s="1043">
        <v>15</v>
      </c>
      <c r="AR29" s="1034"/>
      <c r="AS29" s="1017">
        <v>41619</v>
      </c>
      <c r="AT29" s="1040" t="s">
        <v>925</v>
      </c>
      <c r="AU29" s="1043">
        <v>5</v>
      </c>
      <c r="AV29" s="1034"/>
      <c r="AW29" s="1017">
        <v>41989</v>
      </c>
      <c r="AX29" s="1019" t="s">
        <v>10878</v>
      </c>
      <c r="AY29" s="1043">
        <v>14</v>
      </c>
      <c r="AZ29" s="1034"/>
      <c r="BA29" s="1017">
        <v>42349</v>
      </c>
      <c r="BB29" s="1019" t="s">
        <v>797</v>
      </c>
      <c r="BC29" s="1043">
        <v>32</v>
      </c>
      <c r="BD29" s="1034"/>
      <c r="BE29" s="1017">
        <v>42716</v>
      </c>
      <c r="BF29" s="1019" t="s">
        <v>10879</v>
      </c>
      <c r="BG29" s="1111">
        <v>734</v>
      </c>
      <c r="BH29" s="1112">
        <f t="shared" si="0"/>
        <v>11.292307692307693</v>
      </c>
      <c r="BI29" s="1017">
        <v>43078</v>
      </c>
      <c r="BJ29" s="1019" t="s">
        <v>823</v>
      </c>
      <c r="BK29" s="1063">
        <v>32</v>
      </c>
      <c r="BL29" s="1112"/>
      <c r="BM29" s="1391">
        <v>43442</v>
      </c>
      <c r="BN29" s="1393" t="s">
        <v>10880</v>
      </c>
      <c r="BO29" s="1398">
        <v>14</v>
      </c>
      <c r="BP29" s="1410"/>
      <c r="BQ29" s="1391">
        <v>43813</v>
      </c>
      <c r="BR29" s="1393" t="s">
        <v>948</v>
      </c>
      <c r="BS29" s="1409">
        <v>23</v>
      </c>
      <c r="BT29" s="1392" t="s">
        <v>414</v>
      </c>
      <c r="BU29" s="1391">
        <v>44170</v>
      </c>
      <c r="BV29" s="1393" t="s">
        <v>2663</v>
      </c>
      <c r="BW29" s="1406">
        <v>60</v>
      </c>
      <c r="BX29" s="1392" t="s">
        <v>414</v>
      </c>
      <c r="BY29" s="1391">
        <v>44535</v>
      </c>
      <c r="BZ29" s="1393" t="s">
        <v>1290</v>
      </c>
      <c r="CA29" s="1406">
        <v>17</v>
      </c>
      <c r="CB29" s="1392" t="s">
        <v>414</v>
      </c>
      <c r="CC29" s="1391">
        <v>44909</v>
      </c>
      <c r="CD29" s="1393" t="s">
        <v>10881</v>
      </c>
      <c r="CE29" s="1406">
        <v>62</v>
      </c>
      <c r="CF29" s="1392" t="s">
        <v>693</v>
      </c>
      <c r="CG29" s="1391">
        <v>45275</v>
      </c>
      <c r="CH29" s="1393" t="s">
        <v>965</v>
      </c>
      <c r="CI29" s="1406">
        <v>16</v>
      </c>
      <c r="CJ29" s="1392" t="s">
        <v>414</v>
      </c>
      <c r="CK29" s="1391"/>
      <c r="CL29" s="1393"/>
      <c r="CM29" s="1406"/>
      <c r="CN29" s="1392"/>
    </row>
    <row r="30" spans="1:92" s="1081" customFormat="1" ht="13.5">
      <c r="A30" s="1077">
        <v>37618</v>
      </c>
      <c r="B30" s="1040" t="s">
        <v>415</v>
      </c>
      <c r="C30" s="1036">
        <v>31</v>
      </c>
      <c r="D30" s="1034"/>
      <c r="E30" s="1017">
        <v>37965</v>
      </c>
      <c r="F30" s="1040" t="s">
        <v>10882</v>
      </c>
      <c r="G30" s="1036">
        <v>40</v>
      </c>
      <c r="H30" s="1034"/>
      <c r="I30" s="1017">
        <v>38338</v>
      </c>
      <c r="J30" s="1040" t="s">
        <v>10770</v>
      </c>
      <c r="K30" s="1036">
        <v>24</v>
      </c>
      <c r="L30" s="1034"/>
      <c r="M30" s="1017">
        <v>38700</v>
      </c>
      <c r="N30" s="1040" t="s">
        <v>10636</v>
      </c>
      <c r="O30" s="1036">
        <v>25</v>
      </c>
      <c r="P30" s="1034"/>
      <c r="Q30" s="1017">
        <v>39074</v>
      </c>
      <c r="R30" s="1040" t="s">
        <v>10883</v>
      </c>
      <c r="S30" s="1102">
        <v>26</v>
      </c>
      <c r="T30" s="1034"/>
      <c r="U30" s="1017">
        <v>39438</v>
      </c>
      <c r="V30" s="1040" t="s">
        <v>772</v>
      </c>
      <c r="W30" s="1036">
        <v>98</v>
      </c>
      <c r="X30" s="1034"/>
      <c r="Y30" s="1017">
        <v>39805</v>
      </c>
      <c r="Z30" s="1040" t="s">
        <v>10884</v>
      </c>
      <c r="AA30" s="1043">
        <v>14</v>
      </c>
      <c r="AB30" s="1034"/>
      <c r="AC30" s="1017">
        <v>40167</v>
      </c>
      <c r="AD30" s="1040" t="s">
        <v>10885</v>
      </c>
      <c r="AE30" s="1043">
        <v>3</v>
      </c>
      <c r="AF30" s="1034"/>
      <c r="AG30" s="1017">
        <v>40523</v>
      </c>
      <c r="AH30" s="1040" t="s">
        <v>10886</v>
      </c>
      <c r="AI30" s="1043">
        <v>20</v>
      </c>
      <c r="AJ30" s="1034"/>
      <c r="AK30" s="1017">
        <v>40893</v>
      </c>
      <c r="AL30" s="1040" t="s">
        <v>10887</v>
      </c>
      <c r="AM30" s="1043">
        <v>20</v>
      </c>
      <c r="AN30" s="1034"/>
      <c r="AO30" s="1017">
        <v>41251</v>
      </c>
      <c r="AP30" s="1040" t="s">
        <v>10775</v>
      </c>
      <c r="AQ30" s="1043">
        <v>11</v>
      </c>
      <c r="AR30" s="1034"/>
      <c r="AS30" s="1017">
        <v>41621</v>
      </c>
      <c r="AT30" s="1040" t="s">
        <v>979</v>
      </c>
      <c r="AU30" s="1043">
        <v>104</v>
      </c>
      <c r="AV30" s="1034"/>
      <c r="AW30" s="1017">
        <v>41990</v>
      </c>
      <c r="AX30" s="1019" t="s">
        <v>10888</v>
      </c>
      <c r="AY30" s="1043">
        <v>16</v>
      </c>
      <c r="AZ30" s="1034"/>
      <c r="BA30" s="1017">
        <v>42350</v>
      </c>
      <c r="BB30" s="1019" t="s">
        <v>954</v>
      </c>
      <c r="BC30" s="1043">
        <v>56</v>
      </c>
      <c r="BD30" s="1034"/>
      <c r="BE30" s="1017">
        <v>42716</v>
      </c>
      <c r="BF30" s="1019" t="s">
        <v>10889</v>
      </c>
      <c r="BG30" s="1111">
        <v>598</v>
      </c>
      <c r="BH30" s="1112">
        <f t="shared" si="0"/>
        <v>9.1999999999999993</v>
      </c>
      <c r="BI30" s="1017">
        <v>43078</v>
      </c>
      <c r="BJ30" s="1019" t="s">
        <v>859</v>
      </c>
      <c r="BK30" s="1063">
        <v>9</v>
      </c>
      <c r="BL30" s="1112"/>
      <c r="BM30" s="1391">
        <v>43442</v>
      </c>
      <c r="BN30" s="1393" t="s">
        <v>10890</v>
      </c>
      <c r="BO30" s="1398">
        <v>102</v>
      </c>
      <c r="BP30" s="1410"/>
      <c r="BQ30" s="1391">
        <v>43813</v>
      </c>
      <c r="BR30" s="1393" t="s">
        <v>772</v>
      </c>
      <c r="BS30" s="1409">
        <v>65</v>
      </c>
      <c r="BT30" s="1392" t="s">
        <v>414</v>
      </c>
      <c r="BU30" s="1391">
        <v>44170</v>
      </c>
      <c r="BV30" s="1393" t="s">
        <v>10891</v>
      </c>
      <c r="BW30" s="1406">
        <v>19</v>
      </c>
      <c r="BX30" s="1392" t="s">
        <v>280</v>
      </c>
      <c r="BY30" s="1391">
        <v>44535</v>
      </c>
      <c r="BZ30" s="1393" t="s">
        <v>10892</v>
      </c>
      <c r="CA30" s="1406">
        <v>28</v>
      </c>
      <c r="CB30" s="1392" t="s">
        <v>414</v>
      </c>
      <c r="CC30" s="1391">
        <v>44909</v>
      </c>
      <c r="CD30" s="1393" t="s">
        <v>10893</v>
      </c>
      <c r="CE30" s="1406">
        <v>12</v>
      </c>
      <c r="CF30" s="1392" t="s">
        <v>701</v>
      </c>
      <c r="CG30" s="1391">
        <v>45275</v>
      </c>
      <c r="CH30" s="1393" t="s">
        <v>2162</v>
      </c>
      <c r="CI30" s="1406">
        <v>12</v>
      </c>
      <c r="CJ30" s="1392" t="s">
        <v>414</v>
      </c>
      <c r="CK30" s="1391"/>
      <c r="CL30" s="1393"/>
      <c r="CM30" s="1406"/>
      <c r="CN30" s="1392"/>
    </row>
    <row r="31" spans="1:92" s="1081" customFormat="1" ht="13.5">
      <c r="A31" s="1077">
        <v>37618</v>
      </c>
      <c r="B31" s="1040" t="s">
        <v>847</v>
      </c>
      <c r="C31" s="1036">
        <v>70</v>
      </c>
      <c r="D31" s="1034"/>
      <c r="E31" s="1017">
        <v>37965</v>
      </c>
      <c r="F31" s="1040" t="s">
        <v>10894</v>
      </c>
      <c r="G31" s="1036">
        <v>10</v>
      </c>
      <c r="H31" s="1034"/>
      <c r="I31" s="1017">
        <v>38339</v>
      </c>
      <c r="J31" s="1040" t="s">
        <v>1810</v>
      </c>
      <c r="K31" s="1036">
        <v>53</v>
      </c>
      <c r="L31" s="1034"/>
      <c r="M31" s="1017">
        <v>38702</v>
      </c>
      <c r="N31" s="1040" t="s">
        <v>3384</v>
      </c>
      <c r="O31" s="1036">
        <v>20</v>
      </c>
      <c r="P31" s="1034"/>
      <c r="Q31" s="1017">
        <v>39074</v>
      </c>
      <c r="R31" s="1040" t="s">
        <v>10895</v>
      </c>
      <c r="S31" s="1102">
        <v>38</v>
      </c>
      <c r="T31" s="1034"/>
      <c r="U31" s="1017">
        <v>39438</v>
      </c>
      <c r="V31" s="1040" t="s">
        <v>1903</v>
      </c>
      <c r="W31" s="1036">
        <v>5</v>
      </c>
      <c r="X31" s="1034"/>
      <c r="Y31" s="1017">
        <v>39806</v>
      </c>
      <c r="Z31" s="1040" t="s">
        <v>10896</v>
      </c>
      <c r="AA31" s="1043">
        <v>220</v>
      </c>
      <c r="AB31" s="1034"/>
      <c r="AC31" s="1017">
        <v>40167</v>
      </c>
      <c r="AD31" s="1040" t="s">
        <v>937</v>
      </c>
      <c r="AE31" s="1043">
        <v>10</v>
      </c>
      <c r="AF31" s="1034"/>
      <c r="AG31" s="1017">
        <v>40523</v>
      </c>
      <c r="AH31" s="1040" t="s">
        <v>802</v>
      </c>
      <c r="AI31" s="1043">
        <v>44</v>
      </c>
      <c r="AJ31" s="1034"/>
      <c r="AK31" s="1017">
        <v>40895</v>
      </c>
      <c r="AL31" s="1040" t="s">
        <v>754</v>
      </c>
      <c r="AM31" s="1043">
        <v>85</v>
      </c>
      <c r="AN31" s="1034"/>
      <c r="AO31" s="1017">
        <v>41252</v>
      </c>
      <c r="AP31" s="1040" t="s">
        <v>10897</v>
      </c>
      <c r="AQ31" s="1043">
        <v>20</v>
      </c>
      <c r="AR31" s="1034"/>
      <c r="AS31" s="1017">
        <v>41621</v>
      </c>
      <c r="AT31" s="1040" t="s">
        <v>10898</v>
      </c>
      <c r="AU31" s="1043">
        <v>10</v>
      </c>
      <c r="AV31" s="1034"/>
      <c r="AW31" s="1017">
        <v>41990</v>
      </c>
      <c r="AX31" s="1019" t="s">
        <v>797</v>
      </c>
      <c r="AY31" s="1043">
        <v>37</v>
      </c>
      <c r="AZ31" s="1034"/>
      <c r="BA31" s="1017">
        <v>42350</v>
      </c>
      <c r="BB31" s="1019" t="s">
        <v>10899</v>
      </c>
      <c r="BC31" s="1043">
        <v>20</v>
      </c>
      <c r="BD31" s="1034"/>
      <c r="BE31" s="1017">
        <v>42716</v>
      </c>
      <c r="BF31" s="1019" t="s">
        <v>10900</v>
      </c>
      <c r="BG31" s="1113">
        <v>70</v>
      </c>
      <c r="BH31" s="1112"/>
      <c r="BI31" s="1017">
        <v>43078</v>
      </c>
      <c r="BJ31" s="1019" t="s">
        <v>873</v>
      </c>
      <c r="BK31" s="1063">
        <v>26</v>
      </c>
      <c r="BL31" s="1112"/>
      <c r="BM31" s="1391">
        <v>43443</v>
      </c>
      <c r="BN31" s="1393" t="s">
        <v>1903</v>
      </c>
      <c r="BO31" s="1398">
        <v>90</v>
      </c>
      <c r="BP31" s="1410"/>
      <c r="BQ31" s="1391">
        <v>43813</v>
      </c>
      <c r="BR31" s="1393" t="s">
        <v>6433</v>
      </c>
      <c r="BS31" s="1409">
        <v>18</v>
      </c>
      <c r="BT31" s="1392" t="s">
        <v>278</v>
      </c>
      <c r="BU31" s="1391">
        <v>44170</v>
      </c>
      <c r="BV31" s="1393" t="s">
        <v>10901</v>
      </c>
      <c r="BW31" s="1406">
        <v>28</v>
      </c>
      <c r="BX31" s="1392" t="s">
        <v>414</v>
      </c>
      <c r="BY31" s="1391">
        <v>44535</v>
      </c>
      <c r="BZ31" s="1393" t="s">
        <v>10902</v>
      </c>
      <c r="CA31" s="1406">
        <v>30</v>
      </c>
      <c r="CB31" s="1392" t="s">
        <v>414</v>
      </c>
      <c r="CC31" s="1391">
        <v>44909</v>
      </c>
      <c r="CD31" s="1393" t="s">
        <v>10903</v>
      </c>
      <c r="CE31" s="1406">
        <v>21</v>
      </c>
      <c r="CF31" s="1392" t="s">
        <v>280</v>
      </c>
      <c r="CG31" s="1391">
        <v>45275</v>
      </c>
      <c r="CH31" s="1393" t="s">
        <v>10904</v>
      </c>
      <c r="CI31" s="1406">
        <v>100</v>
      </c>
      <c r="CJ31" s="1392" t="s">
        <v>280</v>
      </c>
      <c r="CK31" s="1391"/>
      <c r="CL31" s="1393"/>
      <c r="CM31" s="1406"/>
      <c r="CN31" s="1392"/>
    </row>
    <row r="32" spans="1:92" s="1081" customFormat="1" ht="13.5">
      <c r="A32" s="1077">
        <v>37618</v>
      </c>
      <c r="B32" s="1040" t="s">
        <v>864</v>
      </c>
      <c r="C32" s="1036">
        <v>30</v>
      </c>
      <c r="D32" s="1034">
        <v>60</v>
      </c>
      <c r="E32" s="1017">
        <v>37969</v>
      </c>
      <c r="F32" s="1040" t="s">
        <v>10905</v>
      </c>
      <c r="G32" s="1036">
        <v>14</v>
      </c>
      <c r="H32" s="1034"/>
      <c r="I32" s="1017">
        <v>38339</v>
      </c>
      <c r="J32" s="1040" t="s">
        <v>10906</v>
      </c>
      <c r="K32" s="1036">
        <v>20</v>
      </c>
      <c r="L32" s="1034"/>
      <c r="M32" s="1017">
        <v>38702</v>
      </c>
      <c r="N32" s="1040" t="s">
        <v>10907</v>
      </c>
      <c r="O32" s="1036">
        <v>8</v>
      </c>
      <c r="P32" s="1034"/>
      <c r="Q32" s="1017">
        <v>39074</v>
      </c>
      <c r="R32" s="1040" t="s">
        <v>10908</v>
      </c>
      <c r="S32" s="1102">
        <v>114</v>
      </c>
      <c r="T32" s="1034"/>
      <c r="U32" s="1017">
        <v>39438</v>
      </c>
      <c r="V32" s="1040" t="s">
        <v>10909</v>
      </c>
      <c r="W32" s="1036">
        <v>2</v>
      </c>
      <c r="X32" s="1034"/>
      <c r="Y32" s="1017">
        <v>39806</v>
      </c>
      <c r="Z32" s="1040" t="s">
        <v>797</v>
      </c>
      <c r="AA32" s="1043">
        <v>28</v>
      </c>
      <c r="AB32" s="1034"/>
      <c r="AC32" s="1017">
        <v>40167</v>
      </c>
      <c r="AD32" s="1040" t="s">
        <v>10910</v>
      </c>
      <c r="AE32" s="1043">
        <v>1</v>
      </c>
      <c r="AF32" s="1034"/>
      <c r="AG32" s="1017">
        <v>40524</v>
      </c>
      <c r="AH32" s="1040" t="s">
        <v>10911</v>
      </c>
      <c r="AI32" s="1043">
        <v>0</v>
      </c>
      <c r="AJ32" s="1034"/>
      <c r="AK32" s="1017">
        <v>40895</v>
      </c>
      <c r="AL32" s="1040" t="s">
        <v>781</v>
      </c>
      <c r="AM32" s="1043">
        <v>50</v>
      </c>
      <c r="AN32" s="1034"/>
      <c r="AO32" s="1017">
        <v>41252</v>
      </c>
      <c r="AP32" s="1040" t="s">
        <v>10775</v>
      </c>
      <c r="AQ32" s="1043">
        <v>9</v>
      </c>
      <c r="AR32" s="1034"/>
      <c r="AS32" s="1017">
        <v>41621</v>
      </c>
      <c r="AT32" s="1040" t="s">
        <v>797</v>
      </c>
      <c r="AU32" s="1043">
        <v>56</v>
      </c>
      <c r="AV32" s="1034"/>
      <c r="AW32" s="1017">
        <v>41991</v>
      </c>
      <c r="AX32" s="1019" t="s">
        <v>10912</v>
      </c>
      <c r="AY32" s="1043">
        <v>34</v>
      </c>
      <c r="AZ32" s="1034"/>
      <c r="BA32" s="1017">
        <v>42350</v>
      </c>
      <c r="BB32" s="1019" t="s">
        <v>10913</v>
      </c>
      <c r="BC32" s="1043">
        <v>10</v>
      </c>
      <c r="BD32" s="1034"/>
      <c r="BE32" s="1017">
        <v>42716</v>
      </c>
      <c r="BF32" s="1019" t="s">
        <v>10914</v>
      </c>
      <c r="BG32" s="1113">
        <v>12</v>
      </c>
      <c r="BH32" s="1112"/>
      <c r="BI32" s="1017">
        <v>43078</v>
      </c>
      <c r="BJ32" s="1019" t="s">
        <v>2226</v>
      </c>
      <c r="BK32" s="1063">
        <v>6</v>
      </c>
      <c r="BL32" s="1112"/>
      <c r="BM32" s="1391">
        <v>43443</v>
      </c>
      <c r="BN32" s="1393" t="s">
        <v>1052</v>
      </c>
      <c r="BO32" s="1398">
        <v>23</v>
      </c>
      <c r="BP32" s="1410"/>
      <c r="BQ32" s="1391">
        <v>43813</v>
      </c>
      <c r="BR32" s="1393" t="s">
        <v>10915</v>
      </c>
      <c r="BS32" s="1409">
        <v>0</v>
      </c>
      <c r="BT32" s="1392" t="s">
        <v>414</v>
      </c>
      <c r="BU32" s="1391">
        <v>44170</v>
      </c>
      <c r="BV32" s="1393" t="s">
        <v>10916</v>
      </c>
      <c r="BW32" s="1406">
        <v>17</v>
      </c>
      <c r="BX32" s="1392" t="s">
        <v>414</v>
      </c>
      <c r="BY32" s="1391">
        <v>44535</v>
      </c>
      <c r="BZ32" s="1393" t="s">
        <v>2253</v>
      </c>
      <c r="CA32" s="1406">
        <v>28</v>
      </c>
      <c r="CB32" s="1392" t="s">
        <v>414</v>
      </c>
      <c r="CC32" s="1391">
        <v>44909</v>
      </c>
      <c r="CD32" s="1393" t="s">
        <v>10917</v>
      </c>
      <c r="CE32" s="1406">
        <v>7</v>
      </c>
      <c r="CF32" s="1392" t="s">
        <v>280</v>
      </c>
      <c r="CG32" s="1391">
        <v>45275</v>
      </c>
      <c r="CH32" s="1393" t="s">
        <v>10918</v>
      </c>
      <c r="CI32" s="1406">
        <v>120</v>
      </c>
      <c r="CJ32" s="1392" t="s">
        <v>700</v>
      </c>
      <c r="CK32" s="1391"/>
      <c r="CL32" s="1393"/>
      <c r="CM32" s="1406"/>
      <c r="CN32" s="1392"/>
    </row>
    <row r="33" spans="1:92" s="1081" customFormat="1" ht="13.5">
      <c r="A33" s="1077">
        <v>37618</v>
      </c>
      <c r="B33" s="1040" t="s">
        <v>10850</v>
      </c>
      <c r="C33" s="1036">
        <v>50</v>
      </c>
      <c r="D33" s="1034"/>
      <c r="E33" s="1017">
        <v>37969</v>
      </c>
      <c r="F33" s="1040" t="s">
        <v>10919</v>
      </c>
      <c r="G33" s="1036">
        <v>28</v>
      </c>
      <c r="H33" s="1034"/>
      <c r="I33" s="1017">
        <v>38340</v>
      </c>
      <c r="J33" s="1040" t="s">
        <v>10920</v>
      </c>
      <c r="K33" s="1036">
        <v>16</v>
      </c>
      <c r="L33" s="1034"/>
      <c r="M33" s="1017">
        <v>38702</v>
      </c>
      <c r="N33" s="1040" t="s">
        <v>772</v>
      </c>
      <c r="O33" s="1036">
        <v>62</v>
      </c>
      <c r="P33" s="1034"/>
      <c r="Q33" s="1017">
        <v>39074</v>
      </c>
      <c r="R33" s="1040" t="s">
        <v>10921</v>
      </c>
      <c r="S33" s="1102">
        <v>25</v>
      </c>
      <c r="T33" s="1034"/>
      <c r="U33" s="1017">
        <v>39438</v>
      </c>
      <c r="V33" s="1040" t="s">
        <v>10922</v>
      </c>
      <c r="W33" s="1036">
        <v>8</v>
      </c>
      <c r="X33" s="1034"/>
      <c r="Y33" s="1017">
        <v>39806</v>
      </c>
      <c r="Z33" s="1040" t="s">
        <v>767</v>
      </c>
      <c r="AA33" s="1043">
        <v>23</v>
      </c>
      <c r="AB33" s="1034"/>
      <c r="AC33" s="1017">
        <v>40167</v>
      </c>
      <c r="AD33" s="1040" t="s">
        <v>10923</v>
      </c>
      <c r="AE33" s="1043">
        <v>22</v>
      </c>
      <c r="AF33" s="1034"/>
      <c r="AG33" s="1017">
        <v>40524</v>
      </c>
      <c r="AH33" s="1040" t="s">
        <v>10924</v>
      </c>
      <c r="AI33" s="1043">
        <v>60</v>
      </c>
      <c r="AJ33" s="1034"/>
      <c r="AK33" s="1017">
        <v>40895</v>
      </c>
      <c r="AL33" s="1040" t="s">
        <v>772</v>
      </c>
      <c r="AM33" s="1043">
        <v>70</v>
      </c>
      <c r="AN33" s="1034"/>
      <c r="AO33" s="1017">
        <v>41252</v>
      </c>
      <c r="AP33" s="1040" t="s">
        <v>10775</v>
      </c>
      <c r="AQ33" s="1043">
        <v>4</v>
      </c>
      <c r="AR33" s="1034"/>
      <c r="AS33" s="1017">
        <v>41621</v>
      </c>
      <c r="AT33" s="1040" t="s">
        <v>754</v>
      </c>
      <c r="AU33" s="1043">
        <v>75</v>
      </c>
      <c r="AV33" s="1034"/>
      <c r="AW33" s="1017">
        <v>41991</v>
      </c>
      <c r="AX33" s="1019" t="s">
        <v>10925</v>
      </c>
      <c r="AY33" s="1043">
        <v>29</v>
      </c>
      <c r="AZ33" s="1034"/>
      <c r="BA33" s="1017">
        <v>42350</v>
      </c>
      <c r="BB33" s="1019" t="s">
        <v>754</v>
      </c>
      <c r="BC33" s="1043">
        <v>131</v>
      </c>
      <c r="BD33" s="1034"/>
      <c r="BE33" s="1017">
        <v>42716</v>
      </c>
      <c r="BF33" s="1019" t="s">
        <v>10926</v>
      </c>
      <c r="BG33" s="1113">
        <v>7</v>
      </c>
      <c r="BH33" s="1112"/>
      <c r="BI33" s="1017">
        <v>43078</v>
      </c>
      <c r="BJ33" s="1019" t="s">
        <v>10927</v>
      </c>
      <c r="BK33" s="1063">
        <v>3</v>
      </c>
      <c r="BL33" s="1112"/>
      <c r="BM33" s="1391">
        <v>43444</v>
      </c>
      <c r="BN33" s="1393" t="s">
        <v>1849</v>
      </c>
      <c r="BO33" s="1398">
        <v>8</v>
      </c>
      <c r="BP33" s="1410"/>
      <c r="BQ33" s="1391">
        <v>43814</v>
      </c>
      <c r="BR33" s="1393" t="s">
        <v>10928</v>
      </c>
      <c r="BS33" s="1409">
        <v>42</v>
      </c>
      <c r="BT33" s="1392" t="s">
        <v>280</v>
      </c>
      <c r="BU33" s="1391">
        <v>44170</v>
      </c>
      <c r="BV33" s="1393" t="s">
        <v>4085</v>
      </c>
      <c r="BW33" s="1406">
        <v>9</v>
      </c>
      <c r="BX33" s="1392" t="s">
        <v>414</v>
      </c>
      <c r="BY33" s="1391">
        <v>44535</v>
      </c>
      <c r="BZ33" s="1393" t="s">
        <v>10929</v>
      </c>
      <c r="CA33" s="1406">
        <v>27</v>
      </c>
      <c r="CB33" s="1392" t="s">
        <v>414</v>
      </c>
      <c r="CC33" s="1391">
        <v>44909</v>
      </c>
      <c r="CD33" s="1393" t="s">
        <v>10930</v>
      </c>
      <c r="CE33" s="1406">
        <v>0</v>
      </c>
      <c r="CF33" s="1392" t="s">
        <v>280</v>
      </c>
      <c r="CG33" s="1391">
        <v>45275</v>
      </c>
      <c r="CH33" s="1393" t="s">
        <v>10931</v>
      </c>
      <c r="CI33" s="1406">
        <v>590</v>
      </c>
      <c r="CJ33" s="1392" t="s">
        <v>712</v>
      </c>
      <c r="CK33" s="1391">
        <v>45646</v>
      </c>
      <c r="CL33" s="1393" t="s">
        <v>10932</v>
      </c>
      <c r="CM33" s="1406">
        <v>300</v>
      </c>
      <c r="CN33" s="1392" t="s">
        <v>700</v>
      </c>
    </row>
    <row r="34" spans="1:92" s="1081" customFormat="1" ht="13.5">
      <c r="A34" s="1077">
        <v>37619</v>
      </c>
      <c r="B34" s="1040" t="s">
        <v>915</v>
      </c>
      <c r="C34" s="1036">
        <v>27</v>
      </c>
      <c r="D34" s="1034"/>
      <c r="E34" s="1017">
        <v>37969</v>
      </c>
      <c r="F34" s="1040" t="s">
        <v>10933</v>
      </c>
      <c r="G34" s="1036">
        <v>6</v>
      </c>
      <c r="H34" s="1034"/>
      <c r="I34" s="1017">
        <v>38340</v>
      </c>
      <c r="J34" s="1040" t="s">
        <v>867</v>
      </c>
      <c r="K34" s="1036">
        <v>15</v>
      </c>
      <c r="L34" s="1034"/>
      <c r="M34" s="1017">
        <v>38702</v>
      </c>
      <c r="N34" s="1040" t="s">
        <v>9921</v>
      </c>
      <c r="O34" s="1036">
        <v>28</v>
      </c>
      <c r="P34" s="1034"/>
      <c r="Q34" s="1017">
        <v>39074</v>
      </c>
      <c r="R34" s="1040" t="s">
        <v>10934</v>
      </c>
      <c r="S34" s="1102">
        <v>35</v>
      </c>
      <c r="T34" s="1034"/>
      <c r="U34" s="1017">
        <v>39439</v>
      </c>
      <c r="V34" s="1040" t="s">
        <v>10935</v>
      </c>
      <c r="W34" s="1036">
        <v>0</v>
      </c>
      <c r="X34" s="1034"/>
      <c r="Y34" s="1017">
        <v>39806</v>
      </c>
      <c r="Z34" s="1040" t="s">
        <v>10936</v>
      </c>
      <c r="AA34" s="1043">
        <v>17</v>
      </c>
      <c r="AB34" s="1034"/>
      <c r="AC34" s="1017">
        <v>40167</v>
      </c>
      <c r="AD34" s="1040" t="s">
        <v>10937</v>
      </c>
      <c r="AE34" s="1043">
        <v>14</v>
      </c>
      <c r="AF34" s="1034"/>
      <c r="AG34" s="1017">
        <v>40524</v>
      </c>
      <c r="AH34" s="1040" t="s">
        <v>1352</v>
      </c>
      <c r="AI34" s="1043">
        <v>27</v>
      </c>
      <c r="AJ34" s="1034"/>
      <c r="AK34" s="1017">
        <v>40895</v>
      </c>
      <c r="AL34" s="1040" t="s">
        <v>10938</v>
      </c>
      <c r="AM34" s="1043">
        <v>20</v>
      </c>
      <c r="AN34" s="1034"/>
      <c r="AO34" s="1017">
        <v>41252</v>
      </c>
      <c r="AP34" s="1040" t="s">
        <v>781</v>
      </c>
      <c r="AQ34" s="1043">
        <v>12</v>
      </c>
      <c r="AR34" s="1034"/>
      <c r="AS34" s="1017">
        <v>41621</v>
      </c>
      <c r="AT34" s="1040" t="s">
        <v>10939</v>
      </c>
      <c r="AU34" s="1043">
        <v>11</v>
      </c>
      <c r="AV34" s="1034"/>
      <c r="AW34" s="1017">
        <v>41991</v>
      </c>
      <c r="AX34" s="1019" t="s">
        <v>954</v>
      </c>
      <c r="AY34" s="1043">
        <v>20</v>
      </c>
      <c r="AZ34" s="1034"/>
      <c r="BA34" s="1017">
        <v>42350</v>
      </c>
      <c r="BB34" s="1019" t="s">
        <v>10940</v>
      </c>
      <c r="BC34" s="1043">
        <v>1</v>
      </c>
      <c r="BD34" s="1034"/>
      <c r="BE34" s="1017">
        <v>42716</v>
      </c>
      <c r="BF34" s="1019" t="s">
        <v>10941</v>
      </c>
      <c r="BG34" s="1113">
        <v>10</v>
      </c>
      <c r="BH34" s="1112"/>
      <c r="BI34" s="1017">
        <v>43079</v>
      </c>
      <c r="BJ34" s="1019" t="s">
        <v>1770</v>
      </c>
      <c r="BK34" s="1063">
        <v>20</v>
      </c>
      <c r="BL34" s="1112"/>
      <c r="BM34" s="1391">
        <v>43444</v>
      </c>
      <c r="BN34" s="1393" t="s">
        <v>797</v>
      </c>
      <c r="BO34" s="1398">
        <v>55</v>
      </c>
      <c r="BP34" s="1410"/>
      <c r="BQ34" s="1391">
        <v>43815</v>
      </c>
      <c r="BR34" s="1393" t="s">
        <v>6433</v>
      </c>
      <c r="BS34" s="1409">
        <v>10</v>
      </c>
      <c r="BT34" s="1392" t="s">
        <v>278</v>
      </c>
      <c r="BU34" s="1391">
        <v>44170</v>
      </c>
      <c r="BV34" s="1393" t="s">
        <v>3352</v>
      </c>
      <c r="BW34" s="1406">
        <v>9</v>
      </c>
      <c r="BX34" s="1392" t="s">
        <v>414</v>
      </c>
      <c r="BY34" s="1391">
        <v>44535</v>
      </c>
      <c r="BZ34" s="1393" t="s">
        <v>1166</v>
      </c>
      <c r="CA34" s="1406">
        <v>29</v>
      </c>
      <c r="CB34" s="1392" t="s">
        <v>414</v>
      </c>
      <c r="CC34" s="1391">
        <v>44909</v>
      </c>
      <c r="CD34" s="1393" t="s">
        <v>10942</v>
      </c>
      <c r="CE34" s="1406">
        <v>0</v>
      </c>
      <c r="CF34" s="1392" t="s">
        <v>280</v>
      </c>
      <c r="CG34" s="1391">
        <v>45275</v>
      </c>
      <c r="CH34" s="1393" t="s">
        <v>10943</v>
      </c>
      <c r="CI34" s="1406">
        <v>10</v>
      </c>
      <c r="CJ34" s="1392" t="s">
        <v>284</v>
      </c>
      <c r="CK34" s="1391">
        <v>45646</v>
      </c>
      <c r="CL34" s="1393" t="s">
        <v>10944</v>
      </c>
      <c r="CM34" s="1406">
        <v>300</v>
      </c>
      <c r="CN34" s="1392" t="s">
        <v>700</v>
      </c>
    </row>
    <row r="35" spans="1:92" s="1081" customFormat="1" ht="13.5">
      <c r="A35" s="1077">
        <v>37620</v>
      </c>
      <c r="B35" s="1040" t="s">
        <v>10945</v>
      </c>
      <c r="C35" s="1036">
        <v>100</v>
      </c>
      <c r="D35" s="1034"/>
      <c r="E35" s="1017">
        <v>37969</v>
      </c>
      <c r="F35" s="1040" t="s">
        <v>2284</v>
      </c>
      <c r="G35" s="1036">
        <v>36</v>
      </c>
      <c r="H35" s="1034"/>
      <c r="I35" s="1017">
        <v>38340</v>
      </c>
      <c r="J35" s="1040" t="s">
        <v>10946</v>
      </c>
      <c r="K35" s="1036">
        <v>10</v>
      </c>
      <c r="L35" s="1034"/>
      <c r="M35" s="1017">
        <v>38703</v>
      </c>
      <c r="N35" s="1040" t="s">
        <v>10636</v>
      </c>
      <c r="O35" s="1036">
        <v>20</v>
      </c>
      <c r="P35" s="1034"/>
      <c r="Q35" s="1017">
        <v>39074</v>
      </c>
      <c r="R35" s="1040" t="s">
        <v>797</v>
      </c>
      <c r="S35" s="1102">
        <v>39</v>
      </c>
      <c r="T35" s="1034"/>
      <c r="U35" s="1017">
        <v>39440</v>
      </c>
      <c r="V35" s="1040" t="s">
        <v>797</v>
      </c>
      <c r="W35" s="1036">
        <v>51</v>
      </c>
      <c r="X35" s="1034"/>
      <c r="Y35" s="1017">
        <v>39808</v>
      </c>
      <c r="Z35" s="1040" t="s">
        <v>797</v>
      </c>
      <c r="AA35" s="1043">
        <v>11</v>
      </c>
      <c r="AB35" s="1034"/>
      <c r="AC35" s="1017">
        <v>40168</v>
      </c>
      <c r="AD35" s="1040" t="s">
        <v>937</v>
      </c>
      <c r="AE35" s="1043">
        <v>16</v>
      </c>
      <c r="AF35" s="1034"/>
      <c r="AG35" s="1017">
        <v>40524</v>
      </c>
      <c r="AH35" s="1040" t="s">
        <v>797</v>
      </c>
      <c r="AI35" s="1043">
        <v>45</v>
      </c>
      <c r="AJ35" s="1034"/>
      <c r="AK35" s="1017">
        <v>40895</v>
      </c>
      <c r="AL35" s="1040" t="s">
        <v>1584</v>
      </c>
      <c r="AM35" s="1043">
        <v>25</v>
      </c>
      <c r="AN35" s="1034"/>
      <c r="AO35" s="1017">
        <v>41252</v>
      </c>
      <c r="AP35" s="1040" t="s">
        <v>10947</v>
      </c>
      <c r="AQ35" s="1043">
        <v>50</v>
      </c>
      <c r="AR35" s="1034"/>
      <c r="AS35" s="1017">
        <v>41621</v>
      </c>
      <c r="AT35" s="1040" t="s">
        <v>1573</v>
      </c>
      <c r="AU35" s="1043">
        <v>26</v>
      </c>
      <c r="AV35" s="1034"/>
      <c r="AW35" s="1017">
        <v>41993</v>
      </c>
      <c r="AX35" s="1019" t="s">
        <v>10948</v>
      </c>
      <c r="AY35" s="1043">
        <v>95</v>
      </c>
      <c r="AZ35" s="1034"/>
      <c r="BA35" s="1017">
        <v>42352</v>
      </c>
      <c r="BB35" s="1019" t="s">
        <v>10949</v>
      </c>
      <c r="BC35" s="1043">
        <v>111</v>
      </c>
      <c r="BD35" s="1034"/>
      <c r="BE35" s="1017">
        <v>42716</v>
      </c>
      <c r="BF35" s="1019" t="s">
        <v>10950</v>
      </c>
      <c r="BG35" s="1113">
        <v>8</v>
      </c>
      <c r="BH35" s="1112"/>
      <c r="BI35" s="1017">
        <v>43079</v>
      </c>
      <c r="BJ35" s="1019" t="s">
        <v>1427</v>
      </c>
      <c r="BK35" s="1063">
        <v>6</v>
      </c>
      <c r="BL35" s="1112"/>
      <c r="BM35" s="1391">
        <v>43444</v>
      </c>
      <c r="BN35" s="1393" t="s">
        <v>10951</v>
      </c>
      <c r="BO35" s="1398">
        <v>12</v>
      </c>
      <c r="BP35" s="1410"/>
      <c r="BQ35" s="1391">
        <v>43815</v>
      </c>
      <c r="BR35" s="1393" t="s">
        <v>10952</v>
      </c>
      <c r="BS35" s="1409">
        <v>10</v>
      </c>
      <c r="BT35" s="1392" t="s">
        <v>278</v>
      </c>
      <c r="BU35" s="1391">
        <v>44170</v>
      </c>
      <c r="BV35" s="1393" t="s">
        <v>10953</v>
      </c>
      <c r="BW35" s="1406">
        <v>17</v>
      </c>
      <c r="BX35" s="1392" t="s">
        <v>414</v>
      </c>
      <c r="BY35" s="1391">
        <v>44535</v>
      </c>
      <c r="BZ35" s="1393" t="s">
        <v>1693</v>
      </c>
      <c r="CA35" s="1406">
        <v>27</v>
      </c>
      <c r="CB35" s="1392" t="s">
        <v>414</v>
      </c>
      <c r="CC35" s="1391">
        <v>44909</v>
      </c>
      <c r="CD35" s="1393" t="s">
        <v>10954</v>
      </c>
      <c r="CE35" s="1406">
        <v>24</v>
      </c>
      <c r="CF35" s="1392" t="s">
        <v>280</v>
      </c>
      <c r="CG35" s="1391">
        <v>45275</v>
      </c>
      <c r="CH35" s="1393" t="s">
        <v>1180</v>
      </c>
      <c r="CI35" s="1406">
        <v>79</v>
      </c>
      <c r="CJ35" s="1392" t="s">
        <v>410</v>
      </c>
      <c r="CK35" s="1391">
        <v>45646</v>
      </c>
      <c r="CL35" s="1393" t="s">
        <v>10955</v>
      </c>
      <c r="CM35" s="1406">
        <v>200</v>
      </c>
      <c r="CN35" s="1392" t="s">
        <v>700</v>
      </c>
    </row>
    <row r="36" spans="1:92" s="1081" customFormat="1" ht="13.5">
      <c r="A36" s="1077">
        <v>37620</v>
      </c>
      <c r="B36" s="1040" t="s">
        <v>10956</v>
      </c>
      <c r="C36" s="1036">
        <v>64</v>
      </c>
      <c r="D36" s="1034"/>
      <c r="E36" s="1114">
        <v>37969</v>
      </c>
      <c r="F36" s="1066" t="s">
        <v>10957</v>
      </c>
      <c r="G36" s="1036">
        <v>4</v>
      </c>
      <c r="H36" s="1115"/>
      <c r="I36" s="1017">
        <v>38342</v>
      </c>
      <c r="J36" s="1040" t="s">
        <v>10958</v>
      </c>
      <c r="K36" s="1036">
        <v>4</v>
      </c>
      <c r="L36" s="1034"/>
      <c r="M36" s="1017">
        <v>38704</v>
      </c>
      <c r="N36" s="1040" t="s">
        <v>10959</v>
      </c>
      <c r="O36" s="1036">
        <v>20</v>
      </c>
      <c r="P36" s="1034"/>
      <c r="Q36" s="1114">
        <v>39075</v>
      </c>
      <c r="R36" s="1066" t="s">
        <v>787</v>
      </c>
      <c r="S36" s="1102">
        <v>19</v>
      </c>
      <c r="T36" s="1115"/>
      <c r="U36" s="1017">
        <v>39442</v>
      </c>
      <c r="V36" s="1040" t="s">
        <v>5921</v>
      </c>
      <c r="W36" s="1036">
        <v>20</v>
      </c>
      <c r="X36" s="1034"/>
      <c r="Y36" s="1017">
        <v>39808</v>
      </c>
      <c r="Z36" s="1040" t="s">
        <v>781</v>
      </c>
      <c r="AA36" s="1043">
        <v>100</v>
      </c>
      <c r="AB36" s="1034"/>
      <c r="AC36" s="1017">
        <v>40169</v>
      </c>
      <c r="AD36" s="1040" t="s">
        <v>10960</v>
      </c>
      <c r="AE36" s="1043">
        <v>9</v>
      </c>
      <c r="AF36" s="1034"/>
      <c r="AG36" s="1017">
        <v>40524</v>
      </c>
      <c r="AH36" s="1040" t="s">
        <v>10961</v>
      </c>
      <c r="AI36" s="1043">
        <v>55</v>
      </c>
      <c r="AJ36" s="1034"/>
      <c r="AK36" s="1017">
        <v>40895</v>
      </c>
      <c r="AL36" s="1040" t="s">
        <v>10962</v>
      </c>
      <c r="AM36" s="1043">
        <v>20</v>
      </c>
      <c r="AN36" s="1034"/>
      <c r="AO36" s="1017">
        <v>41252</v>
      </c>
      <c r="AP36" s="1040" t="s">
        <v>10963</v>
      </c>
      <c r="AQ36" s="1043">
        <v>40</v>
      </c>
      <c r="AR36" s="1034"/>
      <c r="AS36" s="1017">
        <v>41621</v>
      </c>
      <c r="AT36" s="1040" t="s">
        <v>802</v>
      </c>
      <c r="AU36" s="1043">
        <v>49</v>
      </c>
      <c r="AV36" s="1034"/>
      <c r="AW36" s="1017">
        <v>41993</v>
      </c>
      <c r="AX36" s="1019" t="s">
        <v>10964</v>
      </c>
      <c r="AY36" s="1043">
        <v>11</v>
      </c>
      <c r="AZ36" s="1034"/>
      <c r="BA36" s="1017">
        <v>42352</v>
      </c>
      <c r="BB36" s="1019" t="s">
        <v>10965</v>
      </c>
      <c r="BC36" s="1043">
        <v>53</v>
      </c>
      <c r="BD36" s="1034"/>
      <c r="BE36" s="1017">
        <v>42716</v>
      </c>
      <c r="BF36" s="1019" t="s">
        <v>10966</v>
      </c>
      <c r="BG36" s="1111">
        <v>750</v>
      </c>
      <c r="BH36" s="1112">
        <f t="shared" si="0"/>
        <v>11.538461538461538</v>
      </c>
      <c r="BI36" s="1017">
        <v>43080</v>
      </c>
      <c r="BJ36" s="1019" t="s">
        <v>10967</v>
      </c>
      <c r="BK36" s="1063">
        <v>50</v>
      </c>
      <c r="BL36" s="1112"/>
      <c r="BM36" s="1391">
        <v>43448</v>
      </c>
      <c r="BN36" s="1393" t="s">
        <v>10968</v>
      </c>
      <c r="BO36" s="1398">
        <v>31</v>
      </c>
      <c r="BP36" s="1410"/>
      <c r="BQ36" s="1391">
        <v>43815</v>
      </c>
      <c r="BR36" s="1393" t="s">
        <v>10969</v>
      </c>
      <c r="BS36" s="1409">
        <v>21</v>
      </c>
      <c r="BT36" s="1392" t="s">
        <v>414</v>
      </c>
      <c r="BU36" s="1391">
        <v>44170</v>
      </c>
      <c r="BV36" s="1393" t="s">
        <v>2144</v>
      </c>
      <c r="BW36" s="1406">
        <v>3</v>
      </c>
      <c r="BX36" s="1392" t="s">
        <v>414</v>
      </c>
      <c r="BY36" s="1391">
        <v>44535</v>
      </c>
      <c r="BZ36" s="1393" t="s">
        <v>2012</v>
      </c>
      <c r="CA36" s="1406">
        <v>0</v>
      </c>
      <c r="CB36" s="1392" t="s">
        <v>414</v>
      </c>
      <c r="CC36" s="1391">
        <v>44909</v>
      </c>
      <c r="CD36" s="1393" t="s">
        <v>10970</v>
      </c>
      <c r="CE36" s="1406">
        <v>25</v>
      </c>
      <c r="CF36" s="1392" t="s">
        <v>426</v>
      </c>
      <c r="CG36" s="1391">
        <v>45275</v>
      </c>
      <c r="CH36" s="1393" t="s">
        <v>10647</v>
      </c>
      <c r="CI36" s="1406">
        <v>125</v>
      </c>
      <c r="CJ36" s="1392" t="s">
        <v>414</v>
      </c>
      <c r="CK36" s="1391">
        <v>45646</v>
      </c>
      <c r="CL36" s="1393" t="s">
        <v>1180</v>
      </c>
      <c r="CM36" s="1406">
        <v>51</v>
      </c>
      <c r="CN36" s="1392" t="s">
        <v>410</v>
      </c>
    </row>
    <row r="37" spans="1:92" s="1081" customFormat="1" ht="13.5">
      <c r="A37" s="1077">
        <v>37620</v>
      </c>
      <c r="B37" s="1040" t="s">
        <v>10971</v>
      </c>
      <c r="C37" s="1036"/>
      <c r="D37" s="1034">
        <v>25</v>
      </c>
      <c r="E37" s="1017">
        <v>37970</v>
      </c>
      <c r="F37" s="1040" t="s">
        <v>10972</v>
      </c>
      <c r="G37" s="1036">
        <v>30</v>
      </c>
      <c r="H37" s="1034"/>
      <c r="I37" s="1114">
        <v>38342</v>
      </c>
      <c r="J37" s="1066" t="s">
        <v>2567</v>
      </c>
      <c r="K37" s="1036">
        <v>112</v>
      </c>
      <c r="L37" s="1115"/>
      <c r="M37" s="1017">
        <v>38704</v>
      </c>
      <c r="N37" s="1066" t="s">
        <v>1157</v>
      </c>
      <c r="O37" s="1036">
        <v>27</v>
      </c>
      <c r="P37" s="1115"/>
      <c r="Q37" s="1114">
        <v>39075</v>
      </c>
      <c r="R37" s="1040" t="s">
        <v>960</v>
      </c>
      <c r="S37" s="1102">
        <v>9</v>
      </c>
      <c r="T37" s="1034"/>
      <c r="U37" s="1017">
        <v>39442</v>
      </c>
      <c r="V37" s="1040" t="s">
        <v>10909</v>
      </c>
      <c r="W37" s="1036"/>
      <c r="X37" s="1034"/>
      <c r="Y37" s="1017">
        <v>39808</v>
      </c>
      <c r="Z37" s="1040" t="s">
        <v>10973</v>
      </c>
      <c r="AA37" s="1043">
        <v>23</v>
      </c>
      <c r="AB37" s="1034"/>
      <c r="AC37" s="1017">
        <v>40169</v>
      </c>
      <c r="AD37" s="1040" t="s">
        <v>781</v>
      </c>
      <c r="AE37" s="1043">
        <v>115</v>
      </c>
      <c r="AF37" s="1034"/>
      <c r="AG37" s="1017">
        <v>40524</v>
      </c>
      <c r="AH37" s="1040" t="s">
        <v>10974</v>
      </c>
      <c r="AI37" s="1043">
        <v>65</v>
      </c>
      <c r="AJ37" s="1034"/>
      <c r="AK37" s="1017">
        <v>40898</v>
      </c>
      <c r="AL37" s="1040" t="s">
        <v>754</v>
      </c>
      <c r="AM37" s="1043">
        <v>41</v>
      </c>
      <c r="AN37" s="1034"/>
      <c r="AO37" s="1017">
        <v>41252</v>
      </c>
      <c r="AP37" s="1040" t="s">
        <v>10975</v>
      </c>
      <c r="AQ37" s="1043">
        <v>8</v>
      </c>
      <c r="AR37" s="1034"/>
      <c r="AS37" s="1017">
        <v>41621</v>
      </c>
      <c r="AT37" s="1040" t="s">
        <v>10976</v>
      </c>
      <c r="AU37" s="1043">
        <v>10</v>
      </c>
      <c r="AV37" s="1034"/>
      <c r="AW37" s="1017">
        <v>41993</v>
      </c>
      <c r="AX37" s="1019" t="s">
        <v>10977</v>
      </c>
      <c r="AY37" s="1043">
        <v>2</v>
      </c>
      <c r="AZ37" s="1034"/>
      <c r="BA37" s="1017">
        <v>42352</v>
      </c>
      <c r="BB37" s="1019" t="s">
        <v>772</v>
      </c>
      <c r="BC37" s="1043">
        <v>9</v>
      </c>
      <c r="BD37" s="1034"/>
      <c r="BE37" s="1017">
        <v>42716</v>
      </c>
      <c r="BF37" s="1019" t="s">
        <v>10978</v>
      </c>
      <c r="BG37" s="1111">
        <v>250</v>
      </c>
      <c r="BH37" s="1112">
        <f t="shared" si="0"/>
        <v>3.8461538461538463</v>
      </c>
      <c r="BI37" s="1017">
        <v>43080</v>
      </c>
      <c r="BJ37" s="1019" t="s">
        <v>10979</v>
      </c>
      <c r="BK37" s="1063">
        <v>35</v>
      </c>
      <c r="BL37" s="1112"/>
      <c r="BM37" s="1391">
        <v>43448</v>
      </c>
      <c r="BN37" s="1393" t="s">
        <v>1901</v>
      </c>
      <c r="BO37" s="1398">
        <v>26</v>
      </c>
      <c r="BP37" s="1410"/>
      <c r="BQ37" s="1391">
        <v>43815</v>
      </c>
      <c r="BR37" s="1393" t="s">
        <v>10980</v>
      </c>
      <c r="BS37" s="1409">
        <v>10</v>
      </c>
      <c r="BT37" s="1392" t="s">
        <v>414</v>
      </c>
      <c r="BU37" s="1391">
        <v>44170</v>
      </c>
      <c r="BV37" s="1393" t="s">
        <v>10981</v>
      </c>
      <c r="BW37" s="1406">
        <v>7</v>
      </c>
      <c r="BX37" s="1392" t="s">
        <v>414</v>
      </c>
      <c r="BY37" s="1391">
        <v>44535</v>
      </c>
      <c r="BZ37" s="1393" t="s">
        <v>10982</v>
      </c>
      <c r="CA37" s="1406">
        <v>0</v>
      </c>
      <c r="CB37" s="1392" t="s">
        <v>414</v>
      </c>
      <c r="CC37" s="1391">
        <v>44909</v>
      </c>
      <c r="CD37" s="1393" t="s">
        <v>10983</v>
      </c>
      <c r="CE37" s="1406">
        <v>62</v>
      </c>
      <c r="CF37" s="1392" t="s">
        <v>426</v>
      </c>
      <c r="CG37" s="1391">
        <v>45276</v>
      </c>
      <c r="CH37" s="1393" t="s">
        <v>8832</v>
      </c>
      <c r="CI37" s="1406">
        <v>35</v>
      </c>
      <c r="CJ37" s="1392" t="s">
        <v>414</v>
      </c>
      <c r="CK37" s="1391">
        <v>45646</v>
      </c>
      <c r="CL37" s="1393" t="s">
        <v>10984</v>
      </c>
      <c r="CM37" s="1406">
        <v>27</v>
      </c>
      <c r="CN37" s="1392" t="s">
        <v>278</v>
      </c>
    </row>
    <row r="38" spans="1:92" s="1081" customFormat="1" ht="13.5">
      <c r="A38" s="1077">
        <v>37620</v>
      </c>
      <c r="B38" s="1040" t="s">
        <v>10985</v>
      </c>
      <c r="C38" s="1036">
        <v>16</v>
      </c>
      <c r="D38" s="1034"/>
      <c r="E38" s="1017">
        <v>37970</v>
      </c>
      <c r="F38" s="1040" t="s">
        <v>10986</v>
      </c>
      <c r="G38" s="1036">
        <v>0</v>
      </c>
      <c r="H38" s="1034"/>
      <c r="I38" s="1017">
        <v>38342</v>
      </c>
      <c r="J38" s="1040" t="s">
        <v>10987</v>
      </c>
      <c r="K38" s="1036">
        <v>25</v>
      </c>
      <c r="L38" s="1034"/>
      <c r="M38" s="1017">
        <v>38704</v>
      </c>
      <c r="N38" s="1040" t="s">
        <v>937</v>
      </c>
      <c r="O38" s="1036">
        <v>10</v>
      </c>
      <c r="P38" s="1034"/>
      <c r="Q38" s="1017">
        <v>39077</v>
      </c>
      <c r="R38" s="1040" t="s">
        <v>767</v>
      </c>
      <c r="S38" s="1102">
        <v>10</v>
      </c>
      <c r="T38" s="1034"/>
      <c r="U38" s="1114">
        <v>39443</v>
      </c>
      <c r="V38" s="1066" t="s">
        <v>1810</v>
      </c>
      <c r="W38" s="1036">
        <v>10</v>
      </c>
      <c r="X38" s="1115"/>
      <c r="Y38" s="1017">
        <v>39808</v>
      </c>
      <c r="Z38" s="1066" t="s">
        <v>10988</v>
      </c>
      <c r="AA38" s="1043">
        <v>10</v>
      </c>
      <c r="AB38" s="1115"/>
      <c r="AC38" s="1017">
        <v>40169</v>
      </c>
      <c r="AD38" s="1066" t="s">
        <v>782</v>
      </c>
      <c r="AE38" s="1043">
        <v>30</v>
      </c>
      <c r="AF38" s="1115"/>
      <c r="AG38" s="1017">
        <v>40525</v>
      </c>
      <c r="AH38" s="1040" t="s">
        <v>2538</v>
      </c>
      <c r="AI38" s="1043">
        <v>7</v>
      </c>
      <c r="AJ38" s="1034"/>
      <c r="AK38" s="1017">
        <v>40899</v>
      </c>
      <c r="AL38" s="1040" t="s">
        <v>10989</v>
      </c>
      <c r="AM38" s="1043">
        <v>170</v>
      </c>
      <c r="AN38" s="1034"/>
      <c r="AO38" s="1017">
        <v>41253</v>
      </c>
      <c r="AP38" s="1040" t="s">
        <v>8524</v>
      </c>
      <c r="AQ38" s="1043">
        <v>18</v>
      </c>
      <c r="AR38" s="1034"/>
      <c r="AS38" s="1017">
        <v>41622</v>
      </c>
      <c r="AT38" s="1040" t="s">
        <v>10990</v>
      </c>
      <c r="AU38" s="1043">
        <v>1</v>
      </c>
      <c r="AV38" s="1034"/>
      <c r="AW38" s="1017">
        <v>41993</v>
      </c>
      <c r="AX38" s="1019" t="s">
        <v>797</v>
      </c>
      <c r="AY38" s="1043">
        <v>40</v>
      </c>
      <c r="AZ38" s="1034"/>
      <c r="BA38" s="1017">
        <v>42353</v>
      </c>
      <c r="BB38" s="1019" t="s">
        <v>802</v>
      </c>
      <c r="BC38" s="1043">
        <v>28</v>
      </c>
      <c r="BD38" s="1034"/>
      <c r="BE38" s="1017">
        <v>42716</v>
      </c>
      <c r="BF38" s="1019" t="s">
        <v>10991</v>
      </c>
      <c r="BG38" s="1111">
        <v>450</v>
      </c>
      <c r="BH38" s="1112">
        <f t="shared" si="0"/>
        <v>6.9230769230769234</v>
      </c>
      <c r="BI38" s="1017">
        <v>43081</v>
      </c>
      <c r="BJ38" s="1019" t="s">
        <v>872</v>
      </c>
      <c r="BK38" s="1063">
        <v>18</v>
      </c>
      <c r="BL38" s="1112"/>
      <c r="BM38" s="1391">
        <v>43448</v>
      </c>
      <c r="BN38" s="1393" t="s">
        <v>10992</v>
      </c>
      <c r="BO38" s="1398">
        <v>7</v>
      </c>
      <c r="BP38" s="1410"/>
      <c r="BQ38" s="1391">
        <v>43815</v>
      </c>
      <c r="BR38" s="1393" t="s">
        <v>2197</v>
      </c>
      <c r="BS38" s="1409">
        <v>6</v>
      </c>
      <c r="BT38" s="1392" t="s">
        <v>414</v>
      </c>
      <c r="BU38" s="1391">
        <v>44170</v>
      </c>
      <c r="BV38" s="1393" t="s">
        <v>10993</v>
      </c>
      <c r="BW38" s="1406">
        <v>32</v>
      </c>
      <c r="BX38" s="1392" t="s">
        <v>414</v>
      </c>
      <c r="BY38" s="1391">
        <v>44535</v>
      </c>
      <c r="BZ38" s="1393" t="s">
        <v>1750</v>
      </c>
      <c r="CA38" s="1406">
        <v>15</v>
      </c>
      <c r="CB38" s="1392" t="s">
        <v>414</v>
      </c>
      <c r="CC38" s="1391">
        <v>44909</v>
      </c>
      <c r="CD38" s="1393" t="s">
        <v>10994</v>
      </c>
      <c r="CE38" s="1406">
        <v>35</v>
      </c>
      <c r="CF38" s="1392" t="s">
        <v>426</v>
      </c>
      <c r="CG38" s="1391">
        <v>45276</v>
      </c>
      <c r="CH38" s="1393" t="s">
        <v>10995</v>
      </c>
      <c r="CI38" s="1406">
        <v>25</v>
      </c>
      <c r="CJ38" s="1392" t="s">
        <v>414</v>
      </c>
      <c r="CK38" s="1391">
        <v>45646</v>
      </c>
      <c r="CL38" s="1393" t="s">
        <v>10996</v>
      </c>
      <c r="CM38" s="1406">
        <v>40</v>
      </c>
      <c r="CN38" s="1392" t="s">
        <v>701</v>
      </c>
    </row>
    <row r="39" spans="1:92" s="1081" customFormat="1" ht="13.5">
      <c r="A39" s="1077">
        <v>37620</v>
      </c>
      <c r="B39" s="1040" t="s">
        <v>10997</v>
      </c>
      <c r="C39" s="1036">
        <v>20</v>
      </c>
      <c r="D39" s="1034"/>
      <c r="E39" s="1017">
        <v>37970</v>
      </c>
      <c r="F39" s="1040" t="s">
        <v>410</v>
      </c>
      <c r="G39" s="1036">
        <v>32</v>
      </c>
      <c r="H39" s="1034"/>
      <c r="I39" s="1017">
        <v>38343</v>
      </c>
      <c r="J39" s="1040" t="s">
        <v>10837</v>
      </c>
      <c r="K39" s="1036">
        <v>13</v>
      </c>
      <c r="L39" s="1034"/>
      <c r="M39" s="1017">
        <v>38704</v>
      </c>
      <c r="N39" s="1040" t="s">
        <v>873</v>
      </c>
      <c r="O39" s="1036">
        <v>2</v>
      </c>
      <c r="P39" s="1034"/>
      <c r="Q39" s="1017">
        <v>39077</v>
      </c>
      <c r="R39" s="1040" t="s">
        <v>10998</v>
      </c>
      <c r="S39" s="1102">
        <v>20</v>
      </c>
      <c r="T39" s="1034"/>
      <c r="U39" s="1114">
        <v>39443</v>
      </c>
      <c r="V39" s="1040" t="s">
        <v>10999</v>
      </c>
      <c r="W39" s="1036">
        <v>10</v>
      </c>
      <c r="X39" s="1034"/>
      <c r="Y39" s="1017">
        <v>39808</v>
      </c>
      <c r="Z39" s="1040" t="s">
        <v>11000</v>
      </c>
      <c r="AA39" s="1043">
        <v>11</v>
      </c>
      <c r="AB39" s="1034"/>
      <c r="AC39" s="1017">
        <v>40169</v>
      </c>
      <c r="AD39" s="1040" t="s">
        <v>11001</v>
      </c>
      <c r="AE39" s="1043">
        <v>2</v>
      </c>
      <c r="AF39" s="1034"/>
      <c r="AG39" s="1017">
        <v>40526</v>
      </c>
      <c r="AH39" s="1040" t="s">
        <v>1148</v>
      </c>
      <c r="AI39" s="1043">
        <v>20</v>
      </c>
      <c r="AJ39" s="1034"/>
      <c r="AK39" s="1017">
        <v>40899</v>
      </c>
      <c r="AL39" s="1040" t="s">
        <v>11002</v>
      </c>
      <c r="AM39" s="1043">
        <v>13</v>
      </c>
      <c r="AN39" s="1034"/>
      <c r="AO39" s="1017">
        <v>41254</v>
      </c>
      <c r="AP39" s="1040" t="s">
        <v>11003</v>
      </c>
      <c r="AQ39" s="1043">
        <v>16</v>
      </c>
      <c r="AR39" s="1034"/>
      <c r="AS39" s="1017">
        <v>41622</v>
      </c>
      <c r="AT39" s="1040" t="s">
        <v>11004</v>
      </c>
      <c r="AU39" s="1043">
        <v>29</v>
      </c>
      <c r="AV39" s="1034"/>
      <c r="AW39" s="1017">
        <v>41993</v>
      </c>
      <c r="AX39" s="1019" t="s">
        <v>754</v>
      </c>
      <c r="AY39" s="1043">
        <v>80</v>
      </c>
      <c r="AZ39" s="1034"/>
      <c r="BA39" s="1017">
        <v>42354</v>
      </c>
      <c r="BB39" s="1019" t="s">
        <v>11005</v>
      </c>
      <c r="BC39" s="1043">
        <v>5</v>
      </c>
      <c r="BD39" s="1034"/>
      <c r="BE39" s="1017">
        <v>42719</v>
      </c>
      <c r="BF39" s="1019" t="s">
        <v>11006</v>
      </c>
      <c r="BG39" s="1111">
        <v>1200</v>
      </c>
      <c r="BH39" s="1112">
        <f>BG39/65</f>
        <v>18.46153846153846</v>
      </c>
      <c r="BI39" s="1017">
        <v>43082</v>
      </c>
      <c r="BJ39" s="1019" t="s">
        <v>11007</v>
      </c>
      <c r="BK39" s="1063">
        <v>422</v>
      </c>
      <c r="BL39" s="1112"/>
      <c r="BM39" s="1391">
        <v>43448</v>
      </c>
      <c r="BN39" s="1393" t="s">
        <v>1166</v>
      </c>
      <c r="BO39" s="1398">
        <v>27</v>
      </c>
      <c r="BP39" s="1410"/>
      <c r="BQ39" s="1391">
        <v>43815</v>
      </c>
      <c r="BR39" s="1393" t="s">
        <v>11008</v>
      </c>
      <c r="BS39" s="1409">
        <v>133</v>
      </c>
      <c r="BT39" s="1392" t="s">
        <v>414</v>
      </c>
      <c r="BU39" s="1391">
        <v>44170</v>
      </c>
      <c r="BV39" s="1393" t="s">
        <v>1975</v>
      </c>
      <c r="BW39" s="1406">
        <v>5</v>
      </c>
      <c r="BX39" s="1392" t="s">
        <v>414</v>
      </c>
      <c r="BY39" s="1391">
        <v>44535</v>
      </c>
      <c r="BZ39" s="1393" t="s">
        <v>1849</v>
      </c>
      <c r="CA39" s="1406">
        <v>6</v>
      </c>
      <c r="CB39" s="1392" t="s">
        <v>414</v>
      </c>
      <c r="CC39" s="1391">
        <v>44909</v>
      </c>
      <c r="CD39" s="1393" t="s">
        <v>11009</v>
      </c>
      <c r="CE39" s="1406">
        <v>35</v>
      </c>
      <c r="CF39" s="1392" t="s">
        <v>426</v>
      </c>
      <c r="CG39" s="1391">
        <v>45276</v>
      </c>
      <c r="CH39" s="1393" t="s">
        <v>11010</v>
      </c>
      <c r="CI39" s="1406">
        <v>41</v>
      </c>
      <c r="CJ39" s="1392" t="s">
        <v>278</v>
      </c>
      <c r="CK39" s="1391">
        <v>45646</v>
      </c>
      <c r="CL39" s="1393" t="s">
        <v>2162</v>
      </c>
      <c r="CM39" s="1406">
        <v>10</v>
      </c>
      <c r="CN39" s="1392" t="s">
        <v>414</v>
      </c>
    </row>
    <row r="40" spans="1:92" s="1081" customFormat="1" ht="13.5">
      <c r="A40" s="1077">
        <v>37620</v>
      </c>
      <c r="B40" s="1040" t="s">
        <v>11011</v>
      </c>
      <c r="C40" s="1036">
        <v>40</v>
      </c>
      <c r="D40" s="1034"/>
      <c r="E40" s="1017">
        <v>37970</v>
      </c>
      <c r="F40" s="1040" t="s">
        <v>11012</v>
      </c>
      <c r="G40" s="1036">
        <v>5</v>
      </c>
      <c r="H40" s="1034"/>
      <c r="I40" s="1017">
        <v>38348</v>
      </c>
      <c r="J40" s="1040" t="s">
        <v>11013</v>
      </c>
      <c r="K40" s="1036">
        <v>6</v>
      </c>
      <c r="L40" s="1034"/>
      <c r="M40" s="1017">
        <v>38704</v>
      </c>
      <c r="N40" s="1040" t="s">
        <v>10636</v>
      </c>
      <c r="O40" s="1036">
        <v>24</v>
      </c>
      <c r="P40" s="1034"/>
      <c r="Q40" s="1017">
        <v>39077</v>
      </c>
      <c r="R40" s="1040" t="s">
        <v>11014</v>
      </c>
      <c r="S40" s="1102">
        <v>4</v>
      </c>
      <c r="T40" s="1034"/>
      <c r="U40" s="1017">
        <v>39444</v>
      </c>
      <c r="V40" s="1040" t="s">
        <v>11015</v>
      </c>
      <c r="W40" s="1036">
        <v>35</v>
      </c>
      <c r="X40" s="1034"/>
      <c r="Y40" s="1017">
        <v>39809</v>
      </c>
      <c r="Z40" s="1040" t="s">
        <v>9900</v>
      </c>
      <c r="AA40" s="1043">
        <v>24</v>
      </c>
      <c r="AB40" s="1034"/>
      <c r="AC40" s="1017">
        <v>40170</v>
      </c>
      <c r="AD40" s="1040" t="s">
        <v>11016</v>
      </c>
      <c r="AE40" s="1043">
        <v>0</v>
      </c>
      <c r="AF40" s="1034"/>
      <c r="AG40" s="1017">
        <v>40526</v>
      </c>
      <c r="AH40" s="1066" t="s">
        <v>937</v>
      </c>
      <c r="AI40" s="1043">
        <v>16</v>
      </c>
      <c r="AJ40" s="1115"/>
      <c r="AK40" s="1017">
        <v>40899</v>
      </c>
      <c r="AL40" s="1040" t="s">
        <v>781</v>
      </c>
      <c r="AM40" s="1043">
        <v>3</v>
      </c>
      <c r="AN40" s="1034"/>
      <c r="AO40" s="1017">
        <v>41255</v>
      </c>
      <c r="AP40" s="1040" t="s">
        <v>11017</v>
      </c>
      <c r="AQ40" s="1043">
        <v>14</v>
      </c>
      <c r="AR40" s="1034"/>
      <c r="AS40" s="1017">
        <v>41622</v>
      </c>
      <c r="AT40" s="1040" t="s">
        <v>2764</v>
      </c>
      <c r="AU40" s="1043">
        <v>18</v>
      </c>
      <c r="AV40" s="1034"/>
      <c r="AW40" s="1017">
        <v>41993</v>
      </c>
      <c r="AX40" s="1019" t="s">
        <v>772</v>
      </c>
      <c r="AY40" s="1043">
        <v>65</v>
      </c>
      <c r="AZ40" s="1034"/>
      <c r="BA40" s="1017">
        <v>42354</v>
      </c>
      <c r="BB40" s="1019" t="s">
        <v>5566</v>
      </c>
      <c r="BC40" s="1043">
        <v>13</v>
      </c>
      <c r="BD40" s="1034"/>
      <c r="BE40" s="1017">
        <v>42719</v>
      </c>
      <c r="BF40" s="1019" t="s">
        <v>11018</v>
      </c>
      <c r="BG40" s="1116">
        <v>24000</v>
      </c>
      <c r="BH40" s="1112">
        <f>BG40/65</f>
        <v>369.23076923076923</v>
      </c>
      <c r="BI40" s="1017">
        <v>43082</v>
      </c>
      <c r="BJ40" s="1019" t="s">
        <v>11019</v>
      </c>
      <c r="BK40" s="1063">
        <v>62</v>
      </c>
      <c r="BL40" s="1112"/>
      <c r="BM40" s="1391">
        <v>43448</v>
      </c>
      <c r="BN40" s="1393" t="s">
        <v>11020</v>
      </c>
      <c r="BO40" s="1398">
        <v>3</v>
      </c>
      <c r="BP40" s="1410"/>
      <c r="BQ40" s="1391">
        <v>43815</v>
      </c>
      <c r="BR40" s="1393" t="s">
        <v>4571</v>
      </c>
      <c r="BS40" s="1409">
        <v>7</v>
      </c>
      <c r="BT40" s="1392" t="s">
        <v>414</v>
      </c>
      <c r="BU40" s="1391">
        <v>44170</v>
      </c>
      <c r="BV40" s="1393" t="s">
        <v>6959</v>
      </c>
      <c r="BW40" s="1406">
        <v>2</v>
      </c>
      <c r="BX40" s="1392" t="s">
        <v>414</v>
      </c>
      <c r="BY40" s="1391">
        <v>44535</v>
      </c>
      <c r="BZ40" s="1393" t="s">
        <v>11021</v>
      </c>
      <c r="CA40" s="1406">
        <v>15</v>
      </c>
      <c r="CB40" s="1392" t="s">
        <v>414</v>
      </c>
      <c r="CC40" s="1391">
        <v>44909</v>
      </c>
      <c r="CD40" s="1393" t="s">
        <v>11022</v>
      </c>
      <c r="CE40" s="1406">
        <v>14</v>
      </c>
      <c r="CF40" s="1392" t="s">
        <v>280</v>
      </c>
      <c r="CG40" s="1391">
        <v>45276</v>
      </c>
      <c r="CH40" s="1393" t="s">
        <v>845</v>
      </c>
      <c r="CI40" s="1406">
        <v>60</v>
      </c>
      <c r="CJ40" s="1392" t="s">
        <v>414</v>
      </c>
      <c r="CK40" s="1391">
        <v>45646</v>
      </c>
      <c r="CL40" s="1393" t="s">
        <v>11023</v>
      </c>
      <c r="CM40" s="1406">
        <v>15</v>
      </c>
      <c r="CN40" s="1392" t="s">
        <v>698</v>
      </c>
    </row>
    <row r="41" spans="1:92" s="1081" customFormat="1" ht="13.5">
      <c r="A41" s="1077">
        <v>37620</v>
      </c>
      <c r="B41" s="1040" t="s">
        <v>11024</v>
      </c>
      <c r="C41" s="1036"/>
      <c r="D41" s="1034">
        <v>25</v>
      </c>
      <c r="E41" s="1017">
        <v>37970</v>
      </c>
      <c r="F41" s="1040" t="s">
        <v>11025</v>
      </c>
      <c r="G41" s="1036">
        <v>12</v>
      </c>
      <c r="H41" s="1034"/>
      <c r="I41" s="1017">
        <v>38348</v>
      </c>
      <c r="J41" s="1040" t="s">
        <v>797</v>
      </c>
      <c r="K41" s="1036">
        <v>30</v>
      </c>
      <c r="L41" s="1034"/>
      <c r="M41" s="1017">
        <v>38707</v>
      </c>
      <c r="N41" s="1040" t="s">
        <v>10636</v>
      </c>
      <c r="O41" s="1036">
        <v>27</v>
      </c>
      <c r="P41" s="1034"/>
      <c r="Q41" s="1017">
        <v>39447</v>
      </c>
      <c r="R41" s="1040" t="s">
        <v>867</v>
      </c>
      <c r="S41" s="1102">
        <v>4</v>
      </c>
      <c r="T41" s="1034"/>
      <c r="U41" s="1017">
        <v>39444</v>
      </c>
      <c r="V41" s="1040" t="s">
        <v>11026</v>
      </c>
      <c r="W41" s="1102">
        <v>10</v>
      </c>
      <c r="X41" s="1034"/>
      <c r="Y41" s="1017">
        <v>39809</v>
      </c>
      <c r="Z41" s="1040" t="s">
        <v>11027</v>
      </c>
      <c r="AA41" s="1104">
        <v>38</v>
      </c>
      <c r="AB41" s="1034"/>
      <c r="AC41" s="1017">
        <v>40171</v>
      </c>
      <c r="AD41" s="1040" t="s">
        <v>802</v>
      </c>
      <c r="AE41" s="1104">
        <v>40</v>
      </c>
      <c r="AF41" s="1034"/>
      <c r="AG41" s="1017">
        <v>40526</v>
      </c>
      <c r="AH41" s="1040" t="s">
        <v>802</v>
      </c>
      <c r="AI41" s="1043">
        <v>47</v>
      </c>
      <c r="AJ41" s="1034"/>
      <c r="AK41" s="1017">
        <v>40900</v>
      </c>
      <c r="AL41" s="1040" t="s">
        <v>11028</v>
      </c>
      <c r="AM41" s="1043">
        <v>15</v>
      </c>
      <c r="AN41" s="1034"/>
      <c r="AO41" s="1017">
        <v>41255</v>
      </c>
      <c r="AP41" s="1040" t="s">
        <v>9733</v>
      </c>
      <c r="AQ41" s="1043">
        <v>21</v>
      </c>
      <c r="AR41" s="1034"/>
      <c r="AS41" s="1017">
        <v>41623</v>
      </c>
      <c r="AT41" s="1066" t="s">
        <v>772</v>
      </c>
      <c r="AU41" s="1043">
        <v>40</v>
      </c>
      <c r="AV41" s="1034"/>
      <c r="AW41" s="1017">
        <v>41993</v>
      </c>
      <c r="AX41" s="1019" t="s">
        <v>11029</v>
      </c>
      <c r="AY41" s="1043">
        <v>5</v>
      </c>
      <c r="AZ41" s="1034"/>
      <c r="BA41" s="1017">
        <v>42354</v>
      </c>
      <c r="BB41" s="1019" t="s">
        <v>11030</v>
      </c>
      <c r="BC41" s="1043">
        <v>20</v>
      </c>
      <c r="BD41" s="1034"/>
      <c r="BE41" s="1017">
        <v>42719</v>
      </c>
      <c r="BF41" s="1019" t="s">
        <v>11031</v>
      </c>
      <c r="BG41" s="1116">
        <v>1000</v>
      </c>
      <c r="BH41" s="1112">
        <f>BG41/65</f>
        <v>15.384615384615385</v>
      </c>
      <c r="BI41" s="1017">
        <v>43082</v>
      </c>
      <c r="BJ41" s="1019" t="s">
        <v>11032</v>
      </c>
      <c r="BK41" s="1063">
        <v>65</v>
      </c>
      <c r="BL41" s="1112"/>
      <c r="BM41" s="1391">
        <v>43448</v>
      </c>
      <c r="BN41" s="1393" t="s">
        <v>2246</v>
      </c>
      <c r="BO41" s="1398">
        <v>15</v>
      </c>
      <c r="BP41" s="1410"/>
      <c r="BQ41" s="1391">
        <v>43815</v>
      </c>
      <c r="BR41" s="1393" t="s">
        <v>11033</v>
      </c>
      <c r="BS41" s="1409">
        <v>16</v>
      </c>
      <c r="BT41" s="1392" t="s">
        <v>414</v>
      </c>
      <c r="BU41" s="1391">
        <v>44170</v>
      </c>
      <c r="BV41" s="1393" t="s">
        <v>11034</v>
      </c>
      <c r="BW41" s="1406">
        <v>10</v>
      </c>
      <c r="BX41" s="1392" t="s">
        <v>414</v>
      </c>
      <c r="BY41" s="1391">
        <v>44535</v>
      </c>
      <c r="BZ41" s="1393" t="s">
        <v>11035</v>
      </c>
      <c r="CA41" s="1406">
        <v>0</v>
      </c>
      <c r="CB41" s="1392" t="s">
        <v>414</v>
      </c>
      <c r="CC41" s="1391">
        <v>44909</v>
      </c>
      <c r="CD41" s="1393" t="s">
        <v>11036</v>
      </c>
      <c r="CE41" s="1406">
        <v>30</v>
      </c>
      <c r="CF41" s="1392" t="s">
        <v>700</v>
      </c>
      <c r="CG41" s="1391">
        <v>45276</v>
      </c>
      <c r="CH41" s="1393" t="s">
        <v>1151</v>
      </c>
      <c r="CI41" s="1406">
        <v>13</v>
      </c>
      <c r="CJ41" s="1392" t="s">
        <v>278</v>
      </c>
      <c r="CK41" s="1391">
        <v>45646</v>
      </c>
      <c r="CL41" s="1393" t="s">
        <v>11037</v>
      </c>
      <c r="CM41" s="1406">
        <v>15</v>
      </c>
      <c r="CN41" s="1392" t="s">
        <v>698</v>
      </c>
    </row>
    <row r="42" spans="1:92" s="1081" customFormat="1" ht="13.5">
      <c r="A42" s="1077">
        <v>37621</v>
      </c>
      <c r="B42" s="1040" t="s">
        <v>419</v>
      </c>
      <c r="C42" s="1036">
        <v>250</v>
      </c>
      <c r="D42" s="1034"/>
      <c r="E42" s="1017">
        <v>37971</v>
      </c>
      <c r="F42" s="1040" t="s">
        <v>11038</v>
      </c>
      <c r="G42" s="1036">
        <v>27</v>
      </c>
      <c r="H42" s="1034"/>
      <c r="I42" s="1017">
        <v>38349</v>
      </c>
      <c r="J42" s="1040" t="s">
        <v>11039</v>
      </c>
      <c r="K42" s="1036">
        <v>15</v>
      </c>
      <c r="L42" s="1034"/>
      <c r="M42" s="1017">
        <v>38707</v>
      </c>
      <c r="N42" s="1040" t="s">
        <v>11040</v>
      </c>
      <c r="O42" s="1036">
        <v>17</v>
      </c>
      <c r="P42" s="1034"/>
      <c r="Q42" s="1017">
        <v>39447</v>
      </c>
      <c r="R42" s="1040" t="s">
        <v>11041</v>
      </c>
      <c r="S42" s="1102">
        <v>37</v>
      </c>
      <c r="T42" s="1034"/>
      <c r="U42" s="1017">
        <v>39444</v>
      </c>
      <c r="V42" s="1040" t="s">
        <v>11042</v>
      </c>
      <c r="W42" s="1102">
        <v>10</v>
      </c>
      <c r="X42" s="1034"/>
      <c r="Y42" s="1017">
        <v>39809</v>
      </c>
      <c r="Z42" s="1040" t="s">
        <v>11043</v>
      </c>
      <c r="AA42" s="1104">
        <v>3</v>
      </c>
      <c r="AB42" s="1034"/>
      <c r="AC42" s="1017">
        <v>40172</v>
      </c>
      <c r="AD42" s="1040" t="s">
        <v>11044</v>
      </c>
      <c r="AE42" s="1104">
        <v>16</v>
      </c>
      <c r="AF42" s="1034"/>
      <c r="AG42" s="1017">
        <v>40528</v>
      </c>
      <c r="AH42" s="1040" t="s">
        <v>11045</v>
      </c>
      <c r="AI42" s="1043">
        <v>0</v>
      </c>
      <c r="AJ42" s="1034"/>
      <c r="AK42" s="1017">
        <v>40900</v>
      </c>
      <c r="AL42" s="1040" t="s">
        <v>11046</v>
      </c>
      <c r="AM42" s="1043">
        <v>8</v>
      </c>
      <c r="AN42" s="1034"/>
      <c r="AO42" s="1017">
        <v>41255</v>
      </c>
      <c r="AP42" s="1040" t="s">
        <v>787</v>
      </c>
      <c r="AQ42" s="1043">
        <v>83</v>
      </c>
      <c r="AR42" s="1034"/>
      <c r="AS42" s="1017">
        <v>41623</v>
      </c>
      <c r="AT42" s="1066" t="s">
        <v>11047</v>
      </c>
      <c r="AU42" s="1043">
        <v>10</v>
      </c>
      <c r="AV42" s="1034"/>
      <c r="AW42" s="1017">
        <v>41995</v>
      </c>
      <c r="AX42" s="1019" t="s">
        <v>754</v>
      </c>
      <c r="AY42" s="1043">
        <v>23</v>
      </c>
      <c r="AZ42" s="1034"/>
      <c r="BA42" s="1017">
        <v>42354</v>
      </c>
      <c r="BB42" s="1019" t="s">
        <v>11048</v>
      </c>
      <c r="BC42" s="1043">
        <v>11</v>
      </c>
      <c r="BD42" s="1034"/>
      <c r="BE42" s="1017">
        <v>42720</v>
      </c>
      <c r="BF42" s="1019" t="s">
        <v>11049</v>
      </c>
      <c r="BG42" s="1111">
        <v>1200</v>
      </c>
      <c r="BH42" s="1112">
        <f>BG42/65</f>
        <v>18.46153846153846</v>
      </c>
      <c r="BI42" s="1017">
        <v>43083</v>
      </c>
      <c r="BJ42" s="1074" t="s">
        <v>11050</v>
      </c>
      <c r="BK42" s="1063">
        <v>15</v>
      </c>
      <c r="BL42" s="1112"/>
      <c r="BM42" s="1391">
        <v>43448</v>
      </c>
      <c r="BN42" s="1393" t="s">
        <v>3326</v>
      </c>
      <c r="BO42" s="1398">
        <v>15</v>
      </c>
      <c r="BP42" s="1410"/>
      <c r="BQ42" s="1391">
        <v>43815</v>
      </c>
      <c r="BR42" s="1393" t="s">
        <v>2702</v>
      </c>
      <c r="BS42" s="1409">
        <v>7</v>
      </c>
      <c r="BT42" s="1392" t="s">
        <v>414</v>
      </c>
      <c r="BU42" s="1391">
        <v>44170</v>
      </c>
      <c r="BV42" s="1393" t="s">
        <v>5353</v>
      </c>
      <c r="BW42" s="1406">
        <v>50</v>
      </c>
      <c r="BX42" s="1392" t="s">
        <v>414</v>
      </c>
      <c r="BY42" s="1391">
        <v>44536</v>
      </c>
      <c r="BZ42" s="1393" t="s">
        <v>11051</v>
      </c>
      <c r="CA42" s="1406">
        <v>15</v>
      </c>
      <c r="CB42" s="1392" t="s">
        <v>278</v>
      </c>
      <c r="CC42" s="1391">
        <v>44909</v>
      </c>
      <c r="CD42" s="1393" t="s">
        <v>11052</v>
      </c>
      <c r="CE42" s="1406">
        <v>25</v>
      </c>
      <c r="CF42" s="1392" t="s">
        <v>700</v>
      </c>
      <c r="CG42" s="1391">
        <v>45276</v>
      </c>
      <c r="CH42" s="1393" t="s">
        <v>1235</v>
      </c>
      <c r="CI42" s="1406">
        <v>10</v>
      </c>
      <c r="CJ42" s="1392" t="s">
        <v>278</v>
      </c>
      <c r="CK42" s="1391"/>
      <c r="CL42" s="1393"/>
      <c r="CM42" s="1406"/>
      <c r="CN42" s="1392"/>
    </row>
    <row r="43" spans="1:92" s="1081" customFormat="1" ht="13.5">
      <c r="A43" s="1077">
        <v>37986</v>
      </c>
      <c r="B43" s="1040" t="s">
        <v>11053</v>
      </c>
      <c r="C43" s="1036">
        <v>20</v>
      </c>
      <c r="D43" s="1034"/>
      <c r="E43" s="1017">
        <v>37972</v>
      </c>
      <c r="F43" s="1040" t="s">
        <v>1502</v>
      </c>
      <c r="G43" s="1036">
        <v>17</v>
      </c>
      <c r="H43" s="1034"/>
      <c r="I43" s="1017">
        <v>38349</v>
      </c>
      <c r="J43" s="1040" t="s">
        <v>11054</v>
      </c>
      <c r="K43" s="1036">
        <v>36</v>
      </c>
      <c r="L43" s="1034"/>
      <c r="M43" s="1017">
        <v>38707</v>
      </c>
      <c r="N43" s="1040" t="s">
        <v>937</v>
      </c>
      <c r="O43" s="1036">
        <v>6</v>
      </c>
      <c r="P43" s="1034"/>
      <c r="Q43" s="1017">
        <v>39447</v>
      </c>
      <c r="R43" s="1040" t="s">
        <v>11055</v>
      </c>
      <c r="S43" s="1102">
        <v>6</v>
      </c>
      <c r="T43" s="1034"/>
      <c r="U43" s="1017">
        <v>39444</v>
      </c>
      <c r="V43" s="1040" t="s">
        <v>1052</v>
      </c>
      <c r="W43" s="1102">
        <v>16</v>
      </c>
      <c r="X43" s="1034"/>
      <c r="Y43" s="1017">
        <v>39810</v>
      </c>
      <c r="Z43" s="1040" t="s">
        <v>2397</v>
      </c>
      <c r="AA43" s="1104">
        <v>20</v>
      </c>
      <c r="AB43" s="1034"/>
      <c r="AC43" s="1017">
        <v>40172</v>
      </c>
      <c r="AD43" s="1040" t="s">
        <v>11056</v>
      </c>
      <c r="AE43" s="1104">
        <v>16</v>
      </c>
      <c r="AF43" s="1034"/>
      <c r="AG43" s="1017">
        <v>40528</v>
      </c>
      <c r="AH43" s="1040" t="s">
        <v>3290</v>
      </c>
      <c r="AI43" s="1104">
        <v>30</v>
      </c>
      <c r="AJ43" s="1034"/>
      <c r="AK43" s="1017">
        <v>40900</v>
      </c>
      <c r="AL43" s="1040" t="s">
        <v>11057</v>
      </c>
      <c r="AM43" s="1043">
        <v>58</v>
      </c>
      <c r="AN43" s="1034"/>
      <c r="AO43" s="1017">
        <v>41255</v>
      </c>
      <c r="AP43" s="1040" t="s">
        <v>11058</v>
      </c>
      <c r="AQ43" s="1043">
        <v>15</v>
      </c>
      <c r="AR43" s="1034"/>
      <c r="AS43" s="1017">
        <v>41623</v>
      </c>
      <c r="AT43" s="1066" t="s">
        <v>11059</v>
      </c>
      <c r="AU43" s="1043">
        <v>40</v>
      </c>
      <c r="AV43" s="1034"/>
      <c r="AW43" s="1017">
        <v>41995</v>
      </c>
      <c r="AX43" s="1019" t="s">
        <v>772</v>
      </c>
      <c r="AY43" s="1043">
        <v>24</v>
      </c>
      <c r="AZ43" s="1034"/>
      <c r="BA43" s="1017">
        <v>42355</v>
      </c>
      <c r="BB43" s="1019" t="s">
        <v>11060</v>
      </c>
      <c r="BC43" s="1043">
        <v>157</v>
      </c>
      <c r="BD43" s="1034"/>
      <c r="BE43" s="1017">
        <v>42720</v>
      </c>
      <c r="BF43" s="1019" t="s">
        <v>11061</v>
      </c>
      <c r="BG43" s="1043">
        <v>22</v>
      </c>
      <c r="BH43" s="1112"/>
      <c r="BI43" s="1017">
        <v>43084</v>
      </c>
      <c r="BJ43" s="1019" t="s">
        <v>890</v>
      </c>
      <c r="BK43" s="1063">
        <v>16</v>
      </c>
      <c r="BL43" s="1112"/>
      <c r="BM43" s="1391">
        <v>43448</v>
      </c>
      <c r="BN43" s="1393" t="s">
        <v>1750</v>
      </c>
      <c r="BO43" s="1398">
        <v>18</v>
      </c>
      <c r="BP43" s="1410"/>
      <c r="BQ43" s="1391">
        <v>43815</v>
      </c>
      <c r="BR43" s="1393" t="s">
        <v>11062</v>
      </c>
      <c r="BS43" s="1409">
        <v>0</v>
      </c>
      <c r="BT43" s="1392" t="s">
        <v>700</v>
      </c>
      <c r="BU43" s="1391">
        <v>44171</v>
      </c>
      <c r="BV43" s="1393" t="s">
        <v>872</v>
      </c>
      <c r="BW43" s="1406">
        <v>12</v>
      </c>
      <c r="BX43" s="1392" t="s">
        <v>426</v>
      </c>
      <c r="BY43" s="1391">
        <v>44537</v>
      </c>
      <c r="BZ43" s="1393" t="s">
        <v>11063</v>
      </c>
      <c r="CA43" s="1406">
        <v>261</v>
      </c>
      <c r="CB43" s="1392" t="s">
        <v>700</v>
      </c>
      <c r="CC43" s="1391">
        <v>44910</v>
      </c>
      <c r="CD43" s="1393" t="s">
        <v>1889</v>
      </c>
      <c r="CE43" s="1406">
        <v>16</v>
      </c>
      <c r="CF43" s="1392" t="s">
        <v>414</v>
      </c>
      <c r="CG43" s="1391">
        <v>45276</v>
      </c>
      <c r="CH43" s="1393" t="s">
        <v>772</v>
      </c>
      <c r="CI43" s="1406">
        <v>25</v>
      </c>
      <c r="CJ43" s="1392" t="s">
        <v>414</v>
      </c>
      <c r="CK43" s="1391"/>
      <c r="CL43" s="1393"/>
      <c r="CM43" s="1406"/>
      <c r="CN43" s="1392"/>
    </row>
    <row r="44" spans="1:92" s="1081" customFormat="1" ht="13.5">
      <c r="A44" s="1077">
        <v>37986</v>
      </c>
      <c r="B44" s="1040" t="s">
        <v>11064</v>
      </c>
      <c r="C44" s="1036">
        <v>58</v>
      </c>
      <c r="D44" s="1034"/>
      <c r="E44" s="1017">
        <v>37972</v>
      </c>
      <c r="F44" s="1040" t="s">
        <v>4093</v>
      </c>
      <c r="G44" s="1036">
        <v>26</v>
      </c>
      <c r="H44" s="1034"/>
      <c r="I44" s="1017">
        <v>38349</v>
      </c>
      <c r="J44" s="1040" t="s">
        <v>11065</v>
      </c>
      <c r="K44" s="1036">
        <v>34</v>
      </c>
      <c r="L44" s="1034"/>
      <c r="M44" s="1017">
        <v>38708</v>
      </c>
      <c r="N44" s="1040" t="s">
        <v>11066</v>
      </c>
      <c r="O44" s="1036">
        <v>1</v>
      </c>
      <c r="P44" s="1034"/>
      <c r="Q44" s="1017">
        <v>39447</v>
      </c>
      <c r="R44" s="1040" t="s">
        <v>11067</v>
      </c>
      <c r="S44" s="1102">
        <v>36</v>
      </c>
      <c r="T44" s="1034"/>
      <c r="U44" s="1017">
        <v>39445</v>
      </c>
      <c r="V44" s="1040" t="s">
        <v>11068</v>
      </c>
      <c r="W44" s="1102">
        <v>13</v>
      </c>
      <c r="X44" s="1034"/>
      <c r="Y44" s="1017">
        <v>39810</v>
      </c>
      <c r="Z44" s="1040" t="s">
        <v>11069</v>
      </c>
      <c r="AA44" s="1104">
        <v>38</v>
      </c>
      <c r="AB44" s="1034"/>
      <c r="AC44" s="1017">
        <v>40173</v>
      </c>
      <c r="AD44" s="1040" t="s">
        <v>11070</v>
      </c>
      <c r="AE44" s="1104">
        <v>28146</v>
      </c>
      <c r="AF44" s="1034"/>
      <c r="AG44" s="1017">
        <v>40529</v>
      </c>
      <c r="AH44" s="1040" t="s">
        <v>11071</v>
      </c>
      <c r="AI44" s="1104">
        <v>15</v>
      </c>
      <c r="AJ44" s="1034"/>
      <c r="AK44" s="1017">
        <v>40901</v>
      </c>
      <c r="AL44" s="1040" t="s">
        <v>11072</v>
      </c>
      <c r="AM44" s="1043">
        <v>4</v>
      </c>
      <c r="AN44" s="1034"/>
      <c r="AO44" s="1017">
        <v>41258</v>
      </c>
      <c r="AP44" s="1040" t="s">
        <v>11073</v>
      </c>
      <c r="AQ44" s="1043">
        <v>54</v>
      </c>
      <c r="AR44" s="1034"/>
      <c r="AS44" s="1017">
        <v>41624</v>
      </c>
      <c r="AT44" s="1066" t="s">
        <v>11074</v>
      </c>
      <c r="AU44" s="1043">
        <v>41</v>
      </c>
      <c r="AV44" s="1115"/>
      <c r="AW44" s="1017">
        <v>41995</v>
      </c>
      <c r="AX44" s="1019" t="s">
        <v>11075</v>
      </c>
      <c r="AY44" s="1043">
        <v>30</v>
      </c>
      <c r="AZ44" s="1034"/>
      <c r="BA44" s="1017">
        <v>42356</v>
      </c>
      <c r="BB44" s="1019" t="s">
        <v>11076</v>
      </c>
      <c r="BC44" s="1043">
        <v>90</v>
      </c>
      <c r="BD44" s="1034"/>
      <c r="BE44" s="1017">
        <v>42721</v>
      </c>
      <c r="BF44" s="1019" t="s">
        <v>11077</v>
      </c>
      <c r="BG44" s="1111">
        <v>600</v>
      </c>
      <c r="BH44" s="1112">
        <f>BG44/65</f>
        <v>9.2307692307692299</v>
      </c>
      <c r="BI44" s="1017">
        <v>43084</v>
      </c>
      <c r="BJ44" s="1019" t="s">
        <v>11078</v>
      </c>
      <c r="BK44" s="1063">
        <v>6</v>
      </c>
      <c r="BL44" s="1112"/>
      <c r="BM44" s="1391">
        <v>43448</v>
      </c>
      <c r="BN44" s="1393" t="s">
        <v>823</v>
      </c>
      <c r="BO44" s="1398">
        <v>22</v>
      </c>
      <c r="BP44" s="1410"/>
      <c r="BQ44" s="1391">
        <v>43815</v>
      </c>
      <c r="BR44" s="1393" t="s">
        <v>1702</v>
      </c>
      <c r="BS44" s="1409">
        <v>20</v>
      </c>
      <c r="BT44" s="1392" t="s">
        <v>414</v>
      </c>
      <c r="BU44" s="1391">
        <v>44171</v>
      </c>
      <c r="BV44" s="1393" t="s">
        <v>11079</v>
      </c>
      <c r="BW44" s="1406">
        <v>30</v>
      </c>
      <c r="BX44" s="1392" t="s">
        <v>414</v>
      </c>
      <c r="BY44" s="1391">
        <v>44537</v>
      </c>
      <c r="BZ44" s="1393" t="s">
        <v>11080</v>
      </c>
      <c r="CA44" s="1406">
        <v>23</v>
      </c>
      <c r="CB44" s="1392" t="s">
        <v>280</v>
      </c>
      <c r="CC44" s="1391">
        <v>44910</v>
      </c>
      <c r="CD44" s="1393" t="s">
        <v>4441</v>
      </c>
      <c r="CE44" s="1406">
        <v>16</v>
      </c>
      <c r="CF44" s="1392" t="s">
        <v>414</v>
      </c>
      <c r="CG44" s="1391">
        <v>45276</v>
      </c>
      <c r="CH44" s="1393" t="s">
        <v>11081</v>
      </c>
      <c r="CI44" s="1406">
        <v>48</v>
      </c>
      <c r="CJ44" s="1392" t="s">
        <v>414</v>
      </c>
      <c r="CK44" s="1391"/>
      <c r="CL44" s="1393"/>
      <c r="CM44" s="1406"/>
      <c r="CN44" s="1392"/>
    </row>
    <row r="45" spans="1:92" s="1081" customFormat="1" ht="13.5">
      <c r="A45" s="1077">
        <v>37986</v>
      </c>
      <c r="B45" s="1040" t="s">
        <v>11082</v>
      </c>
      <c r="C45" s="1036">
        <v>7</v>
      </c>
      <c r="D45" s="1034"/>
      <c r="E45" s="1017">
        <v>37972</v>
      </c>
      <c r="F45" s="1040" t="s">
        <v>11083</v>
      </c>
      <c r="G45" s="1036">
        <v>13</v>
      </c>
      <c r="H45" s="1034"/>
      <c r="I45" s="1017">
        <v>38350</v>
      </c>
      <c r="J45" s="1040" t="s">
        <v>787</v>
      </c>
      <c r="K45" s="1036">
        <v>200</v>
      </c>
      <c r="L45" s="1034"/>
      <c r="M45" s="1017">
        <v>38711</v>
      </c>
      <c r="N45" s="1040" t="s">
        <v>11084</v>
      </c>
      <c r="O45" s="1036">
        <v>10</v>
      </c>
      <c r="P45" s="1034"/>
      <c r="Q45" s="1017">
        <v>39447</v>
      </c>
      <c r="R45" s="1040" t="s">
        <v>5131</v>
      </c>
      <c r="S45" s="1102">
        <v>6</v>
      </c>
      <c r="T45" s="1034"/>
      <c r="U45" s="1017">
        <v>39445</v>
      </c>
      <c r="V45" s="1040" t="s">
        <v>11085</v>
      </c>
      <c r="W45" s="1102">
        <v>13</v>
      </c>
      <c r="X45" s="1034"/>
      <c r="Y45" s="1017">
        <v>39810</v>
      </c>
      <c r="Z45" s="1040" t="s">
        <v>10988</v>
      </c>
      <c r="AA45" s="1104">
        <v>9</v>
      </c>
      <c r="AB45" s="1034"/>
      <c r="AC45" s="1017">
        <v>40173</v>
      </c>
      <c r="AD45" s="1040" t="s">
        <v>11086</v>
      </c>
      <c r="AE45" s="1104">
        <v>43</v>
      </c>
      <c r="AF45" s="1034"/>
      <c r="AG45" s="1017">
        <v>40530</v>
      </c>
      <c r="AH45" s="1040" t="s">
        <v>797</v>
      </c>
      <c r="AI45" s="1104">
        <v>37</v>
      </c>
      <c r="AJ45" s="1034"/>
      <c r="AK45" s="1017">
        <v>40903</v>
      </c>
      <c r="AL45" s="1040" t="s">
        <v>787</v>
      </c>
      <c r="AM45" s="1043">
        <v>15</v>
      </c>
      <c r="AN45" s="1034"/>
      <c r="AO45" s="1017">
        <v>41258</v>
      </c>
      <c r="AP45" s="1040" t="s">
        <v>11087</v>
      </c>
      <c r="AQ45" s="1043">
        <v>10</v>
      </c>
      <c r="AR45" s="1034"/>
      <c r="AS45" s="1017">
        <v>41625</v>
      </c>
      <c r="AT45" s="1040" t="s">
        <v>11088</v>
      </c>
      <c r="AU45" s="1043"/>
      <c r="AV45" s="1034"/>
      <c r="AW45" s="1017">
        <v>41995</v>
      </c>
      <c r="AX45" s="1019" t="s">
        <v>11089</v>
      </c>
      <c r="AY45" s="1043">
        <v>34</v>
      </c>
      <c r="AZ45" s="1034"/>
      <c r="BA45" s="1017">
        <v>42356</v>
      </c>
      <c r="BB45" s="1019" t="s">
        <v>11090</v>
      </c>
      <c r="BC45" s="1043">
        <v>19</v>
      </c>
      <c r="BD45" s="1034"/>
      <c r="BE45" s="1017">
        <v>42721</v>
      </c>
      <c r="BF45" s="1019" t="s">
        <v>823</v>
      </c>
      <c r="BG45" s="1117">
        <v>26</v>
      </c>
      <c r="BH45" s="1034"/>
      <c r="BI45" s="1017">
        <v>43085</v>
      </c>
      <c r="BJ45" s="1019" t="s">
        <v>11091</v>
      </c>
      <c r="BK45" s="1063"/>
      <c r="BL45" s="1112"/>
      <c r="BM45" s="1391">
        <v>43449</v>
      </c>
      <c r="BN45" s="1393" t="s">
        <v>872</v>
      </c>
      <c r="BO45" s="1398">
        <v>15</v>
      </c>
      <c r="BP45" s="1410"/>
      <c r="BQ45" s="1391">
        <v>43815</v>
      </c>
      <c r="BR45" s="1393" t="s">
        <v>1693</v>
      </c>
      <c r="BS45" s="1409">
        <v>30</v>
      </c>
      <c r="BT45" s="1392" t="s">
        <v>414</v>
      </c>
      <c r="BU45" s="1391">
        <v>44171</v>
      </c>
      <c r="BV45" s="1393" t="s">
        <v>11092</v>
      </c>
      <c r="BW45" s="1406">
        <v>11</v>
      </c>
      <c r="BX45" s="1392" t="s">
        <v>414</v>
      </c>
      <c r="BY45" s="1391">
        <v>44537</v>
      </c>
      <c r="BZ45" s="1393" t="s">
        <v>11093</v>
      </c>
      <c r="CA45" s="1406">
        <v>35</v>
      </c>
      <c r="CB45" s="1392" t="s">
        <v>700</v>
      </c>
      <c r="CC45" s="1391">
        <v>44910</v>
      </c>
      <c r="CD45" s="1393" t="s">
        <v>11094</v>
      </c>
      <c r="CE45" s="1406">
        <v>5</v>
      </c>
      <c r="CF45" s="1392" t="s">
        <v>414</v>
      </c>
      <c r="CG45" s="1391">
        <v>45276</v>
      </c>
      <c r="CH45" s="1393" t="s">
        <v>11095</v>
      </c>
      <c r="CI45" s="1406">
        <v>10</v>
      </c>
      <c r="CJ45" s="1392" t="s">
        <v>414</v>
      </c>
      <c r="CK45" s="1391">
        <v>46012</v>
      </c>
      <c r="CL45" s="1393" t="s">
        <v>11096</v>
      </c>
      <c r="CM45" s="1406"/>
      <c r="CN45" s="1392"/>
    </row>
    <row r="46" spans="1:92" s="1081" customFormat="1" ht="13.5">
      <c r="A46" s="1077">
        <v>37986</v>
      </c>
      <c r="B46" s="1040" t="s">
        <v>1189</v>
      </c>
      <c r="C46" s="1036">
        <v>45</v>
      </c>
      <c r="D46" s="1034"/>
      <c r="E46" s="1017">
        <v>37973</v>
      </c>
      <c r="F46" s="1040" t="s">
        <v>802</v>
      </c>
      <c r="G46" s="1036">
        <v>25</v>
      </c>
      <c r="H46" s="1034"/>
      <c r="I46" s="1017">
        <v>38350</v>
      </c>
      <c r="J46" s="1040" t="s">
        <v>9227</v>
      </c>
      <c r="K46" s="1036">
        <v>6</v>
      </c>
      <c r="L46" s="1034"/>
      <c r="M46" s="1017">
        <v>38711</v>
      </c>
      <c r="N46" s="1040" t="s">
        <v>11097</v>
      </c>
      <c r="O46" s="1036">
        <v>8</v>
      </c>
      <c r="P46" s="1034"/>
      <c r="Q46" s="1017">
        <v>39447</v>
      </c>
      <c r="R46" s="1040" t="s">
        <v>11098</v>
      </c>
      <c r="S46" s="1102">
        <v>3</v>
      </c>
      <c r="T46" s="1034"/>
      <c r="U46" s="1017">
        <v>39813</v>
      </c>
      <c r="V46" s="1040" t="s">
        <v>11099</v>
      </c>
      <c r="W46" s="1102">
        <v>5</v>
      </c>
      <c r="X46" s="1034"/>
      <c r="Y46" s="1017">
        <v>39810</v>
      </c>
      <c r="Z46" s="1040" t="s">
        <v>11100</v>
      </c>
      <c r="AA46" s="1104">
        <v>18</v>
      </c>
      <c r="AB46" s="1034"/>
      <c r="AC46" s="1017">
        <v>40173</v>
      </c>
      <c r="AD46" s="1040" t="s">
        <v>11101</v>
      </c>
      <c r="AE46" s="1104">
        <v>26</v>
      </c>
      <c r="AF46" s="1034"/>
      <c r="AG46" s="1017">
        <v>40531</v>
      </c>
      <c r="AH46" s="1040" t="s">
        <v>1237</v>
      </c>
      <c r="AI46" s="1104">
        <v>12</v>
      </c>
      <c r="AJ46" s="1034"/>
      <c r="AK46" s="1017">
        <v>40903</v>
      </c>
      <c r="AL46" s="1066" t="s">
        <v>11102</v>
      </c>
      <c r="AM46" s="1043">
        <v>115</v>
      </c>
      <c r="AN46" s="1115"/>
      <c r="AO46" s="1017">
        <v>41258</v>
      </c>
      <c r="AP46" s="1040" t="s">
        <v>11103</v>
      </c>
      <c r="AQ46" s="1043">
        <v>30</v>
      </c>
      <c r="AR46" s="1034"/>
      <c r="AS46" s="1017">
        <v>41625</v>
      </c>
      <c r="AT46" s="1040" t="s">
        <v>754</v>
      </c>
      <c r="AU46" s="1043">
        <v>41</v>
      </c>
      <c r="AV46" s="1034"/>
      <c r="AW46" s="1017">
        <v>41995</v>
      </c>
      <c r="AX46" s="1019" t="s">
        <v>6025</v>
      </c>
      <c r="AY46" s="1043">
        <v>26</v>
      </c>
      <c r="AZ46" s="1034"/>
      <c r="BA46" s="1017">
        <v>42356</v>
      </c>
      <c r="BB46" s="1019" t="s">
        <v>11104</v>
      </c>
      <c r="BC46" s="1043">
        <v>3</v>
      </c>
      <c r="BD46" s="1115"/>
      <c r="BE46" s="1017">
        <v>42722</v>
      </c>
      <c r="BF46" s="1019" t="s">
        <v>2162</v>
      </c>
      <c r="BG46" s="1117">
        <v>7</v>
      </c>
      <c r="BH46" s="1034"/>
      <c r="BI46" s="1017">
        <v>43085</v>
      </c>
      <c r="BJ46" s="1019" t="s">
        <v>11105</v>
      </c>
      <c r="BK46" s="1063"/>
      <c r="BL46" s="1034"/>
      <c r="BM46" s="1391">
        <v>43449</v>
      </c>
      <c r="BN46" s="1393" t="s">
        <v>1427</v>
      </c>
      <c r="BO46" s="1398">
        <v>4</v>
      </c>
      <c r="BP46" s="1399"/>
      <c r="BQ46" s="1391">
        <v>43815</v>
      </c>
      <c r="BR46" s="1393" t="s">
        <v>2607</v>
      </c>
      <c r="BS46" s="1411">
        <v>6</v>
      </c>
      <c r="BT46" s="1392" t="s">
        <v>414</v>
      </c>
      <c r="BU46" s="1391">
        <v>44171</v>
      </c>
      <c r="BV46" s="1393" t="s">
        <v>11106</v>
      </c>
      <c r="BW46" s="1406">
        <v>70</v>
      </c>
      <c r="BX46" s="1392" t="s">
        <v>701</v>
      </c>
      <c r="BY46" s="1391">
        <v>44541</v>
      </c>
      <c r="BZ46" s="1393" t="s">
        <v>843</v>
      </c>
      <c r="CA46" s="1406">
        <v>37</v>
      </c>
      <c r="CB46" s="1392" t="s">
        <v>414</v>
      </c>
      <c r="CC46" s="1391">
        <v>44910</v>
      </c>
      <c r="CD46" s="1393" t="s">
        <v>2050</v>
      </c>
      <c r="CE46" s="1406">
        <v>5</v>
      </c>
      <c r="CF46" s="1392" t="s">
        <v>414</v>
      </c>
      <c r="CG46" s="1391">
        <v>45276</v>
      </c>
      <c r="CH46" s="1393" t="s">
        <v>11107</v>
      </c>
      <c r="CI46" s="1406">
        <v>12</v>
      </c>
      <c r="CJ46" s="1392" t="s">
        <v>414</v>
      </c>
      <c r="CK46" s="1391">
        <v>45647</v>
      </c>
      <c r="CL46" s="2043" t="s">
        <v>11108</v>
      </c>
      <c r="CM46" s="2044">
        <v>15</v>
      </c>
      <c r="CN46" s="1392" t="s">
        <v>278</v>
      </c>
    </row>
    <row r="47" spans="1:92" s="1081" customFormat="1" ht="13.5">
      <c r="A47" s="1077">
        <v>37986</v>
      </c>
      <c r="B47" s="1040" t="s">
        <v>11109</v>
      </c>
      <c r="C47" s="1036">
        <v>66</v>
      </c>
      <c r="D47" s="1034"/>
      <c r="E47" s="1017">
        <v>37973</v>
      </c>
      <c r="F47" s="1040" t="s">
        <v>1537</v>
      </c>
      <c r="G47" s="1036">
        <v>554</v>
      </c>
      <c r="H47" s="1034"/>
      <c r="I47" s="1017">
        <v>38350</v>
      </c>
      <c r="J47" s="1040" t="s">
        <v>10720</v>
      </c>
      <c r="K47" s="1036">
        <v>77</v>
      </c>
      <c r="L47" s="1034"/>
      <c r="M47" s="1017">
        <v>38711</v>
      </c>
      <c r="N47" s="1040" t="s">
        <v>11110</v>
      </c>
      <c r="O47" s="1036">
        <v>13</v>
      </c>
      <c r="P47" s="1034"/>
      <c r="Q47" s="1017"/>
      <c r="R47" s="1040"/>
      <c r="S47" s="1102"/>
      <c r="T47" s="1034"/>
      <c r="U47" s="1017">
        <v>39813</v>
      </c>
      <c r="V47" s="1040" t="s">
        <v>11111</v>
      </c>
      <c r="W47" s="1102">
        <v>48</v>
      </c>
      <c r="X47" s="1034"/>
      <c r="Y47" s="1017">
        <v>39810</v>
      </c>
      <c r="Z47" s="1040" t="s">
        <v>11112</v>
      </c>
      <c r="AA47" s="1104">
        <v>6</v>
      </c>
      <c r="AB47" s="1034"/>
      <c r="AC47" s="1017">
        <v>40173</v>
      </c>
      <c r="AD47" s="1040" t="s">
        <v>937</v>
      </c>
      <c r="AE47" s="1104">
        <v>20</v>
      </c>
      <c r="AF47" s="1034"/>
      <c r="AG47" s="1017">
        <v>40531</v>
      </c>
      <c r="AH47" s="1040" t="s">
        <v>3595</v>
      </c>
      <c r="AI47" s="1104">
        <v>100</v>
      </c>
      <c r="AJ47" s="1034"/>
      <c r="AK47" s="1017">
        <v>40903</v>
      </c>
      <c r="AL47" s="1040" t="s">
        <v>11113</v>
      </c>
      <c r="AM47" s="1043">
        <v>25</v>
      </c>
      <c r="AN47" s="1034"/>
      <c r="AO47" s="1017">
        <v>41258</v>
      </c>
      <c r="AP47" s="1040" t="s">
        <v>797</v>
      </c>
      <c r="AQ47" s="1043">
        <v>35</v>
      </c>
      <c r="AR47" s="1034"/>
      <c r="AS47" s="1017">
        <v>41626</v>
      </c>
      <c r="AT47" s="1040" t="s">
        <v>11114</v>
      </c>
      <c r="AU47" s="1043">
        <v>18</v>
      </c>
      <c r="AV47" s="1034"/>
      <c r="AW47" s="1017">
        <v>41995</v>
      </c>
      <c r="AX47" s="1019" t="s">
        <v>1299</v>
      </c>
      <c r="AY47" s="1043">
        <v>15</v>
      </c>
      <c r="AZ47" s="1034"/>
      <c r="BA47" s="1017">
        <v>42356</v>
      </c>
      <c r="BB47" s="1019" t="s">
        <v>11115</v>
      </c>
      <c r="BC47" s="1043">
        <v>6</v>
      </c>
      <c r="BD47" s="1034"/>
      <c r="BE47" s="1017">
        <v>42722</v>
      </c>
      <c r="BF47" s="1019" t="s">
        <v>872</v>
      </c>
      <c r="BG47" s="1117">
        <v>16</v>
      </c>
      <c r="BH47" s="1112"/>
      <c r="BI47" s="1017">
        <v>43085</v>
      </c>
      <c r="BJ47" s="1019" t="s">
        <v>11116</v>
      </c>
      <c r="BK47" s="1063">
        <v>40</v>
      </c>
      <c r="BL47" s="1034"/>
      <c r="BM47" s="1391">
        <v>43449</v>
      </c>
      <c r="BN47" s="1393" t="s">
        <v>823</v>
      </c>
      <c r="BO47" s="1398">
        <v>41</v>
      </c>
      <c r="BP47" s="1399"/>
      <c r="BQ47" s="1391">
        <v>43815</v>
      </c>
      <c r="BR47" s="1393" t="s">
        <v>2443</v>
      </c>
      <c r="BS47" s="1411">
        <v>30</v>
      </c>
      <c r="BT47" s="1392" t="s">
        <v>280</v>
      </c>
      <c r="BU47" s="1391">
        <v>44171</v>
      </c>
      <c r="BV47" s="1393" t="s">
        <v>11117</v>
      </c>
      <c r="BW47" s="1406">
        <v>85</v>
      </c>
      <c r="BX47" s="1392" t="s">
        <v>701</v>
      </c>
      <c r="BY47" s="1391">
        <v>44541</v>
      </c>
      <c r="BZ47" s="1389" t="s">
        <v>872</v>
      </c>
      <c r="CA47" s="1406">
        <v>18</v>
      </c>
      <c r="CB47" s="1392" t="s">
        <v>414</v>
      </c>
      <c r="CC47" s="1391">
        <v>44910</v>
      </c>
      <c r="CD47" s="1389" t="s">
        <v>2253</v>
      </c>
      <c r="CE47" s="1406">
        <v>62</v>
      </c>
      <c r="CF47" s="1392" t="s">
        <v>414</v>
      </c>
      <c r="CG47" s="1391">
        <v>45276</v>
      </c>
      <c r="CH47" s="1389" t="s">
        <v>2040</v>
      </c>
      <c r="CI47" s="1406">
        <v>20</v>
      </c>
      <c r="CJ47" s="1392" t="s">
        <v>414</v>
      </c>
      <c r="CK47" s="1391">
        <v>45648</v>
      </c>
      <c r="CL47" s="2032" t="s">
        <v>11118</v>
      </c>
      <c r="CM47" s="2042">
        <v>20</v>
      </c>
      <c r="CN47" s="1392" t="s">
        <v>278</v>
      </c>
    </row>
    <row r="48" spans="1:92" s="1081" customFormat="1" ht="13.5">
      <c r="A48" s="1077">
        <v>37986</v>
      </c>
      <c r="B48" s="1040" t="s">
        <v>10945</v>
      </c>
      <c r="C48" s="1036">
        <v>300</v>
      </c>
      <c r="D48" s="1034"/>
      <c r="E48" s="1017">
        <v>37974</v>
      </c>
      <c r="F48" s="1040" t="s">
        <v>11119</v>
      </c>
      <c r="G48" s="1036">
        <v>27</v>
      </c>
      <c r="H48" s="1034"/>
      <c r="I48" s="1017">
        <v>38350</v>
      </c>
      <c r="J48" s="1040" t="s">
        <v>772</v>
      </c>
      <c r="K48" s="1036">
        <v>100</v>
      </c>
      <c r="L48" s="1034"/>
      <c r="M48" s="1017">
        <v>38711</v>
      </c>
      <c r="N48" s="1040" t="s">
        <v>10636</v>
      </c>
      <c r="O48" s="1036">
        <v>21</v>
      </c>
      <c r="P48" s="1034"/>
      <c r="Q48" s="1017"/>
      <c r="R48" s="1040"/>
      <c r="S48" s="1102"/>
      <c r="T48" s="1034"/>
      <c r="U48" s="1017">
        <v>39813</v>
      </c>
      <c r="V48" s="1040" t="s">
        <v>11120</v>
      </c>
      <c r="W48" s="1102">
        <v>65</v>
      </c>
      <c r="X48" s="1034"/>
      <c r="Y48" s="1017">
        <v>39811</v>
      </c>
      <c r="Z48" s="1040" t="s">
        <v>11121</v>
      </c>
      <c r="AA48" s="1104">
        <v>25</v>
      </c>
      <c r="AB48" s="1034"/>
      <c r="AC48" s="1017">
        <v>40173</v>
      </c>
      <c r="AD48" s="1040" t="s">
        <v>11122</v>
      </c>
      <c r="AE48" s="1104">
        <v>35</v>
      </c>
      <c r="AF48" s="1034"/>
      <c r="AG48" s="1017">
        <v>40531</v>
      </c>
      <c r="AH48" s="1040" t="s">
        <v>937</v>
      </c>
      <c r="AI48" s="1104">
        <v>50</v>
      </c>
      <c r="AJ48" s="1034"/>
      <c r="AK48" s="1017">
        <v>40903</v>
      </c>
      <c r="AL48" s="1040" t="s">
        <v>754</v>
      </c>
      <c r="AM48" s="1043">
        <v>70</v>
      </c>
      <c r="AN48" s="1034"/>
      <c r="AO48" s="1017">
        <v>41259</v>
      </c>
      <c r="AP48" s="1040" t="s">
        <v>11123</v>
      </c>
      <c r="AQ48" s="1043">
        <v>46</v>
      </c>
      <c r="AR48" s="1034"/>
      <c r="AS48" s="1017">
        <v>41627</v>
      </c>
      <c r="AT48" s="1040" t="s">
        <v>11124</v>
      </c>
      <c r="AU48" s="1104">
        <v>2</v>
      </c>
      <c r="AV48" s="1034"/>
      <c r="AW48" s="1017">
        <v>41995</v>
      </c>
      <c r="AX48" s="1019" t="s">
        <v>10888</v>
      </c>
      <c r="AY48" s="1043">
        <v>13</v>
      </c>
      <c r="AZ48" s="1115"/>
      <c r="BA48" s="1017">
        <v>42356</v>
      </c>
      <c r="BB48" s="1019" t="s">
        <v>11090</v>
      </c>
      <c r="BC48" s="1043">
        <v>29</v>
      </c>
      <c r="BD48" s="1034"/>
      <c r="BE48" s="1017">
        <v>42722</v>
      </c>
      <c r="BF48" s="1019" t="s">
        <v>1352</v>
      </c>
      <c r="BG48" s="1063">
        <v>25</v>
      </c>
      <c r="BH48" s="1034"/>
      <c r="BI48" s="1017">
        <v>43085</v>
      </c>
      <c r="BJ48" s="1019" t="s">
        <v>772</v>
      </c>
      <c r="BK48" s="1063">
        <v>42</v>
      </c>
      <c r="BL48" s="1112"/>
      <c r="BM48" s="1391">
        <v>43449</v>
      </c>
      <c r="BN48" s="1393" t="s">
        <v>873</v>
      </c>
      <c r="BO48" s="1398">
        <v>32</v>
      </c>
      <c r="BP48" s="1410"/>
      <c r="BQ48" s="1391">
        <v>43815</v>
      </c>
      <c r="BR48" s="1393" t="s">
        <v>3449</v>
      </c>
      <c r="BS48" s="1411">
        <v>10</v>
      </c>
      <c r="BT48" s="1392" t="s">
        <v>414</v>
      </c>
      <c r="BU48" s="1391">
        <v>44171</v>
      </c>
      <c r="BV48" s="1393" t="s">
        <v>11125</v>
      </c>
      <c r="BW48" s="1406">
        <v>0</v>
      </c>
      <c r="BX48" s="1392" t="s">
        <v>701</v>
      </c>
      <c r="BY48" s="1391">
        <v>44541</v>
      </c>
      <c r="BZ48" s="1389" t="s">
        <v>845</v>
      </c>
      <c r="CA48" s="1406">
        <v>31</v>
      </c>
      <c r="CB48" s="1392" t="s">
        <v>414</v>
      </c>
      <c r="CC48" s="1391">
        <v>44910</v>
      </c>
      <c r="CD48" s="1389" t="s">
        <v>11126</v>
      </c>
      <c r="CE48" s="1406">
        <v>10</v>
      </c>
      <c r="CF48" s="1392" t="s">
        <v>414</v>
      </c>
      <c r="CG48" s="1391">
        <v>45276</v>
      </c>
      <c r="CH48" s="1389" t="s">
        <v>11127</v>
      </c>
      <c r="CI48" s="1406">
        <v>30</v>
      </c>
      <c r="CJ48" s="1392" t="s">
        <v>414</v>
      </c>
      <c r="CK48" s="1391">
        <v>45648</v>
      </c>
      <c r="CL48" s="1393" t="s">
        <v>11128</v>
      </c>
      <c r="CM48" s="2042">
        <v>26</v>
      </c>
      <c r="CN48" s="1392" t="s">
        <v>278</v>
      </c>
    </row>
    <row r="49" spans="1:92" s="1081" customFormat="1" ht="13.5">
      <c r="A49" s="1077"/>
      <c r="B49" s="1040"/>
      <c r="C49" s="1036"/>
      <c r="D49" s="1034"/>
      <c r="E49" s="1017">
        <v>37974</v>
      </c>
      <c r="F49" s="1040" t="s">
        <v>7617</v>
      </c>
      <c r="G49" s="1036">
        <v>7</v>
      </c>
      <c r="H49" s="1034"/>
      <c r="I49" s="1017">
        <v>38350</v>
      </c>
      <c r="J49" s="1040" t="s">
        <v>11129</v>
      </c>
      <c r="K49" s="1036">
        <v>43</v>
      </c>
      <c r="L49" s="1034"/>
      <c r="M49" s="1017">
        <v>38713</v>
      </c>
      <c r="N49" s="1040" t="s">
        <v>11130</v>
      </c>
      <c r="O49" s="1036">
        <v>17</v>
      </c>
      <c r="P49" s="1034"/>
      <c r="Q49" s="1017"/>
      <c r="R49" s="1040"/>
      <c r="S49" s="1102"/>
      <c r="T49" s="1034"/>
      <c r="U49" s="1017"/>
      <c r="V49" s="1040"/>
      <c r="W49" s="1102"/>
      <c r="X49" s="1034"/>
      <c r="Y49" s="1017">
        <v>39811</v>
      </c>
      <c r="Z49" s="1040" t="s">
        <v>11131</v>
      </c>
      <c r="AA49" s="1104">
        <v>170</v>
      </c>
      <c r="AB49" s="1034"/>
      <c r="AC49" s="1017">
        <v>40174</v>
      </c>
      <c r="AD49" s="1040" t="s">
        <v>867</v>
      </c>
      <c r="AE49" s="1104">
        <v>36</v>
      </c>
      <c r="AF49" s="1034"/>
      <c r="AG49" s="1017">
        <v>40531</v>
      </c>
      <c r="AH49" s="1040" t="s">
        <v>1244</v>
      </c>
      <c r="AI49" s="1104">
        <v>52</v>
      </c>
      <c r="AJ49" s="1034"/>
      <c r="AK49" s="1017">
        <v>40903</v>
      </c>
      <c r="AL49" s="1040" t="s">
        <v>772</v>
      </c>
      <c r="AM49" s="1104">
        <v>25</v>
      </c>
      <c r="AN49" s="1034"/>
      <c r="AO49" s="1017">
        <v>41259</v>
      </c>
      <c r="AP49" s="1040" t="s">
        <v>9339</v>
      </c>
      <c r="AQ49" s="1043">
        <v>14</v>
      </c>
      <c r="AR49" s="1034"/>
      <c r="AS49" s="1017">
        <v>41627</v>
      </c>
      <c r="AT49" s="1040" t="s">
        <v>754</v>
      </c>
      <c r="AU49" s="1104">
        <v>41</v>
      </c>
      <c r="AV49" s="1034"/>
      <c r="AW49" s="1017">
        <v>41996</v>
      </c>
      <c r="AX49" s="1019" t="s">
        <v>11132</v>
      </c>
      <c r="AY49" s="1043"/>
      <c r="AZ49" s="1034"/>
      <c r="BA49" s="1017">
        <v>42357</v>
      </c>
      <c r="BB49" s="1019" t="s">
        <v>11133</v>
      </c>
      <c r="BC49" s="1104">
        <v>38</v>
      </c>
      <c r="BD49" s="1034"/>
      <c r="BE49" s="1017">
        <v>42722</v>
      </c>
      <c r="BF49" s="1019" t="s">
        <v>772</v>
      </c>
      <c r="BG49" s="1063">
        <v>100</v>
      </c>
      <c r="BH49" s="1034"/>
      <c r="BI49" s="1017">
        <v>43085</v>
      </c>
      <c r="BJ49" s="1019" t="s">
        <v>872</v>
      </c>
      <c r="BK49" s="1063">
        <v>21</v>
      </c>
      <c r="BL49" s="1034"/>
      <c r="BM49" s="1391">
        <v>43449</v>
      </c>
      <c r="BN49" s="1393" t="s">
        <v>797</v>
      </c>
      <c r="BO49" s="1398">
        <v>40</v>
      </c>
      <c r="BP49" s="1399"/>
      <c r="BQ49" s="1391">
        <v>43815</v>
      </c>
      <c r="BR49" s="1393" t="s">
        <v>1901</v>
      </c>
      <c r="BS49" s="1411">
        <v>15</v>
      </c>
      <c r="BT49" s="1392" t="s">
        <v>414</v>
      </c>
      <c r="BU49" s="1391">
        <v>44171</v>
      </c>
      <c r="BV49" s="1393" t="s">
        <v>11134</v>
      </c>
      <c r="BW49" s="1406">
        <v>0</v>
      </c>
      <c r="BX49" s="1392" t="s">
        <v>701</v>
      </c>
      <c r="BY49" s="1391">
        <v>44541</v>
      </c>
      <c r="BZ49" s="1393" t="s">
        <v>772</v>
      </c>
      <c r="CA49" s="1406">
        <v>21</v>
      </c>
      <c r="CB49" s="1392" t="s">
        <v>414</v>
      </c>
      <c r="CC49" s="1391">
        <v>44911</v>
      </c>
      <c r="CD49" s="1412" t="s">
        <v>4337</v>
      </c>
      <c r="CE49" s="1406">
        <v>28</v>
      </c>
      <c r="CF49" s="1392" t="s">
        <v>278</v>
      </c>
      <c r="CG49" s="1391">
        <v>45276</v>
      </c>
      <c r="CH49" s="1412" t="s">
        <v>11135</v>
      </c>
      <c r="CI49" s="1406">
        <v>35</v>
      </c>
      <c r="CJ49" s="1392" t="s">
        <v>426</v>
      </c>
      <c r="CK49" s="1391">
        <v>45648</v>
      </c>
      <c r="CL49" s="1393" t="s">
        <v>11136</v>
      </c>
      <c r="CM49" s="2042">
        <v>12</v>
      </c>
      <c r="CN49" s="1392" t="s">
        <v>278</v>
      </c>
    </row>
    <row r="50" spans="1:92" s="1081" customFormat="1" ht="13.5">
      <c r="A50" s="1077"/>
      <c r="B50" s="1040"/>
      <c r="C50" s="1036"/>
      <c r="D50" s="1034"/>
      <c r="E50" s="1017">
        <v>37974</v>
      </c>
      <c r="F50" s="1040" t="s">
        <v>797</v>
      </c>
      <c r="G50" s="1036">
        <v>30</v>
      </c>
      <c r="H50" s="1034"/>
      <c r="I50" s="1017">
        <v>38350</v>
      </c>
      <c r="J50" s="1040" t="s">
        <v>11137</v>
      </c>
      <c r="K50" s="1036">
        <v>18</v>
      </c>
      <c r="L50" s="1034"/>
      <c r="M50" s="1017">
        <v>38714</v>
      </c>
      <c r="N50" s="1040" t="s">
        <v>11138</v>
      </c>
      <c r="O50" s="1036">
        <v>50</v>
      </c>
      <c r="P50" s="1034"/>
      <c r="Q50" s="1017"/>
      <c r="R50" s="1040"/>
      <c r="S50" s="1102"/>
      <c r="T50" s="1034"/>
      <c r="U50" s="1017"/>
      <c r="V50" s="1040"/>
      <c r="W50" s="1102"/>
      <c r="X50" s="1034"/>
      <c r="Y50" s="1017">
        <v>39811</v>
      </c>
      <c r="Z50" s="1040" t="s">
        <v>11139</v>
      </c>
      <c r="AA50" s="1104">
        <v>15</v>
      </c>
      <c r="AB50" s="1034"/>
      <c r="AC50" s="1017">
        <v>40174</v>
      </c>
      <c r="AD50" s="1040" t="s">
        <v>787</v>
      </c>
      <c r="AE50" s="1104">
        <v>58</v>
      </c>
      <c r="AF50" s="1034"/>
      <c r="AG50" s="1017">
        <v>40532</v>
      </c>
      <c r="AH50" s="1040" t="s">
        <v>787</v>
      </c>
      <c r="AI50" s="1104">
        <v>183</v>
      </c>
      <c r="AJ50" s="1034"/>
      <c r="AK50" s="1017">
        <v>40903</v>
      </c>
      <c r="AL50" s="1040" t="s">
        <v>781</v>
      </c>
      <c r="AM50" s="1104">
        <v>30</v>
      </c>
      <c r="AN50" s="1034"/>
      <c r="AO50" s="1017">
        <v>41259</v>
      </c>
      <c r="AP50" s="1040" t="s">
        <v>9998</v>
      </c>
      <c r="AQ50" s="1043">
        <v>21</v>
      </c>
      <c r="AR50" s="1034"/>
      <c r="AS50" s="1017">
        <v>41628</v>
      </c>
      <c r="AT50" s="1040" t="s">
        <v>11140</v>
      </c>
      <c r="AU50" s="1104">
        <v>2</v>
      </c>
      <c r="AV50" s="1034"/>
      <c r="AW50" s="1017">
        <v>41997</v>
      </c>
      <c r="AX50" s="1019" t="s">
        <v>11141</v>
      </c>
      <c r="AY50" s="1043">
        <v>50</v>
      </c>
      <c r="AZ50" s="1034"/>
      <c r="BA50" s="1017">
        <v>42358</v>
      </c>
      <c r="BB50" s="1019" t="s">
        <v>11142</v>
      </c>
      <c r="BC50" s="1104">
        <v>8</v>
      </c>
      <c r="BD50" s="1034"/>
      <c r="BE50" s="1017">
        <v>42723</v>
      </c>
      <c r="BF50" s="1019" t="s">
        <v>890</v>
      </c>
      <c r="BG50" s="1063">
        <v>21</v>
      </c>
      <c r="BH50" s="1034"/>
      <c r="BI50" s="1017">
        <v>43085</v>
      </c>
      <c r="BJ50" s="1019" t="s">
        <v>11143</v>
      </c>
      <c r="BK50" s="1063">
        <v>28</v>
      </c>
      <c r="BL50" s="1034"/>
      <c r="BM50" s="1391">
        <v>43449</v>
      </c>
      <c r="BN50" s="1393" t="s">
        <v>11144</v>
      </c>
      <c r="BO50" s="1398">
        <v>27</v>
      </c>
      <c r="BP50" s="1399"/>
      <c r="BQ50" s="1391">
        <v>43815</v>
      </c>
      <c r="BR50" s="1393" t="s">
        <v>11145</v>
      </c>
      <c r="BS50" s="1411">
        <v>8</v>
      </c>
      <c r="BT50" s="1392" t="s">
        <v>414</v>
      </c>
      <c r="BU50" s="1391">
        <v>44171</v>
      </c>
      <c r="BV50" s="1393" t="s">
        <v>11146</v>
      </c>
      <c r="BW50" s="1406">
        <v>0</v>
      </c>
      <c r="BX50" s="1392" t="s">
        <v>701</v>
      </c>
      <c r="BY50" s="1391">
        <v>44541</v>
      </c>
      <c r="BZ50" s="1393" t="s">
        <v>5472</v>
      </c>
      <c r="CA50" s="1406">
        <v>67</v>
      </c>
      <c r="CB50" s="1392" t="s">
        <v>700</v>
      </c>
      <c r="CC50" s="1391">
        <v>44911</v>
      </c>
      <c r="CD50" s="1393" t="s">
        <v>2314</v>
      </c>
      <c r="CE50" s="1406">
        <v>20</v>
      </c>
      <c r="CF50" s="1392" t="s">
        <v>278</v>
      </c>
      <c r="CG50" s="1391">
        <v>45276</v>
      </c>
      <c r="CH50" s="1393" t="s">
        <v>10796</v>
      </c>
      <c r="CI50" s="1406">
        <v>20</v>
      </c>
      <c r="CJ50" s="1392" t="s">
        <v>700</v>
      </c>
      <c r="CK50" s="1391">
        <v>45648</v>
      </c>
      <c r="CL50" s="1393" t="s">
        <v>1130</v>
      </c>
      <c r="CM50" s="2042">
        <v>38</v>
      </c>
      <c r="CN50" s="1392" t="s">
        <v>278</v>
      </c>
    </row>
    <row r="51" spans="1:92" s="1081" customFormat="1" ht="13.5">
      <c r="A51" s="1077"/>
      <c r="B51" s="1040"/>
      <c r="C51" s="1036"/>
      <c r="D51" s="1034"/>
      <c r="E51" s="1017">
        <v>37974</v>
      </c>
      <c r="F51" s="1040" t="s">
        <v>2439</v>
      </c>
      <c r="G51" s="1036">
        <v>17</v>
      </c>
      <c r="H51" s="1034"/>
      <c r="I51" s="1017">
        <v>38351</v>
      </c>
      <c r="J51" s="1040" t="s">
        <v>11147</v>
      </c>
      <c r="K51" s="1036">
        <v>28</v>
      </c>
      <c r="L51" s="1034"/>
      <c r="M51" s="1017">
        <v>38714</v>
      </c>
      <c r="N51" s="1040" t="s">
        <v>11148</v>
      </c>
      <c r="O51" s="1036">
        <v>300</v>
      </c>
      <c r="P51" s="1034"/>
      <c r="Q51" s="1017"/>
      <c r="R51" s="1040"/>
      <c r="S51" s="1102"/>
      <c r="T51" s="1034"/>
      <c r="U51" s="1017"/>
      <c r="V51" s="1040"/>
      <c r="W51" s="1102"/>
      <c r="X51" s="1034"/>
      <c r="Y51" s="1017">
        <v>39812</v>
      </c>
      <c r="Z51" s="1040" t="s">
        <v>767</v>
      </c>
      <c r="AA51" s="1104">
        <v>15</v>
      </c>
      <c r="AB51" s="1034"/>
      <c r="AC51" s="1017">
        <v>40174</v>
      </c>
      <c r="AD51" s="1040" t="s">
        <v>772</v>
      </c>
      <c r="AE51" s="1104">
        <v>59</v>
      </c>
      <c r="AF51" s="1034"/>
      <c r="AG51" s="1017">
        <v>40532</v>
      </c>
      <c r="AH51" s="1040" t="s">
        <v>11149</v>
      </c>
      <c r="AI51" s="1104">
        <v>27</v>
      </c>
      <c r="AJ51" s="1034"/>
      <c r="AK51" s="1017">
        <v>40903</v>
      </c>
      <c r="AL51" s="1040" t="s">
        <v>962</v>
      </c>
      <c r="AM51" s="1104">
        <v>40</v>
      </c>
      <c r="AN51" s="1034"/>
      <c r="AO51" s="1017">
        <v>41259</v>
      </c>
      <c r="AP51" s="1040" t="s">
        <v>11150</v>
      </c>
      <c r="AQ51" s="1043">
        <v>31</v>
      </c>
      <c r="AR51" s="1034"/>
      <c r="AS51" s="1017">
        <v>41628</v>
      </c>
      <c r="AT51" s="1040" t="s">
        <v>11151</v>
      </c>
      <c r="AU51" s="1104">
        <v>41</v>
      </c>
      <c r="AV51" s="1034"/>
      <c r="AW51" s="1017">
        <v>41997</v>
      </c>
      <c r="AX51" s="1019" t="s">
        <v>781</v>
      </c>
      <c r="AY51" s="1043">
        <v>20</v>
      </c>
      <c r="AZ51" s="1034"/>
      <c r="BA51" s="1017">
        <v>42358</v>
      </c>
      <c r="BB51" s="1019" t="s">
        <v>11152</v>
      </c>
      <c r="BC51" s="1104">
        <v>16</v>
      </c>
      <c r="BD51" s="1034"/>
      <c r="BE51" s="1017">
        <v>42723</v>
      </c>
      <c r="BF51" s="1019" t="s">
        <v>3586</v>
      </c>
      <c r="BG51" s="1063">
        <v>89</v>
      </c>
      <c r="BH51" s="1034"/>
      <c r="BI51" s="1017">
        <v>43085</v>
      </c>
      <c r="BJ51" s="1019" t="s">
        <v>840</v>
      </c>
      <c r="BK51" s="1063">
        <v>15</v>
      </c>
      <c r="BL51" s="1034"/>
      <c r="BM51" s="1391">
        <v>43449</v>
      </c>
      <c r="BN51" s="1393" t="s">
        <v>11153</v>
      </c>
      <c r="BO51" s="1398">
        <v>15</v>
      </c>
      <c r="BP51" s="1399"/>
      <c r="BQ51" s="1391">
        <v>43815</v>
      </c>
      <c r="BR51" s="1393" t="s">
        <v>11154</v>
      </c>
      <c r="BS51" s="1411">
        <v>0</v>
      </c>
      <c r="BT51" s="1392" t="s">
        <v>414</v>
      </c>
      <c r="BU51" s="1391">
        <v>44171</v>
      </c>
      <c r="BV51" s="1393" t="s">
        <v>10494</v>
      </c>
      <c r="BW51" s="1406">
        <v>0</v>
      </c>
      <c r="BX51" s="1392" t="s">
        <v>701</v>
      </c>
      <c r="BY51" s="1391">
        <v>44541</v>
      </c>
      <c r="BZ51" s="1393" t="s">
        <v>1903</v>
      </c>
      <c r="CA51" s="1406">
        <v>35</v>
      </c>
      <c r="CB51" s="1392" t="s">
        <v>700</v>
      </c>
      <c r="CC51" s="1391">
        <v>44912</v>
      </c>
      <c r="CD51" s="1393" t="s">
        <v>845</v>
      </c>
      <c r="CE51" s="1406">
        <v>25</v>
      </c>
      <c r="CF51" s="1392" t="s">
        <v>414</v>
      </c>
      <c r="CG51" s="1391">
        <v>45276</v>
      </c>
      <c r="CH51" s="1393" t="s">
        <v>11155</v>
      </c>
      <c r="CI51" s="1406">
        <v>26</v>
      </c>
      <c r="CJ51" s="1392" t="s">
        <v>414</v>
      </c>
      <c r="CK51" s="1391">
        <v>45649</v>
      </c>
      <c r="CL51" s="1389" t="s">
        <v>11156</v>
      </c>
      <c r="CM51" s="2042">
        <v>40</v>
      </c>
      <c r="CN51" s="1392" t="s">
        <v>278</v>
      </c>
    </row>
    <row r="52" spans="1:92" s="1081" customFormat="1" ht="13.5">
      <c r="A52" s="1077"/>
      <c r="B52" s="1040"/>
      <c r="C52" s="1036"/>
      <c r="D52" s="1034"/>
      <c r="E52" s="1017">
        <v>37975</v>
      </c>
      <c r="F52" s="1040" t="s">
        <v>11157</v>
      </c>
      <c r="G52" s="1036">
        <v>7</v>
      </c>
      <c r="H52" s="1034"/>
      <c r="I52" s="1017">
        <v>38351</v>
      </c>
      <c r="J52" s="1040" t="s">
        <v>748</v>
      </c>
      <c r="K52" s="1036">
        <v>25</v>
      </c>
      <c r="L52" s="1034"/>
      <c r="M52" s="1017">
        <v>38716</v>
      </c>
      <c r="N52" s="1040" t="s">
        <v>11158</v>
      </c>
      <c r="O52" s="1036">
        <v>75</v>
      </c>
      <c r="P52" s="1034"/>
      <c r="Q52" s="1017"/>
      <c r="R52" s="1040"/>
      <c r="S52" s="1102"/>
      <c r="T52" s="1034"/>
      <c r="U52" s="1017"/>
      <c r="V52" s="1040"/>
      <c r="W52" s="1102"/>
      <c r="X52" s="1034"/>
      <c r="Y52" s="1017">
        <v>39812</v>
      </c>
      <c r="Z52" s="1040" t="s">
        <v>11159</v>
      </c>
      <c r="AA52" s="1104">
        <v>2</v>
      </c>
      <c r="AB52" s="1034"/>
      <c r="AC52" s="1017">
        <v>40175</v>
      </c>
      <c r="AD52" s="1040" t="s">
        <v>11160</v>
      </c>
      <c r="AE52" s="1104">
        <v>3</v>
      </c>
      <c r="AF52" s="1034"/>
      <c r="AG52" s="1017">
        <v>40532</v>
      </c>
      <c r="AH52" s="1040" t="s">
        <v>802</v>
      </c>
      <c r="AI52" s="1104">
        <v>35</v>
      </c>
      <c r="AJ52" s="1034"/>
      <c r="AK52" s="1017">
        <v>40904</v>
      </c>
      <c r="AL52" s="1040" t="s">
        <v>7940</v>
      </c>
      <c r="AM52" s="1104">
        <v>15</v>
      </c>
      <c r="AN52" s="1034"/>
      <c r="AO52" s="1017">
        <v>41260</v>
      </c>
      <c r="AP52" s="1066" t="s">
        <v>797</v>
      </c>
      <c r="AQ52" s="1043">
        <v>50</v>
      </c>
      <c r="AR52" s="1115"/>
      <c r="AS52" s="1017">
        <v>41629</v>
      </c>
      <c r="AT52" s="1040" t="s">
        <v>754</v>
      </c>
      <c r="AU52" s="1104">
        <v>92</v>
      </c>
      <c r="AV52" s="1034"/>
      <c r="AW52" s="1017">
        <v>41997</v>
      </c>
      <c r="AX52" s="1019" t="s">
        <v>11161</v>
      </c>
      <c r="AY52" s="1043">
        <v>48</v>
      </c>
      <c r="AZ52" s="1034"/>
      <c r="BA52" s="1017">
        <v>42358</v>
      </c>
      <c r="BB52" s="1019" t="s">
        <v>11162</v>
      </c>
      <c r="BC52" s="1104">
        <v>6</v>
      </c>
      <c r="BD52" s="1034"/>
      <c r="BE52" s="1017">
        <v>42724</v>
      </c>
      <c r="BF52" s="1019" t="s">
        <v>1180</v>
      </c>
      <c r="BG52" s="1063">
        <v>61</v>
      </c>
      <c r="BH52" s="1034"/>
      <c r="BI52" s="1017">
        <v>43085</v>
      </c>
      <c r="BJ52" s="1019" t="s">
        <v>11163</v>
      </c>
      <c r="BK52" s="1063">
        <v>45</v>
      </c>
      <c r="BL52" s="1034"/>
      <c r="BM52" s="1391">
        <v>43449</v>
      </c>
      <c r="BN52" s="1393" t="s">
        <v>11164</v>
      </c>
      <c r="BO52" s="1398">
        <v>4</v>
      </c>
      <c r="BP52" s="1399"/>
      <c r="BQ52" s="1391">
        <v>43815</v>
      </c>
      <c r="BR52" s="1393" t="s">
        <v>11165</v>
      </c>
      <c r="BS52" s="1411">
        <v>8</v>
      </c>
      <c r="BT52" s="1392" t="s">
        <v>414</v>
      </c>
      <c r="BU52" s="1391">
        <v>44171</v>
      </c>
      <c r="BV52" s="1393" t="s">
        <v>11166</v>
      </c>
      <c r="BW52" s="1406">
        <v>153</v>
      </c>
      <c r="BX52" s="1392" t="s">
        <v>701</v>
      </c>
      <c r="BY52" s="1391">
        <v>44543</v>
      </c>
      <c r="BZ52" s="1393" t="s">
        <v>11167</v>
      </c>
      <c r="CA52" s="1406">
        <v>25</v>
      </c>
      <c r="CB52" s="1392" t="s">
        <v>280</v>
      </c>
      <c r="CC52" s="1391">
        <v>44912</v>
      </c>
      <c r="CD52" s="1393" t="s">
        <v>843</v>
      </c>
      <c r="CE52" s="1406">
        <v>49</v>
      </c>
      <c r="CF52" s="1392" t="s">
        <v>414</v>
      </c>
      <c r="CG52" s="1391">
        <v>45276</v>
      </c>
      <c r="CH52" s="1393" t="s">
        <v>11168</v>
      </c>
      <c r="CI52" s="1406">
        <v>35</v>
      </c>
      <c r="CJ52" s="1392" t="s">
        <v>280</v>
      </c>
      <c r="CK52" s="1391">
        <v>45649</v>
      </c>
      <c r="CL52" s="1389" t="s">
        <v>1180</v>
      </c>
      <c r="CM52" s="2042">
        <v>101</v>
      </c>
      <c r="CN52" s="1392" t="s">
        <v>410</v>
      </c>
    </row>
    <row r="53" spans="1:92" s="1081" customFormat="1" ht="13.5">
      <c r="A53" s="1077"/>
      <c r="B53" s="1040"/>
      <c r="C53" s="1036"/>
      <c r="D53" s="1034"/>
      <c r="E53" s="1017">
        <v>37976</v>
      </c>
      <c r="F53" s="1040" t="s">
        <v>1062</v>
      </c>
      <c r="G53" s="1036">
        <v>57</v>
      </c>
      <c r="H53" s="1034"/>
      <c r="I53" s="1017">
        <v>38351</v>
      </c>
      <c r="J53" s="1040" t="s">
        <v>10238</v>
      </c>
      <c r="K53" s="1036">
        <v>15</v>
      </c>
      <c r="L53" s="1034"/>
      <c r="M53" s="1017">
        <v>38716</v>
      </c>
      <c r="N53" s="1040" t="s">
        <v>787</v>
      </c>
      <c r="O53" s="1036">
        <v>18</v>
      </c>
      <c r="P53" s="1034"/>
      <c r="Q53" s="1017"/>
      <c r="R53" s="1040"/>
      <c r="S53" s="1102"/>
      <c r="T53" s="1034"/>
      <c r="U53" s="1017"/>
      <c r="V53" s="1040"/>
      <c r="W53" s="1102"/>
      <c r="X53" s="1034"/>
      <c r="Y53" s="1017">
        <v>39812</v>
      </c>
      <c r="Z53" s="1040" t="s">
        <v>11169</v>
      </c>
      <c r="AA53" s="1104">
        <v>36</v>
      </c>
      <c r="AB53" s="1034"/>
      <c r="AC53" s="1017">
        <v>40175</v>
      </c>
      <c r="AD53" s="1040" t="s">
        <v>11170</v>
      </c>
      <c r="AE53" s="1104">
        <v>4</v>
      </c>
      <c r="AF53" s="1034"/>
      <c r="AG53" s="1017">
        <v>40533</v>
      </c>
      <c r="AH53" s="1040" t="s">
        <v>797</v>
      </c>
      <c r="AI53" s="1104">
        <v>46</v>
      </c>
      <c r="AJ53" s="1034"/>
      <c r="AK53" s="1017">
        <v>40904</v>
      </c>
      <c r="AL53" s="1040" t="s">
        <v>2698</v>
      </c>
      <c r="AM53" s="1104">
        <v>2</v>
      </c>
      <c r="AN53" s="1034"/>
      <c r="AO53" s="1017">
        <v>41262</v>
      </c>
      <c r="AP53" s="1040" t="s">
        <v>754</v>
      </c>
      <c r="AQ53" s="1043">
        <v>117</v>
      </c>
      <c r="AR53" s="1034"/>
      <c r="AS53" s="1017">
        <v>41629</v>
      </c>
      <c r="AT53" s="1040" t="s">
        <v>11171</v>
      </c>
      <c r="AU53" s="1104">
        <v>7</v>
      </c>
      <c r="AV53" s="1034"/>
      <c r="AW53" s="1017">
        <v>41997</v>
      </c>
      <c r="AX53" s="1019" t="s">
        <v>11172</v>
      </c>
      <c r="AY53" s="1104">
        <v>44</v>
      </c>
      <c r="AZ53" s="1034"/>
      <c r="BA53" s="1017">
        <v>42358</v>
      </c>
      <c r="BB53" s="1019" t="s">
        <v>11090</v>
      </c>
      <c r="BC53" s="1104">
        <v>27</v>
      </c>
      <c r="BD53" s="1034"/>
      <c r="BE53" s="1017">
        <v>42724</v>
      </c>
      <c r="BF53" s="1019" t="s">
        <v>11173</v>
      </c>
      <c r="BG53" s="1063">
        <v>15</v>
      </c>
      <c r="BH53" s="1034"/>
      <c r="BI53" s="1017">
        <v>43085</v>
      </c>
      <c r="BJ53" s="1040" t="s">
        <v>11174</v>
      </c>
      <c r="BK53" s="1063">
        <v>20</v>
      </c>
      <c r="BL53" s="1034"/>
      <c r="BM53" s="1391">
        <v>43449</v>
      </c>
      <c r="BN53" s="1397" t="s">
        <v>11175</v>
      </c>
      <c r="BO53" s="1398">
        <v>10</v>
      </c>
      <c r="BP53" s="1399"/>
      <c r="BQ53" s="1391">
        <v>43815</v>
      </c>
      <c r="BR53" s="1393" t="s">
        <v>11176</v>
      </c>
      <c r="BS53" s="1411">
        <v>4</v>
      </c>
      <c r="BT53" s="1392" t="s">
        <v>414</v>
      </c>
      <c r="BU53" s="1391">
        <v>44172</v>
      </c>
      <c r="BV53" s="1393" t="s">
        <v>11177</v>
      </c>
      <c r="BW53" s="1406">
        <v>330</v>
      </c>
      <c r="BX53" s="1392" t="s">
        <v>701</v>
      </c>
      <c r="BY53" s="1391">
        <v>44543</v>
      </c>
      <c r="BZ53" s="1393" t="s">
        <v>11178</v>
      </c>
      <c r="CA53" s="1406">
        <v>50</v>
      </c>
      <c r="CB53" s="1392" t="s">
        <v>426</v>
      </c>
      <c r="CC53" s="1391">
        <v>44912</v>
      </c>
      <c r="CD53" s="1393" t="s">
        <v>11179</v>
      </c>
      <c r="CE53" s="1406">
        <v>16</v>
      </c>
      <c r="CF53" s="1392" t="s">
        <v>414</v>
      </c>
      <c r="CG53" s="1391">
        <v>45276</v>
      </c>
      <c r="CH53" s="1393" t="s">
        <v>2050</v>
      </c>
      <c r="CI53" s="1406">
        <v>20</v>
      </c>
      <c r="CJ53" s="1392" t="s">
        <v>414</v>
      </c>
      <c r="CK53" s="1391">
        <v>45649</v>
      </c>
      <c r="CL53" s="1412" t="s">
        <v>11180</v>
      </c>
      <c r="CM53" s="2042">
        <v>13</v>
      </c>
      <c r="CN53" s="1392" t="s">
        <v>278</v>
      </c>
    </row>
    <row r="54" spans="1:92" s="1081" customFormat="1" ht="13.5">
      <c r="A54" s="1077"/>
      <c r="B54" s="1040"/>
      <c r="C54" s="1036"/>
      <c r="D54" s="1034"/>
      <c r="E54" s="1017">
        <v>37976</v>
      </c>
      <c r="F54" s="1040" t="s">
        <v>1062</v>
      </c>
      <c r="G54" s="1036">
        <v>16</v>
      </c>
      <c r="H54" s="1034"/>
      <c r="I54" s="1017">
        <v>38351</v>
      </c>
      <c r="J54" s="1040" t="s">
        <v>11181</v>
      </c>
      <c r="K54" s="1036">
        <v>11</v>
      </c>
      <c r="L54" s="1034"/>
      <c r="M54" s="1017">
        <v>38717</v>
      </c>
      <c r="N54" s="1040" t="s">
        <v>11182</v>
      </c>
      <c r="O54" s="1036">
        <v>3</v>
      </c>
      <c r="P54" s="1034"/>
      <c r="Q54" s="1017"/>
      <c r="R54" s="1040"/>
      <c r="S54" s="1102"/>
      <c r="T54" s="1034"/>
      <c r="U54" s="1017"/>
      <c r="V54" s="1040"/>
      <c r="W54" s="1102"/>
      <c r="X54" s="1034"/>
      <c r="Y54" s="1017"/>
      <c r="Z54" s="1040"/>
      <c r="AA54" s="1104"/>
      <c r="AB54" s="1034"/>
      <c r="AC54" s="1017">
        <v>40175</v>
      </c>
      <c r="AD54" s="1040" t="s">
        <v>767</v>
      </c>
      <c r="AE54" s="1104">
        <v>2</v>
      </c>
      <c r="AF54" s="1034"/>
      <c r="AG54" s="1017">
        <v>40533</v>
      </c>
      <c r="AH54" s="1040" t="s">
        <v>802</v>
      </c>
      <c r="AI54" s="1104">
        <v>30</v>
      </c>
      <c r="AJ54" s="1034"/>
      <c r="AK54" s="1017">
        <v>40904</v>
      </c>
      <c r="AL54" s="1040" t="s">
        <v>754</v>
      </c>
      <c r="AM54" s="1104">
        <v>5</v>
      </c>
      <c r="AN54" s="1034"/>
      <c r="AO54" s="1017">
        <v>41263</v>
      </c>
      <c r="AP54" s="1040" t="s">
        <v>11183</v>
      </c>
      <c r="AQ54" s="1043">
        <v>7</v>
      </c>
      <c r="AR54" s="1034"/>
      <c r="AS54" s="1017">
        <v>41629</v>
      </c>
      <c r="AT54" s="1040" t="s">
        <v>11184</v>
      </c>
      <c r="AU54" s="1104">
        <v>17</v>
      </c>
      <c r="AV54" s="1034"/>
      <c r="AW54" s="1017">
        <v>41998</v>
      </c>
      <c r="AX54" s="1019" t="s">
        <v>10888</v>
      </c>
      <c r="AY54" s="1104">
        <v>12</v>
      </c>
      <c r="AZ54" s="1034"/>
      <c r="BA54" s="1017">
        <v>42358</v>
      </c>
      <c r="BB54" s="1019" t="s">
        <v>11185</v>
      </c>
      <c r="BC54" s="1104">
        <v>250</v>
      </c>
      <c r="BD54" s="1034"/>
      <c r="BE54" s="1017">
        <v>42724</v>
      </c>
      <c r="BF54" s="1019" t="s">
        <v>11186</v>
      </c>
      <c r="BG54" s="1063">
        <v>30</v>
      </c>
      <c r="BH54" s="1034"/>
      <c r="BI54" s="1017">
        <v>43086</v>
      </c>
      <c r="BJ54" s="1040" t="s">
        <v>2410</v>
      </c>
      <c r="BK54" s="1063">
        <v>22</v>
      </c>
      <c r="BL54" s="1034"/>
      <c r="BM54" s="1391">
        <v>43449</v>
      </c>
      <c r="BN54" s="1397" t="s">
        <v>11187</v>
      </c>
      <c r="BO54" s="1398">
        <v>15</v>
      </c>
      <c r="BP54" s="1399"/>
      <c r="BQ54" s="1391">
        <v>43815</v>
      </c>
      <c r="BR54" s="1393" t="s">
        <v>11188</v>
      </c>
      <c r="BS54" s="1409">
        <v>0</v>
      </c>
      <c r="BT54" s="1392" t="s">
        <v>280</v>
      </c>
      <c r="BU54" s="1391">
        <v>44173</v>
      </c>
      <c r="BV54" s="1393" t="s">
        <v>11189</v>
      </c>
      <c r="BW54" s="1406">
        <v>4</v>
      </c>
      <c r="BX54" s="1392" t="s">
        <v>414</v>
      </c>
      <c r="BY54" s="1391">
        <v>44544</v>
      </c>
      <c r="BZ54" s="1393" t="s">
        <v>11190</v>
      </c>
      <c r="CA54" s="1406">
        <v>33</v>
      </c>
      <c r="CB54" s="1392" t="s">
        <v>414</v>
      </c>
      <c r="CC54" s="1391">
        <v>44913</v>
      </c>
      <c r="CD54" s="1393" t="s">
        <v>781</v>
      </c>
      <c r="CE54" s="1406">
        <v>62</v>
      </c>
      <c r="CF54" s="1392" t="s">
        <v>414</v>
      </c>
      <c r="CG54" s="1391">
        <v>45276</v>
      </c>
      <c r="CH54" s="1393" t="s">
        <v>2939</v>
      </c>
      <c r="CI54" s="1406">
        <v>52</v>
      </c>
      <c r="CJ54" s="1392" t="s">
        <v>414</v>
      </c>
      <c r="CK54" s="1391">
        <v>45649</v>
      </c>
      <c r="CL54" s="1393" t="s">
        <v>11191</v>
      </c>
      <c r="CM54" s="2042">
        <v>30</v>
      </c>
      <c r="CN54" s="1392" t="s">
        <v>278</v>
      </c>
    </row>
    <row r="55" spans="1:92" s="1081" customFormat="1" ht="13.5">
      <c r="A55" s="1077"/>
      <c r="B55" s="1040"/>
      <c r="C55" s="1036"/>
      <c r="D55" s="1034"/>
      <c r="E55" s="1017">
        <v>37976</v>
      </c>
      <c r="F55" s="1040" t="s">
        <v>11192</v>
      </c>
      <c r="G55" s="1036">
        <v>15</v>
      </c>
      <c r="H55" s="1034"/>
      <c r="I55" s="1017">
        <v>38717</v>
      </c>
      <c r="J55" s="1040" t="s">
        <v>11193</v>
      </c>
      <c r="K55" s="1036">
        <v>0</v>
      </c>
      <c r="L55" s="1034"/>
      <c r="M55" s="1017">
        <v>38717</v>
      </c>
      <c r="N55" s="1040" t="s">
        <v>11194</v>
      </c>
      <c r="O55" s="1036">
        <v>30</v>
      </c>
      <c r="P55" s="1034"/>
      <c r="Q55" s="1017"/>
      <c r="R55" s="1040"/>
      <c r="S55" s="1102"/>
      <c r="T55" s="1034"/>
      <c r="U55" s="1017"/>
      <c r="V55" s="1040"/>
      <c r="W55" s="1102"/>
      <c r="X55" s="1034"/>
      <c r="Y55" s="1017"/>
      <c r="Z55" s="1040"/>
      <c r="AA55" s="1104"/>
      <c r="AB55" s="1034"/>
      <c r="AC55" s="1017">
        <v>40175</v>
      </c>
      <c r="AD55" s="1040" t="s">
        <v>11195</v>
      </c>
      <c r="AE55" s="1104">
        <v>0</v>
      </c>
      <c r="AF55" s="1034"/>
      <c r="AG55" s="1017">
        <v>40533</v>
      </c>
      <c r="AH55" s="1040" t="s">
        <v>2054</v>
      </c>
      <c r="AI55" s="1104">
        <v>12</v>
      </c>
      <c r="AJ55" s="1034"/>
      <c r="AK55" s="1017">
        <v>40907</v>
      </c>
      <c r="AL55" s="1040" t="s">
        <v>11196</v>
      </c>
      <c r="AM55" s="1104">
        <v>10</v>
      </c>
      <c r="AN55" s="1034"/>
      <c r="AO55" s="1017">
        <v>41264</v>
      </c>
      <c r="AP55" s="1040" t="s">
        <v>11197</v>
      </c>
      <c r="AQ55" s="1104">
        <v>13</v>
      </c>
      <c r="AR55" s="1034"/>
      <c r="AS55" s="1017">
        <v>41629</v>
      </c>
      <c r="AT55" s="1040" t="s">
        <v>11198</v>
      </c>
      <c r="AU55" s="1104">
        <v>41</v>
      </c>
      <c r="AV55" s="1034"/>
      <c r="AW55" s="1017">
        <v>41998</v>
      </c>
      <c r="AX55" s="1019" t="s">
        <v>11199</v>
      </c>
      <c r="AY55" s="1104">
        <v>10</v>
      </c>
      <c r="AZ55" s="1034"/>
      <c r="BA55" s="1017">
        <v>42359</v>
      </c>
      <c r="BB55" s="1019" t="s">
        <v>954</v>
      </c>
      <c r="BC55" s="1104">
        <v>37</v>
      </c>
      <c r="BD55" s="1034"/>
      <c r="BE55" s="1017">
        <v>42724</v>
      </c>
      <c r="BF55" s="1019" t="s">
        <v>11200</v>
      </c>
      <c r="BG55" s="1063">
        <v>35</v>
      </c>
      <c r="BH55" s="1034"/>
      <c r="BI55" s="1017">
        <v>43086</v>
      </c>
      <c r="BJ55" s="1040" t="s">
        <v>890</v>
      </c>
      <c r="BK55" s="1063">
        <v>6</v>
      </c>
      <c r="BL55" s="1034"/>
      <c r="BM55" s="1391">
        <v>43449</v>
      </c>
      <c r="BN55" s="1397" t="s">
        <v>11201</v>
      </c>
      <c r="BO55" s="1398">
        <v>30</v>
      </c>
      <c r="BP55" s="1399"/>
      <c r="BQ55" s="1391">
        <v>43815</v>
      </c>
      <c r="BR55" s="1393" t="s">
        <v>11202</v>
      </c>
      <c r="BS55" s="1409">
        <v>29</v>
      </c>
      <c r="BT55" s="1392" t="s">
        <v>414</v>
      </c>
      <c r="BU55" s="1391">
        <v>44173</v>
      </c>
      <c r="BV55" s="1393" t="s">
        <v>11203</v>
      </c>
      <c r="BW55" s="1406">
        <v>55</v>
      </c>
      <c r="BX55" s="1392" t="s">
        <v>414</v>
      </c>
      <c r="BY55" s="1391">
        <v>44545</v>
      </c>
      <c r="BZ55" s="1393" t="s">
        <v>11204</v>
      </c>
      <c r="CA55" s="1406">
        <v>14</v>
      </c>
      <c r="CB55" s="1392" t="s">
        <v>280</v>
      </c>
      <c r="CC55" s="1391">
        <v>44913</v>
      </c>
      <c r="CD55" s="1393" t="s">
        <v>11205</v>
      </c>
      <c r="CE55" s="1406">
        <v>50</v>
      </c>
      <c r="CF55" s="1392" t="s">
        <v>426</v>
      </c>
      <c r="CG55" s="1391">
        <v>45276</v>
      </c>
      <c r="CH55" s="1393" t="s">
        <v>11206</v>
      </c>
      <c r="CI55" s="1406">
        <v>25</v>
      </c>
      <c r="CJ55" s="1392" t="s">
        <v>414</v>
      </c>
      <c r="CK55" s="1391">
        <v>45649</v>
      </c>
      <c r="CL55" s="1393" t="s">
        <v>11207</v>
      </c>
      <c r="CM55" s="2042">
        <v>7</v>
      </c>
      <c r="CN55" s="1392" t="s">
        <v>278</v>
      </c>
    </row>
    <row r="56" spans="1:92" s="1081" customFormat="1" ht="13.5">
      <c r="A56" s="1077"/>
      <c r="B56" s="1019"/>
      <c r="C56" s="1036"/>
      <c r="D56" s="1036"/>
      <c r="E56" s="1017">
        <v>37976</v>
      </c>
      <c r="F56" s="1040" t="s">
        <v>11208</v>
      </c>
      <c r="G56" s="1036">
        <v>18</v>
      </c>
      <c r="H56" s="1034"/>
      <c r="I56" s="1017"/>
      <c r="J56" s="1040"/>
      <c r="K56" s="1036"/>
      <c r="L56" s="1034"/>
      <c r="M56" s="1017">
        <v>38717</v>
      </c>
      <c r="N56" s="1040" t="s">
        <v>11209</v>
      </c>
      <c r="O56" s="1036">
        <v>25</v>
      </c>
      <c r="P56" s="1034"/>
      <c r="Q56" s="1017"/>
      <c r="R56" s="1040"/>
      <c r="S56" s="1102"/>
      <c r="T56" s="1034"/>
      <c r="U56" s="1017"/>
      <c r="V56" s="1040"/>
      <c r="W56" s="1102"/>
      <c r="X56" s="1034"/>
      <c r="Y56" s="1017"/>
      <c r="Z56" s="1040"/>
      <c r="AA56" s="1104"/>
      <c r="AB56" s="1034"/>
      <c r="AC56" s="1017">
        <v>40175</v>
      </c>
      <c r="AD56" s="1040" t="s">
        <v>867</v>
      </c>
      <c r="AE56" s="1104">
        <v>20</v>
      </c>
      <c r="AF56" s="1034"/>
      <c r="AG56" s="1017">
        <v>40535</v>
      </c>
      <c r="AH56" s="1040" t="s">
        <v>11210</v>
      </c>
      <c r="AI56" s="1104">
        <v>20</v>
      </c>
      <c r="AJ56" s="1034"/>
      <c r="AK56" s="1017">
        <v>40907</v>
      </c>
      <c r="AL56" s="1040" t="s">
        <v>1272</v>
      </c>
      <c r="AM56" s="1104">
        <v>22</v>
      </c>
      <c r="AN56" s="1034"/>
      <c r="AO56" s="1017">
        <v>41264</v>
      </c>
      <c r="AP56" s="1040" t="s">
        <v>11211</v>
      </c>
      <c r="AQ56" s="1104">
        <v>210</v>
      </c>
      <c r="AR56" s="1034"/>
      <c r="AS56" s="1017">
        <v>41629</v>
      </c>
      <c r="AT56" s="1040" t="s">
        <v>797</v>
      </c>
      <c r="AU56" s="1104">
        <v>52</v>
      </c>
      <c r="AV56" s="1034"/>
      <c r="AW56" s="1017">
        <v>41998</v>
      </c>
      <c r="AX56" s="1019" t="s">
        <v>11212</v>
      </c>
      <c r="AY56" s="1104">
        <v>2</v>
      </c>
      <c r="AZ56" s="1034"/>
      <c r="BA56" s="1017">
        <v>42359</v>
      </c>
      <c r="BB56" s="1019" t="s">
        <v>772</v>
      </c>
      <c r="BC56" s="1104">
        <v>32</v>
      </c>
      <c r="BD56" s="1034"/>
      <c r="BE56" s="1017">
        <v>42724</v>
      </c>
      <c r="BF56" s="1019" t="s">
        <v>11213</v>
      </c>
      <c r="BG56" s="1063">
        <v>18</v>
      </c>
      <c r="BH56" s="1034"/>
      <c r="BI56" s="1017">
        <v>43086</v>
      </c>
      <c r="BJ56" s="1040" t="s">
        <v>823</v>
      </c>
      <c r="BK56" s="1063">
        <v>15</v>
      </c>
      <c r="BL56" s="1034"/>
      <c r="BM56" s="1391">
        <v>43449</v>
      </c>
      <c r="BN56" s="1397" t="s">
        <v>11214</v>
      </c>
      <c r="BO56" s="1398">
        <v>70</v>
      </c>
      <c r="BP56" s="1399"/>
      <c r="BQ56" s="1391">
        <v>43819</v>
      </c>
      <c r="BR56" s="1393" t="s">
        <v>805</v>
      </c>
      <c r="BS56" s="1409">
        <v>16</v>
      </c>
      <c r="BT56" s="1392" t="s">
        <v>280</v>
      </c>
      <c r="BU56" s="1391">
        <v>44173</v>
      </c>
      <c r="BV56" s="1393" t="s">
        <v>797</v>
      </c>
      <c r="BW56" s="1406">
        <v>55</v>
      </c>
      <c r="BX56" s="1392" t="s">
        <v>410</v>
      </c>
      <c r="BY56" s="1391">
        <v>44546</v>
      </c>
      <c r="BZ56" s="1393" t="s">
        <v>8356</v>
      </c>
      <c r="CA56" s="1406">
        <v>17</v>
      </c>
      <c r="CB56" s="1392" t="s">
        <v>278</v>
      </c>
      <c r="CC56" s="1391">
        <v>44913</v>
      </c>
      <c r="CD56" s="1393" t="s">
        <v>9049</v>
      </c>
      <c r="CE56" s="1406">
        <v>81</v>
      </c>
      <c r="CF56" s="1392" t="s">
        <v>700</v>
      </c>
      <c r="CG56" s="1391">
        <v>45276</v>
      </c>
      <c r="CH56" s="1393" t="s">
        <v>11215</v>
      </c>
      <c r="CI56" s="1406">
        <v>20</v>
      </c>
      <c r="CJ56" s="1392" t="s">
        <v>414</v>
      </c>
      <c r="CK56" s="1391">
        <v>45649</v>
      </c>
      <c r="CL56" s="1393" t="s">
        <v>10326</v>
      </c>
      <c r="CM56" s="2042">
        <v>47</v>
      </c>
      <c r="CN56" s="1392" t="s">
        <v>414</v>
      </c>
    </row>
    <row r="57" spans="1:92" s="1081" customFormat="1" ht="13.5">
      <c r="A57" s="1077"/>
      <c r="B57" s="1040"/>
      <c r="C57" s="1036"/>
      <c r="D57" s="1036"/>
      <c r="E57" s="1017">
        <v>37976</v>
      </c>
      <c r="F57" s="1040" t="s">
        <v>11216</v>
      </c>
      <c r="G57" s="1036">
        <v>6</v>
      </c>
      <c r="H57" s="1034"/>
      <c r="I57" s="1017"/>
      <c r="J57" s="1040"/>
      <c r="K57" s="1036"/>
      <c r="L57" s="1034"/>
      <c r="M57" s="1017">
        <v>38717</v>
      </c>
      <c r="N57" s="1040" t="s">
        <v>11217</v>
      </c>
      <c r="O57" s="1036">
        <v>40</v>
      </c>
      <c r="P57" s="1034"/>
      <c r="Q57" s="1017"/>
      <c r="R57" s="1040"/>
      <c r="S57" s="1102"/>
      <c r="T57" s="1034"/>
      <c r="U57" s="1017"/>
      <c r="V57" s="1040"/>
      <c r="W57" s="1102"/>
      <c r="X57" s="1034"/>
      <c r="Y57" s="1017"/>
      <c r="Z57" s="1040"/>
      <c r="AA57" s="1104"/>
      <c r="AB57" s="1034"/>
      <c r="AC57" s="1017">
        <v>40175</v>
      </c>
      <c r="AD57" s="1040" t="s">
        <v>11218</v>
      </c>
      <c r="AE57" s="1104">
        <v>3</v>
      </c>
      <c r="AF57" s="1034"/>
      <c r="AG57" s="1017">
        <v>40535</v>
      </c>
      <c r="AH57" s="1040" t="s">
        <v>11219</v>
      </c>
      <c r="AI57" s="1104">
        <v>250</v>
      </c>
      <c r="AJ57" s="1034"/>
      <c r="AK57" s="1017">
        <v>40907</v>
      </c>
      <c r="AL57" s="1040" t="s">
        <v>10788</v>
      </c>
      <c r="AM57" s="1104">
        <v>10</v>
      </c>
      <c r="AN57" s="1034"/>
      <c r="AO57" s="1017">
        <v>41264</v>
      </c>
      <c r="AP57" s="1040" t="s">
        <v>11220</v>
      </c>
      <c r="AQ57" s="1104">
        <v>30</v>
      </c>
      <c r="AR57" s="1034"/>
      <c r="AS57" s="1017">
        <v>41629</v>
      </c>
      <c r="AT57" s="1040" t="s">
        <v>11221</v>
      </c>
      <c r="AU57" s="1104">
        <v>21</v>
      </c>
      <c r="AV57" s="1034"/>
      <c r="AW57" s="1017">
        <v>41998</v>
      </c>
      <c r="AX57" s="1019" t="s">
        <v>11222</v>
      </c>
      <c r="AY57" s="1104">
        <v>1</v>
      </c>
      <c r="AZ57" s="1034"/>
      <c r="BA57" s="1017">
        <v>42359</v>
      </c>
      <c r="BB57" s="1019" t="s">
        <v>11223</v>
      </c>
      <c r="BC57" s="1104">
        <v>10</v>
      </c>
      <c r="BD57" s="1034"/>
      <c r="BE57" s="1017">
        <v>42724</v>
      </c>
      <c r="BF57" s="1019" t="s">
        <v>11224</v>
      </c>
      <c r="BG57" s="1063">
        <v>18</v>
      </c>
      <c r="BH57" s="1034"/>
      <c r="BI57" s="1017">
        <v>43086</v>
      </c>
      <c r="BJ57" s="1040" t="s">
        <v>2226</v>
      </c>
      <c r="BK57" s="1063">
        <v>10</v>
      </c>
      <c r="BL57" s="1034"/>
      <c r="BM57" s="1391">
        <v>43449</v>
      </c>
      <c r="BN57" s="1397" t="s">
        <v>2397</v>
      </c>
      <c r="BO57" s="1398">
        <v>80</v>
      </c>
      <c r="BP57" s="1399"/>
      <c r="BQ57" s="1391">
        <v>43819</v>
      </c>
      <c r="BR57" s="1393" t="s">
        <v>11225</v>
      </c>
      <c r="BS57" s="1409">
        <v>12</v>
      </c>
      <c r="BT57" s="1392" t="s">
        <v>280</v>
      </c>
      <c r="BU57" s="1391">
        <v>44173</v>
      </c>
      <c r="BV57" s="1393" t="s">
        <v>11226</v>
      </c>
      <c r="BW57" s="1406">
        <v>27</v>
      </c>
      <c r="BX57" s="1392" t="s">
        <v>280</v>
      </c>
      <c r="BY57" s="1391">
        <v>44546</v>
      </c>
      <c r="BZ57" s="1393" t="s">
        <v>11227</v>
      </c>
      <c r="CA57" s="1406">
        <v>20</v>
      </c>
      <c r="CB57" s="1392" t="s">
        <v>278</v>
      </c>
      <c r="CC57" s="1391">
        <v>44915</v>
      </c>
      <c r="CD57" s="1393" t="s">
        <v>4568</v>
      </c>
      <c r="CE57" s="1406">
        <v>1000</v>
      </c>
      <c r="CF57" s="1392" t="s">
        <v>284</v>
      </c>
      <c r="CG57" s="1391">
        <v>45276</v>
      </c>
      <c r="CH57" s="1393" t="s">
        <v>11228</v>
      </c>
      <c r="CI57" s="1406">
        <v>30</v>
      </c>
      <c r="CJ57" s="1392" t="s">
        <v>426</v>
      </c>
      <c r="CK57" s="1391">
        <v>45650</v>
      </c>
      <c r="CL57" s="1393" t="s">
        <v>2367</v>
      </c>
      <c r="CM57" s="2042">
        <v>56</v>
      </c>
      <c r="CN57" s="1392" t="s">
        <v>414</v>
      </c>
    </row>
    <row r="58" spans="1:92" ht="13.5">
      <c r="A58" s="1077"/>
      <c r="B58" s="1040"/>
      <c r="C58" s="1036"/>
      <c r="D58" s="1034"/>
      <c r="E58" s="1017">
        <v>37977</v>
      </c>
      <c r="F58" s="1040" t="s">
        <v>11229</v>
      </c>
      <c r="G58" s="1036">
        <v>10</v>
      </c>
      <c r="H58" s="1034"/>
      <c r="I58" s="1017"/>
      <c r="J58" s="1040"/>
      <c r="K58" s="1036"/>
      <c r="L58" s="1034"/>
      <c r="M58" s="1017">
        <v>38717</v>
      </c>
      <c r="N58" s="1040" t="s">
        <v>797</v>
      </c>
      <c r="O58" s="1036">
        <v>30</v>
      </c>
      <c r="P58" s="1034"/>
      <c r="Q58" s="1017"/>
      <c r="R58" s="1040"/>
      <c r="S58" s="1102"/>
      <c r="T58" s="1034"/>
      <c r="U58" s="1017"/>
      <c r="V58" s="1040"/>
      <c r="W58" s="1102"/>
      <c r="X58" s="1034"/>
      <c r="Y58" s="1017"/>
      <c r="Z58" s="1040"/>
      <c r="AA58" s="1104"/>
      <c r="AB58" s="1034"/>
      <c r="AC58" s="1017">
        <v>40175</v>
      </c>
      <c r="AD58" s="1040" t="s">
        <v>802</v>
      </c>
      <c r="AE58" s="1104">
        <v>24</v>
      </c>
      <c r="AF58" s="1034"/>
      <c r="AG58" s="1017">
        <v>40535</v>
      </c>
      <c r="AH58" s="1040" t="s">
        <v>11230</v>
      </c>
      <c r="AI58" s="1104">
        <v>250</v>
      </c>
      <c r="AJ58" s="1034"/>
      <c r="AK58" s="1017"/>
      <c r="AL58" s="1040"/>
      <c r="AM58" s="1104"/>
      <c r="AN58" s="1034"/>
      <c r="AO58" s="1017">
        <v>41264</v>
      </c>
      <c r="AP58" s="1040" t="s">
        <v>979</v>
      </c>
      <c r="AQ58" s="1104">
        <v>16</v>
      </c>
      <c r="AR58" s="1034"/>
      <c r="AS58" s="1017">
        <v>41629</v>
      </c>
      <c r="AT58" s="1040" t="s">
        <v>781</v>
      </c>
      <c r="AU58" s="1104">
        <v>63</v>
      </c>
      <c r="AV58" s="1034"/>
      <c r="AW58" s="1017">
        <v>41999</v>
      </c>
      <c r="AX58" s="1019" t="s">
        <v>754</v>
      </c>
      <c r="AY58" s="1104">
        <v>68</v>
      </c>
      <c r="AZ58" s="1034"/>
      <c r="BA58" s="1017">
        <v>42360</v>
      </c>
      <c r="BB58" s="1019" t="s">
        <v>11231</v>
      </c>
      <c r="BC58" s="1104">
        <v>23</v>
      </c>
      <c r="BD58" s="1034"/>
      <c r="BE58" s="1017">
        <v>42724</v>
      </c>
      <c r="BF58" s="1019" t="s">
        <v>11232</v>
      </c>
      <c r="BG58" s="1063">
        <v>13</v>
      </c>
      <c r="BH58" s="1034"/>
      <c r="BI58" s="1017">
        <v>43086</v>
      </c>
      <c r="BJ58" s="1040" t="s">
        <v>873</v>
      </c>
      <c r="BK58" s="1063">
        <v>16</v>
      </c>
      <c r="BL58" s="1034"/>
      <c r="BM58" s="1391">
        <v>43450</v>
      </c>
      <c r="BN58" s="1397" t="s">
        <v>11233</v>
      </c>
      <c r="BO58" s="1398"/>
      <c r="BP58" s="1399"/>
      <c r="BQ58" s="1391">
        <v>43819</v>
      </c>
      <c r="BR58" s="1393" t="s">
        <v>11234</v>
      </c>
      <c r="BS58" s="1409">
        <v>27</v>
      </c>
      <c r="BT58" s="1392" t="s">
        <v>280</v>
      </c>
      <c r="BU58" s="1391">
        <v>44173</v>
      </c>
      <c r="BV58" s="1393" t="s">
        <v>11235</v>
      </c>
      <c r="BW58" s="1406">
        <v>38</v>
      </c>
      <c r="BX58" s="1392" t="s">
        <v>700</v>
      </c>
      <c r="BY58" s="1391">
        <v>44546</v>
      </c>
      <c r="BZ58" s="1393" t="s">
        <v>843</v>
      </c>
      <c r="CA58" s="1406">
        <v>40</v>
      </c>
      <c r="CB58" s="1392" t="s">
        <v>414</v>
      </c>
      <c r="CC58" s="1391">
        <v>44915</v>
      </c>
      <c r="CD58" s="1393" t="s">
        <v>11236</v>
      </c>
      <c r="CE58" s="1406">
        <v>12</v>
      </c>
      <c r="CF58" s="1392" t="s">
        <v>414</v>
      </c>
      <c r="CG58" s="1391">
        <v>45276</v>
      </c>
      <c r="CH58" s="1393" t="s">
        <v>3128</v>
      </c>
      <c r="CI58" s="1406">
        <v>30</v>
      </c>
      <c r="CJ58" s="1392" t="s">
        <v>414</v>
      </c>
      <c r="CK58" s="1391">
        <v>45650</v>
      </c>
      <c r="CL58" s="1393" t="s">
        <v>845</v>
      </c>
      <c r="CM58" s="2042">
        <v>54</v>
      </c>
      <c r="CN58" s="1392" t="s">
        <v>414</v>
      </c>
    </row>
    <row r="59" spans="1:92" ht="13.5">
      <c r="A59" s="1077"/>
      <c r="B59" s="1040"/>
      <c r="C59" s="1036"/>
      <c r="D59" s="1034"/>
      <c r="E59" s="1017">
        <v>37977</v>
      </c>
      <c r="F59" s="1040" t="s">
        <v>11237</v>
      </c>
      <c r="G59" s="1036">
        <v>13</v>
      </c>
      <c r="H59" s="1034"/>
      <c r="I59" s="1017"/>
      <c r="J59" s="1040"/>
      <c r="K59" s="1036"/>
      <c r="L59" s="1034"/>
      <c r="M59" s="1017">
        <v>38717</v>
      </c>
      <c r="N59" s="1040" t="s">
        <v>11238</v>
      </c>
      <c r="O59" s="1036">
        <v>7</v>
      </c>
      <c r="P59" s="1034"/>
      <c r="Q59" s="1017"/>
      <c r="R59" s="1040"/>
      <c r="S59" s="1102"/>
      <c r="T59" s="1034"/>
      <c r="U59" s="1017"/>
      <c r="V59" s="1040"/>
      <c r="W59" s="1102"/>
      <c r="X59" s="1034"/>
      <c r="Y59" s="1017"/>
      <c r="Z59" s="1040"/>
      <c r="AA59" s="1104"/>
      <c r="AB59" s="1034"/>
      <c r="AC59" s="1017">
        <v>40175</v>
      </c>
      <c r="AD59" s="1040" t="s">
        <v>11239</v>
      </c>
      <c r="AE59" s="1104">
        <v>25</v>
      </c>
      <c r="AF59" s="1034"/>
      <c r="AG59" s="1017">
        <v>40535</v>
      </c>
      <c r="AH59" s="1040" t="s">
        <v>11240</v>
      </c>
      <c r="AI59" s="1104">
        <v>65</v>
      </c>
      <c r="AJ59" s="1034"/>
      <c r="AK59" s="1017"/>
      <c r="AL59" s="1040"/>
      <c r="AM59" s="1104"/>
      <c r="AN59" s="1034"/>
      <c r="AO59" s="1017">
        <v>41264</v>
      </c>
      <c r="AP59" s="1040" t="s">
        <v>11241</v>
      </c>
      <c r="AQ59" s="1104">
        <v>120</v>
      </c>
      <c r="AR59" s="1034"/>
      <c r="AS59" s="1017">
        <v>41631</v>
      </c>
      <c r="AT59" s="1040" t="s">
        <v>754</v>
      </c>
      <c r="AU59" s="1104">
        <v>24</v>
      </c>
      <c r="AV59" s="1034"/>
      <c r="AW59" s="1017">
        <v>42000</v>
      </c>
      <c r="AX59" s="1019" t="s">
        <v>11242</v>
      </c>
      <c r="AY59" s="1104">
        <v>21</v>
      </c>
      <c r="AZ59" s="1034"/>
      <c r="BA59" s="1017">
        <v>42360</v>
      </c>
      <c r="BB59" s="1019" t="s">
        <v>11243</v>
      </c>
      <c r="BC59" s="1104">
        <v>20</v>
      </c>
      <c r="BD59" s="1034"/>
      <c r="BE59" s="1017">
        <v>42724</v>
      </c>
      <c r="BF59" s="1019" t="s">
        <v>9209</v>
      </c>
      <c r="BG59" s="1063">
        <v>17</v>
      </c>
      <c r="BH59" s="1034"/>
      <c r="BI59" s="1017">
        <v>43086</v>
      </c>
      <c r="BJ59" s="1040" t="s">
        <v>11244</v>
      </c>
      <c r="BK59" s="1063">
        <v>18</v>
      </c>
      <c r="BL59" s="1034"/>
      <c r="BM59" s="1391">
        <v>43450</v>
      </c>
      <c r="BN59" s="1397" t="s">
        <v>11245</v>
      </c>
      <c r="BO59" s="1398">
        <v>10</v>
      </c>
      <c r="BP59" s="1399"/>
      <c r="BQ59" s="1391">
        <v>43819</v>
      </c>
      <c r="BR59" s="1393" t="s">
        <v>11246</v>
      </c>
      <c r="BS59" s="1409">
        <v>5</v>
      </c>
      <c r="BT59" s="1392" t="s">
        <v>414</v>
      </c>
      <c r="BU59" s="1391">
        <v>44173</v>
      </c>
      <c r="BV59" s="1393" t="s">
        <v>1903</v>
      </c>
      <c r="BW59" s="1406">
        <v>95</v>
      </c>
      <c r="BX59" s="1392" t="s">
        <v>700</v>
      </c>
      <c r="BY59" s="1391">
        <v>44546</v>
      </c>
      <c r="BZ59" s="1393" t="s">
        <v>845</v>
      </c>
      <c r="CA59" s="1406">
        <v>35</v>
      </c>
      <c r="CB59" s="1392" t="s">
        <v>414</v>
      </c>
      <c r="CC59" s="1391">
        <v>44916</v>
      </c>
      <c r="CD59" s="1393" t="s">
        <v>1710</v>
      </c>
      <c r="CE59" s="1406">
        <v>28</v>
      </c>
      <c r="CF59" s="1392" t="s">
        <v>414</v>
      </c>
      <c r="CG59" s="1391">
        <v>45276</v>
      </c>
      <c r="CH59" s="1393" t="s">
        <v>3326</v>
      </c>
      <c r="CI59" s="1406">
        <v>20</v>
      </c>
      <c r="CJ59" s="1392" t="s">
        <v>414</v>
      </c>
      <c r="CK59" s="1391">
        <v>45650</v>
      </c>
      <c r="CL59" s="1393" t="s">
        <v>11247</v>
      </c>
      <c r="CM59" s="2042">
        <v>11</v>
      </c>
      <c r="CN59" s="1392" t="s">
        <v>414</v>
      </c>
    </row>
    <row r="60" spans="1:92" ht="13.5">
      <c r="A60" s="1077"/>
      <c r="B60" s="1040"/>
      <c r="C60" s="1036"/>
      <c r="D60" s="1034"/>
      <c r="E60" s="1017">
        <v>37978</v>
      </c>
      <c r="F60" s="1040" t="s">
        <v>11248</v>
      </c>
      <c r="G60" s="1036">
        <v>50</v>
      </c>
      <c r="H60" s="1034"/>
      <c r="I60" s="1017"/>
      <c r="J60" s="1040"/>
      <c r="K60" s="1036"/>
      <c r="L60" s="1034"/>
      <c r="M60" s="1017"/>
      <c r="N60" s="1040"/>
      <c r="O60" s="1036"/>
      <c r="P60" s="1034"/>
      <c r="Q60" s="1017"/>
      <c r="R60" s="1040"/>
      <c r="S60" s="1102"/>
      <c r="T60" s="1034"/>
      <c r="U60" s="1017"/>
      <c r="V60" s="1040"/>
      <c r="W60" s="1102"/>
      <c r="X60" s="1034"/>
      <c r="Y60" s="1017"/>
      <c r="Z60" s="1040"/>
      <c r="AA60" s="1104"/>
      <c r="AB60" s="1034"/>
      <c r="AC60" s="1017">
        <v>40175</v>
      </c>
      <c r="AD60" s="1040" t="s">
        <v>767</v>
      </c>
      <c r="AE60" s="1104">
        <v>7</v>
      </c>
      <c r="AF60" s="1034"/>
      <c r="AG60" s="1017">
        <v>40536</v>
      </c>
      <c r="AH60" s="1040" t="s">
        <v>767</v>
      </c>
      <c r="AI60" s="1104">
        <v>20</v>
      </c>
      <c r="AJ60" s="1034"/>
      <c r="AK60" s="1017"/>
      <c r="AL60" s="1040"/>
      <c r="AM60" s="1104"/>
      <c r="AN60" s="1034"/>
      <c r="AO60" s="1017">
        <v>41265</v>
      </c>
      <c r="AP60" s="1040" t="s">
        <v>754</v>
      </c>
      <c r="AQ60" s="1104">
        <v>183</v>
      </c>
      <c r="AR60" s="1034"/>
      <c r="AS60" s="1017">
        <v>41631</v>
      </c>
      <c r="AT60" s="1040" t="s">
        <v>772</v>
      </c>
      <c r="AU60" s="1104">
        <v>35</v>
      </c>
      <c r="AV60" s="1034"/>
      <c r="AW60" s="1017">
        <v>42000</v>
      </c>
      <c r="AX60" s="1019" t="s">
        <v>781</v>
      </c>
      <c r="AY60" s="1104">
        <v>10</v>
      </c>
      <c r="AZ60" s="1034"/>
      <c r="BA60" s="1017">
        <v>42361</v>
      </c>
      <c r="BB60" s="1019" t="s">
        <v>11249</v>
      </c>
      <c r="BC60" s="1104">
        <v>0</v>
      </c>
      <c r="BD60" s="1034"/>
      <c r="BE60" s="1017">
        <v>42725</v>
      </c>
      <c r="BF60" s="1019" t="s">
        <v>797</v>
      </c>
      <c r="BG60" s="1063">
        <v>36</v>
      </c>
      <c r="BH60" s="1034"/>
      <c r="BI60" s="1017">
        <v>43086</v>
      </c>
      <c r="BJ60" s="1040" t="s">
        <v>982</v>
      </c>
      <c r="BK60" s="1063">
        <v>21</v>
      </c>
      <c r="BL60" s="1034"/>
      <c r="BM60" s="1391">
        <v>43450</v>
      </c>
      <c r="BN60" s="1397" t="s">
        <v>11250</v>
      </c>
      <c r="BO60" s="1398">
        <v>8</v>
      </c>
      <c r="BP60" s="1399"/>
      <c r="BQ60" s="1391">
        <v>43820</v>
      </c>
      <c r="BR60" s="1393" t="s">
        <v>11251</v>
      </c>
      <c r="BS60" s="1409">
        <v>0</v>
      </c>
      <c r="BT60" s="1392" t="s">
        <v>700</v>
      </c>
      <c r="BU60" s="1391">
        <v>44177</v>
      </c>
      <c r="BV60" s="1393" t="s">
        <v>11252</v>
      </c>
      <c r="BW60" s="1406">
        <v>43</v>
      </c>
      <c r="BX60" s="1392" t="s">
        <v>414</v>
      </c>
      <c r="BY60" s="1391">
        <v>44546</v>
      </c>
      <c r="BZ60" s="1393" t="s">
        <v>11253</v>
      </c>
      <c r="CA60" s="1406">
        <v>1200</v>
      </c>
      <c r="CB60" s="1392" t="s">
        <v>280</v>
      </c>
      <c r="CC60" s="1391">
        <v>44916</v>
      </c>
      <c r="CD60" s="1393" t="s">
        <v>11254</v>
      </c>
      <c r="CE60" s="1406">
        <v>20</v>
      </c>
      <c r="CF60" s="1392" t="s">
        <v>414</v>
      </c>
      <c r="CG60" s="1391">
        <v>45276</v>
      </c>
      <c r="CH60" s="1393" t="s">
        <v>11255</v>
      </c>
      <c r="CI60" s="1406">
        <v>15</v>
      </c>
      <c r="CJ60" s="1392" t="s">
        <v>414</v>
      </c>
      <c r="CK60" s="1391">
        <v>45650</v>
      </c>
      <c r="CL60" s="1393" t="s">
        <v>11256</v>
      </c>
      <c r="CM60" s="2042">
        <v>140</v>
      </c>
      <c r="CN60" s="1392" t="s">
        <v>701</v>
      </c>
    </row>
    <row r="61" spans="1:92" ht="13.5">
      <c r="A61" s="1077"/>
      <c r="B61" s="1040"/>
      <c r="C61" s="1036"/>
      <c r="D61" s="1034"/>
      <c r="E61" s="1017">
        <v>37978</v>
      </c>
      <c r="F61" s="1040" t="s">
        <v>11257</v>
      </c>
      <c r="G61" s="1036">
        <v>15</v>
      </c>
      <c r="H61" s="1034"/>
      <c r="I61" s="1017"/>
      <c r="J61" s="1040"/>
      <c r="K61" s="1036"/>
      <c r="L61" s="1034"/>
      <c r="M61" s="1017"/>
      <c r="N61" s="1040"/>
      <c r="O61" s="1036"/>
      <c r="P61" s="1034"/>
      <c r="Q61" s="1017"/>
      <c r="R61" s="1040"/>
      <c r="S61" s="1102"/>
      <c r="T61" s="1034"/>
      <c r="U61" s="1017"/>
      <c r="V61" s="1040"/>
      <c r="W61" s="1102"/>
      <c r="X61" s="1034"/>
      <c r="Y61" s="1017"/>
      <c r="Z61" s="1040"/>
      <c r="AA61" s="1104"/>
      <c r="AB61" s="1034"/>
      <c r="AC61" s="1017">
        <v>40541</v>
      </c>
      <c r="AD61" s="1040" t="s">
        <v>11258</v>
      </c>
      <c r="AE61" s="1104">
        <v>15</v>
      </c>
      <c r="AF61" s="1034"/>
      <c r="AG61" s="1017">
        <v>40538</v>
      </c>
      <c r="AH61" s="1040" t="s">
        <v>10194</v>
      </c>
      <c r="AI61" s="1104">
        <v>90</v>
      </c>
      <c r="AJ61" s="1034"/>
      <c r="AK61" s="1017"/>
      <c r="AL61" s="1040"/>
      <c r="AM61" s="1104"/>
      <c r="AN61" s="1034"/>
      <c r="AO61" s="1017">
        <v>41265</v>
      </c>
      <c r="AP61" s="1040" t="s">
        <v>772</v>
      </c>
      <c r="AQ61" s="1104">
        <v>35</v>
      </c>
      <c r="AR61" s="1034"/>
      <c r="AS61" s="1017">
        <v>41631</v>
      </c>
      <c r="AT61" s="1040" t="s">
        <v>4378</v>
      </c>
      <c r="AU61" s="1104">
        <v>33</v>
      </c>
      <c r="AV61" s="1034"/>
      <c r="AW61" s="1017">
        <v>42000</v>
      </c>
      <c r="AX61" s="1019" t="s">
        <v>11259</v>
      </c>
      <c r="AY61" s="1104">
        <v>35</v>
      </c>
      <c r="AZ61" s="1034"/>
      <c r="BA61" s="1017">
        <v>42361</v>
      </c>
      <c r="BB61" s="1019" t="s">
        <v>4490</v>
      </c>
      <c r="BC61" s="1104">
        <v>32</v>
      </c>
      <c r="BD61" s="1034"/>
      <c r="BE61" s="1017">
        <v>42726</v>
      </c>
      <c r="BF61" s="1019" t="s">
        <v>11260</v>
      </c>
      <c r="BG61" s="1063">
        <v>44</v>
      </c>
      <c r="BH61" s="1034"/>
      <c r="BI61" s="1017">
        <v>43086</v>
      </c>
      <c r="BJ61" s="1040" t="s">
        <v>1770</v>
      </c>
      <c r="BK61" s="1063">
        <v>10</v>
      </c>
      <c r="BL61" s="1034"/>
      <c r="BM61" s="1391">
        <v>43452</v>
      </c>
      <c r="BN61" s="1397" t="s">
        <v>11261</v>
      </c>
      <c r="BO61" s="1398">
        <v>25</v>
      </c>
      <c r="BP61" s="1399"/>
      <c r="BQ61" s="1391">
        <v>43820</v>
      </c>
      <c r="BR61" s="1393" t="s">
        <v>11262</v>
      </c>
      <c r="BS61" s="1409">
        <v>15</v>
      </c>
      <c r="BT61" s="1392" t="s">
        <v>700</v>
      </c>
      <c r="BU61" s="1391">
        <v>44177</v>
      </c>
      <c r="BV61" s="1393" t="s">
        <v>11263</v>
      </c>
      <c r="BW61" s="1406">
        <v>36</v>
      </c>
      <c r="BX61" s="1392" t="s">
        <v>280</v>
      </c>
      <c r="BY61" s="1391">
        <v>44546</v>
      </c>
      <c r="BZ61" s="1393" t="s">
        <v>11264</v>
      </c>
      <c r="CA61" s="1406">
        <v>51</v>
      </c>
      <c r="CB61" s="1392" t="s">
        <v>280</v>
      </c>
      <c r="CC61" s="1391">
        <v>44916</v>
      </c>
      <c r="CD61" s="1393" t="s">
        <v>11265</v>
      </c>
      <c r="CE61" s="1406">
        <v>33</v>
      </c>
      <c r="CF61" s="1392" t="s">
        <v>414</v>
      </c>
      <c r="CG61" s="1391">
        <v>45276</v>
      </c>
      <c r="CH61" s="1393" t="s">
        <v>5942</v>
      </c>
      <c r="CI61" s="1406">
        <v>40</v>
      </c>
      <c r="CJ61" s="1392" t="s">
        <v>426</v>
      </c>
      <c r="CK61" s="1391">
        <v>45652</v>
      </c>
      <c r="CL61" s="1393" t="s">
        <v>843</v>
      </c>
      <c r="CM61" s="2042">
        <v>71</v>
      </c>
      <c r="CN61" s="1392" t="s">
        <v>414</v>
      </c>
    </row>
    <row r="62" spans="1:92" ht="13.5">
      <c r="A62" s="1077"/>
      <c r="B62" s="1040"/>
      <c r="C62" s="1036"/>
      <c r="D62" s="1034"/>
      <c r="E62" s="1017">
        <v>37978</v>
      </c>
      <c r="F62" s="1040" t="s">
        <v>11266</v>
      </c>
      <c r="G62" s="1036">
        <v>10</v>
      </c>
      <c r="H62" s="1034"/>
      <c r="I62" s="1017"/>
      <c r="J62" s="1040"/>
      <c r="K62" s="1036"/>
      <c r="L62" s="1034"/>
      <c r="M62" s="1017"/>
      <c r="N62" s="1040"/>
      <c r="O62" s="1036"/>
      <c r="P62" s="1034"/>
      <c r="Q62" s="1017"/>
      <c r="R62" s="1040"/>
      <c r="S62" s="1102"/>
      <c r="T62" s="1034"/>
      <c r="U62" s="1017"/>
      <c r="V62" s="1040"/>
      <c r="W62" s="1102"/>
      <c r="X62" s="1034"/>
      <c r="Y62" s="1017"/>
      <c r="Z62" s="1040"/>
      <c r="AA62" s="1104"/>
      <c r="AB62" s="1034"/>
      <c r="AC62" s="1017">
        <v>40541</v>
      </c>
      <c r="AD62" s="1040" t="s">
        <v>11267</v>
      </c>
      <c r="AE62" s="1104">
        <v>3</v>
      </c>
      <c r="AF62" s="1034"/>
      <c r="AG62" s="1017">
        <v>40538</v>
      </c>
      <c r="AH62" s="1040" t="s">
        <v>11268</v>
      </c>
      <c r="AI62" s="1104">
        <v>90</v>
      </c>
      <c r="AJ62" s="1034"/>
      <c r="AK62" s="1017"/>
      <c r="AL62" s="1040"/>
      <c r="AM62" s="1104"/>
      <c r="AN62" s="1034"/>
      <c r="AO62" s="1017">
        <v>41265</v>
      </c>
      <c r="AP62" s="1040" t="s">
        <v>11269</v>
      </c>
      <c r="AQ62" s="1104">
        <v>50</v>
      </c>
      <c r="AR62" s="1034"/>
      <c r="AS62" s="1017"/>
      <c r="AT62" s="1040" t="s">
        <v>11270</v>
      </c>
      <c r="AU62" s="1104"/>
      <c r="AV62" s="1034"/>
      <c r="AW62" s="1017">
        <v>42000</v>
      </c>
      <c r="AX62" s="1019" t="s">
        <v>11271</v>
      </c>
      <c r="AY62" s="1104">
        <v>9</v>
      </c>
      <c r="AZ62" s="1034"/>
      <c r="BA62" s="1017">
        <v>42361</v>
      </c>
      <c r="BB62" s="1019" t="s">
        <v>954</v>
      </c>
      <c r="BC62" s="1104">
        <v>27</v>
      </c>
      <c r="BD62" s="1034"/>
      <c r="BE62" s="1017">
        <v>42726</v>
      </c>
      <c r="BF62" s="1019" t="s">
        <v>11272</v>
      </c>
      <c r="BG62" s="1063">
        <v>22</v>
      </c>
      <c r="BH62" s="1034"/>
      <c r="BI62" s="1017">
        <v>43087</v>
      </c>
      <c r="BJ62" s="1040" t="s">
        <v>11273</v>
      </c>
      <c r="BK62" s="1063">
        <v>20</v>
      </c>
      <c r="BL62" s="1034"/>
      <c r="BM62" s="1391">
        <v>43452</v>
      </c>
      <c r="BN62" s="1397" t="s">
        <v>11274</v>
      </c>
      <c r="BO62" s="1398">
        <v>7</v>
      </c>
      <c r="BP62" s="1399"/>
      <c r="BQ62" s="1391">
        <v>43820</v>
      </c>
      <c r="BR62" s="1393" t="s">
        <v>11275</v>
      </c>
      <c r="BS62" s="1409">
        <v>25</v>
      </c>
      <c r="BT62" s="1392" t="s">
        <v>700</v>
      </c>
      <c r="BU62" s="1391">
        <v>44177</v>
      </c>
      <c r="BV62" s="1393" t="s">
        <v>845</v>
      </c>
      <c r="BW62" s="1406">
        <v>69</v>
      </c>
      <c r="BX62" s="1392" t="s">
        <v>414</v>
      </c>
      <c r="BY62" s="1391">
        <v>44546</v>
      </c>
      <c r="BZ62" s="1393" t="s">
        <v>11276</v>
      </c>
      <c r="CA62" s="1406">
        <v>28</v>
      </c>
      <c r="CB62" s="1392" t="s">
        <v>700</v>
      </c>
      <c r="CC62" s="1391">
        <v>44916</v>
      </c>
      <c r="CD62" s="1393" t="s">
        <v>11277</v>
      </c>
      <c r="CE62" s="1406">
        <v>120</v>
      </c>
      <c r="CF62" s="1392" t="s">
        <v>692</v>
      </c>
      <c r="CG62" s="1391">
        <v>45276</v>
      </c>
      <c r="CH62" s="1393" t="s">
        <v>5353</v>
      </c>
      <c r="CI62" s="1406">
        <v>37</v>
      </c>
      <c r="CJ62" s="1392" t="s">
        <v>426</v>
      </c>
      <c r="CK62" s="1391">
        <v>45652</v>
      </c>
      <c r="CL62" s="1393" t="s">
        <v>772</v>
      </c>
      <c r="CM62" s="2042">
        <v>76</v>
      </c>
      <c r="CN62" s="1392" t="s">
        <v>414</v>
      </c>
    </row>
    <row r="63" spans="1:92" ht="13.5">
      <c r="A63" s="1077"/>
      <c r="B63" s="1040"/>
      <c r="C63" s="1036"/>
      <c r="D63" s="1034"/>
      <c r="E63" s="1017">
        <v>37978</v>
      </c>
      <c r="F63" s="1040" t="s">
        <v>11278</v>
      </c>
      <c r="G63" s="1036">
        <v>10</v>
      </c>
      <c r="H63" s="1034"/>
      <c r="I63" s="1017"/>
      <c r="J63" s="1040"/>
      <c r="K63" s="1036"/>
      <c r="L63" s="1034"/>
      <c r="M63" s="1017"/>
      <c r="N63" s="1040"/>
      <c r="O63" s="1036"/>
      <c r="P63" s="1034"/>
      <c r="Q63" s="1017"/>
      <c r="R63" s="1040"/>
      <c r="S63" s="1036"/>
      <c r="T63" s="1034"/>
      <c r="U63" s="1017"/>
      <c r="V63" s="1040"/>
      <c r="W63" s="1102"/>
      <c r="X63" s="1034"/>
      <c r="Y63" s="1017"/>
      <c r="Z63" s="1040"/>
      <c r="AA63" s="1104"/>
      <c r="AB63" s="1034"/>
      <c r="AC63" s="1017">
        <v>40542</v>
      </c>
      <c r="AD63" s="1040" t="s">
        <v>11258</v>
      </c>
      <c r="AE63" s="1104">
        <v>22</v>
      </c>
      <c r="AF63" s="1034"/>
      <c r="AG63" s="1017">
        <v>40538</v>
      </c>
      <c r="AH63" s="1040" t="s">
        <v>11279</v>
      </c>
      <c r="AI63" s="1104">
        <v>20</v>
      </c>
      <c r="AJ63" s="1034"/>
      <c r="AK63" s="1017"/>
      <c r="AL63" s="1040"/>
      <c r="AM63" s="1104"/>
      <c r="AN63" s="1034"/>
      <c r="AO63" s="1017">
        <v>41266</v>
      </c>
      <c r="AP63" s="1040" t="s">
        <v>781</v>
      </c>
      <c r="AQ63" s="1104">
        <v>24</v>
      </c>
      <c r="AR63" s="1034"/>
      <c r="AS63" s="1017">
        <v>41632</v>
      </c>
      <c r="AT63" s="1040" t="s">
        <v>11280</v>
      </c>
      <c r="AU63" s="1104">
        <v>20</v>
      </c>
      <c r="AV63" s="1034"/>
      <c r="AW63" s="1017">
        <v>42000</v>
      </c>
      <c r="AX63" s="1019" t="s">
        <v>11281</v>
      </c>
      <c r="AY63" s="1104">
        <v>4</v>
      </c>
      <c r="AZ63" s="1034"/>
      <c r="BA63" s="1017">
        <v>42361</v>
      </c>
      <c r="BB63" s="1019" t="s">
        <v>11282</v>
      </c>
      <c r="BC63" s="1104">
        <v>63</v>
      </c>
      <c r="BD63" s="1034"/>
      <c r="BE63" s="1017">
        <v>42726</v>
      </c>
      <c r="BF63" s="1019" t="s">
        <v>11283</v>
      </c>
      <c r="BG63" s="1063">
        <v>10</v>
      </c>
      <c r="BH63" s="1118"/>
      <c r="BI63" s="1017">
        <v>43087</v>
      </c>
      <c r="BJ63" s="1040" t="s">
        <v>11284</v>
      </c>
      <c r="BK63" s="1063">
        <v>7</v>
      </c>
      <c r="BL63" s="1034"/>
      <c r="BM63" s="1391">
        <v>43452</v>
      </c>
      <c r="BN63" s="1397" t="s">
        <v>11285</v>
      </c>
      <c r="BO63" s="1398">
        <v>32</v>
      </c>
      <c r="BP63" s="1399"/>
      <c r="BQ63" s="1391">
        <v>43820</v>
      </c>
      <c r="BR63" s="1393" t="s">
        <v>11286</v>
      </c>
      <c r="BS63" s="1409">
        <v>16</v>
      </c>
      <c r="BT63" s="1392" t="s">
        <v>426</v>
      </c>
      <c r="BU63" s="1391">
        <v>44177</v>
      </c>
      <c r="BV63" s="1393" t="s">
        <v>872</v>
      </c>
      <c r="BW63" s="1406">
        <v>18</v>
      </c>
      <c r="BX63" s="1392" t="s">
        <v>414</v>
      </c>
      <c r="BY63" s="1391">
        <v>44547</v>
      </c>
      <c r="BZ63" s="1393" t="s">
        <v>11287</v>
      </c>
      <c r="CA63" s="1406">
        <v>56</v>
      </c>
      <c r="CB63" s="1392" t="s">
        <v>381</v>
      </c>
      <c r="CC63" s="1391">
        <v>44916</v>
      </c>
      <c r="CD63" s="1393" t="s">
        <v>11288</v>
      </c>
      <c r="CE63" s="1406">
        <v>0</v>
      </c>
      <c r="CF63" s="1392" t="s">
        <v>280</v>
      </c>
      <c r="CG63" s="1391">
        <v>45276</v>
      </c>
      <c r="CH63" s="1393" t="s">
        <v>11289</v>
      </c>
      <c r="CI63" s="1406">
        <v>180</v>
      </c>
      <c r="CJ63" s="1392" t="s">
        <v>426</v>
      </c>
      <c r="CK63" s="1391">
        <v>45652</v>
      </c>
      <c r="CL63" s="1393" t="s">
        <v>11290</v>
      </c>
      <c r="CM63" s="2042">
        <v>45</v>
      </c>
      <c r="CN63" s="1392" t="s">
        <v>280</v>
      </c>
    </row>
    <row r="64" spans="1:92" ht="13.5">
      <c r="A64" s="1077"/>
      <c r="B64" s="1040"/>
      <c r="C64" s="1036"/>
      <c r="D64" s="1034"/>
      <c r="E64" s="1017">
        <v>37978</v>
      </c>
      <c r="F64" s="1040" t="s">
        <v>11291</v>
      </c>
      <c r="G64" s="1036">
        <v>45</v>
      </c>
      <c r="H64" s="1034"/>
      <c r="I64" s="1017"/>
      <c r="J64" s="1040"/>
      <c r="K64" s="1036"/>
      <c r="L64" s="1034"/>
      <c r="M64" s="1017"/>
      <c r="N64" s="1040"/>
      <c r="O64" s="1036"/>
      <c r="P64" s="1034"/>
      <c r="Q64" s="1017"/>
      <c r="R64" s="1040"/>
      <c r="S64" s="1036"/>
      <c r="T64" s="1034"/>
      <c r="U64" s="1017"/>
      <c r="V64" s="1040"/>
      <c r="W64" s="1102"/>
      <c r="X64" s="1034"/>
      <c r="Y64" s="1017"/>
      <c r="Z64" s="1040"/>
      <c r="AA64" s="1104"/>
      <c r="AB64" s="1034"/>
      <c r="AC64" s="1017">
        <v>40542</v>
      </c>
      <c r="AD64" s="1040" t="s">
        <v>867</v>
      </c>
      <c r="AE64" s="1104">
        <v>18</v>
      </c>
      <c r="AF64" s="1034"/>
      <c r="AG64" s="1017">
        <v>40538</v>
      </c>
      <c r="AH64" s="1040" t="s">
        <v>8477</v>
      </c>
      <c r="AI64" s="1104">
        <v>56</v>
      </c>
      <c r="AJ64" s="1034"/>
      <c r="AK64" s="1017"/>
      <c r="AL64" s="1040"/>
      <c r="AM64" s="1104"/>
      <c r="AN64" s="1034"/>
      <c r="AO64" s="1017">
        <v>41269</v>
      </c>
      <c r="AP64" s="1040" t="s">
        <v>786</v>
      </c>
      <c r="AQ64" s="1104">
        <v>4</v>
      </c>
      <c r="AR64" s="1034"/>
      <c r="AS64" s="1017">
        <v>41633</v>
      </c>
      <c r="AT64" s="1040" t="s">
        <v>11292</v>
      </c>
      <c r="AU64" s="1104">
        <v>5</v>
      </c>
      <c r="AV64" s="1034"/>
      <c r="AW64" s="1017">
        <v>42000</v>
      </c>
      <c r="AX64" s="1019" t="s">
        <v>11293</v>
      </c>
      <c r="AY64" s="1104">
        <v>10</v>
      </c>
      <c r="AZ64" s="1034"/>
      <c r="BA64" s="1017">
        <v>42362</v>
      </c>
      <c r="BB64" s="1019" t="s">
        <v>11294</v>
      </c>
      <c r="BC64" s="1104">
        <v>0</v>
      </c>
      <c r="BD64" s="1034"/>
      <c r="BE64" s="1017">
        <v>42726</v>
      </c>
      <c r="BF64" s="1019" t="s">
        <v>11295</v>
      </c>
      <c r="BG64" s="1063">
        <v>24</v>
      </c>
      <c r="BH64" s="1118"/>
      <c r="BI64" s="1017">
        <v>43087</v>
      </c>
      <c r="BJ64" s="1040" t="s">
        <v>11296</v>
      </c>
      <c r="BK64" s="1063">
        <v>4</v>
      </c>
      <c r="BL64" s="1034"/>
      <c r="BM64" s="1391">
        <v>43456</v>
      </c>
      <c r="BN64" s="1397" t="s">
        <v>872</v>
      </c>
      <c r="BO64" s="1398">
        <v>19</v>
      </c>
      <c r="BP64" s="1399"/>
      <c r="BQ64" s="1391">
        <v>43820</v>
      </c>
      <c r="BR64" s="1393" t="s">
        <v>2253</v>
      </c>
      <c r="BS64" s="1409">
        <v>15</v>
      </c>
      <c r="BT64" s="1392" t="s">
        <v>414</v>
      </c>
      <c r="BU64" s="1391">
        <v>44177</v>
      </c>
      <c r="BV64" s="1393" t="s">
        <v>11079</v>
      </c>
      <c r="BW64" s="1406">
        <v>58</v>
      </c>
      <c r="BX64" s="1392" t="s">
        <v>414</v>
      </c>
      <c r="BY64" s="1391">
        <v>44548</v>
      </c>
      <c r="BZ64" s="1393" t="s">
        <v>845</v>
      </c>
      <c r="CA64" s="1406">
        <v>22</v>
      </c>
      <c r="CB64" s="1392" t="s">
        <v>414</v>
      </c>
      <c r="CC64" s="1391">
        <v>44916</v>
      </c>
      <c r="CD64" s="1393" t="s">
        <v>11297</v>
      </c>
      <c r="CE64" s="1406">
        <v>75</v>
      </c>
      <c r="CF64" s="1392" t="s">
        <v>700</v>
      </c>
      <c r="CG64" s="1391">
        <v>45280</v>
      </c>
      <c r="CH64" s="1393" t="s">
        <v>948</v>
      </c>
      <c r="CI64" s="1406">
        <v>15</v>
      </c>
      <c r="CJ64" s="1392" t="s">
        <v>414</v>
      </c>
      <c r="CK64" s="1391">
        <v>45652</v>
      </c>
      <c r="CL64" s="1393" t="s">
        <v>797</v>
      </c>
      <c r="CM64" s="2042">
        <v>53</v>
      </c>
      <c r="CN64" s="1392" t="s">
        <v>410</v>
      </c>
    </row>
    <row r="65" spans="1:92" ht="13.5">
      <c r="A65" s="1077"/>
      <c r="B65" s="1040"/>
      <c r="C65" s="1036"/>
      <c r="D65" s="1034"/>
      <c r="E65" s="1017">
        <v>37979</v>
      </c>
      <c r="F65" s="1040" t="s">
        <v>11298</v>
      </c>
      <c r="G65" s="1036">
        <v>8</v>
      </c>
      <c r="H65" s="1034"/>
      <c r="I65" s="1017"/>
      <c r="J65" s="1040"/>
      <c r="K65" s="1036"/>
      <c r="L65" s="1034"/>
      <c r="M65" s="1017"/>
      <c r="N65" s="1040"/>
      <c r="O65" s="1036"/>
      <c r="P65" s="1034"/>
      <c r="Q65" s="1017"/>
      <c r="R65" s="1040"/>
      <c r="S65" s="1036"/>
      <c r="T65" s="1034"/>
      <c r="U65" s="1017"/>
      <c r="V65" s="1040"/>
      <c r="W65" s="1036"/>
      <c r="X65" s="1034"/>
      <c r="Y65" s="1017"/>
      <c r="Z65" s="1040"/>
      <c r="AA65" s="1104"/>
      <c r="AB65" s="1034"/>
      <c r="AC65" s="1017">
        <v>40543</v>
      </c>
      <c r="AD65" s="1040" t="s">
        <v>797</v>
      </c>
      <c r="AE65" s="1104">
        <v>36</v>
      </c>
      <c r="AF65" s="1034"/>
      <c r="AG65" s="1017">
        <v>40538</v>
      </c>
      <c r="AH65" s="1040" t="s">
        <v>781</v>
      </c>
      <c r="AI65" s="1104">
        <v>55</v>
      </c>
      <c r="AJ65" s="1034"/>
      <c r="AK65" s="1017"/>
      <c r="AL65" s="1040"/>
      <c r="AM65" s="1104"/>
      <c r="AN65" s="1034"/>
      <c r="AO65" s="1017">
        <v>41269</v>
      </c>
      <c r="AP65" s="1040" t="s">
        <v>11299</v>
      </c>
      <c r="AQ65" s="1104">
        <v>17</v>
      </c>
      <c r="AR65" s="1034"/>
      <c r="AS65" s="1017">
        <v>41634</v>
      </c>
      <c r="AT65" s="1040" t="s">
        <v>11300</v>
      </c>
      <c r="AU65" s="1104">
        <v>36</v>
      </c>
      <c r="AV65" s="1034"/>
      <c r="AW65" s="1017">
        <v>42000</v>
      </c>
      <c r="AX65" s="1019" t="s">
        <v>11301</v>
      </c>
      <c r="AY65" s="1104">
        <v>11</v>
      </c>
      <c r="AZ65" s="1034"/>
      <c r="BA65" s="1017">
        <v>42362</v>
      </c>
      <c r="BB65" s="1019" t="s">
        <v>9373</v>
      </c>
      <c r="BC65" s="1104">
        <v>5</v>
      </c>
      <c r="BD65" s="1118"/>
      <c r="BE65" s="1017">
        <v>42726</v>
      </c>
      <c r="BF65" s="1019" t="s">
        <v>823</v>
      </c>
      <c r="BG65" s="1063">
        <v>30</v>
      </c>
      <c r="BH65" s="1118"/>
      <c r="BI65" s="1017">
        <v>43087</v>
      </c>
      <c r="BJ65" s="1040" t="s">
        <v>11302</v>
      </c>
      <c r="BK65" s="1063">
        <v>10</v>
      </c>
      <c r="BL65" s="1034"/>
      <c r="BM65" s="1391">
        <v>43456</v>
      </c>
      <c r="BN65" s="1397" t="s">
        <v>823</v>
      </c>
      <c r="BO65" s="1398">
        <v>13</v>
      </c>
      <c r="BP65" s="1399"/>
      <c r="BQ65" s="1391">
        <v>43820</v>
      </c>
      <c r="BR65" s="1393" t="s">
        <v>948</v>
      </c>
      <c r="BS65" s="1409">
        <v>50</v>
      </c>
      <c r="BT65" s="1392" t="s">
        <v>414</v>
      </c>
      <c r="BU65" s="1391">
        <v>44177</v>
      </c>
      <c r="BV65" s="1393" t="s">
        <v>11303</v>
      </c>
      <c r="BW65" s="1406">
        <v>0</v>
      </c>
      <c r="BX65" s="1392" t="s">
        <v>701</v>
      </c>
      <c r="BY65" s="1391">
        <v>44548</v>
      </c>
      <c r="BZ65" s="1393" t="s">
        <v>872</v>
      </c>
      <c r="CA65" s="1406">
        <v>12</v>
      </c>
      <c r="CB65" s="1392" t="s">
        <v>414</v>
      </c>
      <c r="CC65" s="1391">
        <v>44916</v>
      </c>
      <c r="CD65" s="1393" t="s">
        <v>11304</v>
      </c>
      <c r="CE65" s="1406">
        <v>15</v>
      </c>
      <c r="CF65" s="1392" t="s">
        <v>280</v>
      </c>
      <c r="CG65" s="1391">
        <v>45282</v>
      </c>
      <c r="CH65" s="1393" t="s">
        <v>11305</v>
      </c>
      <c r="CI65" s="1406">
        <v>32</v>
      </c>
      <c r="CJ65" s="1392" t="s">
        <v>414</v>
      </c>
      <c r="CK65" s="1391">
        <v>45652</v>
      </c>
      <c r="CL65" s="1393" t="s">
        <v>11306</v>
      </c>
      <c r="CM65" s="2042">
        <v>150</v>
      </c>
      <c r="CN65" s="1392" t="s">
        <v>689</v>
      </c>
    </row>
    <row r="66" spans="1:92" ht="13.5">
      <c r="A66" s="1077"/>
      <c r="B66" s="1040"/>
      <c r="C66" s="1036"/>
      <c r="D66" s="1034"/>
      <c r="E66" s="1017">
        <v>37979</v>
      </c>
      <c r="F66" s="1040" t="s">
        <v>11307</v>
      </c>
      <c r="G66" s="1036">
        <v>15</v>
      </c>
      <c r="H66" s="1034"/>
      <c r="I66" s="1017"/>
      <c r="J66" s="1040"/>
      <c r="K66" s="1036"/>
      <c r="L66" s="1034"/>
      <c r="M66" s="1017"/>
      <c r="N66" s="1040"/>
      <c r="O66" s="1036"/>
      <c r="P66" s="1034"/>
      <c r="Q66" s="1017"/>
      <c r="R66" s="1040"/>
      <c r="S66" s="1036"/>
      <c r="T66" s="1034"/>
      <c r="U66" s="1017"/>
      <c r="V66" s="1040"/>
      <c r="W66" s="1036"/>
      <c r="X66" s="1034"/>
      <c r="Y66" s="1017"/>
      <c r="Z66" s="1040"/>
      <c r="AA66" s="1043"/>
      <c r="AB66" s="1034"/>
      <c r="AC66" s="1017"/>
      <c r="AD66" s="1040"/>
      <c r="AE66" s="1104"/>
      <c r="AF66" s="1034"/>
      <c r="AG66" s="1017">
        <v>40539</v>
      </c>
      <c r="AH66" s="1040" t="s">
        <v>11308</v>
      </c>
      <c r="AI66" s="1104">
        <v>81</v>
      </c>
      <c r="AJ66" s="1034"/>
      <c r="AK66" s="1017"/>
      <c r="AL66" s="1040"/>
      <c r="AM66" s="1104"/>
      <c r="AN66" s="1034"/>
      <c r="AO66" s="1017">
        <v>41269</v>
      </c>
      <c r="AP66" s="1040" t="s">
        <v>11309</v>
      </c>
      <c r="AQ66" s="1104">
        <v>17</v>
      </c>
      <c r="AR66" s="1034"/>
      <c r="AS66" s="1017">
        <v>41634</v>
      </c>
      <c r="AT66" s="1040" t="s">
        <v>11310</v>
      </c>
      <c r="AU66" s="1104">
        <v>42</v>
      </c>
      <c r="AV66" s="1034"/>
      <c r="AW66" s="1017">
        <v>42001</v>
      </c>
      <c r="AX66" s="1019" t="s">
        <v>772</v>
      </c>
      <c r="AY66" s="1104">
        <v>64</v>
      </c>
      <c r="AZ66" s="1034"/>
      <c r="BA66" s="1017">
        <v>42362</v>
      </c>
      <c r="BB66" s="1019" t="s">
        <v>11311</v>
      </c>
      <c r="BC66" s="1104">
        <v>18</v>
      </c>
      <c r="BD66" s="1118"/>
      <c r="BE66" s="1017">
        <v>42727</v>
      </c>
      <c r="BF66" s="1019" t="s">
        <v>11312</v>
      </c>
      <c r="BG66" s="1063"/>
      <c r="BH66" s="1118"/>
      <c r="BI66" s="1017">
        <v>43087</v>
      </c>
      <c r="BJ66" s="1040" t="s">
        <v>11313</v>
      </c>
      <c r="BK66" s="1063">
        <v>6</v>
      </c>
      <c r="BL66" s="1034"/>
      <c r="BM66" s="1391">
        <v>43456</v>
      </c>
      <c r="BN66" s="1397" t="s">
        <v>11314</v>
      </c>
      <c r="BO66" s="1398">
        <v>12</v>
      </c>
      <c r="BP66" s="1399"/>
      <c r="BQ66" s="1391">
        <v>43820</v>
      </c>
      <c r="BR66" s="1393" t="s">
        <v>872</v>
      </c>
      <c r="BS66" s="1409">
        <v>14</v>
      </c>
      <c r="BT66" s="1392" t="s">
        <v>414</v>
      </c>
      <c r="BU66" s="1391">
        <v>44177</v>
      </c>
      <c r="BV66" s="1393" t="s">
        <v>11315</v>
      </c>
      <c r="BW66" s="1406">
        <v>385</v>
      </c>
      <c r="BX66" s="1392" t="s">
        <v>701</v>
      </c>
      <c r="BY66" s="1391">
        <v>44548</v>
      </c>
      <c r="BZ66" s="1393" t="s">
        <v>11316</v>
      </c>
      <c r="CA66" s="1406">
        <v>12</v>
      </c>
      <c r="CB66" s="1392" t="s">
        <v>278</v>
      </c>
      <c r="CC66" s="1391">
        <v>44916</v>
      </c>
      <c r="CD66" s="1393" t="s">
        <v>2877</v>
      </c>
      <c r="CE66" s="1406"/>
      <c r="CF66" s="1392" t="s">
        <v>280</v>
      </c>
      <c r="CG66" s="1391">
        <v>45282</v>
      </c>
      <c r="CH66" s="1393" t="s">
        <v>843</v>
      </c>
      <c r="CI66" s="1406">
        <v>16</v>
      </c>
      <c r="CJ66" s="1392" t="s">
        <v>414</v>
      </c>
      <c r="CK66" s="1391">
        <v>45652</v>
      </c>
      <c r="CL66" s="1393" t="s">
        <v>797</v>
      </c>
      <c r="CM66" s="2042">
        <v>56</v>
      </c>
      <c r="CN66" s="1392" t="s">
        <v>410</v>
      </c>
    </row>
    <row r="67" spans="1:92" ht="13.5">
      <c r="A67" s="1077"/>
      <c r="B67" s="1040"/>
      <c r="C67" s="1036"/>
      <c r="D67" s="1034"/>
      <c r="E67" s="1017">
        <v>37979</v>
      </c>
      <c r="F67" s="1040" t="s">
        <v>11317</v>
      </c>
      <c r="G67" s="1036">
        <v>200</v>
      </c>
      <c r="H67" s="1034"/>
      <c r="I67" s="1017"/>
      <c r="J67" s="1040"/>
      <c r="K67" s="1036"/>
      <c r="L67" s="1034"/>
      <c r="M67" s="1017"/>
      <c r="N67" s="1040"/>
      <c r="O67" s="1036"/>
      <c r="P67" s="1034"/>
      <c r="Q67" s="1017"/>
      <c r="R67" s="1040"/>
      <c r="S67" s="1036"/>
      <c r="T67" s="1034"/>
      <c r="U67" s="1017"/>
      <c r="V67" s="1040"/>
      <c r="W67" s="1036"/>
      <c r="X67" s="1034"/>
      <c r="Y67" s="1017"/>
      <c r="Z67" s="1040"/>
      <c r="AA67" s="1043"/>
      <c r="AB67" s="1034"/>
      <c r="AC67" s="1017"/>
      <c r="AD67" s="1040"/>
      <c r="AE67" s="1104"/>
      <c r="AF67" s="1034"/>
      <c r="AG67" s="1017">
        <v>40539</v>
      </c>
      <c r="AH67" s="1040" t="s">
        <v>11318</v>
      </c>
      <c r="AI67" s="1104">
        <v>20</v>
      </c>
      <c r="AJ67" s="1034"/>
      <c r="AK67" s="1017"/>
      <c r="AL67" s="1040"/>
      <c r="AM67" s="1104"/>
      <c r="AN67" s="1034"/>
      <c r="AO67" s="1017">
        <v>41269</v>
      </c>
      <c r="AP67" s="1040" t="s">
        <v>8585</v>
      </c>
      <c r="AQ67" s="1104">
        <v>16</v>
      </c>
      <c r="AR67" s="1034"/>
      <c r="AS67" s="1017">
        <v>41634</v>
      </c>
      <c r="AT67" s="1040" t="s">
        <v>840</v>
      </c>
      <c r="AU67" s="1104">
        <v>42</v>
      </c>
      <c r="AV67" s="1034"/>
      <c r="AW67" s="1017">
        <v>42001</v>
      </c>
      <c r="AX67" s="1019" t="s">
        <v>754</v>
      </c>
      <c r="AY67" s="1104">
        <v>67</v>
      </c>
      <c r="AZ67" s="1034"/>
      <c r="BA67" s="1017">
        <v>42363</v>
      </c>
      <c r="BB67" s="1019" t="s">
        <v>11319</v>
      </c>
      <c r="BC67" s="1104">
        <v>0</v>
      </c>
      <c r="BD67" s="1118"/>
      <c r="BE67" s="1017">
        <v>42727</v>
      </c>
      <c r="BF67" s="1019" t="s">
        <v>11320</v>
      </c>
      <c r="BG67" s="1063">
        <v>40</v>
      </c>
      <c r="BH67" s="1118"/>
      <c r="BI67" s="1017">
        <v>43087</v>
      </c>
      <c r="BJ67" s="1040" t="s">
        <v>11321</v>
      </c>
      <c r="BK67" s="1065">
        <v>2</v>
      </c>
      <c r="BL67" s="1034"/>
      <c r="BM67" s="1391">
        <v>43456</v>
      </c>
      <c r="BN67" s="1397" t="s">
        <v>873</v>
      </c>
      <c r="BO67" s="1413">
        <v>40</v>
      </c>
      <c r="BP67" s="1399"/>
      <c r="BQ67" s="1391">
        <v>43820</v>
      </c>
      <c r="BR67" s="1393" t="s">
        <v>772</v>
      </c>
      <c r="BS67" s="1409">
        <v>4</v>
      </c>
      <c r="BT67" s="1392" t="s">
        <v>414</v>
      </c>
      <c r="BU67" s="1391">
        <v>44181</v>
      </c>
      <c r="BV67" s="1393" t="s">
        <v>11322</v>
      </c>
      <c r="BW67" s="1406">
        <v>22</v>
      </c>
      <c r="BX67" s="1392" t="s">
        <v>278</v>
      </c>
      <c r="BY67" s="1391">
        <v>44549</v>
      </c>
      <c r="BZ67" s="1393" t="s">
        <v>11323</v>
      </c>
      <c r="CA67" s="1406">
        <v>9</v>
      </c>
      <c r="CB67" s="1392" t="s">
        <v>700</v>
      </c>
      <c r="CC67" s="1391">
        <v>44916</v>
      </c>
      <c r="CD67" s="1393" t="s">
        <v>1053</v>
      </c>
      <c r="CE67" s="1406">
        <v>75</v>
      </c>
      <c r="CF67" s="1392" t="s">
        <v>414</v>
      </c>
      <c r="CG67" s="1391">
        <v>45282</v>
      </c>
      <c r="CH67" s="1393" t="s">
        <v>828</v>
      </c>
      <c r="CI67" s="1406">
        <v>19</v>
      </c>
      <c r="CJ67" s="1392" t="s">
        <v>414</v>
      </c>
      <c r="CK67" s="1391">
        <v>45656</v>
      </c>
      <c r="CL67" s="1393" t="s">
        <v>11324</v>
      </c>
      <c r="CM67" s="2042">
        <v>16</v>
      </c>
      <c r="CN67" s="1392" t="s">
        <v>414</v>
      </c>
    </row>
    <row r="68" spans="1:92" ht="13.5">
      <c r="A68" s="1077"/>
      <c r="B68" s="1040"/>
      <c r="C68" s="1036"/>
      <c r="D68" s="1034"/>
      <c r="E68" s="1017">
        <v>37979</v>
      </c>
      <c r="F68" s="1040" t="s">
        <v>11325</v>
      </c>
      <c r="G68" s="1036">
        <v>169</v>
      </c>
      <c r="H68" s="1034"/>
      <c r="I68" s="1017"/>
      <c r="J68" s="1040"/>
      <c r="K68" s="1036"/>
      <c r="L68" s="1034"/>
      <c r="M68" s="1017"/>
      <c r="N68" s="1040"/>
      <c r="O68" s="1036"/>
      <c r="P68" s="1034"/>
      <c r="Q68" s="1017"/>
      <c r="R68" s="1040"/>
      <c r="S68" s="1036"/>
      <c r="T68" s="1034"/>
      <c r="U68" s="1017"/>
      <c r="V68" s="1040"/>
      <c r="W68" s="1036"/>
      <c r="X68" s="1034"/>
      <c r="Y68" s="1017"/>
      <c r="Z68" s="1040"/>
      <c r="AA68" s="1043"/>
      <c r="AB68" s="1034"/>
      <c r="AC68" s="1017"/>
      <c r="AD68" s="1040"/>
      <c r="AE68" s="1104"/>
      <c r="AF68" s="1034"/>
      <c r="AG68" s="1017">
        <v>40539</v>
      </c>
      <c r="AH68" s="1040" t="s">
        <v>767</v>
      </c>
      <c r="AI68" s="1104">
        <v>7</v>
      </c>
      <c r="AJ68" s="1034"/>
      <c r="AK68" s="1017"/>
      <c r="AL68" s="1040"/>
      <c r="AM68" s="1104"/>
      <c r="AN68" s="1034"/>
      <c r="AO68" s="1017">
        <v>41269</v>
      </c>
      <c r="AP68" s="1040" t="s">
        <v>11326</v>
      </c>
      <c r="AQ68" s="1104">
        <v>25</v>
      </c>
      <c r="AR68" s="1034"/>
      <c r="AS68" s="1017">
        <v>41634</v>
      </c>
      <c r="AT68" s="1040" t="s">
        <v>6765</v>
      </c>
      <c r="AU68" s="1104">
        <v>8</v>
      </c>
      <c r="AV68" s="1034"/>
      <c r="AW68" s="1017">
        <v>42001</v>
      </c>
      <c r="AX68" s="1019" t="s">
        <v>11327</v>
      </c>
      <c r="AY68" s="1104">
        <v>277</v>
      </c>
      <c r="AZ68" s="1034"/>
      <c r="BA68" s="1017">
        <v>42364</v>
      </c>
      <c r="BB68" s="1019" t="s">
        <v>11328</v>
      </c>
      <c r="BC68" s="1104">
        <v>25</v>
      </c>
      <c r="BD68" s="1118"/>
      <c r="BE68" s="1017">
        <v>42727</v>
      </c>
      <c r="BF68" s="1019" t="s">
        <v>11329</v>
      </c>
      <c r="BG68" s="1063">
        <v>50</v>
      </c>
      <c r="BH68" s="1118"/>
      <c r="BI68" s="1017">
        <v>43087</v>
      </c>
      <c r="BJ68" s="1040" t="s">
        <v>4234</v>
      </c>
      <c r="BK68" s="1065">
        <v>12</v>
      </c>
      <c r="BL68" s="1034"/>
      <c r="BM68" s="1391">
        <v>43457</v>
      </c>
      <c r="BN68" s="1397" t="s">
        <v>11330</v>
      </c>
      <c r="BO68" s="1413">
        <v>5</v>
      </c>
      <c r="BP68" s="1399"/>
      <c r="BQ68" s="1391">
        <v>43820</v>
      </c>
      <c r="BR68" s="1393" t="s">
        <v>845</v>
      </c>
      <c r="BS68" s="1409">
        <v>35</v>
      </c>
      <c r="BT68" s="1392" t="s">
        <v>414</v>
      </c>
      <c r="BU68" s="1391">
        <v>44181</v>
      </c>
      <c r="BV68" s="1393" t="s">
        <v>11331</v>
      </c>
      <c r="BW68" s="1406">
        <v>21</v>
      </c>
      <c r="BX68" s="1392" t="s">
        <v>278</v>
      </c>
      <c r="BY68" s="1391">
        <v>44550</v>
      </c>
      <c r="BZ68" s="1393" t="s">
        <v>845</v>
      </c>
      <c r="CA68" s="1406">
        <v>0</v>
      </c>
      <c r="CB68" s="1392" t="s">
        <v>414</v>
      </c>
      <c r="CC68" s="1391">
        <v>44916</v>
      </c>
      <c r="CD68" s="1393" t="s">
        <v>11332</v>
      </c>
      <c r="CE68" s="1406">
        <v>17</v>
      </c>
      <c r="CF68" s="1392" t="s">
        <v>414</v>
      </c>
      <c r="CG68" s="1391">
        <v>45282</v>
      </c>
      <c r="CH68" s="1393" t="s">
        <v>772</v>
      </c>
      <c r="CI68" s="1406">
        <v>37</v>
      </c>
      <c r="CJ68" s="1392" t="s">
        <v>414</v>
      </c>
      <c r="CK68" s="1391">
        <v>45657</v>
      </c>
      <c r="CL68" s="1393" t="s">
        <v>828</v>
      </c>
      <c r="CM68" s="2042">
        <v>7</v>
      </c>
      <c r="CN68" s="1392" t="s">
        <v>414</v>
      </c>
    </row>
    <row r="69" spans="1:92" ht="13.5">
      <c r="A69" s="1077"/>
      <c r="B69" s="1040"/>
      <c r="C69" s="1036"/>
      <c r="D69" s="1034"/>
      <c r="E69" s="1017">
        <v>37980</v>
      </c>
      <c r="F69" s="1040" t="s">
        <v>11333</v>
      </c>
      <c r="G69" s="1036">
        <v>4</v>
      </c>
      <c r="H69" s="1034"/>
      <c r="I69" s="1017"/>
      <c r="J69" s="1040"/>
      <c r="K69" s="1036"/>
      <c r="L69" s="1034"/>
      <c r="M69" s="1017"/>
      <c r="N69" s="1040"/>
      <c r="O69" s="1036"/>
      <c r="P69" s="1034"/>
      <c r="Q69" s="1017"/>
      <c r="R69" s="1040"/>
      <c r="S69" s="1036"/>
      <c r="T69" s="1034"/>
      <c r="U69" s="1017"/>
      <c r="V69" s="1040"/>
      <c r="W69" s="1036"/>
      <c r="X69" s="1034"/>
      <c r="Y69" s="1017"/>
      <c r="Z69" s="1040"/>
      <c r="AA69" s="1043"/>
      <c r="AB69" s="1034"/>
      <c r="AC69" s="1017"/>
      <c r="AD69" s="1040"/>
      <c r="AE69" s="1104"/>
      <c r="AF69" s="1034"/>
      <c r="AG69" s="1017">
        <v>40539</v>
      </c>
      <c r="AH69" s="1040" t="s">
        <v>880</v>
      </c>
      <c r="AI69" s="1104">
        <v>10</v>
      </c>
      <c r="AJ69" s="1034"/>
      <c r="AK69" s="1017"/>
      <c r="AL69" s="1040"/>
      <c r="AM69" s="1104"/>
      <c r="AN69" s="1034"/>
      <c r="AO69" s="1017">
        <v>41270</v>
      </c>
      <c r="AP69" s="1040" t="s">
        <v>10614</v>
      </c>
      <c r="AQ69" s="1104">
        <v>36</v>
      </c>
      <c r="AR69" s="1034"/>
      <c r="AS69" s="1017">
        <v>41634</v>
      </c>
      <c r="AT69" s="1040" t="s">
        <v>781</v>
      </c>
      <c r="AU69" s="1104">
        <v>90</v>
      </c>
      <c r="AV69" s="1034"/>
      <c r="AW69" s="1017">
        <v>42001</v>
      </c>
      <c r="AX69" s="1019" t="s">
        <v>965</v>
      </c>
      <c r="AY69" s="1104">
        <v>16</v>
      </c>
      <c r="AZ69" s="1034"/>
      <c r="BA69" s="1017">
        <v>42364</v>
      </c>
      <c r="BB69" s="1019" t="s">
        <v>11334</v>
      </c>
      <c r="BC69" s="1104">
        <v>61</v>
      </c>
      <c r="BD69" s="1118"/>
      <c r="BE69" s="1017">
        <v>42728</v>
      </c>
      <c r="BF69" s="1019" t="s">
        <v>11335</v>
      </c>
      <c r="BG69" s="1063">
        <v>18</v>
      </c>
      <c r="BH69" s="1118"/>
      <c r="BI69" s="1017">
        <v>43087</v>
      </c>
      <c r="BJ69" s="1040" t="s">
        <v>1290</v>
      </c>
      <c r="BK69" s="1065">
        <v>47</v>
      </c>
      <c r="BL69" s="1034"/>
      <c r="BM69" s="1391">
        <v>43457</v>
      </c>
      <c r="BN69" s="1397" t="s">
        <v>11336</v>
      </c>
      <c r="BO69" s="1413"/>
      <c r="BP69" s="1399"/>
      <c r="BQ69" s="1391">
        <v>43820</v>
      </c>
      <c r="BR69" s="1393" t="s">
        <v>1180</v>
      </c>
      <c r="BS69" s="1409">
        <v>78</v>
      </c>
      <c r="BT69" s="1392" t="s">
        <v>410</v>
      </c>
      <c r="BU69" s="1391">
        <v>44182</v>
      </c>
      <c r="BV69" s="1393" t="s">
        <v>11337</v>
      </c>
      <c r="BW69" s="1406">
        <v>150</v>
      </c>
      <c r="BX69" s="1392" t="s">
        <v>426</v>
      </c>
      <c r="BY69" s="1391">
        <v>44551</v>
      </c>
      <c r="BZ69" s="1393" t="s">
        <v>797</v>
      </c>
      <c r="CA69" s="1406">
        <v>75</v>
      </c>
      <c r="CB69" s="1392" t="s">
        <v>410</v>
      </c>
      <c r="CC69" s="1391">
        <v>44916</v>
      </c>
      <c r="CD69" s="1393" t="s">
        <v>11338</v>
      </c>
      <c r="CE69" s="1406">
        <v>35</v>
      </c>
      <c r="CF69" s="1392" t="s">
        <v>414</v>
      </c>
      <c r="CG69" s="1391">
        <v>45282</v>
      </c>
      <c r="CH69" s="1393" t="s">
        <v>11339</v>
      </c>
      <c r="CI69" s="1406">
        <v>12</v>
      </c>
      <c r="CJ69" s="1392" t="s">
        <v>381</v>
      </c>
      <c r="CK69" s="1391">
        <v>45657</v>
      </c>
      <c r="CL69" s="1393" t="s">
        <v>772</v>
      </c>
      <c r="CM69" s="2042"/>
      <c r="CN69" s="1392" t="s">
        <v>414</v>
      </c>
    </row>
    <row r="70" spans="1:92" ht="13.5">
      <c r="A70" s="1077"/>
      <c r="B70" s="1040"/>
      <c r="C70" s="1036"/>
      <c r="D70" s="1034"/>
      <c r="E70" s="1017">
        <v>37980</v>
      </c>
      <c r="F70" s="1040" t="s">
        <v>11340</v>
      </c>
      <c r="G70" s="1036">
        <v>8</v>
      </c>
      <c r="H70" s="1034"/>
      <c r="I70" s="1017"/>
      <c r="J70" s="1040"/>
      <c r="K70" s="1036"/>
      <c r="L70" s="1034"/>
      <c r="M70" s="1017"/>
      <c r="N70" s="1040"/>
      <c r="O70" s="1036"/>
      <c r="P70" s="1034"/>
      <c r="Q70" s="1017"/>
      <c r="R70" s="1040"/>
      <c r="S70" s="1036"/>
      <c r="T70" s="1034"/>
      <c r="U70" s="1017"/>
      <c r="V70" s="1040"/>
      <c r="W70" s="1036"/>
      <c r="X70" s="1034"/>
      <c r="Y70" s="1017"/>
      <c r="Z70" s="1040"/>
      <c r="AA70" s="1043"/>
      <c r="AB70" s="1034"/>
      <c r="AC70" s="1017"/>
      <c r="AD70" s="1040"/>
      <c r="AE70" s="1043"/>
      <c r="AF70" s="1034"/>
      <c r="AG70" s="1017">
        <v>40539</v>
      </c>
      <c r="AH70" s="1040" t="s">
        <v>11341</v>
      </c>
      <c r="AI70" s="1104">
        <v>12</v>
      </c>
      <c r="AJ70" s="1034"/>
      <c r="AK70" s="1017"/>
      <c r="AL70" s="1040"/>
      <c r="AM70" s="1104"/>
      <c r="AN70" s="1034"/>
      <c r="AO70" s="1017">
        <v>41270</v>
      </c>
      <c r="AP70" s="1040" t="s">
        <v>11342</v>
      </c>
      <c r="AQ70" s="1104">
        <v>22</v>
      </c>
      <c r="AR70" s="1034"/>
      <c r="AS70" s="1017">
        <v>41634</v>
      </c>
      <c r="AT70" s="1040" t="s">
        <v>11343</v>
      </c>
      <c r="AU70" s="1104">
        <v>5</v>
      </c>
      <c r="AV70" s="1049"/>
      <c r="AW70" s="1017">
        <v>42001</v>
      </c>
      <c r="AX70" s="1019" t="s">
        <v>11344</v>
      </c>
      <c r="AY70" s="1104">
        <v>20</v>
      </c>
      <c r="AZ70" s="1118"/>
      <c r="BA70" s="1017">
        <v>42364</v>
      </c>
      <c r="BB70" s="1019" t="s">
        <v>11345</v>
      </c>
      <c r="BC70" s="1104">
        <v>8</v>
      </c>
      <c r="BD70" s="1118"/>
      <c r="BE70" s="1017">
        <v>42729</v>
      </c>
      <c r="BF70" s="1019" t="s">
        <v>9735</v>
      </c>
      <c r="BG70" s="1063">
        <v>15</v>
      </c>
      <c r="BH70" s="1118"/>
      <c r="BI70" s="1017">
        <v>43088</v>
      </c>
      <c r="BJ70" s="1040" t="s">
        <v>11346</v>
      </c>
      <c r="BK70" s="1065">
        <v>20</v>
      </c>
      <c r="BL70" s="1034"/>
      <c r="BM70" s="1391">
        <v>43457</v>
      </c>
      <c r="BN70" s="1397" t="s">
        <v>873</v>
      </c>
      <c r="BO70" s="1413">
        <v>4</v>
      </c>
      <c r="BP70" s="1399"/>
      <c r="BQ70" s="1391">
        <v>43820</v>
      </c>
      <c r="BR70" s="1393" t="s">
        <v>11347</v>
      </c>
      <c r="BS70" s="1409">
        <v>32</v>
      </c>
      <c r="BT70" s="1392" t="s">
        <v>381</v>
      </c>
      <c r="BU70" s="1391">
        <v>44182</v>
      </c>
      <c r="BV70" s="1393" t="s">
        <v>2888</v>
      </c>
      <c r="BW70" s="1406">
        <v>93</v>
      </c>
      <c r="BX70" s="1392" t="s">
        <v>414</v>
      </c>
      <c r="BY70" s="1391">
        <v>44551</v>
      </c>
      <c r="BZ70" s="1393" t="s">
        <v>7523</v>
      </c>
      <c r="CA70" s="1406">
        <v>7</v>
      </c>
      <c r="CB70" s="1392" t="s">
        <v>278</v>
      </c>
      <c r="CC70" s="1391">
        <v>44916</v>
      </c>
      <c r="CD70" s="1393" t="s">
        <v>11348</v>
      </c>
      <c r="CE70" s="1406">
        <v>17</v>
      </c>
      <c r="CF70" s="1392" t="s">
        <v>414</v>
      </c>
      <c r="CG70" s="1391">
        <v>45282</v>
      </c>
      <c r="CH70" s="1393" t="s">
        <v>4053</v>
      </c>
      <c r="CI70" s="1406">
        <v>34</v>
      </c>
      <c r="CJ70" s="1392" t="s">
        <v>280</v>
      </c>
      <c r="CK70" s="1391">
        <v>45657</v>
      </c>
      <c r="CL70" s="1393" t="s">
        <v>843</v>
      </c>
      <c r="CM70" s="2042">
        <v>58</v>
      </c>
      <c r="CN70" s="1392" t="s">
        <v>414</v>
      </c>
    </row>
    <row r="71" spans="1:92" ht="13.5">
      <c r="A71" s="1077"/>
      <c r="B71" s="1040"/>
      <c r="C71" s="1036"/>
      <c r="D71" s="1034"/>
      <c r="E71" s="1017">
        <v>37980</v>
      </c>
      <c r="F71" s="1040" t="s">
        <v>11349</v>
      </c>
      <c r="G71" s="1036">
        <v>87</v>
      </c>
      <c r="H71" s="1034"/>
      <c r="I71" s="1017"/>
      <c r="J71" s="1040"/>
      <c r="K71" s="1036"/>
      <c r="L71" s="1034"/>
      <c r="M71" s="1017"/>
      <c r="N71" s="1040"/>
      <c r="O71" s="1036"/>
      <c r="P71" s="1034"/>
      <c r="Q71" s="1017"/>
      <c r="R71" s="1040"/>
      <c r="S71" s="1036"/>
      <c r="T71" s="1034"/>
      <c r="U71" s="1017"/>
      <c r="V71" s="1040"/>
      <c r="W71" s="1036"/>
      <c r="X71" s="1034"/>
      <c r="Y71" s="1017"/>
      <c r="Z71" s="1040"/>
      <c r="AA71" s="1043"/>
      <c r="AB71" s="1034"/>
      <c r="AC71" s="1017"/>
      <c r="AD71" s="1040"/>
      <c r="AE71" s="1043"/>
      <c r="AF71" s="1034"/>
      <c r="AG71" s="1017">
        <v>40907</v>
      </c>
      <c r="AH71" s="1040" t="s">
        <v>1052</v>
      </c>
      <c r="AI71" s="1104">
        <v>54</v>
      </c>
      <c r="AJ71" s="1034"/>
      <c r="AK71" s="1017"/>
      <c r="AL71" s="1040"/>
      <c r="AM71" s="1104"/>
      <c r="AN71" s="1034"/>
      <c r="AO71" s="1017">
        <v>41270</v>
      </c>
      <c r="AP71" s="1040" t="s">
        <v>797</v>
      </c>
      <c r="AQ71" s="1104">
        <v>37</v>
      </c>
      <c r="AR71" s="1034"/>
      <c r="AS71" s="1017">
        <v>41634</v>
      </c>
      <c r="AT71" s="1040" t="s">
        <v>11350</v>
      </c>
      <c r="AU71" s="1104">
        <v>280</v>
      </c>
      <c r="AV71" s="1049"/>
      <c r="AW71" s="1017">
        <v>42001</v>
      </c>
      <c r="AX71" s="1019" t="s">
        <v>11351</v>
      </c>
      <c r="AY71" s="1104">
        <v>16</v>
      </c>
      <c r="AZ71" s="1118"/>
      <c r="BA71" s="1017">
        <v>42364</v>
      </c>
      <c r="BB71" s="1019" t="s">
        <v>954</v>
      </c>
      <c r="BC71" s="1104">
        <v>63</v>
      </c>
      <c r="BD71" s="1118"/>
      <c r="BE71" s="1017">
        <v>42730</v>
      </c>
      <c r="BF71" s="1019" t="s">
        <v>11352</v>
      </c>
      <c r="BG71" s="1063">
        <v>40</v>
      </c>
      <c r="BH71" s="1118"/>
      <c r="BI71" s="1017">
        <v>43090</v>
      </c>
      <c r="BJ71" s="1040" t="s">
        <v>11353</v>
      </c>
      <c r="BK71" s="1065">
        <v>11</v>
      </c>
      <c r="BL71" s="1034"/>
      <c r="BM71" s="1391">
        <v>43458</v>
      </c>
      <c r="BN71" s="1397" t="s">
        <v>772</v>
      </c>
      <c r="BO71" s="1413">
        <v>16</v>
      </c>
      <c r="BP71" s="1399"/>
      <c r="BQ71" s="1391">
        <v>43820</v>
      </c>
      <c r="BR71" s="1393" t="s">
        <v>11354</v>
      </c>
      <c r="BS71" s="1409">
        <v>10</v>
      </c>
      <c r="BT71" s="1392" t="s">
        <v>458</v>
      </c>
      <c r="BU71" s="1391">
        <v>44183</v>
      </c>
      <c r="BV71" s="1393" t="s">
        <v>11355</v>
      </c>
      <c r="BW71" s="1406">
        <v>0</v>
      </c>
      <c r="BX71" s="1392" t="s">
        <v>280</v>
      </c>
      <c r="BY71" s="1391">
        <v>44551</v>
      </c>
      <c r="BZ71" s="1393" t="s">
        <v>1180</v>
      </c>
      <c r="CA71" s="1406">
        <v>100</v>
      </c>
      <c r="CB71" s="1392" t="s">
        <v>410</v>
      </c>
      <c r="CC71" s="1391">
        <v>44916</v>
      </c>
      <c r="CD71" s="1393" t="s">
        <v>5152</v>
      </c>
      <c r="CE71" s="1406">
        <v>19</v>
      </c>
      <c r="CF71" s="1392" t="s">
        <v>414</v>
      </c>
      <c r="CG71" s="1391">
        <v>45282</v>
      </c>
      <c r="CH71" s="1393" t="s">
        <v>805</v>
      </c>
      <c r="CI71" s="1406">
        <v>60</v>
      </c>
      <c r="CJ71" s="1392" t="s">
        <v>280</v>
      </c>
      <c r="CK71" s="1391">
        <v>45657</v>
      </c>
      <c r="CL71" s="1393" t="s">
        <v>11356</v>
      </c>
      <c r="CM71" s="2042">
        <v>76</v>
      </c>
      <c r="CN71" s="1392" t="s">
        <v>280</v>
      </c>
    </row>
    <row r="72" spans="1:92" ht="13.5">
      <c r="A72" s="1077"/>
      <c r="B72" s="1040"/>
      <c r="C72" s="1036"/>
      <c r="D72" s="1034"/>
      <c r="E72" s="1017">
        <v>37980</v>
      </c>
      <c r="F72" s="1040" t="s">
        <v>4290</v>
      </c>
      <c r="G72" s="1036">
        <v>18</v>
      </c>
      <c r="H72" s="1034"/>
      <c r="I72" s="1017"/>
      <c r="J72" s="1040"/>
      <c r="K72" s="1036"/>
      <c r="L72" s="1034"/>
      <c r="M72" s="1017"/>
      <c r="N72" s="1040"/>
      <c r="O72" s="1036"/>
      <c r="P72" s="1034"/>
      <c r="Q72" s="1017"/>
      <c r="R72" s="1040"/>
      <c r="S72" s="1036"/>
      <c r="T72" s="1034"/>
      <c r="U72" s="1017"/>
      <c r="V72" s="1040"/>
      <c r="W72" s="1036"/>
      <c r="X72" s="1034"/>
      <c r="Y72" s="1017"/>
      <c r="Z72" s="1040"/>
      <c r="AA72" s="1043"/>
      <c r="AB72" s="1034"/>
      <c r="AC72" s="1017"/>
      <c r="AD72" s="1040"/>
      <c r="AE72" s="1043"/>
      <c r="AF72" s="1034"/>
      <c r="AG72" s="1017">
        <v>40907</v>
      </c>
      <c r="AH72" s="1040" t="s">
        <v>11357</v>
      </c>
      <c r="AI72" s="1104">
        <v>14</v>
      </c>
      <c r="AJ72" s="1034"/>
      <c r="AK72" s="1017"/>
      <c r="AL72" s="1040"/>
      <c r="AM72" s="1104"/>
      <c r="AN72" s="1034"/>
      <c r="AO72" s="1017">
        <v>41270</v>
      </c>
      <c r="AP72" s="1040" t="s">
        <v>11358</v>
      </c>
      <c r="AQ72" s="1104">
        <v>30</v>
      </c>
      <c r="AR72" s="1034"/>
      <c r="AS72" s="1017">
        <v>41635</v>
      </c>
      <c r="AT72" s="1040" t="s">
        <v>11359</v>
      </c>
      <c r="AU72" s="1104">
        <v>200</v>
      </c>
      <c r="AV72" s="1049"/>
      <c r="AW72" s="1017">
        <v>42003</v>
      </c>
      <c r="AX72" s="1019" t="s">
        <v>11360</v>
      </c>
      <c r="AY72" s="1104">
        <v>51</v>
      </c>
      <c r="AZ72" s="1118"/>
      <c r="BA72" s="1017">
        <v>42364</v>
      </c>
      <c r="BB72" s="1019" t="s">
        <v>2240</v>
      </c>
      <c r="BC72" s="1104">
        <v>18</v>
      </c>
      <c r="BD72" s="1118"/>
      <c r="BE72" s="1017">
        <v>42730</v>
      </c>
      <c r="BF72" s="1019" t="s">
        <v>11361</v>
      </c>
      <c r="BG72" s="1063">
        <v>40</v>
      </c>
      <c r="BH72" s="1118"/>
      <c r="BI72" s="1017">
        <v>43090</v>
      </c>
      <c r="BJ72" s="1040" t="s">
        <v>11362</v>
      </c>
      <c r="BK72" s="1065">
        <v>2</v>
      </c>
      <c r="BL72" s="1034"/>
      <c r="BM72" s="1391">
        <v>43458</v>
      </c>
      <c r="BN72" s="1397" t="s">
        <v>797</v>
      </c>
      <c r="BO72" s="1413">
        <v>50</v>
      </c>
      <c r="BP72" s="1399"/>
      <c r="BQ72" s="1391">
        <v>43821</v>
      </c>
      <c r="BR72" s="1393" t="s">
        <v>11363</v>
      </c>
      <c r="BS72" s="1409">
        <v>55</v>
      </c>
      <c r="BT72" s="1392" t="s">
        <v>381</v>
      </c>
      <c r="BU72" s="1391">
        <v>44183</v>
      </c>
      <c r="BV72" s="1393" t="s">
        <v>11364</v>
      </c>
      <c r="BW72" s="1406">
        <v>23</v>
      </c>
      <c r="BX72" s="1392" t="s">
        <v>280</v>
      </c>
      <c r="BY72" s="1391">
        <v>44551</v>
      </c>
      <c r="BZ72" s="1393" t="s">
        <v>11365</v>
      </c>
      <c r="CA72" s="1406">
        <v>50</v>
      </c>
      <c r="CB72" s="1392" t="s">
        <v>381</v>
      </c>
      <c r="CC72" s="1391">
        <v>44916</v>
      </c>
      <c r="CD72" s="1393" t="s">
        <v>11366</v>
      </c>
      <c r="CE72" s="1406">
        <v>35</v>
      </c>
      <c r="CF72" s="1392" t="s">
        <v>414</v>
      </c>
      <c r="CG72" s="1391">
        <v>45284</v>
      </c>
      <c r="CH72" s="1393" t="s">
        <v>11367</v>
      </c>
      <c r="CI72" s="1406">
        <v>16</v>
      </c>
      <c r="CJ72" s="1392" t="s">
        <v>414</v>
      </c>
      <c r="CK72" s="1391">
        <v>45657</v>
      </c>
      <c r="CL72" s="1393" t="s">
        <v>11368</v>
      </c>
      <c r="CM72" s="2042">
        <v>110</v>
      </c>
      <c r="CN72" s="1392" t="s">
        <v>280</v>
      </c>
    </row>
    <row r="73" spans="1:92" ht="13.5">
      <c r="A73" s="1077"/>
      <c r="B73" s="1040"/>
      <c r="C73" s="1036"/>
      <c r="D73" s="1034"/>
      <c r="E73" s="1017">
        <v>37981</v>
      </c>
      <c r="F73" s="1040" t="s">
        <v>11369</v>
      </c>
      <c r="G73" s="1036">
        <v>17</v>
      </c>
      <c r="H73" s="1034"/>
      <c r="I73" s="1017"/>
      <c r="J73" s="1040"/>
      <c r="K73" s="1036"/>
      <c r="L73" s="1034"/>
      <c r="M73" s="1017"/>
      <c r="N73" s="1040"/>
      <c r="O73" s="1036"/>
      <c r="P73" s="1034"/>
      <c r="Q73" s="1017"/>
      <c r="R73" s="1040"/>
      <c r="S73" s="1036"/>
      <c r="T73" s="1034"/>
      <c r="U73" s="1017"/>
      <c r="V73" s="1040"/>
      <c r="W73" s="1036"/>
      <c r="X73" s="1034"/>
      <c r="Y73" s="1017"/>
      <c r="Z73" s="1040"/>
      <c r="AA73" s="1043"/>
      <c r="AB73" s="1034"/>
      <c r="AC73" s="1017"/>
      <c r="AD73" s="1040"/>
      <c r="AE73" s="1043"/>
      <c r="AF73" s="1034"/>
      <c r="AG73" s="1017">
        <v>40907</v>
      </c>
      <c r="AH73" s="1040"/>
      <c r="AI73" s="1104"/>
      <c r="AJ73" s="1034"/>
      <c r="AK73" s="1017"/>
      <c r="AL73" s="1040"/>
      <c r="AM73" s="1104"/>
      <c r="AN73" s="1034"/>
      <c r="AO73" s="1017">
        <v>41270</v>
      </c>
      <c r="AP73" s="1040" t="s">
        <v>781</v>
      </c>
      <c r="AQ73" s="1104">
        <v>35</v>
      </c>
      <c r="AR73" s="1034"/>
      <c r="AS73" s="1017">
        <v>41635</v>
      </c>
      <c r="AT73" s="1040" t="s">
        <v>797</v>
      </c>
      <c r="AU73" s="1104">
        <v>60</v>
      </c>
      <c r="AV73" s="1049"/>
      <c r="AW73" s="1017">
        <v>42002</v>
      </c>
      <c r="AX73" s="1019" t="s">
        <v>954</v>
      </c>
      <c r="AY73" s="1104">
        <v>6</v>
      </c>
      <c r="AZ73" s="1118"/>
      <c r="BA73" s="1017">
        <v>42364</v>
      </c>
      <c r="BB73" s="1019" t="s">
        <v>754</v>
      </c>
      <c r="BC73" s="1104">
        <v>61</v>
      </c>
      <c r="BD73" s="1118"/>
      <c r="BE73" s="1017">
        <v>42730</v>
      </c>
      <c r="BF73" s="1019" t="s">
        <v>11370</v>
      </c>
      <c r="BG73" s="1063">
        <v>150</v>
      </c>
      <c r="BH73" s="1118"/>
      <c r="BI73" s="1017">
        <v>43090</v>
      </c>
      <c r="BJ73" s="1040" t="s">
        <v>11371</v>
      </c>
      <c r="BK73" s="1065">
        <v>10</v>
      </c>
      <c r="BL73" s="1034"/>
      <c r="BM73" s="1391">
        <v>43459</v>
      </c>
      <c r="BN73" s="1397" t="s">
        <v>11372</v>
      </c>
      <c r="BO73" s="1413">
        <v>30</v>
      </c>
      <c r="BP73" s="1399"/>
      <c r="BQ73" s="1391">
        <v>43821</v>
      </c>
      <c r="BR73" s="1393" t="s">
        <v>872</v>
      </c>
      <c r="BS73" s="1409">
        <v>8</v>
      </c>
      <c r="BT73" s="1392" t="s">
        <v>414</v>
      </c>
      <c r="BU73" s="1391">
        <v>44183</v>
      </c>
      <c r="BV73" s="1393" t="s">
        <v>11373</v>
      </c>
      <c r="BW73" s="1406">
        <v>385</v>
      </c>
      <c r="BX73" s="1392" t="s">
        <v>426</v>
      </c>
      <c r="BY73" s="1391">
        <v>44551</v>
      </c>
      <c r="BZ73" s="1393" t="s">
        <v>11374</v>
      </c>
      <c r="CA73" s="1406">
        <v>11</v>
      </c>
      <c r="CB73" s="1392" t="s">
        <v>278</v>
      </c>
      <c r="CC73" s="1391">
        <v>44916</v>
      </c>
      <c r="CD73" s="1393" t="s">
        <v>11375</v>
      </c>
      <c r="CE73" s="1406">
        <v>5</v>
      </c>
      <c r="CF73" s="1392" t="s">
        <v>414</v>
      </c>
      <c r="CG73" s="1391">
        <v>45284</v>
      </c>
      <c r="CH73" s="1393" t="s">
        <v>11376</v>
      </c>
      <c r="CI73" s="1406">
        <v>15</v>
      </c>
      <c r="CJ73" s="1392" t="s">
        <v>700</v>
      </c>
      <c r="CK73" s="1391">
        <v>45657</v>
      </c>
      <c r="CL73" s="1393" t="s">
        <v>11377</v>
      </c>
      <c r="CM73" s="2042">
        <v>276</v>
      </c>
      <c r="CN73" s="1392" t="s">
        <v>284</v>
      </c>
    </row>
    <row r="74" spans="1:92" ht="13.5">
      <c r="A74" s="1077"/>
      <c r="B74" s="1040"/>
      <c r="C74" s="1036"/>
      <c r="D74" s="1034"/>
      <c r="E74" s="1017">
        <v>37981</v>
      </c>
      <c r="F74" s="1040" t="s">
        <v>11378</v>
      </c>
      <c r="G74" s="1036">
        <v>6</v>
      </c>
      <c r="H74" s="1034"/>
      <c r="I74" s="1017"/>
      <c r="J74" s="1040"/>
      <c r="K74" s="1036"/>
      <c r="L74" s="1034"/>
      <c r="M74" s="1017"/>
      <c r="N74" s="1040"/>
      <c r="O74" s="1036"/>
      <c r="P74" s="1034"/>
      <c r="Q74" s="1017"/>
      <c r="R74" s="1040"/>
      <c r="S74" s="1036"/>
      <c r="T74" s="1034"/>
      <c r="U74" s="1017"/>
      <c r="V74" s="1040"/>
      <c r="W74" s="1036"/>
      <c r="X74" s="1034"/>
      <c r="Y74" s="1017"/>
      <c r="Z74" s="1040"/>
      <c r="AA74" s="1043"/>
      <c r="AB74" s="1034"/>
      <c r="AC74" s="1017"/>
      <c r="AD74" s="1040"/>
      <c r="AE74" s="1043"/>
      <c r="AF74" s="1034"/>
      <c r="AG74" s="1017">
        <v>40905</v>
      </c>
      <c r="AH74" s="1040" t="s">
        <v>11379</v>
      </c>
      <c r="AI74" s="1104">
        <v>12</v>
      </c>
      <c r="AJ74" s="1034"/>
      <c r="AK74" s="1017"/>
      <c r="AL74" s="1040"/>
      <c r="AM74" s="1104"/>
      <c r="AN74" s="1034"/>
      <c r="AO74" s="1017">
        <v>41270</v>
      </c>
      <c r="AP74" s="1040" t="s">
        <v>787</v>
      </c>
      <c r="AQ74" s="1104">
        <v>36</v>
      </c>
      <c r="AR74" s="1034"/>
      <c r="AS74" s="1017">
        <v>41635</v>
      </c>
      <c r="AT74" s="1040" t="s">
        <v>754</v>
      </c>
      <c r="AU74" s="1104">
        <v>35</v>
      </c>
      <c r="AV74" s="1049"/>
      <c r="AW74" s="1017">
        <v>42002</v>
      </c>
      <c r="AX74" s="1019" t="s">
        <v>781</v>
      </c>
      <c r="AY74" s="1104">
        <v>26</v>
      </c>
      <c r="AZ74" s="1118"/>
      <c r="BA74" s="1017">
        <v>42364</v>
      </c>
      <c r="BB74" s="1019" t="s">
        <v>855</v>
      </c>
      <c r="BC74" s="1104">
        <v>7</v>
      </c>
      <c r="BD74" s="1118"/>
      <c r="BE74" s="1017">
        <v>42730</v>
      </c>
      <c r="BF74" s="1019" t="s">
        <v>11380</v>
      </c>
      <c r="BG74" s="1063">
        <v>5</v>
      </c>
      <c r="BH74" s="1118"/>
      <c r="BI74" s="1017">
        <v>43090</v>
      </c>
      <c r="BJ74" s="1040" t="s">
        <v>890</v>
      </c>
      <c r="BK74" s="1065">
        <v>5</v>
      </c>
      <c r="BL74" s="1034"/>
      <c r="BM74" s="1391">
        <v>43459</v>
      </c>
      <c r="BN74" s="1397" t="s">
        <v>10625</v>
      </c>
      <c r="BO74" s="1413">
        <v>15</v>
      </c>
      <c r="BP74" s="1399"/>
      <c r="BQ74" s="1391">
        <v>43821</v>
      </c>
      <c r="BR74" s="1393" t="s">
        <v>772</v>
      </c>
      <c r="BS74" s="1409">
        <v>8</v>
      </c>
      <c r="BT74" s="1392" t="s">
        <v>414</v>
      </c>
      <c r="BU74" s="1391">
        <v>44183</v>
      </c>
      <c r="BV74" s="1393" t="s">
        <v>11381</v>
      </c>
      <c r="BW74" s="1406">
        <v>0</v>
      </c>
      <c r="BX74" s="1392" t="s">
        <v>280</v>
      </c>
      <c r="BY74" s="1391">
        <v>44552</v>
      </c>
      <c r="BZ74" s="1393" t="s">
        <v>11382</v>
      </c>
      <c r="CA74" s="1406">
        <v>35</v>
      </c>
      <c r="CB74" s="1392" t="s">
        <v>278</v>
      </c>
      <c r="CC74" s="1391">
        <v>44916</v>
      </c>
      <c r="CD74" s="1393" t="s">
        <v>11383</v>
      </c>
      <c r="CE74" s="1406">
        <v>30</v>
      </c>
      <c r="CF74" s="1392" t="s">
        <v>693</v>
      </c>
      <c r="CG74" s="1391">
        <v>45287</v>
      </c>
      <c r="CH74" s="1393" t="s">
        <v>845</v>
      </c>
      <c r="CI74" s="1406">
        <v>66</v>
      </c>
      <c r="CJ74" s="1392" t="s">
        <v>414</v>
      </c>
      <c r="CK74" s="1391">
        <v>46022</v>
      </c>
      <c r="CL74" s="1393" t="s">
        <v>11384</v>
      </c>
      <c r="CM74" s="2042"/>
      <c r="CN74" s="1392"/>
    </row>
    <row r="75" spans="1:92" ht="13.5">
      <c r="A75" s="1077"/>
      <c r="B75" s="1040"/>
      <c r="C75" s="1036"/>
      <c r="D75" s="1034"/>
      <c r="E75" s="1017">
        <v>37981</v>
      </c>
      <c r="F75" s="1040" t="s">
        <v>1878</v>
      </c>
      <c r="G75" s="1036">
        <v>10</v>
      </c>
      <c r="H75" s="1034"/>
      <c r="I75" s="1017"/>
      <c r="J75" s="1040"/>
      <c r="K75" s="1036"/>
      <c r="L75" s="1034"/>
      <c r="M75" s="1017"/>
      <c r="N75" s="1040"/>
      <c r="O75" s="1036"/>
      <c r="P75" s="1034"/>
      <c r="Q75" s="1017"/>
      <c r="R75" s="1040"/>
      <c r="S75" s="1036"/>
      <c r="T75" s="1034"/>
      <c r="U75" s="1017"/>
      <c r="V75" s="1040"/>
      <c r="W75" s="1036"/>
      <c r="X75" s="1034"/>
      <c r="Y75" s="1017"/>
      <c r="Z75" s="1040"/>
      <c r="AA75" s="1043"/>
      <c r="AB75" s="1034"/>
      <c r="AC75" s="1017"/>
      <c r="AD75" s="1040"/>
      <c r="AE75" s="1043"/>
      <c r="AF75" s="1034"/>
      <c r="AG75" s="1017">
        <v>40905</v>
      </c>
      <c r="AH75" s="1040" t="s">
        <v>11385</v>
      </c>
      <c r="AI75" s="1104">
        <v>6</v>
      </c>
      <c r="AJ75" s="1034"/>
      <c r="AK75" s="1017"/>
      <c r="AL75" s="1040"/>
      <c r="AM75" s="1104"/>
      <c r="AN75" s="1034"/>
      <c r="AO75" s="1017">
        <v>41639</v>
      </c>
      <c r="AP75" s="1040" t="s">
        <v>867</v>
      </c>
      <c r="AQ75" s="1104">
        <v>112</v>
      </c>
      <c r="AR75" s="1034"/>
      <c r="AS75" s="1017">
        <v>41636</v>
      </c>
      <c r="AT75" s="1040" t="s">
        <v>11386</v>
      </c>
      <c r="AU75" s="1104">
        <v>11</v>
      </c>
      <c r="AV75" s="1049"/>
      <c r="AW75" s="1017">
        <v>42002</v>
      </c>
      <c r="AX75" s="1019" t="s">
        <v>11387</v>
      </c>
      <c r="AY75" s="1104">
        <v>55</v>
      </c>
      <c r="AZ75" s="1118"/>
      <c r="BA75" s="1017">
        <v>42365</v>
      </c>
      <c r="BB75" s="1019" t="s">
        <v>11388</v>
      </c>
      <c r="BC75" s="1104">
        <v>19</v>
      </c>
      <c r="BD75" s="1118"/>
      <c r="BE75" s="1017">
        <v>42730</v>
      </c>
      <c r="BF75" s="1019" t="s">
        <v>797</v>
      </c>
      <c r="BG75" s="1063">
        <v>37</v>
      </c>
      <c r="BH75" s="1118"/>
      <c r="BI75" s="1017">
        <v>43090</v>
      </c>
      <c r="BJ75" s="1040" t="s">
        <v>11389</v>
      </c>
      <c r="BK75" s="1065">
        <v>10</v>
      </c>
      <c r="BL75" s="1034"/>
      <c r="BM75" s="1391">
        <v>43461</v>
      </c>
      <c r="BN75" s="1397" t="s">
        <v>11390</v>
      </c>
      <c r="BO75" s="1413">
        <v>20</v>
      </c>
      <c r="BP75" s="1399"/>
      <c r="BQ75" s="1391">
        <v>43821</v>
      </c>
      <c r="BR75" s="1393" t="s">
        <v>11391</v>
      </c>
      <c r="BS75" s="1409">
        <v>8</v>
      </c>
      <c r="BT75" s="1392" t="s">
        <v>414</v>
      </c>
      <c r="BU75" s="1391">
        <v>44184</v>
      </c>
      <c r="BV75" s="1393" t="s">
        <v>845</v>
      </c>
      <c r="BW75" s="1406">
        <v>47</v>
      </c>
      <c r="BX75" s="1392" t="s">
        <v>414</v>
      </c>
      <c r="BY75" s="1391">
        <v>44552</v>
      </c>
      <c r="BZ75" s="1393" t="s">
        <v>11392</v>
      </c>
      <c r="CA75" s="1406">
        <v>7</v>
      </c>
      <c r="CB75" s="1392" t="s">
        <v>278</v>
      </c>
      <c r="CC75" s="1391">
        <v>44918</v>
      </c>
      <c r="CD75" s="1393" t="s">
        <v>1180</v>
      </c>
      <c r="CE75" s="1406">
        <v>120</v>
      </c>
      <c r="CF75" s="1392" t="s">
        <v>410</v>
      </c>
      <c r="CG75" s="1391">
        <v>45287</v>
      </c>
      <c r="CH75" s="1393" t="s">
        <v>781</v>
      </c>
      <c r="CI75" s="1406">
        <v>17</v>
      </c>
      <c r="CJ75" s="1392" t="s">
        <v>414</v>
      </c>
      <c r="CK75" s="1391">
        <v>46022</v>
      </c>
      <c r="CL75" s="1393" t="s">
        <v>11393</v>
      </c>
      <c r="CM75" s="2042">
        <v>520</v>
      </c>
      <c r="CN75" s="1392" t="s">
        <v>381</v>
      </c>
    </row>
    <row r="76" spans="1:92" ht="13.5">
      <c r="A76" s="1077"/>
      <c r="B76" s="1040"/>
      <c r="C76" s="1036"/>
      <c r="D76" s="1034"/>
      <c r="E76" s="1017">
        <v>37981</v>
      </c>
      <c r="F76" s="1040" t="s">
        <v>11394</v>
      </c>
      <c r="G76" s="1036">
        <v>3</v>
      </c>
      <c r="H76" s="1034"/>
      <c r="I76" s="1017"/>
      <c r="J76" s="1040"/>
      <c r="K76" s="1036"/>
      <c r="L76" s="1034"/>
      <c r="M76" s="1017"/>
      <c r="N76" s="1040"/>
      <c r="O76" s="1036"/>
      <c r="P76" s="1034"/>
      <c r="Q76" s="1017"/>
      <c r="R76" s="1040"/>
      <c r="S76" s="1036"/>
      <c r="T76" s="1034"/>
      <c r="U76" s="1017"/>
      <c r="V76" s="1040"/>
      <c r="W76" s="1036"/>
      <c r="X76" s="1034"/>
      <c r="Y76" s="1017"/>
      <c r="Z76" s="1040"/>
      <c r="AA76" s="1043"/>
      <c r="AB76" s="1034"/>
      <c r="AC76" s="1017"/>
      <c r="AD76" s="1040"/>
      <c r="AE76" s="1043"/>
      <c r="AF76" s="1034"/>
      <c r="AG76" s="1017"/>
      <c r="AH76" s="1040"/>
      <c r="AI76" s="1043"/>
      <c r="AJ76" s="1034"/>
      <c r="AK76" s="1017"/>
      <c r="AL76" s="1040"/>
      <c r="AM76" s="1104"/>
      <c r="AN76" s="1034"/>
      <c r="AO76" s="1017">
        <v>41639</v>
      </c>
      <c r="AP76" s="1040" t="s">
        <v>781</v>
      </c>
      <c r="AQ76" s="1104">
        <v>30</v>
      </c>
      <c r="AR76" s="1034"/>
      <c r="AS76" s="1017">
        <v>41636</v>
      </c>
      <c r="AT76" s="1040" t="s">
        <v>11395</v>
      </c>
      <c r="AU76" s="1104">
        <v>14</v>
      </c>
      <c r="AV76" s="1049"/>
      <c r="AW76" s="1017">
        <v>42004</v>
      </c>
      <c r="AX76" s="1019" t="s">
        <v>754</v>
      </c>
      <c r="AY76" s="1104">
        <v>17</v>
      </c>
      <c r="AZ76" s="1118"/>
      <c r="BA76" s="1017">
        <v>42365</v>
      </c>
      <c r="BB76" s="1019" t="s">
        <v>786</v>
      </c>
      <c r="BC76" s="1104">
        <v>7</v>
      </c>
      <c r="BD76" s="1118"/>
      <c r="BE76" s="1017">
        <v>42730</v>
      </c>
      <c r="BF76" s="1019" t="s">
        <v>1180</v>
      </c>
      <c r="BG76" s="1063">
        <v>38</v>
      </c>
      <c r="BH76" s="1118"/>
      <c r="BI76" s="1017">
        <v>43090</v>
      </c>
      <c r="BJ76" s="1019" t="s">
        <v>11396</v>
      </c>
      <c r="BK76" s="1063">
        <v>24</v>
      </c>
      <c r="BL76" s="1034"/>
      <c r="BM76" s="1391">
        <v>43461</v>
      </c>
      <c r="BN76" s="1393" t="s">
        <v>11397</v>
      </c>
      <c r="BO76" s="1398">
        <v>30</v>
      </c>
      <c r="BP76" s="1399"/>
      <c r="BQ76" s="1391">
        <v>43821</v>
      </c>
      <c r="BR76" s="1393" t="s">
        <v>797</v>
      </c>
      <c r="BS76" s="1409">
        <v>57</v>
      </c>
      <c r="BT76" s="1392" t="s">
        <v>410</v>
      </c>
      <c r="BU76" s="1391">
        <v>44184</v>
      </c>
      <c r="BV76" s="1393" t="s">
        <v>1873</v>
      </c>
      <c r="BW76" s="1406">
        <v>36</v>
      </c>
      <c r="BX76" s="1392" t="s">
        <v>414</v>
      </c>
      <c r="BY76" s="1391">
        <v>44552</v>
      </c>
      <c r="BZ76" s="1393" t="s">
        <v>845</v>
      </c>
      <c r="CA76" s="1406">
        <v>18</v>
      </c>
      <c r="CB76" s="1392" t="s">
        <v>278</v>
      </c>
      <c r="CC76" s="1391">
        <v>44918</v>
      </c>
      <c r="CD76" s="1393" t="s">
        <v>11398</v>
      </c>
      <c r="CE76" s="1406" t="s">
        <v>37</v>
      </c>
      <c r="CF76" s="1392"/>
      <c r="CG76" s="1391">
        <v>45287</v>
      </c>
      <c r="CH76" s="1393" t="s">
        <v>11399</v>
      </c>
      <c r="CI76" s="1406">
        <v>76</v>
      </c>
      <c r="CJ76" s="1392" t="s">
        <v>414</v>
      </c>
      <c r="CK76" s="1391">
        <v>46022</v>
      </c>
      <c r="CL76" s="1393" t="s">
        <v>11400</v>
      </c>
      <c r="CM76" s="2042">
        <f>SUM(CM46:CM51)+ SUM(CM53:CM55)+CM59</f>
        <v>212</v>
      </c>
      <c r="CN76" s="1392" t="s">
        <v>278</v>
      </c>
    </row>
    <row r="77" spans="1:92" ht="13.5">
      <c r="A77" s="1077"/>
      <c r="B77" s="1040"/>
      <c r="C77" s="1036"/>
      <c r="D77" s="1034"/>
      <c r="E77" s="1017">
        <v>37981</v>
      </c>
      <c r="F77" s="1040" t="s">
        <v>11401</v>
      </c>
      <c r="G77" s="1036">
        <v>13</v>
      </c>
      <c r="H77" s="1034"/>
      <c r="I77" s="1017"/>
      <c r="J77" s="1040"/>
      <c r="K77" s="1036"/>
      <c r="L77" s="1034"/>
      <c r="M77" s="1017"/>
      <c r="N77" s="1040"/>
      <c r="O77" s="1036"/>
      <c r="P77" s="1034"/>
      <c r="Q77" s="1017"/>
      <c r="R77" s="1040"/>
      <c r="S77" s="1036"/>
      <c r="T77" s="1034"/>
      <c r="U77" s="1017"/>
      <c r="V77" s="1040"/>
      <c r="W77" s="1036"/>
      <c r="X77" s="1034"/>
      <c r="Y77" s="1017"/>
      <c r="Z77" s="1040"/>
      <c r="AA77" s="1043"/>
      <c r="AB77" s="1034"/>
      <c r="AC77" s="1017"/>
      <c r="AD77" s="1040"/>
      <c r="AE77" s="1043"/>
      <c r="AF77" s="1034"/>
      <c r="AG77" s="1017"/>
      <c r="AH77" s="1040"/>
      <c r="AI77" s="1043"/>
      <c r="AJ77" s="1034"/>
      <c r="AK77" s="1017"/>
      <c r="AL77" s="1040"/>
      <c r="AM77" s="1104"/>
      <c r="AN77" s="1034"/>
      <c r="AO77" s="1017">
        <v>41639</v>
      </c>
      <c r="AP77" s="1040" t="s">
        <v>787</v>
      </c>
      <c r="AQ77" s="1104">
        <v>43</v>
      </c>
      <c r="AR77" s="1034"/>
      <c r="AS77" s="1017">
        <v>41637</v>
      </c>
      <c r="AT77" s="1040" t="s">
        <v>11402</v>
      </c>
      <c r="AU77" s="1104">
        <v>11</v>
      </c>
      <c r="AV77" s="1049"/>
      <c r="AW77" s="1017"/>
      <c r="AX77" s="1019" t="s">
        <v>670</v>
      </c>
      <c r="AY77" s="1104"/>
      <c r="AZ77" s="1118"/>
      <c r="BA77" s="1017">
        <v>42366</v>
      </c>
      <c r="BB77" s="1019" t="s">
        <v>4490</v>
      </c>
      <c r="BC77" s="1104">
        <v>32</v>
      </c>
      <c r="BD77" s="1118"/>
      <c r="BE77" s="1017">
        <v>42730</v>
      </c>
      <c r="BF77" s="1019" t="s">
        <v>11403</v>
      </c>
      <c r="BG77" s="1063">
        <v>7</v>
      </c>
      <c r="BH77" s="1118"/>
      <c r="BI77" s="1017">
        <v>43090</v>
      </c>
      <c r="BJ77" s="1019" t="s">
        <v>11404</v>
      </c>
      <c r="BK77" s="1063">
        <v>17</v>
      </c>
      <c r="BL77" s="1034"/>
      <c r="BM77" s="1391">
        <v>43462</v>
      </c>
      <c r="BN77" s="1393" t="s">
        <v>11405</v>
      </c>
      <c r="BO77" s="1398">
        <v>10</v>
      </c>
      <c r="BP77" s="1399"/>
      <c r="BQ77" s="1391">
        <v>43821</v>
      </c>
      <c r="BR77" s="1393" t="s">
        <v>781</v>
      </c>
      <c r="BS77" s="1409">
        <v>25</v>
      </c>
      <c r="BT77" s="1392" t="s">
        <v>414</v>
      </c>
      <c r="BU77" s="1391">
        <v>44184</v>
      </c>
      <c r="BV77" s="1393" t="s">
        <v>772</v>
      </c>
      <c r="BW77" s="1406">
        <v>37</v>
      </c>
      <c r="BX77" s="1392" t="s">
        <v>414</v>
      </c>
      <c r="BY77" s="1391">
        <v>44552</v>
      </c>
      <c r="BZ77" s="1393" t="s">
        <v>11374</v>
      </c>
      <c r="CA77" s="1406">
        <v>15</v>
      </c>
      <c r="CB77" s="1392" t="s">
        <v>278</v>
      </c>
      <c r="CC77" s="1391">
        <v>44919</v>
      </c>
      <c r="CD77" s="1393" t="s">
        <v>781</v>
      </c>
      <c r="CE77" s="1406">
        <v>57</v>
      </c>
      <c r="CF77" s="1392" t="s">
        <v>414</v>
      </c>
      <c r="CG77" s="1391">
        <v>45288</v>
      </c>
      <c r="CH77" s="1393" t="s">
        <v>11406</v>
      </c>
      <c r="CI77" s="1406">
        <v>37</v>
      </c>
      <c r="CJ77" s="1392" t="s">
        <v>707</v>
      </c>
      <c r="CK77" s="1391"/>
      <c r="CL77" s="1393"/>
      <c r="CM77" s="2042"/>
      <c r="CN77" s="1392"/>
    </row>
    <row r="78" spans="1:92" ht="13.5">
      <c r="A78" s="1077"/>
      <c r="B78" s="1040"/>
      <c r="C78" s="1036"/>
      <c r="D78" s="1034"/>
      <c r="E78" s="1017">
        <v>37981</v>
      </c>
      <c r="F78" s="1040" t="s">
        <v>1224</v>
      </c>
      <c r="G78" s="1036">
        <v>3</v>
      </c>
      <c r="H78" s="1034"/>
      <c r="I78" s="1017"/>
      <c r="J78" s="1040"/>
      <c r="K78" s="1036"/>
      <c r="L78" s="1034"/>
      <c r="M78" s="1017"/>
      <c r="N78" s="1040"/>
      <c r="O78" s="1036"/>
      <c r="P78" s="1034"/>
      <c r="Q78" s="1017"/>
      <c r="R78" s="1040"/>
      <c r="S78" s="1036"/>
      <c r="T78" s="1034"/>
      <c r="U78" s="1017"/>
      <c r="V78" s="1040"/>
      <c r="W78" s="1036"/>
      <c r="X78" s="1034"/>
      <c r="Y78" s="1017"/>
      <c r="Z78" s="1040"/>
      <c r="AA78" s="1043"/>
      <c r="AB78" s="1034"/>
      <c r="AC78" s="1017"/>
      <c r="AD78" s="1040"/>
      <c r="AE78" s="1043"/>
      <c r="AF78" s="1034"/>
      <c r="AG78" s="1017"/>
      <c r="AH78" s="1040"/>
      <c r="AI78" s="1043"/>
      <c r="AJ78" s="1034"/>
      <c r="AK78" s="1017"/>
      <c r="AL78" s="1040"/>
      <c r="AM78" s="1104"/>
      <c r="AN78" s="1034"/>
      <c r="AO78" s="1017"/>
      <c r="AP78" s="1040"/>
      <c r="AQ78" s="1104"/>
      <c r="AR78" s="1034"/>
      <c r="AS78" s="1017">
        <v>41637</v>
      </c>
      <c r="AT78" s="1040" t="s">
        <v>11407</v>
      </c>
      <c r="AU78" s="1104">
        <v>42</v>
      </c>
      <c r="AV78" s="1049"/>
      <c r="AW78" s="1017"/>
      <c r="AX78" s="1019"/>
      <c r="AY78" s="1104"/>
      <c r="AZ78" s="1118"/>
      <c r="BA78" s="1017">
        <v>42366</v>
      </c>
      <c r="BB78" s="1019" t="s">
        <v>11408</v>
      </c>
      <c r="BC78" s="1104" t="s">
        <v>9943</v>
      </c>
      <c r="BD78" s="1118"/>
      <c r="BE78" s="1017">
        <v>42731</v>
      </c>
      <c r="BF78" s="1019" t="s">
        <v>11409</v>
      </c>
      <c r="BG78" s="1063">
        <v>18</v>
      </c>
      <c r="BH78" s="1118"/>
      <c r="BI78" s="1017">
        <v>43090</v>
      </c>
      <c r="BJ78" s="1019" t="s">
        <v>11410</v>
      </c>
      <c r="BK78" s="1063">
        <v>10</v>
      </c>
      <c r="BL78" s="1034"/>
      <c r="BM78" s="1391">
        <v>43462</v>
      </c>
      <c r="BN78" s="1393" t="s">
        <v>823</v>
      </c>
      <c r="BO78" s="1398">
        <v>3</v>
      </c>
      <c r="BP78" s="1399"/>
      <c r="BQ78" s="1391">
        <v>43821</v>
      </c>
      <c r="BR78" s="1393" t="s">
        <v>10793</v>
      </c>
      <c r="BS78" s="1409">
        <v>35</v>
      </c>
      <c r="BT78" s="1392" t="s">
        <v>426</v>
      </c>
      <c r="BU78" s="1391">
        <v>44184</v>
      </c>
      <c r="BV78" s="1393" t="s">
        <v>872</v>
      </c>
      <c r="BW78" s="1406">
        <v>18</v>
      </c>
      <c r="BX78" s="1392" t="s">
        <v>414</v>
      </c>
      <c r="BY78" s="1391">
        <v>44552</v>
      </c>
      <c r="BZ78" s="1393" t="s">
        <v>1180</v>
      </c>
      <c r="CA78" s="1406">
        <v>73</v>
      </c>
      <c r="CB78" s="1392" t="s">
        <v>410</v>
      </c>
      <c r="CC78" s="1391">
        <v>44919</v>
      </c>
      <c r="CD78" s="1393" t="s">
        <v>11411</v>
      </c>
      <c r="CE78" s="1406">
        <v>120</v>
      </c>
      <c r="CF78" s="1392" t="s">
        <v>701</v>
      </c>
      <c r="CG78" s="1391">
        <v>45288</v>
      </c>
      <c r="CH78" s="1393" t="s">
        <v>11412</v>
      </c>
      <c r="CI78" s="1406">
        <v>45</v>
      </c>
      <c r="CJ78" s="1392" t="s">
        <v>707</v>
      </c>
      <c r="CK78" s="1391"/>
      <c r="CL78" s="1393"/>
      <c r="CM78" s="2042"/>
      <c r="CN78" s="1392"/>
    </row>
    <row r="79" spans="1:92" ht="13.5">
      <c r="A79" s="1077"/>
      <c r="B79" s="1040"/>
      <c r="C79" s="1036"/>
      <c r="D79" s="1034"/>
      <c r="E79" s="1017">
        <v>37981</v>
      </c>
      <c r="F79" s="1040" t="s">
        <v>11413</v>
      </c>
      <c r="G79" s="1036">
        <v>7</v>
      </c>
      <c r="H79" s="1034"/>
      <c r="I79" s="1017"/>
      <c r="J79" s="1040"/>
      <c r="K79" s="1036"/>
      <c r="L79" s="1034"/>
      <c r="M79" s="1017"/>
      <c r="N79" s="1040"/>
      <c r="O79" s="1036"/>
      <c r="P79" s="1034"/>
      <c r="Q79" s="1017"/>
      <c r="R79" s="1040"/>
      <c r="S79" s="1036"/>
      <c r="T79" s="1034"/>
      <c r="U79" s="1017"/>
      <c r="V79" s="1040"/>
      <c r="W79" s="1036"/>
      <c r="X79" s="1034"/>
      <c r="Y79" s="1017"/>
      <c r="Z79" s="1040"/>
      <c r="AA79" s="1043"/>
      <c r="AB79" s="1034"/>
      <c r="AC79" s="1017"/>
      <c r="AD79" s="1040"/>
      <c r="AE79" s="1043"/>
      <c r="AF79" s="1034"/>
      <c r="AG79" s="1017"/>
      <c r="AH79" s="1040"/>
      <c r="AI79" s="1043"/>
      <c r="AJ79" s="1034"/>
      <c r="AK79" s="1017"/>
      <c r="AL79" s="1040"/>
      <c r="AM79" s="1104"/>
      <c r="AN79" s="1034"/>
      <c r="AO79" s="1017"/>
      <c r="AP79" s="1040"/>
      <c r="AQ79" s="1104"/>
      <c r="AR79" s="1034"/>
      <c r="AS79" s="1017">
        <v>41637</v>
      </c>
      <c r="AT79" s="1040" t="s">
        <v>4353</v>
      </c>
      <c r="AU79" s="1104">
        <v>23</v>
      </c>
      <c r="AV79" s="1034"/>
      <c r="AW79" s="1017"/>
      <c r="AX79" s="1019"/>
      <c r="AY79" s="1104"/>
      <c r="AZ79" s="1118"/>
      <c r="BA79" s="1017">
        <v>42366</v>
      </c>
      <c r="BB79" s="1019" t="s">
        <v>781</v>
      </c>
      <c r="BC79" s="1104">
        <v>16</v>
      </c>
      <c r="BD79" s="1118"/>
      <c r="BE79" s="1017">
        <v>42731</v>
      </c>
      <c r="BF79" s="1019" t="s">
        <v>823</v>
      </c>
      <c r="BG79" s="1063">
        <v>36</v>
      </c>
      <c r="BH79" s="1118"/>
      <c r="BI79" s="1017">
        <v>43090</v>
      </c>
      <c r="BJ79" s="1019" t="s">
        <v>4234</v>
      </c>
      <c r="BK79" s="1063">
        <v>9</v>
      </c>
      <c r="BL79" s="1034"/>
      <c r="BM79" s="1391">
        <v>43463</v>
      </c>
      <c r="BN79" s="1393" t="s">
        <v>872</v>
      </c>
      <c r="BO79" s="1398">
        <v>10</v>
      </c>
      <c r="BP79" s="1399"/>
      <c r="BQ79" s="1391">
        <v>43821</v>
      </c>
      <c r="BR79" s="1393" t="s">
        <v>2702</v>
      </c>
      <c r="BS79" s="1409">
        <v>14</v>
      </c>
      <c r="BT79" s="1392" t="s">
        <v>414</v>
      </c>
      <c r="BU79" s="1391">
        <v>44187</v>
      </c>
      <c r="BV79" s="1393" t="s">
        <v>845</v>
      </c>
      <c r="BW79" s="1406">
        <v>21</v>
      </c>
      <c r="BX79" s="1392" t="s">
        <v>414</v>
      </c>
      <c r="BY79" s="1391">
        <v>44553</v>
      </c>
      <c r="BZ79" s="1393" t="s">
        <v>11414</v>
      </c>
      <c r="CA79" s="1406">
        <v>490</v>
      </c>
      <c r="CB79" s="1392" t="s">
        <v>381</v>
      </c>
      <c r="CC79" s="1391">
        <v>44919</v>
      </c>
      <c r="CD79" s="1393" t="s">
        <v>781</v>
      </c>
      <c r="CE79" s="1406">
        <v>53</v>
      </c>
      <c r="CF79" s="1392" t="s">
        <v>414</v>
      </c>
      <c r="CG79" s="1391">
        <v>45288</v>
      </c>
      <c r="CH79" s="1393" t="s">
        <v>11415</v>
      </c>
      <c r="CI79" s="1406">
        <v>28</v>
      </c>
      <c r="CJ79" s="1392" t="s">
        <v>278</v>
      </c>
      <c r="CK79" s="1391"/>
      <c r="CL79" s="1393"/>
      <c r="CM79" s="2042"/>
      <c r="CN79" s="1392"/>
    </row>
    <row r="80" spans="1:92" ht="13.5">
      <c r="A80" s="1077"/>
      <c r="B80" s="1040"/>
      <c r="C80" s="1036"/>
      <c r="D80" s="1034"/>
      <c r="E80" s="1017">
        <v>37981</v>
      </c>
      <c r="F80" s="1040" t="s">
        <v>4592</v>
      </c>
      <c r="G80" s="1036">
        <v>7</v>
      </c>
      <c r="H80" s="1034"/>
      <c r="I80" s="1017"/>
      <c r="J80" s="1040"/>
      <c r="K80" s="1036"/>
      <c r="L80" s="1034"/>
      <c r="M80" s="1017"/>
      <c r="N80" s="1040"/>
      <c r="O80" s="1036"/>
      <c r="P80" s="1034"/>
      <c r="Q80" s="1017"/>
      <c r="R80" s="1040"/>
      <c r="S80" s="1036"/>
      <c r="T80" s="1034"/>
      <c r="U80" s="1017"/>
      <c r="V80" s="1040"/>
      <c r="W80" s="1036"/>
      <c r="X80" s="1034"/>
      <c r="Y80" s="1017"/>
      <c r="Z80" s="1040"/>
      <c r="AA80" s="1043"/>
      <c r="AB80" s="1034"/>
      <c r="AC80" s="1017"/>
      <c r="AD80" s="1040"/>
      <c r="AE80" s="1043"/>
      <c r="AF80" s="1034"/>
      <c r="AG80" s="1017"/>
      <c r="AH80" s="1040"/>
      <c r="AI80" s="1043"/>
      <c r="AJ80" s="1034"/>
      <c r="AK80" s="1017"/>
      <c r="AL80" s="1040"/>
      <c r="AM80" s="1104"/>
      <c r="AN80" s="1034"/>
      <c r="AO80" s="1017"/>
      <c r="AP80" s="1040"/>
      <c r="AQ80" s="1104"/>
      <c r="AR80" s="1034"/>
      <c r="AS80" s="1017">
        <v>41637</v>
      </c>
      <c r="AT80" s="1040" t="s">
        <v>11416</v>
      </c>
      <c r="AU80" s="1104">
        <v>2</v>
      </c>
      <c r="AV80" s="1034"/>
      <c r="AW80" s="1017"/>
      <c r="AX80" s="1019"/>
      <c r="AY80" s="1104"/>
      <c r="AZ80" s="1118"/>
      <c r="BA80" s="1017">
        <v>42366</v>
      </c>
      <c r="BB80" s="1019" t="s">
        <v>11417</v>
      </c>
      <c r="BC80" s="1104">
        <v>3</v>
      </c>
      <c r="BD80" s="1118"/>
      <c r="BE80" s="1017">
        <v>42731</v>
      </c>
      <c r="BF80" s="1019" t="s">
        <v>772</v>
      </c>
      <c r="BG80" s="1063">
        <v>55</v>
      </c>
      <c r="BH80" s="1118"/>
      <c r="BI80" s="1017">
        <v>43090</v>
      </c>
      <c r="BJ80" s="1019" t="s">
        <v>797</v>
      </c>
      <c r="BK80" s="1063">
        <v>60</v>
      </c>
      <c r="BL80" s="1118"/>
      <c r="BM80" s="1391">
        <v>43463</v>
      </c>
      <c r="BN80" s="1393" t="s">
        <v>873</v>
      </c>
      <c r="BO80" s="1398">
        <v>20</v>
      </c>
      <c r="BP80" s="1414"/>
      <c r="BQ80" s="1391">
        <v>43822</v>
      </c>
      <c r="BR80" s="1393" t="s">
        <v>11418</v>
      </c>
      <c r="BS80" s="1409" t="s">
        <v>37</v>
      </c>
      <c r="BT80" s="1392" t="s">
        <v>37</v>
      </c>
      <c r="BU80" s="1391">
        <v>44187</v>
      </c>
      <c r="BV80" s="1393" t="s">
        <v>3221</v>
      </c>
      <c r="BW80" s="1406">
        <v>8</v>
      </c>
      <c r="BX80" s="1392" t="s">
        <v>414</v>
      </c>
      <c r="BY80" s="1391">
        <v>44553</v>
      </c>
      <c r="BZ80" s="1393" t="s">
        <v>11419</v>
      </c>
      <c r="CA80" s="1406">
        <v>940</v>
      </c>
      <c r="CB80" s="1392" t="s">
        <v>381</v>
      </c>
      <c r="CC80" s="1391">
        <v>44919</v>
      </c>
      <c r="CD80" s="1393" t="s">
        <v>11420</v>
      </c>
      <c r="CE80" s="1406">
        <v>30</v>
      </c>
      <c r="CF80" s="1392" t="s">
        <v>414</v>
      </c>
      <c r="CG80" s="1391">
        <v>45288</v>
      </c>
      <c r="CH80" s="1393" t="s">
        <v>11421</v>
      </c>
      <c r="CI80" s="1406">
        <v>17</v>
      </c>
      <c r="CJ80" s="1392" t="s">
        <v>278</v>
      </c>
      <c r="CK80" s="1391"/>
      <c r="CL80" s="1393"/>
      <c r="CM80" s="2042"/>
      <c r="CN80" s="1392"/>
    </row>
    <row r="81" spans="1:92" ht="13.5">
      <c r="A81" s="1077"/>
      <c r="B81" s="1040"/>
      <c r="C81" s="1036"/>
      <c r="D81" s="1034"/>
      <c r="E81" s="1017">
        <v>37982</v>
      </c>
      <c r="F81" s="1040" t="s">
        <v>11422</v>
      </c>
      <c r="G81" s="1036">
        <v>31</v>
      </c>
      <c r="H81" s="1034"/>
      <c r="I81" s="1017"/>
      <c r="J81" s="1040"/>
      <c r="K81" s="1036"/>
      <c r="L81" s="1034"/>
      <c r="M81" s="1017"/>
      <c r="N81" s="1040"/>
      <c r="O81" s="1036"/>
      <c r="P81" s="1034"/>
      <c r="Q81" s="1017"/>
      <c r="R81" s="1040"/>
      <c r="S81" s="1036"/>
      <c r="T81" s="1034"/>
      <c r="U81" s="1017"/>
      <c r="V81" s="1040"/>
      <c r="W81" s="1036"/>
      <c r="X81" s="1034"/>
      <c r="Y81" s="1017"/>
      <c r="Z81" s="1040"/>
      <c r="AA81" s="1043"/>
      <c r="AB81" s="1034"/>
      <c r="AC81" s="1017"/>
      <c r="AD81" s="1040"/>
      <c r="AE81" s="1043"/>
      <c r="AF81" s="1034"/>
      <c r="AG81" s="1017"/>
      <c r="AH81" s="1040"/>
      <c r="AI81" s="1043"/>
      <c r="AJ81" s="1034"/>
      <c r="AK81" s="1017"/>
      <c r="AL81" s="1040"/>
      <c r="AM81" s="1104"/>
      <c r="AN81" s="1034"/>
      <c r="AO81" s="1017"/>
      <c r="AP81" s="1040"/>
      <c r="AQ81" s="1104"/>
      <c r="AR81" s="1034"/>
      <c r="AS81" s="1017">
        <v>41637</v>
      </c>
      <c r="AT81" s="1040" t="s">
        <v>11423</v>
      </c>
      <c r="AU81" s="1104">
        <v>14</v>
      </c>
      <c r="AV81" s="1034"/>
      <c r="AW81" s="1017"/>
      <c r="AX81" s="1019"/>
      <c r="AY81" s="1104"/>
      <c r="AZ81" s="1118"/>
      <c r="BA81" s="1017">
        <v>42366</v>
      </c>
      <c r="BB81" s="1019" t="s">
        <v>11424</v>
      </c>
      <c r="BC81" s="1104">
        <v>18</v>
      </c>
      <c r="BD81" s="1034"/>
      <c r="BE81" s="1017">
        <v>42731</v>
      </c>
      <c r="BF81" s="1019" t="s">
        <v>872</v>
      </c>
      <c r="BG81" s="1063">
        <v>18</v>
      </c>
      <c r="BH81" s="1034"/>
      <c r="BI81" s="1017">
        <v>43091</v>
      </c>
      <c r="BJ81" s="1019" t="s">
        <v>11425</v>
      </c>
      <c r="BK81" s="1063">
        <v>23</v>
      </c>
      <c r="BL81" s="1118"/>
      <c r="BM81" s="1391">
        <v>43463</v>
      </c>
      <c r="BN81" s="1393" t="s">
        <v>797</v>
      </c>
      <c r="BO81" s="1398">
        <v>25</v>
      </c>
      <c r="BP81" s="1414"/>
      <c r="BQ81" s="1391">
        <v>43822</v>
      </c>
      <c r="BR81" s="1393" t="s">
        <v>11426</v>
      </c>
      <c r="BS81" s="1409">
        <v>31</v>
      </c>
      <c r="BT81" s="1392" t="s">
        <v>278</v>
      </c>
      <c r="BU81" s="1391">
        <v>44187</v>
      </c>
      <c r="BV81" s="1393" t="s">
        <v>859</v>
      </c>
      <c r="BW81" s="1406">
        <v>17</v>
      </c>
      <c r="BX81" s="1392" t="s">
        <v>414</v>
      </c>
      <c r="BY81" s="1391">
        <v>44553</v>
      </c>
      <c r="BZ81" s="1393" t="s">
        <v>11427</v>
      </c>
      <c r="CA81" s="1406">
        <v>60</v>
      </c>
      <c r="CB81" s="1392" t="s">
        <v>381</v>
      </c>
      <c r="CC81" s="1391">
        <v>44919</v>
      </c>
      <c r="CD81" s="1393" t="s">
        <v>772</v>
      </c>
      <c r="CE81" s="1406">
        <v>75</v>
      </c>
      <c r="CF81" s="1392" t="s">
        <v>414</v>
      </c>
      <c r="CG81" s="1391">
        <v>45288</v>
      </c>
      <c r="CH81" s="1393" t="s">
        <v>11428</v>
      </c>
      <c r="CI81" s="1406">
        <v>37</v>
      </c>
      <c r="CJ81" s="1392" t="s">
        <v>707</v>
      </c>
      <c r="CK81" s="1391"/>
      <c r="CL81" s="1393"/>
      <c r="CM81" s="2042"/>
      <c r="CN81" s="1392"/>
    </row>
    <row r="82" spans="1:92" ht="13.5">
      <c r="A82" s="1077"/>
      <c r="B82" s="1040"/>
      <c r="C82" s="1036"/>
      <c r="D82" s="1034"/>
      <c r="E82" s="1017">
        <v>37982</v>
      </c>
      <c r="F82" s="1040" t="s">
        <v>2949</v>
      </c>
      <c r="G82" s="1036">
        <v>12</v>
      </c>
      <c r="H82" s="1034"/>
      <c r="I82" s="1017"/>
      <c r="J82" s="1040"/>
      <c r="K82" s="1036"/>
      <c r="L82" s="1034"/>
      <c r="M82" s="1017"/>
      <c r="N82" s="1040"/>
      <c r="O82" s="1036"/>
      <c r="P82" s="1034"/>
      <c r="Q82" s="1017"/>
      <c r="R82" s="1040"/>
      <c r="S82" s="1036"/>
      <c r="T82" s="1034"/>
      <c r="U82" s="1017"/>
      <c r="V82" s="1040"/>
      <c r="W82" s="1036"/>
      <c r="X82" s="1034"/>
      <c r="Y82" s="1017"/>
      <c r="Z82" s="1040"/>
      <c r="AA82" s="1043"/>
      <c r="AB82" s="1034"/>
      <c r="AC82" s="1017"/>
      <c r="AD82" s="1040"/>
      <c r="AE82" s="1043"/>
      <c r="AF82" s="1034"/>
      <c r="AG82" s="1017"/>
      <c r="AH82" s="1040"/>
      <c r="AI82" s="1043"/>
      <c r="AJ82" s="1034"/>
      <c r="AK82" s="1017"/>
      <c r="AL82" s="1040"/>
      <c r="AM82" s="1043"/>
      <c r="AN82" s="1034"/>
      <c r="AO82" s="1017"/>
      <c r="AP82" s="1040"/>
      <c r="AQ82" s="1104"/>
      <c r="AR82" s="1034"/>
      <c r="AS82" s="1017">
        <v>41637</v>
      </c>
      <c r="AT82" s="1040" t="s">
        <v>781</v>
      </c>
      <c r="AU82" s="1043">
        <v>10</v>
      </c>
      <c r="AV82" s="1034"/>
      <c r="AW82" s="1017"/>
      <c r="AX82" s="1019"/>
      <c r="AY82" s="1104"/>
      <c r="AZ82" s="1118"/>
      <c r="BA82" s="1017">
        <v>42366</v>
      </c>
      <c r="BB82" s="1019" t="s">
        <v>11429</v>
      </c>
      <c r="BC82" s="1043">
        <v>25</v>
      </c>
      <c r="BD82" s="1034"/>
      <c r="BE82" s="1017">
        <v>42731</v>
      </c>
      <c r="BF82" s="1019" t="s">
        <v>11430</v>
      </c>
      <c r="BG82" s="1063">
        <v>33</v>
      </c>
      <c r="BH82" s="1034"/>
      <c r="BI82" s="1017">
        <v>43091</v>
      </c>
      <c r="BJ82" s="1019" t="s">
        <v>772</v>
      </c>
      <c r="BK82" s="1063">
        <v>40</v>
      </c>
      <c r="BL82" s="1118"/>
      <c r="BM82" s="1391">
        <v>43463</v>
      </c>
      <c r="BN82" s="1393" t="s">
        <v>867</v>
      </c>
      <c r="BO82" s="1398">
        <v>25</v>
      </c>
      <c r="BP82" s="1414"/>
      <c r="BQ82" s="1391">
        <v>43822</v>
      </c>
      <c r="BR82" s="1393" t="s">
        <v>11431</v>
      </c>
      <c r="BS82" s="1409">
        <v>21</v>
      </c>
      <c r="BT82" s="1392" t="s">
        <v>278</v>
      </c>
      <c r="BU82" s="1391">
        <v>44187</v>
      </c>
      <c r="BV82" s="1393" t="s">
        <v>2079</v>
      </c>
      <c r="BW82" s="1406">
        <v>5</v>
      </c>
      <c r="BX82" s="1392" t="s">
        <v>414</v>
      </c>
      <c r="BY82" s="1391">
        <v>44553</v>
      </c>
      <c r="BZ82" s="1393" t="s">
        <v>11432</v>
      </c>
      <c r="CA82" s="1406">
        <v>80</v>
      </c>
      <c r="CB82" s="1392" t="s">
        <v>381</v>
      </c>
      <c r="CC82" s="1391">
        <v>44919</v>
      </c>
      <c r="CD82" s="1393" t="s">
        <v>872</v>
      </c>
      <c r="CE82" s="1406">
        <v>21</v>
      </c>
      <c r="CF82" s="1392" t="s">
        <v>414</v>
      </c>
      <c r="CG82" s="1391">
        <v>45288</v>
      </c>
      <c r="CH82" s="1430" t="s">
        <v>11433</v>
      </c>
      <c r="CI82" s="1406">
        <v>30</v>
      </c>
      <c r="CJ82" s="1392" t="s">
        <v>278</v>
      </c>
      <c r="CK82" s="1391"/>
      <c r="CL82" s="1393"/>
      <c r="CM82" s="2042"/>
      <c r="CN82" s="1392"/>
    </row>
    <row r="83" spans="1:92" ht="13.5">
      <c r="A83" s="1077"/>
      <c r="B83" s="1040"/>
      <c r="C83" s="1036"/>
      <c r="D83" s="1034"/>
      <c r="E83" s="1017">
        <v>37982</v>
      </c>
      <c r="F83" s="1040" t="s">
        <v>11434</v>
      </c>
      <c r="G83" s="1036">
        <v>4</v>
      </c>
      <c r="H83" s="1034"/>
      <c r="I83" s="1017"/>
      <c r="J83" s="1040"/>
      <c r="K83" s="1036"/>
      <c r="L83" s="1034"/>
      <c r="M83" s="1017"/>
      <c r="N83" s="1040"/>
      <c r="O83" s="1036"/>
      <c r="P83" s="1034"/>
      <c r="Q83" s="1017"/>
      <c r="R83" s="1040"/>
      <c r="S83" s="1036"/>
      <c r="T83" s="1034"/>
      <c r="U83" s="1017"/>
      <c r="V83" s="1040"/>
      <c r="W83" s="1036"/>
      <c r="X83" s="1034"/>
      <c r="Y83" s="1017"/>
      <c r="Z83" s="1040"/>
      <c r="AA83" s="1043"/>
      <c r="AB83" s="1034"/>
      <c r="AC83" s="1017"/>
      <c r="AD83" s="1040"/>
      <c r="AE83" s="1043"/>
      <c r="AF83" s="1034"/>
      <c r="AG83" s="1017"/>
      <c r="AH83" s="1040"/>
      <c r="AI83" s="1043"/>
      <c r="AJ83" s="1034"/>
      <c r="AK83" s="1017"/>
      <c r="AL83" s="1040"/>
      <c r="AM83" s="1043"/>
      <c r="AN83" s="1034"/>
      <c r="AO83" s="1017"/>
      <c r="AP83" s="1040"/>
      <c r="AQ83" s="1104"/>
      <c r="AR83" s="1034"/>
      <c r="AS83" s="1017">
        <v>42003</v>
      </c>
      <c r="AT83" s="1040" t="s">
        <v>11435</v>
      </c>
      <c r="AU83" s="1043">
        <v>11</v>
      </c>
      <c r="AV83" s="1034"/>
      <c r="AW83" s="1017"/>
      <c r="AX83" s="1019"/>
      <c r="AY83" s="1104"/>
      <c r="AZ83" s="1118"/>
      <c r="BA83" s="1017">
        <v>42367</v>
      </c>
      <c r="BB83" s="1019" t="s">
        <v>11436</v>
      </c>
      <c r="BC83" s="1043">
        <v>30</v>
      </c>
      <c r="BD83" s="1034"/>
      <c r="BE83" s="1017">
        <v>42731</v>
      </c>
      <c r="BF83" s="1019" t="s">
        <v>11437</v>
      </c>
      <c r="BG83" s="1063">
        <v>9</v>
      </c>
      <c r="BH83" s="1034"/>
      <c r="BI83" s="1017">
        <v>43091</v>
      </c>
      <c r="BJ83" s="1019" t="s">
        <v>873</v>
      </c>
      <c r="BK83" s="1063">
        <v>30</v>
      </c>
      <c r="BL83" s="1118"/>
      <c r="BM83" s="1391">
        <v>43463</v>
      </c>
      <c r="BN83" s="1393" t="s">
        <v>11438</v>
      </c>
      <c r="BO83" s="1398">
        <v>15</v>
      </c>
      <c r="BP83" s="1414"/>
      <c r="BQ83" s="1391">
        <v>43822</v>
      </c>
      <c r="BR83" s="1393" t="s">
        <v>11439</v>
      </c>
      <c r="BS83" s="1409" t="s">
        <v>37</v>
      </c>
      <c r="BT83" s="1409" t="s">
        <v>37</v>
      </c>
      <c r="BU83" s="1391">
        <v>44187</v>
      </c>
      <c r="BV83" s="1393" t="s">
        <v>2888</v>
      </c>
      <c r="BW83" s="1406">
        <v>91</v>
      </c>
      <c r="BX83" s="1392" t="s">
        <v>414</v>
      </c>
      <c r="BY83" s="1391">
        <v>44553</v>
      </c>
      <c r="BZ83" s="1393" t="s">
        <v>11432</v>
      </c>
      <c r="CA83" s="1406">
        <v>80</v>
      </c>
      <c r="CB83" s="1392" t="s">
        <v>381</v>
      </c>
      <c r="CC83" s="1391">
        <v>44919</v>
      </c>
      <c r="CD83" s="1393" t="s">
        <v>11420</v>
      </c>
      <c r="CE83" s="1406">
        <v>18</v>
      </c>
      <c r="CF83" s="1392" t="s">
        <v>414</v>
      </c>
      <c r="CG83" s="1391">
        <v>45288</v>
      </c>
      <c r="CH83" s="1430" t="s">
        <v>11440</v>
      </c>
      <c r="CI83" s="1406">
        <v>35</v>
      </c>
      <c r="CJ83" s="1392" t="s">
        <v>278</v>
      </c>
      <c r="CK83" s="1391"/>
      <c r="CL83" s="1393"/>
      <c r="CM83" s="2042"/>
      <c r="CN83" s="1392"/>
    </row>
    <row r="84" spans="1:92" ht="13.5">
      <c r="A84" s="1077"/>
      <c r="B84" s="1040"/>
      <c r="C84" s="1036"/>
      <c r="D84" s="1034"/>
      <c r="E84" s="1017">
        <v>37982</v>
      </c>
      <c r="F84" s="1040" t="s">
        <v>11441</v>
      </c>
      <c r="G84" s="1036">
        <v>21</v>
      </c>
      <c r="H84" s="1034"/>
      <c r="I84" s="1017"/>
      <c r="J84" s="1040"/>
      <c r="K84" s="1036"/>
      <c r="L84" s="1034"/>
      <c r="M84" s="1017"/>
      <c r="N84" s="1040"/>
      <c r="O84" s="1036"/>
      <c r="P84" s="1034"/>
      <c r="Q84" s="1017"/>
      <c r="R84" s="1040"/>
      <c r="S84" s="1036"/>
      <c r="T84" s="1034"/>
      <c r="U84" s="1017"/>
      <c r="V84" s="1040"/>
      <c r="W84" s="1036"/>
      <c r="X84" s="1034"/>
      <c r="Y84" s="1017"/>
      <c r="Z84" s="1040"/>
      <c r="AA84" s="1043"/>
      <c r="AB84" s="1034"/>
      <c r="AC84" s="1017"/>
      <c r="AD84" s="1040"/>
      <c r="AE84" s="1043"/>
      <c r="AF84" s="1034"/>
      <c r="AG84" s="1017"/>
      <c r="AH84" s="1040"/>
      <c r="AI84" s="1043"/>
      <c r="AJ84" s="1034"/>
      <c r="AK84" s="1017"/>
      <c r="AL84" s="1040"/>
      <c r="AM84" s="1043"/>
      <c r="AN84" s="1034"/>
      <c r="AO84" s="1017"/>
      <c r="AP84" s="1040"/>
      <c r="AQ84" s="1104"/>
      <c r="AR84" s="1034"/>
      <c r="AS84" s="1017">
        <v>42003</v>
      </c>
      <c r="AT84" s="1040" t="s">
        <v>11442</v>
      </c>
      <c r="AU84" s="1043">
        <v>23</v>
      </c>
      <c r="AV84" s="1034"/>
      <c r="AW84" s="1017"/>
      <c r="AX84" s="1019"/>
      <c r="AY84" s="1104"/>
      <c r="AZ84" s="1118"/>
      <c r="BA84" s="1017">
        <v>42367</v>
      </c>
      <c r="BB84" s="1019" t="s">
        <v>11443</v>
      </c>
      <c r="BC84" s="1043">
        <v>81</v>
      </c>
      <c r="BD84" s="1034"/>
      <c r="BE84" s="1017">
        <v>42732</v>
      </c>
      <c r="BF84" s="1019" t="s">
        <v>859</v>
      </c>
      <c r="BG84" s="1063">
        <v>75</v>
      </c>
      <c r="BH84" s="1034"/>
      <c r="BI84" s="1017">
        <v>43091</v>
      </c>
      <c r="BJ84" s="1019" t="s">
        <v>859</v>
      </c>
      <c r="BK84" s="1063">
        <v>20</v>
      </c>
      <c r="BL84" s="1118"/>
      <c r="BM84" s="1391">
        <v>43464</v>
      </c>
      <c r="BN84" s="1393" t="s">
        <v>1688</v>
      </c>
      <c r="BO84" s="1398">
        <v>18</v>
      </c>
      <c r="BP84" s="1414"/>
      <c r="BQ84" s="1391">
        <v>43822</v>
      </c>
      <c r="BR84" s="1393" t="s">
        <v>11444</v>
      </c>
      <c r="BS84" s="1409" t="s">
        <v>37</v>
      </c>
      <c r="BT84" s="1392" t="s">
        <v>37</v>
      </c>
      <c r="BU84" s="1391">
        <v>44188</v>
      </c>
      <c r="BV84" s="1393" t="s">
        <v>843</v>
      </c>
      <c r="BW84" s="1406">
        <v>67</v>
      </c>
      <c r="BX84" s="1392" t="s">
        <v>414</v>
      </c>
      <c r="BY84" s="1391">
        <v>44553</v>
      </c>
      <c r="BZ84" s="1393" t="s">
        <v>11445</v>
      </c>
      <c r="CA84" s="1406">
        <v>30</v>
      </c>
      <c r="CB84" s="1392" t="s">
        <v>278</v>
      </c>
      <c r="CC84" s="1391">
        <v>44919</v>
      </c>
      <c r="CD84" s="1393" t="s">
        <v>11446</v>
      </c>
      <c r="CE84" s="1406">
        <v>10</v>
      </c>
      <c r="CF84" s="1392" t="s">
        <v>381</v>
      </c>
      <c r="CG84" s="1391">
        <v>45288</v>
      </c>
      <c r="CH84" s="1430" t="s">
        <v>11447</v>
      </c>
      <c r="CI84" s="1406">
        <v>5</v>
      </c>
      <c r="CJ84" s="1392" t="s">
        <v>278</v>
      </c>
      <c r="CK84" s="1391"/>
      <c r="CL84" s="1393"/>
      <c r="CM84" s="2042"/>
      <c r="CN84" s="1392"/>
    </row>
    <row r="85" spans="1:92" ht="13.5">
      <c r="A85" s="1077"/>
      <c r="B85" s="1040"/>
      <c r="C85" s="1036"/>
      <c r="D85" s="1034"/>
      <c r="E85" s="1017">
        <v>37982</v>
      </c>
      <c r="F85" s="1040" t="s">
        <v>1151</v>
      </c>
      <c r="G85" s="1036">
        <v>3</v>
      </c>
      <c r="H85" s="1034"/>
      <c r="I85" s="1017"/>
      <c r="J85" s="1040"/>
      <c r="K85" s="1036"/>
      <c r="L85" s="1034"/>
      <c r="M85" s="1017"/>
      <c r="N85" s="1040"/>
      <c r="O85" s="1036"/>
      <c r="P85" s="1034"/>
      <c r="Q85" s="1017"/>
      <c r="R85" s="1040"/>
      <c r="S85" s="1036"/>
      <c r="T85" s="1034"/>
      <c r="U85" s="1017"/>
      <c r="V85" s="1040"/>
      <c r="W85" s="1036"/>
      <c r="X85" s="1034"/>
      <c r="Y85" s="1017"/>
      <c r="Z85" s="1040"/>
      <c r="AA85" s="1043"/>
      <c r="AB85" s="1034"/>
      <c r="AC85" s="1017"/>
      <c r="AD85" s="1040"/>
      <c r="AE85" s="1043"/>
      <c r="AF85" s="1034"/>
      <c r="AG85" s="1017"/>
      <c r="AH85" s="1040"/>
      <c r="AI85" s="1043"/>
      <c r="AJ85" s="1034"/>
      <c r="AK85" s="1017"/>
      <c r="AL85" s="1040"/>
      <c r="AM85" s="1043"/>
      <c r="AN85" s="1034"/>
      <c r="AO85" s="1017"/>
      <c r="AP85" s="1040"/>
      <c r="AQ85" s="1104"/>
      <c r="AR85" s="1034"/>
      <c r="AS85" s="1017">
        <v>42004</v>
      </c>
      <c r="AT85" s="1040" t="s">
        <v>11448</v>
      </c>
      <c r="AU85" s="1043">
        <v>30</v>
      </c>
      <c r="AV85" s="1034"/>
      <c r="AW85" s="1017"/>
      <c r="AX85" s="1019"/>
      <c r="AY85" s="1104"/>
      <c r="AZ85" s="1118"/>
      <c r="BA85" s="1017">
        <v>42368</v>
      </c>
      <c r="BB85" s="1019" t="s">
        <v>11449</v>
      </c>
      <c r="BC85" s="1043">
        <v>39</v>
      </c>
      <c r="BD85" s="1034"/>
      <c r="BE85" s="1017">
        <v>42732</v>
      </c>
      <c r="BF85" s="1019" t="s">
        <v>11450</v>
      </c>
      <c r="BG85" s="1063">
        <v>5</v>
      </c>
      <c r="BH85" s="1034"/>
      <c r="BI85" s="1017">
        <v>43091</v>
      </c>
      <c r="BJ85" s="1019" t="s">
        <v>1427</v>
      </c>
      <c r="BK85" s="1063">
        <v>53</v>
      </c>
      <c r="BL85" s="1118"/>
      <c r="BM85" s="1391">
        <v>43464</v>
      </c>
      <c r="BN85" s="1393" t="s">
        <v>11451</v>
      </c>
      <c r="BO85" s="1398">
        <v>2</v>
      </c>
      <c r="BP85" s="1414"/>
      <c r="BQ85" s="1391">
        <v>43823</v>
      </c>
      <c r="BR85" s="1393" t="s">
        <v>11452</v>
      </c>
      <c r="BS85" s="1409">
        <v>14</v>
      </c>
      <c r="BT85" s="1392" t="s">
        <v>278</v>
      </c>
      <c r="BU85" s="1391">
        <v>44188</v>
      </c>
      <c r="BV85" s="1393" t="s">
        <v>872</v>
      </c>
      <c r="BW85" s="1406">
        <v>17</v>
      </c>
      <c r="BX85" s="1392" t="s">
        <v>414</v>
      </c>
      <c r="BY85" s="1391">
        <v>44553</v>
      </c>
      <c r="BZ85" s="1393" t="s">
        <v>2921</v>
      </c>
      <c r="CA85" s="1406">
        <v>30</v>
      </c>
      <c r="CB85" s="1392" t="s">
        <v>278</v>
      </c>
      <c r="CC85" s="1391">
        <v>44919</v>
      </c>
      <c r="CD85" s="1393" t="s">
        <v>11453</v>
      </c>
      <c r="CE85" s="1406">
        <v>39</v>
      </c>
      <c r="CF85" s="1392" t="s">
        <v>700</v>
      </c>
      <c r="CG85" s="1391">
        <v>45288</v>
      </c>
      <c r="CH85" s="1430" t="s">
        <v>11454</v>
      </c>
      <c r="CI85" s="1406">
        <v>9</v>
      </c>
      <c r="CJ85" s="1392" t="s">
        <v>278</v>
      </c>
      <c r="CK85" s="1391"/>
      <c r="CL85" s="1393"/>
      <c r="CM85" s="2042"/>
      <c r="CN85" s="1392"/>
    </row>
    <row r="86" spans="1:92" ht="13.5">
      <c r="A86" s="1077"/>
      <c r="B86" s="1040"/>
      <c r="C86" s="1036"/>
      <c r="D86" s="1034"/>
      <c r="E86" s="1017">
        <v>37983</v>
      </c>
      <c r="F86" s="1040" t="s">
        <v>11455</v>
      </c>
      <c r="G86" s="1036">
        <v>16</v>
      </c>
      <c r="H86" s="1034"/>
      <c r="I86" s="1017"/>
      <c r="J86" s="1040"/>
      <c r="K86" s="1036"/>
      <c r="L86" s="1034"/>
      <c r="M86" s="1017"/>
      <c r="N86" s="1040"/>
      <c r="O86" s="1036"/>
      <c r="P86" s="1034"/>
      <c r="Q86" s="1017"/>
      <c r="R86" s="1040"/>
      <c r="S86" s="1036"/>
      <c r="T86" s="1034"/>
      <c r="U86" s="1017"/>
      <c r="V86" s="1040"/>
      <c r="W86" s="1036"/>
      <c r="X86" s="1034"/>
      <c r="Y86" s="1017"/>
      <c r="Z86" s="1040"/>
      <c r="AA86" s="1043"/>
      <c r="AB86" s="1034"/>
      <c r="AC86" s="1017"/>
      <c r="AD86" s="1040"/>
      <c r="AE86" s="1043"/>
      <c r="AF86" s="1034"/>
      <c r="AG86" s="1017"/>
      <c r="AH86" s="1040"/>
      <c r="AI86" s="1043"/>
      <c r="AJ86" s="1034"/>
      <c r="AK86" s="1017"/>
      <c r="AL86" s="1040"/>
      <c r="AM86" s="1043"/>
      <c r="AN86" s="1034"/>
      <c r="AO86" s="1017"/>
      <c r="AP86" s="1040"/>
      <c r="AQ86" s="1104"/>
      <c r="AR86" s="1034"/>
      <c r="AS86" s="1017">
        <v>42004</v>
      </c>
      <c r="AT86" s="1040" t="s">
        <v>11456</v>
      </c>
      <c r="AU86" s="1043">
        <v>26</v>
      </c>
      <c r="AV86" s="1034"/>
      <c r="AW86" s="1017"/>
      <c r="AX86" s="1019"/>
      <c r="AY86" s="1104"/>
      <c r="AZ86" s="1034"/>
      <c r="BA86" s="1017">
        <v>42735</v>
      </c>
      <c r="BB86" s="1019" t="s">
        <v>11457</v>
      </c>
      <c r="BC86" s="1043">
        <v>211</v>
      </c>
      <c r="BD86" s="1034"/>
      <c r="BE86" s="1017">
        <v>42732</v>
      </c>
      <c r="BF86" s="1019" t="s">
        <v>11458</v>
      </c>
      <c r="BG86" s="1063">
        <v>21</v>
      </c>
      <c r="BH86" s="1034"/>
      <c r="BI86" s="1017">
        <v>43091</v>
      </c>
      <c r="BJ86" s="1019" t="s">
        <v>823</v>
      </c>
      <c r="BK86" s="1063">
        <v>20</v>
      </c>
      <c r="BL86" s="1118"/>
      <c r="BM86" s="1391">
        <v>43830</v>
      </c>
      <c r="BN86" s="1393" t="s">
        <v>11459</v>
      </c>
      <c r="BO86" s="1398">
        <v>36</v>
      </c>
      <c r="BP86" s="1414"/>
      <c r="BQ86" s="1391">
        <v>43823</v>
      </c>
      <c r="BR86" s="1393" t="s">
        <v>11460</v>
      </c>
      <c r="BS86" s="1409">
        <v>12</v>
      </c>
      <c r="BT86" s="1392" t="s">
        <v>458</v>
      </c>
      <c r="BU86" s="1391">
        <v>44188</v>
      </c>
      <c r="BV86" s="1393" t="s">
        <v>1873</v>
      </c>
      <c r="BW86" s="1406">
        <v>38</v>
      </c>
      <c r="BX86" s="1392" t="s">
        <v>414</v>
      </c>
      <c r="BY86" s="1391">
        <v>44553</v>
      </c>
      <c r="BZ86" s="1393" t="s">
        <v>1130</v>
      </c>
      <c r="CA86" s="1406">
        <v>12</v>
      </c>
      <c r="CB86" s="1392" t="s">
        <v>278</v>
      </c>
      <c r="CC86" s="1391">
        <v>44919</v>
      </c>
      <c r="CD86" s="1393" t="s">
        <v>11461</v>
      </c>
      <c r="CE86" s="1406">
        <v>12</v>
      </c>
      <c r="CF86" s="1392" t="s">
        <v>700</v>
      </c>
      <c r="CG86" s="1391">
        <v>45288</v>
      </c>
      <c r="CH86" s="1430" t="s">
        <v>11462</v>
      </c>
      <c r="CI86" s="1406">
        <v>15</v>
      </c>
      <c r="CJ86" s="1392" t="s">
        <v>278</v>
      </c>
      <c r="CK86" s="1391"/>
      <c r="CL86" s="1393"/>
      <c r="CM86" s="2042"/>
      <c r="CN86" s="1392"/>
    </row>
    <row r="87" spans="1:92" ht="13.5">
      <c r="A87" s="1077"/>
      <c r="B87" s="1040"/>
      <c r="C87" s="1036"/>
      <c r="D87" s="1034"/>
      <c r="E87" s="1017">
        <v>37983</v>
      </c>
      <c r="F87" s="1040" t="s">
        <v>11463</v>
      </c>
      <c r="G87" s="1036">
        <v>8</v>
      </c>
      <c r="H87" s="1034"/>
      <c r="I87" s="1017"/>
      <c r="J87" s="1040"/>
      <c r="K87" s="1036"/>
      <c r="L87" s="1034"/>
      <c r="M87" s="1017"/>
      <c r="N87" s="1040"/>
      <c r="O87" s="1036"/>
      <c r="P87" s="1034"/>
      <c r="Q87" s="1017"/>
      <c r="R87" s="1040"/>
      <c r="S87" s="1036"/>
      <c r="T87" s="1034"/>
      <c r="U87" s="1017"/>
      <c r="V87" s="1040"/>
      <c r="W87" s="1036"/>
      <c r="X87" s="1034"/>
      <c r="Y87" s="1017"/>
      <c r="Z87" s="1040"/>
      <c r="AA87" s="1043"/>
      <c r="AB87" s="1034"/>
      <c r="AC87" s="1017"/>
      <c r="AD87" s="1040"/>
      <c r="AE87" s="1043"/>
      <c r="AF87" s="1034"/>
      <c r="AG87" s="1017"/>
      <c r="AH87" s="1040"/>
      <c r="AI87" s="1043"/>
      <c r="AJ87" s="1034"/>
      <c r="AK87" s="1017"/>
      <c r="AL87" s="1040"/>
      <c r="AM87" s="1043"/>
      <c r="AN87" s="1034"/>
      <c r="AO87" s="1017"/>
      <c r="AP87" s="1040"/>
      <c r="AQ87" s="1104"/>
      <c r="AR87" s="1034"/>
      <c r="AS87" s="1017">
        <v>42004</v>
      </c>
      <c r="AT87" s="1040" t="s">
        <v>11464</v>
      </c>
      <c r="AU87" s="1043">
        <v>8</v>
      </c>
      <c r="AV87" s="1034"/>
      <c r="AW87" s="1017"/>
      <c r="AX87" s="1019"/>
      <c r="AY87" s="1043"/>
      <c r="AZ87" s="1034"/>
      <c r="BA87" s="1017">
        <v>42735</v>
      </c>
      <c r="BB87" s="1019" t="s">
        <v>11465</v>
      </c>
      <c r="BC87" s="1043">
        <v>4</v>
      </c>
      <c r="BD87" s="1034"/>
      <c r="BE87" s="1017">
        <v>42732</v>
      </c>
      <c r="BF87" s="1019" t="s">
        <v>1901</v>
      </c>
      <c r="BG87" s="1063">
        <v>44</v>
      </c>
      <c r="BH87" s="1034"/>
      <c r="BI87" s="1017">
        <v>43091</v>
      </c>
      <c r="BJ87" s="1019" t="s">
        <v>11466</v>
      </c>
      <c r="BK87" s="1063">
        <v>12</v>
      </c>
      <c r="BL87" s="1118"/>
      <c r="BM87" s="1391">
        <v>43830</v>
      </c>
      <c r="BN87" s="1393" t="s">
        <v>11467</v>
      </c>
      <c r="BO87" s="1398">
        <v>10</v>
      </c>
      <c r="BP87" s="1414"/>
      <c r="BQ87" s="1391">
        <v>43823</v>
      </c>
      <c r="BR87" s="1393" t="s">
        <v>11468</v>
      </c>
      <c r="BS87" s="1409">
        <v>16</v>
      </c>
      <c r="BT87" s="1392" t="s">
        <v>278</v>
      </c>
      <c r="BU87" s="1391">
        <v>44188</v>
      </c>
      <c r="BV87" s="1393" t="s">
        <v>11469</v>
      </c>
      <c r="BW87" s="1406">
        <v>7</v>
      </c>
      <c r="BX87" s="1392" t="s">
        <v>414</v>
      </c>
      <c r="BY87" s="1391">
        <v>44553</v>
      </c>
      <c r="BZ87" s="1393" t="s">
        <v>11470</v>
      </c>
      <c r="CA87" s="1406">
        <v>12</v>
      </c>
      <c r="CB87" s="1392" t="s">
        <v>280</v>
      </c>
      <c r="CC87" s="1391">
        <v>44919</v>
      </c>
      <c r="CD87" s="1393" t="s">
        <v>11471</v>
      </c>
      <c r="CE87" s="1406">
        <v>0</v>
      </c>
      <c r="CF87" s="1392" t="s">
        <v>280</v>
      </c>
      <c r="CG87" s="1391">
        <v>45288</v>
      </c>
      <c r="CH87" s="1430" t="s">
        <v>11472</v>
      </c>
      <c r="CI87" s="1406">
        <v>16</v>
      </c>
      <c r="CJ87" s="1392" t="s">
        <v>278</v>
      </c>
      <c r="CK87" s="1391"/>
      <c r="CL87" s="1393"/>
      <c r="CM87" s="2042"/>
      <c r="CN87" s="1392"/>
    </row>
    <row r="88" spans="1:92" ht="13.5">
      <c r="A88" s="1077"/>
      <c r="B88" s="1040"/>
      <c r="C88" s="1036"/>
      <c r="D88" s="1034"/>
      <c r="E88" s="1017">
        <v>37983</v>
      </c>
      <c r="F88" s="1040" t="s">
        <v>11473</v>
      </c>
      <c r="G88" s="1036">
        <v>3</v>
      </c>
      <c r="H88" s="1034"/>
      <c r="I88" s="1017"/>
      <c r="J88" s="1040"/>
      <c r="K88" s="1036"/>
      <c r="L88" s="1034"/>
      <c r="M88" s="1017"/>
      <c r="N88" s="1040"/>
      <c r="O88" s="1036"/>
      <c r="P88" s="1034"/>
      <c r="Q88" s="1017"/>
      <c r="R88" s="1040"/>
      <c r="S88" s="1036"/>
      <c r="T88" s="1034"/>
      <c r="U88" s="1017"/>
      <c r="V88" s="1040"/>
      <c r="W88" s="1036"/>
      <c r="X88" s="1034"/>
      <c r="Y88" s="1017"/>
      <c r="Z88" s="1040"/>
      <c r="AA88" s="1043"/>
      <c r="AB88" s="1034"/>
      <c r="AC88" s="1017"/>
      <c r="AD88" s="1040"/>
      <c r="AE88" s="1043"/>
      <c r="AF88" s="1034"/>
      <c r="AG88" s="1017"/>
      <c r="AH88" s="1040"/>
      <c r="AI88" s="1043"/>
      <c r="AJ88" s="1034"/>
      <c r="AK88" s="1017"/>
      <c r="AL88" s="1040"/>
      <c r="AM88" s="1043"/>
      <c r="AN88" s="1034"/>
      <c r="AO88" s="1017"/>
      <c r="AP88" s="1040"/>
      <c r="AQ88" s="1043"/>
      <c r="AR88" s="1034"/>
      <c r="AS88" s="1017">
        <v>42004</v>
      </c>
      <c r="AT88" s="1040" t="s">
        <v>11474</v>
      </c>
      <c r="AU88" s="1043">
        <v>5</v>
      </c>
      <c r="AV88" s="1034"/>
      <c r="AW88" s="1017"/>
      <c r="AX88" s="1019"/>
      <c r="AY88" s="1043"/>
      <c r="AZ88" s="1034"/>
      <c r="BA88" s="1017">
        <v>42735</v>
      </c>
      <c r="BB88" s="1019" t="s">
        <v>11475</v>
      </c>
      <c r="BC88" s="1043">
        <v>30</v>
      </c>
      <c r="BD88" s="1034"/>
      <c r="BE88" s="1017">
        <v>42732</v>
      </c>
      <c r="BF88" s="1019" t="s">
        <v>10231</v>
      </c>
      <c r="BG88" s="1063">
        <v>9</v>
      </c>
      <c r="BH88" s="1034"/>
      <c r="BI88" s="1017">
        <v>43092</v>
      </c>
      <c r="BJ88" s="1019" t="s">
        <v>11476</v>
      </c>
      <c r="BK88" s="1063"/>
      <c r="BL88" s="1118"/>
      <c r="BM88" s="1391">
        <v>43830</v>
      </c>
      <c r="BN88" s="1393" t="s">
        <v>11477</v>
      </c>
      <c r="BO88" s="1398">
        <v>12</v>
      </c>
      <c r="BP88" s="1414"/>
      <c r="BQ88" s="1391">
        <v>43823</v>
      </c>
      <c r="BR88" s="1393" t="s">
        <v>11478</v>
      </c>
      <c r="BS88" s="1409">
        <v>115</v>
      </c>
      <c r="BT88" s="1392" t="s">
        <v>280</v>
      </c>
      <c r="BU88" s="1391">
        <v>44190</v>
      </c>
      <c r="BV88" s="1393" t="s">
        <v>11479</v>
      </c>
      <c r="BW88" s="1406">
        <v>29</v>
      </c>
      <c r="BX88" s="1392" t="s">
        <v>414</v>
      </c>
      <c r="BY88" s="1391">
        <v>44553</v>
      </c>
      <c r="BZ88" s="1393" t="s">
        <v>1151</v>
      </c>
      <c r="CA88" s="1406">
        <v>9</v>
      </c>
      <c r="CB88" s="1392" t="s">
        <v>278</v>
      </c>
      <c r="CC88" s="1391">
        <v>44919</v>
      </c>
      <c r="CD88" s="1393" t="s">
        <v>797</v>
      </c>
      <c r="CE88" s="1406">
        <v>105</v>
      </c>
      <c r="CF88" s="1392" t="s">
        <v>410</v>
      </c>
      <c r="CG88" s="1391">
        <v>45289</v>
      </c>
      <c r="CH88" s="1430" t="s">
        <v>11480</v>
      </c>
      <c r="CI88" s="1406">
        <v>140</v>
      </c>
      <c r="CJ88" s="1392" t="s">
        <v>278</v>
      </c>
      <c r="CK88" s="1391"/>
      <c r="CL88" s="1393"/>
      <c r="CM88" s="2042"/>
      <c r="CN88" s="1392"/>
    </row>
    <row r="89" spans="1:92" ht="13.5">
      <c r="A89" s="1077"/>
      <c r="B89" s="1040"/>
      <c r="C89" s="1036"/>
      <c r="D89" s="1034"/>
      <c r="E89" s="1017">
        <v>37983</v>
      </c>
      <c r="F89" s="1040" t="s">
        <v>11481</v>
      </c>
      <c r="G89" s="1036">
        <v>32</v>
      </c>
      <c r="H89" s="1034"/>
      <c r="I89" s="1017"/>
      <c r="J89" s="1040"/>
      <c r="K89" s="1036"/>
      <c r="L89" s="1034"/>
      <c r="M89" s="1017"/>
      <c r="N89" s="1040"/>
      <c r="O89" s="1036"/>
      <c r="P89" s="1034"/>
      <c r="Q89" s="1017"/>
      <c r="R89" s="1040"/>
      <c r="S89" s="1036"/>
      <c r="T89" s="1034"/>
      <c r="U89" s="1017"/>
      <c r="V89" s="1040"/>
      <c r="W89" s="1036"/>
      <c r="X89" s="1034"/>
      <c r="Y89" s="1017"/>
      <c r="Z89" s="1040"/>
      <c r="AA89" s="1043"/>
      <c r="AB89" s="1034"/>
      <c r="AC89" s="1017"/>
      <c r="AD89" s="1040"/>
      <c r="AE89" s="1043"/>
      <c r="AF89" s="1034"/>
      <c r="AG89" s="1017"/>
      <c r="AH89" s="1040"/>
      <c r="AI89" s="1043"/>
      <c r="AJ89" s="1034"/>
      <c r="AK89" s="1017"/>
      <c r="AL89" s="1040"/>
      <c r="AM89" s="1043"/>
      <c r="AN89" s="1034"/>
      <c r="AO89" s="1017"/>
      <c r="AP89" s="1040"/>
      <c r="AQ89" s="1043"/>
      <c r="AR89" s="1034"/>
      <c r="AS89" s="1017">
        <v>42004</v>
      </c>
      <c r="AT89" s="1040" t="s">
        <v>11482</v>
      </c>
      <c r="AU89" s="1043">
        <v>12</v>
      </c>
      <c r="AV89" s="1034"/>
      <c r="AW89" s="1017"/>
      <c r="AX89" s="1019"/>
      <c r="AY89" s="1043"/>
      <c r="AZ89" s="1034"/>
      <c r="BA89" s="1017">
        <v>42735</v>
      </c>
      <c r="BB89" s="1019" t="s">
        <v>11483</v>
      </c>
      <c r="BC89" s="1043">
        <v>14</v>
      </c>
      <c r="BD89" s="1034"/>
      <c r="BE89" s="1017">
        <v>42732</v>
      </c>
      <c r="BF89" s="1019" t="s">
        <v>11484</v>
      </c>
      <c r="BG89" s="1063">
        <v>10</v>
      </c>
      <c r="BH89" s="1034"/>
      <c r="BI89" s="1017">
        <v>43092</v>
      </c>
      <c r="BJ89" s="1019" t="s">
        <v>11485</v>
      </c>
      <c r="BK89" s="1063">
        <v>82</v>
      </c>
      <c r="BL89" s="1118"/>
      <c r="BM89" s="1391">
        <v>43830</v>
      </c>
      <c r="BN89" s="1393" t="s">
        <v>11486</v>
      </c>
      <c r="BO89" s="1398">
        <v>48</v>
      </c>
      <c r="BP89" s="1414"/>
      <c r="BQ89" s="1391">
        <v>43825</v>
      </c>
      <c r="BR89" s="1393" t="s">
        <v>11487</v>
      </c>
      <c r="BS89" s="1409">
        <v>30</v>
      </c>
      <c r="BT89" s="1392" t="s">
        <v>280</v>
      </c>
      <c r="BU89" s="1391">
        <v>44191</v>
      </c>
      <c r="BV89" s="1393" t="s">
        <v>11488</v>
      </c>
      <c r="BW89" s="1406">
        <v>50</v>
      </c>
      <c r="BX89" s="1392" t="s">
        <v>280</v>
      </c>
      <c r="BY89" s="1391">
        <v>44554</v>
      </c>
      <c r="BZ89" s="1393" t="s">
        <v>11489</v>
      </c>
      <c r="CA89" s="1406"/>
      <c r="CB89" s="1392"/>
      <c r="CC89" s="1391">
        <v>44920</v>
      </c>
      <c r="CD89" s="1393" t="s">
        <v>2888</v>
      </c>
      <c r="CE89" s="1406">
        <v>55</v>
      </c>
      <c r="CF89" s="1392" t="s">
        <v>414</v>
      </c>
      <c r="CG89" s="1391">
        <v>45289</v>
      </c>
      <c r="CH89" s="1430" t="s">
        <v>11490</v>
      </c>
      <c r="CI89" s="1406">
        <v>76</v>
      </c>
      <c r="CJ89" s="1392" t="s">
        <v>426</v>
      </c>
      <c r="CK89" s="1391"/>
      <c r="CL89" s="1393"/>
      <c r="CM89" s="2042"/>
      <c r="CN89" s="1392"/>
    </row>
    <row r="90" spans="1:92" ht="13.5">
      <c r="A90" s="1077"/>
      <c r="B90" s="1040"/>
      <c r="C90" s="1036"/>
      <c r="D90" s="1034"/>
      <c r="E90" s="1017">
        <v>37983</v>
      </c>
      <c r="F90" s="1040" t="s">
        <v>11491</v>
      </c>
      <c r="G90" s="1036">
        <v>52</v>
      </c>
      <c r="H90" s="1034"/>
      <c r="I90" s="1017"/>
      <c r="J90" s="1040"/>
      <c r="K90" s="1036"/>
      <c r="L90" s="1034"/>
      <c r="M90" s="1017"/>
      <c r="N90" s="1040"/>
      <c r="O90" s="1036"/>
      <c r="P90" s="1034"/>
      <c r="Q90" s="1017"/>
      <c r="R90" s="1040"/>
      <c r="S90" s="1036"/>
      <c r="T90" s="1034"/>
      <c r="U90" s="1017"/>
      <c r="V90" s="1040"/>
      <c r="W90" s="1036"/>
      <c r="X90" s="1034"/>
      <c r="Y90" s="1017"/>
      <c r="Z90" s="1040"/>
      <c r="AA90" s="1043"/>
      <c r="AB90" s="1034"/>
      <c r="AC90" s="1017"/>
      <c r="AD90" s="1040"/>
      <c r="AE90" s="1043"/>
      <c r="AF90" s="1034"/>
      <c r="AG90" s="1017"/>
      <c r="AH90" s="1040"/>
      <c r="AI90" s="1043"/>
      <c r="AJ90" s="1034"/>
      <c r="AK90" s="1017"/>
      <c r="AL90" s="1040"/>
      <c r="AM90" s="1043"/>
      <c r="AN90" s="1034"/>
      <c r="AO90" s="1017"/>
      <c r="AP90" s="1040"/>
      <c r="AQ90" s="1043"/>
      <c r="AR90" s="1034"/>
      <c r="AS90" s="1017"/>
      <c r="AT90" s="1040"/>
      <c r="AU90" s="1043"/>
      <c r="AV90" s="1034"/>
      <c r="AW90" s="1017"/>
      <c r="AX90" s="1019"/>
      <c r="AY90" s="1043"/>
      <c r="AZ90" s="1034"/>
      <c r="BA90" s="1017">
        <v>42735</v>
      </c>
      <c r="BB90" s="1019" t="s">
        <v>4490</v>
      </c>
      <c r="BC90" s="1043">
        <v>13</v>
      </c>
      <c r="BD90" s="1034"/>
      <c r="BE90" s="1017">
        <v>42732</v>
      </c>
      <c r="BF90" s="1019" t="s">
        <v>4023</v>
      </c>
      <c r="BG90" s="1063">
        <v>21</v>
      </c>
      <c r="BH90" s="1034"/>
      <c r="BI90" s="1017">
        <v>43092</v>
      </c>
      <c r="BJ90" s="1019" t="s">
        <v>11492</v>
      </c>
      <c r="BK90" s="1063">
        <v>7</v>
      </c>
      <c r="BL90" s="1118"/>
      <c r="BM90" s="1391">
        <v>43830</v>
      </c>
      <c r="BN90" s="1393" t="s">
        <v>11493</v>
      </c>
      <c r="BO90" s="1398">
        <v>20</v>
      </c>
      <c r="BP90" s="1414"/>
      <c r="BQ90" s="1391">
        <v>43825</v>
      </c>
      <c r="BR90" s="1393" t="s">
        <v>7421</v>
      </c>
      <c r="BS90" s="1409">
        <v>5</v>
      </c>
      <c r="BT90" s="1392" t="s">
        <v>414</v>
      </c>
      <c r="BU90" s="1391">
        <v>44191</v>
      </c>
      <c r="BV90" s="1393" t="s">
        <v>845</v>
      </c>
      <c r="BW90" s="1406">
        <v>28</v>
      </c>
      <c r="BX90" s="1392" t="s">
        <v>414</v>
      </c>
      <c r="BY90" s="1391">
        <v>44554</v>
      </c>
      <c r="BZ90" s="1393" t="s">
        <v>11494</v>
      </c>
      <c r="CA90" s="1406">
        <v>54</v>
      </c>
      <c r="CB90" s="1392" t="s">
        <v>278</v>
      </c>
      <c r="CC90" s="1391">
        <v>44920</v>
      </c>
      <c r="CD90" s="1393" t="s">
        <v>11495</v>
      </c>
      <c r="CE90" s="1406">
        <v>0</v>
      </c>
      <c r="CF90" s="1392" t="s">
        <v>280</v>
      </c>
      <c r="CG90" s="1391">
        <v>45289</v>
      </c>
      <c r="CH90" s="1430" t="s">
        <v>11496</v>
      </c>
      <c r="CI90" s="1406">
        <v>10</v>
      </c>
      <c r="CJ90" s="1392" t="s">
        <v>278</v>
      </c>
      <c r="CK90" s="1391"/>
      <c r="CL90" s="1393"/>
      <c r="CM90" s="2042"/>
      <c r="CN90" s="1392"/>
    </row>
    <row r="91" spans="1:92" ht="13.5">
      <c r="A91" s="1077"/>
      <c r="B91" s="1040"/>
      <c r="C91" s="1036"/>
      <c r="D91" s="1034"/>
      <c r="E91" s="1017">
        <v>37984</v>
      </c>
      <c r="F91" s="1040" t="s">
        <v>11497</v>
      </c>
      <c r="G91" s="1036">
        <v>7</v>
      </c>
      <c r="H91" s="1034"/>
      <c r="I91" s="1017"/>
      <c r="J91" s="1040"/>
      <c r="K91" s="1036"/>
      <c r="L91" s="1034"/>
      <c r="M91" s="1017"/>
      <c r="N91" s="1040"/>
      <c r="O91" s="1036"/>
      <c r="P91" s="1034"/>
      <c r="Q91" s="1017"/>
      <c r="R91" s="1040"/>
      <c r="S91" s="1036"/>
      <c r="T91" s="1034"/>
      <c r="U91" s="1017"/>
      <c r="V91" s="1040"/>
      <c r="W91" s="1036"/>
      <c r="X91" s="1034"/>
      <c r="Y91" s="1017"/>
      <c r="Z91" s="1040"/>
      <c r="AA91" s="1043"/>
      <c r="AB91" s="1034"/>
      <c r="AC91" s="1017"/>
      <c r="AD91" s="1040"/>
      <c r="AE91" s="1043"/>
      <c r="AF91" s="1034"/>
      <c r="AG91" s="1017"/>
      <c r="AH91" s="1040"/>
      <c r="AI91" s="1043"/>
      <c r="AJ91" s="1034"/>
      <c r="AK91" s="1017"/>
      <c r="AL91" s="1040"/>
      <c r="AM91" s="1043"/>
      <c r="AN91" s="1034"/>
      <c r="AO91" s="1017"/>
      <c r="AP91" s="1040"/>
      <c r="AQ91" s="1043"/>
      <c r="AR91" s="1034"/>
      <c r="AS91" s="1017"/>
      <c r="AT91" s="1040"/>
      <c r="AU91" s="1043"/>
      <c r="AV91" s="1034"/>
      <c r="AW91" s="1017"/>
      <c r="AX91" s="1019"/>
      <c r="AY91" s="1043"/>
      <c r="AZ91" s="1034"/>
      <c r="BA91" s="1017">
        <v>42735</v>
      </c>
      <c r="BB91" s="1019" t="s">
        <v>11498</v>
      </c>
      <c r="BC91" s="1043" t="s">
        <v>37</v>
      </c>
      <c r="BD91" s="1034"/>
      <c r="BE91" s="1017">
        <v>42732</v>
      </c>
      <c r="BF91" s="1019" t="s">
        <v>11499</v>
      </c>
      <c r="BG91" s="1063">
        <v>6</v>
      </c>
      <c r="BH91" s="1034"/>
      <c r="BI91" s="1017">
        <v>43092</v>
      </c>
      <c r="BJ91" s="1019" t="s">
        <v>11500</v>
      </c>
      <c r="BK91" s="1063">
        <v>11</v>
      </c>
      <c r="BL91" s="1118"/>
      <c r="BM91" s="1391">
        <v>43830</v>
      </c>
      <c r="BN91" s="1393" t="s">
        <v>11501</v>
      </c>
      <c r="BO91" s="1398">
        <v>41</v>
      </c>
      <c r="BP91" s="1414"/>
      <c r="BQ91" s="1391">
        <v>43825</v>
      </c>
      <c r="BR91" s="1393" t="s">
        <v>11502</v>
      </c>
      <c r="BS91" s="1409">
        <v>1</v>
      </c>
      <c r="BT91" s="1392" t="s">
        <v>414</v>
      </c>
      <c r="BU91" s="1391">
        <v>44192</v>
      </c>
      <c r="BV91" s="1393" t="s">
        <v>2888</v>
      </c>
      <c r="BW91" s="1406">
        <v>99</v>
      </c>
      <c r="BX91" s="1392" t="s">
        <v>414</v>
      </c>
      <c r="BY91" s="1391">
        <v>44554</v>
      </c>
      <c r="BZ91" s="1393" t="s">
        <v>11503</v>
      </c>
      <c r="CA91" s="1406">
        <v>33</v>
      </c>
      <c r="CB91" s="1392" t="s">
        <v>278</v>
      </c>
      <c r="CC91" s="1391">
        <v>44920</v>
      </c>
      <c r="CD91" s="1393" t="s">
        <v>11504</v>
      </c>
      <c r="CE91" s="1406">
        <v>50</v>
      </c>
      <c r="CF91" s="1392" t="s">
        <v>414</v>
      </c>
      <c r="CG91" s="1391">
        <v>45289</v>
      </c>
      <c r="CH91" s="1430" t="s">
        <v>11505</v>
      </c>
      <c r="CI91" s="1406">
        <v>76</v>
      </c>
      <c r="CJ91" s="1392" t="s">
        <v>426</v>
      </c>
      <c r="CK91" s="1391"/>
      <c r="CL91" s="1393"/>
      <c r="CM91" s="2042"/>
      <c r="CN91" s="1392"/>
    </row>
    <row r="92" spans="1:92" ht="13.5">
      <c r="A92" s="1077"/>
      <c r="B92" s="1040"/>
      <c r="C92" s="1036"/>
      <c r="D92" s="1034"/>
      <c r="E92" s="1017">
        <v>37984</v>
      </c>
      <c r="F92" s="1040" t="s">
        <v>11506</v>
      </c>
      <c r="G92" s="1036">
        <v>18</v>
      </c>
      <c r="H92" s="1034"/>
      <c r="I92" s="1017"/>
      <c r="J92" s="1040"/>
      <c r="K92" s="1036"/>
      <c r="L92" s="1034"/>
      <c r="M92" s="1017"/>
      <c r="N92" s="1040"/>
      <c r="O92" s="1036"/>
      <c r="P92" s="1034"/>
      <c r="Q92" s="1017"/>
      <c r="R92" s="1040"/>
      <c r="S92" s="1036"/>
      <c r="T92" s="1034"/>
      <c r="U92" s="1017"/>
      <c r="V92" s="1040"/>
      <c r="W92" s="1036"/>
      <c r="X92" s="1034"/>
      <c r="Y92" s="1017"/>
      <c r="Z92" s="1040"/>
      <c r="AA92" s="1043"/>
      <c r="AB92" s="1034"/>
      <c r="AC92" s="1017"/>
      <c r="AD92" s="1040"/>
      <c r="AE92" s="1043"/>
      <c r="AF92" s="1034"/>
      <c r="AG92" s="1017"/>
      <c r="AH92" s="1040"/>
      <c r="AI92" s="1043"/>
      <c r="AJ92" s="1034"/>
      <c r="AK92" s="1017"/>
      <c r="AL92" s="1040"/>
      <c r="AM92" s="1043"/>
      <c r="AN92" s="1034"/>
      <c r="AO92" s="1017"/>
      <c r="AP92" s="1040"/>
      <c r="AQ92" s="1043"/>
      <c r="AR92" s="1034"/>
      <c r="AS92" s="1017"/>
      <c r="AT92" s="1040"/>
      <c r="AU92" s="1043"/>
      <c r="AV92" s="1034"/>
      <c r="AW92" s="1017"/>
      <c r="AX92" s="1019"/>
      <c r="AY92" s="1043"/>
      <c r="AZ92" s="1034"/>
      <c r="BA92" s="1017">
        <v>42735</v>
      </c>
      <c r="BB92" s="1019" t="s">
        <v>11507</v>
      </c>
      <c r="BC92" s="1043">
        <v>6</v>
      </c>
      <c r="BD92" s="1034"/>
      <c r="BE92" s="1017">
        <v>42733</v>
      </c>
      <c r="BF92" s="1019" t="s">
        <v>11508</v>
      </c>
      <c r="BG92" s="1063">
        <v>12</v>
      </c>
      <c r="BH92" s="1034"/>
      <c r="BI92" s="1017">
        <v>43093</v>
      </c>
      <c r="BJ92" s="1019" t="s">
        <v>1180</v>
      </c>
      <c r="BK92" s="1063">
        <v>68</v>
      </c>
      <c r="BL92" s="1118"/>
      <c r="BM92" s="1391">
        <v>43830</v>
      </c>
      <c r="BN92" s="1393" t="s">
        <v>11509</v>
      </c>
      <c r="BO92" s="1398">
        <f>30/2</f>
        <v>15</v>
      </c>
      <c r="BP92" s="1414"/>
      <c r="BQ92" s="1391">
        <v>43826</v>
      </c>
      <c r="BR92" s="1393" t="s">
        <v>11311</v>
      </c>
      <c r="BS92" s="1409">
        <v>40</v>
      </c>
      <c r="BT92" s="1392" t="s">
        <v>280</v>
      </c>
      <c r="BU92" s="1391">
        <v>44192</v>
      </c>
      <c r="BV92" s="1393" t="s">
        <v>772</v>
      </c>
      <c r="BW92" s="1406">
        <v>12</v>
      </c>
      <c r="BX92" s="1392" t="s">
        <v>414</v>
      </c>
      <c r="BY92" s="1391">
        <v>44554</v>
      </c>
      <c r="BZ92" s="1393" t="s">
        <v>11510</v>
      </c>
      <c r="CA92" s="1406">
        <v>19</v>
      </c>
      <c r="CB92" s="1392" t="s">
        <v>278</v>
      </c>
      <c r="CC92" s="1391">
        <v>44921</v>
      </c>
      <c r="CD92" s="1393" t="s">
        <v>11511</v>
      </c>
      <c r="CE92" s="1406">
        <v>10</v>
      </c>
      <c r="CF92" s="1392" t="s">
        <v>381</v>
      </c>
      <c r="CG92" s="1391">
        <v>45290</v>
      </c>
      <c r="CH92" s="1393" t="s">
        <v>11512</v>
      </c>
      <c r="CI92" s="1406">
        <v>304</v>
      </c>
      <c r="CJ92" s="1392" t="s">
        <v>278</v>
      </c>
      <c r="CK92" s="1391"/>
      <c r="CL92" s="1393"/>
      <c r="CM92" s="2042"/>
      <c r="CN92" s="1392"/>
    </row>
    <row r="93" spans="1:92" ht="13.5">
      <c r="A93" s="1077"/>
      <c r="B93" s="1040"/>
      <c r="C93" s="1036"/>
      <c r="D93" s="1034"/>
      <c r="E93" s="1017">
        <v>37984</v>
      </c>
      <c r="F93" s="1040" t="s">
        <v>11513</v>
      </c>
      <c r="G93" s="1036">
        <v>15</v>
      </c>
      <c r="H93" s="1034"/>
      <c r="I93" s="1017"/>
      <c r="J93" s="1040"/>
      <c r="K93" s="1036"/>
      <c r="L93" s="1034"/>
      <c r="M93" s="1017"/>
      <c r="N93" s="1040"/>
      <c r="O93" s="1036"/>
      <c r="P93" s="1034"/>
      <c r="Q93" s="1017"/>
      <c r="R93" s="1040"/>
      <c r="S93" s="1036"/>
      <c r="T93" s="1034"/>
      <c r="U93" s="1017"/>
      <c r="V93" s="1040"/>
      <c r="W93" s="1036"/>
      <c r="X93" s="1034"/>
      <c r="Y93" s="1017"/>
      <c r="Z93" s="1040"/>
      <c r="AA93" s="1043"/>
      <c r="AB93" s="1034"/>
      <c r="AC93" s="1017"/>
      <c r="AD93" s="1040"/>
      <c r="AE93" s="1043"/>
      <c r="AF93" s="1034"/>
      <c r="AG93" s="1017"/>
      <c r="AH93" s="1040"/>
      <c r="AI93" s="1043"/>
      <c r="AJ93" s="1034"/>
      <c r="AK93" s="1017"/>
      <c r="AL93" s="1040"/>
      <c r="AM93" s="1043"/>
      <c r="AN93" s="1034"/>
      <c r="AO93" s="1017"/>
      <c r="AP93" s="1040"/>
      <c r="AQ93" s="1043"/>
      <c r="AR93" s="1034"/>
      <c r="AS93" s="1017"/>
      <c r="AT93" s="1040"/>
      <c r="AU93" s="1043"/>
      <c r="AV93" s="1034"/>
      <c r="AW93" s="1017"/>
      <c r="AX93" s="1019"/>
      <c r="AY93" s="1043"/>
      <c r="AZ93" s="1034"/>
      <c r="BA93" s="1017">
        <v>42369</v>
      </c>
      <c r="BB93" s="1019" t="s">
        <v>11514</v>
      </c>
      <c r="BC93" s="1043">
        <v>390</v>
      </c>
      <c r="BD93" s="1034"/>
      <c r="BE93" s="1017">
        <v>42733</v>
      </c>
      <c r="BF93" s="1019" t="s">
        <v>2162</v>
      </c>
      <c r="BG93" s="1063">
        <v>11</v>
      </c>
      <c r="BH93" s="1034"/>
      <c r="BI93" s="1017">
        <v>43093</v>
      </c>
      <c r="BJ93" s="1019" t="s">
        <v>11515</v>
      </c>
      <c r="BK93" s="1063"/>
      <c r="BL93" s="1118"/>
      <c r="BM93" s="1391">
        <v>43830</v>
      </c>
      <c r="BN93" s="1393" t="s">
        <v>11516</v>
      </c>
      <c r="BO93" s="1398">
        <f>28/2</f>
        <v>14</v>
      </c>
      <c r="BP93" s="1414"/>
      <c r="BQ93" s="1391">
        <v>43826</v>
      </c>
      <c r="BR93" s="1393" t="s">
        <v>11517</v>
      </c>
      <c r="BS93" s="1409">
        <v>18</v>
      </c>
      <c r="BT93" s="1392" t="s">
        <v>414</v>
      </c>
      <c r="BU93" s="1391">
        <v>44192</v>
      </c>
      <c r="BV93" s="1393" t="s">
        <v>11518</v>
      </c>
      <c r="BW93" s="1406">
        <v>18</v>
      </c>
      <c r="BX93" s="1392" t="s">
        <v>278</v>
      </c>
      <c r="BY93" s="1391">
        <v>44554</v>
      </c>
      <c r="BZ93" s="1393" t="s">
        <v>1180</v>
      </c>
      <c r="CA93" s="1406">
        <v>92</v>
      </c>
      <c r="CB93" s="1392" t="s">
        <v>410</v>
      </c>
      <c r="CC93" s="1391">
        <v>44922</v>
      </c>
      <c r="CD93" s="1393" t="s">
        <v>11519</v>
      </c>
      <c r="CE93" s="1406">
        <v>44</v>
      </c>
      <c r="CF93" s="1392" t="s">
        <v>381</v>
      </c>
      <c r="CG93" s="1391">
        <v>45290</v>
      </c>
      <c r="CH93" s="1430" t="s">
        <v>11520</v>
      </c>
      <c r="CI93" s="1406">
        <v>68</v>
      </c>
      <c r="CJ93" s="1392" t="s">
        <v>278</v>
      </c>
      <c r="CK93" s="1391"/>
      <c r="CL93" s="1393"/>
      <c r="CM93" s="2042"/>
      <c r="CN93" s="1392"/>
    </row>
    <row r="94" spans="1:92" ht="13.5">
      <c r="A94" s="1077"/>
      <c r="B94" s="1040"/>
      <c r="C94" s="1036"/>
      <c r="D94" s="1034"/>
      <c r="E94" s="1017">
        <v>37984</v>
      </c>
      <c r="F94" s="1040" t="s">
        <v>11521</v>
      </c>
      <c r="G94" s="1036">
        <v>3</v>
      </c>
      <c r="H94" s="1034"/>
      <c r="I94" s="1017"/>
      <c r="J94" s="1040"/>
      <c r="K94" s="1036"/>
      <c r="L94" s="1034"/>
      <c r="M94" s="1017"/>
      <c r="N94" s="1040"/>
      <c r="O94" s="1036"/>
      <c r="P94" s="1034"/>
      <c r="Q94" s="1017"/>
      <c r="R94" s="1040"/>
      <c r="S94" s="1036"/>
      <c r="T94" s="1034"/>
      <c r="U94" s="1017"/>
      <c r="V94" s="1040"/>
      <c r="W94" s="1036"/>
      <c r="X94" s="1034"/>
      <c r="Y94" s="1017"/>
      <c r="Z94" s="1040"/>
      <c r="AA94" s="1043"/>
      <c r="AB94" s="1034"/>
      <c r="AC94" s="1017"/>
      <c r="AD94" s="1040"/>
      <c r="AE94" s="1043"/>
      <c r="AF94" s="1034"/>
      <c r="AG94" s="1017"/>
      <c r="AH94" s="1040"/>
      <c r="AI94" s="1043"/>
      <c r="AJ94" s="1034"/>
      <c r="AK94" s="1017"/>
      <c r="AL94" s="1040"/>
      <c r="AM94" s="1043"/>
      <c r="AN94" s="1034"/>
      <c r="AO94" s="1017"/>
      <c r="AP94" s="1040"/>
      <c r="AQ94" s="1043"/>
      <c r="AR94" s="1034"/>
      <c r="AS94" s="1017"/>
      <c r="AT94" s="1040"/>
      <c r="AU94" s="1043"/>
      <c r="AV94" s="1034"/>
      <c r="AW94" s="1017"/>
      <c r="AX94" s="1019"/>
      <c r="AY94" s="1043"/>
      <c r="AZ94" s="1034"/>
      <c r="BA94" s="1017"/>
      <c r="BB94" s="1019"/>
      <c r="BC94" s="1043"/>
      <c r="BD94" s="1034"/>
      <c r="BE94" s="1017">
        <v>42733</v>
      </c>
      <c r="BF94" s="1019" t="s">
        <v>11522</v>
      </c>
      <c r="BG94" s="1063">
        <v>11</v>
      </c>
      <c r="BH94" s="1034"/>
      <c r="BI94" s="1017">
        <v>43093</v>
      </c>
      <c r="BJ94" s="1019" t="s">
        <v>11523</v>
      </c>
      <c r="BK94" s="1063">
        <v>12</v>
      </c>
      <c r="BL94" s="1118"/>
      <c r="BM94" s="1391">
        <v>43830</v>
      </c>
      <c r="BN94" s="1393" t="s">
        <v>11524</v>
      </c>
      <c r="BO94" s="1398">
        <f>157/2</f>
        <v>78.5</v>
      </c>
      <c r="BP94" s="1414"/>
      <c r="BQ94" s="1391">
        <v>43826</v>
      </c>
      <c r="BR94" s="1393" t="s">
        <v>11525</v>
      </c>
      <c r="BS94" s="1409">
        <v>40</v>
      </c>
      <c r="BT94" s="1392" t="s">
        <v>700</v>
      </c>
      <c r="BU94" s="1391">
        <v>44193</v>
      </c>
      <c r="BV94" s="1393" t="s">
        <v>843</v>
      </c>
      <c r="BW94" s="1406">
        <v>24</v>
      </c>
      <c r="BX94" s="1392" t="s">
        <v>414</v>
      </c>
      <c r="BY94" s="1391">
        <v>44554</v>
      </c>
      <c r="BZ94" s="1393" t="s">
        <v>11526</v>
      </c>
      <c r="CA94" s="1406">
        <v>2</v>
      </c>
      <c r="CB94" s="1392" t="s">
        <v>698</v>
      </c>
      <c r="CC94" s="1391">
        <v>44557</v>
      </c>
      <c r="CD94" s="1393" t="s">
        <v>11527</v>
      </c>
      <c r="CE94" s="1406">
        <v>49</v>
      </c>
      <c r="CF94" s="1392" t="s">
        <v>436</v>
      </c>
      <c r="CG94" s="1391">
        <v>45290</v>
      </c>
      <c r="CH94" s="1430" t="s">
        <v>1151</v>
      </c>
      <c r="CI94" s="1406">
        <v>28</v>
      </c>
      <c r="CJ94" s="1392" t="s">
        <v>280</v>
      </c>
      <c r="CK94" s="1391"/>
      <c r="CL94" s="1393"/>
      <c r="CM94" s="2042"/>
      <c r="CN94" s="1392"/>
    </row>
    <row r="95" spans="1:92" ht="13.5">
      <c r="A95" s="1077"/>
      <c r="B95" s="1040"/>
      <c r="C95" s="1036"/>
      <c r="D95" s="1034"/>
      <c r="E95" s="1017">
        <v>37984</v>
      </c>
      <c r="F95" s="1040" t="s">
        <v>11528</v>
      </c>
      <c r="G95" s="1036">
        <v>9</v>
      </c>
      <c r="H95" s="1034"/>
      <c r="I95" s="1017"/>
      <c r="J95" s="1040"/>
      <c r="K95" s="1036"/>
      <c r="L95" s="1034"/>
      <c r="M95" s="1017"/>
      <c r="N95" s="1040"/>
      <c r="O95" s="1036"/>
      <c r="P95" s="1034"/>
      <c r="Q95" s="1017"/>
      <c r="R95" s="1040"/>
      <c r="S95" s="1036"/>
      <c r="T95" s="1034"/>
      <c r="U95" s="1017"/>
      <c r="V95" s="1040"/>
      <c r="W95" s="1036"/>
      <c r="X95" s="1034"/>
      <c r="Y95" s="1017"/>
      <c r="Z95" s="1040"/>
      <c r="AA95" s="1043"/>
      <c r="AB95" s="1034"/>
      <c r="AC95" s="1017"/>
      <c r="AD95" s="1040"/>
      <c r="AE95" s="1043"/>
      <c r="AF95" s="1034"/>
      <c r="AG95" s="1017"/>
      <c r="AH95" s="1040"/>
      <c r="AI95" s="1043"/>
      <c r="AJ95" s="1034"/>
      <c r="AK95" s="1017"/>
      <c r="AL95" s="1040"/>
      <c r="AM95" s="1043"/>
      <c r="AN95" s="1034"/>
      <c r="AO95" s="1017"/>
      <c r="AP95" s="1040"/>
      <c r="AQ95" s="1043"/>
      <c r="AR95" s="1034"/>
      <c r="AS95" s="1017"/>
      <c r="AT95" s="1040"/>
      <c r="AU95" s="1043"/>
      <c r="AV95" s="1034"/>
      <c r="AW95" s="1017"/>
      <c r="AX95" s="1019"/>
      <c r="AY95" s="1043"/>
      <c r="AZ95" s="1034"/>
      <c r="BA95" s="1017"/>
      <c r="BB95" s="1019"/>
      <c r="BC95" s="1043"/>
      <c r="BD95" s="1034"/>
      <c r="BE95" s="1017">
        <v>42733</v>
      </c>
      <c r="BF95" s="1019" t="s">
        <v>11529</v>
      </c>
      <c r="BG95" s="1063">
        <v>4</v>
      </c>
      <c r="BH95" s="1034"/>
      <c r="BI95" s="1017">
        <v>43093</v>
      </c>
      <c r="BJ95" s="1019" t="s">
        <v>11530</v>
      </c>
      <c r="BK95" s="1063">
        <v>10</v>
      </c>
      <c r="BL95" s="1118"/>
      <c r="BM95" s="1391"/>
      <c r="BN95" s="1393"/>
      <c r="BO95" s="1398"/>
      <c r="BP95" s="1414"/>
      <c r="BQ95" s="1391">
        <v>43826</v>
      </c>
      <c r="BR95" s="1393" t="s">
        <v>872</v>
      </c>
      <c r="BS95" s="1409">
        <v>32</v>
      </c>
      <c r="BT95" s="1392" t="s">
        <v>414</v>
      </c>
      <c r="BU95" s="1391">
        <v>44194</v>
      </c>
      <c r="BV95" s="1393" t="s">
        <v>11531</v>
      </c>
      <c r="BW95" s="1406">
        <v>21</v>
      </c>
      <c r="BX95" s="1392" t="s">
        <v>280</v>
      </c>
      <c r="BY95" s="1391">
        <v>44554</v>
      </c>
      <c r="BZ95" s="1393" t="s">
        <v>5790</v>
      </c>
      <c r="CA95" s="1406">
        <v>10</v>
      </c>
      <c r="CB95" s="1392" t="s">
        <v>278</v>
      </c>
      <c r="CC95" s="1391">
        <v>44922</v>
      </c>
      <c r="CD95" s="1393" t="s">
        <v>843</v>
      </c>
      <c r="CE95" s="1406">
        <v>52</v>
      </c>
      <c r="CF95" s="1392" t="s">
        <v>414</v>
      </c>
      <c r="CG95" s="1391">
        <v>45291</v>
      </c>
      <c r="CH95" s="1430" t="s">
        <v>11532</v>
      </c>
      <c r="CI95" s="1406">
        <v>12</v>
      </c>
      <c r="CJ95" s="1392" t="s">
        <v>700</v>
      </c>
      <c r="CK95" s="1391"/>
      <c r="CL95" s="1393"/>
      <c r="CM95" s="2042"/>
      <c r="CN95" s="1392"/>
    </row>
    <row r="96" spans="1:92" ht="13.5">
      <c r="A96" s="1077"/>
      <c r="B96" s="1040"/>
      <c r="C96" s="1036"/>
      <c r="D96" s="1034"/>
      <c r="E96" s="1017">
        <v>37984</v>
      </c>
      <c r="F96" s="1040" t="s">
        <v>11533</v>
      </c>
      <c r="G96" s="1036">
        <v>7</v>
      </c>
      <c r="H96" s="1034"/>
      <c r="I96" s="1017"/>
      <c r="J96" s="1040"/>
      <c r="K96" s="1036"/>
      <c r="L96" s="1034"/>
      <c r="M96" s="1017"/>
      <c r="N96" s="1040"/>
      <c r="O96" s="1036"/>
      <c r="P96" s="1034"/>
      <c r="Q96" s="1017"/>
      <c r="R96" s="1040"/>
      <c r="S96" s="1036"/>
      <c r="T96" s="1034"/>
      <c r="U96" s="1017"/>
      <c r="V96" s="1040"/>
      <c r="W96" s="1036"/>
      <c r="X96" s="1034"/>
      <c r="Y96" s="1017"/>
      <c r="Z96" s="1040"/>
      <c r="AA96" s="1043"/>
      <c r="AB96" s="1034"/>
      <c r="AC96" s="1017"/>
      <c r="AD96" s="1040"/>
      <c r="AE96" s="1043"/>
      <c r="AF96" s="1034"/>
      <c r="AG96" s="1017"/>
      <c r="AH96" s="1040"/>
      <c r="AI96" s="1043"/>
      <c r="AJ96" s="1034"/>
      <c r="AK96" s="1017"/>
      <c r="AL96" s="1040"/>
      <c r="AM96" s="1043"/>
      <c r="AN96" s="1034"/>
      <c r="AO96" s="1017"/>
      <c r="AP96" s="1040"/>
      <c r="AQ96" s="1043"/>
      <c r="AR96" s="1034"/>
      <c r="AS96" s="1017"/>
      <c r="AT96" s="1040"/>
      <c r="AU96" s="1043"/>
      <c r="AV96" s="1034"/>
      <c r="AW96" s="1017"/>
      <c r="AX96" s="1019"/>
      <c r="AY96" s="1043"/>
      <c r="AZ96" s="1034"/>
      <c r="BA96" s="1017"/>
      <c r="BB96" s="1019"/>
      <c r="BC96" s="1043"/>
      <c r="BD96" s="1034"/>
      <c r="BE96" s="1017">
        <v>42733</v>
      </c>
      <c r="BF96" s="1019" t="s">
        <v>11534</v>
      </c>
      <c r="BG96" s="1063">
        <v>6</v>
      </c>
      <c r="BH96" s="1034"/>
      <c r="BI96" s="1017">
        <v>43093</v>
      </c>
      <c r="BJ96" s="1019" t="s">
        <v>872</v>
      </c>
      <c r="BK96" s="1063">
        <v>31</v>
      </c>
      <c r="BL96" s="1118"/>
      <c r="BM96" s="1391"/>
      <c r="BN96" s="1393"/>
      <c r="BO96" s="1398"/>
      <c r="BP96" s="1414"/>
      <c r="BQ96" s="1391">
        <v>43826</v>
      </c>
      <c r="BR96" s="1393" t="s">
        <v>948</v>
      </c>
      <c r="BS96" s="1409">
        <v>42</v>
      </c>
      <c r="BT96" s="1392" t="s">
        <v>414</v>
      </c>
      <c r="BU96" s="1391">
        <v>44194</v>
      </c>
      <c r="BV96" s="1393" t="s">
        <v>11535</v>
      </c>
      <c r="BW96" s="1406">
        <v>462</v>
      </c>
      <c r="BX96" s="1392" t="s">
        <v>280</v>
      </c>
      <c r="BY96" s="1391">
        <v>44555</v>
      </c>
      <c r="BZ96" s="1393" t="s">
        <v>11536</v>
      </c>
      <c r="CA96" s="1406">
        <v>80</v>
      </c>
      <c r="CB96" s="1392" t="s">
        <v>280</v>
      </c>
      <c r="CC96" s="1391">
        <v>44922</v>
      </c>
      <c r="CD96" s="1393" t="s">
        <v>6147</v>
      </c>
      <c r="CE96" s="1406">
        <v>36</v>
      </c>
      <c r="CF96" s="1392" t="s">
        <v>280</v>
      </c>
      <c r="CG96" s="1391">
        <v>45291</v>
      </c>
      <c r="CH96" s="1393" t="s">
        <v>11537</v>
      </c>
      <c r="CI96" s="1406">
        <v>29</v>
      </c>
      <c r="CJ96" s="1392" t="s">
        <v>707</v>
      </c>
      <c r="CK96" s="1391"/>
      <c r="CL96" s="1393"/>
      <c r="CM96" s="2042"/>
      <c r="CN96" s="1392"/>
    </row>
    <row r="97" spans="1:92" ht="13.5">
      <c r="A97" s="1077"/>
      <c r="B97" s="1040"/>
      <c r="C97" s="1036"/>
      <c r="D97" s="1034"/>
      <c r="E97" s="1017">
        <v>37985</v>
      </c>
      <c r="F97" s="1040" t="s">
        <v>11538</v>
      </c>
      <c r="G97" s="1036">
        <v>211</v>
      </c>
      <c r="H97" s="1034"/>
      <c r="I97" s="1017"/>
      <c r="J97" s="1040"/>
      <c r="K97" s="1036"/>
      <c r="L97" s="1034"/>
      <c r="M97" s="1017"/>
      <c r="N97" s="1040"/>
      <c r="O97" s="1036"/>
      <c r="P97" s="1034"/>
      <c r="Q97" s="1017"/>
      <c r="R97" s="1040"/>
      <c r="S97" s="1036"/>
      <c r="T97" s="1034"/>
      <c r="U97" s="1017"/>
      <c r="V97" s="1040"/>
      <c r="W97" s="1036"/>
      <c r="X97" s="1034"/>
      <c r="Y97" s="1017"/>
      <c r="Z97" s="1040"/>
      <c r="AA97" s="1043"/>
      <c r="AB97" s="1034"/>
      <c r="AC97" s="1017"/>
      <c r="AD97" s="1040"/>
      <c r="AE97" s="1043"/>
      <c r="AF97" s="1034"/>
      <c r="AG97" s="1017"/>
      <c r="AH97" s="1040"/>
      <c r="AI97" s="1043"/>
      <c r="AJ97" s="1034"/>
      <c r="AK97" s="1017"/>
      <c r="AL97" s="1040"/>
      <c r="AM97" s="1043"/>
      <c r="AN97" s="1034"/>
      <c r="AO97" s="1017"/>
      <c r="AP97" s="1040"/>
      <c r="AQ97" s="1043"/>
      <c r="AR97" s="1034"/>
      <c r="AS97" s="1017"/>
      <c r="AT97" s="1040"/>
      <c r="AU97" s="1043"/>
      <c r="AV97" s="1034"/>
      <c r="AW97" s="1017"/>
      <c r="AX97" s="1019"/>
      <c r="AY97" s="1043"/>
      <c r="AZ97" s="1034"/>
      <c r="BA97" s="1017"/>
      <c r="BB97" s="1019"/>
      <c r="BC97" s="1043"/>
      <c r="BD97" s="1034"/>
      <c r="BE97" s="1017">
        <v>42733</v>
      </c>
      <c r="BF97" s="1019" t="s">
        <v>11539</v>
      </c>
      <c r="BG97" s="1063">
        <v>17</v>
      </c>
      <c r="BH97" s="1034"/>
      <c r="BI97" s="1017">
        <v>43093</v>
      </c>
      <c r="BJ97" s="1019" t="s">
        <v>873</v>
      </c>
      <c r="BK97" s="1063">
        <v>12</v>
      </c>
      <c r="BL97" s="1118"/>
      <c r="BM97" s="1391"/>
      <c r="BN97" s="1393"/>
      <c r="BO97" s="1398"/>
      <c r="BP97" s="1414"/>
      <c r="BQ97" s="1391">
        <v>43827</v>
      </c>
      <c r="BR97" s="1393" t="s">
        <v>772</v>
      </c>
      <c r="BS97" s="1409">
        <v>41</v>
      </c>
      <c r="BT97" s="1392" t="s">
        <v>414</v>
      </c>
      <c r="BU97" s="1391">
        <v>44194</v>
      </c>
      <c r="BV97" s="1393" t="s">
        <v>11540</v>
      </c>
      <c r="BW97" s="1406">
        <v>5</v>
      </c>
      <c r="BX97" s="1392" t="s">
        <v>280</v>
      </c>
      <c r="BY97" s="1391">
        <v>44555</v>
      </c>
      <c r="BZ97" s="1393" t="s">
        <v>781</v>
      </c>
      <c r="CA97" s="1406">
        <v>41</v>
      </c>
      <c r="CB97" s="1392" t="s">
        <v>414</v>
      </c>
      <c r="CC97" s="1391">
        <v>44922</v>
      </c>
      <c r="CD97" s="1393" t="s">
        <v>845</v>
      </c>
      <c r="CE97" s="1406">
        <v>51</v>
      </c>
      <c r="CF97" s="1392" t="s">
        <v>414</v>
      </c>
      <c r="CG97" s="1391">
        <v>45291</v>
      </c>
      <c r="CH97" s="1393" t="s">
        <v>11541</v>
      </c>
      <c r="CI97" s="1406">
        <v>17</v>
      </c>
      <c r="CJ97" s="1392" t="s">
        <v>278</v>
      </c>
      <c r="CK97" s="1391"/>
      <c r="CL97" s="1393"/>
      <c r="CM97" s="2042"/>
      <c r="CN97" s="1392"/>
    </row>
    <row r="98" spans="1:92" ht="13.5">
      <c r="A98" s="1077"/>
      <c r="B98" s="1040"/>
      <c r="C98" s="1036"/>
      <c r="D98" s="1034"/>
      <c r="E98" s="1017">
        <v>37985</v>
      </c>
      <c r="F98" s="1040" t="s">
        <v>11542</v>
      </c>
      <c r="G98" s="1036">
        <v>24</v>
      </c>
      <c r="H98" s="1034"/>
      <c r="I98" s="1017"/>
      <c r="J98" s="1040"/>
      <c r="K98" s="1036"/>
      <c r="L98" s="1034"/>
      <c r="M98" s="1017"/>
      <c r="N98" s="1040"/>
      <c r="O98" s="1036"/>
      <c r="P98" s="1034"/>
      <c r="Q98" s="1017"/>
      <c r="R98" s="1040"/>
      <c r="S98" s="1036"/>
      <c r="T98" s="1034"/>
      <c r="U98" s="1017"/>
      <c r="V98" s="1040"/>
      <c r="W98" s="1036"/>
      <c r="X98" s="1034"/>
      <c r="Y98" s="1017"/>
      <c r="Z98" s="1040"/>
      <c r="AA98" s="1043"/>
      <c r="AB98" s="1034"/>
      <c r="AC98" s="1017"/>
      <c r="AD98" s="1040"/>
      <c r="AE98" s="1043"/>
      <c r="AF98" s="1034"/>
      <c r="AG98" s="1017"/>
      <c r="AH98" s="1040"/>
      <c r="AI98" s="1043"/>
      <c r="AJ98" s="1034"/>
      <c r="AK98" s="1017"/>
      <c r="AL98" s="1040"/>
      <c r="AM98" s="1043"/>
      <c r="AN98" s="1034"/>
      <c r="AO98" s="1017"/>
      <c r="AP98" s="1040"/>
      <c r="AQ98" s="1043"/>
      <c r="AR98" s="1034"/>
      <c r="AS98" s="1017"/>
      <c r="AT98" s="1040"/>
      <c r="AU98" s="1043"/>
      <c r="AV98" s="1034"/>
      <c r="AW98" s="1017"/>
      <c r="AX98" s="1019"/>
      <c r="AY98" s="1043"/>
      <c r="AZ98" s="1034"/>
      <c r="BA98" s="1017"/>
      <c r="BB98" s="1019"/>
      <c r="BC98" s="1043"/>
      <c r="BD98" s="1034"/>
      <c r="BE98" s="1017">
        <v>42734</v>
      </c>
      <c r="BF98" s="1019" t="s">
        <v>11543</v>
      </c>
      <c r="BG98" s="1063">
        <v>38</v>
      </c>
      <c r="BH98" s="1034"/>
      <c r="BI98" s="1017">
        <v>43093</v>
      </c>
      <c r="BJ98" s="1019" t="s">
        <v>1180</v>
      </c>
      <c r="BK98" s="1063">
        <v>68</v>
      </c>
      <c r="BL98" s="1034"/>
      <c r="BM98" s="1391"/>
      <c r="BN98" s="1393"/>
      <c r="BO98" s="1398"/>
      <c r="BP98" s="1399"/>
      <c r="BQ98" s="1391">
        <v>43827</v>
      </c>
      <c r="BR98" s="1393" t="s">
        <v>11544</v>
      </c>
      <c r="BS98" s="1409">
        <v>17</v>
      </c>
      <c r="BT98" s="1392" t="s">
        <v>381</v>
      </c>
      <c r="BU98" s="1391">
        <v>44196</v>
      </c>
      <c r="BV98" s="1393" t="s">
        <v>11545</v>
      </c>
      <c r="BW98" s="1406">
        <v>11</v>
      </c>
      <c r="BX98" s="1392" t="s">
        <v>414</v>
      </c>
      <c r="BY98" s="1391">
        <v>44555</v>
      </c>
      <c r="BZ98" s="1393" t="s">
        <v>1180</v>
      </c>
      <c r="CA98" s="1406">
        <v>47</v>
      </c>
      <c r="CB98" s="1392" t="s">
        <v>410</v>
      </c>
      <c r="CC98" s="1391">
        <v>44922</v>
      </c>
      <c r="CD98" s="1393" t="s">
        <v>11546</v>
      </c>
      <c r="CE98" s="1406">
        <v>51</v>
      </c>
      <c r="CF98" s="1392" t="s">
        <v>414</v>
      </c>
      <c r="CG98" s="1391">
        <v>45291</v>
      </c>
      <c r="CH98" s="1393" t="s">
        <v>11547</v>
      </c>
      <c r="CI98" s="1406">
        <v>27</v>
      </c>
      <c r="CJ98" s="1392" t="s">
        <v>278</v>
      </c>
      <c r="CK98" s="1391"/>
      <c r="CL98" s="1393"/>
      <c r="CM98" s="2042"/>
      <c r="CN98" s="1392"/>
    </row>
    <row r="99" spans="1:92" ht="13.5">
      <c r="A99" s="1077"/>
      <c r="B99" s="1040"/>
      <c r="C99" s="1036"/>
      <c r="D99" s="1034"/>
      <c r="E99" s="1017">
        <v>37985</v>
      </c>
      <c r="F99" s="1040" t="s">
        <v>2949</v>
      </c>
      <c r="G99" s="1036">
        <v>24</v>
      </c>
      <c r="H99" s="1034"/>
      <c r="I99" s="1017"/>
      <c r="J99" s="1040"/>
      <c r="K99" s="1036"/>
      <c r="L99" s="1034"/>
      <c r="M99" s="1017"/>
      <c r="N99" s="1040"/>
      <c r="O99" s="1036"/>
      <c r="P99" s="1034"/>
      <c r="Q99" s="1017"/>
      <c r="R99" s="1040"/>
      <c r="S99" s="1036"/>
      <c r="T99" s="1034"/>
      <c r="U99" s="1017"/>
      <c r="V99" s="1040"/>
      <c r="W99" s="1036"/>
      <c r="X99" s="1034"/>
      <c r="Y99" s="1017"/>
      <c r="Z99" s="1040"/>
      <c r="AA99" s="1043"/>
      <c r="AB99" s="1034"/>
      <c r="AC99" s="1017"/>
      <c r="AD99" s="1040"/>
      <c r="AE99" s="1043"/>
      <c r="AF99" s="1034"/>
      <c r="AG99" s="1017"/>
      <c r="AH99" s="1040"/>
      <c r="AI99" s="1043"/>
      <c r="AJ99" s="1034"/>
      <c r="AK99" s="1017"/>
      <c r="AL99" s="1040"/>
      <c r="AM99" s="1043"/>
      <c r="AN99" s="1034"/>
      <c r="AO99" s="1017"/>
      <c r="AP99" s="1040"/>
      <c r="AQ99" s="1043"/>
      <c r="AR99" s="1034"/>
      <c r="AS99" s="1017"/>
      <c r="AT99" s="1040"/>
      <c r="AU99" s="1043"/>
      <c r="AV99" s="1034"/>
      <c r="AW99" s="1017"/>
      <c r="AX99" s="1019"/>
      <c r="AY99" s="1043"/>
      <c r="AZ99" s="1034"/>
      <c r="BA99" s="1017"/>
      <c r="BB99" s="1019"/>
      <c r="BC99" s="1043"/>
      <c r="BD99" s="1034"/>
      <c r="BE99" s="1017">
        <v>42734</v>
      </c>
      <c r="BF99" s="1019" t="s">
        <v>11548</v>
      </c>
      <c r="BG99" s="1063">
        <v>2</v>
      </c>
      <c r="BH99" s="1034"/>
      <c r="BI99" s="1017">
        <v>43095</v>
      </c>
      <c r="BJ99" s="1019" t="s">
        <v>872</v>
      </c>
      <c r="BK99" s="1063">
        <v>15</v>
      </c>
      <c r="BL99" s="1034"/>
      <c r="BM99" s="1391"/>
      <c r="BN99" s="1393"/>
      <c r="BO99" s="1398"/>
      <c r="BP99" s="1399"/>
      <c r="BQ99" s="1391">
        <v>43827</v>
      </c>
      <c r="BR99" s="1393" t="s">
        <v>1180</v>
      </c>
      <c r="BS99" s="1409">
        <v>45</v>
      </c>
      <c r="BT99" s="1392" t="s">
        <v>410</v>
      </c>
      <c r="BU99" s="1391">
        <v>44196</v>
      </c>
      <c r="BV99" s="1393" t="s">
        <v>11549</v>
      </c>
      <c r="BW99" s="1406">
        <v>763</v>
      </c>
      <c r="BX99" s="1392" t="s">
        <v>280</v>
      </c>
      <c r="BY99" s="1391">
        <v>44556</v>
      </c>
      <c r="BZ99" s="1393" t="s">
        <v>843</v>
      </c>
      <c r="CA99" s="1406">
        <v>33</v>
      </c>
      <c r="CB99" s="1392" t="s">
        <v>414</v>
      </c>
      <c r="CC99" s="1391">
        <v>44923</v>
      </c>
      <c r="CD99" s="1393" t="s">
        <v>4574</v>
      </c>
      <c r="CE99" s="1406">
        <v>7</v>
      </c>
      <c r="CF99" s="1392" t="s">
        <v>278</v>
      </c>
      <c r="CG99" s="1391">
        <v>45291</v>
      </c>
      <c r="CH99" s="1393" t="s">
        <v>11550</v>
      </c>
      <c r="CI99" s="1406">
        <v>37</v>
      </c>
      <c r="CJ99" s="1392" t="s">
        <v>707</v>
      </c>
      <c r="CK99" s="1391"/>
      <c r="CL99" s="1393"/>
      <c r="CM99" s="2042"/>
      <c r="CN99" s="1392"/>
    </row>
    <row r="100" spans="1:92" ht="13.5">
      <c r="A100" s="1077"/>
      <c r="B100" s="1040"/>
      <c r="C100" s="1036"/>
      <c r="D100" s="1034"/>
      <c r="E100" s="1017">
        <v>37985</v>
      </c>
      <c r="F100" s="1040" t="s">
        <v>11551</v>
      </c>
      <c r="G100" s="1036">
        <v>18</v>
      </c>
      <c r="H100" s="1034"/>
      <c r="I100" s="1017"/>
      <c r="J100" s="1040"/>
      <c r="K100" s="1036"/>
      <c r="L100" s="1034"/>
      <c r="M100" s="1017"/>
      <c r="N100" s="1040"/>
      <c r="O100" s="1036"/>
      <c r="P100" s="1034"/>
      <c r="Q100" s="1017"/>
      <c r="R100" s="1040"/>
      <c r="S100" s="1036"/>
      <c r="T100" s="1034"/>
      <c r="U100" s="1017"/>
      <c r="V100" s="1040"/>
      <c r="W100" s="1036"/>
      <c r="X100" s="1034"/>
      <c r="Y100" s="1017"/>
      <c r="Z100" s="1040"/>
      <c r="AA100" s="1043"/>
      <c r="AB100" s="1034"/>
      <c r="AC100" s="1017"/>
      <c r="AD100" s="1040"/>
      <c r="AE100" s="1043"/>
      <c r="AF100" s="1034"/>
      <c r="AG100" s="1017"/>
      <c r="AH100" s="1040"/>
      <c r="AI100" s="1043"/>
      <c r="AJ100" s="1034"/>
      <c r="AK100" s="1017"/>
      <c r="AL100" s="1040"/>
      <c r="AM100" s="1043"/>
      <c r="AN100" s="1034"/>
      <c r="AO100" s="1017"/>
      <c r="AP100" s="1040"/>
      <c r="AQ100" s="1043"/>
      <c r="AR100" s="1034"/>
      <c r="AS100" s="1017"/>
      <c r="AT100" s="1040"/>
      <c r="AU100" s="1043"/>
      <c r="AV100" s="1034"/>
      <c r="AW100" s="1017"/>
      <c r="AX100" s="1019"/>
      <c r="AY100" s="1043"/>
      <c r="AZ100" s="1034"/>
      <c r="BA100" s="1017"/>
      <c r="BB100" s="1019"/>
      <c r="BC100" s="1043"/>
      <c r="BD100" s="1034"/>
      <c r="BE100" s="1017">
        <v>42734</v>
      </c>
      <c r="BF100" s="1019" t="s">
        <v>11552</v>
      </c>
      <c r="BG100" s="1063">
        <v>10</v>
      </c>
      <c r="BH100" s="1034"/>
      <c r="BI100" s="1017">
        <v>43095</v>
      </c>
      <c r="BJ100" s="1019" t="s">
        <v>823</v>
      </c>
      <c r="BK100" s="1063">
        <v>34</v>
      </c>
      <c r="BL100" s="1034"/>
      <c r="BM100" s="1391"/>
      <c r="BN100" s="1393"/>
      <c r="BO100" s="1398"/>
      <c r="BP100" s="1399"/>
      <c r="BQ100" s="1391">
        <v>43828</v>
      </c>
      <c r="BR100" s="1393" t="s">
        <v>11517</v>
      </c>
      <c r="BS100" s="1409">
        <v>19</v>
      </c>
      <c r="BT100" s="1392" t="s">
        <v>414</v>
      </c>
      <c r="BU100" s="1391"/>
      <c r="BV100" s="1393"/>
      <c r="BW100" s="1406"/>
      <c r="BX100" s="1392"/>
      <c r="BY100" s="1391">
        <v>44556</v>
      </c>
      <c r="BZ100" s="1393" t="s">
        <v>772</v>
      </c>
      <c r="CA100" s="1406">
        <v>19</v>
      </c>
      <c r="CB100" s="1392" t="s">
        <v>414</v>
      </c>
      <c r="CC100" s="1391">
        <v>44923</v>
      </c>
      <c r="CD100" s="1393" t="s">
        <v>1235</v>
      </c>
      <c r="CE100" s="1406">
        <v>8</v>
      </c>
      <c r="CF100" s="1392" t="s">
        <v>278</v>
      </c>
      <c r="CG100" s="1391">
        <v>45291</v>
      </c>
      <c r="CH100" s="1393" t="s">
        <v>11553</v>
      </c>
      <c r="CI100" s="1406">
        <v>10</v>
      </c>
      <c r="CJ100" s="1392" t="s">
        <v>278</v>
      </c>
      <c r="CK100" s="1391"/>
      <c r="CL100" s="1393"/>
      <c r="CM100" s="2042"/>
      <c r="CN100" s="1392"/>
    </row>
    <row r="101" spans="1:92" ht="13.5">
      <c r="A101" s="1077"/>
      <c r="B101" s="1040"/>
      <c r="C101" s="1036"/>
      <c r="D101" s="1034"/>
      <c r="E101" s="1017">
        <v>38352</v>
      </c>
      <c r="F101" s="1040" t="s">
        <v>11554</v>
      </c>
      <c r="G101" s="1036">
        <v>34</v>
      </c>
      <c r="H101" s="1034"/>
      <c r="I101" s="1017"/>
      <c r="J101" s="1040"/>
      <c r="K101" s="1036"/>
      <c r="L101" s="1034"/>
      <c r="M101" s="1017"/>
      <c r="N101" s="1040"/>
      <c r="O101" s="1036"/>
      <c r="P101" s="1034"/>
      <c r="Q101" s="1017"/>
      <c r="R101" s="1040"/>
      <c r="S101" s="1036"/>
      <c r="T101" s="1034"/>
      <c r="U101" s="1017"/>
      <c r="V101" s="1040"/>
      <c r="W101" s="1036"/>
      <c r="X101" s="1034"/>
      <c r="Y101" s="1017"/>
      <c r="Z101" s="1040"/>
      <c r="AA101" s="1043"/>
      <c r="AB101" s="1034"/>
      <c r="AC101" s="1017"/>
      <c r="AD101" s="1040"/>
      <c r="AE101" s="1043"/>
      <c r="AF101" s="1034"/>
      <c r="AG101" s="1017"/>
      <c r="AH101" s="1040"/>
      <c r="AI101" s="1043"/>
      <c r="AJ101" s="1034"/>
      <c r="AK101" s="1017"/>
      <c r="AL101" s="1040"/>
      <c r="AM101" s="1043"/>
      <c r="AN101" s="1034"/>
      <c r="AO101" s="1017"/>
      <c r="AP101" s="1040"/>
      <c r="AQ101" s="1043"/>
      <c r="AR101" s="1034"/>
      <c r="AS101" s="1017"/>
      <c r="AT101" s="1040"/>
      <c r="AU101" s="1043"/>
      <c r="AV101" s="1034"/>
      <c r="AW101" s="1017"/>
      <c r="AX101" s="1019"/>
      <c r="AY101" s="1043"/>
      <c r="AZ101" s="1034"/>
      <c r="BA101" s="1017"/>
      <c r="BB101" s="1019"/>
      <c r="BC101" s="1043"/>
      <c r="BD101" s="1034"/>
      <c r="BE101" s="1017">
        <v>42734</v>
      </c>
      <c r="BF101" s="1019" t="s">
        <v>11555</v>
      </c>
      <c r="BG101" s="1063">
        <v>147</v>
      </c>
      <c r="BH101" s="1034"/>
      <c r="BI101" s="1017">
        <v>43096</v>
      </c>
      <c r="BJ101" s="1019" t="s">
        <v>11556</v>
      </c>
      <c r="BK101" s="1063">
        <v>40</v>
      </c>
      <c r="BL101" s="1034"/>
      <c r="BM101" s="1391"/>
      <c r="BN101" s="1393"/>
      <c r="BO101" s="1398"/>
      <c r="BP101" s="1399"/>
      <c r="BQ101" s="1391">
        <v>43828</v>
      </c>
      <c r="BR101" s="1393" t="s">
        <v>2895</v>
      </c>
      <c r="BS101" s="1409">
        <v>5</v>
      </c>
      <c r="BT101" s="1392" t="s">
        <v>414</v>
      </c>
      <c r="BU101" s="1391"/>
      <c r="BV101" s="1393"/>
      <c r="BW101" s="1406"/>
      <c r="BX101" s="1392"/>
      <c r="BY101" s="1391">
        <v>44556</v>
      </c>
      <c r="BZ101" s="1393" t="s">
        <v>845</v>
      </c>
      <c r="CA101" s="1406">
        <v>19</v>
      </c>
      <c r="CB101" s="1392" t="s">
        <v>414</v>
      </c>
      <c r="CC101" s="1391">
        <v>44557</v>
      </c>
      <c r="CD101" s="1393" t="s">
        <v>11527</v>
      </c>
      <c r="CE101" s="1406">
        <v>49</v>
      </c>
      <c r="CF101" s="1392" t="s">
        <v>436</v>
      </c>
      <c r="CG101" s="1391">
        <v>45291</v>
      </c>
      <c r="CH101" s="1393" t="s">
        <v>797</v>
      </c>
      <c r="CI101" s="1406">
        <v>75</v>
      </c>
      <c r="CJ101" s="1392" t="s">
        <v>410</v>
      </c>
      <c r="CK101" s="1391"/>
      <c r="CL101" s="1393"/>
      <c r="CM101" s="2042"/>
      <c r="CN101" s="1392"/>
    </row>
    <row r="102" spans="1:92" ht="13.5">
      <c r="A102" s="1077"/>
      <c r="B102" s="1040"/>
      <c r="C102" s="1036"/>
      <c r="D102" s="1034"/>
      <c r="E102" s="1017">
        <v>38352</v>
      </c>
      <c r="F102" s="1040" t="s">
        <v>11557</v>
      </c>
      <c r="G102" s="1036">
        <v>42</v>
      </c>
      <c r="H102" s="1034"/>
      <c r="I102" s="1017"/>
      <c r="J102" s="1040"/>
      <c r="K102" s="1036"/>
      <c r="L102" s="1034"/>
      <c r="M102" s="1017"/>
      <c r="N102" s="1040"/>
      <c r="O102" s="1036"/>
      <c r="P102" s="1034"/>
      <c r="Q102" s="1017"/>
      <c r="R102" s="1040"/>
      <c r="S102" s="1036"/>
      <c r="T102" s="1034"/>
      <c r="U102" s="1017"/>
      <c r="V102" s="1040"/>
      <c r="W102" s="1036"/>
      <c r="X102" s="1034"/>
      <c r="Y102" s="1017"/>
      <c r="Z102" s="1040"/>
      <c r="AA102" s="1043"/>
      <c r="AB102" s="1034"/>
      <c r="AC102" s="1017"/>
      <c r="AD102" s="1040"/>
      <c r="AE102" s="1043"/>
      <c r="AF102" s="1034"/>
      <c r="AG102" s="1017"/>
      <c r="AH102" s="1040"/>
      <c r="AI102" s="1043"/>
      <c r="AJ102" s="1034"/>
      <c r="AK102" s="1017"/>
      <c r="AL102" s="1040"/>
      <c r="AM102" s="1043"/>
      <c r="AN102" s="1034"/>
      <c r="AO102" s="1017"/>
      <c r="AP102" s="1040"/>
      <c r="AQ102" s="1043"/>
      <c r="AR102" s="1034"/>
      <c r="AS102" s="1017"/>
      <c r="AT102" s="1040"/>
      <c r="AU102" s="1043"/>
      <c r="AV102" s="1034"/>
      <c r="AW102" s="1017"/>
      <c r="AX102" s="1019"/>
      <c r="AY102" s="1043"/>
      <c r="AZ102" s="1034"/>
      <c r="BA102" s="1017"/>
      <c r="BB102" s="1019"/>
      <c r="BC102" s="1043"/>
      <c r="BD102" s="1034"/>
      <c r="BE102" s="1017">
        <v>42734</v>
      </c>
      <c r="BF102" s="1019" t="s">
        <v>823</v>
      </c>
      <c r="BG102" s="1063">
        <v>34</v>
      </c>
      <c r="BH102" s="1034"/>
      <c r="BI102" s="1017">
        <v>43098</v>
      </c>
      <c r="BJ102" s="1019" t="s">
        <v>872</v>
      </c>
      <c r="BK102" s="1063">
        <v>38</v>
      </c>
      <c r="BL102" s="1034"/>
      <c r="BM102" s="1391"/>
      <c r="BN102" s="1393"/>
      <c r="BO102" s="1398"/>
      <c r="BP102" s="1399"/>
      <c r="BQ102" s="1391">
        <v>43829</v>
      </c>
      <c r="BR102" s="1393" t="s">
        <v>11558</v>
      </c>
      <c r="BS102" s="1409">
        <f>371+66</f>
        <v>437</v>
      </c>
      <c r="BT102" s="1392"/>
      <c r="BU102" s="1391"/>
      <c r="BV102" s="1393"/>
      <c r="BW102" s="1406"/>
      <c r="BX102" s="1392"/>
      <c r="BY102" s="1391">
        <v>44556</v>
      </c>
      <c r="BZ102" s="1393" t="s">
        <v>872</v>
      </c>
      <c r="CA102" s="1406">
        <v>9</v>
      </c>
      <c r="CB102" s="1392" t="s">
        <v>414</v>
      </c>
      <c r="CC102" s="1391">
        <v>44924</v>
      </c>
      <c r="CD102" s="1393" t="s">
        <v>781</v>
      </c>
      <c r="CE102" s="1406">
        <v>60</v>
      </c>
      <c r="CF102" s="1392" t="s">
        <v>414</v>
      </c>
      <c r="CG102" s="1394">
        <v>45291</v>
      </c>
      <c r="CH102" s="1431" t="s">
        <v>11559</v>
      </c>
      <c r="CI102" s="1432">
        <f>SUM(CI103:CI107)</f>
        <v>3909</v>
      </c>
      <c r="CJ102" s="1433">
        <f>CI103/$CI$103</f>
        <v>1</v>
      </c>
      <c r="CK102" s="1391"/>
      <c r="CL102" s="1393"/>
      <c r="CM102" s="2042"/>
      <c r="CN102" s="1392"/>
    </row>
    <row r="103" spans="1:92" ht="13.5">
      <c r="A103" s="1077"/>
      <c r="B103" s="1040"/>
      <c r="C103" s="1036"/>
      <c r="D103" s="1034"/>
      <c r="E103" s="1017">
        <v>38352</v>
      </c>
      <c r="F103" s="1040" t="s">
        <v>11560</v>
      </c>
      <c r="G103" s="1036">
        <v>21</v>
      </c>
      <c r="H103" s="1034"/>
      <c r="I103" s="1017"/>
      <c r="J103" s="1040"/>
      <c r="K103" s="1036"/>
      <c r="L103" s="1034"/>
      <c r="M103" s="1017"/>
      <c r="N103" s="1040"/>
      <c r="O103" s="1036"/>
      <c r="P103" s="1034"/>
      <c r="Q103" s="1017"/>
      <c r="R103" s="1040"/>
      <c r="S103" s="1036"/>
      <c r="T103" s="1034"/>
      <c r="U103" s="1017"/>
      <c r="V103" s="1040"/>
      <c r="W103" s="1036"/>
      <c r="X103" s="1034"/>
      <c r="Y103" s="1017"/>
      <c r="Z103" s="1040"/>
      <c r="AA103" s="1043"/>
      <c r="AB103" s="1034"/>
      <c r="AC103" s="1017"/>
      <c r="AD103" s="1040"/>
      <c r="AE103" s="1043"/>
      <c r="AF103" s="1034"/>
      <c r="AG103" s="1017"/>
      <c r="AH103" s="1040"/>
      <c r="AI103" s="1043"/>
      <c r="AJ103" s="1034"/>
      <c r="AK103" s="1017"/>
      <c r="AL103" s="1040"/>
      <c r="AM103" s="1043"/>
      <c r="AN103" s="1034"/>
      <c r="AO103" s="1017"/>
      <c r="AP103" s="1040"/>
      <c r="AQ103" s="1043"/>
      <c r="AR103" s="1034"/>
      <c r="AS103" s="1017"/>
      <c r="AT103" s="1040"/>
      <c r="AU103" s="1043"/>
      <c r="AV103" s="1034"/>
      <c r="AW103" s="1017"/>
      <c r="AX103" s="1019"/>
      <c r="AY103" s="1043"/>
      <c r="AZ103" s="1034"/>
      <c r="BA103" s="1017"/>
      <c r="BB103" s="1019"/>
      <c r="BC103" s="1043"/>
      <c r="BD103" s="1034"/>
      <c r="BE103" s="1017">
        <v>42734</v>
      </c>
      <c r="BF103" s="1019" t="s">
        <v>11561</v>
      </c>
      <c r="BG103" s="1063">
        <v>3</v>
      </c>
      <c r="BH103" s="1034"/>
      <c r="BI103" s="1017">
        <v>43098</v>
      </c>
      <c r="BJ103" s="1019" t="s">
        <v>790</v>
      </c>
      <c r="BK103" s="1063">
        <v>8</v>
      </c>
      <c r="BL103" s="1034"/>
      <c r="BM103" s="1391"/>
      <c r="BN103" s="1393"/>
      <c r="BO103" s="1398"/>
      <c r="BP103" s="1399"/>
      <c r="BQ103" s="1391">
        <v>43829</v>
      </c>
      <c r="BR103" s="1393" t="s">
        <v>11562</v>
      </c>
      <c r="BS103" s="1409">
        <v>55</v>
      </c>
      <c r="BT103" s="1392" t="s">
        <v>426</v>
      </c>
      <c r="BU103" s="1391"/>
      <c r="BV103" s="1393"/>
      <c r="BW103" s="1406"/>
      <c r="BX103" s="1392"/>
      <c r="BY103" s="1391">
        <v>44556</v>
      </c>
      <c r="BZ103" s="1393" t="s">
        <v>1235</v>
      </c>
      <c r="CA103" s="1406">
        <v>7</v>
      </c>
      <c r="CB103" s="1392" t="s">
        <v>278</v>
      </c>
      <c r="CC103" s="1391">
        <v>44925</v>
      </c>
      <c r="CD103" s="1393" t="s">
        <v>843</v>
      </c>
      <c r="CE103" s="1406">
        <v>16</v>
      </c>
      <c r="CF103" s="1392" t="s">
        <v>414</v>
      </c>
      <c r="CG103" s="1394">
        <v>45291</v>
      </c>
      <c r="CH103" s="1434" t="s">
        <v>5017</v>
      </c>
      <c r="CI103" s="1432">
        <v>1262</v>
      </c>
      <c r="CJ103" s="1433">
        <f>CI104/$CI$103</f>
        <v>0.73692551505546755</v>
      </c>
      <c r="CK103" s="1391"/>
      <c r="CL103" s="1393"/>
      <c r="CM103" s="2042"/>
      <c r="CN103" s="1392"/>
    </row>
    <row r="104" spans="1:92" ht="13.5">
      <c r="A104" s="1077"/>
      <c r="B104" s="1040"/>
      <c r="C104" s="1036"/>
      <c r="D104" s="1034"/>
      <c r="E104" s="1017">
        <v>38352</v>
      </c>
      <c r="F104" s="1040" t="s">
        <v>11563</v>
      </c>
      <c r="G104" s="1036">
        <v>5</v>
      </c>
      <c r="H104" s="1034"/>
      <c r="I104" s="1017"/>
      <c r="J104" s="1040"/>
      <c r="K104" s="1036"/>
      <c r="L104" s="1034"/>
      <c r="M104" s="1017"/>
      <c r="N104" s="1040"/>
      <c r="O104" s="1036"/>
      <c r="P104" s="1034"/>
      <c r="Q104" s="1017"/>
      <c r="R104" s="1040"/>
      <c r="S104" s="1036"/>
      <c r="T104" s="1034"/>
      <c r="U104" s="1017"/>
      <c r="V104" s="1040"/>
      <c r="W104" s="1036"/>
      <c r="X104" s="1034"/>
      <c r="Y104" s="1017"/>
      <c r="Z104" s="1040"/>
      <c r="AA104" s="1043"/>
      <c r="AB104" s="1034"/>
      <c r="AC104" s="1017"/>
      <c r="AD104" s="1040"/>
      <c r="AE104" s="1043"/>
      <c r="AF104" s="1034"/>
      <c r="AG104" s="1017"/>
      <c r="AH104" s="1040"/>
      <c r="AI104" s="1043"/>
      <c r="AJ104" s="1034"/>
      <c r="AK104" s="1017"/>
      <c r="AL104" s="1040"/>
      <c r="AM104" s="1043"/>
      <c r="AN104" s="1034"/>
      <c r="AO104" s="1017"/>
      <c r="AP104" s="1040"/>
      <c r="AQ104" s="1043"/>
      <c r="AR104" s="1034"/>
      <c r="AS104" s="1017"/>
      <c r="AT104" s="1040"/>
      <c r="AU104" s="1043"/>
      <c r="AV104" s="1034"/>
      <c r="AW104" s="1017"/>
      <c r="AX104" s="1019"/>
      <c r="AY104" s="1043"/>
      <c r="AZ104" s="1034"/>
      <c r="BA104" s="1017"/>
      <c r="BB104" s="1019"/>
      <c r="BC104" s="1043"/>
      <c r="BD104" s="1034"/>
      <c r="BE104" s="1017">
        <v>42735</v>
      </c>
      <c r="BF104" s="1019" t="s">
        <v>11564</v>
      </c>
      <c r="BG104" s="1063">
        <v>38</v>
      </c>
      <c r="BH104" s="1034"/>
      <c r="BI104" s="1017">
        <v>43098</v>
      </c>
      <c r="BJ104" s="1019" t="s">
        <v>11565</v>
      </c>
      <c r="BK104" s="1063">
        <v>7</v>
      </c>
      <c r="BL104" s="1034"/>
      <c r="BM104" s="1391"/>
      <c r="BN104" s="1393"/>
      <c r="BO104" s="1398"/>
      <c r="BP104" s="1399"/>
      <c r="BQ104" s="1391">
        <v>43829</v>
      </c>
      <c r="BR104" s="1393" t="s">
        <v>11566</v>
      </c>
      <c r="BS104" s="1409">
        <v>0</v>
      </c>
      <c r="BT104" s="1392" t="s">
        <v>426</v>
      </c>
      <c r="BU104" s="1391"/>
      <c r="BV104" s="1393"/>
      <c r="BW104" s="1406"/>
      <c r="BX104" s="1392"/>
      <c r="BY104" s="1391">
        <v>44556</v>
      </c>
      <c r="BZ104" s="1393" t="s">
        <v>3868</v>
      </c>
      <c r="CA104" s="1406">
        <v>7</v>
      </c>
      <c r="CB104" s="1392" t="s">
        <v>278</v>
      </c>
      <c r="CC104" s="1391">
        <v>44925</v>
      </c>
      <c r="CD104" s="1393" t="s">
        <v>11420</v>
      </c>
      <c r="CE104" s="1406">
        <v>12</v>
      </c>
      <c r="CF104" s="1392" t="s">
        <v>414</v>
      </c>
      <c r="CG104" s="1394">
        <v>45291</v>
      </c>
      <c r="CH104" s="1435" t="s">
        <v>11567</v>
      </c>
      <c r="CI104" s="1436">
        <v>930</v>
      </c>
      <c r="CJ104" s="1433">
        <f>CI105/$CI$103</f>
        <v>0.40570522979397783</v>
      </c>
      <c r="CK104" s="1391"/>
      <c r="CL104" s="1393"/>
      <c r="CM104" s="2042"/>
      <c r="CN104" s="1392"/>
    </row>
    <row r="105" spans="1:92" ht="13.5">
      <c r="A105" s="1077"/>
      <c r="B105" s="1040"/>
      <c r="C105" s="1036"/>
      <c r="D105" s="1034"/>
      <c r="E105" s="1017">
        <v>38352</v>
      </c>
      <c r="F105" s="1040" t="s">
        <v>11568</v>
      </c>
      <c r="G105" s="1036">
        <v>22</v>
      </c>
      <c r="H105" s="1034"/>
      <c r="I105" s="1017"/>
      <c r="J105" s="1040"/>
      <c r="K105" s="1036"/>
      <c r="L105" s="1034"/>
      <c r="M105" s="1017"/>
      <c r="N105" s="1040"/>
      <c r="O105" s="1036"/>
      <c r="P105" s="1034"/>
      <c r="Q105" s="1017"/>
      <c r="R105" s="1040"/>
      <c r="S105" s="1036"/>
      <c r="T105" s="1034"/>
      <c r="U105" s="1017"/>
      <c r="V105" s="1040"/>
      <c r="W105" s="1036"/>
      <c r="X105" s="1034"/>
      <c r="Y105" s="1017"/>
      <c r="Z105" s="1040"/>
      <c r="AA105" s="1043"/>
      <c r="AB105" s="1034"/>
      <c r="AC105" s="1017"/>
      <c r="AD105" s="1040"/>
      <c r="AE105" s="1043"/>
      <c r="AF105" s="1034"/>
      <c r="AG105" s="1017"/>
      <c r="AH105" s="1040"/>
      <c r="AI105" s="1043"/>
      <c r="AJ105" s="1034"/>
      <c r="AK105" s="1017"/>
      <c r="AL105" s="1040"/>
      <c r="AM105" s="1043"/>
      <c r="AN105" s="1034"/>
      <c r="AO105" s="1017"/>
      <c r="AP105" s="1040"/>
      <c r="AQ105" s="1043"/>
      <c r="AR105" s="1034"/>
      <c r="AS105" s="1017"/>
      <c r="AT105" s="1040"/>
      <c r="AU105" s="1043"/>
      <c r="AV105" s="1034"/>
      <c r="AW105" s="1017"/>
      <c r="AX105" s="1019"/>
      <c r="AY105" s="1043"/>
      <c r="AZ105" s="1034"/>
      <c r="BA105" s="1017"/>
      <c r="BB105" s="1019"/>
      <c r="BC105" s="1043"/>
      <c r="BD105" s="1034"/>
      <c r="BE105" s="1017">
        <v>42735</v>
      </c>
      <c r="BF105" s="1019" t="s">
        <v>11569</v>
      </c>
      <c r="BG105" s="1063">
        <v>12</v>
      </c>
      <c r="BH105" s="1034"/>
      <c r="BI105" s="1017">
        <v>43098</v>
      </c>
      <c r="BJ105" s="1019" t="s">
        <v>11570</v>
      </c>
      <c r="BK105" s="1063">
        <v>10</v>
      </c>
      <c r="BL105" s="1034"/>
      <c r="BM105" s="1391"/>
      <c r="BN105" s="1393"/>
      <c r="BO105" s="1398"/>
      <c r="BP105" s="1399"/>
      <c r="BQ105" s="1391">
        <v>44196</v>
      </c>
      <c r="BR105" s="1393" t="s">
        <v>948</v>
      </c>
      <c r="BS105" s="1409">
        <v>12</v>
      </c>
      <c r="BT105" s="1392" t="s">
        <v>414</v>
      </c>
      <c r="BU105" s="1391"/>
      <c r="BV105" s="1393"/>
      <c r="BW105" s="1406"/>
      <c r="BX105" s="1392"/>
      <c r="BY105" s="1391">
        <v>44557</v>
      </c>
      <c r="BZ105" s="1393" t="s">
        <v>11527</v>
      </c>
      <c r="CA105" s="1406">
        <v>49</v>
      </c>
      <c r="CB105" s="1392" t="s">
        <v>436</v>
      </c>
      <c r="CC105" s="1391"/>
      <c r="CD105" s="1393"/>
      <c r="CE105" s="1406"/>
      <c r="CF105" s="1392"/>
      <c r="CG105" s="1394">
        <v>45291</v>
      </c>
      <c r="CH105" s="1435" t="s">
        <v>11571</v>
      </c>
      <c r="CI105" s="1436">
        <v>512</v>
      </c>
      <c r="CJ105" s="1433">
        <f>CI106/$CI$103</f>
        <v>0.79873217115689377</v>
      </c>
      <c r="CK105" s="1391"/>
      <c r="CL105" s="1393"/>
      <c r="CM105" s="2042"/>
      <c r="CN105" s="1392"/>
    </row>
    <row r="106" spans="1:92" ht="13.5">
      <c r="A106" s="1077"/>
      <c r="B106" s="1040"/>
      <c r="C106" s="1036"/>
      <c r="D106" s="1034"/>
      <c r="E106" s="1017">
        <v>38352</v>
      </c>
      <c r="F106" s="1040" t="s">
        <v>11572</v>
      </c>
      <c r="G106" s="1036">
        <v>10</v>
      </c>
      <c r="H106" s="1034"/>
      <c r="I106" s="1017"/>
      <c r="J106" s="1040"/>
      <c r="K106" s="1036"/>
      <c r="L106" s="1034"/>
      <c r="M106" s="1017"/>
      <c r="N106" s="1040"/>
      <c r="O106" s="1036"/>
      <c r="P106" s="1034"/>
      <c r="Q106" s="1017"/>
      <c r="R106" s="1040"/>
      <c r="S106" s="1036"/>
      <c r="T106" s="1034"/>
      <c r="U106" s="1017"/>
      <c r="V106" s="1040"/>
      <c r="W106" s="1036"/>
      <c r="X106" s="1034"/>
      <c r="Y106" s="1017"/>
      <c r="Z106" s="1040"/>
      <c r="AA106" s="1043"/>
      <c r="AB106" s="1034"/>
      <c r="AC106" s="1017"/>
      <c r="AD106" s="1040"/>
      <c r="AE106" s="1043"/>
      <c r="AF106" s="1034"/>
      <c r="AG106" s="1017"/>
      <c r="AH106" s="1040"/>
      <c r="AI106" s="1043"/>
      <c r="AJ106" s="1034"/>
      <c r="AK106" s="1017"/>
      <c r="AL106" s="1040"/>
      <c r="AM106" s="1043"/>
      <c r="AN106" s="1034"/>
      <c r="AO106" s="1017"/>
      <c r="AP106" s="1040"/>
      <c r="AQ106" s="1043"/>
      <c r="AR106" s="1034"/>
      <c r="AS106" s="1017"/>
      <c r="AT106" s="1040"/>
      <c r="AU106" s="1043"/>
      <c r="AV106" s="1034"/>
      <c r="AW106" s="1017"/>
      <c r="AX106" s="1019"/>
      <c r="AY106" s="1043"/>
      <c r="AZ106" s="1034"/>
      <c r="BA106" s="1017"/>
      <c r="BB106" s="1019"/>
      <c r="BC106" s="1043"/>
      <c r="BD106" s="1034"/>
      <c r="BE106" s="1017"/>
      <c r="BF106" s="1019"/>
      <c r="BG106" s="1063"/>
      <c r="BH106" s="1034"/>
      <c r="BI106" s="1017">
        <v>43099</v>
      </c>
      <c r="BJ106" s="1019" t="s">
        <v>823</v>
      </c>
      <c r="BK106" s="1063">
        <v>31</v>
      </c>
      <c r="BL106" s="1034"/>
      <c r="BM106" s="1391"/>
      <c r="BN106" s="1393"/>
      <c r="BO106" s="1398"/>
      <c r="BP106" s="1399"/>
      <c r="BQ106" s="1391">
        <v>44196</v>
      </c>
      <c r="BR106" s="1393" t="s">
        <v>11573</v>
      </c>
      <c r="BS106" s="1409">
        <v>6</v>
      </c>
      <c r="BT106" s="1392" t="s">
        <v>280</v>
      </c>
      <c r="BU106" s="1391"/>
      <c r="BV106" s="1393"/>
      <c r="BW106" s="1406"/>
      <c r="BX106" s="1392"/>
      <c r="BY106" s="1391">
        <v>44558</v>
      </c>
      <c r="BZ106" s="1393" t="s">
        <v>11574</v>
      </c>
      <c r="CA106" s="1406">
        <v>18</v>
      </c>
      <c r="CB106" s="1392" t="s">
        <v>280</v>
      </c>
      <c r="CC106" s="1391"/>
      <c r="CD106" s="1393"/>
      <c r="CE106" s="1406"/>
      <c r="CF106" s="1392"/>
      <c r="CG106" s="1394">
        <v>45291</v>
      </c>
      <c r="CH106" s="1435" t="s">
        <v>278</v>
      </c>
      <c r="CI106" s="1436">
        <f>CI79+CI80+CI82+CI83+CI84+CI85+CI86+CI87+CI88+CI89+CI90+CI91+CI92+CI93+CI94+CI97+CI99+CI98+CI100+CI113</f>
        <v>1008</v>
      </c>
      <c r="CJ106" s="1433">
        <f>CI107/$CI$103</f>
        <v>0.1561014263074485</v>
      </c>
      <c r="CK106" s="1394"/>
      <c r="CL106" s="1393"/>
      <c r="CM106" s="2042"/>
      <c r="CN106" s="1433"/>
    </row>
    <row r="107" spans="1:92" ht="13.5">
      <c r="A107" s="1077"/>
      <c r="B107" s="1040"/>
      <c r="C107" s="1036"/>
      <c r="D107" s="1034"/>
      <c r="E107" s="1017"/>
      <c r="F107" s="1119"/>
      <c r="G107" s="1120"/>
      <c r="H107" s="1034"/>
      <c r="I107" s="1017"/>
      <c r="J107" s="1040"/>
      <c r="K107" s="1036"/>
      <c r="L107" s="1034"/>
      <c r="M107" s="1017"/>
      <c r="N107" s="1040"/>
      <c r="O107" s="1036"/>
      <c r="P107" s="1034"/>
      <c r="Q107" s="1017"/>
      <c r="R107" s="1040"/>
      <c r="S107" s="1036"/>
      <c r="T107" s="1034"/>
      <c r="U107" s="1017"/>
      <c r="V107" s="1040"/>
      <c r="W107" s="1036"/>
      <c r="X107" s="1034"/>
      <c r="Y107" s="1017"/>
      <c r="Z107" s="1040"/>
      <c r="AA107" s="1043"/>
      <c r="AB107" s="1034"/>
      <c r="AC107" s="1017"/>
      <c r="AD107" s="1040"/>
      <c r="AE107" s="1043"/>
      <c r="AF107" s="1034"/>
      <c r="AG107" s="1017"/>
      <c r="AH107" s="1040"/>
      <c r="AI107" s="1043"/>
      <c r="AJ107" s="1034"/>
      <c r="AK107" s="1017"/>
      <c r="AL107" s="1040"/>
      <c r="AM107" s="1043"/>
      <c r="AN107" s="1034"/>
      <c r="AO107" s="1017"/>
      <c r="AP107" s="1040"/>
      <c r="AQ107" s="1043"/>
      <c r="AR107" s="1034"/>
      <c r="AS107" s="1017"/>
      <c r="AT107" s="1040"/>
      <c r="AU107" s="1043"/>
      <c r="AV107" s="1034"/>
      <c r="AW107" s="1017"/>
      <c r="AX107" s="1019"/>
      <c r="AY107" s="1043"/>
      <c r="AZ107" s="1034"/>
      <c r="BA107" s="1017"/>
      <c r="BB107" s="1019"/>
      <c r="BC107" s="1043"/>
      <c r="BD107" s="1034"/>
      <c r="BE107" s="1017"/>
      <c r="BF107" s="1019"/>
      <c r="BG107" s="1063"/>
      <c r="BH107" s="1034"/>
      <c r="BI107" s="1017">
        <v>43100</v>
      </c>
      <c r="BJ107" s="1019" t="s">
        <v>1427</v>
      </c>
      <c r="BK107" s="1063">
        <v>12</v>
      </c>
      <c r="BL107" s="1034"/>
      <c r="BM107" s="1391"/>
      <c r="BN107" s="1393"/>
      <c r="BO107" s="1398"/>
      <c r="BP107" s="1399"/>
      <c r="BQ107" s="1391"/>
      <c r="BR107" s="1393"/>
      <c r="BS107" s="1409"/>
      <c r="BT107" s="1392"/>
      <c r="BU107" s="1391"/>
      <c r="BV107" s="1393"/>
      <c r="BW107" s="1406"/>
      <c r="BX107" s="1392"/>
      <c r="BY107" s="1391">
        <v>44558</v>
      </c>
      <c r="BZ107" s="1393" t="s">
        <v>11575</v>
      </c>
      <c r="CA107" s="1406">
        <v>13</v>
      </c>
      <c r="CB107" s="1392" t="s">
        <v>700</v>
      </c>
      <c r="CC107" s="1391"/>
      <c r="CD107" s="1393"/>
      <c r="CE107" s="1406"/>
      <c r="CF107" s="1392"/>
      <c r="CG107" s="1394">
        <v>45291</v>
      </c>
      <c r="CH107" s="1437" t="s">
        <v>9810</v>
      </c>
      <c r="CI107" s="1436">
        <f>CI99+CI96+CI95+CI81+CI78+CI77</f>
        <v>197</v>
      </c>
      <c r="CJ107" s="1433">
        <f>CI108/$CI$103</f>
        <v>2.7733755942947701E-2</v>
      </c>
      <c r="CK107" s="1394"/>
      <c r="CL107" s="1393"/>
      <c r="CM107" s="2042"/>
      <c r="CN107" s="1433"/>
    </row>
    <row r="108" spans="1:92" ht="13.5">
      <c r="A108" s="1046" t="s">
        <v>477</v>
      </c>
      <c r="B108" s="1022"/>
      <c r="C108" s="1023">
        <f>SUM(C4:C107)</f>
        <v>3798</v>
      </c>
      <c r="D108" s="1023">
        <f>SUM(D4:D107)</f>
        <v>1862</v>
      </c>
      <c r="E108" s="1046" t="s">
        <v>477</v>
      </c>
      <c r="F108" s="1022"/>
      <c r="G108" s="1023">
        <f>SUM(G4:G106)</f>
        <v>5272</v>
      </c>
      <c r="H108" s="1023">
        <f>SUM(H4:H106)</f>
        <v>1345</v>
      </c>
      <c r="I108" s="1046" t="s">
        <v>477</v>
      </c>
      <c r="J108" s="1022"/>
      <c r="K108" s="1023">
        <f>SUM(K4:K106)</f>
        <v>2988</v>
      </c>
      <c r="L108" s="1023">
        <f>SUM(L4:L106)</f>
        <v>1085</v>
      </c>
      <c r="M108" s="1046" t="s">
        <v>477</v>
      </c>
      <c r="N108" s="1022"/>
      <c r="O108" s="1023">
        <f>SUM(O4:O106)</f>
        <v>1337</v>
      </c>
      <c r="P108" s="1023">
        <f>SUM(P4:P106)</f>
        <v>0</v>
      </c>
      <c r="Q108" s="1046" t="s">
        <v>477</v>
      </c>
      <c r="R108" s="1022"/>
      <c r="S108" s="1023">
        <f>SUM(S4:S105)</f>
        <v>-5809</v>
      </c>
      <c r="T108" s="1023">
        <f>SUM(T4:T105)</f>
        <v>0</v>
      </c>
      <c r="U108" s="1046" t="s">
        <v>477</v>
      </c>
      <c r="V108" s="1022"/>
      <c r="W108" s="1023">
        <f>SUM(W4:W107)</f>
        <v>1455</v>
      </c>
      <c r="X108" s="1023">
        <f>SUM(X4:X107)</f>
        <v>0</v>
      </c>
      <c r="Y108" s="1046" t="s">
        <v>477</v>
      </c>
      <c r="Z108" s="1022"/>
      <c r="AA108" s="1068">
        <f>SUM(AA4:AA107)</f>
        <v>1484</v>
      </c>
      <c r="AB108" s="1023">
        <f>SUM(AB4:AB107)</f>
        <v>0</v>
      </c>
      <c r="AC108" s="1046" t="s">
        <v>477</v>
      </c>
      <c r="AD108" s="1022"/>
      <c r="AE108" s="1068">
        <f>SUM(AE4:AE107)</f>
        <v>29931</v>
      </c>
      <c r="AF108" s="1023">
        <f>SUM(AF4:AF107)</f>
        <v>0</v>
      </c>
      <c r="AG108" s="1046" t="s">
        <v>477</v>
      </c>
      <c r="AH108" s="1022"/>
      <c r="AI108" s="1068">
        <f>SUM(AI4:AI107)</f>
        <v>3144</v>
      </c>
      <c r="AJ108" s="1023">
        <f>SUM(AJ4:AJ107)</f>
        <v>0</v>
      </c>
      <c r="AK108" s="1046" t="s">
        <v>477</v>
      </c>
      <c r="AL108" s="1022"/>
      <c r="AM108" s="1068">
        <f>SUM(AM4:AM107)</f>
        <v>1775</v>
      </c>
      <c r="AN108" s="1023">
        <f>SUM(AN4:AN107)</f>
        <v>0</v>
      </c>
      <c r="AO108" s="1046" t="s">
        <v>477</v>
      </c>
      <c r="AP108" s="1022"/>
      <c r="AQ108" s="1068">
        <f>SUM(AQ4:AQ107)</f>
        <v>3614</v>
      </c>
      <c r="AR108" s="1023">
        <f>SUM(AR4:AR107)</f>
        <v>0</v>
      </c>
      <c r="AS108" s="1046" t="s">
        <v>477</v>
      </c>
      <c r="AT108" s="1022"/>
      <c r="AU108" s="1068">
        <f>SUM(AU4:AU107)</f>
        <v>3130</v>
      </c>
      <c r="AV108" s="1023">
        <f>SUM(AV4:AV107)</f>
        <v>0</v>
      </c>
      <c r="AW108" s="1046" t="s">
        <v>477</v>
      </c>
      <c r="AX108" s="1022"/>
      <c r="AY108" s="1068">
        <f>SUM(AY4:AY107)</f>
        <v>3667</v>
      </c>
      <c r="AZ108" s="1023">
        <f>SUM(AZ4:AZ107)</f>
        <v>0</v>
      </c>
      <c r="BA108" s="1046" t="s">
        <v>477</v>
      </c>
      <c r="BB108" s="1022"/>
      <c r="BC108" s="1068">
        <f>SUM(BC4:BC107)</f>
        <v>3429</v>
      </c>
      <c r="BD108" s="1023">
        <f>SUM(BD4:BD107)</f>
        <v>0</v>
      </c>
      <c r="BE108" s="1046" t="s">
        <v>477</v>
      </c>
      <c r="BF108" s="1022"/>
      <c r="BG108" s="1068">
        <f>SUM(BG4:BG107)</f>
        <v>42127.076923076922</v>
      </c>
      <c r="BH108" s="1023">
        <f>SUM(BH4:BH107)</f>
        <v>537.76923076923083</v>
      </c>
      <c r="BI108" s="1017">
        <v>43100</v>
      </c>
      <c r="BJ108" s="1019" t="s">
        <v>873</v>
      </c>
      <c r="BK108" s="1063">
        <v>11</v>
      </c>
      <c r="BL108" s="1034"/>
      <c r="BM108" s="1391"/>
      <c r="BN108" s="1393"/>
      <c r="BO108" s="1398"/>
      <c r="BP108" s="1399"/>
      <c r="BQ108" s="1391"/>
      <c r="BR108" s="1393"/>
      <c r="BS108" s="1409"/>
      <c r="BT108" s="1392"/>
      <c r="BU108" s="1391"/>
      <c r="BV108" s="1393"/>
      <c r="BW108" s="1406"/>
      <c r="BX108" s="1392"/>
      <c r="BY108" s="1391">
        <v>44558</v>
      </c>
      <c r="BZ108" s="1393" t="s">
        <v>11576</v>
      </c>
      <c r="CA108" s="1406">
        <v>8</v>
      </c>
      <c r="CB108" s="1392" t="s">
        <v>280</v>
      </c>
      <c r="CC108" s="1391"/>
      <c r="CD108" s="1393"/>
      <c r="CE108" s="1406"/>
      <c r="CF108" s="1392"/>
      <c r="CG108" s="1391">
        <v>45291</v>
      </c>
      <c r="CH108" s="1393" t="s">
        <v>5953</v>
      </c>
      <c r="CI108" s="1406">
        <v>35</v>
      </c>
      <c r="CJ108" s="1392" t="s">
        <v>426</v>
      </c>
      <c r="CK108" s="1394"/>
      <c r="CL108" s="1393"/>
      <c r="CM108" s="2042"/>
      <c r="CN108" s="1433"/>
    </row>
    <row r="109" spans="1:92" ht="13.5">
      <c r="A109" s="1024" t="s">
        <v>1672</v>
      </c>
      <c r="B109" s="1025"/>
      <c r="C109" s="1026"/>
      <c r="D109" s="1027"/>
      <c r="E109" s="1024" t="s">
        <v>1672</v>
      </c>
      <c r="F109" s="1025"/>
      <c r="G109" s="1026"/>
      <c r="H109" s="1027"/>
      <c r="I109" s="1024" t="s">
        <v>1672</v>
      </c>
      <c r="J109" s="1025"/>
      <c r="K109" s="1026"/>
      <c r="L109" s="1027"/>
      <c r="M109" s="1024" t="s">
        <v>1672</v>
      </c>
      <c r="N109" s="1025"/>
      <c r="O109" s="1026"/>
      <c r="P109" s="1027"/>
      <c r="Q109" s="1024" t="s">
        <v>1672</v>
      </c>
      <c r="R109" s="1025"/>
      <c r="S109" s="1026"/>
      <c r="T109" s="1027"/>
      <c r="U109" s="1024" t="s">
        <v>1672</v>
      </c>
      <c r="V109" s="1025"/>
      <c r="W109" s="1026"/>
      <c r="X109" s="1027"/>
      <c r="Y109" s="1024" t="s">
        <v>1672</v>
      </c>
      <c r="Z109" s="1025"/>
      <c r="AA109" s="1121"/>
      <c r="AB109" s="1027"/>
      <c r="AC109" s="1024" t="s">
        <v>1672</v>
      </c>
      <c r="AD109" s="1025"/>
      <c r="AE109" s="1121"/>
      <c r="AF109" s="1027"/>
      <c r="AG109" s="1024" t="s">
        <v>1672</v>
      </c>
      <c r="AH109" s="1025"/>
      <c r="AI109" s="1121"/>
      <c r="AJ109" s="1027"/>
      <c r="AK109" s="1024" t="s">
        <v>1672</v>
      </c>
      <c r="AL109" s="1025"/>
      <c r="AM109" s="1121"/>
      <c r="AN109" s="1027"/>
      <c r="AO109" s="1024" t="s">
        <v>1672</v>
      </c>
      <c r="AP109" s="1025"/>
      <c r="AQ109" s="1121"/>
      <c r="AR109" s="1027"/>
      <c r="AS109" s="1024" t="s">
        <v>1672</v>
      </c>
      <c r="AT109" s="1025"/>
      <c r="AU109" s="1121"/>
      <c r="AV109" s="1027"/>
      <c r="AW109" s="1024" t="s">
        <v>1672</v>
      </c>
      <c r="AX109" s="1025"/>
      <c r="AY109" s="1121"/>
      <c r="AZ109" s="1027"/>
      <c r="BA109" s="1024" t="s">
        <v>1672</v>
      </c>
      <c r="BB109" s="1025"/>
      <c r="BC109" s="1121"/>
      <c r="BD109" s="1027"/>
      <c r="BE109" s="1024" t="s">
        <v>1672</v>
      </c>
      <c r="BF109" s="1025"/>
      <c r="BG109" s="1121"/>
      <c r="BH109" s="1027"/>
      <c r="BI109" s="1017">
        <v>43100</v>
      </c>
      <c r="BJ109" s="1019" t="s">
        <v>11577</v>
      </c>
      <c r="BK109" s="1063">
        <v>14</v>
      </c>
      <c r="BL109" s="1034"/>
      <c r="BM109" s="1391"/>
      <c r="BN109" s="1393"/>
      <c r="BO109" s="1398"/>
      <c r="BP109" s="1399"/>
      <c r="BQ109" s="1391"/>
      <c r="BR109" s="1393"/>
      <c r="BS109" s="1409"/>
      <c r="BT109" s="1392"/>
      <c r="BU109" s="1415" t="s">
        <v>477</v>
      </c>
      <c r="BV109" s="1416"/>
      <c r="BW109" s="1417">
        <f>SUM(BW4:BW108)</f>
        <v>6501</v>
      </c>
      <c r="BX109" s="1418">
        <f>SUM(BX4:BX108)</f>
        <v>0</v>
      </c>
      <c r="BY109" s="1391">
        <v>44558</v>
      </c>
      <c r="BZ109" s="1393" t="s">
        <v>11578</v>
      </c>
      <c r="CA109" s="1406">
        <v>90</v>
      </c>
      <c r="CB109" s="1392" t="s">
        <v>426</v>
      </c>
      <c r="CC109" s="1391"/>
      <c r="CD109" s="1393"/>
      <c r="CE109" s="1406"/>
      <c r="CF109" s="1392"/>
      <c r="CG109" s="1391">
        <v>45291</v>
      </c>
      <c r="CH109" s="1393" t="s">
        <v>781</v>
      </c>
      <c r="CI109" s="1406">
        <v>45</v>
      </c>
      <c r="CJ109" s="1392" t="s">
        <v>414</v>
      </c>
      <c r="CK109" s="1394"/>
      <c r="CL109" s="1393"/>
      <c r="CM109" s="2042"/>
      <c r="CN109" s="1433"/>
    </row>
    <row r="110" spans="1:92" ht="13.5">
      <c r="A110" s="1028" t="s">
        <v>138</v>
      </c>
      <c r="B110" s="1029"/>
      <c r="C110" s="1030">
        <f>SUM(C108,D108)</f>
        <v>5660</v>
      </c>
      <c r="D110" s="1031"/>
      <c r="E110" s="1028" t="s">
        <v>138</v>
      </c>
      <c r="F110" s="1029"/>
      <c r="G110" s="1030">
        <f>SUM(G108,H108)</f>
        <v>6617</v>
      </c>
      <c r="H110" s="1031"/>
      <c r="I110" s="1028" t="s">
        <v>138</v>
      </c>
      <c r="J110" s="1029"/>
      <c r="K110" s="1030">
        <f>SUM(K108,L108)</f>
        <v>4073</v>
      </c>
      <c r="L110" s="1031"/>
      <c r="M110" s="1028" t="s">
        <v>138</v>
      </c>
      <c r="N110" s="1029"/>
      <c r="O110" s="1030">
        <f>SUM(O108,P108)</f>
        <v>1337</v>
      </c>
      <c r="P110" s="1031"/>
      <c r="Q110" s="1028" t="s">
        <v>138</v>
      </c>
      <c r="R110" s="1029"/>
      <c r="S110" s="1030">
        <f>SUM(S108,T108)</f>
        <v>-5809</v>
      </c>
      <c r="T110" s="1031"/>
      <c r="U110" s="1028" t="s">
        <v>138</v>
      </c>
      <c r="V110" s="1029"/>
      <c r="W110" s="1030">
        <f>SUM(W108,X108)</f>
        <v>1455</v>
      </c>
      <c r="X110" s="1031"/>
      <c r="Y110" s="1028" t="s">
        <v>138</v>
      </c>
      <c r="Z110" s="1029"/>
      <c r="AA110" s="1123">
        <f>SUM(AA108,AB108)</f>
        <v>1484</v>
      </c>
      <c r="AB110" s="1031"/>
      <c r="AC110" s="1028" t="s">
        <v>138</v>
      </c>
      <c r="AD110" s="1029"/>
      <c r="AE110" s="1123">
        <f>SUM(AE108,AF108)</f>
        <v>29931</v>
      </c>
      <c r="AF110" s="1031"/>
      <c r="AG110" s="1028" t="s">
        <v>138</v>
      </c>
      <c r="AH110" s="1029"/>
      <c r="AI110" s="1123">
        <f>SUM(AI108,AJ108)</f>
        <v>3144</v>
      </c>
      <c r="AJ110" s="1031"/>
      <c r="AK110" s="1028" t="s">
        <v>138</v>
      </c>
      <c r="AL110" s="1029"/>
      <c r="AM110" s="1123">
        <f>SUM(AM108,AN108)</f>
        <v>1775</v>
      </c>
      <c r="AN110" s="1031"/>
      <c r="AO110" s="1028" t="s">
        <v>138</v>
      </c>
      <c r="AP110" s="1029"/>
      <c r="AQ110" s="1123">
        <f>SUM(AQ108,AR108)</f>
        <v>3614</v>
      </c>
      <c r="AR110" s="1031"/>
      <c r="AS110" s="1028" t="s">
        <v>138</v>
      </c>
      <c r="AT110" s="1029"/>
      <c r="AU110" s="1123">
        <f>SUM(AU108,AV108)</f>
        <v>3130</v>
      </c>
      <c r="AV110" s="1031"/>
      <c r="AW110" s="1028" t="s">
        <v>138</v>
      </c>
      <c r="AX110" s="1029"/>
      <c r="AY110" s="1123">
        <f>SUM(AY108,AZ108)</f>
        <v>3667</v>
      </c>
      <c r="AZ110" s="1031"/>
      <c r="BA110" s="1028" t="s">
        <v>138</v>
      </c>
      <c r="BB110" s="1029"/>
      <c r="BC110" s="1123">
        <f>SUM(BC108,BD108)</f>
        <v>3429</v>
      </c>
      <c r="BD110" s="1031"/>
      <c r="BE110" s="1028" t="s">
        <v>138</v>
      </c>
      <c r="BF110" s="1029"/>
      <c r="BG110" s="1123">
        <f>SUM(BG108,BH108)</f>
        <v>42664.846153846156</v>
      </c>
      <c r="BH110" s="1031"/>
      <c r="BI110" s="1017"/>
      <c r="BJ110" s="1019"/>
      <c r="BK110" s="1063"/>
      <c r="BL110" s="1034"/>
      <c r="BM110" s="1391"/>
      <c r="BN110" s="1393"/>
      <c r="BO110" s="1398"/>
      <c r="BP110" s="1399"/>
      <c r="BQ110" s="1391"/>
      <c r="BR110" s="1393"/>
      <c r="BS110" s="1409"/>
      <c r="BT110" s="1392"/>
      <c r="BU110" s="1419" t="s">
        <v>1672</v>
      </c>
      <c r="BV110" s="1420"/>
      <c r="BW110" s="1421"/>
      <c r="BX110" s="1422"/>
      <c r="BY110" s="1391">
        <v>44558</v>
      </c>
      <c r="BZ110" s="1393" t="s">
        <v>843</v>
      </c>
      <c r="CA110" s="1406">
        <v>17</v>
      </c>
      <c r="CB110" s="1392" t="s">
        <v>414</v>
      </c>
      <c r="CC110" s="1391"/>
      <c r="CD110" s="1393"/>
      <c r="CE110" s="1406"/>
      <c r="CF110" s="1392"/>
      <c r="CG110" s="1391">
        <v>45291</v>
      </c>
      <c r="CH110" s="1393" t="s">
        <v>971</v>
      </c>
      <c r="CI110" s="1406">
        <v>48</v>
      </c>
      <c r="CJ110" s="1392" t="s">
        <v>414</v>
      </c>
      <c r="CK110" s="1394"/>
      <c r="CL110" s="2053"/>
      <c r="CM110" s="2042"/>
      <c r="CN110" s="1433"/>
    </row>
    <row r="111" spans="1:92" ht="13.5">
      <c r="A111" s="1000"/>
      <c r="B111" s="1000"/>
      <c r="C111" s="1000"/>
      <c r="D111" s="1000"/>
      <c r="E111" s="1000"/>
      <c r="F111" s="1000"/>
      <c r="G111" s="1000"/>
      <c r="H111" s="1000"/>
      <c r="I111" s="1000"/>
      <c r="J111" s="1000"/>
      <c r="K111" s="1000"/>
      <c r="L111" s="1000"/>
      <c r="M111" s="1000"/>
      <c r="N111" s="1000"/>
      <c r="O111" s="1000"/>
      <c r="P111" s="1000"/>
      <c r="Q111" s="1000"/>
      <c r="R111" s="1000"/>
      <c r="S111" s="1000"/>
      <c r="T111" s="1000"/>
      <c r="U111" s="1000"/>
      <c r="V111" s="1000"/>
      <c r="W111" s="1000"/>
      <c r="X111" s="1000"/>
      <c r="Y111" s="1000"/>
      <c r="Z111" s="1000"/>
      <c r="AA111" s="1125"/>
      <c r="AB111" s="1000"/>
      <c r="AC111" s="1000"/>
      <c r="AD111" s="1000"/>
      <c r="AE111" s="1000"/>
      <c r="AF111" s="1000"/>
      <c r="AG111" s="1000"/>
      <c r="AH111" s="1000"/>
      <c r="AI111" s="1000"/>
      <c r="AJ111" s="1000"/>
      <c r="AK111" s="1000"/>
      <c r="AL111" s="1000"/>
      <c r="AM111" s="1000"/>
      <c r="AN111" s="1000"/>
      <c r="AO111" s="1000"/>
      <c r="AP111" s="1000"/>
      <c r="AQ111" s="1000"/>
      <c r="AR111" s="1000"/>
      <c r="AS111" s="1000"/>
      <c r="AT111" s="1000"/>
      <c r="AU111" s="1000"/>
      <c r="AV111" s="1000"/>
      <c r="AW111" s="1000"/>
      <c r="AX111" s="1000"/>
      <c r="AY111" s="1000"/>
      <c r="AZ111" s="1000"/>
      <c r="BA111" s="1000"/>
      <c r="BB111" s="1000"/>
      <c r="BC111" s="1000"/>
      <c r="BD111" s="1000"/>
      <c r="BE111" s="1000"/>
      <c r="BF111" s="1000"/>
      <c r="BG111" s="1000"/>
      <c r="BH111" s="1000"/>
      <c r="BI111" s="1017"/>
      <c r="BJ111" s="1019"/>
      <c r="BK111" s="1063"/>
      <c r="BL111" s="1034"/>
      <c r="BM111" s="1391"/>
      <c r="BN111" s="1393"/>
      <c r="BO111" s="1398"/>
      <c r="BP111" s="1399"/>
      <c r="BQ111" s="1415" t="s">
        <v>477</v>
      </c>
      <c r="BR111" s="1416"/>
      <c r="BS111" s="1418">
        <f>SUM(BS4:BS110)</f>
        <v>5140</v>
      </c>
      <c r="BT111" s="1418">
        <f>SUM(BT4:BT110)</f>
        <v>0</v>
      </c>
      <c r="BU111" s="1423" t="s">
        <v>138</v>
      </c>
      <c r="BV111" s="1424"/>
      <c r="BW111" s="1425">
        <f>SUM(BW109,BX109)</f>
        <v>6501</v>
      </c>
      <c r="BX111" s="1426"/>
      <c r="BY111" s="1391">
        <v>44925</v>
      </c>
      <c r="BZ111" s="1393" t="s">
        <v>11579</v>
      </c>
      <c r="CA111" s="1406">
        <v>417</v>
      </c>
      <c r="CB111" s="1392" t="s">
        <v>280</v>
      </c>
      <c r="CC111" s="1391"/>
      <c r="CD111" s="1393"/>
      <c r="CE111" s="1406"/>
      <c r="CF111" s="1392"/>
      <c r="CG111" s="1391">
        <v>45291</v>
      </c>
      <c r="CH111" s="1393" t="s">
        <v>11580</v>
      </c>
      <c r="CI111" s="1406">
        <v>28</v>
      </c>
      <c r="CJ111" s="1392" t="s">
        <v>280</v>
      </c>
      <c r="CK111" s="1394"/>
      <c r="CL111" s="2054"/>
      <c r="CM111" s="2042"/>
      <c r="CN111" s="1433"/>
    </row>
    <row r="112" spans="1:92" ht="13.5">
      <c r="A112" s="1000"/>
      <c r="B112" s="1000"/>
      <c r="C112" s="1000"/>
      <c r="D112" s="1000"/>
      <c r="E112" s="1000"/>
      <c r="F112" s="1000"/>
      <c r="G112" s="1000"/>
      <c r="H112" s="1000"/>
      <c r="I112" s="1000"/>
      <c r="J112" s="1000"/>
      <c r="K112" s="1000"/>
      <c r="L112" s="1000"/>
      <c r="M112" s="1000"/>
      <c r="N112" s="1000"/>
      <c r="O112" s="1000"/>
      <c r="P112" s="1000"/>
      <c r="Q112" s="1000"/>
      <c r="R112" s="1000"/>
      <c r="S112" s="1000"/>
      <c r="T112" s="1000"/>
      <c r="U112" s="1000"/>
      <c r="V112" s="1000"/>
      <c r="W112" s="1000"/>
      <c r="X112" s="1000"/>
      <c r="Y112" s="1000"/>
      <c r="Z112" s="1000"/>
      <c r="AA112" s="1125"/>
      <c r="AB112" s="1000"/>
      <c r="AC112" s="1000"/>
      <c r="AD112" s="1000"/>
      <c r="AE112" s="1000"/>
      <c r="AF112" s="1000"/>
      <c r="AG112" s="1000"/>
      <c r="AH112" s="1000"/>
      <c r="AI112" s="1000"/>
      <c r="AJ112" s="1000"/>
      <c r="AK112" s="1000"/>
      <c r="AL112" s="1000"/>
      <c r="AM112" s="1000"/>
      <c r="AN112" s="1000"/>
      <c r="AO112" s="1000"/>
      <c r="AP112" s="1000"/>
      <c r="AQ112" s="1000"/>
      <c r="AR112" s="1000"/>
      <c r="AS112" s="1000"/>
      <c r="AT112" s="1000"/>
      <c r="AU112" s="1000"/>
      <c r="AV112" s="1000"/>
      <c r="AW112" s="1000"/>
      <c r="AX112" s="1000"/>
      <c r="AY112" s="1000"/>
      <c r="AZ112" s="1000"/>
      <c r="BA112" s="1000"/>
      <c r="BB112" s="1000"/>
      <c r="BC112" s="1000"/>
      <c r="BD112" s="1000"/>
      <c r="BE112" s="1000"/>
      <c r="BF112" s="1000"/>
      <c r="BG112" s="1000"/>
      <c r="BH112" s="1000"/>
      <c r="BI112" s="1017"/>
      <c r="BJ112" s="1019"/>
      <c r="BK112" s="1063"/>
      <c r="BL112" s="1034"/>
      <c r="BM112" s="1391"/>
      <c r="BN112" s="1393"/>
      <c r="BO112" s="1398"/>
      <c r="BP112" s="1399"/>
      <c r="BQ112" s="1419" t="s">
        <v>1672</v>
      </c>
      <c r="BR112" s="1420"/>
      <c r="BS112" s="1427"/>
      <c r="BT112" s="1422"/>
      <c r="BU112" s="1430"/>
      <c r="BV112" s="1430"/>
      <c r="BW112" s="1438"/>
      <c r="BX112" s="1439"/>
      <c r="BY112" s="1391">
        <v>44561</v>
      </c>
      <c r="BZ112" s="1393" t="s">
        <v>11581</v>
      </c>
      <c r="CA112" s="1406">
        <v>20</v>
      </c>
      <c r="CB112" s="1392" t="s">
        <v>698</v>
      </c>
      <c r="CC112" s="1391"/>
      <c r="CD112" s="1393"/>
      <c r="CE112" s="1406"/>
      <c r="CF112" s="1392"/>
      <c r="CG112" s="1391">
        <v>45291</v>
      </c>
      <c r="CH112" s="1393" t="s">
        <v>11582</v>
      </c>
      <c r="CI112" s="1406">
        <v>35</v>
      </c>
      <c r="CJ112" s="1392" t="s">
        <v>700</v>
      </c>
      <c r="CK112" s="1391"/>
      <c r="CL112" s="1393"/>
      <c r="CM112" s="2042"/>
      <c r="CN112" s="1392"/>
    </row>
    <row r="113" spans="61:92" ht="13.5">
      <c r="BI113" s="1017"/>
      <c r="BJ113" s="1019"/>
      <c r="BK113" s="1063"/>
      <c r="BL113" s="1034"/>
      <c r="BM113" s="1391"/>
      <c r="BN113" s="1393"/>
      <c r="BO113" s="1398"/>
      <c r="BP113" s="1399"/>
      <c r="BQ113" s="1423" t="s">
        <v>138</v>
      </c>
      <c r="BR113" s="1424"/>
      <c r="BS113" s="1428">
        <f>SUM(BS111,BT111)</f>
        <v>5140</v>
      </c>
      <c r="BT113" s="1426"/>
      <c r="BU113" s="1430"/>
      <c r="BV113" s="1430"/>
      <c r="BW113" s="1438"/>
      <c r="BX113" s="1439"/>
      <c r="BY113" s="1391">
        <v>44561</v>
      </c>
      <c r="BZ113" s="1393" t="s">
        <v>11583</v>
      </c>
      <c r="CA113" s="1406">
        <v>156</v>
      </c>
      <c r="CB113" s="1392" t="s">
        <v>381</v>
      </c>
      <c r="CC113" s="1391"/>
      <c r="CD113" s="1393"/>
      <c r="CE113" s="1406"/>
      <c r="CF113" s="1392"/>
      <c r="CG113" s="1391">
        <v>45291</v>
      </c>
      <c r="CH113" s="1393" t="s">
        <v>11584</v>
      </c>
      <c r="CI113" s="1406">
        <v>60</v>
      </c>
      <c r="CJ113" s="1392" t="s">
        <v>278</v>
      </c>
      <c r="CK113" s="1391"/>
      <c r="CL113" s="1393"/>
      <c r="CM113" s="2042"/>
      <c r="CN113" s="1392"/>
    </row>
    <row r="114" spans="61:92" ht="13.5">
      <c r="BI114" s="1017"/>
      <c r="BJ114" s="1019"/>
      <c r="BK114" s="1063"/>
      <c r="BL114" s="1034"/>
      <c r="BM114" s="1391"/>
      <c r="BN114" s="1393"/>
      <c r="BO114" s="1398"/>
      <c r="BP114" s="1399"/>
      <c r="BQ114" s="1430"/>
      <c r="BR114" s="1430"/>
      <c r="BS114" s="1439"/>
      <c r="BT114" s="1439"/>
      <c r="BU114" s="1430"/>
      <c r="BV114" s="1430"/>
      <c r="BW114" s="1438"/>
      <c r="BX114" s="1439"/>
      <c r="BY114" s="1391">
        <v>44561</v>
      </c>
      <c r="BZ114" s="1393" t="s">
        <v>5439</v>
      </c>
      <c r="CA114" s="1406">
        <v>12</v>
      </c>
      <c r="CB114" s="1392" t="s">
        <v>700</v>
      </c>
      <c r="CC114" s="1391"/>
      <c r="CD114" s="1393"/>
      <c r="CE114" s="1406"/>
      <c r="CF114" s="1392"/>
      <c r="CG114" s="1391"/>
      <c r="CH114" s="1393"/>
      <c r="CI114" s="1406"/>
      <c r="CJ114" s="1392"/>
      <c r="CK114" s="1391"/>
      <c r="CL114" s="1393"/>
      <c r="CM114" s="2042"/>
      <c r="CN114" s="1392"/>
    </row>
    <row r="115" spans="61:92" ht="13.5">
      <c r="BI115" s="1017"/>
      <c r="BJ115" s="1019"/>
      <c r="BK115" s="1063"/>
      <c r="BL115" s="1034"/>
      <c r="BM115" s="1391"/>
      <c r="BN115" s="1393"/>
      <c r="BO115" s="1398"/>
      <c r="BP115" s="1399"/>
      <c r="BQ115" s="1430"/>
      <c r="BR115" s="1430"/>
      <c r="BS115" s="1439"/>
      <c r="BT115" s="1439"/>
      <c r="BU115" s="1430"/>
      <c r="BV115" s="1430"/>
      <c r="BW115" s="1438"/>
      <c r="BX115" s="1439"/>
      <c r="BY115" s="1391">
        <v>44561</v>
      </c>
      <c r="BZ115" s="1393" t="s">
        <v>11585</v>
      </c>
      <c r="CA115" s="1406">
        <v>11</v>
      </c>
      <c r="CB115" s="1392" t="s">
        <v>414</v>
      </c>
      <c r="CC115" s="1391"/>
      <c r="CD115" s="1393"/>
      <c r="CE115" s="1406"/>
      <c r="CF115" s="1392"/>
      <c r="CG115" s="1391"/>
      <c r="CH115" s="1393"/>
      <c r="CI115" s="1406"/>
      <c r="CJ115" s="1392"/>
      <c r="CK115" s="1391"/>
      <c r="CL115" s="1393"/>
      <c r="CM115" s="2042"/>
      <c r="CN115" s="1392"/>
    </row>
    <row r="116" spans="61:92" ht="13.5">
      <c r="BI116" s="1017"/>
      <c r="BJ116" s="1019"/>
      <c r="BK116" s="1063"/>
      <c r="BL116" s="1034"/>
      <c r="BM116" s="1017"/>
      <c r="BN116" s="1019"/>
      <c r="BO116" s="1063"/>
      <c r="BP116" s="1034"/>
      <c r="BQ116" s="1000"/>
      <c r="BR116" s="1000"/>
      <c r="BS116" s="1125"/>
      <c r="BT116" s="1125"/>
      <c r="BU116" s="1000"/>
      <c r="BV116" s="1000"/>
      <c r="BW116" s="1127"/>
      <c r="BX116" s="1125"/>
      <c r="BY116" s="1017"/>
      <c r="BZ116" s="1019"/>
      <c r="CA116" s="1108"/>
      <c r="CB116" s="1018"/>
      <c r="CC116" s="1017"/>
      <c r="CD116" s="1019"/>
      <c r="CE116" s="1108"/>
      <c r="CF116" s="1018"/>
      <c r="CG116" s="1017"/>
      <c r="CH116" s="1019"/>
      <c r="CI116" s="1108"/>
      <c r="CJ116" s="1018"/>
      <c r="CK116" s="1391"/>
      <c r="CL116" s="1393"/>
      <c r="CM116" s="2042"/>
      <c r="CN116" s="1392"/>
    </row>
    <row r="117" spans="61:92" ht="13.5">
      <c r="BI117" s="1017"/>
      <c r="BJ117" s="1019"/>
      <c r="BK117" s="1063"/>
      <c r="BL117" s="1034"/>
      <c r="BM117" s="1017"/>
      <c r="BN117" s="1019"/>
      <c r="BO117" s="1063"/>
      <c r="BP117" s="1034"/>
      <c r="BQ117" s="1000"/>
      <c r="BR117" s="1000"/>
      <c r="BS117" s="1125"/>
      <c r="BT117" s="1125"/>
      <c r="BU117" s="1000"/>
      <c r="BV117" s="1000"/>
      <c r="BW117" s="1127"/>
      <c r="BX117" s="1125"/>
      <c r="BY117" s="1017"/>
      <c r="BZ117" s="1019"/>
      <c r="CA117" s="1108"/>
      <c r="CB117" s="1018"/>
      <c r="CC117" s="1017"/>
      <c r="CD117" s="1019"/>
      <c r="CE117" s="1108"/>
      <c r="CF117" s="1018"/>
      <c r="CG117" s="1017"/>
      <c r="CH117" s="1019"/>
      <c r="CI117" s="1108"/>
      <c r="CJ117" s="1018"/>
      <c r="CK117" s="1391"/>
      <c r="CL117" s="1393"/>
      <c r="CM117" s="2042"/>
      <c r="CN117" s="1392"/>
    </row>
    <row r="118" spans="61:92" ht="13.5">
      <c r="BI118" s="1017"/>
      <c r="BJ118" s="1019"/>
      <c r="BK118" s="1063"/>
      <c r="BL118" s="1034"/>
      <c r="BM118" s="1017"/>
      <c r="BN118" s="1019"/>
      <c r="BO118" s="1063"/>
      <c r="BP118" s="1034"/>
      <c r="BQ118" s="1000"/>
      <c r="BR118" s="1000"/>
      <c r="BS118" s="1125"/>
      <c r="BT118" s="1125"/>
      <c r="BU118" s="1000"/>
      <c r="BV118" s="1000"/>
      <c r="BW118" s="1127"/>
      <c r="BX118" s="1125"/>
      <c r="BY118" s="1046" t="s">
        <v>477</v>
      </c>
      <c r="BZ118" s="1022"/>
      <c r="CA118" s="1122">
        <f>SUM(CA4:CA117)</f>
        <v>7564</v>
      </c>
      <c r="CB118" s="1068">
        <f>SUM(CB4:CB117)</f>
        <v>0</v>
      </c>
      <c r="CC118" s="1046" t="s">
        <v>477</v>
      </c>
      <c r="CD118" s="1022"/>
      <c r="CE118" s="1122">
        <f>SUM(CE4:CE117)</f>
        <v>6469</v>
      </c>
      <c r="CF118" s="1068">
        <f>SUM(CF4:CF117)</f>
        <v>0</v>
      </c>
      <c r="CG118" s="1046" t="s">
        <v>477</v>
      </c>
      <c r="CH118" s="1022"/>
      <c r="CI118" s="1122">
        <f>SUM(CI4:CI117)</f>
        <v>13802</v>
      </c>
      <c r="CJ118" s="1068">
        <f>SUM(CJ4:CJ117)</f>
        <v>3.1251980982567353</v>
      </c>
      <c r="CK118" s="1046" t="s">
        <v>477</v>
      </c>
      <c r="CL118" s="1022"/>
      <c r="CM118" s="2042">
        <f>SUM(CM4:CM117)</f>
        <v>6740</v>
      </c>
      <c r="CN118" s="1068">
        <f>SUM(CN4:CN117)</f>
        <v>0</v>
      </c>
    </row>
    <row r="119" spans="61:92" ht="13.5">
      <c r="BI119" s="1017"/>
      <c r="BJ119" s="1019"/>
      <c r="BK119" s="1063"/>
      <c r="BL119" s="1034"/>
      <c r="BM119" s="1017"/>
      <c r="BN119" s="1019"/>
      <c r="BO119" s="1063"/>
      <c r="BP119" s="1034"/>
      <c r="BQ119" s="1000"/>
      <c r="BR119" s="1000"/>
      <c r="BS119" s="1125"/>
      <c r="BT119" s="1125"/>
      <c r="BU119" s="1000"/>
      <c r="BV119" s="1000"/>
      <c r="BW119" s="1127"/>
      <c r="BX119" s="1125"/>
      <c r="BY119" s="1024" t="s">
        <v>1672</v>
      </c>
      <c r="BZ119" s="1025"/>
      <c r="CA119" s="1124"/>
      <c r="CB119" s="1070"/>
      <c r="CC119" s="1024" t="s">
        <v>1672</v>
      </c>
      <c r="CD119" s="1025"/>
      <c r="CE119" s="1124"/>
      <c r="CF119" s="1070"/>
      <c r="CG119" s="1024" t="s">
        <v>1672</v>
      </c>
      <c r="CH119" s="1025"/>
      <c r="CI119" s="1124"/>
      <c r="CJ119" s="1070"/>
      <c r="CK119" s="1024" t="s">
        <v>1672</v>
      </c>
      <c r="CL119" s="1025"/>
      <c r="CM119" s="1124"/>
      <c r="CN119" s="1070"/>
    </row>
    <row r="120" spans="61:92" ht="13.5">
      <c r="BI120" s="1017"/>
      <c r="BJ120" s="1019"/>
      <c r="BK120" s="1063"/>
      <c r="BL120" s="1034"/>
      <c r="BM120" s="1017"/>
      <c r="BN120" s="1019"/>
      <c r="BO120" s="1063"/>
      <c r="BP120" s="1034"/>
      <c r="BQ120" s="1000"/>
      <c r="BR120" s="1000"/>
      <c r="BS120" s="1125"/>
      <c r="BT120" s="1125"/>
      <c r="BU120" s="1000"/>
      <c r="BV120" s="1000"/>
      <c r="BW120" s="1127"/>
      <c r="BX120" s="1125"/>
      <c r="BY120" s="1028" t="s">
        <v>138</v>
      </c>
      <c r="BZ120" s="1029"/>
      <c r="CA120" s="1126">
        <f>SUM(CA118,CB118)</f>
        <v>7564</v>
      </c>
      <c r="CB120" s="1073"/>
      <c r="CC120" s="1028" t="s">
        <v>138</v>
      </c>
      <c r="CD120" s="1029"/>
      <c r="CE120" s="1126">
        <f>SUM(CE118,CF118)</f>
        <v>6469</v>
      </c>
      <c r="CF120" s="1073"/>
      <c r="CG120" s="1028" t="s">
        <v>138</v>
      </c>
      <c r="CH120" s="1029"/>
      <c r="CI120" s="1126">
        <f>SUM(CI118,CJ118)</f>
        <v>13805.125198098256</v>
      </c>
      <c r="CJ120" s="1073"/>
      <c r="CK120" s="1028" t="s">
        <v>138</v>
      </c>
      <c r="CL120" s="1029"/>
      <c r="CM120" s="1126">
        <f>SUM(CM118,CN118)</f>
        <v>6740</v>
      </c>
      <c r="CN120" s="1073"/>
    </row>
    <row r="121" spans="61:92" ht="13.5">
      <c r="BI121" s="1017"/>
      <c r="BJ121" s="1019"/>
      <c r="BK121" s="1063"/>
      <c r="BL121" s="1034"/>
      <c r="BM121" s="1017"/>
      <c r="BN121" s="1019"/>
      <c r="BO121" s="1063"/>
      <c r="BP121" s="1034"/>
      <c r="BQ121" s="1000"/>
      <c r="BR121" s="1000"/>
      <c r="BS121" s="1125"/>
      <c r="BT121" s="1125"/>
      <c r="BU121" s="1000"/>
      <c r="BV121" s="1000"/>
      <c r="BW121" s="1127"/>
      <c r="BX121" s="1125"/>
      <c r="BY121" s="1000"/>
      <c r="BZ121" s="1000"/>
      <c r="CA121" s="1127"/>
      <c r="CB121" s="1125"/>
      <c r="CC121" s="1000"/>
      <c r="CD121" s="1000"/>
      <c r="CE121" s="1127"/>
      <c r="CF121" s="1125"/>
      <c r="CG121" s="1000"/>
      <c r="CH121" s="1000"/>
      <c r="CI121" s="1127"/>
      <c r="CJ121" s="1125"/>
      <c r="CK121" s="1000"/>
      <c r="CL121" s="1000"/>
      <c r="CM121" s="1127"/>
      <c r="CN121" s="1125"/>
    </row>
    <row r="122" spans="61:92" ht="13.5">
      <c r="BI122" s="1017"/>
      <c r="BJ122" s="1019"/>
      <c r="BK122" s="1063"/>
      <c r="BL122" s="1034"/>
      <c r="BM122" s="1017"/>
      <c r="BN122" s="1019"/>
      <c r="BO122" s="1063"/>
      <c r="BP122" s="1034"/>
      <c r="BQ122" s="1000"/>
      <c r="BR122" s="1000"/>
      <c r="BS122" s="1125"/>
      <c r="BT122" s="1125"/>
      <c r="BU122" s="1000"/>
      <c r="BV122" s="1000"/>
      <c r="BW122" s="1127"/>
      <c r="BX122" s="1125"/>
      <c r="BY122" s="1000"/>
      <c r="BZ122" s="1000"/>
      <c r="CA122" s="1127"/>
      <c r="CB122" s="1125"/>
      <c r="CC122" s="1000"/>
      <c r="CD122" s="1000"/>
      <c r="CE122" s="1127"/>
      <c r="CF122" s="1125"/>
      <c r="CG122" s="1000"/>
      <c r="CH122" s="1000"/>
      <c r="CI122" s="1127"/>
      <c r="CJ122" s="1125"/>
      <c r="CK122" s="1000"/>
      <c r="CL122" s="1000"/>
      <c r="CM122" s="1127"/>
      <c r="CN122" s="1125"/>
    </row>
    <row r="123" spans="61:92" ht="13.5">
      <c r="BI123" s="1017"/>
      <c r="BJ123" s="1019"/>
      <c r="BK123" s="1063"/>
      <c r="BL123" s="1034"/>
      <c r="BM123" s="1017"/>
      <c r="BN123" s="1019"/>
      <c r="BO123" s="1063"/>
      <c r="BP123" s="1034"/>
      <c r="BQ123" s="1000"/>
      <c r="BR123" s="1000"/>
      <c r="BS123" s="1125"/>
      <c r="BT123" s="1125"/>
      <c r="BU123" s="1000"/>
      <c r="BV123" s="1000"/>
      <c r="BW123" s="1127"/>
      <c r="BX123" s="1125"/>
      <c r="BY123" s="1000"/>
      <c r="BZ123" s="1000"/>
      <c r="CA123" s="1127"/>
      <c r="CB123" s="1125"/>
      <c r="CC123" s="1000"/>
      <c r="CD123" s="1000"/>
      <c r="CE123" s="1127"/>
      <c r="CF123" s="1125"/>
      <c r="CG123" s="1000"/>
      <c r="CH123" s="1000"/>
      <c r="CI123" s="1127"/>
      <c r="CJ123" s="1125"/>
      <c r="CK123" s="1000"/>
      <c r="CL123" s="1000"/>
      <c r="CM123" s="1127"/>
      <c r="CN123" s="1125"/>
    </row>
    <row r="124" spans="61:92" ht="13.5">
      <c r="BI124" s="1017"/>
      <c r="BJ124" s="1019"/>
      <c r="BK124" s="1063"/>
      <c r="BL124" s="1034"/>
      <c r="BM124" s="1017"/>
      <c r="BN124" s="1019"/>
      <c r="BO124" s="1063"/>
      <c r="BP124" s="1034"/>
      <c r="BQ124" s="1000"/>
      <c r="BR124" s="1000"/>
      <c r="BS124" s="1125"/>
      <c r="BT124" s="1125"/>
      <c r="BU124" s="1000"/>
      <c r="BV124" s="1000"/>
      <c r="BW124" s="1127"/>
      <c r="BX124" s="1125"/>
      <c r="BY124" s="1000"/>
      <c r="BZ124" s="1000"/>
      <c r="CA124" s="1127"/>
      <c r="CB124" s="1125"/>
      <c r="CC124" s="1000"/>
      <c r="CD124" s="1000"/>
      <c r="CE124" s="1127"/>
      <c r="CF124" s="1125"/>
      <c r="CG124" s="1000"/>
      <c r="CH124" s="1000"/>
      <c r="CI124" s="1127"/>
      <c r="CJ124" s="1125"/>
      <c r="CK124" s="1000"/>
      <c r="CL124" s="1000"/>
      <c r="CM124" s="1127"/>
      <c r="CN124" s="1125"/>
    </row>
    <row r="125" spans="61:92" ht="13.5">
      <c r="BI125" s="1046" t="s">
        <v>477</v>
      </c>
      <c r="BJ125" s="1022"/>
      <c r="BK125" s="1068">
        <f>SUM(BK4:BK124)</f>
        <v>3314</v>
      </c>
      <c r="BL125" s="1023">
        <f>SUM(BL4:BL124)</f>
        <v>0</v>
      </c>
      <c r="BM125" s="1046" t="s">
        <v>477</v>
      </c>
      <c r="BN125" s="1022"/>
      <c r="BO125" s="1068">
        <f>SUM(BO4:BO124)</f>
        <v>2590.5</v>
      </c>
      <c r="BP125" s="1023">
        <f>SUM(BP4:BP124)</f>
        <v>0</v>
      </c>
      <c r="BQ125" s="1000"/>
      <c r="BR125" s="1000"/>
      <c r="BS125" s="1125"/>
      <c r="BT125" s="1125"/>
      <c r="BU125" s="1000"/>
      <c r="BV125" s="1000"/>
      <c r="BW125" s="1127"/>
      <c r="BX125" s="1125"/>
      <c r="BY125" s="1000"/>
      <c r="BZ125" s="1000"/>
      <c r="CA125" s="1127"/>
      <c r="CB125" s="1125"/>
      <c r="CC125" s="1000"/>
      <c r="CD125" s="1000"/>
      <c r="CE125" s="1127"/>
      <c r="CF125" s="1125"/>
      <c r="CG125" s="1000"/>
      <c r="CH125" s="1000"/>
      <c r="CI125" s="1127"/>
      <c r="CJ125" s="1125"/>
      <c r="CK125" s="1000"/>
      <c r="CL125" s="1000"/>
      <c r="CM125" s="1127"/>
      <c r="CN125" s="1125"/>
    </row>
    <row r="126" spans="61:92" ht="13.5">
      <c r="BI126" s="1024" t="s">
        <v>1672</v>
      </c>
      <c r="BJ126" s="1025"/>
      <c r="BK126" s="1121"/>
      <c r="BL126" s="1027"/>
      <c r="BM126" s="1024" t="s">
        <v>1672</v>
      </c>
      <c r="BN126" s="1025"/>
      <c r="BO126" s="1121"/>
      <c r="BP126" s="1027"/>
      <c r="BQ126" s="1000"/>
      <c r="BR126" s="1000"/>
      <c r="BS126" s="1125"/>
      <c r="BT126" s="1125"/>
      <c r="BU126" s="1000"/>
      <c r="BV126" s="1000"/>
      <c r="BW126" s="1127"/>
      <c r="BX126" s="1125"/>
      <c r="BY126" s="1000"/>
      <c r="BZ126" s="1000"/>
      <c r="CA126" s="1127"/>
      <c r="CB126" s="1125"/>
      <c r="CC126" s="1000"/>
      <c r="CD126" s="1000"/>
      <c r="CE126" s="1127"/>
      <c r="CF126" s="1125"/>
      <c r="CG126" s="1000"/>
      <c r="CH126" s="1000"/>
      <c r="CI126" s="1127"/>
      <c r="CJ126" s="1125"/>
      <c r="CK126" s="1000"/>
      <c r="CL126" s="1000"/>
      <c r="CM126" s="1127"/>
      <c r="CN126" s="1125"/>
    </row>
    <row r="127" spans="61:92" ht="13.5">
      <c r="BI127" s="1028" t="s">
        <v>138</v>
      </c>
      <c r="BJ127" s="1029"/>
      <c r="BK127" s="1123">
        <f>SUM(BK125,BL125)</f>
        <v>3314</v>
      </c>
      <c r="BL127" s="1031"/>
      <c r="BM127" s="1028" t="s">
        <v>138</v>
      </c>
      <c r="BN127" s="1029"/>
      <c r="BO127" s="1123">
        <f>SUM(BO125,BP125)</f>
        <v>2590.5</v>
      </c>
      <c r="BP127" s="1031"/>
      <c r="BQ127" s="1000"/>
      <c r="BR127" s="1000"/>
      <c r="BS127" s="1125"/>
      <c r="BT127" s="1125"/>
      <c r="BU127" s="1000"/>
      <c r="BV127" s="1000"/>
      <c r="BW127" s="1127"/>
      <c r="BX127" s="1125"/>
      <c r="BY127" s="1000"/>
      <c r="BZ127" s="1000"/>
      <c r="CA127" s="1127"/>
      <c r="CB127" s="1125"/>
      <c r="CC127" s="1000"/>
      <c r="CD127" s="1000"/>
      <c r="CE127" s="1127"/>
      <c r="CF127" s="1125"/>
      <c r="CG127" s="1000"/>
      <c r="CH127" s="1000"/>
      <c r="CI127" s="1127"/>
      <c r="CJ127" s="1125"/>
      <c r="CK127" s="1000"/>
      <c r="CL127" s="1000"/>
      <c r="CM127" s="1127"/>
      <c r="CN127" s="1125"/>
    </row>
    <row r="128" spans="61:92" ht="13.5">
      <c r="BI128" s="1000"/>
      <c r="BJ128" s="1000"/>
      <c r="BK128" s="1000"/>
      <c r="BL128" s="1000"/>
      <c r="BM128" s="1000"/>
      <c r="BN128" s="1000"/>
      <c r="BO128" s="1000"/>
      <c r="BP128" s="1000"/>
      <c r="BQ128" s="1000"/>
      <c r="BR128" s="1000"/>
      <c r="BS128" s="1125"/>
      <c r="BT128" s="1125"/>
      <c r="BU128" s="1000"/>
      <c r="BV128" s="1000"/>
      <c r="BW128" s="1127"/>
      <c r="BX128" s="1125"/>
      <c r="BY128" s="1000"/>
      <c r="BZ128" s="1000"/>
      <c r="CA128" s="1127"/>
      <c r="CB128" s="1125"/>
      <c r="CC128" s="1000"/>
      <c r="CD128" s="1000"/>
      <c r="CE128" s="1127"/>
      <c r="CF128" s="1125"/>
      <c r="CG128" s="1000"/>
      <c r="CH128" s="1000"/>
      <c r="CI128" s="1127"/>
      <c r="CJ128" s="1125"/>
      <c r="CK128" s="1000"/>
      <c r="CL128" s="1000"/>
      <c r="CM128" s="1127"/>
      <c r="CN128" s="1125"/>
    </row>
    <row r="129" spans="85:92" ht="13.5">
      <c r="CG129" s="1000"/>
      <c r="CH129" s="1000"/>
      <c r="CI129" s="1127"/>
      <c r="CJ129" s="1125"/>
      <c r="CK129" s="1000"/>
      <c r="CL129" s="1000"/>
      <c r="CM129" s="1127"/>
      <c r="CN129" s="1125"/>
    </row>
    <row r="130" spans="85:92" ht="13.5">
      <c r="CG130" s="1000"/>
      <c r="CH130" s="1000"/>
      <c r="CI130" s="1127"/>
      <c r="CJ130" s="1125"/>
      <c r="CK130" s="1000"/>
      <c r="CL130" s="1000"/>
      <c r="CM130" s="1127"/>
      <c r="CN130" s="1125"/>
    </row>
    <row r="131" spans="85:92" ht="13.5">
      <c r="CG131" s="1000"/>
      <c r="CH131" s="1000"/>
      <c r="CI131" s="1127"/>
      <c r="CJ131" s="1125"/>
      <c r="CK131" s="1000"/>
      <c r="CL131" s="1000"/>
      <c r="CM131" s="1127"/>
      <c r="CN131" s="1125"/>
    </row>
    <row r="132" spans="85:92" ht="13.5">
      <c r="CG132" s="1000"/>
      <c r="CH132" s="1000"/>
      <c r="CI132" s="1127"/>
      <c r="CJ132" s="1125"/>
      <c r="CK132" s="1000"/>
      <c r="CL132" s="1000"/>
      <c r="CM132" s="1127"/>
      <c r="CN132" s="1125"/>
    </row>
    <row r="133" spans="85:92" ht="13.5">
      <c r="CG133" s="1000"/>
      <c r="CH133" s="1000"/>
      <c r="CI133" s="1127"/>
      <c r="CJ133" s="1125"/>
      <c r="CK133" s="1000"/>
      <c r="CL133" s="1000"/>
      <c r="CM133" s="1127"/>
      <c r="CN133" s="1125"/>
    </row>
    <row r="134" spans="85:92" ht="13.5">
      <c r="CG134" s="1000"/>
      <c r="CH134" s="1000"/>
      <c r="CI134" s="1127"/>
      <c r="CJ134" s="1125"/>
      <c r="CK134" s="1000"/>
      <c r="CL134" s="1000"/>
      <c r="CM134" s="1127"/>
      <c r="CN134" s="1125"/>
    </row>
    <row r="135" spans="85:92" ht="13.5">
      <c r="CG135" s="1000"/>
      <c r="CH135" s="1000"/>
      <c r="CI135" s="1127"/>
      <c r="CJ135" s="1125"/>
      <c r="CK135" s="1000"/>
      <c r="CL135" s="1000"/>
      <c r="CM135" s="1127"/>
      <c r="CN135" s="1125"/>
    </row>
    <row r="136" spans="85:92" ht="13.5">
      <c r="CG136" s="1000"/>
      <c r="CH136" s="1000"/>
      <c r="CI136" s="1127"/>
      <c r="CJ136" s="1125"/>
      <c r="CK136" s="1000"/>
      <c r="CL136" s="1000"/>
      <c r="CM136" s="1127"/>
      <c r="CN136" s="1125"/>
    </row>
    <row r="137" spans="85:92" ht="13.5">
      <c r="CG137" s="1000"/>
      <c r="CH137" s="1000"/>
      <c r="CI137" s="1127"/>
      <c r="CJ137" s="1125"/>
      <c r="CK137" s="1000"/>
      <c r="CL137" s="1000"/>
      <c r="CM137" s="1127"/>
      <c r="CN137" s="1125"/>
    </row>
    <row r="138" spans="85:92" ht="13.5">
      <c r="CG138" s="1000"/>
      <c r="CH138" s="1000"/>
      <c r="CI138" s="1127"/>
      <c r="CJ138" s="1125"/>
      <c r="CK138" s="1000"/>
      <c r="CL138" s="1000"/>
      <c r="CM138" s="1127"/>
      <c r="CN138" s="1125"/>
    </row>
    <row r="139" spans="85:92" ht="13.5">
      <c r="CG139" s="1000"/>
      <c r="CH139" s="1000"/>
      <c r="CI139" s="1127"/>
      <c r="CJ139" s="1125"/>
      <c r="CK139" s="1000"/>
      <c r="CL139" s="1000"/>
      <c r="CM139" s="1127"/>
      <c r="CN139" s="1125"/>
    </row>
    <row r="140" spans="85:92" ht="13.5">
      <c r="CG140" s="1000"/>
      <c r="CH140" s="1000"/>
      <c r="CI140" s="1127"/>
      <c r="CJ140" s="1125"/>
      <c r="CK140" s="1000"/>
      <c r="CL140" s="1000"/>
      <c r="CM140" s="1000"/>
      <c r="CN140" s="1000"/>
    </row>
    <row r="141" spans="85:92" ht="13.5">
      <c r="CG141" s="1000"/>
      <c r="CH141" s="1000"/>
      <c r="CI141" s="1127"/>
      <c r="CJ141" s="1125"/>
      <c r="CK141" s="1000"/>
      <c r="CL141" s="1000"/>
      <c r="CM141" s="1000"/>
      <c r="CN141" s="1000"/>
    </row>
    <row r="142" spans="85:92" ht="13.5">
      <c r="CG142" s="1000"/>
      <c r="CH142" s="1000"/>
      <c r="CI142" s="1127"/>
      <c r="CJ142" s="1125"/>
      <c r="CK142" s="1000"/>
      <c r="CL142" s="1000"/>
      <c r="CM142" s="1000"/>
      <c r="CN142" s="1000"/>
    </row>
    <row r="143" spans="85:92" ht="13.5">
      <c r="CG143" s="1000"/>
      <c r="CH143" s="1000"/>
      <c r="CI143" s="1127"/>
      <c r="CJ143" s="1125"/>
      <c r="CK143" s="1000"/>
      <c r="CL143" s="1000"/>
      <c r="CM143" s="1000"/>
      <c r="CN143" s="1000"/>
    </row>
  </sheetData>
  <phoneticPr fontId="4" type="noConversion"/>
  <hyperlinks>
    <hyperlink ref="V1" location="Monthly!N5" display="Dec' 07" xr:uid="{00000000-0004-0000-1300-000000000000}"/>
    <hyperlink ref="Z1" location="Monthly!N5" display="Dec' 08" xr:uid="{00000000-0004-0000-1300-000001000000}"/>
    <hyperlink ref="AD1" location="Monthly!N5" display="Dec' 09" xr:uid="{00000000-0004-0000-1300-000002000000}"/>
    <hyperlink ref="AH1" location="Monthly!N5" display="Dec' 10" xr:uid="{00000000-0004-0000-1300-000003000000}"/>
    <hyperlink ref="AL1" location="Monthly!N5" display="Dec' 11" xr:uid="{00000000-0004-0000-1300-000004000000}"/>
    <hyperlink ref="AP1" location="Monthly!N5" display="Dec' 12" xr:uid="{00000000-0004-0000-1300-000005000000}"/>
    <hyperlink ref="AT1" location="Monthly!N5" display="Dec' 12" xr:uid="{00000000-0004-0000-1300-000006000000}"/>
    <hyperlink ref="AX1" location="Monthly!N5" display="Dec' 12" xr:uid="{00000000-0004-0000-1300-000007000000}"/>
    <hyperlink ref="BB1" location="Monthly!N5" display="Dec' 12" xr:uid="{00000000-0004-0000-1300-000008000000}"/>
    <hyperlink ref="BF1" location="Monthly!N5" display="Dec' 12" xr:uid="{00000000-0004-0000-1300-000009000000}"/>
    <hyperlink ref="BJ1" location="Monthly!N5" display="Dec' 12" xr:uid="{00000000-0004-0000-1300-00000A000000}"/>
    <hyperlink ref="BN1" location="Monthly!N5" display="Dec' 12" xr:uid="{00000000-0004-0000-1300-00000B000000}"/>
    <hyperlink ref="BR1" location="Monthly!A1" display="Sep'14" xr:uid="{00000000-0004-0000-1300-00000C000000}"/>
    <hyperlink ref="BV1" location="Monthly!A1" display="Sep'14" xr:uid="{6B99883B-A116-CB4D-B54F-967F379E4C14}"/>
    <hyperlink ref="BZ1" location="Monthly!A1" display="Sep'14" xr:uid="{E45FB45F-69FE-3049-A875-DE778301DB19}"/>
    <hyperlink ref="CD1" location="Monthly!A1" display="Sep'14" xr:uid="{16487E54-C848-4609-B48E-1E524561AE8D}"/>
    <hyperlink ref="CH1" location="Monthly!A1" display="Sep'14" xr:uid="{A96852A2-C1EA-47A3-B5CF-5D8E95D91028}"/>
    <hyperlink ref="CL1" location="Monthly!A1" display="Sep'14" xr:uid="{C28A73E7-2C71-4F60-91E1-1B1D86E3C96C}"/>
  </hyperlinks>
  <pageMargins left="0.75" right="0.75" top="1" bottom="1" header="0.5" footer="0.5"/>
  <pageSetup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F18CC3-AFF5-B041-9A47-D6A8934AB755}">
          <x14:formula1>
            <xm:f>Monthly!$V$556:$V$584</xm:f>
          </x14:formula1>
          <xm:sqref>BT4:BT79 BT85:BT107 BT81:BT82 BX4:BX105 CB4:CB114 CF4:CF114 CJ108:CJ114 CJ4:CJ101 CN112:CN117 CN4:CN105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A356-1AA9-6447-807D-4DF98345FA8B}">
  <dimension ref="A2:S36"/>
  <sheetViews>
    <sheetView topLeftCell="A5" zoomScale="135" zoomScaleNormal="135" workbookViewId="0">
      <selection activeCell="M52" sqref="M52"/>
    </sheetView>
  </sheetViews>
  <sheetFormatPr defaultColWidth="10.7109375" defaultRowHeight="12.75"/>
  <cols>
    <col min="1" max="1" width="10.7109375" style="697"/>
    <col min="2" max="2" width="16.7109375" style="697" customWidth="1"/>
    <col min="3" max="3" width="20.85546875" style="697" customWidth="1"/>
    <col min="4" max="4" width="21.28515625" style="697" customWidth="1"/>
    <col min="5" max="5" width="17.140625" style="697" customWidth="1"/>
    <col min="6" max="6" width="15.140625" style="697" customWidth="1"/>
    <col min="7" max="7" width="22" style="697" customWidth="1"/>
    <col min="8" max="9" width="10.7109375" style="697"/>
    <col min="10" max="10" width="15.140625" style="697" customWidth="1"/>
    <col min="11" max="11" width="14.7109375" style="697" customWidth="1"/>
    <col min="12" max="12" width="16.140625" style="697" customWidth="1"/>
    <col min="13" max="13" width="16.28515625" style="697" customWidth="1"/>
    <col min="14" max="14" width="19" style="697" customWidth="1"/>
    <col min="15" max="15" width="21" style="697" customWidth="1"/>
    <col min="16" max="16" width="20.140625" style="697" customWidth="1"/>
    <col min="17" max="16384" width="10.7109375" style="697"/>
  </cols>
  <sheetData>
    <row r="2" spans="1:12">
      <c r="A2" s="839" t="s">
        <v>202</v>
      </c>
      <c r="B2" s="840"/>
      <c r="C2" s="840"/>
      <c r="D2" s="840"/>
      <c r="E2" s="840"/>
      <c r="F2" s="840"/>
      <c r="G2" s="840"/>
      <c r="H2" s="840"/>
      <c r="I2" s="840"/>
      <c r="J2" s="839" t="s">
        <v>137</v>
      </c>
      <c r="K2" s="841">
        <v>200</v>
      </c>
      <c r="L2" s="842"/>
    </row>
    <row r="3" spans="1:12">
      <c r="A3" s="843" t="s">
        <v>205</v>
      </c>
      <c r="B3" s="843" t="s">
        <v>206</v>
      </c>
      <c r="C3" s="843" t="s">
        <v>207</v>
      </c>
      <c r="D3" s="843" t="s">
        <v>208</v>
      </c>
      <c r="E3" s="843" t="s">
        <v>209</v>
      </c>
      <c r="F3" s="843" t="s">
        <v>210</v>
      </c>
      <c r="G3" s="843" t="s">
        <v>211</v>
      </c>
      <c r="H3" s="843" t="s">
        <v>212</v>
      </c>
      <c r="I3" s="843" t="s">
        <v>213</v>
      </c>
      <c r="J3" s="843" t="s">
        <v>214</v>
      </c>
      <c r="K3" s="843" t="s">
        <v>215</v>
      </c>
      <c r="L3" s="842"/>
    </row>
    <row r="4" spans="1:12">
      <c r="A4" s="844" t="s">
        <v>219</v>
      </c>
      <c r="B4" s="844" t="s">
        <v>220</v>
      </c>
      <c r="C4" s="844" t="s">
        <v>221</v>
      </c>
      <c r="D4" s="844" t="s">
        <v>222</v>
      </c>
      <c r="E4" s="844" t="s">
        <v>223</v>
      </c>
      <c r="F4" s="844" t="s">
        <v>224</v>
      </c>
      <c r="G4" s="845">
        <v>0</v>
      </c>
      <c r="H4" s="851" t="s">
        <v>225</v>
      </c>
      <c r="I4" s="847">
        <v>458</v>
      </c>
      <c r="J4" s="848">
        <f t="shared" ref="J4:J16" si="0">I4*$K$166</f>
        <v>0</v>
      </c>
      <c r="K4" s="827">
        <f t="shared" ref="K4:K16" si="1">J4/2</f>
        <v>0</v>
      </c>
      <c r="L4" s="846" t="s">
        <v>225</v>
      </c>
    </row>
    <row r="5" spans="1:12">
      <c r="A5" s="844" t="s">
        <v>219</v>
      </c>
      <c r="B5" s="844" t="s">
        <v>220</v>
      </c>
      <c r="C5" s="844" t="s">
        <v>221</v>
      </c>
      <c r="D5" s="844" t="s">
        <v>222</v>
      </c>
      <c r="E5" s="844" t="s">
        <v>223</v>
      </c>
      <c r="F5" s="844" t="s">
        <v>224</v>
      </c>
      <c r="G5" s="845">
        <v>0</v>
      </c>
      <c r="H5" s="846" t="s">
        <v>226</v>
      </c>
      <c r="I5" s="847">
        <v>115</v>
      </c>
      <c r="J5" s="848">
        <f t="shared" si="0"/>
        <v>0</v>
      </c>
      <c r="K5" s="827">
        <f t="shared" si="1"/>
        <v>0</v>
      </c>
      <c r="L5" s="846" t="s">
        <v>226</v>
      </c>
    </row>
    <row r="6" spans="1:12">
      <c r="A6" s="844" t="s">
        <v>219</v>
      </c>
      <c r="B6" s="844" t="s">
        <v>220</v>
      </c>
      <c r="C6" s="844" t="s">
        <v>221</v>
      </c>
      <c r="D6" s="844" t="s">
        <v>222</v>
      </c>
      <c r="E6" s="844" t="s">
        <v>223</v>
      </c>
      <c r="F6" s="844" t="s">
        <v>224</v>
      </c>
      <c r="G6" s="845">
        <v>0</v>
      </c>
      <c r="H6" s="846" t="s">
        <v>227</v>
      </c>
      <c r="I6" s="847">
        <v>114</v>
      </c>
      <c r="J6" s="848">
        <f t="shared" si="0"/>
        <v>0</v>
      </c>
      <c r="K6" s="827">
        <f t="shared" si="1"/>
        <v>0</v>
      </c>
      <c r="L6" s="846" t="s">
        <v>227</v>
      </c>
    </row>
    <row r="7" spans="1:12">
      <c r="A7" s="844" t="s">
        <v>219</v>
      </c>
      <c r="B7" s="844" t="s">
        <v>220</v>
      </c>
      <c r="C7" s="844" t="s">
        <v>221</v>
      </c>
      <c r="D7" s="844" t="s">
        <v>222</v>
      </c>
      <c r="E7" s="844" t="s">
        <v>223</v>
      </c>
      <c r="F7" s="844" t="s">
        <v>224</v>
      </c>
      <c r="G7" s="845">
        <v>0</v>
      </c>
      <c r="H7" s="846" t="s">
        <v>228</v>
      </c>
      <c r="I7" s="847">
        <v>115</v>
      </c>
      <c r="J7" s="848">
        <f t="shared" si="0"/>
        <v>0</v>
      </c>
      <c r="K7" s="827">
        <f t="shared" si="1"/>
        <v>0</v>
      </c>
      <c r="L7" s="846" t="s">
        <v>228</v>
      </c>
    </row>
    <row r="8" spans="1:12">
      <c r="A8" s="844" t="s">
        <v>219</v>
      </c>
      <c r="B8" s="844" t="s">
        <v>220</v>
      </c>
      <c r="C8" s="844" t="s">
        <v>221</v>
      </c>
      <c r="D8" s="844" t="s">
        <v>222</v>
      </c>
      <c r="E8" s="844" t="s">
        <v>223</v>
      </c>
      <c r="F8" s="844" t="s">
        <v>224</v>
      </c>
      <c r="G8" s="845">
        <v>0</v>
      </c>
      <c r="H8" s="846" t="s">
        <v>229</v>
      </c>
      <c r="I8" s="847">
        <v>115</v>
      </c>
      <c r="J8" s="848">
        <f t="shared" si="0"/>
        <v>0</v>
      </c>
      <c r="K8" s="827">
        <f t="shared" si="1"/>
        <v>0</v>
      </c>
      <c r="L8" s="846" t="s">
        <v>229</v>
      </c>
    </row>
    <row r="9" spans="1:12">
      <c r="A9" s="844" t="s">
        <v>219</v>
      </c>
      <c r="B9" s="844" t="s">
        <v>220</v>
      </c>
      <c r="C9" s="844" t="s">
        <v>221</v>
      </c>
      <c r="D9" s="844" t="s">
        <v>222</v>
      </c>
      <c r="E9" s="844" t="s">
        <v>223</v>
      </c>
      <c r="F9" s="844" t="s">
        <v>224</v>
      </c>
      <c r="G9" s="845">
        <v>0</v>
      </c>
      <c r="H9" s="846" t="s">
        <v>230</v>
      </c>
      <c r="I9" s="847">
        <v>114</v>
      </c>
      <c r="J9" s="848">
        <f t="shared" si="0"/>
        <v>0</v>
      </c>
      <c r="K9" s="827">
        <f t="shared" si="1"/>
        <v>0</v>
      </c>
      <c r="L9" s="846" t="s">
        <v>230</v>
      </c>
    </row>
    <row r="10" spans="1:12">
      <c r="A10" s="844" t="s">
        <v>219</v>
      </c>
      <c r="B10" s="844" t="s">
        <v>220</v>
      </c>
      <c r="C10" s="844" t="s">
        <v>221</v>
      </c>
      <c r="D10" s="844" t="s">
        <v>222</v>
      </c>
      <c r="E10" s="844" t="s">
        <v>223</v>
      </c>
      <c r="F10" s="844" t="s">
        <v>224</v>
      </c>
      <c r="G10" s="845">
        <v>0</v>
      </c>
      <c r="H10" s="846" t="s">
        <v>231</v>
      </c>
      <c r="I10" s="847">
        <v>115</v>
      </c>
      <c r="J10" s="848">
        <f t="shared" si="0"/>
        <v>0</v>
      </c>
      <c r="K10" s="827">
        <f t="shared" si="1"/>
        <v>0</v>
      </c>
      <c r="L10" s="846" t="s">
        <v>231</v>
      </c>
    </row>
    <row r="11" spans="1:12">
      <c r="A11" s="844" t="s">
        <v>219</v>
      </c>
      <c r="B11" s="844" t="s">
        <v>220</v>
      </c>
      <c r="C11" s="844" t="s">
        <v>221</v>
      </c>
      <c r="D11" s="844" t="s">
        <v>222</v>
      </c>
      <c r="E11" s="844" t="s">
        <v>223</v>
      </c>
      <c r="F11" s="844" t="s">
        <v>224</v>
      </c>
      <c r="G11" s="845">
        <v>0</v>
      </c>
      <c r="H11" s="846" t="s">
        <v>232</v>
      </c>
      <c r="I11" s="847">
        <v>114</v>
      </c>
      <c r="J11" s="848">
        <f t="shared" si="0"/>
        <v>0</v>
      </c>
      <c r="K11" s="827">
        <f t="shared" si="1"/>
        <v>0</v>
      </c>
      <c r="L11" s="846" t="s">
        <v>232</v>
      </c>
    </row>
    <row r="12" spans="1:12">
      <c r="A12" s="844" t="s">
        <v>219</v>
      </c>
      <c r="B12" s="844" t="s">
        <v>220</v>
      </c>
      <c r="C12" s="844" t="s">
        <v>221</v>
      </c>
      <c r="D12" s="844" t="s">
        <v>222</v>
      </c>
      <c r="E12" s="844" t="s">
        <v>223</v>
      </c>
      <c r="F12" s="844" t="s">
        <v>224</v>
      </c>
      <c r="G12" s="845">
        <v>0</v>
      </c>
      <c r="H12" s="846" t="s">
        <v>233</v>
      </c>
      <c r="I12" s="847">
        <v>115</v>
      </c>
      <c r="J12" s="848">
        <f t="shared" si="0"/>
        <v>0</v>
      </c>
      <c r="K12" s="827">
        <f t="shared" si="1"/>
        <v>0</v>
      </c>
      <c r="L12" s="846" t="s">
        <v>233</v>
      </c>
    </row>
    <row r="13" spans="1:12">
      <c r="A13" s="844" t="s">
        <v>219</v>
      </c>
      <c r="B13" s="844" t="s">
        <v>220</v>
      </c>
      <c r="C13" s="844" t="s">
        <v>221</v>
      </c>
      <c r="D13" s="844" t="s">
        <v>222</v>
      </c>
      <c r="E13" s="844" t="s">
        <v>223</v>
      </c>
      <c r="F13" s="844" t="s">
        <v>224</v>
      </c>
      <c r="G13" s="845">
        <v>0</v>
      </c>
      <c r="H13" s="846" t="s">
        <v>234</v>
      </c>
      <c r="I13" s="847">
        <v>115</v>
      </c>
      <c r="J13" s="848">
        <f t="shared" si="0"/>
        <v>0</v>
      </c>
      <c r="K13" s="827">
        <f t="shared" si="1"/>
        <v>0</v>
      </c>
      <c r="L13" s="846" t="s">
        <v>234</v>
      </c>
    </row>
    <row r="14" spans="1:12">
      <c r="A14" s="844" t="s">
        <v>219</v>
      </c>
      <c r="B14" s="844" t="s">
        <v>220</v>
      </c>
      <c r="C14" s="844" t="s">
        <v>221</v>
      </c>
      <c r="D14" s="844" t="s">
        <v>222</v>
      </c>
      <c r="E14" s="844" t="s">
        <v>223</v>
      </c>
      <c r="F14" s="844" t="s">
        <v>224</v>
      </c>
      <c r="G14" s="845">
        <v>0</v>
      </c>
      <c r="H14" s="846" t="s">
        <v>235</v>
      </c>
      <c r="I14" s="847">
        <v>114</v>
      </c>
      <c r="J14" s="848">
        <f t="shared" si="0"/>
        <v>0</v>
      </c>
      <c r="K14" s="827">
        <f t="shared" si="1"/>
        <v>0</v>
      </c>
      <c r="L14" s="846" t="s">
        <v>235</v>
      </c>
    </row>
    <row r="15" spans="1:12">
      <c r="A15" s="844" t="s">
        <v>219</v>
      </c>
      <c r="B15" s="844" t="s">
        <v>220</v>
      </c>
      <c r="C15" s="844" t="s">
        <v>221</v>
      </c>
      <c r="D15" s="844" t="s">
        <v>222</v>
      </c>
      <c r="E15" s="844" t="s">
        <v>223</v>
      </c>
      <c r="F15" s="844" t="s">
        <v>224</v>
      </c>
      <c r="G15" s="845">
        <v>0</v>
      </c>
      <c r="H15" s="846" t="s">
        <v>236</v>
      </c>
      <c r="I15" s="847">
        <v>115</v>
      </c>
      <c r="J15" s="848">
        <f t="shared" si="0"/>
        <v>0</v>
      </c>
      <c r="K15" s="827">
        <f t="shared" si="1"/>
        <v>0</v>
      </c>
      <c r="L15" s="846" t="s">
        <v>236</v>
      </c>
    </row>
    <row r="16" spans="1:12">
      <c r="A16" s="844" t="s">
        <v>219</v>
      </c>
      <c r="B16" s="844" t="s">
        <v>220</v>
      </c>
      <c r="C16" s="844" t="s">
        <v>221</v>
      </c>
      <c r="D16" s="844" t="s">
        <v>222</v>
      </c>
      <c r="E16" s="844" t="s">
        <v>223</v>
      </c>
      <c r="F16" s="844" t="s">
        <v>224</v>
      </c>
      <c r="G16" s="845">
        <v>0</v>
      </c>
      <c r="H16" s="846" t="s">
        <v>237</v>
      </c>
      <c r="I16" s="847">
        <v>115</v>
      </c>
      <c r="J16" s="848">
        <f t="shared" si="0"/>
        <v>0</v>
      </c>
      <c r="K16" s="827">
        <f t="shared" si="1"/>
        <v>0</v>
      </c>
      <c r="L16" s="846" t="s">
        <v>237</v>
      </c>
    </row>
    <row r="22" spans="1:19">
      <c r="A22" s="697" t="s">
        <v>11586</v>
      </c>
    </row>
    <row r="24" spans="1:19">
      <c r="A24" s="841" t="s">
        <v>11587</v>
      </c>
      <c r="B24" s="841" t="s">
        <v>11588</v>
      </c>
      <c r="C24" s="841"/>
      <c r="D24" s="841"/>
      <c r="E24" s="841" t="s">
        <v>11589</v>
      </c>
      <c r="F24" s="841"/>
      <c r="G24" s="841" t="s">
        <v>11587</v>
      </c>
      <c r="H24" s="841"/>
      <c r="I24" s="841"/>
      <c r="J24" s="841" t="s">
        <v>11590</v>
      </c>
      <c r="K24" s="841" t="s">
        <v>11591</v>
      </c>
      <c r="L24" s="841" t="s">
        <v>11592</v>
      </c>
      <c r="M24" s="841" t="s">
        <v>11593</v>
      </c>
      <c r="N24" s="841" t="s">
        <v>11594</v>
      </c>
      <c r="O24" s="841" t="s">
        <v>11595</v>
      </c>
      <c r="P24" s="841"/>
    </row>
    <row r="25" spans="1:19">
      <c r="A25" s="849" t="s">
        <v>11596</v>
      </c>
      <c r="B25" s="849" t="str">
        <f t="shared" ref="B25:B36" si="2">"X83751529"</f>
        <v>X83751529</v>
      </c>
      <c r="C25" s="849" t="str">
        <f t="shared" ref="C25:C36" si="3">"SHIVANI PRADHAN                 "</f>
        <v xml:space="preserve">SHIVANI PRADHAN                 </v>
      </c>
      <c r="D25" s="849" t="s">
        <v>11597</v>
      </c>
      <c r="E25" s="849" t="s">
        <v>11598</v>
      </c>
      <c r="F25" s="849" t="str">
        <f t="shared" ref="F25:F36" si="4">"594918104"</f>
        <v>594918104</v>
      </c>
      <c r="G25" s="849" t="s">
        <v>11599</v>
      </c>
      <c r="H25" s="849" t="s">
        <v>11600</v>
      </c>
      <c r="I25" s="849">
        <v>59</v>
      </c>
      <c r="J25" s="850">
        <v>43830</v>
      </c>
      <c r="K25" s="850">
        <v>43882</v>
      </c>
      <c r="L25" s="849">
        <v>10818.59</v>
      </c>
      <c r="M25" s="849">
        <v>8373.8700000000008</v>
      </c>
      <c r="N25" s="849"/>
      <c r="O25" s="849" t="s">
        <v>11601</v>
      </c>
      <c r="P25" s="849" t="s">
        <v>11602</v>
      </c>
      <c r="Q25" s="697" t="s">
        <v>448</v>
      </c>
      <c r="R25" s="697" t="s">
        <v>448</v>
      </c>
      <c r="S25" s="697" t="s">
        <v>448</v>
      </c>
    </row>
    <row r="26" spans="1:19">
      <c r="A26" s="849" t="s">
        <v>11596</v>
      </c>
      <c r="B26" s="849" t="str">
        <f t="shared" si="2"/>
        <v>X83751529</v>
      </c>
      <c r="C26" s="849" t="str">
        <f t="shared" si="3"/>
        <v xml:space="preserve">SHIVANI PRADHAN                 </v>
      </c>
      <c r="D26" s="849" t="s">
        <v>11597</v>
      </c>
      <c r="E26" s="849" t="s">
        <v>11598</v>
      </c>
      <c r="F26" s="849" t="str">
        <f t="shared" si="4"/>
        <v>594918104</v>
      </c>
      <c r="G26" s="849" t="s">
        <v>11599</v>
      </c>
      <c r="H26" s="849" t="s">
        <v>11603</v>
      </c>
      <c r="I26" s="849">
        <v>0.44829999999999998</v>
      </c>
      <c r="J26" s="850">
        <v>43830</v>
      </c>
      <c r="K26" s="850">
        <v>43886</v>
      </c>
      <c r="L26" s="849">
        <v>82.2</v>
      </c>
      <c r="M26" s="849">
        <v>63.63</v>
      </c>
      <c r="N26" s="849"/>
      <c r="O26" s="849" t="s">
        <v>11601</v>
      </c>
      <c r="P26" s="849" t="s">
        <v>11602</v>
      </c>
      <c r="Q26" s="697" t="s">
        <v>448</v>
      </c>
      <c r="R26" s="697" t="s">
        <v>448</v>
      </c>
      <c r="S26" s="697" t="s">
        <v>448</v>
      </c>
    </row>
    <row r="27" spans="1:19">
      <c r="A27" s="849" t="s">
        <v>11596</v>
      </c>
      <c r="B27" s="849" t="str">
        <f t="shared" si="2"/>
        <v>X83751529</v>
      </c>
      <c r="C27" s="849" t="str">
        <f t="shared" si="3"/>
        <v xml:space="preserve">SHIVANI PRADHAN                 </v>
      </c>
      <c r="D27" s="849" t="s">
        <v>11597</v>
      </c>
      <c r="E27" s="849" t="s">
        <v>11598</v>
      </c>
      <c r="F27" s="849" t="str">
        <f t="shared" si="4"/>
        <v>594918104</v>
      </c>
      <c r="G27" s="849" t="s">
        <v>11599</v>
      </c>
      <c r="H27" s="849" t="s">
        <v>11600</v>
      </c>
      <c r="I27" s="849">
        <v>12</v>
      </c>
      <c r="J27" s="850">
        <v>43921</v>
      </c>
      <c r="K27" s="850">
        <v>43923</v>
      </c>
      <c r="L27" s="849">
        <v>1860.31</v>
      </c>
      <c r="M27" s="849">
        <v>1703.28</v>
      </c>
      <c r="N27" s="849"/>
      <c r="O27" s="849" t="s">
        <v>11601</v>
      </c>
      <c r="P27" s="849" t="s">
        <v>11602</v>
      </c>
      <c r="Q27" s="697" t="s">
        <v>448</v>
      </c>
      <c r="R27" s="697" t="s">
        <v>448</v>
      </c>
      <c r="S27" s="697" t="s">
        <v>448</v>
      </c>
    </row>
    <row r="28" spans="1:19">
      <c r="A28" s="849" t="s">
        <v>11596</v>
      </c>
      <c r="B28" s="849" t="str">
        <f t="shared" si="2"/>
        <v>X83751529</v>
      </c>
      <c r="C28" s="849" t="str">
        <f t="shared" si="3"/>
        <v xml:space="preserve">SHIVANI PRADHAN                 </v>
      </c>
      <c r="D28" s="849" t="s">
        <v>11597</v>
      </c>
      <c r="E28" s="849" t="s">
        <v>11598</v>
      </c>
      <c r="F28" s="849" t="str">
        <f t="shared" si="4"/>
        <v>594918104</v>
      </c>
      <c r="G28" s="849" t="s">
        <v>11599</v>
      </c>
      <c r="H28" s="849" t="s">
        <v>11600</v>
      </c>
      <c r="I28" s="849">
        <v>37</v>
      </c>
      <c r="J28" s="850">
        <v>43921</v>
      </c>
      <c r="K28" s="850">
        <v>43923</v>
      </c>
      <c r="L28" s="849">
        <v>5735.61</v>
      </c>
      <c r="M28" s="849">
        <v>5251.78</v>
      </c>
      <c r="N28" s="849"/>
      <c r="O28" s="849" t="s">
        <v>11601</v>
      </c>
      <c r="P28" s="849" t="s">
        <v>11602</v>
      </c>
      <c r="Q28" s="697" t="s">
        <v>448</v>
      </c>
      <c r="R28" s="697" t="s">
        <v>448</v>
      </c>
      <c r="S28" s="697" t="s">
        <v>448</v>
      </c>
    </row>
    <row r="29" spans="1:19">
      <c r="A29" s="849" t="s">
        <v>11596</v>
      </c>
      <c r="B29" s="849" t="str">
        <f t="shared" si="2"/>
        <v>X83751529</v>
      </c>
      <c r="C29" s="849" t="str">
        <f t="shared" si="3"/>
        <v xml:space="preserve">SHIVANI PRADHAN                 </v>
      </c>
      <c r="D29" s="849" t="s">
        <v>11597</v>
      </c>
      <c r="E29" s="849" t="s">
        <v>11598</v>
      </c>
      <c r="F29" s="849" t="str">
        <f t="shared" si="4"/>
        <v>594918104</v>
      </c>
      <c r="G29" s="849" t="s">
        <v>11599</v>
      </c>
      <c r="H29" s="849" t="s">
        <v>11600</v>
      </c>
      <c r="I29" s="849">
        <v>10</v>
      </c>
      <c r="J29" s="850">
        <v>43921</v>
      </c>
      <c r="K29" s="850">
        <v>43923</v>
      </c>
      <c r="L29" s="849">
        <v>1550.21</v>
      </c>
      <c r="M29" s="849">
        <v>1419.4</v>
      </c>
      <c r="N29" s="849"/>
      <c r="O29" s="849" t="s">
        <v>11601</v>
      </c>
      <c r="P29" s="849" t="s">
        <v>11602</v>
      </c>
      <c r="Q29" s="697" t="s">
        <v>448</v>
      </c>
      <c r="R29" s="697" t="s">
        <v>448</v>
      </c>
      <c r="S29" s="697" t="s">
        <v>448</v>
      </c>
    </row>
    <row r="30" spans="1:19">
      <c r="A30" s="849" t="s">
        <v>11596</v>
      </c>
      <c r="B30" s="849" t="str">
        <f t="shared" si="2"/>
        <v>X83751529</v>
      </c>
      <c r="C30" s="849" t="str">
        <f t="shared" si="3"/>
        <v xml:space="preserve">SHIVANI PRADHAN                 </v>
      </c>
      <c r="D30" s="849" t="s">
        <v>11597</v>
      </c>
      <c r="E30" s="849" t="s">
        <v>11598</v>
      </c>
      <c r="F30" s="849" t="str">
        <f t="shared" si="4"/>
        <v>594918104</v>
      </c>
      <c r="G30" s="849" t="s">
        <v>11599</v>
      </c>
      <c r="H30" s="849" t="s">
        <v>11603</v>
      </c>
      <c r="I30" s="849">
        <v>0.44409999999999999</v>
      </c>
      <c r="J30" s="850">
        <v>43921</v>
      </c>
      <c r="K30" s="850">
        <v>43927</v>
      </c>
      <c r="L30" s="849">
        <v>68.849999999999994</v>
      </c>
      <c r="M30" s="849">
        <v>63.04</v>
      </c>
      <c r="N30" s="849"/>
      <c r="O30" s="849" t="s">
        <v>11601</v>
      </c>
      <c r="P30" s="849" t="s">
        <v>11602</v>
      </c>
      <c r="Q30" s="697" t="s">
        <v>448</v>
      </c>
      <c r="R30" s="697" t="s">
        <v>448</v>
      </c>
      <c r="S30" s="697" t="s">
        <v>448</v>
      </c>
    </row>
    <row r="31" spans="1:19">
      <c r="A31" s="849" t="s">
        <v>11596</v>
      </c>
      <c r="B31" s="849" t="str">
        <f t="shared" si="2"/>
        <v>X83751529</v>
      </c>
      <c r="C31" s="849" t="str">
        <f t="shared" si="3"/>
        <v xml:space="preserve">SHIVANI PRADHAN                 </v>
      </c>
      <c r="D31" s="849" t="s">
        <v>11597</v>
      </c>
      <c r="E31" s="849" t="s">
        <v>11598</v>
      </c>
      <c r="F31" s="849" t="str">
        <f t="shared" si="4"/>
        <v>594918104</v>
      </c>
      <c r="G31" s="849" t="s">
        <v>11599</v>
      </c>
      <c r="H31" s="849" t="s">
        <v>11600</v>
      </c>
      <c r="I31" s="849">
        <v>46</v>
      </c>
      <c r="J31" s="850">
        <v>44012</v>
      </c>
      <c r="K31" s="850">
        <v>44046</v>
      </c>
      <c r="L31" s="849">
        <v>9740.2800000000007</v>
      </c>
      <c r="M31" s="849">
        <v>8425.36</v>
      </c>
      <c r="N31" s="849"/>
      <c r="O31" s="849" t="s">
        <v>11601</v>
      </c>
      <c r="P31" s="849" t="s">
        <v>11602</v>
      </c>
      <c r="Q31" s="697" t="s">
        <v>448</v>
      </c>
      <c r="R31" s="697" t="s">
        <v>448</v>
      </c>
      <c r="S31" s="697" t="s">
        <v>448</v>
      </c>
    </row>
    <row r="32" spans="1:19">
      <c r="A32" s="849" t="s">
        <v>11596</v>
      </c>
      <c r="B32" s="849" t="str">
        <f t="shared" si="2"/>
        <v>X83751529</v>
      </c>
      <c r="C32" s="849" t="str">
        <f t="shared" si="3"/>
        <v xml:space="preserve">SHIVANI PRADHAN                 </v>
      </c>
      <c r="D32" s="849" t="s">
        <v>11597</v>
      </c>
      <c r="E32" s="849" t="s">
        <v>11598</v>
      </c>
      <c r="F32" s="849" t="str">
        <f t="shared" si="4"/>
        <v>594918104</v>
      </c>
      <c r="G32" s="849" t="s">
        <v>11599</v>
      </c>
      <c r="H32" s="849" t="s">
        <v>11603</v>
      </c>
      <c r="I32" s="849">
        <v>6.6299999999999998E-2</v>
      </c>
      <c r="J32" s="850">
        <v>44012</v>
      </c>
      <c r="K32" s="850">
        <v>44048</v>
      </c>
      <c r="L32" s="849">
        <v>14.04</v>
      </c>
      <c r="M32" s="849">
        <v>12.14</v>
      </c>
      <c r="N32" s="849"/>
      <c r="O32" s="849" t="s">
        <v>11601</v>
      </c>
      <c r="P32" s="849" t="s">
        <v>11602</v>
      </c>
      <c r="Q32" s="697" t="s">
        <v>448</v>
      </c>
      <c r="R32" s="697" t="s">
        <v>448</v>
      </c>
      <c r="S32" s="697" t="s">
        <v>448</v>
      </c>
    </row>
    <row r="33" spans="1:19">
      <c r="A33" s="849" t="s">
        <v>11596</v>
      </c>
      <c r="B33" s="849" t="str">
        <f t="shared" si="2"/>
        <v>X83751529</v>
      </c>
      <c r="C33" s="849" t="str">
        <f t="shared" si="3"/>
        <v xml:space="preserve">SHIVANI PRADHAN                 </v>
      </c>
      <c r="D33" s="849" t="s">
        <v>11597</v>
      </c>
      <c r="E33" s="849" t="s">
        <v>11604</v>
      </c>
      <c r="F33" s="849" t="str">
        <f t="shared" si="4"/>
        <v>594918104</v>
      </c>
      <c r="G33" s="849" t="s">
        <v>11599</v>
      </c>
      <c r="H33" s="849" t="s">
        <v>11600</v>
      </c>
      <c r="I33" s="849">
        <v>299</v>
      </c>
      <c r="J33" s="850">
        <v>44090</v>
      </c>
      <c r="K33" s="850">
        <v>44105</v>
      </c>
      <c r="L33" s="849">
        <v>63838.07</v>
      </c>
      <c r="M33" s="849">
        <v>62425.22</v>
      </c>
      <c r="N33" s="849"/>
      <c r="O33" s="849" t="s">
        <v>11601</v>
      </c>
      <c r="P33" s="849" t="s">
        <v>11602</v>
      </c>
      <c r="Q33" s="697" t="s">
        <v>448</v>
      </c>
      <c r="R33" s="697" t="s">
        <v>448</v>
      </c>
      <c r="S33" s="697" t="s">
        <v>448</v>
      </c>
    </row>
    <row r="34" spans="1:19">
      <c r="A34" s="849" t="s">
        <v>11596</v>
      </c>
      <c r="B34" s="849" t="str">
        <f t="shared" si="2"/>
        <v>X83751529</v>
      </c>
      <c r="C34" s="849" t="str">
        <f t="shared" si="3"/>
        <v xml:space="preserve">SHIVANI PRADHAN                 </v>
      </c>
      <c r="D34" s="849" t="s">
        <v>11597</v>
      </c>
      <c r="E34" s="849" t="s">
        <v>11598</v>
      </c>
      <c r="F34" s="849" t="str">
        <f t="shared" si="4"/>
        <v>594918104</v>
      </c>
      <c r="G34" s="849" t="s">
        <v>11599</v>
      </c>
      <c r="H34" s="849" t="s">
        <v>11600</v>
      </c>
      <c r="I34" s="849">
        <v>0.255</v>
      </c>
      <c r="J34" s="850">
        <v>44104</v>
      </c>
      <c r="K34" s="850">
        <v>44109</v>
      </c>
      <c r="L34" s="849">
        <v>53.57</v>
      </c>
      <c r="M34" s="849">
        <v>48.27</v>
      </c>
      <c r="N34" s="849"/>
      <c r="O34" s="849" t="s">
        <v>11601</v>
      </c>
      <c r="P34" s="849" t="s">
        <v>11602</v>
      </c>
      <c r="Q34" s="697" t="s">
        <v>448</v>
      </c>
      <c r="R34" s="697" t="s">
        <v>448</v>
      </c>
      <c r="S34" s="697" t="s">
        <v>448</v>
      </c>
    </row>
    <row r="35" spans="1:19">
      <c r="A35" s="849" t="s">
        <v>11596</v>
      </c>
      <c r="B35" s="849" t="str">
        <f t="shared" si="2"/>
        <v>X83751529</v>
      </c>
      <c r="C35" s="849" t="str">
        <f t="shared" si="3"/>
        <v xml:space="preserve">SHIVANI PRADHAN                 </v>
      </c>
      <c r="D35" s="849" t="s">
        <v>11597</v>
      </c>
      <c r="E35" s="849" t="s">
        <v>11598</v>
      </c>
      <c r="F35" s="849" t="str">
        <f t="shared" si="4"/>
        <v>594918104</v>
      </c>
      <c r="G35" s="849" t="s">
        <v>11599</v>
      </c>
      <c r="H35" s="849" t="s">
        <v>11600</v>
      </c>
      <c r="I35" s="849">
        <v>41</v>
      </c>
      <c r="J35" s="850">
        <v>44104</v>
      </c>
      <c r="K35" s="850">
        <v>44109</v>
      </c>
      <c r="L35" s="849">
        <v>8613.9</v>
      </c>
      <c r="M35" s="849" t="e">
        <f>SUM(#REF!)</f>
        <v>#REF!</v>
      </c>
      <c r="N35" s="849"/>
      <c r="O35" s="849" t="s">
        <v>11601</v>
      </c>
      <c r="P35" s="849" t="s">
        <v>11602</v>
      </c>
      <c r="Q35" s="697" t="s">
        <v>448</v>
      </c>
      <c r="R35" s="697" t="s">
        <v>448</v>
      </c>
      <c r="S35" s="697" t="s">
        <v>448</v>
      </c>
    </row>
    <row r="36" spans="1:19">
      <c r="A36" s="849" t="s">
        <v>11605</v>
      </c>
      <c r="B36" s="849" t="str">
        <f t="shared" si="2"/>
        <v>X83751529</v>
      </c>
      <c r="C36" s="849" t="str">
        <f t="shared" si="3"/>
        <v xml:space="preserve">SHIVANI PRADHAN                 </v>
      </c>
      <c r="D36" s="849" t="s">
        <v>11597</v>
      </c>
      <c r="E36" s="849" t="s">
        <v>448</v>
      </c>
      <c r="F36" s="849" t="str">
        <f t="shared" si="4"/>
        <v>594918104</v>
      </c>
      <c r="G36" s="849" t="s">
        <v>11599</v>
      </c>
      <c r="H36" s="849" t="s">
        <v>11606</v>
      </c>
      <c r="I36" s="849" t="s">
        <v>11606</v>
      </c>
      <c r="J36" s="849" t="s">
        <v>11606</v>
      </c>
      <c r="K36" s="849" t="s">
        <v>11606</v>
      </c>
      <c r="L36" s="849">
        <v>102375.63</v>
      </c>
      <c r="M36" s="849">
        <v>95547.29</v>
      </c>
      <c r="N36" s="849"/>
      <c r="O36" s="849" t="s">
        <v>11601</v>
      </c>
      <c r="P36" s="849" t="s">
        <v>11602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78E-20AE-C746-85F6-CD18BD67C62C}">
  <dimension ref="A1:P48"/>
  <sheetViews>
    <sheetView topLeftCell="D1" zoomScale="193" zoomScaleNormal="193" workbookViewId="0">
      <selection activeCell="P60" sqref="P60"/>
    </sheetView>
  </sheetViews>
  <sheetFormatPr defaultColWidth="10.7109375" defaultRowHeight="12.75"/>
  <cols>
    <col min="1" max="1" width="25.85546875" style="697" customWidth="1"/>
    <col min="2" max="2" width="16.140625" style="697" customWidth="1"/>
    <col min="3" max="3" width="13.42578125" style="697" customWidth="1"/>
    <col min="4" max="4" width="14.7109375" style="697" customWidth="1"/>
    <col min="5" max="5" width="14.140625" style="697" customWidth="1"/>
    <col min="6" max="6" width="14.28515625" style="697" customWidth="1"/>
    <col min="7" max="7" width="14.42578125" style="697" customWidth="1"/>
    <col min="8" max="8" width="13.85546875" style="697" customWidth="1"/>
    <col min="9" max="9" width="13.42578125" style="697" customWidth="1"/>
    <col min="10" max="12" width="13.85546875" style="697" customWidth="1"/>
    <col min="13" max="13" width="14.140625" style="697" customWidth="1"/>
    <col min="14" max="15" width="15.140625" style="697" customWidth="1"/>
    <col min="16" max="16" width="14.28515625" style="697" customWidth="1"/>
    <col min="17" max="16384" width="10.7109375" style="697"/>
  </cols>
  <sheetData>
    <row r="1" spans="1:16">
      <c r="B1" s="818" t="s">
        <v>7917</v>
      </c>
      <c r="C1" s="818" t="s">
        <v>9670</v>
      </c>
      <c r="D1" s="818" t="s">
        <v>19</v>
      </c>
      <c r="E1" s="818" t="s">
        <v>11607</v>
      </c>
      <c r="F1" s="818" t="s">
        <v>11608</v>
      </c>
      <c r="G1" s="818" t="s">
        <v>2360</v>
      </c>
      <c r="H1" s="818" t="s">
        <v>3004</v>
      </c>
      <c r="I1" s="818" t="s">
        <v>11609</v>
      </c>
      <c r="J1" s="818" t="s">
        <v>8748</v>
      </c>
      <c r="K1" s="818" t="s">
        <v>4927</v>
      </c>
      <c r="L1" s="818" t="s">
        <v>5914</v>
      </c>
      <c r="M1" s="818" t="s">
        <v>7043</v>
      </c>
      <c r="N1" s="818" t="s">
        <v>7918</v>
      </c>
      <c r="O1" s="818" t="s">
        <v>9671</v>
      </c>
      <c r="P1" s="818" t="s">
        <v>20</v>
      </c>
    </row>
    <row r="2" spans="1:16">
      <c r="A2" s="817" t="s">
        <v>11610</v>
      </c>
      <c r="B2" s="821">
        <v>21901</v>
      </c>
      <c r="C2" s="821">
        <v>19868</v>
      </c>
      <c r="D2" s="821">
        <v>17635</v>
      </c>
      <c r="E2" s="821">
        <v>9672</v>
      </c>
      <c r="F2" s="821">
        <f>9672</f>
        <v>9672</v>
      </c>
      <c r="G2" s="821">
        <f>9672</f>
        <v>9672</v>
      </c>
      <c r="H2" s="821">
        <f>9672</f>
        <v>9672</v>
      </c>
      <c r="I2" s="821">
        <f>9672</f>
        <v>9672</v>
      </c>
      <c r="J2" s="821">
        <f>9672</f>
        <v>9672</v>
      </c>
      <c r="K2" s="821">
        <f>9672</f>
        <v>9672</v>
      </c>
      <c r="L2" s="821">
        <f>9672</f>
        <v>9672</v>
      </c>
      <c r="M2" s="821">
        <f>9672</f>
        <v>9672</v>
      </c>
      <c r="N2" s="821">
        <f>9672</f>
        <v>9672</v>
      </c>
      <c r="O2" s="821">
        <f>9672</f>
        <v>9672</v>
      </c>
      <c r="P2" s="821">
        <f>9672</f>
        <v>9672</v>
      </c>
    </row>
    <row r="3" spans="1:16">
      <c r="A3" s="817" t="s">
        <v>11611</v>
      </c>
      <c r="B3" s="821"/>
      <c r="C3" s="821"/>
      <c r="D3" s="821"/>
      <c r="E3" s="821"/>
      <c r="F3" s="821"/>
      <c r="G3" s="821"/>
      <c r="H3" s="821"/>
      <c r="I3" s="821"/>
      <c r="J3" s="821">
        <f>1500*2+1500*2</f>
        <v>6000</v>
      </c>
      <c r="K3" s="821">
        <f t="shared" ref="K3:P3" si="0">1500*2+1500*2</f>
        <v>6000</v>
      </c>
      <c r="L3" s="821">
        <f t="shared" si="0"/>
        <v>6000</v>
      </c>
      <c r="M3" s="821">
        <f t="shared" si="0"/>
        <v>6000</v>
      </c>
      <c r="N3" s="821">
        <f t="shared" si="0"/>
        <v>6000</v>
      </c>
      <c r="O3" s="821">
        <f t="shared" si="0"/>
        <v>6000</v>
      </c>
      <c r="P3" s="821">
        <f t="shared" si="0"/>
        <v>6000</v>
      </c>
    </row>
    <row r="4" spans="1:16">
      <c r="A4" s="817" t="s">
        <v>11612</v>
      </c>
      <c r="B4" s="821"/>
      <c r="C4" s="821"/>
      <c r="D4" s="821"/>
      <c r="E4" s="821">
        <f>SUM(E2:E3)</f>
        <v>9672</v>
      </c>
      <c r="F4" s="821">
        <f t="shared" ref="F4:P4" si="1">SUM(F2:F3)</f>
        <v>9672</v>
      </c>
      <c r="G4" s="821">
        <f t="shared" si="1"/>
        <v>9672</v>
      </c>
      <c r="H4" s="821">
        <f t="shared" si="1"/>
        <v>9672</v>
      </c>
      <c r="I4" s="821">
        <f t="shared" si="1"/>
        <v>9672</v>
      </c>
      <c r="J4" s="821">
        <f t="shared" si="1"/>
        <v>15672</v>
      </c>
      <c r="K4" s="821">
        <f t="shared" si="1"/>
        <v>15672</v>
      </c>
      <c r="L4" s="821">
        <f t="shared" si="1"/>
        <v>15672</v>
      </c>
      <c r="M4" s="821">
        <f t="shared" si="1"/>
        <v>15672</v>
      </c>
      <c r="N4" s="821">
        <f t="shared" si="1"/>
        <v>15672</v>
      </c>
      <c r="O4" s="821">
        <f t="shared" si="1"/>
        <v>15672</v>
      </c>
      <c r="P4" s="821">
        <f t="shared" si="1"/>
        <v>15672</v>
      </c>
    </row>
    <row r="5" spans="1:16">
      <c r="A5" s="817" t="s">
        <v>138</v>
      </c>
      <c r="B5" s="822">
        <f>SUM(B6:B12)</f>
        <v>34119.166666666672</v>
      </c>
      <c r="C5" s="822">
        <f ca="1">SUM(C6:C12)</f>
        <v>20456.800103469577</v>
      </c>
      <c r="D5" s="822">
        <f ca="1">SUM(D6:D12)</f>
        <v>26284.217307519164</v>
      </c>
      <c r="E5" s="822">
        <f ca="1">SUM(E6:E12)</f>
        <v>19249.966770136245</v>
      </c>
      <c r="F5" s="822">
        <f t="shared" ref="F5:P5" ca="1" si="2">SUM(F6:F12)</f>
        <v>17398.966770136245</v>
      </c>
      <c r="G5" s="822">
        <f t="shared" ca="1" si="2"/>
        <v>20013.966770136245</v>
      </c>
      <c r="H5" s="822">
        <f t="shared" ca="1" si="2"/>
        <v>18307.966770136245</v>
      </c>
      <c r="I5" s="822">
        <f t="shared" ca="1" si="2"/>
        <v>18692.966770136245</v>
      </c>
      <c r="J5" s="822">
        <f t="shared" ca="1" si="2"/>
        <v>20088.966770136245</v>
      </c>
      <c r="K5" s="822">
        <f t="shared" ca="1" si="2"/>
        <v>18987.966770136245</v>
      </c>
      <c r="L5" s="822">
        <f t="shared" ca="1" si="2"/>
        <v>18930.058130119625</v>
      </c>
      <c r="M5" s="822">
        <f t="shared" ca="1" si="2"/>
        <v>21053.871514897372</v>
      </c>
      <c r="N5" s="822">
        <f t="shared" ca="1" si="2"/>
        <v>23117.851524782291</v>
      </c>
      <c r="O5" s="822">
        <f t="shared" ca="1" si="2"/>
        <v>18061.831493021135</v>
      </c>
      <c r="P5" s="822">
        <f t="shared" ca="1" si="2"/>
        <v>21432.811419527145</v>
      </c>
    </row>
    <row r="6" spans="1:16">
      <c r="A6" s="817" t="s">
        <v>11613</v>
      </c>
      <c r="B6" s="819">
        <f>Monthly!L480</f>
        <v>22071</v>
      </c>
      <c r="C6" s="819">
        <f ca="1">Monthly!M480</f>
        <v>12673.633436802909</v>
      </c>
      <c r="D6" s="819">
        <f ca="1">Monthly!N480</f>
        <v>12683.050640852496</v>
      </c>
      <c r="E6" s="820">
        <f ca="1">Monthly!C403</f>
        <v>12673.633436802909</v>
      </c>
      <c r="F6" s="820">
        <f ca="1">Monthly!D403</f>
        <v>12748.633436802909</v>
      </c>
      <c r="G6" s="820">
        <f ca="1">Monthly!E403</f>
        <v>12673.633436802909</v>
      </c>
      <c r="H6" s="820">
        <f ca="1">Monthly!F403</f>
        <v>12673.633436802909</v>
      </c>
      <c r="I6" s="820">
        <f ca="1">Monthly!G403</f>
        <v>12676.633436802909</v>
      </c>
      <c r="J6" s="820">
        <f ca="1">Monthly!H403</f>
        <v>12676.633436802909</v>
      </c>
      <c r="K6" s="820">
        <f ca="1">Monthly!I403</f>
        <v>12673.633436802909</v>
      </c>
      <c r="L6" s="820">
        <f ca="1">Monthly!J403</f>
        <v>12667.058130119625</v>
      </c>
      <c r="M6" s="820">
        <f ca="1">Monthly!K403</f>
        <v>14140.038181564036</v>
      </c>
      <c r="N6" s="820">
        <f ca="1">Monthly!L403</f>
        <v>12963.018191448955</v>
      </c>
      <c r="O6" s="820">
        <f ca="1">Monthly!M403</f>
        <v>12666.998159687799</v>
      </c>
      <c r="P6" s="820">
        <f ca="1">Monthly!N403</f>
        <v>12666.978086193809</v>
      </c>
    </row>
    <row r="7" spans="1:16">
      <c r="A7" s="817" t="s">
        <v>11614</v>
      </c>
      <c r="B7" s="819">
        <f>Monthly!L512</f>
        <v>1059.6666666666665</v>
      </c>
      <c r="C7" s="819">
        <f>Monthly!M512</f>
        <v>1702.6666666666667</v>
      </c>
      <c r="D7" s="819">
        <f>Monthly!N512</f>
        <v>1087.6666666666667</v>
      </c>
      <c r="E7" s="819">
        <f>Monthly!C435</f>
        <v>1030.3333333333333</v>
      </c>
      <c r="F7" s="819">
        <f>Monthly!D435</f>
        <v>1030.3333333333333</v>
      </c>
      <c r="G7" s="819">
        <f>Monthly!E435</f>
        <v>1240.3333333333335</v>
      </c>
      <c r="H7" s="819">
        <f>Monthly!F435</f>
        <v>934.33333333333337</v>
      </c>
      <c r="I7" s="819">
        <f>Monthly!G435</f>
        <v>648.33333333333326</v>
      </c>
      <c r="J7" s="819">
        <f>Monthly!H435</f>
        <v>1056.3333333333333</v>
      </c>
      <c r="K7" s="819">
        <f>Monthly!I435</f>
        <v>1062.3333333333333</v>
      </c>
      <c r="L7" s="819">
        <f>Monthly!J435</f>
        <v>1075.3333333333333</v>
      </c>
      <c r="M7" s="819">
        <f>Monthly!K435</f>
        <v>1075.3333333333333</v>
      </c>
      <c r="N7" s="819">
        <f>Monthly!L435</f>
        <v>974.33333333333326</v>
      </c>
      <c r="O7" s="819">
        <f>Monthly!M435</f>
        <v>973.33333333333326</v>
      </c>
      <c r="P7" s="819">
        <f>Monthly!N435</f>
        <v>977.33333333333326</v>
      </c>
    </row>
    <row r="8" spans="1:16">
      <c r="A8" s="817" t="s">
        <v>11615</v>
      </c>
      <c r="B8" s="819">
        <f>Monthly!L494+Monthly!L502</f>
        <v>1207.3333333333335</v>
      </c>
      <c r="C8" s="819">
        <f>Monthly!M494+Monthly!M502</f>
        <v>1055.3333333333335</v>
      </c>
      <c r="D8" s="819">
        <f>Monthly!N494+Monthly!N502</f>
        <v>1181.3333333333335</v>
      </c>
      <c r="E8" s="819">
        <f>Monthly!C417+Monthly!C425</f>
        <v>1187.8333333333335</v>
      </c>
      <c r="F8" s="819">
        <f>Monthly!D417+Monthly!D425</f>
        <v>1051.8333333333335</v>
      </c>
      <c r="G8" s="819">
        <f>Monthly!E417+Monthly!E425</f>
        <v>1758.8333333333335</v>
      </c>
      <c r="H8" s="819">
        <f>Monthly!F417+Monthly!F425</f>
        <v>1141.8333333333335</v>
      </c>
      <c r="I8" s="819">
        <f>Monthly!G417+Monthly!G425</f>
        <v>1116.8333333333335</v>
      </c>
      <c r="J8" s="819">
        <f>Monthly!H417+Monthly!H425</f>
        <v>1352.8333333333335</v>
      </c>
      <c r="K8" s="819">
        <f>Monthly!I417+Monthly!I425</f>
        <v>1385.8333333333335</v>
      </c>
      <c r="L8" s="819">
        <f>Monthly!J417+Monthly!J425</f>
        <v>511.5</v>
      </c>
      <c r="M8" s="819">
        <f>Monthly!K417+Monthly!K425</f>
        <v>389.33333333333337</v>
      </c>
      <c r="N8" s="819">
        <f>Monthly!L417+Monthly!L425</f>
        <v>454.33333333333337</v>
      </c>
      <c r="O8" s="819">
        <f>Monthly!M417+Monthly!M425</f>
        <v>248.33333333333334</v>
      </c>
      <c r="P8" s="819">
        <f>Monthly!N417+Monthly!N425</f>
        <v>674.33333333333337</v>
      </c>
    </row>
    <row r="9" spans="1:16">
      <c r="A9" s="817" t="s">
        <v>278</v>
      </c>
      <c r="B9" s="819">
        <f>Monthly!L508</f>
        <v>1459</v>
      </c>
      <c r="C9" s="819">
        <f>Monthly!M508</f>
        <v>1537</v>
      </c>
      <c r="D9" s="819">
        <f>Monthly!N508</f>
        <v>1741</v>
      </c>
      <c r="E9" s="819">
        <f>Monthly!C433</f>
        <v>1128</v>
      </c>
      <c r="F9" s="819">
        <f>Monthly!D433</f>
        <v>655</v>
      </c>
      <c r="G9" s="819">
        <f>Monthly!E433</f>
        <v>948</v>
      </c>
      <c r="H9" s="819">
        <f>Monthly!F433</f>
        <v>1060</v>
      </c>
      <c r="I9" s="819">
        <f>Monthly!G433</f>
        <v>1158</v>
      </c>
      <c r="J9" s="819">
        <f>Monthly!H433</f>
        <v>945</v>
      </c>
      <c r="K9" s="819">
        <f>Monthly!I433</f>
        <v>790</v>
      </c>
      <c r="L9" s="819">
        <f>Monthly!J433</f>
        <v>1119</v>
      </c>
      <c r="M9" s="819">
        <f>Monthly!K433</f>
        <v>1036</v>
      </c>
      <c r="N9" s="819">
        <f>Monthly!L433</f>
        <v>1343</v>
      </c>
      <c r="O9" s="819">
        <f>Monthly!M433</f>
        <v>970</v>
      </c>
      <c r="P9" s="819">
        <f>Monthly!N433</f>
        <v>680</v>
      </c>
    </row>
    <row r="10" spans="1:16">
      <c r="A10" s="817" t="s">
        <v>428</v>
      </c>
      <c r="B10" s="819">
        <f>Monthly!L531</f>
        <v>1129</v>
      </c>
      <c r="C10" s="819">
        <f>Monthly!M531</f>
        <v>1011</v>
      </c>
      <c r="D10" s="819">
        <f>Monthly!N531</f>
        <v>1231</v>
      </c>
      <c r="E10" s="819">
        <f>Monthly!C454</f>
        <v>1231</v>
      </c>
      <c r="F10" s="819">
        <f>Monthly!D454</f>
        <v>734</v>
      </c>
      <c r="G10" s="819">
        <f>Monthly!E454</f>
        <v>789</v>
      </c>
      <c r="H10" s="819">
        <f>Monthly!F454</f>
        <v>789</v>
      </c>
      <c r="I10" s="819">
        <f>Monthly!G454</f>
        <v>1936</v>
      </c>
      <c r="J10" s="819">
        <f>Monthly!H454</f>
        <v>734</v>
      </c>
      <c r="K10" s="819">
        <f>Monthly!I454</f>
        <v>706</v>
      </c>
      <c r="L10" s="819">
        <f>Monthly!J454</f>
        <v>1556</v>
      </c>
      <c r="M10" s="819">
        <f>Monthly!K454</f>
        <v>2182</v>
      </c>
      <c r="N10" s="819">
        <f>Monthly!L454</f>
        <v>2308</v>
      </c>
      <c r="O10" s="819">
        <f>Monthly!M454</f>
        <v>1032</v>
      </c>
      <c r="P10" s="819">
        <f>Monthly!N454</f>
        <v>1032</v>
      </c>
    </row>
    <row r="11" spans="1:16">
      <c r="A11" s="817" t="s">
        <v>11616</v>
      </c>
      <c r="B11" s="819">
        <f>Monthly!L535+Monthly!L541+Monthly!L546</f>
        <v>413.16666666666669</v>
      </c>
      <c r="C11" s="819">
        <f>Monthly!M535+Monthly!M541+Monthly!M546</f>
        <v>343.16666666666669</v>
      </c>
      <c r="D11" s="819">
        <f>Monthly!N535+Monthly!N541+Monthly!N546</f>
        <v>5433.166666666667</v>
      </c>
      <c r="E11" s="819">
        <f>Monthly!C458+Monthly!C464+Monthly!C469</f>
        <v>363.16666666666669</v>
      </c>
      <c r="F11" s="819">
        <f>Monthly!D458+Monthly!D464+Monthly!D469</f>
        <v>313.16666666666669</v>
      </c>
      <c r="G11" s="819">
        <f>Monthly!E458+Monthly!E464+Monthly!E469</f>
        <v>313.16666666666669</v>
      </c>
      <c r="H11" s="819">
        <f>Monthly!F458+Monthly!F464+Monthly!F469</f>
        <v>531.16666666666674</v>
      </c>
      <c r="I11" s="819">
        <f>Monthly!G458+Monthly!G464+Monthly!G469</f>
        <v>313.16666666666669</v>
      </c>
      <c r="J11" s="819">
        <f>Monthly!H458+Monthly!H464+Monthly!H469</f>
        <v>2360.1666666666665</v>
      </c>
      <c r="K11" s="819">
        <f>Monthly!I458+Monthly!I464+Monthly!I469</f>
        <v>313.16666666666669</v>
      </c>
      <c r="L11" s="819">
        <f>Monthly!J458+Monthly!J464+Monthly!J469</f>
        <v>313.16666666666669</v>
      </c>
      <c r="M11" s="819">
        <f>Monthly!K458+Monthly!K464+Monthly!K469</f>
        <v>1355.1666666666667</v>
      </c>
      <c r="N11" s="819">
        <f>Monthly!L458+Monthly!L464+Monthly!L469</f>
        <v>3378.1666666666665</v>
      </c>
      <c r="O11" s="819">
        <f>Monthly!M458+Monthly!M464+Monthly!M469</f>
        <v>353.16666666666669</v>
      </c>
      <c r="P11" s="819">
        <f>Monthly!N458+Monthly!N464+Monthly!N469</f>
        <v>482.16666666666669</v>
      </c>
    </row>
    <row r="12" spans="1:16">
      <c r="A12" s="817" t="s">
        <v>11617</v>
      </c>
      <c r="B12" s="819">
        <f>Monthly!L522</f>
        <v>6780</v>
      </c>
      <c r="C12" s="819">
        <f>Monthly!M522</f>
        <v>2134</v>
      </c>
      <c r="D12" s="819">
        <f>Monthly!N522</f>
        <v>2927</v>
      </c>
      <c r="E12" s="819">
        <f>Monthly!C445</f>
        <v>1636</v>
      </c>
      <c r="F12" s="819">
        <f>Monthly!D445</f>
        <v>866</v>
      </c>
      <c r="G12" s="819">
        <f>Monthly!E445</f>
        <v>2291</v>
      </c>
      <c r="H12" s="819">
        <f>Monthly!F445</f>
        <v>1178</v>
      </c>
      <c r="I12" s="819">
        <f>Monthly!G445</f>
        <v>844</v>
      </c>
      <c r="J12" s="819">
        <f>Monthly!H445</f>
        <v>964</v>
      </c>
      <c r="K12" s="819">
        <f>Monthly!I445</f>
        <v>2057</v>
      </c>
      <c r="L12" s="819">
        <f>Monthly!J445</f>
        <v>1688</v>
      </c>
      <c r="M12" s="819">
        <f>Monthly!K445</f>
        <v>876</v>
      </c>
      <c r="N12" s="819">
        <f>Monthly!L445</f>
        <v>1697</v>
      </c>
      <c r="O12" s="819">
        <f>Monthly!M445</f>
        <v>1818</v>
      </c>
      <c r="P12" s="819">
        <f>Monthly!N445</f>
        <v>4920</v>
      </c>
    </row>
    <row r="13" spans="1:16">
      <c r="A13" s="817" t="s">
        <v>586</v>
      </c>
      <c r="B13" s="819">
        <f>Monthly!L550</f>
        <v>34119.166666666664</v>
      </c>
      <c r="C13" s="819">
        <f ca="1">Monthly!M550</f>
        <v>20456.800103469577</v>
      </c>
      <c r="D13" s="819">
        <f ca="1">Monthly!N550</f>
        <v>26284.217307519168</v>
      </c>
      <c r="E13" s="819">
        <f ca="1">Monthly!C473</f>
        <v>19249.966770136241</v>
      </c>
      <c r="F13" s="819">
        <f ca="1">Monthly!D473</f>
        <v>17398.966770136245</v>
      </c>
      <c r="G13" s="819">
        <f ca="1">Monthly!E473</f>
        <v>20023.966770136241</v>
      </c>
      <c r="H13" s="819">
        <f ca="1">Monthly!F473</f>
        <v>18280.966770136245</v>
      </c>
      <c r="I13" s="819">
        <f ca="1">Monthly!G473</f>
        <v>18692.966770136245</v>
      </c>
      <c r="J13" s="819">
        <f ca="1">Monthly!H473</f>
        <v>20225.966770136245</v>
      </c>
      <c r="K13" s="819">
        <f ca="1">Monthly!I473</f>
        <v>19035.966770136241</v>
      </c>
      <c r="L13" s="819">
        <f ca="1">Monthly!J473</f>
        <v>18994.058130119625</v>
      </c>
      <c r="M13" s="819">
        <f ca="1">Monthly!K473</f>
        <v>21111.871514897372</v>
      </c>
      <c r="N13" s="819">
        <f ca="1">Monthly!L473</f>
        <v>23184.851524782287</v>
      </c>
      <c r="O13" s="819">
        <f ca="1">Monthly!M473</f>
        <v>18051.831493021135</v>
      </c>
      <c r="P13" s="819">
        <f ca="1">Monthly!N473</f>
        <v>21800.811419527141</v>
      </c>
    </row>
    <row r="14" spans="1:16">
      <c r="A14" s="831" t="s">
        <v>11618</v>
      </c>
      <c r="B14" s="820">
        <f t="shared" ref="B14:P14" si="3">B2-B5</f>
        <v>-12218.166666666672</v>
      </c>
      <c r="C14" s="823">
        <f t="shared" ca="1" si="3"/>
        <v>-588.80010346957715</v>
      </c>
      <c r="D14" s="820">
        <f t="shared" ca="1" si="3"/>
        <v>-8649.217307519164</v>
      </c>
      <c r="E14" s="820">
        <f t="shared" ca="1" si="3"/>
        <v>-9577.966770136245</v>
      </c>
      <c r="F14" s="820">
        <f t="shared" ca="1" si="3"/>
        <v>-7726.966770136245</v>
      </c>
      <c r="G14" s="820">
        <f t="shared" ca="1" si="3"/>
        <v>-10341.966770136245</v>
      </c>
      <c r="H14" s="820">
        <f t="shared" ca="1" si="3"/>
        <v>-8635.966770136245</v>
      </c>
      <c r="I14" s="820">
        <f t="shared" ca="1" si="3"/>
        <v>-9020.966770136245</v>
      </c>
      <c r="J14" s="820">
        <f t="shared" ca="1" si="3"/>
        <v>-10416.966770136245</v>
      </c>
      <c r="K14" s="820">
        <f t="shared" ca="1" si="3"/>
        <v>-9315.966770136245</v>
      </c>
      <c r="L14" s="820">
        <f t="shared" ca="1" si="3"/>
        <v>-9258.0581301196253</v>
      </c>
      <c r="M14" s="820">
        <f t="shared" ca="1" si="3"/>
        <v>-11381.871514897372</v>
      </c>
      <c r="N14" s="820">
        <f t="shared" ca="1" si="3"/>
        <v>-13445.851524782291</v>
      </c>
      <c r="O14" s="820">
        <f t="shared" ca="1" si="3"/>
        <v>-8389.8314930211345</v>
      </c>
      <c r="P14" s="820">
        <f t="shared" ca="1" si="3"/>
        <v>-11760.811419527145</v>
      </c>
    </row>
    <row r="15" spans="1:16">
      <c r="A15" s="831" t="s">
        <v>11619</v>
      </c>
      <c r="B15" s="820">
        <v>40000</v>
      </c>
      <c r="C15" s="833"/>
      <c r="D15" s="833"/>
      <c r="E15" s="833"/>
      <c r="F15" s="833"/>
      <c r="G15" s="833"/>
      <c r="H15" s="833"/>
      <c r="I15" s="833"/>
      <c r="J15" s="833"/>
      <c r="K15" s="833"/>
      <c r="L15" s="833"/>
      <c r="M15" s="833"/>
      <c r="N15" s="833"/>
      <c r="O15" s="833"/>
      <c r="P15" s="833"/>
    </row>
    <row r="16" spans="1:16">
      <c r="A16" s="831" t="s">
        <v>11620</v>
      </c>
      <c r="B16" s="820">
        <f>SUM(E4:P4)</f>
        <v>158064</v>
      </c>
    </row>
    <row r="17" spans="1:16">
      <c r="A17" s="831" t="s">
        <v>11621</v>
      </c>
      <c r="B17" s="822">
        <f ca="1">SUM(E5:P5)</f>
        <v>235337.1914733013</v>
      </c>
      <c r="D17" s="697">
        <v>3200101</v>
      </c>
    </row>
    <row r="18" spans="1:16">
      <c r="A18" s="831" t="s">
        <v>11618</v>
      </c>
      <c r="B18" s="820">
        <f ca="1">B16-B17</f>
        <v>-77273.191473301296</v>
      </c>
      <c r="D18" s="836">
        <v>38932.959999999999</v>
      </c>
    </row>
    <row r="19" spans="1:16">
      <c r="A19" s="831" t="s">
        <v>11622</v>
      </c>
      <c r="B19" s="834">
        <f ca="1">B18/12</f>
        <v>-6439.432622775108</v>
      </c>
    </row>
    <row r="20" spans="1:16">
      <c r="A20" s="831" t="s">
        <v>11623</v>
      </c>
      <c r="B20" s="835">
        <f ca="1">B18+B15</f>
        <v>-37273.191473301296</v>
      </c>
    </row>
    <row r="21" spans="1:16">
      <c r="A21" s="831"/>
      <c r="B21" s="835">
        <f ca="1">B20/12</f>
        <v>-3106.0992894417745</v>
      </c>
    </row>
    <row r="22" spans="1:16">
      <c r="A22" s="831" t="s">
        <v>11624</v>
      </c>
      <c r="B22" s="828">
        <v>315000</v>
      </c>
      <c r="C22" s="828">
        <v>315000</v>
      </c>
      <c r="D22" s="828">
        <v>315000</v>
      </c>
      <c r="E22" s="828">
        <v>315000</v>
      </c>
      <c r="F22" s="828">
        <v>250000</v>
      </c>
      <c r="G22" s="828">
        <v>250000</v>
      </c>
      <c r="H22" s="828">
        <v>250000</v>
      </c>
      <c r="I22" s="828">
        <v>250000</v>
      </c>
      <c r="J22" s="828">
        <v>250000</v>
      </c>
      <c r="K22" s="828">
        <v>250000</v>
      </c>
      <c r="L22" s="828">
        <v>250000</v>
      </c>
      <c r="M22" s="828">
        <v>250000</v>
      </c>
      <c r="N22" s="828">
        <v>250000</v>
      </c>
      <c r="O22" s="828">
        <v>250000</v>
      </c>
      <c r="P22" s="828">
        <v>250000</v>
      </c>
    </row>
    <row r="23" spans="1:16">
      <c r="A23" s="829" t="s">
        <v>11625</v>
      </c>
      <c r="B23" s="824">
        <f ca="1">B22/$B$18</f>
        <v>-4.0764460997943361</v>
      </c>
      <c r="C23" s="824">
        <f t="shared" ref="C23:P23" ca="1" si="4">C22/$B$18</f>
        <v>-4.0764460997943361</v>
      </c>
      <c r="D23" s="824">
        <f t="shared" ca="1" si="4"/>
        <v>-4.0764460997943361</v>
      </c>
      <c r="E23" s="824">
        <f t="shared" ca="1" si="4"/>
        <v>-4.0764460997943361</v>
      </c>
      <c r="F23" s="824">
        <f t="shared" ca="1" si="4"/>
        <v>-3.2352746823764571</v>
      </c>
      <c r="G23" s="824">
        <f t="shared" ca="1" si="4"/>
        <v>-3.2352746823764571</v>
      </c>
      <c r="H23" s="824">
        <f t="shared" ca="1" si="4"/>
        <v>-3.2352746823764571</v>
      </c>
      <c r="I23" s="824">
        <f t="shared" ca="1" si="4"/>
        <v>-3.2352746823764571</v>
      </c>
      <c r="J23" s="824">
        <f t="shared" ca="1" si="4"/>
        <v>-3.2352746823764571</v>
      </c>
      <c r="K23" s="824">
        <f t="shared" ca="1" si="4"/>
        <v>-3.2352746823764571</v>
      </c>
      <c r="L23" s="824">
        <f t="shared" ca="1" si="4"/>
        <v>-3.2352746823764571</v>
      </c>
      <c r="M23" s="824">
        <f t="shared" ca="1" si="4"/>
        <v>-3.2352746823764571</v>
      </c>
      <c r="N23" s="824">
        <f t="shared" ca="1" si="4"/>
        <v>-3.2352746823764571</v>
      </c>
      <c r="O23" s="824">
        <f t="shared" ca="1" si="4"/>
        <v>-3.2352746823764571</v>
      </c>
      <c r="P23" s="824">
        <f t="shared" ca="1" si="4"/>
        <v>-3.2352746823764571</v>
      </c>
    </row>
    <row r="24" spans="1:16" hidden="1">
      <c r="A24" s="829" t="s">
        <v>11626</v>
      </c>
      <c r="B24" s="827"/>
      <c r="C24" s="827"/>
      <c r="D24" s="827"/>
      <c r="E24" s="827"/>
      <c r="F24" s="827"/>
      <c r="G24" s="827"/>
      <c r="H24" s="827"/>
      <c r="I24" s="827"/>
      <c r="J24" s="827"/>
      <c r="K24" s="826">
        <v>4000</v>
      </c>
      <c r="L24" s="826">
        <v>4000</v>
      </c>
      <c r="M24" s="826">
        <v>4000</v>
      </c>
      <c r="N24" s="826">
        <v>4000</v>
      </c>
      <c r="O24" s="826">
        <v>4000</v>
      </c>
      <c r="P24" s="826">
        <v>4000</v>
      </c>
    </row>
    <row r="25" spans="1:16" hidden="1">
      <c r="A25" s="829" t="s">
        <v>11627</v>
      </c>
      <c r="B25" s="827"/>
      <c r="C25" s="827"/>
      <c r="D25" s="827"/>
      <c r="E25" s="827"/>
      <c r="F25" s="827"/>
      <c r="G25" s="827"/>
      <c r="H25" s="827">
        <v>8000</v>
      </c>
      <c r="I25" s="827"/>
      <c r="J25" s="827"/>
      <c r="K25" s="826"/>
      <c r="L25" s="826"/>
      <c r="M25" s="826">
        <v>8000</v>
      </c>
      <c r="N25" s="826"/>
      <c r="O25" s="826"/>
      <c r="P25" s="826"/>
    </row>
    <row r="26" spans="1:16" hidden="1">
      <c r="A26" s="829" t="s">
        <v>11628</v>
      </c>
      <c r="B26" s="819"/>
      <c r="C26" s="819"/>
      <c r="D26" s="819"/>
      <c r="E26" s="819"/>
      <c r="F26" s="819"/>
      <c r="G26" s="819"/>
      <c r="H26" s="819"/>
      <c r="I26" s="819"/>
      <c r="J26" s="819"/>
      <c r="K26" s="819"/>
      <c r="L26" s="820">
        <v>3500</v>
      </c>
      <c r="M26" s="820">
        <v>3500</v>
      </c>
      <c r="N26" s="820">
        <v>3500</v>
      </c>
      <c r="O26" s="820">
        <v>3500</v>
      </c>
      <c r="P26" s="820">
        <v>3500</v>
      </c>
    </row>
    <row r="27" spans="1:16" hidden="1">
      <c r="A27" s="829" t="s">
        <v>11629</v>
      </c>
      <c r="B27" s="819">
        <f>SUM(B24:P24)+SUM(B25:P25)+SUM(B26:P26)</f>
        <v>57500</v>
      </c>
      <c r="C27" s="819"/>
      <c r="D27" s="819"/>
      <c r="E27" s="819"/>
      <c r="F27" s="819"/>
      <c r="G27" s="819"/>
      <c r="H27" s="819"/>
      <c r="I27" s="819"/>
      <c r="J27" s="819"/>
      <c r="K27" s="819"/>
      <c r="L27" s="820"/>
      <c r="M27" s="820"/>
      <c r="N27" s="820"/>
      <c r="O27" s="820"/>
      <c r="P27" s="820"/>
    </row>
    <row r="28" spans="1:16" hidden="1">
      <c r="A28" s="829" t="s">
        <v>11630</v>
      </c>
      <c r="B28" s="820">
        <f t="shared" ref="B28:G28" si="5">B14+B24+B26+B25</f>
        <v>-12218.166666666672</v>
      </c>
      <c r="C28" s="820">
        <f t="shared" ca="1" si="5"/>
        <v>-588.80010346957715</v>
      </c>
      <c r="D28" s="820">
        <f t="shared" ca="1" si="5"/>
        <v>-8649.217307519164</v>
      </c>
      <c r="E28" s="820">
        <f t="shared" ca="1" si="5"/>
        <v>-9577.966770136245</v>
      </c>
      <c r="F28" s="820">
        <f t="shared" ca="1" si="5"/>
        <v>-7726.966770136245</v>
      </c>
      <c r="G28" s="820">
        <f t="shared" ca="1" si="5"/>
        <v>-10341.966770136245</v>
      </c>
      <c r="H28" s="820">
        <f ca="1">H14+H24+H26+H25</f>
        <v>-635.96677013624503</v>
      </c>
      <c r="I28" s="820">
        <f t="shared" ref="I28:P28" ca="1" si="6">I14+I24+I26+I25</f>
        <v>-9020.966770136245</v>
      </c>
      <c r="J28" s="820">
        <f t="shared" ca="1" si="6"/>
        <v>-10416.966770136245</v>
      </c>
      <c r="K28" s="820">
        <f t="shared" ca="1" si="6"/>
        <v>-5315.966770136245</v>
      </c>
      <c r="L28" s="820">
        <f t="shared" ca="1" si="6"/>
        <v>-1758.0581301196253</v>
      </c>
      <c r="M28" s="820">
        <f t="shared" ca="1" si="6"/>
        <v>4118.1284851026285</v>
      </c>
      <c r="N28" s="820">
        <f t="shared" ca="1" si="6"/>
        <v>-5945.8515247822907</v>
      </c>
      <c r="O28" s="820">
        <f t="shared" ca="1" si="6"/>
        <v>-889.83149302113452</v>
      </c>
      <c r="P28" s="820">
        <f t="shared" ca="1" si="6"/>
        <v>-4260.8114195271446</v>
      </c>
    </row>
    <row r="29" spans="1:16" hidden="1">
      <c r="A29" s="829" t="s">
        <v>11631</v>
      </c>
      <c r="B29" s="830">
        <f>B27+B16</f>
        <v>215564</v>
      </c>
      <c r="C29" s="820"/>
      <c r="D29" s="820"/>
      <c r="E29" s="820"/>
      <c r="F29" s="820"/>
      <c r="G29" s="820"/>
      <c r="H29" s="820"/>
      <c r="I29" s="820"/>
      <c r="J29" s="820"/>
      <c r="K29" s="820"/>
      <c r="L29" s="820"/>
      <c r="M29" s="820"/>
      <c r="N29" s="820"/>
      <c r="O29" s="820"/>
      <c r="P29" s="820"/>
    </row>
    <row r="30" spans="1:16" hidden="1">
      <c r="A30" s="829" t="s">
        <v>11632</v>
      </c>
      <c r="B30" s="820">
        <f ca="1">SUM(B28:P28)</f>
        <v>-83229.375550956713</v>
      </c>
      <c r="C30" s="820"/>
      <c r="D30" s="820"/>
      <c r="E30" s="820"/>
      <c r="F30" s="820"/>
      <c r="G30" s="820"/>
      <c r="H30" s="820"/>
      <c r="I30" s="820"/>
      <c r="J30" s="820"/>
      <c r="K30" s="820"/>
      <c r="L30" s="820"/>
      <c r="M30" s="820"/>
      <c r="N30" s="820"/>
      <c r="O30" s="820"/>
      <c r="P30" s="820"/>
    </row>
    <row r="31" spans="1:16" hidden="1">
      <c r="A31" s="829" t="s">
        <v>11633</v>
      </c>
      <c r="B31" s="820">
        <f ca="1">B30/12</f>
        <v>-6935.7812959130597</v>
      </c>
      <c r="C31" s="820"/>
      <c r="D31" s="820"/>
      <c r="E31" s="820"/>
      <c r="F31" s="820"/>
      <c r="G31" s="820"/>
      <c r="H31" s="820"/>
      <c r="I31" s="820"/>
      <c r="J31" s="820"/>
      <c r="K31" s="820"/>
      <c r="L31" s="820"/>
      <c r="M31" s="820"/>
      <c r="N31" s="820"/>
      <c r="O31" s="820"/>
      <c r="P31" s="820"/>
    </row>
    <row r="33" spans="1:16">
      <c r="A33" s="817" t="s">
        <v>11634</v>
      </c>
      <c r="B33" s="825">
        <f>B2/$B$2</f>
        <v>1</v>
      </c>
      <c r="C33" s="825">
        <f t="shared" ref="C33:P33" si="7">C2/C$2</f>
        <v>1</v>
      </c>
      <c r="D33" s="825">
        <f t="shared" si="7"/>
        <v>1</v>
      </c>
      <c r="E33" s="825">
        <f t="shared" si="7"/>
        <v>1</v>
      </c>
      <c r="F33" s="825">
        <f t="shared" si="7"/>
        <v>1</v>
      </c>
      <c r="G33" s="825">
        <f t="shared" si="7"/>
        <v>1</v>
      </c>
      <c r="H33" s="825">
        <f t="shared" si="7"/>
        <v>1</v>
      </c>
      <c r="I33" s="825">
        <f t="shared" si="7"/>
        <v>1</v>
      </c>
      <c r="J33" s="825">
        <f t="shared" si="7"/>
        <v>1</v>
      </c>
      <c r="K33" s="825">
        <f t="shared" si="7"/>
        <v>1</v>
      </c>
      <c r="L33" s="825">
        <f t="shared" si="7"/>
        <v>1</v>
      </c>
      <c r="M33" s="825">
        <f t="shared" si="7"/>
        <v>1</v>
      </c>
      <c r="N33" s="825">
        <f t="shared" si="7"/>
        <v>1</v>
      </c>
      <c r="O33" s="825">
        <f t="shared" si="7"/>
        <v>1</v>
      </c>
      <c r="P33" s="825">
        <f t="shared" si="7"/>
        <v>1</v>
      </c>
    </row>
    <row r="34" spans="1:16">
      <c r="A34" s="817" t="s">
        <v>138</v>
      </c>
      <c r="B34" s="825">
        <f t="shared" ref="B34:B42" si="8">B5/$B$2</f>
        <v>1.5578816796797712</v>
      </c>
      <c r="C34" s="825">
        <f t="shared" ref="C34:P34" ca="1" si="9">C5/C$2</f>
        <v>1.0296356001343656</v>
      </c>
      <c r="D34" s="825">
        <f t="shared" ca="1" si="9"/>
        <v>1.4904574600237688</v>
      </c>
      <c r="E34" s="825">
        <f t="shared" ca="1" si="9"/>
        <v>1.9902777884756251</v>
      </c>
      <c r="F34" s="825">
        <f t="shared" ca="1" si="9"/>
        <v>1.7989006172597442</v>
      </c>
      <c r="G34" s="825">
        <f t="shared" ca="1" si="9"/>
        <v>2.069268690047172</v>
      </c>
      <c r="H34" s="825">
        <f t="shared" ca="1" si="9"/>
        <v>1.8928832475326969</v>
      </c>
      <c r="I34" s="825">
        <f t="shared" ca="1" si="9"/>
        <v>1.9326888720157409</v>
      </c>
      <c r="J34" s="825">
        <f t="shared" ca="1" si="9"/>
        <v>2.0770230324789334</v>
      </c>
      <c r="K34" s="825">
        <f t="shared" ca="1" si="9"/>
        <v>1.9631892855806705</v>
      </c>
      <c r="L34" s="825">
        <f t="shared" ca="1" si="9"/>
        <v>1.9572020399213839</v>
      </c>
      <c r="M34" s="825">
        <f t="shared" ca="1" si="9"/>
        <v>2.1767857232110601</v>
      </c>
      <c r="N34" s="825">
        <f t="shared" ca="1" si="9"/>
        <v>2.3901831601305097</v>
      </c>
      <c r="O34" s="825">
        <f t="shared" ca="1" si="9"/>
        <v>1.8674350178888683</v>
      </c>
      <c r="P34" s="825">
        <f t="shared" ca="1" si="9"/>
        <v>2.2159647869651722</v>
      </c>
    </row>
    <row r="35" spans="1:16">
      <c r="A35" s="817" t="s">
        <v>11613</v>
      </c>
      <c r="B35" s="825">
        <f t="shared" si="8"/>
        <v>1.0077622026391488</v>
      </c>
      <c r="C35" s="825">
        <f t="shared" ref="C35:P35" ca="1" si="10">C6/C$2</f>
        <v>0.63789175743924442</v>
      </c>
      <c r="D35" s="825">
        <f t="shared" ca="1" si="10"/>
        <v>0.71919765471236152</v>
      </c>
      <c r="E35" s="825">
        <f t="shared" ca="1" si="10"/>
        <v>1.31034258031461</v>
      </c>
      <c r="F35" s="825">
        <f t="shared" ca="1" si="10"/>
        <v>1.3180969227463719</v>
      </c>
      <c r="G35" s="825">
        <f t="shared" ca="1" si="10"/>
        <v>1.31034258031461</v>
      </c>
      <c r="H35" s="825">
        <f t="shared" ca="1" si="10"/>
        <v>1.31034258031461</v>
      </c>
      <c r="I35" s="825">
        <f t="shared" ca="1" si="10"/>
        <v>1.3106527540118806</v>
      </c>
      <c r="J35" s="825">
        <f t="shared" ca="1" si="10"/>
        <v>1.3106527540118806</v>
      </c>
      <c r="K35" s="825">
        <f t="shared" ca="1" si="10"/>
        <v>1.31034258031461</v>
      </c>
      <c r="L35" s="825">
        <f t="shared" ca="1" si="10"/>
        <v>1.309662751253063</v>
      </c>
      <c r="M35" s="825">
        <f t="shared" ca="1" si="10"/>
        <v>1.4619559741071171</v>
      </c>
      <c r="N35" s="825">
        <f t="shared" ca="1" si="10"/>
        <v>1.3402624267420342</v>
      </c>
      <c r="O35" s="825">
        <f t="shared" ca="1" si="10"/>
        <v>1.3096565508362075</v>
      </c>
      <c r="P35" s="825">
        <f t="shared" ca="1" si="10"/>
        <v>1.3096544754129249</v>
      </c>
    </row>
    <row r="36" spans="1:16">
      <c r="A36" s="817" t="s">
        <v>11614</v>
      </c>
      <c r="B36" s="825">
        <f t="shared" si="8"/>
        <v>4.8384396450694783E-2</v>
      </c>
      <c r="C36" s="825">
        <f t="shared" ref="C36:P36" si="11">C7/C$2</f>
        <v>8.5698946379437632E-2</v>
      </c>
      <c r="D36" s="825">
        <f t="shared" si="11"/>
        <v>6.1676590114355924E-2</v>
      </c>
      <c r="E36" s="825">
        <f t="shared" si="11"/>
        <v>0.10652743314033636</v>
      </c>
      <c r="F36" s="825">
        <f t="shared" si="11"/>
        <v>0.10652743314033636</v>
      </c>
      <c r="G36" s="825">
        <f t="shared" si="11"/>
        <v>0.12823959194926937</v>
      </c>
      <c r="H36" s="825">
        <f t="shared" si="11"/>
        <v>9.6601874827681289E-2</v>
      </c>
      <c r="I36" s="825">
        <f t="shared" si="11"/>
        <v>6.7031982354562994E-2</v>
      </c>
      <c r="J36" s="825">
        <f t="shared" si="11"/>
        <v>0.10921560518334711</v>
      </c>
      <c r="K36" s="825">
        <f t="shared" si="11"/>
        <v>0.10983595257788806</v>
      </c>
      <c r="L36" s="825">
        <f t="shared" si="11"/>
        <v>0.11118003859939343</v>
      </c>
      <c r="M36" s="825">
        <f t="shared" si="11"/>
        <v>0.11118003859939343</v>
      </c>
      <c r="N36" s="825">
        <f t="shared" si="11"/>
        <v>0.10073752412462089</v>
      </c>
      <c r="O36" s="825">
        <f t="shared" si="11"/>
        <v>0.1006341328921974</v>
      </c>
      <c r="P36" s="825">
        <f t="shared" si="11"/>
        <v>0.10104769782189137</v>
      </c>
    </row>
    <row r="37" spans="1:16">
      <c r="A37" s="817" t="s">
        <v>11615</v>
      </c>
      <c r="B37" s="825">
        <f t="shared" si="8"/>
        <v>5.512685874313198E-2</v>
      </c>
      <c r="C37" s="825">
        <f t="shared" ref="C37:P37" si="12">C8/C$2</f>
        <v>5.3117240453660834E-2</v>
      </c>
      <c r="D37" s="825">
        <f t="shared" si="12"/>
        <v>6.6987997353747289E-2</v>
      </c>
      <c r="E37" s="825">
        <f t="shared" si="12"/>
        <v>0.12281155224703613</v>
      </c>
      <c r="F37" s="825">
        <f t="shared" si="12"/>
        <v>0.10875034463744143</v>
      </c>
      <c r="G37" s="825">
        <f t="shared" si="12"/>
        <v>0.18184794596084919</v>
      </c>
      <c r="H37" s="825">
        <f t="shared" si="12"/>
        <v>0.11805555555555557</v>
      </c>
      <c r="I37" s="825">
        <f t="shared" si="12"/>
        <v>0.11547077474496831</v>
      </c>
      <c r="J37" s="825">
        <f t="shared" si="12"/>
        <v>0.13987110559691207</v>
      </c>
      <c r="K37" s="825">
        <f t="shared" si="12"/>
        <v>0.14328301626688725</v>
      </c>
      <c r="L37" s="825">
        <f t="shared" si="12"/>
        <v>5.2884615384615384E-2</v>
      </c>
      <c r="M37" s="825">
        <f t="shared" si="12"/>
        <v>4.0253653156878968E-2</v>
      </c>
      <c r="N37" s="825">
        <f t="shared" si="12"/>
        <v>4.6974083264405851E-2</v>
      </c>
      <c r="O37" s="825">
        <f t="shared" si="12"/>
        <v>2.5675489385166804E-2</v>
      </c>
      <c r="P37" s="825">
        <f t="shared" si="12"/>
        <v>6.9720154397573758E-2</v>
      </c>
    </row>
    <row r="38" spans="1:16">
      <c r="A38" s="817" t="s">
        <v>278</v>
      </c>
      <c r="B38" s="825">
        <f t="shared" si="8"/>
        <v>6.6617962650107304E-2</v>
      </c>
      <c r="C38" s="825">
        <f t="shared" ref="C38:P38" si="13">C9/C$2</f>
        <v>7.7360579826857262E-2</v>
      </c>
      <c r="D38" s="825">
        <f t="shared" si="13"/>
        <v>9.8724128154238727E-2</v>
      </c>
      <c r="E38" s="825">
        <f t="shared" si="13"/>
        <v>0.11662531017369727</v>
      </c>
      <c r="F38" s="825">
        <f t="shared" si="13"/>
        <v>6.772125723738627E-2</v>
      </c>
      <c r="G38" s="825">
        <f t="shared" si="13"/>
        <v>9.8014888337468978E-2</v>
      </c>
      <c r="H38" s="825">
        <f t="shared" si="13"/>
        <v>0.10959470636889991</v>
      </c>
      <c r="I38" s="825">
        <f t="shared" si="13"/>
        <v>0.11972704714640199</v>
      </c>
      <c r="J38" s="825">
        <f t="shared" si="13"/>
        <v>9.7704714640198517E-2</v>
      </c>
      <c r="K38" s="825">
        <f t="shared" si="13"/>
        <v>8.1679073614557479E-2</v>
      </c>
      <c r="L38" s="825">
        <f t="shared" si="13"/>
        <v>0.11569478908188585</v>
      </c>
      <c r="M38" s="825">
        <f t="shared" si="13"/>
        <v>0.10711331679073614</v>
      </c>
      <c r="N38" s="825">
        <f t="shared" si="13"/>
        <v>0.13885442514474772</v>
      </c>
      <c r="O38" s="825">
        <f t="shared" si="13"/>
        <v>0.10028949545078578</v>
      </c>
      <c r="P38" s="825">
        <f t="shared" si="13"/>
        <v>7.0306038047973529E-2</v>
      </c>
    </row>
    <row r="39" spans="1:16">
      <c r="A39" s="817" t="s">
        <v>428</v>
      </c>
      <c r="B39" s="825">
        <f t="shared" si="8"/>
        <v>5.155015752705356E-2</v>
      </c>
      <c r="C39" s="825">
        <f t="shared" ref="C39:P39" si="14">C10/C$2</f>
        <v>5.088584658747735E-2</v>
      </c>
      <c r="D39" s="825">
        <f t="shared" si="14"/>
        <v>6.9804366316983266E-2</v>
      </c>
      <c r="E39" s="825">
        <f t="shared" si="14"/>
        <v>0.12727460711331678</v>
      </c>
      <c r="F39" s="825">
        <f t="shared" si="14"/>
        <v>7.5889164598842013E-2</v>
      </c>
      <c r="G39" s="825">
        <f t="shared" si="14"/>
        <v>8.1575682382134002E-2</v>
      </c>
      <c r="H39" s="825">
        <f t="shared" si="14"/>
        <v>8.1575682382134002E-2</v>
      </c>
      <c r="I39" s="825">
        <f t="shared" si="14"/>
        <v>0.20016542597187759</v>
      </c>
      <c r="J39" s="825">
        <f t="shared" si="14"/>
        <v>7.5889164598842013E-2</v>
      </c>
      <c r="K39" s="825">
        <f t="shared" si="14"/>
        <v>7.2994210090984279E-2</v>
      </c>
      <c r="L39" s="825">
        <f t="shared" si="14"/>
        <v>0.16087675765095119</v>
      </c>
      <c r="M39" s="825">
        <f t="shared" si="14"/>
        <v>0.22559966914805624</v>
      </c>
      <c r="N39" s="825">
        <f t="shared" si="14"/>
        <v>0.23862696443341605</v>
      </c>
      <c r="O39" s="825">
        <f t="shared" si="14"/>
        <v>0.10669975186104218</v>
      </c>
      <c r="P39" s="825">
        <f t="shared" si="14"/>
        <v>0.10669975186104218</v>
      </c>
    </row>
    <row r="40" spans="1:16">
      <c r="A40" s="817" t="s">
        <v>11616</v>
      </c>
      <c r="B40" s="825">
        <f t="shared" si="8"/>
        <v>1.8865196414166781E-2</v>
      </c>
      <c r="C40" s="825">
        <f t="shared" ref="C40:P40" si="15">C11/C$2</f>
        <v>1.7272330716059325E-2</v>
      </c>
      <c r="D40" s="825">
        <f t="shared" si="15"/>
        <v>0.30808997259238258</v>
      </c>
      <c r="E40" s="825">
        <f t="shared" si="15"/>
        <v>3.7548249241797629E-2</v>
      </c>
      <c r="F40" s="825">
        <f t="shared" si="15"/>
        <v>3.2378687620623105E-2</v>
      </c>
      <c r="G40" s="825">
        <f t="shared" si="15"/>
        <v>3.2378687620623105E-2</v>
      </c>
      <c r="H40" s="825">
        <f t="shared" si="15"/>
        <v>5.4917976288944036E-2</v>
      </c>
      <c r="I40" s="825">
        <f t="shared" si="15"/>
        <v>3.2378687620623105E-2</v>
      </c>
      <c r="J40" s="825">
        <f t="shared" si="15"/>
        <v>0.24402054039150811</v>
      </c>
      <c r="K40" s="825">
        <f t="shared" si="15"/>
        <v>3.2378687620623105E-2</v>
      </c>
      <c r="L40" s="825">
        <f t="shared" si="15"/>
        <v>3.2378687620623105E-2</v>
      </c>
      <c r="M40" s="825">
        <f t="shared" si="15"/>
        <v>0.1401123518059002</v>
      </c>
      <c r="N40" s="825">
        <f t="shared" si="15"/>
        <v>0.34927281499862145</v>
      </c>
      <c r="O40" s="825">
        <f t="shared" si="15"/>
        <v>3.6514336917562729E-2</v>
      </c>
      <c r="P40" s="825">
        <f t="shared" si="15"/>
        <v>4.9851805900192996E-2</v>
      </c>
    </row>
    <row r="41" spans="1:16">
      <c r="A41" s="817" t="s">
        <v>11617</v>
      </c>
      <c r="B41" s="825">
        <f t="shared" si="8"/>
        <v>0.30957490525546777</v>
      </c>
      <c r="C41" s="825">
        <f t="shared" ref="C41:P41" si="16">C12/C$2</f>
        <v>0.10740889873162875</v>
      </c>
      <c r="D41" s="825">
        <f t="shared" si="16"/>
        <v>0.16597675077969945</v>
      </c>
      <c r="E41" s="825">
        <f t="shared" si="16"/>
        <v>0.16914805624483042</v>
      </c>
      <c r="F41" s="825">
        <f t="shared" si="16"/>
        <v>8.9536807278742761E-2</v>
      </c>
      <c r="G41" s="825">
        <f t="shared" si="16"/>
        <v>0.23686931348221671</v>
      </c>
      <c r="H41" s="825">
        <f t="shared" si="16"/>
        <v>0.12179487179487179</v>
      </c>
      <c r="I41" s="825">
        <f t="shared" si="16"/>
        <v>8.7262200165425977E-2</v>
      </c>
      <c r="J41" s="825">
        <f t="shared" si="16"/>
        <v>9.9669148056244827E-2</v>
      </c>
      <c r="K41" s="825">
        <f t="shared" si="16"/>
        <v>0.21267576509511993</v>
      </c>
      <c r="L41" s="825">
        <f t="shared" si="16"/>
        <v>0.17452440033085195</v>
      </c>
      <c r="M41" s="825">
        <f t="shared" si="16"/>
        <v>9.0570719602977662E-2</v>
      </c>
      <c r="N41" s="825">
        <f t="shared" si="16"/>
        <v>0.17545492142266336</v>
      </c>
      <c r="O41" s="825">
        <f t="shared" si="16"/>
        <v>0.1879652605459057</v>
      </c>
      <c r="P41" s="825">
        <f t="shared" si="16"/>
        <v>0.50868486352357323</v>
      </c>
    </row>
    <row r="42" spans="1:16">
      <c r="A42" s="817" t="s">
        <v>586</v>
      </c>
      <c r="B42" s="825">
        <f t="shared" si="8"/>
        <v>1.557881679679771</v>
      </c>
      <c r="C42" s="825">
        <f t="shared" ref="C42:P42" ca="1" si="17">C13/C$2</f>
        <v>1.0296356001343656</v>
      </c>
      <c r="D42" s="825">
        <f t="shared" ca="1" si="17"/>
        <v>1.490457460023769</v>
      </c>
      <c r="E42" s="825">
        <f t="shared" ca="1" si="17"/>
        <v>1.9902777884756246</v>
      </c>
      <c r="F42" s="825">
        <f t="shared" ca="1" si="17"/>
        <v>1.7989006172597442</v>
      </c>
      <c r="G42" s="825">
        <f t="shared" ca="1" si="17"/>
        <v>2.0703026023714064</v>
      </c>
      <c r="H42" s="825">
        <f t="shared" ca="1" si="17"/>
        <v>1.8900916842572628</v>
      </c>
      <c r="I42" s="825">
        <f t="shared" ca="1" si="17"/>
        <v>1.9326888720157409</v>
      </c>
      <c r="J42" s="825">
        <f t="shared" ca="1" si="17"/>
        <v>2.0911876313209516</v>
      </c>
      <c r="K42" s="825">
        <f t="shared" ca="1" si="17"/>
        <v>1.9681520647369977</v>
      </c>
      <c r="L42" s="825">
        <f t="shared" ca="1" si="17"/>
        <v>1.9638190787964873</v>
      </c>
      <c r="M42" s="825">
        <f t="shared" ca="1" si="17"/>
        <v>2.1827824146916224</v>
      </c>
      <c r="N42" s="825">
        <f t="shared" ca="1" si="17"/>
        <v>2.3971103727028833</v>
      </c>
      <c r="O42" s="825">
        <f t="shared" ca="1" si="17"/>
        <v>1.8664011055646335</v>
      </c>
      <c r="P42" s="825">
        <f t="shared" ca="1" si="17"/>
        <v>2.2540127604970164</v>
      </c>
    </row>
    <row r="44" spans="1:16">
      <c r="A44" s="697" t="s">
        <v>11635</v>
      </c>
    </row>
    <row r="45" spans="1:16">
      <c r="A45" s="832" t="s">
        <v>11636</v>
      </c>
      <c r="G45" s="833">
        <f ca="1">G22+G14</f>
        <v>239658.03322986377</v>
      </c>
      <c r="H45" s="833">
        <f t="shared" ref="H45:P45" ca="1" si="18">G45+H14</f>
        <v>231022.06645972753</v>
      </c>
      <c r="I45" s="833">
        <f t="shared" ca="1" si="18"/>
        <v>222001.0996895913</v>
      </c>
      <c r="J45" s="833">
        <f t="shared" ca="1" si="18"/>
        <v>211584.13291945506</v>
      </c>
      <c r="K45" s="833">
        <f t="shared" ca="1" si="18"/>
        <v>202268.16614931883</v>
      </c>
      <c r="L45" s="833">
        <f t="shared" ca="1" si="18"/>
        <v>193010.10801919919</v>
      </c>
      <c r="M45" s="833">
        <f t="shared" ca="1" si="18"/>
        <v>181628.23650430184</v>
      </c>
      <c r="N45" s="833">
        <f t="shared" ca="1" si="18"/>
        <v>168182.38497951956</v>
      </c>
      <c r="O45" s="833">
        <f t="shared" ca="1" si="18"/>
        <v>159792.55348649842</v>
      </c>
      <c r="P45" s="833">
        <f t="shared" ca="1" si="18"/>
        <v>148031.74206697129</v>
      </c>
    </row>
    <row r="46" spans="1:16">
      <c r="A46" s="832" t="s">
        <v>241</v>
      </c>
      <c r="G46" s="833">
        <f ca="1">F22-G45</f>
        <v>10341.966770136234</v>
      </c>
      <c r="H46" s="833">
        <f ca="1">H45-G45</f>
        <v>-8635.9667701362341</v>
      </c>
      <c r="I46" s="833">
        <f t="shared" ref="I46:O46" ca="1" si="19">I45-H45</f>
        <v>-9020.9667701362341</v>
      </c>
      <c r="J46" s="833">
        <f t="shared" ca="1" si="19"/>
        <v>-10416.966770136234</v>
      </c>
      <c r="K46" s="833">
        <f t="shared" ca="1" si="19"/>
        <v>-9315.9667701362341</v>
      </c>
      <c r="L46" s="833">
        <f t="shared" ca="1" si="19"/>
        <v>-9258.0581301196362</v>
      </c>
      <c r="M46" s="833">
        <f t="shared" ca="1" si="19"/>
        <v>-11381.871514897357</v>
      </c>
      <c r="N46" s="833">
        <f t="shared" ca="1" si="19"/>
        <v>-13445.85152478228</v>
      </c>
      <c r="O46" s="833">
        <f t="shared" ca="1" si="19"/>
        <v>-8389.8314930211345</v>
      </c>
      <c r="P46" s="833">
        <f ca="1">P45-O45</f>
        <v>-11760.811419527134</v>
      </c>
    </row>
    <row r="47" spans="1:16">
      <c r="A47" s="832" t="s">
        <v>11637</v>
      </c>
    </row>
    <row r="48" spans="1:16">
      <c r="E48" s="833">
        <f ca="1">P45+E14</f>
        <v>138453.77529683505</v>
      </c>
      <c r="F48" s="833">
        <f t="shared" ref="F48:P48" ca="1" si="20">E48+F14</f>
        <v>130726.80852669881</v>
      </c>
      <c r="G48" s="833">
        <f t="shared" ca="1" si="20"/>
        <v>120384.84175656256</v>
      </c>
      <c r="H48" s="833">
        <f t="shared" ca="1" si="20"/>
        <v>111748.87498642631</v>
      </c>
      <c r="I48" s="833">
        <f t="shared" ca="1" si="20"/>
        <v>102727.90821629006</v>
      </c>
      <c r="J48" s="833">
        <f t="shared" ca="1" si="20"/>
        <v>92310.941446153811</v>
      </c>
      <c r="K48" s="833">
        <f t="shared" ca="1" si="20"/>
        <v>82994.974676017562</v>
      </c>
      <c r="L48" s="833">
        <f t="shared" ca="1" si="20"/>
        <v>73736.916545897941</v>
      </c>
      <c r="M48" s="833">
        <f t="shared" ca="1" si="20"/>
        <v>62355.045031000569</v>
      </c>
      <c r="N48" s="833">
        <f t="shared" ca="1" si="20"/>
        <v>48909.193506218275</v>
      </c>
      <c r="O48" s="833">
        <f t="shared" ca="1" si="20"/>
        <v>40519.36201319714</v>
      </c>
      <c r="P48" s="833">
        <f t="shared" ca="1" si="20"/>
        <v>28758.550593669996</v>
      </c>
    </row>
  </sheetData>
  <conditionalFormatting sqref="B14:P15">
    <cfRule type="cellIs" dxfId="13" priority="1" operator="less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tabColor indexed="50"/>
  </sheetPr>
  <dimension ref="A1:R81"/>
  <sheetViews>
    <sheetView zoomScale="112" zoomScaleNormal="112" zoomScalePageLayoutView="112" workbookViewId="0">
      <selection activeCell="J147" sqref="J147"/>
    </sheetView>
  </sheetViews>
  <sheetFormatPr defaultColWidth="8.85546875" defaultRowHeight="14.25"/>
  <cols>
    <col min="1" max="1" width="3.85546875" style="153" customWidth="1"/>
    <col min="2" max="2" width="20.85546875" style="153" customWidth="1"/>
    <col min="3" max="3" width="8.140625" style="151" customWidth="1"/>
    <col min="4" max="4" width="7.28515625" style="152" customWidth="1"/>
    <col min="5" max="5" width="7.85546875" style="152" customWidth="1"/>
    <col min="6" max="6" width="6.85546875" style="152" customWidth="1"/>
    <col min="7" max="7" width="7.28515625" style="152" customWidth="1"/>
    <col min="8" max="8" width="6.85546875" style="152" customWidth="1"/>
    <col min="9" max="9" width="7.85546875" style="152" customWidth="1"/>
    <col min="10" max="10" width="6.85546875" style="152" customWidth="1"/>
    <col min="11" max="11" width="7.140625" style="152" customWidth="1"/>
    <col min="12" max="12" width="7.7109375" style="152" customWidth="1"/>
    <col min="13" max="13" width="7.140625" style="152" customWidth="1"/>
    <col min="14" max="15" width="6.7109375" style="152" customWidth="1"/>
    <col min="16" max="17" width="7" style="152" customWidth="1"/>
    <col min="18" max="18" width="7.28515625" style="152" customWidth="1"/>
    <col min="19" max="16384" width="8.85546875" style="153"/>
  </cols>
  <sheetData>
    <row r="1" spans="1:18" ht="15" thickBot="1">
      <c r="A1" s="2339" t="s">
        <v>385</v>
      </c>
      <c r="B1" s="2340"/>
      <c r="C1" s="277" t="s">
        <v>387</v>
      </c>
    </row>
    <row r="2" spans="1:18" ht="15" hidden="1" thickBot="1">
      <c r="C2" s="151" t="s">
        <v>386</v>
      </c>
    </row>
    <row r="3" spans="1:18" ht="15" hidden="1" thickBot="1">
      <c r="C3" s="151" t="s">
        <v>387</v>
      </c>
    </row>
    <row r="4" spans="1:18" ht="15">
      <c r="A4" s="271" t="s">
        <v>388</v>
      </c>
      <c r="B4" s="272"/>
      <c r="C4" s="273">
        <v>2002</v>
      </c>
      <c r="D4" s="273">
        <v>2003</v>
      </c>
      <c r="E4" s="273">
        <v>2004</v>
      </c>
      <c r="F4" s="273">
        <v>2005</v>
      </c>
      <c r="G4" s="273">
        <v>2006</v>
      </c>
      <c r="H4" s="273">
        <v>2007</v>
      </c>
      <c r="I4" s="273">
        <v>2008</v>
      </c>
      <c r="J4" s="273">
        <v>2009</v>
      </c>
      <c r="K4" s="273">
        <v>2010</v>
      </c>
      <c r="L4" s="273">
        <v>2011</v>
      </c>
      <c r="M4" s="273">
        <v>2012</v>
      </c>
      <c r="N4" s="273">
        <v>2013</v>
      </c>
      <c r="O4" s="273">
        <v>2014</v>
      </c>
      <c r="P4" s="273">
        <v>2015</v>
      </c>
      <c r="Q4" s="273">
        <v>2016</v>
      </c>
      <c r="R4" s="273">
        <v>2017</v>
      </c>
    </row>
    <row r="5" spans="1:18" ht="15.75" thickBot="1">
      <c r="A5" s="275"/>
      <c r="B5" s="270"/>
      <c r="C5" s="274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</row>
    <row r="6" spans="1:18" ht="14.1" customHeight="1">
      <c r="A6" s="2341" t="s">
        <v>56</v>
      </c>
      <c r="B6" s="2342"/>
      <c r="C6" s="2336">
        <f t="shared" ref="C6:R6" si="0">SUM(C14:C19)+C8</f>
        <v>0.11076970000473992</v>
      </c>
      <c r="D6" s="2336">
        <f t="shared" si="0"/>
        <v>9.3087178599255471E-2</v>
      </c>
      <c r="E6" s="2336">
        <f t="shared" si="0"/>
        <v>0.13737297704177645</v>
      </c>
      <c r="F6" s="2336">
        <f t="shared" si="0"/>
        <v>0.19961884528867785</v>
      </c>
      <c r="G6" s="2336">
        <f t="shared" si="0"/>
        <v>0.171886233415394</v>
      </c>
      <c r="H6" s="2336">
        <f t="shared" si="0"/>
        <v>0.15556110310113458</v>
      </c>
      <c r="I6" s="2336">
        <f t="shared" si="0"/>
        <v>0.1513217606456424</v>
      </c>
      <c r="J6" s="2336">
        <f t="shared" si="0"/>
        <v>0.14745486703174798</v>
      </c>
      <c r="K6" s="2336">
        <f t="shared" si="0"/>
        <v>0.12591591994353019</v>
      </c>
      <c r="L6" s="2336">
        <f t="shared" si="0"/>
        <v>0.12778574624138034</v>
      </c>
      <c r="M6" s="2336">
        <f t="shared" si="0"/>
        <v>0.11617978375925131</v>
      </c>
      <c r="N6" s="2336">
        <f t="shared" si="0"/>
        <v>0.15441476510738295</v>
      </c>
      <c r="O6" s="2336">
        <f t="shared" si="0"/>
        <v>6.9233899684606776E-2</v>
      </c>
      <c r="P6" s="2336">
        <f t="shared" si="0"/>
        <v>5.9774899154120521E-2</v>
      </c>
      <c r="Q6" s="2336">
        <f t="shared" si="0"/>
        <v>9.1407455429497575E-2</v>
      </c>
      <c r="R6" s="2336">
        <f t="shared" si="0"/>
        <v>6.2932103804828596E-2</v>
      </c>
    </row>
    <row r="7" spans="1:18" ht="14.1" customHeight="1">
      <c r="A7" s="2337"/>
      <c r="B7" s="2338"/>
      <c r="C7" s="2336"/>
      <c r="D7" s="2336"/>
      <c r="E7" s="2336"/>
      <c r="F7" s="2336"/>
      <c r="G7" s="2336"/>
      <c r="H7" s="2336"/>
      <c r="I7" s="2336"/>
      <c r="J7" s="2336"/>
      <c r="K7" s="2336"/>
      <c r="L7" s="2336"/>
      <c r="M7" s="2336"/>
      <c r="N7" s="2336"/>
      <c r="O7" s="2336"/>
      <c r="P7" s="2336"/>
      <c r="Q7" s="2336"/>
      <c r="R7" s="2336"/>
    </row>
    <row r="8" spans="1:18" ht="15">
      <c r="A8" s="188"/>
      <c r="B8" s="189" t="s">
        <v>393</v>
      </c>
      <c r="C8" s="278">
        <f>IF($C$1="APM",Monthly!O1870/FinSnapshot!$B$60,IF($C$1="Yearly",Monthly!O1870*12/FinSnapshot!$B$60,0))</f>
        <v>0.11076970000473992</v>
      </c>
      <c r="D8" s="278">
        <f>IF($C$1="APM",Monthly!O1793/FinSnapshot!C$60,IF($C$1="Yearly",Monthly!O1793*12/FinSnapshot!C$60,0))</f>
        <v>9.3065535451476056E-2</v>
      </c>
      <c r="E8" s="278">
        <f>IF($C$1="APM",Monthly!O1716/FinSnapshot!D$60,IF($C$1="Yearly",Monthly!O1716*12/FinSnapshot!D$60,0))</f>
        <v>0.11321723064289869</v>
      </c>
      <c r="F8" s="278">
        <f>IF($C$1="APM",Monthly!O1638/FinSnapshot!E$60,IF($C$1="Yearly",Monthly!O1638*12/FinSnapshot!E$60,0))</f>
        <v>0.15334291427143215</v>
      </c>
      <c r="G8" s="278">
        <f>IF($C$1="APM",Monthly!O1560/FinSnapshot!F$60,IF($C$1="Yearly",Monthly!O1560*12/FinSnapshot!F$60,0))</f>
        <v>0.12928367573691205</v>
      </c>
      <c r="H8" s="278">
        <f>IF($C$1="APM",Monthly!O1482/FinSnapshot!G$60,IF($C$1="Yearly",Monthly!O1482*12/FinSnapshot!G$60,0))</f>
        <v>0.11579199421243816</v>
      </c>
      <c r="I8" s="278">
        <f>IF($C$1="APM",Monthly!O1405/FinSnapshot!H$60,IF($C$1="Yearly",Monthly!O1405*12/FinSnapshot!H$60,0))</f>
        <v>0.11094206073734793</v>
      </c>
      <c r="J8" s="278">
        <f>IF($C$1="APM",Monthly!O1328/FinSnapshot!I$60,IF($C$1="Yearly",Monthly!O1328*12/FinSnapshot!I$60,0))</f>
        <v>0.10632832273820231</v>
      </c>
      <c r="K8" s="278">
        <f>IF($C$1="APM",Monthly!O1251/FinSnapshot!J$60,IF($C$1="Yearly",Monthly!O1251*12/FinSnapshot!J$60,0))</f>
        <v>8.9928232087159221E-2</v>
      </c>
      <c r="L8" s="278">
        <f>IF($C$1="APM",Monthly!O1173/FinSnapshot!K$60,IF($C$1="Yearly",Monthly!O1173*12/FinSnapshot!K$60,0))</f>
        <v>8.7128110009346407E-2</v>
      </c>
      <c r="M8" s="278">
        <f>IF($C$1="APM",Monthly!O1096/FinSnapshot!L$60,IF($C$1="Yearly",Monthly!O1096*12/FinSnapshot!L$60,0))</f>
        <v>8.2368761060860329E-2</v>
      </c>
      <c r="N8" s="278">
        <f>IF($C$1="APM",Monthly!O1019/FinSnapshot!M$60,IF($C$1="Yearly",Monthly!O1019*12/FinSnapshot!M$60,0))</f>
        <v>0.11678175750694864</v>
      </c>
      <c r="O8" s="278">
        <f>IF($C$1="APM",Monthly!O942/FinSnapshot!N$60,IF($C$1="Yearly",Monthly!O942*12/FinSnapshot!N$60,0))</f>
        <v>4.3015566181707196E-2</v>
      </c>
      <c r="P8" s="278">
        <f>IF($C$1="APM",Monthly!$O866/FinSnapshot!O$60,IF($C$1="Yearly",Monthly!$O866*12/FinSnapshot!O$60,0))</f>
        <v>3.7022550948330714E-2</v>
      </c>
      <c r="Q8" s="278">
        <f>IF($C$1="APM",Monthly!$O789/FinSnapshot!P$60,IF($C$1="Yearly",Monthly!$O789*12/FinSnapshot!P$60,0))</f>
        <v>7.6115397082658021E-2</v>
      </c>
      <c r="R8" s="278">
        <f>IF($C$1="APM",Monthly!$O712/FinSnapshot!Q$60,IF($C$1="Yearly",Monthly!$O712*12/FinSnapshot!Q$60,0))</f>
        <v>6.282731444362942E-2</v>
      </c>
    </row>
    <row r="9" spans="1:18" ht="15">
      <c r="A9" s="188"/>
      <c r="B9" s="190" t="s">
        <v>394</v>
      </c>
      <c r="C9" s="278">
        <f>IF($C$1="APM",Monthly!O1871/FinSnapshot!$B$60,IF($C$1="Yearly",Monthly!O1871*12/FinSnapshot!$B$60,0))</f>
        <v>0</v>
      </c>
      <c r="D9" s="278">
        <f>IF($C$1="APM",Monthly!O1794/FinSnapshot!C$60,IF($C$1="Yearly",Monthly!O1794*12/FinSnapshot!C$60,0))</f>
        <v>0</v>
      </c>
      <c r="E9" s="278">
        <f>IF($C$1="APM",Monthly!O1717/FinSnapshot!D$60,IF($C$1="Yearly",Monthly!O1717*12/FinSnapshot!D$60,0))</f>
        <v>7.3863208676908335E-2</v>
      </c>
      <c r="F9" s="278">
        <f>IF($C$1="APM",Monthly!O1639/FinSnapshot!E$60,IF($C$1="Yearly",Monthly!O1639*12/FinSnapshot!E$60,0))</f>
        <v>6.4202699325168713E-2</v>
      </c>
      <c r="G9" s="278">
        <f>IF($C$1="APM",Monthly!O1561/FinSnapshot!F$60,IF($C$1="Yearly",Monthly!O1561*12/FinSnapshot!F$60,0))</f>
        <v>5.4704690529618093E-2</v>
      </c>
      <c r="H9" s="278">
        <f>IF($C$1="APM",Monthly!O1483/FinSnapshot!G$60,IF($C$1="Yearly",Monthly!O1483*12/FinSnapshot!G$60,0))</f>
        <v>5.0162265708186646E-2</v>
      </c>
      <c r="I9" s="278">
        <f>IF($C$1="APM",Monthly!O1406/FinSnapshot!H$60,IF($C$1="Yearly",Monthly!O1406*12/FinSnapshot!H$60,0))</f>
        <v>5.6552224216054568E-2</v>
      </c>
      <c r="J9" s="278">
        <f>IF($C$1="APM",Monthly!O1329/FinSnapshot!I$60,IF($C$1="Yearly",Monthly!O1329*12/FinSnapshot!I$60,0))</f>
        <v>5.0712386654034831E-2</v>
      </c>
      <c r="K9" s="278">
        <f>IF($C$1="APM",Monthly!O1252/FinSnapshot!J$60,IF($C$1="Yearly",Monthly!O1252*12/FinSnapshot!J$60,0))</f>
        <v>5.031640229147865E-2</v>
      </c>
      <c r="L9" s="278">
        <f>IF($C$1="APM",Monthly!O1174/FinSnapshot!K$60,IF($C$1="Yearly",Monthly!O1174*12/FinSnapshot!K$60,0))</f>
        <v>4.8002361710785417E-2</v>
      </c>
      <c r="M9" s="278">
        <f>IF($C$1="APM",Monthly!O1097/FinSnapshot!L$60,IF($C$1="Yearly",Monthly!O1097*12/FinSnapshot!L$60,0))</f>
        <v>4.4633892264928421E-2</v>
      </c>
      <c r="N9" s="278">
        <f>IF($C$1="APM",Monthly!O1020/FinSnapshot!M$60,IF($C$1="Yearly",Monthly!O1020*12/FinSnapshot!M$60,0))</f>
        <v>3.264822371396911E-2</v>
      </c>
      <c r="O9" s="278">
        <f>IF($C$1="APM",Monthly!O943/FinSnapshot!N$60,IF($C$1="Yearly",Monthly!O943*12/FinSnapshot!N$60,0))</f>
        <v>2.6737206226472684E-2</v>
      </c>
      <c r="P9" s="278">
        <f>IF($C$1="APM",Monthly!$O867/FinSnapshot!O$60,IF($C$1="Yearly",Monthly!$O867*12/FinSnapshot!O$60,0))</f>
        <v>2.301212485624719E-2</v>
      </c>
      <c r="Q9" s="278">
        <f>IF($C$1="APM",Monthly!$O790/FinSnapshot!P$60,IF($C$1="Yearly",Monthly!$O790*12/FinSnapshot!P$60,0))</f>
        <v>1.192609400324149E-2</v>
      </c>
      <c r="R9" s="278">
        <f>IF($C$1="APM",Monthly!$O713/FinSnapshot!Q$60,IF($C$1="Yearly",Monthly!$O713*12/FinSnapshot!Q$60,0))</f>
        <v>0</v>
      </c>
    </row>
    <row r="10" spans="1:18" ht="15">
      <c r="A10" s="188"/>
      <c r="B10" s="190" t="s">
        <v>395</v>
      </c>
      <c r="C10" s="278">
        <f>IF($C$1="APM",Monthly!O1872/FinSnapshot!$B$60,IF($C$1="Yearly",Monthly!O1872*12/FinSnapshot!$B$60,0))</f>
        <v>0</v>
      </c>
      <c r="D10" s="278">
        <f>IF($C$1="APM",Monthly!O1795/FinSnapshot!C$60,IF($C$1="Yearly",Monthly!O1795*12/FinSnapshot!C$60,0))</f>
        <v>0</v>
      </c>
      <c r="E10" s="278">
        <f>IF($C$1="APM",Monthly!O1718/FinSnapshot!D$60,IF($C$1="Yearly",Monthly!O1718*12/FinSnapshot!D$60,0))</f>
        <v>1.4548191740513909E-2</v>
      </c>
      <c r="F10" s="278">
        <f>IF($C$1="APM",Monthly!O1640/FinSnapshot!E$60,IF($C$1="Yearly",Monthly!O1640*12/FinSnapshot!E$60,0))</f>
        <v>3.3441639590102476E-2</v>
      </c>
      <c r="G10" s="278">
        <f>IF($C$1="APM",Monthly!O1562/FinSnapshot!F$60,IF($C$1="Yearly",Monthly!O1562*12/FinSnapshot!F$60,0))</f>
        <v>2.8218339469728328E-2</v>
      </c>
      <c r="H10" s="278">
        <f>IF($C$1="APM",Monthly!O1484/FinSnapshot!G$60,IF($C$1="Yearly",Monthly!O1484*12/FinSnapshot!G$60,0))</f>
        <v>2.2223014728733514E-2</v>
      </c>
      <c r="I10" s="278">
        <f>IF($C$1="APM",Monthly!O1407/FinSnapshot!H$60,IF($C$1="Yearly",Monthly!O1407*12/FinSnapshot!H$60,0))</f>
        <v>1.646152186728898E-2</v>
      </c>
      <c r="J10" s="278">
        <f>IF($C$1="APM",Monthly!O1330/FinSnapshot!I$60,IF($C$1="Yearly",Monthly!O1330*12/FinSnapshot!I$60,0))</f>
        <v>1.9460825315315112E-2</v>
      </c>
      <c r="K10" s="278">
        <f>IF($C$1="APM",Monthly!O1253/FinSnapshot!J$60,IF($C$1="Yearly",Monthly!O1253*12/FinSnapshot!J$60,0))</f>
        <v>1.3674358373666349E-2</v>
      </c>
      <c r="L10" s="278">
        <f>IF($C$1="APM",Monthly!O1175/FinSnapshot!K$60,IF($C$1="Yearly",Monthly!O1175*12/FinSnapshot!K$60,0))</f>
        <v>1.3995899629555286E-2</v>
      </c>
      <c r="M10" s="278">
        <f>IF($C$1="APM",Monthly!O1098/FinSnapshot!L$60,IF($C$1="Yearly",Monthly!O1098*12/FinSnapshot!L$60,0))</f>
        <v>1.397773117076289E-2</v>
      </c>
      <c r="N10" s="278">
        <f>IF($C$1="APM",Monthly!O1021/FinSnapshot!M$60,IF($C$1="Yearly",Monthly!O1021*12/FinSnapshot!M$60,0))</f>
        <v>1.6039952948548531E-2</v>
      </c>
      <c r="O10" s="278">
        <f>IF($C$1="APM",Monthly!O944/FinSnapshot!N$60,IF($C$1="Yearly",Monthly!O944*12/FinSnapshot!N$60,0))</f>
        <v>1.6278359955234509E-2</v>
      </c>
      <c r="P10" s="278">
        <f>IF($C$1="APM",Monthly!$O868/FinSnapshot!O$60,IF($C$1="Yearly",Monthly!$O868*12/FinSnapshot!O$60,0))</f>
        <v>1.4010426092083526E-2</v>
      </c>
      <c r="Q10" s="278">
        <f>IF($C$1="APM",Monthly!$O791/FinSnapshot!P$60,IF($C$1="Yearly",Monthly!$O791*12/FinSnapshot!P$60,0))</f>
        <v>7.2609400324149106E-3</v>
      </c>
      <c r="R10" s="278">
        <f>IF($C$1="APM",Monthly!$O714/FinSnapshot!Q$60,IF($C$1="Yearly",Monthly!$O714*12/FinSnapshot!Q$60,0))</f>
        <v>0</v>
      </c>
    </row>
    <row r="11" spans="1:18" ht="15">
      <c r="A11" s="188"/>
      <c r="B11" s="189" t="s">
        <v>396</v>
      </c>
      <c r="C11" s="278">
        <f>IF($C$1="APM",Monthly!O1873/FinSnapshot!$B$60,IF($C$1="Yearly",Monthly!O1873*12/FinSnapshot!$B$60,0))</f>
        <v>0</v>
      </c>
      <c r="D11" s="278">
        <f>IF($C$1="APM",Monthly!O1796/FinSnapshot!C$60,IF($C$1="Yearly",Monthly!O1796*12/FinSnapshot!C$60,0))</f>
        <v>0</v>
      </c>
      <c r="E11" s="278">
        <f>IF($C$1="APM",Monthly!O1719/FinSnapshot!D$60,IF($C$1="Yearly",Monthly!O1719*12/FinSnapshot!D$60,0))</f>
        <v>0</v>
      </c>
      <c r="F11" s="278">
        <f>IF($C$1="APM",Monthly!O1641/FinSnapshot!E$60,IF($C$1="Yearly",Monthly!O1641*12/FinSnapshot!E$60,0))</f>
        <v>0</v>
      </c>
      <c r="G11" s="278">
        <f>IF($C$1="APM",Monthly!O1563/FinSnapshot!F$60,IF($C$1="Yearly",Monthly!O1563*12/FinSnapshot!F$60,0))</f>
        <v>0</v>
      </c>
      <c r="H11" s="278">
        <f>IF($C$1="APM",Monthly!O1485/FinSnapshot!G$60,IF($C$1="Yearly",Monthly!O1485*12/FinSnapshot!G$60,0))</f>
        <v>0</v>
      </c>
      <c r="I11" s="278">
        <f>IF($C$1="APM",Monthly!O1408/FinSnapshot!H$60,IF($C$1="Yearly",Monthly!O1408*12/FinSnapshot!H$60,0))</f>
        <v>3.4438352422391759E-3</v>
      </c>
      <c r="J11" s="278">
        <f>IF($C$1="APM",Monthly!O1331/FinSnapshot!I$60,IF($C$1="Yearly",Monthly!O1331*12/FinSnapshot!I$60,0))</f>
        <v>0</v>
      </c>
      <c r="K11" s="278">
        <f>IF($C$1="APM",Monthly!O1254/FinSnapshot!J$60,IF($C$1="Yearly",Monthly!O1254*12/FinSnapshot!J$60,0))</f>
        <v>0</v>
      </c>
      <c r="L11" s="278">
        <f>IF($C$1="APM",Monthly!O1176/FinSnapshot!K$60,IF($C$1="Yearly",Monthly!O1176*12/FinSnapshot!K$60,0))</f>
        <v>0</v>
      </c>
      <c r="M11" s="278">
        <f>IF($C$1="APM",Monthly!O1099/FinSnapshot!L$60,IF($C$1="Yearly",Monthly!O1099*12/FinSnapshot!L$60,0))</f>
        <v>0</v>
      </c>
      <c r="N11" s="278">
        <f>IF($C$1="APM",Monthly!O1022/FinSnapshot!M$60,IF($C$1="Yearly",Monthly!O1022*12/FinSnapshot!M$60,0))</f>
        <v>0</v>
      </c>
      <c r="O11" s="278">
        <f>IF($C$1="APM",Monthly!O945/FinSnapshot!N$60,IF($C$1="Yearly",Monthly!O945*12/FinSnapshot!N$60,0))</f>
        <v>0</v>
      </c>
      <c r="P11" s="278">
        <f>IF($C$1="APM",Monthly!$O869/FinSnapshot!O$60,IF($C$1="Yearly",Monthly!$O869*12/FinSnapshot!O$60,0))</f>
        <v>0</v>
      </c>
      <c r="Q11" s="278">
        <f>IF($C$1="APM",Monthly!$O792/FinSnapshot!P$60,IF($C$1="Yearly",Monthly!$O792*12/FinSnapshot!P$60,0))</f>
        <v>0</v>
      </c>
      <c r="R11" s="278">
        <f>IF($C$1="APM",Monthly!$O715/FinSnapshot!Q$60,IF($C$1="Yearly",Monthly!$O715*12/FinSnapshot!Q$60,0))</f>
        <v>0</v>
      </c>
    </row>
    <row r="12" spans="1:18" ht="15">
      <c r="A12" s="188"/>
      <c r="B12" s="189" t="s">
        <v>397</v>
      </c>
      <c r="C12" s="278">
        <f>IF($C$1="APM",Monthly!O1874/FinSnapshot!$B$60,IF($C$1="Yearly",Monthly!O1874*12/FinSnapshot!$B$60,0))</f>
        <v>0</v>
      </c>
      <c r="D12" s="278">
        <f>IF($C$1="APM",Monthly!O1797/FinSnapshot!C$60,IF($C$1="Yearly",Monthly!O1797*12/FinSnapshot!C$60,0))</f>
        <v>0</v>
      </c>
      <c r="E12" s="278">
        <f>IF($C$1="APM",Monthly!O1720/FinSnapshot!D$60,IF($C$1="Yearly",Monthly!O1720*12/FinSnapshot!D$60,0))</f>
        <v>1.2296848804187908E-2</v>
      </c>
      <c r="F12" s="278">
        <f>IF($C$1="APM",Monthly!O1642/FinSnapshot!E$60,IF($C$1="Yearly",Monthly!O1642*12/FinSnapshot!E$60,0))</f>
        <v>2.1232191952011998E-2</v>
      </c>
      <c r="G12" s="278">
        <f>IF($C$1="APM",Monthly!O1564/FinSnapshot!F$60,IF($C$1="Yearly",Monthly!O1564*12/FinSnapshot!F$60,0))</f>
        <v>1.6709875601838741E-2</v>
      </c>
      <c r="H12" s="278">
        <f>IF($C$1="APM",Monthly!O1486/FinSnapshot!G$60,IF($C$1="Yearly",Monthly!O1486*12/FinSnapshot!G$60,0))</f>
        <v>1.412246603118966E-2</v>
      </c>
      <c r="I12" s="278">
        <f>IF($C$1="APM",Monthly!O1409/FinSnapshot!H$60,IF($C$1="Yearly",Monthly!O1409*12/FinSnapshot!H$60,0))</f>
        <v>1.1564854094887601E-2</v>
      </c>
      <c r="J12" s="278">
        <f>IF($C$1="APM",Monthly!O1332/FinSnapshot!I$60,IF($C$1="Yearly",Monthly!O1332*12/FinSnapshot!I$60,0))</f>
        <v>9.9868947776431977E-3</v>
      </c>
      <c r="K12" s="278">
        <f>IF($C$1="APM",Monthly!O1255/FinSnapshot!J$60,IF($C$1="Yearly",Monthly!O1255*12/FinSnapshot!J$60,0))</f>
        <v>8.0689568323557767E-3</v>
      </c>
      <c r="L12" s="278">
        <f>IF($C$1="APM",Monthly!O1177/FinSnapshot!K$60,IF($C$1="Yearly",Monthly!O1177*12/FinSnapshot!K$60,0))</f>
        <v>6.7499365764015174E-3</v>
      </c>
      <c r="M12" s="278">
        <f>IF($C$1="APM",Monthly!O1100/FinSnapshot!L$60,IF($C$1="Yearly",Monthly!O1100*12/FinSnapshot!L$60,0))</f>
        <v>5.3095147712688669E-3</v>
      </c>
      <c r="N12" s="278">
        <f>IF($C$1="APM",Monthly!O1023/FinSnapshot!M$60,IF($C$1="Yearly",Monthly!O1023*12/FinSnapshot!M$60,0))</f>
        <v>1.4072649832940216E-3</v>
      </c>
      <c r="O12" s="278">
        <f>IF($C$1="APM",Monthly!O946/FinSnapshot!N$60,IF($C$1="Yearly",Monthly!O946*12/FinSnapshot!N$60,0))</f>
        <v>0</v>
      </c>
      <c r="P12" s="278">
        <f>IF($C$1="APM",Monthly!$O870/FinSnapshot!O$60,IF($C$1="Yearly",Monthly!$O870*12/FinSnapshot!O$60,0))</f>
        <v>0</v>
      </c>
      <c r="Q12" s="278">
        <f>IF($C$1="APM",Monthly!$O793/FinSnapshot!P$60,IF($C$1="Yearly",Monthly!$O793*12/FinSnapshot!P$60,0))</f>
        <v>0</v>
      </c>
      <c r="R12" s="278">
        <f>IF($C$1="APM",Monthly!$O716/FinSnapshot!Q$60,IF($C$1="Yearly",Monthly!$O716*12/FinSnapshot!Q$60,0))</f>
        <v>0</v>
      </c>
    </row>
    <row r="13" spans="1:18" ht="15">
      <c r="A13" s="188"/>
      <c r="B13" s="190" t="s">
        <v>398</v>
      </c>
      <c r="C13" s="278">
        <f>IF($C$1="APM",Monthly!O1875/FinSnapshot!$B$60,IF($C$1="Yearly",Monthly!O1875*12/FinSnapshot!$B$60,0))</f>
        <v>0</v>
      </c>
      <c r="D13" s="278">
        <f>IF($C$1="APM",Monthly!O1798/FinSnapshot!C$60,IF($C$1="Yearly",Monthly!O1798*12/FinSnapshot!C$60,0))</f>
        <v>0</v>
      </c>
      <c r="E13" s="278">
        <f>IF($C$1="APM",Monthly!O1721/FinSnapshot!D$60,IF($C$1="Yearly",Monthly!O1721*12/FinSnapshot!D$60,0))</f>
        <v>8.6221644369931915E-3</v>
      </c>
      <c r="F13" s="278">
        <f>IF($C$1="APM",Monthly!O1643/FinSnapshot!E$60,IF($C$1="Yearly",Monthly!O1643*12/FinSnapshot!E$60,0))</f>
        <v>3.4466383404148961E-2</v>
      </c>
      <c r="G13" s="278">
        <f>IF($C$1="APM",Monthly!O1565/FinSnapshot!F$60,IF($C$1="Yearly",Monthly!O1565*12/FinSnapshot!F$60,0))</f>
        <v>2.9650770135726891E-2</v>
      </c>
      <c r="H13" s="278">
        <f>IF($C$1="APM",Monthly!O1487/FinSnapshot!G$60,IF($C$1="Yearly",Monthly!O1487*12/FinSnapshot!G$60,0))</f>
        <v>2.9284247744328341E-2</v>
      </c>
      <c r="I13" s="278">
        <f>IF($C$1="APM",Monthly!O1410/FinSnapshot!H$60,IF($C$1="Yearly",Monthly!O1410*12/FinSnapshot!H$60,0))</f>
        <v>2.2919625316877617E-2</v>
      </c>
      <c r="J13" s="278">
        <f>IF($C$1="APM",Monthly!O1333/FinSnapshot!I$60,IF($C$1="Yearly",Monthly!O1333*12/FinSnapshot!I$60,0))</f>
        <v>2.6168215991209165E-2</v>
      </c>
      <c r="K13" s="278">
        <f>IF($C$1="APM",Monthly!O1256/FinSnapshot!J$60,IF($C$1="Yearly",Monthly!O1256*12/FinSnapshot!J$60,0))</f>
        <v>1.7868514589658432E-2</v>
      </c>
      <c r="L13" s="278">
        <f>IF($C$1="APM",Monthly!O1178/FinSnapshot!K$60,IF($C$1="Yearly",Monthly!O1178*12/FinSnapshot!K$60,0))</f>
        <v>1.8379912092604169E-2</v>
      </c>
      <c r="M13" s="278">
        <f>IF($C$1="APM",Monthly!O1101/FinSnapshot!L$60,IF($C$1="Yearly",Monthly!O1101*12/FinSnapshot!L$60,0))</f>
        <v>1.8447622853900145E-2</v>
      </c>
      <c r="N13" s="278">
        <f>IF($C$1="APM",Monthly!O1024/FinSnapshot!M$60,IF($C$1="Yearly",Monthly!O1024*12/FinSnapshot!M$60,0))</f>
        <v>6.6686315861136963E-2</v>
      </c>
      <c r="O13" s="278">
        <f>IF($C$1="APM",Monthly!O947/FinSnapshot!N$60,IF($C$1="Yearly",Monthly!O947*12/FinSnapshot!N$60,0))</f>
        <v>0</v>
      </c>
      <c r="P13" s="278">
        <f>IF($C$1="APM",Monthly!$O871/FinSnapshot!O$60,IF($C$1="Yearly",Monthly!$O871*12/FinSnapshot!O$60,0))</f>
        <v>0</v>
      </c>
      <c r="Q13" s="278">
        <f>IF($C$1="APM",Monthly!$O794/FinSnapshot!P$60,IF($C$1="Yearly",Monthly!$O794*12/FinSnapshot!P$60,0))</f>
        <v>0</v>
      </c>
      <c r="R13" s="278">
        <f>IF($C$1="APM",Monthly!$O717/FinSnapshot!Q$60,IF($C$1="Yearly",Monthly!$O717*12/FinSnapshot!Q$60,0))</f>
        <v>0</v>
      </c>
    </row>
    <row r="14" spans="1:18" ht="15">
      <c r="A14" s="188"/>
      <c r="B14" s="189" t="s">
        <v>287</v>
      </c>
      <c r="C14" s="278">
        <f>IF($C$1="APM",Monthly!O1876/FinSnapshot!$B$60,IF($C$1="Yearly",Monthly!O1876*12/FinSnapshot!$B$60,0))</f>
        <v>0</v>
      </c>
      <c r="D14" s="278">
        <f>IF($C$1="APM",Monthly!O1799/FinSnapshot!C$60,IF($C$1="Yearly",Monthly!O1799*12/FinSnapshot!C$60,0))</f>
        <v>0</v>
      </c>
      <c r="E14" s="278">
        <f>IF($C$1="APM",Monthly!O1722/FinSnapshot!D$60,IF($C$1="Yearly",Monthly!O1722*12/FinSnapshot!D$60,0))</f>
        <v>1.2810072877818456E-2</v>
      </c>
      <c r="F14" s="278">
        <f>IF($C$1="APM",Monthly!O1644/FinSnapshot!E$60,IF($C$1="Yearly",Monthly!O1644*12/FinSnapshot!E$60,0))</f>
        <v>2.3394151462134468E-2</v>
      </c>
      <c r="G14" s="278">
        <f>IF($C$1="APM",Monthly!O1566/FinSnapshot!F$60,IF($C$1="Yearly",Monthly!O1566*12/FinSnapshot!F$60,0))</f>
        <v>2.0391712598854056E-2</v>
      </c>
      <c r="H14" s="278">
        <f>IF($C$1="APM",Monthly!O1488/FinSnapshot!G$60,IF($C$1="Yearly",Monthly!O1488*12/FinSnapshot!G$60,0))</f>
        <v>1.9074499574593826E-2</v>
      </c>
      <c r="I14" s="278">
        <f>IF($C$1="APM",Monthly!O1411/FinSnapshot!H$60,IF($C$1="Yearly",Monthly!O1411*12/FinSnapshot!H$60,0))</f>
        <v>1.8589881173050282E-2</v>
      </c>
      <c r="J14" s="278">
        <f>IF($C$1="APM",Monthly!O1334/FinSnapshot!I$60,IF($C$1="Yearly",Monthly!O1334*12/FinSnapshot!I$60,0))</f>
        <v>1.7527351375644283E-2</v>
      </c>
      <c r="K14" s="278">
        <f>IF($C$1="APM",Monthly!O1257/FinSnapshot!J$60,IF($C$1="Yearly",Monthly!O1257*12/FinSnapshot!J$60,0))</f>
        <v>1.5791038835197651E-2</v>
      </c>
      <c r="L14" s="278">
        <f>IF($C$1="APM",Monthly!O1179/FinSnapshot!K$60,IF($C$1="Yearly",Monthly!O1179*12/FinSnapshot!K$60,0))</f>
        <v>1.5299348567883363E-2</v>
      </c>
      <c r="M14" s="278">
        <f>IF($C$1="APM",Monthly!O1102/FinSnapshot!L$60,IF($C$1="Yearly",Monthly!O1102*12/FinSnapshot!L$60,0))</f>
        <v>1.4463625877338756E-2</v>
      </c>
      <c r="N14" s="278">
        <f>IF($C$1="APM",Monthly!O1025/FinSnapshot!M$60,IF($C$1="Yearly",Monthly!O1025*12/FinSnapshot!M$60,0))</f>
        <v>1.3159609120521172E-2</v>
      </c>
      <c r="O14" s="278">
        <f>IF($C$1="APM",Monthly!O948/FinSnapshot!N$60,IF($C$1="Yearly",Monthly!O948*12/FinSnapshot!N$60,0))</f>
        <v>1.2330857666090142E-2</v>
      </c>
      <c r="P14" s="278">
        <f>IF($C$1="APM",Monthly!$O872/FinSnapshot!O$60,IF($C$1="Yearly",Monthly!$O872*12/FinSnapshot!O$60,0))</f>
        <v>1.0612897764753271E-2</v>
      </c>
      <c r="Q14" s="278">
        <f>IF($C$1="APM",Monthly!$O795/FinSnapshot!P$60,IF($C$1="Yearly",Monthly!$O795*12/FinSnapshot!P$60,0))</f>
        <v>5.5001620745542953E-3</v>
      </c>
      <c r="R14" s="278">
        <f>IF($C$1="APM",Monthly!$O718/FinSnapshot!Q$60,IF($C$1="Yearly",Monthly!$O718*12/FinSnapshot!Q$60,0))</f>
        <v>0</v>
      </c>
    </row>
    <row r="15" spans="1:18" ht="15">
      <c r="A15" s="188"/>
      <c r="B15" s="189" t="s">
        <v>399</v>
      </c>
      <c r="C15" s="278">
        <f>IF($C$1="APM",Monthly!O1877/FinSnapshot!$B$60,IF($C$1="Yearly",Monthly!O1877*12/FinSnapshot!$B$60,0))</f>
        <v>0</v>
      </c>
      <c r="D15" s="278">
        <f>IF($C$1="APM",Monthly!O1800/FinSnapshot!C$60,IF($C$1="Yearly",Monthly!O1800*12/FinSnapshot!C$60,0))</f>
        <v>0</v>
      </c>
      <c r="E15" s="278">
        <f>IF($C$1="APM",Monthly!O1723/FinSnapshot!D$60,IF($C$1="Yearly",Monthly!O1723*12/FinSnapshot!D$60,0))</f>
        <v>0</v>
      </c>
      <c r="F15" s="278">
        <f>IF($C$1="APM",Monthly!O1645/FinSnapshot!E$60,IF($C$1="Yearly",Monthly!O1645*12/FinSnapshot!E$60,0))</f>
        <v>7.8105473631592099E-4</v>
      </c>
      <c r="G15" s="278">
        <f>IF($C$1="APM",Monthly!O1567/FinSnapshot!F$60,IF($C$1="Yearly",Monthly!O1567*12/FinSnapshot!F$60,0))</f>
        <v>1.4977887192000174E-3</v>
      </c>
      <c r="H15" s="278">
        <f>IF($C$1="APM",Monthly!O1489/FinSnapshot!G$60,IF($C$1="Yearly",Monthly!O1489*12/FinSnapshot!G$60,0))</f>
        <v>1.401038296745006E-3</v>
      </c>
      <c r="I15" s="278">
        <f>IF($C$1="APM",Monthly!O1412/FinSnapshot!H$60,IF($C$1="Yearly",Monthly!O1412*12/FinSnapshot!H$60,0))</f>
        <v>1.4633860802716044E-3</v>
      </c>
      <c r="J15" s="278">
        <f>IF($C$1="APM",Monthly!O1335/FinSnapshot!I$60,IF($C$1="Yearly",Monthly!O1335*12/FinSnapshot!I$60,0))</f>
        <v>1.4044352063817536E-3</v>
      </c>
      <c r="K15" s="278">
        <f>IF($C$1="APM",Monthly!O1258/FinSnapshot!J$60,IF($C$1="Yearly",Monthly!O1258*12/FinSnapshot!J$60,0))</f>
        <v>1.2807006354580413E-3</v>
      </c>
      <c r="L15" s="278">
        <f>IF($C$1="APM",Monthly!O1180/FinSnapshot!K$60,IF($C$1="Yearly",Monthly!O1180*12/FinSnapshot!K$60,0))</f>
        <v>1.2408230793092751E-3</v>
      </c>
      <c r="M15" s="278">
        <f>IF($C$1="APM",Monthly!O1103/FinSnapshot!L$60,IF($C$1="Yearly",Monthly!O1103*12/FinSnapshot!L$60,0))</f>
        <v>1.1730434612602398E-3</v>
      </c>
      <c r="N15" s="278">
        <f>IF($C$1="APM",Monthly!O1026/FinSnapshot!M$60,IF($C$1="Yearly",Monthly!O1026*12/FinSnapshot!M$60,0))</f>
        <v>0</v>
      </c>
      <c r="O15" s="278">
        <f>IF($C$1="APM",Monthly!O949/FinSnapshot!N$60,IF($C$1="Yearly",Monthly!O949*12/FinSnapshot!N$60,0))</f>
        <v>0</v>
      </c>
      <c r="P15" s="278">
        <f>IF($C$1="APM",Monthly!$O873/FinSnapshot!O$60,IF($C$1="Yearly",Monthly!$O873*12/FinSnapshot!O$60,0))</f>
        <v>0</v>
      </c>
      <c r="Q15" s="278">
        <f>IF($C$1="APM",Monthly!$O796/FinSnapshot!P$60,IF($C$1="Yearly",Monthly!$O796*12/FinSnapshot!P$60,0))</f>
        <v>0</v>
      </c>
      <c r="R15" s="278">
        <f>IF($C$1="APM",Monthly!$O719/FinSnapshot!Q$60,IF($C$1="Yearly",Monthly!$O719*12/FinSnapshot!Q$60,0))</f>
        <v>0</v>
      </c>
    </row>
    <row r="16" spans="1:18" ht="15">
      <c r="A16" s="188"/>
      <c r="B16" s="189" t="s">
        <v>400</v>
      </c>
      <c r="C16" s="278">
        <f>IF($C$1="APM",Monthly!O1878/FinSnapshot!$B$60,IF($C$1="Yearly",Monthly!O1878*12/FinSnapshot!$B$60,0))</f>
        <v>0</v>
      </c>
      <c r="D16" s="278">
        <f>IF($C$1="APM",Monthly!O1801/FinSnapshot!C$60,IF($C$1="Yearly",Monthly!O1801*12/FinSnapshot!C$60,0))</f>
        <v>0</v>
      </c>
      <c r="E16" s="278">
        <f>IF($C$1="APM",Monthly!O1724/FinSnapshot!D$60,IF($C$1="Yearly",Monthly!O1724*12/FinSnapshot!D$60,0))</f>
        <v>1.2591097273069421E-3</v>
      </c>
      <c r="F16" s="278">
        <f>IF($C$1="APM",Monthly!O1646/FinSnapshot!E$60,IF($C$1="Yearly",Monthly!O1646*12/FinSnapshot!E$60,0))</f>
        <v>1.1184703824043988E-3</v>
      </c>
      <c r="G16" s="278">
        <f>IF($C$1="APM",Monthly!O1568/FinSnapshot!F$60,IF($C$1="Yearly",Monthly!O1568*12/FinSnapshot!F$60,0))</f>
        <v>1.0021568157556481E-3</v>
      </c>
      <c r="H16" s="278">
        <f>IF($C$1="APM",Monthly!O1490/FinSnapshot!G$60,IF($C$1="Yearly",Monthly!O1490*12/FinSnapshot!G$60,0))</f>
        <v>9.3742198764029487E-4</v>
      </c>
      <c r="I16" s="278">
        <f>IF($C$1="APM",Monthly!O1413/FinSnapshot!H$60,IF($C$1="Yearly",Monthly!O1413*12/FinSnapshot!H$60,0))</f>
        <v>9.8046867378197506E-4</v>
      </c>
      <c r="J16" s="278">
        <f>IF($C$1="APM",Monthly!O1336/FinSnapshot!I$60,IF($C$1="Yearly",Monthly!O1336*12/FinSnapshot!I$60,0))</f>
        <v>9.4097158827577485E-4</v>
      </c>
      <c r="K16" s="278">
        <f>IF($C$1="APM",Monthly!O1259/FinSnapshot!J$60,IF($C$1="Yearly",Monthly!O1259*12/FinSnapshot!J$60,0))</f>
        <v>8.7514543422966158E-4</v>
      </c>
      <c r="L16" s="278">
        <f>IF($C$1="APM",Monthly!O1181/FinSnapshot!K$60,IF($C$1="Yearly",Monthly!O1181*12/FinSnapshot!K$60,0))</f>
        <v>8.6444007858546166E-4</v>
      </c>
      <c r="M16" s="278">
        <f>IF($C$1="APM",Monthly!O1104/FinSnapshot!L$60,IF($C$1="Yearly",Monthly!O1104*12/FinSnapshot!L$60,0))</f>
        <v>8.7196230620344487E-4</v>
      </c>
      <c r="N16" s="278">
        <f>IF($C$1="APM",Monthly!O1027/FinSnapshot!M$60,IF($C$1="Yearly",Monthly!O1027*12/FinSnapshot!M$60,0))</f>
        <v>8.7585957292797686E-4</v>
      </c>
      <c r="O16" s="278">
        <f>IF($C$1="APM",Monthly!O950/FinSnapshot!N$60,IF($C$1="Yearly",Monthly!O950*12/FinSnapshot!N$60,0))</f>
        <v>8.2070064774307321E-4</v>
      </c>
      <c r="P16" s="278">
        <f>IF($C$1="APM",Monthly!$O874/FinSnapshot!O$60,IF($C$1="Yearly",Monthly!$O874*12/FinSnapshot!O$60,0))</f>
        <v>7.3554736983438504E-4</v>
      </c>
      <c r="Q16" s="278">
        <f>IF($C$1="APM",Monthly!$O797/FinSnapshot!P$60,IF($C$1="Yearly",Monthly!$O797*12/FinSnapshot!P$60,0))</f>
        <v>6.2755267423014586E-4</v>
      </c>
      <c r="R16" s="278">
        <f>IF($C$1="APM",Monthly!$O720/FinSnapshot!Q$60,IF($C$1="Yearly",Monthly!$O720*12/FinSnapshot!Q$60,0))</f>
        <v>0</v>
      </c>
    </row>
    <row r="17" spans="1:18" ht="15">
      <c r="A17" s="188"/>
      <c r="B17" s="189" t="s">
        <v>401</v>
      </c>
      <c r="C17" s="278">
        <f>IF($C$1="APM",Monthly!O1879/FinSnapshot!$B$60,IF($C$1="Yearly",Monthly!O1879*12/FinSnapshot!$B$60,0))</f>
        <v>0</v>
      </c>
      <c r="D17" s="278">
        <f>IF($C$1="APM",Monthly!O1802/FinSnapshot!C$60,IF($C$1="Yearly",Monthly!O1802*12/FinSnapshot!C$60,0))</f>
        <v>0</v>
      </c>
      <c r="E17" s="278">
        <f>IF($C$1="APM",Monthly!O1725/FinSnapshot!D$60,IF($C$1="Yearly",Monthly!O1725*12/FinSnapshot!D$60,0))</f>
        <v>8.3758168816505281E-3</v>
      </c>
      <c r="F17" s="278">
        <f>IF($C$1="APM",Monthly!O1647/FinSnapshot!E$60,IF($C$1="Yearly",Monthly!O1647*12/FinSnapshot!E$60,0))</f>
        <v>1.6045988502874281E-2</v>
      </c>
      <c r="G17" s="278">
        <f>IF($C$1="APM",Monthly!O1569/FinSnapshot!F$60,IF($C$1="Yearly",Monthly!O1569*12/FinSnapshot!F$60,0))</f>
        <v>1.5293784449140542E-2</v>
      </c>
      <c r="H17" s="278">
        <f>IF($C$1="APM",Monthly!O1491/FinSnapshot!G$60,IF($C$1="Yearly",Monthly!O1491*12/FinSnapshot!G$60,0))</f>
        <v>1.4917236846797736E-2</v>
      </c>
      <c r="I17" s="278">
        <f>IF($C$1="APM",Monthly!O1414/FinSnapshot!H$60,IF($C$1="Yearly",Monthly!O1414*12/FinSnapshot!H$60,0))</f>
        <v>1.6082613022184934E-2</v>
      </c>
      <c r="J17" s="278">
        <f>IF($C$1="APM",Monthly!O1337/FinSnapshot!I$60,IF($C$1="Yearly",Monthly!O1337*12/FinSnapshot!I$60,0))</f>
        <v>1.7180924024736786E-2</v>
      </c>
      <c r="K17" s="278">
        <f>IF($C$1="APM",Monthly!O1260/FinSnapshot!J$60,IF($C$1="Yearly",Monthly!O1260*12/FinSnapshot!J$60,0))</f>
        <v>1.6286243080908092E-2</v>
      </c>
      <c r="L17" s="278">
        <f>IF($C$1="APM",Monthly!O1182/FinSnapshot!K$60,IF($C$1="Yearly",Monthly!O1182*12/FinSnapshot!K$60,0))</f>
        <v>1.7938165649881089E-2</v>
      </c>
      <c r="M17" s="278">
        <f>IF($C$1="APM",Monthly!O1105/FinSnapshot!L$60,IF($C$1="Yearly",Monthly!O1105*12/FinSnapshot!L$60,0))</f>
        <v>1.3908385305675576E-2</v>
      </c>
      <c r="N17" s="278">
        <f>IF($C$1="APM",Monthly!O1028/FinSnapshot!M$60,IF($C$1="Yearly",Monthly!O1028*12/FinSnapshot!M$60,0))</f>
        <v>1.2522620340209917E-2</v>
      </c>
      <c r="O17" s="278">
        <f>IF($C$1="APM",Monthly!O951/FinSnapshot!N$60,IF($C$1="Yearly",Monthly!O951*12/FinSnapshot!N$60,0))</f>
        <v>1.1761115067656933E-2</v>
      </c>
      <c r="P17" s="278">
        <f>IF($C$1="APM",Monthly!$O875/FinSnapshot!O$60,IF($C$1="Yearly",Monthly!$O875*12/FinSnapshot!O$60,0))</f>
        <v>1.0799703445981051E-2</v>
      </c>
      <c r="Q17" s="278">
        <f>IF($C$1="APM",Monthly!$O798/FinSnapshot!P$60,IF($C$1="Yearly",Monthly!$O798*12/FinSnapshot!P$60,0))</f>
        <v>5.510534846029173E-3</v>
      </c>
      <c r="R17" s="278">
        <f>IF($C$1="APM",Monthly!$O721/FinSnapshot!Q$60,IF($C$1="Yearly",Monthly!$O721*12/FinSnapshot!Q$60,0))</f>
        <v>6.0924047208825704E-5</v>
      </c>
    </row>
    <row r="18" spans="1:18" ht="15">
      <c r="A18" s="188"/>
      <c r="B18" s="189" t="s">
        <v>402</v>
      </c>
      <c r="C18" s="278">
        <f>IF($C$1="APM",Monthly!O1880/FinSnapshot!$B$60,IF($C$1="Yearly",Monthly!O1880*12/FinSnapshot!$B$60,0))</f>
        <v>0</v>
      </c>
      <c r="D18" s="278">
        <f>IF($C$1="APM",Monthly!O1803/FinSnapshot!C$60,IF($C$1="Yearly",Monthly!O1803*12/FinSnapshot!C$60,0))</f>
        <v>0</v>
      </c>
      <c r="E18" s="278">
        <f>IF($C$1="APM",Monthly!O1726/FinSnapshot!D$60,IF($C$1="Yearly",Monthly!O1726*12/FinSnapshot!D$60,0))</f>
        <v>1.7107469121018237E-3</v>
      </c>
      <c r="F18" s="278">
        <f>IF($C$1="APM",Monthly!O1648/FinSnapshot!E$60,IF($C$1="Yearly",Monthly!O1648*12/FinSnapshot!E$60,0))</f>
        <v>4.9362659335166212E-3</v>
      </c>
      <c r="G18" s="278">
        <f>IF($C$1="APM",Monthly!O1570/FinSnapshot!F$60,IF($C$1="Yearly",Monthly!O1570*12/FinSnapshot!F$60,0))</f>
        <v>4.4171150955316877E-3</v>
      </c>
      <c r="H18" s="278">
        <f>IF($C$1="APM",Monthly!O1492/FinSnapshot!G$60,IF($C$1="Yearly",Monthly!O1492*12/FinSnapshot!G$60,0))</f>
        <v>2.3843124468242282E-3</v>
      </c>
      <c r="I18" s="278">
        <f>IF($C$1="APM",Monthly!O1415/FinSnapshot!H$60,IF($C$1="Yearly",Monthly!O1415*12/FinSnapshot!H$60,0))</f>
        <v>2.1609334452010695E-3</v>
      </c>
      <c r="J18" s="278">
        <f>IF($C$1="APM",Monthly!O1338/FinSnapshot!I$60,IF($C$1="Yearly",Monthly!O1338*12/FinSnapshot!I$60,0))</f>
        <v>1.9100318806791849E-3</v>
      </c>
      <c r="K18" s="278">
        <f>IF($C$1="APM",Monthly!O1261/FinSnapshot!J$60,IF($C$1="Yearly",Monthly!O1261*12/FinSnapshot!J$60,0))</f>
        <v>1.7417528642229361E-3</v>
      </c>
      <c r="L18" s="278">
        <f>IF($C$1="APM",Monthly!O1183/FinSnapshot!K$60,IF($C$1="Yearly",Monthly!O1183*12/FinSnapshot!K$60,0))</f>
        <v>1.6875193878606142E-3</v>
      </c>
      <c r="M18" s="278">
        <f>IF($C$1="APM",Monthly!O1106/FinSnapshot!L$60,IF($C$1="Yearly",Monthly!O1106*12/FinSnapshot!L$60,0))</f>
        <v>1.5953391073139261E-3</v>
      </c>
      <c r="N18" s="278">
        <f>IF($C$1="APM",Monthly!O1029/FinSnapshot!M$60,IF($C$1="Yearly",Monthly!O1029*12/FinSnapshot!M$60,0))</f>
        <v>0</v>
      </c>
      <c r="O18" s="278">
        <f>IF($C$1="APM",Monthly!O952/FinSnapshot!N$60,IF($C$1="Yearly",Monthly!O952*12/FinSnapshot!N$60,0))</f>
        <v>0</v>
      </c>
      <c r="P18" s="278">
        <f>IF($C$1="APM",Monthly!$O876/FinSnapshot!O$60,IF($C$1="Yearly",Monthly!$O876*12/FinSnapshot!O$60,0))</f>
        <v>0</v>
      </c>
      <c r="Q18" s="278">
        <f>IF($C$1="APM",Monthly!$O799/FinSnapshot!P$60,IF($C$1="Yearly",Monthly!$O799*12/FinSnapshot!P$60,0))</f>
        <v>0</v>
      </c>
      <c r="R18" s="278">
        <f>IF($C$1="APM",Monthly!$O722/FinSnapshot!Q$60,IF($C$1="Yearly",Monthly!$O722*12/FinSnapshot!Q$60,0))</f>
        <v>0</v>
      </c>
    </row>
    <row r="19" spans="1:18" ht="15">
      <c r="A19" s="188"/>
      <c r="B19" s="189" t="s">
        <v>403</v>
      </c>
      <c r="C19" s="278">
        <f>IF($C$1="APM",Monthly!O1881/FinSnapshot!$B$60,IF($C$1="Yearly",Monthly!O1881*12/FinSnapshot!$B$60,0))</f>
        <v>0</v>
      </c>
      <c r="D19" s="278">
        <f>IF($C$1="APM",Monthly!O1804/FinSnapshot!C$60,IF($C$1="Yearly",Monthly!O1804*12/FinSnapshot!C$60,0))</f>
        <v>2.1643147779413038E-5</v>
      </c>
      <c r="E19" s="278">
        <f>IF($C$1="APM",Monthly!O1727/FinSnapshot!D$60,IF($C$1="Yearly",Monthly!O1727*12/FinSnapshot!D$60,0))</f>
        <v>0</v>
      </c>
      <c r="F19" s="278">
        <f>IF($C$1="APM",Monthly!O1649/FinSnapshot!E$60,IF($C$1="Yearly",Monthly!O1649*12/FinSnapshot!E$60,0))</f>
        <v>0</v>
      </c>
      <c r="G19" s="278">
        <f>IF($C$1="APM",Monthly!O1571/FinSnapshot!F$60,IF($C$1="Yearly",Monthly!O1571*12/FinSnapshot!F$60,0))</f>
        <v>0</v>
      </c>
      <c r="H19" s="278">
        <f>IF($C$1="APM",Monthly!O1493/FinSnapshot!G$60,IF($C$1="Yearly",Monthly!O1493*12/FinSnapshot!G$60,0))</f>
        <v>1.0545997360953316E-3</v>
      </c>
      <c r="I19" s="278">
        <f>IF($C$1="APM",Monthly!O1416/FinSnapshot!H$60,IF($C$1="Yearly",Monthly!O1416*12/FinSnapshot!H$60,0))</f>
        <v>1.1024175138046087E-3</v>
      </c>
      <c r="J19" s="278">
        <f>IF($C$1="APM",Monthly!O1339/FinSnapshot!I$60,IF($C$1="Yearly",Monthly!O1339*12/FinSnapshot!I$60,0))</f>
        <v>2.1628302178279004E-3</v>
      </c>
      <c r="K19" s="278">
        <f>IF($C$1="APM",Monthly!O1262/FinSnapshot!J$60,IF($C$1="Yearly",Monthly!O1262*12/FinSnapshot!J$60,0))</f>
        <v>1.2807006354580414E-5</v>
      </c>
      <c r="L19" s="278">
        <f>IF($C$1="APM",Monthly!O1184/FinSnapshot!K$60,IF($C$1="Yearly",Monthly!O1184*12/FinSnapshot!K$60,0))</f>
        <v>3.6273394685141145E-3</v>
      </c>
      <c r="M19" s="278">
        <f>IF($C$1="APM",Monthly!O1107/FinSnapshot!L$60,IF($C$1="Yearly",Monthly!O1107*12/FinSnapshot!L$60,0))</f>
        <v>1.7986666405990343E-3</v>
      </c>
      <c r="N19" s="278">
        <f>IF($C$1="APM",Monthly!O1030/FinSnapshot!M$60,IF($C$1="Yearly",Monthly!O1030*12/FinSnapshot!M$60,0))</f>
        <v>1.1074918566775244E-2</v>
      </c>
      <c r="O19" s="278">
        <f>IF($C$1="APM",Monthly!O953/FinSnapshot!N$60,IF($C$1="Yearly",Monthly!O953*12/FinSnapshot!N$60,0))</f>
        <v>1.3056601214094347E-3</v>
      </c>
      <c r="P19" s="278">
        <f>IF($C$1="APM",Monthly!$O877/FinSnapshot!O$60,IF($C$1="Yearly",Monthly!$O877*12/FinSnapshot!O$60,0))</f>
        <v>6.0419962522110203E-4</v>
      </c>
      <c r="Q19" s="278">
        <f>IF($C$1="APM",Monthly!$O800/FinSnapshot!P$60,IF($C$1="Yearly",Monthly!$O800*12/FinSnapshot!P$60,0))</f>
        <v>3.6538087520259321E-3</v>
      </c>
      <c r="R19" s="278">
        <f>IF($C$1="APM",Monthly!$O723/FinSnapshot!Q$60,IF($C$1="Yearly",Monthly!$O723*12/FinSnapshot!Q$60,0))</f>
        <v>4.3865313990354504E-5</v>
      </c>
    </row>
    <row r="20" spans="1:18" ht="14.1" customHeight="1">
      <c r="A20" s="2337" t="s">
        <v>404</v>
      </c>
      <c r="B20" s="2338"/>
      <c r="C20" s="2336">
        <f>SUM(C22:C27)</f>
        <v>9.9606862019766124E-2</v>
      </c>
      <c r="D20" s="2336">
        <f>SUM(D22:D27)</f>
        <v>0.14968401004242057</v>
      </c>
      <c r="E20" s="2336">
        <f>SUM(E22:E27)</f>
        <v>0.16419064563588465</v>
      </c>
      <c r="F20" s="2336">
        <f>SUM(F22:F27)</f>
        <v>3.0473631592101973E-2</v>
      </c>
      <c r="G20" s="2336">
        <f>SUM(G22:G27)</f>
        <v>3.662774231498224E-2</v>
      </c>
      <c r="H20" s="2336">
        <f t="shared" ref="H20:R20" si="1">SUM(H22:H27)</f>
        <v>2.1881670852799275E-2</v>
      </c>
      <c r="I20" s="2336">
        <f t="shared" si="1"/>
        <v>2.0794716200659497E-2</v>
      </c>
      <c r="J20" s="2336">
        <f t="shared" si="1"/>
        <v>1.3852412585612031E-2</v>
      </c>
      <c r="K20" s="2336">
        <f t="shared" si="1"/>
        <v>3.9731602714026627E-2</v>
      </c>
      <c r="L20" s="2336">
        <f t="shared" si="1"/>
        <v>3.98262847688967E-2</v>
      </c>
      <c r="M20" s="2336">
        <f t="shared" si="1"/>
        <v>3.3904866175291794E-2</v>
      </c>
      <c r="N20" s="2336">
        <f t="shared" si="1"/>
        <v>3.0568222946073104E-2</v>
      </c>
      <c r="O20" s="2336">
        <f t="shared" si="1"/>
        <v>2.8894088920541256E-2</v>
      </c>
      <c r="P20" s="2336">
        <f t="shared" si="1"/>
        <v>8.0005370663335292E-3</v>
      </c>
      <c r="Q20" s="2336">
        <f t="shared" si="1"/>
        <v>2.2342949756888168E-2</v>
      </c>
      <c r="R20" s="2336">
        <f t="shared" si="1"/>
        <v>1.6389787180118291E-2</v>
      </c>
    </row>
    <row r="21" spans="1:18" ht="14.1" customHeight="1">
      <c r="A21" s="2337"/>
      <c r="B21" s="2338"/>
      <c r="C21" s="2336"/>
      <c r="D21" s="2336"/>
      <c r="E21" s="2336"/>
      <c r="F21" s="2336"/>
      <c r="G21" s="2336"/>
      <c r="H21" s="2336"/>
      <c r="I21" s="2336"/>
      <c r="J21" s="2336"/>
      <c r="K21" s="2336"/>
      <c r="L21" s="2336"/>
      <c r="M21" s="2336"/>
      <c r="N21" s="2336"/>
      <c r="O21" s="2336"/>
      <c r="P21" s="2336"/>
      <c r="Q21" s="2336"/>
      <c r="R21" s="2336"/>
    </row>
    <row r="22" spans="1:18" ht="15">
      <c r="A22" s="188"/>
      <c r="B22" s="189" t="s">
        <v>405</v>
      </c>
      <c r="C22" s="278">
        <f>IF($C$1="APM",Monthly!O1884/FinSnapshot!$B$60,IF($C$1="Yearly",Monthly!O1884*12/FinSnapshot!$B$60,0))</f>
        <v>8.3257597771004513E-2</v>
      </c>
      <c r="D22" s="278">
        <f>IF($C$1="APM",Monthly!O1807/FinSnapshot!C$60,IF($C$1="Yearly",Monthly!O1807*12/FinSnapshot!C$60,0))</f>
        <v>0.11940524629902173</v>
      </c>
      <c r="E22" s="278">
        <f>IF($C$1="APM",Monthly!O1730/FinSnapshot!D$60,IF($C$1="Yearly",Monthly!O1730*12/FinSnapshot!D$60,0))</f>
        <v>0.14097923153248709</v>
      </c>
      <c r="F22" s="278">
        <f>IF($C$1="APM",Monthly!O1652/FinSnapshot!E$60,IF($C$1="Yearly",Monthly!O1652*12/FinSnapshot!E$60,0))</f>
        <v>0</v>
      </c>
      <c r="G22" s="278">
        <f>IF($C$1="APM",Monthly!O1574/FinSnapshot!F$60,IF($C$1="Yearly",Monthly!O1574*12/FinSnapshot!F$60,0))</f>
        <v>0</v>
      </c>
      <c r="H22" s="278">
        <f>IF($C$1="APM",Monthly!O1496/FinSnapshot!G$60,IF($C$1="Yearly",Monthly!O1496*12/FinSnapshot!G$60,0))</f>
        <v>0</v>
      </c>
      <c r="I22" s="278">
        <f>IF($C$1="APM",Monthly!O1419/FinSnapshot!H$60,IF($C$1="Yearly",Monthly!O1419*12/FinSnapshot!H$60,0))</f>
        <v>0</v>
      </c>
      <c r="J22" s="278">
        <f>IF($C$1="APM",Monthly!O1342/FinSnapshot!I$60,IF($C$1="Yearly",Monthly!O1342*12/FinSnapshot!I$60,0))</f>
        <v>2.200281823331414E-3</v>
      </c>
      <c r="K22" s="278">
        <f>IF($C$1="APM",Monthly!O1265/FinSnapshot!J$60,IF($C$1="Yearly",Monthly!O1265*12/FinSnapshot!J$60,0))</f>
        <v>2.4077171946611176E-2</v>
      </c>
      <c r="L22" s="278">
        <f>IF($C$1="APM",Monthly!O1187/FinSnapshot!K$60,IF($C$1="Yearly",Monthly!O1187*12/FinSnapshot!K$60,0))</f>
        <v>2.3327473891014371E-2</v>
      </c>
      <c r="M22" s="278">
        <f>IF($C$1="APM",Monthly!O1110/FinSnapshot!L$60,IF($C$1="Yearly",Monthly!O1110*12/FinSnapshot!L$60,0))</f>
        <v>2.2053217071692506E-2</v>
      </c>
      <c r="N22" s="278">
        <f>IF($C$1="APM",Monthly!O1033/FinSnapshot!M$60,IF($C$1="Yearly",Monthly!O1033*12/FinSnapshot!M$60,0))</f>
        <v>2.0412595005428882E-2</v>
      </c>
      <c r="O22" s="278">
        <f>IF($C$1="APM",Monthly!O956/FinSnapshot!N$60,IF($C$1="Yearly",Monthly!O956*12/FinSnapshot!N$60,0))</f>
        <v>1.7533150201783837E-2</v>
      </c>
      <c r="P22" s="278">
        <f>IF($C$1="APM",Monthly!$O880/FinSnapshot!O$60,IF($C$1="Yearly",Monthly!$O880*12/FinSnapshot!O$60,0))</f>
        <v>0</v>
      </c>
      <c r="Q22" s="278">
        <f>IF($C$1="APM",Monthly!$O803/FinSnapshot!P$60,IF($C$1="Yearly",Monthly!$O803*12/FinSnapshot!P$60,0))</f>
        <v>1.2110210696920583E-2</v>
      </c>
      <c r="R22" s="278">
        <f>IF($C$1="APM",Monthly!$O726/FinSnapshot!Q$60,IF($C$1="Yearly",Monthly!$O726*12/FinSnapshot!Q$60,0))</f>
        <v>1.1380612018608641E-2</v>
      </c>
    </row>
    <row r="23" spans="1:18" ht="15">
      <c r="A23" s="188"/>
      <c r="B23" s="189" t="s">
        <v>400</v>
      </c>
      <c r="C23" s="278">
        <f>IF($C$1="APM",Monthly!O1885/FinSnapshot!$B$60,IF($C$1="Yearly",Monthly!O1885*12/FinSnapshot!$B$60,0))</f>
        <v>1.483798772156516E-2</v>
      </c>
      <c r="D23" s="278">
        <f>IF($C$1="APM",Monthly!O1808/FinSnapshot!C$60,IF($C$1="Yearly",Monthly!O1808*12/FinSnapshot!C$60,0))</f>
        <v>1.2971459902461548E-2</v>
      </c>
      <c r="E23" s="278">
        <f>IF($C$1="APM",Monthly!O1731/FinSnapshot!D$60,IF($C$1="Yearly",Monthly!O1731*12/FinSnapshot!D$60,0))</f>
        <v>1.3699661272111403E-2</v>
      </c>
      <c r="F23" s="278">
        <f>IF($C$1="APM",Monthly!O1653/FinSnapshot!E$60,IF($C$1="Yearly",Monthly!O1653*12/FinSnapshot!E$60,0))</f>
        <v>1.2784303924018995E-2</v>
      </c>
      <c r="G23" s="278">
        <f>IF($C$1="APM",Monthly!O1575/FinSnapshot!F$60,IF($C$1="Yearly",Monthly!O1575*12/FinSnapshot!F$60,0))</f>
        <v>9.5858478028801111E-3</v>
      </c>
      <c r="H23" s="278">
        <f>IF($C$1="APM",Monthly!O1497/FinSnapshot!G$60,IF($C$1="Yearly",Monthly!O1497*12/FinSnapshot!G$60,0))</f>
        <v>8.9004141978673654E-3</v>
      </c>
      <c r="I23" s="278">
        <f>IF($C$1="APM",Monthly!O1420/FinSnapshot!H$60,IF($C$1="Yearly",Monthly!O1420*12/FinSnapshot!H$60,0))</f>
        <v>8.2730093071354711E-3</v>
      </c>
      <c r="J23" s="278">
        <f>IF($C$1="APM",Monthly!O1343/FinSnapshot!I$60,IF($C$1="Yearly",Monthly!O1343*12/FinSnapshot!I$60,0))</f>
        <v>7.0455832853484638E-3</v>
      </c>
      <c r="K23" s="278">
        <f>IF($C$1="APM",Monthly!O1266/FinSnapshot!J$60,IF($C$1="Yearly",Monthly!O1266*12/FinSnapshot!J$60,0))</f>
        <v>5.6692348129609299E-3</v>
      </c>
      <c r="L23" s="278">
        <f>IF($C$1="APM",Monthly!O1188/FinSnapshot!K$60,IF($C$1="Yearly",Monthly!O1188*12/FinSnapshot!K$60,0))</f>
        <v>4.8640264708923586E-3</v>
      </c>
      <c r="M23" s="278">
        <f>IF($C$1="APM",Monthly!O1111/FinSnapshot!L$60,IF($C$1="Yearly",Monthly!O1111*12/FinSnapshot!L$60,0))</f>
        <v>4.786017321941778E-3</v>
      </c>
      <c r="N23" s="278">
        <f>IF($C$1="APM",Monthly!O1034/FinSnapshot!M$60,IF($C$1="Yearly",Monthly!O1034*12/FinSnapshot!M$60,0))</f>
        <v>4.6036916395222581E-3</v>
      </c>
      <c r="O23" s="278">
        <f>IF($C$1="APM",Monthly!O957/FinSnapshot!N$60,IF($C$1="Yearly",Monthly!O957*12/FinSnapshot!N$60,0))</f>
        <v>3.7033268898158511E-3</v>
      </c>
      <c r="P23" s="278">
        <f>IF($C$1="APM",Monthly!$O881/FinSnapshot!O$60,IF($C$1="Yearly",Monthly!$O881*12/FinSnapshot!O$60,0))</f>
        <v>3.2223980011792108E-3</v>
      </c>
      <c r="Q23" s="278">
        <f>IF($C$1="APM",Monthly!$O804/FinSnapshot!P$60,IF($C$1="Yearly",Monthly!$O804*12/FinSnapshot!P$60,0))</f>
        <v>3.8897893030794164E-3</v>
      </c>
      <c r="R23" s="278">
        <f>IF($C$1="APM",Monthly!$O727/FinSnapshot!Q$60,IF($C$1="Yearly",Monthly!$O727*12/FinSnapshot!Q$60,0))</f>
        <v>2.2956180988285523E-3</v>
      </c>
    </row>
    <row r="24" spans="1:18" ht="15">
      <c r="A24" s="188"/>
      <c r="B24" s="189" t="s">
        <v>406</v>
      </c>
      <c r="C24" s="278">
        <f>IF($C$1="APM",Monthly!O1886/FinSnapshot!$B$60,IF($C$1="Yearly",Monthly!O1886*12/FinSnapshot!$B$60,0))</f>
        <v>0</v>
      </c>
      <c r="D24" s="278">
        <f>IF($C$1="APM",Monthly!O1809/FinSnapshot!C$60,IF($C$1="Yearly",Monthly!O1809*12/FinSnapshot!C$60,0))</f>
        <v>4.920208928519897E-3</v>
      </c>
      <c r="E24" s="278">
        <f>IF($C$1="APM",Monthly!O1732/FinSnapshot!D$60,IF($C$1="Yearly",Monthly!O1732*12/FinSnapshot!D$60,0))</f>
        <v>2.5524343928559211E-3</v>
      </c>
      <c r="F24" s="278">
        <f>IF($C$1="APM",Monthly!O1654/FinSnapshot!E$60,IF($C$1="Yearly",Monthly!O1654*12/FinSnapshot!E$60,0))</f>
        <v>2.1869532616845787E-3</v>
      </c>
      <c r="G24" s="278">
        <f>IF($C$1="APM",Monthly!O1576/FinSnapshot!F$60,IF($C$1="Yearly",Monthly!O1576*12/FinSnapshot!F$60,0))</f>
        <v>1.1383194265920133E-3</v>
      </c>
      <c r="H24" s="278">
        <f>IF($C$1="APM",Monthly!O1498/FinSnapshot!G$60,IF($C$1="Yearly",Monthly!O1498*12/FinSnapshot!G$60,0))</f>
        <v>1.2736711788590962E-3</v>
      </c>
      <c r="I24" s="278">
        <f>IF($C$1="APM",Monthly!O1421/FinSnapshot!H$60,IF($C$1="Yearly",Monthly!O1421*12/FinSnapshot!H$60,0))</f>
        <v>8.2437415855300385E-4</v>
      </c>
      <c r="J24" s="278">
        <f>IF($C$1="APM",Monthly!O1344/FinSnapshot!I$60,IF($C$1="Yearly",Monthly!O1344*12/FinSnapshot!I$60,0))</f>
        <v>1.2124957281762472E-3</v>
      </c>
      <c r="K24" s="278">
        <f>IF($C$1="APM",Monthly!O1267/FinSnapshot!J$60,IF($C$1="Yearly",Monthly!O1267*12/FinSnapshot!J$60,0))</f>
        <v>3.0395295081537513E-3</v>
      </c>
      <c r="L24" s="278">
        <f>IF($C$1="APM",Monthly!O1189/FinSnapshot!K$60,IF($C$1="Yearly",Monthly!O1189*12/FinSnapshot!K$60,0))</f>
        <v>2.7298107744804052E-3</v>
      </c>
      <c r="M24" s="278">
        <f>IF($C$1="APM",Monthly!O1112/FinSnapshot!L$60,IF($C$1="Yearly",Monthly!O1112*12/FinSnapshot!L$60,0))</f>
        <v>1.7908463508572992E-3</v>
      </c>
      <c r="N24" s="278">
        <f>IF($C$1="APM",Monthly!O1035/FinSnapshot!M$60,IF($C$1="Yearly",Monthly!O1035*12/FinSnapshot!M$60,0))</f>
        <v>5.7184220050669559E-4</v>
      </c>
      <c r="O24" s="278">
        <f>IF($C$1="APM",Monthly!O958/FinSnapshot!N$60,IF($C$1="Yearly",Monthly!O958*12/FinSnapshot!N$60,0))</f>
        <v>2.1704479940312681E-4</v>
      </c>
      <c r="P24" s="278">
        <f>IF($C$1="APM",Monthly!$O882/FinSnapshot!O$60,IF($C$1="Yearly",Monthly!$O882*12/FinSnapshot!O$60,0))</f>
        <v>1.0858080221364732E-3</v>
      </c>
      <c r="Q24" s="278">
        <f>IF($C$1="APM",Monthly!$O805/FinSnapshot!P$60,IF($C$1="Yearly",Monthly!$O805*12/FinSnapshot!P$60,0))</f>
        <v>1.2654781199351701E-3</v>
      </c>
      <c r="R24" s="278">
        <f>IF($C$1="APM",Monthly!$O728/FinSnapshot!Q$60,IF($C$1="Yearly",Monthly!$O728*12/FinSnapshot!Q$60,0))</f>
        <v>6.9940806195731905E-4</v>
      </c>
    </row>
    <row r="25" spans="1:18" ht="15">
      <c r="A25" s="188"/>
      <c r="B25" s="189" t="s">
        <v>407</v>
      </c>
      <c r="C25" s="278">
        <f>IF($C$1="APM",Monthly!O1887/FinSnapshot!$B$60,IF($C$1="Yearly",Monthly!O1887*12/FinSnapshot!$B$60,0))</f>
        <v>0</v>
      </c>
      <c r="D25" s="278">
        <f>IF($C$1="APM",Monthly!O1810/FinSnapshot!C$60,IF($C$1="Yearly",Monthly!O1810*12/FinSnapshot!C$60,0))</f>
        <v>8.5418289902750126E-3</v>
      </c>
      <c r="E25" s="278">
        <f>IF($C$1="APM",Monthly!O1733/FinSnapshot!D$60,IF($C$1="Yearly",Monthly!O1733*12/FinSnapshot!D$60,0))</f>
        <v>0</v>
      </c>
      <c r="F25" s="278">
        <f>IF($C$1="APM",Monthly!O1655/FinSnapshot!E$60,IF($C$1="Yearly",Monthly!O1655*12/FinSnapshot!E$60,0))</f>
        <v>0</v>
      </c>
      <c r="G25" s="278">
        <f>IF($C$1="APM",Monthly!O1577/FinSnapshot!F$60,IF($C$1="Yearly",Monthly!O1577*12/FinSnapshot!F$60,0))</f>
        <v>1.8245789852072939E-3</v>
      </c>
      <c r="H25" s="278">
        <f>IF($C$1="APM",Monthly!O1499/FinSnapshot!G$60,IF($C$1="Yearly",Monthly!O1499*12/FinSnapshot!G$60,0))</f>
        <v>0</v>
      </c>
      <c r="I25" s="278">
        <f>IF($C$1="APM",Monthly!O1422/FinSnapshot!H$60,IF($C$1="Yearly",Monthly!O1422*12/FinSnapshot!H$60,0))</f>
        <v>2.8779926245341554E-4</v>
      </c>
      <c r="J25" s="278">
        <f>IF($C$1="APM",Monthly!O1345/FinSnapshot!I$60,IF($C$1="Yearly",Monthly!O1345*12/FinSnapshot!I$60,0))</f>
        <v>7.209434059426335E-4</v>
      </c>
      <c r="K25" s="278">
        <f>IF($C$1="APM",Monthly!O1268/FinSnapshot!J$60,IF($C$1="Yearly",Monthly!O1268*12/FinSnapshot!J$60,0))</f>
        <v>4.1622770652386346E-3</v>
      </c>
      <c r="L25" s="278">
        <f>IF($C$1="APM",Monthly!O1190/FinSnapshot!K$60,IF($C$1="Yearly",Monthly!O1190*12/FinSnapshot!K$60,0))</f>
        <v>0</v>
      </c>
      <c r="M25" s="278">
        <f>IF($C$1="APM",Monthly!O1113/FinSnapshot!L$60,IF($C$1="Yearly",Monthly!O1113*12/FinSnapshot!L$60,0))</f>
        <v>0</v>
      </c>
      <c r="N25" s="278">
        <f>IF($C$1="APM",Monthly!O1036/FinSnapshot!M$60,IF($C$1="Yearly",Monthly!O1036*12/FinSnapshot!M$60,0))</f>
        <v>3.6192544335866809E-5</v>
      </c>
      <c r="O25" s="278">
        <f>IF($C$1="APM",Monthly!O959/FinSnapshot!N$60,IF($C$1="Yearly",Monthly!O959*12/FinSnapshot!N$60,0))</f>
        <v>2.3739274934716995E-5</v>
      </c>
      <c r="P25" s="278">
        <f>IF($C$1="APM",Monthly!$O883/FinSnapshot!O$60,IF($C$1="Yearly",Monthly!$O883*12/FinSnapshot!O$60,0))</f>
        <v>2.0431871384288474E-5</v>
      </c>
      <c r="Q25" s="278">
        <f>IF($C$1="APM",Monthly!$O806/FinSnapshot!P$60,IF($C$1="Yearly",Monthly!$O806*12/FinSnapshot!P$60,0))</f>
        <v>1.3432739059967586E-3</v>
      </c>
      <c r="R25" s="278">
        <f>IF($C$1="APM",Monthly!$O729/FinSnapshot!Q$60,IF($C$1="Yearly",Monthly!$O729*12/FinSnapshot!Q$60,0))</f>
        <v>4.8739237767060563E-4</v>
      </c>
    </row>
    <row r="26" spans="1:18" ht="15">
      <c r="A26" s="188"/>
      <c r="B26" s="189" t="s">
        <v>523</v>
      </c>
      <c r="C26" s="278">
        <f>IF($C$1="APM",Monthly!O1888/FinSnapshot!$B$60,IF($C$1="Yearly",Monthly!O1888*12/FinSnapshot!$B$60,0))</f>
        <v>5.4955510079870962E-4</v>
      </c>
      <c r="D26" s="278">
        <f>IF($C$1="APM",Monthly!O1811/FinSnapshot!C$60,IF($C$1="Yearly",Monthly!O1811*12/FinSnapshot!C$60,0))</f>
        <v>8.9458344154907227E-4</v>
      </c>
      <c r="E26" s="278">
        <f>IF($C$1="APM",Monthly!O1734/FinSnapshot!D$60,IF($C$1="Yearly",Monthly!O1734*12/FinSnapshot!D$60,0))</f>
        <v>3.1135593800253191E-3</v>
      </c>
      <c r="F26" s="278">
        <f>IF($C$1="APM",Monthly!O1656/FinSnapshot!E$60,IF($C$1="Yearly",Monthly!O1656*12/FinSnapshot!E$60,0))</f>
        <v>1.2021994501374656E-2</v>
      </c>
      <c r="G26" s="278">
        <f>IF($C$1="APM",Monthly!O1578/FinSnapshot!F$60,IF($C$1="Yearly",Monthly!O1578*12/FinSnapshot!F$60,0))</f>
        <v>1.1426766301387769E-2</v>
      </c>
      <c r="H26" s="278">
        <f>IF($C$1="APM",Monthly!O1500/FinSnapshot!G$60,IF($C$1="Yearly",Monthly!O1500*12/FinSnapshot!G$60,0))</f>
        <v>6.4396814803115909E-3</v>
      </c>
      <c r="I26" s="278">
        <f>IF($C$1="APM",Monthly!O1423/FinSnapshot!H$60,IF($C$1="Yearly",Monthly!O1423*12/FinSnapshot!H$60,0))</f>
        <v>6.9071822988819734E-3</v>
      </c>
      <c r="J26" s="278">
        <f>IF($C$1="APM",Monthly!O1346/FinSnapshot!I$60,IF($C$1="Yearly",Monthly!O1346*12/FinSnapshot!I$60,0))</f>
        <v>8.89475630708444E-5</v>
      </c>
      <c r="K26" s="278">
        <f>IF($C$1="APM",Monthly!O1269/FinSnapshot!J$60,IF($C$1="Yearly",Monthly!O1269*12/FinSnapshot!J$60,0))</f>
        <v>8.1964840669314647E-4</v>
      </c>
      <c r="L26" s="278">
        <f>IF($C$1="APM",Monthly!O1191/FinSnapshot!K$60,IF($C$1="Yearly",Monthly!O1191*12/FinSnapshot!K$60,0))</f>
        <v>4.8268017785130807E-3</v>
      </c>
      <c r="M26" s="278">
        <f>IF($C$1="APM",Monthly!O1114/FinSnapshot!L$60,IF($C$1="Yearly",Monthly!O1114*12/FinSnapshot!L$60,0))</f>
        <v>2.5846057596433949E-3</v>
      </c>
      <c r="N26" s="278">
        <f>IF($C$1="APM",Monthly!O1037/FinSnapshot!M$60,IF($C$1="Yearly",Monthly!O1037*12/FinSnapshot!M$60,0))</f>
        <v>8.4328628302569669E-4</v>
      </c>
      <c r="O26" s="278">
        <f>IF($C$1="APM",Monthly!O960/FinSnapshot!N$60,IF($C$1="Yearly",Monthly!O960*12/FinSnapshot!N$60,0))</f>
        <v>5.9924712585207041E-3</v>
      </c>
      <c r="P26" s="278">
        <f>IF($C$1="APM",Monthly!$O884/FinSnapshot!O$60,IF($C$1="Yearly",Monthly!$O884*12/FinSnapshot!O$60,0))</f>
        <v>5.6041704368334103E-4</v>
      </c>
      <c r="Q26" s="278">
        <f>IF($C$1="APM",Monthly!$O807/FinSnapshot!P$60,IF($C$1="Yearly",Monthly!$O807*12/FinSnapshot!P$60,0))</f>
        <v>2.219773095623987E-3</v>
      </c>
      <c r="R26" s="278">
        <f>IF($C$1="APM",Monthly!$O730/FinSnapshot!Q$60,IF($C$1="Yearly",Monthly!$O730*12/FinSnapshot!Q$60,0))</f>
        <v>1.431715109407404E-3</v>
      </c>
    </row>
    <row r="27" spans="1:18" ht="15">
      <c r="A27" s="188"/>
      <c r="B27" s="189" t="s">
        <v>409</v>
      </c>
      <c r="C27" s="278">
        <f>IF($C$1="APM",Monthly!O1889/FinSnapshot!$B$60,IF($C$1="Yearly",Monthly!O1889*12/FinSnapshot!$B$60,0))</f>
        <v>9.6172142639774189E-4</v>
      </c>
      <c r="D27" s="278">
        <f>IF($C$1="APM",Monthly!O1812/FinSnapshot!C$60,IF($C$1="Yearly",Monthly!O1812*12/FinSnapshot!C$60,0))</f>
        <v>2.9506824805933109E-3</v>
      </c>
      <c r="E27" s="278">
        <f>IF($C$1="APM",Monthly!O1735/FinSnapshot!D$60,IF($C$1="Yearly",Monthly!O1735*12/FinSnapshot!D$60,0))</f>
        <v>3.8457590584048996E-3</v>
      </c>
      <c r="F27" s="278">
        <f>IF($C$1="APM",Monthly!O1657/FinSnapshot!E$60,IF($C$1="Yearly",Monthly!O1657*12/FinSnapshot!E$60,0))</f>
        <v>3.4803799050237439E-3</v>
      </c>
      <c r="G27" s="278">
        <f>IF($C$1="APM",Monthly!O1579/FinSnapshot!F$60,IF($C$1="Yearly",Monthly!O1579*12/FinSnapshot!F$60,0))</f>
        <v>1.2652229798915057E-2</v>
      </c>
      <c r="H27" s="278">
        <f>IF($C$1="APM",Monthly!O1501/FinSnapshot!G$60,IF($C$1="Yearly",Monthly!O1501*12/FinSnapshot!G$60,0))</f>
        <v>5.2679039957612226E-3</v>
      </c>
      <c r="I27" s="278">
        <f>IF($C$1="APM",Monthly!O1424/FinSnapshot!H$60,IF($C$1="Yearly",Monthly!O1424*12/FinSnapshot!H$60,0))</f>
        <v>4.5023511736356362E-3</v>
      </c>
      <c r="J27" s="278">
        <f>IF($C$1="APM",Monthly!O1347/FinSnapshot!I$60,IF($C$1="Yearly",Monthly!O1347*12/FinSnapshot!I$60,0))</f>
        <v>2.5841607797424267E-3</v>
      </c>
      <c r="K27" s="278">
        <f>IF($C$1="APM",Monthly!O1270/FinSnapshot!J$60,IF($C$1="Yearly",Monthly!O1270*12/FinSnapshot!J$60,0))</f>
        <v>1.9637409743689968E-3</v>
      </c>
      <c r="L27" s="278">
        <f>IF($C$1="APM",Monthly!O1192/FinSnapshot!K$60,IF($C$1="Yearly",Monthly!O1192*12/FinSnapshot!K$60,0))</f>
        <v>4.078171853996484E-3</v>
      </c>
      <c r="M27" s="278">
        <f>IF($C$1="APM",Monthly!O1115/FinSnapshot!L$60,IF($C$1="Yearly",Monthly!O1115*12/FinSnapshot!L$60,0))</f>
        <v>2.6901796711568163E-3</v>
      </c>
      <c r="N27" s="278">
        <f>IF($C$1="APM",Monthly!O1038/FinSnapshot!M$60,IF($C$1="Yearly",Monthly!O1038*12/FinSnapshot!M$60,0))</f>
        <v>4.1006152732537098E-3</v>
      </c>
      <c r="O27" s="278">
        <f>IF($C$1="APM",Monthly!O961/FinSnapshot!N$60,IF($C$1="Yearly",Monthly!O961*12/FinSnapshot!N$60,0))</f>
        <v>1.4243564960830196E-3</v>
      </c>
      <c r="P27" s="278">
        <f>IF($C$1="APM",Monthly!$O885/FinSnapshot!O$60,IF($C$1="Yearly",Monthly!$O885*12/FinSnapshot!O$60,0))</f>
        <v>3.1114821279502164E-3</v>
      </c>
      <c r="Q27" s="278">
        <f>IF($C$1="APM",Monthly!$O808/FinSnapshot!P$60,IF($C$1="Yearly",Monthly!$O808*12/FinSnapshot!P$60,0))</f>
        <v>1.5144246353322528E-3</v>
      </c>
      <c r="R27" s="278">
        <f>IF($C$1="APM",Monthly!$O731/FinSnapshot!Q$60,IF($C$1="Yearly",Monthly!$O731*12/FinSnapshot!Q$60,0))</f>
        <v>9.504151364576809E-5</v>
      </c>
    </row>
    <row r="28" spans="1:18" ht="14.1" customHeight="1">
      <c r="A28" s="2337" t="s">
        <v>277</v>
      </c>
      <c r="B28" s="2338"/>
      <c r="C28" s="2336">
        <f t="shared" ref="C28:H28" si="2">SUM(C30:C33)</f>
        <v>2.8387955675633347E-2</v>
      </c>
      <c r="D28" s="2336">
        <f t="shared" si="2"/>
        <v>2.1001067728623781E-2</v>
      </c>
      <c r="E28" s="2336">
        <f t="shared" si="2"/>
        <v>1.5540424949532967E-2</v>
      </c>
      <c r="F28" s="2336">
        <f t="shared" si="2"/>
        <v>1.7933016745813546E-2</v>
      </c>
      <c r="G28" s="2336">
        <f t="shared" si="2"/>
        <v>1.5005119714167446E-2</v>
      </c>
      <c r="H28" s="2336">
        <f t="shared" si="2"/>
        <v>1.794347956776695E-2</v>
      </c>
      <c r="I28" s="2336">
        <f t="shared" ref="I28:R28" si="3">SUM(I30:I33)</f>
        <v>2.3648319057189129E-2</v>
      </c>
      <c r="J28" s="2336">
        <f t="shared" si="3"/>
        <v>1.5916932338993207E-2</v>
      </c>
      <c r="K28" s="2336">
        <f t="shared" si="3"/>
        <v>1.8578697218377984E-2</v>
      </c>
      <c r="L28" s="2336">
        <f t="shared" si="3"/>
        <v>1.3082411332850792E-2</v>
      </c>
      <c r="M28" s="2336">
        <f t="shared" si="3"/>
        <v>1.5214373692545309E-2</v>
      </c>
      <c r="N28" s="2336">
        <f t="shared" si="3"/>
        <v>1.8501628664495111E-2</v>
      </c>
      <c r="O28" s="2336">
        <f t="shared" si="3"/>
        <v>1.8007935700478175E-2</v>
      </c>
      <c r="P28" s="2336">
        <f t="shared" si="3"/>
        <v>1.0239286402297709E-2</v>
      </c>
      <c r="Q28" s="2336">
        <f t="shared" si="3"/>
        <v>8.7027552674230155E-3</v>
      </c>
      <c r="R28" s="2336">
        <f t="shared" si="3"/>
        <v>6.560301403446352E-3</v>
      </c>
    </row>
    <row r="29" spans="1:18" ht="14.1" customHeight="1">
      <c r="A29" s="2337"/>
      <c r="B29" s="2338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</row>
    <row r="30" spans="1:18" ht="15">
      <c r="A30" s="188"/>
      <c r="B30" s="189" t="s">
        <v>410</v>
      </c>
      <c r="C30" s="278">
        <f>IF($C$1="APM",Monthly!O1892/FinSnapshot!$B$60,IF($C$1="Yearly",Monthly!O1892*12/FinSnapshot!$B$60,0))</f>
        <v>2.277218948934653E-2</v>
      </c>
      <c r="D30" s="278">
        <f>IF($C$1="APM",Monthly!O1815/FinSnapshot!C$60,IF($C$1="Yearly",Monthly!O1815*12/FinSnapshot!C$60,0))</f>
        <v>1.7473234640579458E-2</v>
      </c>
      <c r="E30" s="278">
        <f>IF($C$1="APM",Monthly!O1738/FinSnapshot!D$60,IF($C$1="Yearly",Monthly!O1738*12/FinSnapshot!D$60,0))</f>
        <v>1.4110240531015842E-2</v>
      </c>
      <c r="F30" s="278">
        <f>IF($C$1="APM",Monthly!O1660/FinSnapshot!E$60,IF($C$1="Yearly",Monthly!O1660*12/FinSnapshot!E$60,0))</f>
        <v>1.4383904023994001E-2</v>
      </c>
      <c r="G30" s="278">
        <f>IF($C$1="APM",Monthly!O1582/FinSnapshot!F$60,IF($C$1="Yearly",Monthly!O1582*12/FinSnapshot!F$60,0))</f>
        <v>1.357813555260234E-2</v>
      </c>
      <c r="H30" s="278">
        <f>IF($C$1="APM",Monthly!O1504/FinSnapshot!G$60,IF($C$1="Yearly",Monthly!O1504*12/FinSnapshot!G$60,0))</f>
        <v>1.5075172072976263E-2</v>
      </c>
      <c r="I30" s="278">
        <f>IF($C$1="APM",Monthly!O1427/FinSnapshot!H$60,IF($C$1="Yearly",Monthly!O1427*12/FinSnapshot!H$60,0))</f>
        <v>1.9233771048369788E-2</v>
      </c>
      <c r="J30" s="278">
        <f>IF($C$1="APM",Monthly!O1350/FinSnapshot!I$60,IF($C$1="Yearly",Monthly!O1350*12/FinSnapshot!I$60,0))</f>
        <v>1.3009751461782978E-2</v>
      </c>
      <c r="K30" s="278">
        <f>IF($C$1="APM",Monthly!O1273/FinSnapshot!J$60,IF($C$1="Yearly",Monthly!O1273*12/FinSnapshot!J$60,0))</f>
        <v>1.3178409538863244E-2</v>
      </c>
      <c r="L30" s="278">
        <f>IF($C$1="APM",Monthly!O1195/FinSnapshot!K$60,IF($C$1="Yearly",Monthly!O1195*12/FinSnapshot!K$60,0))</f>
        <v>1.064212594354255E-2</v>
      </c>
      <c r="M30" s="278">
        <f>IF($C$1="APM",Monthly!O1118/FinSnapshot!L$60,IF($C$1="Yearly",Monthly!O1118*12/FinSnapshot!L$60,0))</f>
        <v>1.252810416625936E-2</v>
      </c>
      <c r="N30" s="278">
        <f>IF($C$1="APM",Monthly!O1041/FinSnapshot!M$60,IF($C$1="Yearly",Monthly!O1041*12/FinSnapshot!M$60,0))</f>
        <v>1.4357582338038364E-2</v>
      </c>
      <c r="O30" s="278">
        <f>IF($C$1="APM",Monthly!O964/FinSnapshot!N$60,IF($C$1="Yearly",Monthly!O964*12/FinSnapshot!N$60,0))</f>
        <v>1.3310950588394885E-2</v>
      </c>
      <c r="P30" s="278">
        <f>IF($C$1="APM",Monthly!$O888/FinSnapshot!O$60,IF($C$1="Yearly",Monthly!$O888*12/FinSnapshot!O$60,0))</f>
        <v>8.0589138417172107E-3</v>
      </c>
      <c r="Q30" s="278">
        <f>IF($C$1="APM",Monthly!$O811/FinSnapshot!P$60,IF($C$1="Yearly",Monthly!$O811*12/FinSnapshot!P$60,0))</f>
        <v>6.7734197730956241E-3</v>
      </c>
      <c r="R30" s="278">
        <f>IF($C$1="APM",Monthly!$O734/FinSnapshot!Q$60,IF($C$1="Yearly",Monthly!$O734*12/FinSnapshot!Q$60,0))</f>
        <v>2.6843135200208604E-3</v>
      </c>
    </row>
    <row r="31" spans="1:18" ht="15">
      <c r="A31" s="188"/>
      <c r="B31" s="189" t="s">
        <v>1455</v>
      </c>
      <c r="C31" s="278">
        <f>IF($C$1="APM",Monthly!O1893/FinSnapshot!$B$60,IF($C$1="Yearly",Monthly!O1893*12/FinSnapshot!$B$60,0))</f>
        <v>2.1810468062948788E-3</v>
      </c>
      <c r="D31" s="278">
        <f>IF($C$1="APM",Monthly!O1816/FinSnapshot!C$60,IF($C$1="Yearly",Monthly!O1816*12/FinSnapshot!C$60,0))</f>
        <v>0</v>
      </c>
      <c r="E31" s="278">
        <f>IF($C$1="APM",Monthly!O1739/FinSnapshot!D$60,IF($C$1="Yearly",Monthly!O1739*12/FinSnapshot!D$60,0))</f>
        <v>0</v>
      </c>
      <c r="F31" s="278">
        <f>IF($C$1="APM",Monthly!O1661/FinSnapshot!E$60,IF($C$1="Yearly",Monthly!O1661*12/FinSnapshot!E$60,0))</f>
        <v>2.3119220194951261E-3</v>
      </c>
      <c r="G31" s="278">
        <f>IF($C$1="APM",Monthly!O1583/FinSnapshot!F$60,IF($C$1="Yearly",Monthly!O1583*12/FinSnapshot!F$60,0))</f>
        <v>7.625106206836452E-4</v>
      </c>
      <c r="H31" s="278">
        <f>IF($C$1="APM",Monthly!O1505/FinSnapshot!G$60,IF($C$1="Yearly",Monthly!O1505*12/FinSnapshot!G$60,0))</f>
        <v>2.0480632556054267E-3</v>
      </c>
      <c r="I31" s="278">
        <f>IF($C$1="APM",Monthly!O1428/FinSnapshot!H$60,IF($C$1="Yearly",Monthly!O1428*12/FinSnapshot!H$60,0))</f>
        <v>2.5950713156816453E-3</v>
      </c>
      <c r="J31" s="278">
        <f>IF($C$1="APM",Monthly!O1351/FinSnapshot!I$60,IF($C$1="Yearly",Monthly!O1351*12/FinSnapshot!I$60,0))</f>
        <v>0</v>
      </c>
      <c r="K31" s="278">
        <f>IF($C$1="APM",Monthly!O1274/FinSnapshot!J$60,IF($C$1="Yearly",Monthly!O1274*12/FinSnapshot!J$60,0))</f>
        <v>2.3692961755973764E-3</v>
      </c>
      <c r="L31" s="278">
        <f>IF($C$1="APM",Monthly!O1196/FinSnapshot!K$60,IF($C$1="Yearly",Monthly!O1196*12/FinSnapshot!K$60,0))</f>
        <v>4.0947161617206081E-4</v>
      </c>
      <c r="M31" s="278">
        <f>IF($C$1="APM",Monthly!O1119/FinSnapshot!L$60,IF($C$1="Yearly",Monthly!O1119*12/FinSnapshot!L$60,0))</f>
        <v>1.0049072318129386E-3</v>
      </c>
      <c r="N31" s="278">
        <f>IF($C$1="APM",Monthly!O1042/FinSnapshot!M$60,IF($C$1="Yearly",Monthly!O1042*12/FinSnapshot!M$60,0))</f>
        <v>1.9507781397032212E-3</v>
      </c>
      <c r="O31" s="278">
        <f>IF($C$1="APM",Monthly!O965/FinSnapshot!N$60,IF($C$1="Yearly",Monthly!O965*12/FinSnapshot!N$60,0))</f>
        <v>2.4146233933597856E-3</v>
      </c>
      <c r="P31" s="278">
        <f>IF($C$1="APM",Monthly!$O889/FinSnapshot!O$60,IF($C$1="Yearly",Monthly!$O889*12/FinSnapshot!O$60,0))</f>
        <v>8.4062556552501149E-4</v>
      </c>
      <c r="Q31" s="278">
        <f>IF($C$1="APM",Monthly!$O812/FinSnapshot!P$60,IF($C$1="Yearly",Monthly!$O812*12/FinSnapshot!P$60,0))</f>
        <v>4.4602917341977308E-4</v>
      </c>
      <c r="R31" s="278">
        <f>IF($C$1="APM",Monthly!$O735/FinSnapshot!Q$60,IF($C$1="Yearly",Monthly!$O735*12/FinSnapshot!Q$60,0))</f>
        <v>2.8280942714336891E-3</v>
      </c>
    </row>
    <row r="32" spans="1:18" ht="15">
      <c r="A32" s="188"/>
      <c r="B32" s="189" t="s">
        <v>412</v>
      </c>
      <c r="C32" s="278">
        <f>IF($C$1="APM",Monthly!O1894/FinSnapshot!$B$60,IF($C$1="Yearly",Monthly!O1894*12/FinSnapshot!$B$60,0))</f>
        <v>7.7281186049818549E-4</v>
      </c>
      <c r="D32" s="278">
        <f>IF($C$1="APM",Monthly!O1817/FinSnapshot!C$60,IF($C$1="Yearly",Monthly!O1817*12/FinSnapshot!C$60,0))</f>
        <v>9.1622658932848523E-4</v>
      </c>
      <c r="E32" s="278">
        <f>IF($C$1="APM",Monthly!O1740/FinSnapshot!D$60,IF($C$1="Yearly",Monthly!O1740*12/FinSnapshot!D$60,0))</f>
        <v>1.6423170356177506E-4</v>
      </c>
      <c r="F32" s="278">
        <f>IF($C$1="APM",Monthly!O1662/FinSnapshot!E$60,IF($C$1="Yearly",Monthly!O1662*12/FinSnapshot!E$60,0))</f>
        <v>6.1234691327168207E-4</v>
      </c>
      <c r="G32" s="278">
        <f>IF($C$1="APM",Monthly!O1584/FinSnapshot!F$60,IF($C$1="Yearly",Monthly!O1584*12/FinSnapshot!F$60,0))</f>
        <v>3.1045075270691268E-4</v>
      </c>
      <c r="H32" s="278">
        <f>IF($C$1="APM",Monthly!O1506/FinSnapshot!G$60,IF($C$1="Yearly",Monthly!O1506*12/FinSnapshot!G$60,0))</f>
        <v>2.1907144276376455E-4</v>
      </c>
      <c r="I32" s="278">
        <f>IF($C$1="APM",Monthly!O1429/FinSnapshot!H$60,IF($C$1="Yearly",Monthly!O1429*12/FinSnapshot!H$60,0))</f>
        <v>8.1949620495209855E-4</v>
      </c>
      <c r="J32" s="278">
        <f>IF($C$1="APM",Monthly!O1352/FinSnapshot!I$60,IF($C$1="Yearly",Monthly!O1352*12/FinSnapshot!I$60,0))</f>
        <v>1.4325239105093886E-3</v>
      </c>
      <c r="K32" s="278">
        <f>IF($C$1="APM",Monthly!O1275/FinSnapshot!J$60,IF($C$1="Yearly",Monthly!O1275*12/FinSnapshot!J$60,0))</f>
        <v>1.4343847117130062E-3</v>
      </c>
      <c r="L32" s="278">
        <f>IF($C$1="APM",Monthly!O1197/FinSnapshot!K$60,IF($C$1="Yearly",Monthly!O1197*12/FinSnapshot!K$60,0))</f>
        <v>1.2242787715851515E-3</v>
      </c>
      <c r="M32" s="278">
        <f>IF($C$1="APM",Monthly!O1120/FinSnapshot!L$60,IF($C$1="Yearly",Monthly!O1120*12/FinSnapshot!L$60,0))</f>
        <v>9.384347690081918E-4</v>
      </c>
      <c r="N32" s="278">
        <f>IF($C$1="APM",Monthly!O1043/FinSnapshot!M$60,IF($C$1="Yearly",Monthly!O1043*12/FinSnapshot!M$60,0))</f>
        <v>1.5237061165399928E-3</v>
      </c>
      <c r="O32" s="278">
        <f>IF($C$1="APM",Monthly!O966/FinSnapshot!N$60,IF($C$1="Yearly",Monthly!O966*12/FinSnapshot!N$60,0))</f>
        <v>9.2244039746328891E-4</v>
      </c>
      <c r="P32" s="278">
        <f>IF($C$1="APM",Monthly!$O890/FinSnapshot!O$60,IF($C$1="Yearly",Monthly!$O890*12/FinSnapshot!O$60,0))</f>
        <v>5.078779458380278E-4</v>
      </c>
      <c r="Q32" s="278">
        <f>IF($C$1="APM",Monthly!$O813/FinSnapshot!P$60,IF($C$1="Yearly",Monthly!$O813*12/FinSnapshot!P$60,0))</f>
        <v>9.2576985413290113E-4</v>
      </c>
      <c r="R32" s="278">
        <f>IF($C$1="APM",Monthly!$O736/FinSnapshot!Q$60,IF($C$1="Yearly",Monthly!$O736*12/FinSnapshot!Q$60,0))</f>
        <v>9.004574177464439E-4</v>
      </c>
    </row>
    <row r="33" spans="1:18" ht="15">
      <c r="A33" s="188"/>
      <c r="B33" s="189" t="s">
        <v>413</v>
      </c>
      <c r="C33" s="278">
        <f>IF($C$1="APM",Monthly!O1895/FinSnapshot!$B$60,IF($C$1="Yearly",Monthly!O1895*12/FinSnapshot!$B$60,0))</f>
        <v>2.6619075194937499E-3</v>
      </c>
      <c r="D33" s="278">
        <f>IF($C$1="APM",Monthly!O1818/FinSnapshot!C$60,IF($C$1="Yearly",Monthly!O1818*12/FinSnapshot!C$60,0))</f>
        <v>2.6116064987158397E-3</v>
      </c>
      <c r="E33" s="278">
        <f>IF($C$1="APM",Monthly!O1741/FinSnapshot!D$60,IF($C$1="Yearly",Monthly!O1741*12/FinSnapshot!D$60,0))</f>
        <v>1.2659527149553496E-3</v>
      </c>
      <c r="F33" s="278">
        <f>IF($C$1="APM",Monthly!O1663/FinSnapshot!E$60,IF($C$1="Yearly",Monthly!O1663*12/FinSnapshot!E$60,0))</f>
        <v>6.2484378905273681E-4</v>
      </c>
      <c r="G33" s="278">
        <f>IF($C$1="APM",Monthly!O1585/FinSnapshot!F$60,IF($C$1="Yearly",Monthly!O1585*12/FinSnapshot!F$60,0))</f>
        <v>3.5402278817454956E-4</v>
      </c>
      <c r="H33" s="278">
        <f>IF($C$1="APM",Monthly!O1507/FinSnapshot!G$60,IF($C$1="Yearly",Monthly!O1507*12/FinSnapshot!G$60,0))</f>
        <v>6.011727964214935E-4</v>
      </c>
      <c r="I33" s="278">
        <f>IF($C$1="APM",Monthly!O1430/FinSnapshot!H$60,IF($C$1="Yearly",Monthly!O1430*12/FinSnapshot!H$60,0))</f>
        <v>9.9998048818559647E-4</v>
      </c>
      <c r="J33" s="278">
        <f>IF($C$1="APM",Monthly!O1353/FinSnapshot!I$60,IF($C$1="Yearly",Monthly!O1353*12/FinSnapshot!I$60,0))</f>
        <v>1.4746569667008413E-3</v>
      </c>
      <c r="K33" s="278">
        <f>IF($C$1="APM",Monthly!O1276/FinSnapshot!J$60,IF($C$1="Yearly",Monthly!O1276*12/FinSnapshot!J$60,0))</f>
        <v>1.5966067922043581E-3</v>
      </c>
      <c r="L33" s="278">
        <f>IF($C$1="APM",Monthly!O1198/FinSnapshot!K$60,IF($C$1="Yearly",Monthly!O1198*12/FinSnapshot!K$60,0))</f>
        <v>8.0653500155102888E-4</v>
      </c>
      <c r="M33" s="278">
        <f>IF($C$1="APM",Monthly!O1121/FinSnapshot!L$60,IF($C$1="Yearly",Monthly!O1121*12/FinSnapshot!L$60,0))</f>
        <v>7.4292752546481846E-4</v>
      </c>
      <c r="N33" s="278">
        <f>IF($C$1="APM",Monthly!O1044/FinSnapshot!M$60,IF($C$1="Yearly",Monthly!O1044*12/FinSnapshot!M$60,0))</f>
        <v>6.6956207021353601E-4</v>
      </c>
      <c r="O33" s="278">
        <f>IF($C$1="APM",Monthly!O967/FinSnapshot!N$60,IF($C$1="Yearly",Monthly!O967*12/FinSnapshot!N$60,0))</f>
        <v>1.3599213212602164E-3</v>
      </c>
      <c r="P33" s="278">
        <f>IF($C$1="APM",Monthly!$O891/FinSnapshot!O$60,IF($C$1="Yearly",Monthly!$O891*12/FinSnapshot!O$60,0))</f>
        <v>8.3186904921745937E-4</v>
      </c>
      <c r="Q33" s="278">
        <f>IF($C$1="APM",Monthly!$O814/FinSnapshot!P$60,IF($C$1="Yearly",Monthly!$O814*12/FinSnapshot!P$60,0))</f>
        <v>5.575364667747164E-4</v>
      </c>
      <c r="R33" s="278">
        <f>IF($C$1="APM",Monthly!$O737/FinSnapshot!Q$60,IF($C$1="Yearly",Monthly!$O737*12/FinSnapshot!Q$60,0))</f>
        <v>1.4743619424535819E-4</v>
      </c>
    </row>
    <row r="34" spans="1:18" ht="14.1" customHeight="1">
      <c r="A34" s="2337" t="s">
        <v>278</v>
      </c>
      <c r="B34" s="2338"/>
      <c r="C34" s="2336">
        <f t="shared" ref="C34:H34" si="4">SUM(C36:C37)</f>
        <v>4.9253875909084352E-2</v>
      </c>
      <c r="D34" s="2336">
        <f t="shared" si="4"/>
        <v>4.4837387816350674E-2</v>
      </c>
      <c r="E34" s="2336">
        <f t="shared" si="4"/>
        <v>2.3580935436411536E-2</v>
      </c>
      <c r="F34" s="2336">
        <f t="shared" si="4"/>
        <v>2.0526118470382403E-2</v>
      </c>
      <c r="G34" s="2336">
        <f t="shared" si="4"/>
        <v>1.772837193089475E-2</v>
      </c>
      <c r="H34" s="2336">
        <f t="shared" si="4"/>
        <v>1.9848891651340156E-2</v>
      </c>
      <c r="I34" s="2336">
        <f t="shared" ref="I34:R34" si="5">SUM(I36:I37)</f>
        <v>2.8736024662933405E-2</v>
      </c>
      <c r="J34" s="2336">
        <f t="shared" si="5"/>
        <v>2.8627070956748078E-2</v>
      </c>
      <c r="K34" s="2336">
        <f t="shared" si="5"/>
        <v>2.7342958567029181E-2</v>
      </c>
      <c r="L34" s="2336">
        <f t="shared" si="5"/>
        <v>2.9936924826801777E-2</v>
      </c>
      <c r="M34" s="2336">
        <f t="shared" si="5"/>
        <v>3.6771002365637649E-2</v>
      </c>
      <c r="N34" s="2336">
        <f t="shared" si="5"/>
        <v>3.2392327180600797E-2</v>
      </c>
      <c r="O34" s="2336">
        <f t="shared" si="5"/>
        <v>3.6531352799538779E-2</v>
      </c>
      <c r="P34" s="2336">
        <f t="shared" si="5"/>
        <v>3.3012066479471809E-2</v>
      </c>
      <c r="Q34" s="2336">
        <f t="shared" si="5"/>
        <v>2.6084927066450565E-2</v>
      </c>
      <c r="R34" s="2336">
        <f t="shared" si="5"/>
        <v>1.1132041905996632E-2</v>
      </c>
    </row>
    <row r="35" spans="1:18" ht="14.1" customHeight="1">
      <c r="A35" s="2337"/>
      <c r="B35" s="2338"/>
      <c r="C35" s="2336"/>
      <c r="D35" s="2336"/>
      <c r="E35" s="2336"/>
      <c r="F35" s="2336"/>
      <c r="G35" s="2336"/>
      <c r="H35" s="2336"/>
      <c r="I35" s="2336"/>
      <c r="J35" s="2336"/>
      <c r="K35" s="2336"/>
      <c r="L35" s="2336"/>
      <c r="M35" s="2336"/>
      <c r="N35" s="2336"/>
      <c r="O35" s="2336"/>
      <c r="P35" s="2336"/>
      <c r="Q35" s="2336"/>
      <c r="R35" s="2336"/>
    </row>
    <row r="36" spans="1:18" ht="15">
      <c r="A36" s="188"/>
      <c r="B36" s="189" t="s">
        <v>414</v>
      </c>
      <c r="C36" s="278">
        <f>IF($C$1="APM",Monthly!O1898/FinSnapshot!$B$60,IF($C$1="Yearly",Monthly!O1898*12/FinSnapshot!$B$60,0))</f>
        <v>3.6957580528713223E-2</v>
      </c>
      <c r="D36" s="278">
        <f>IF($C$1="APM",Monthly!O1821/FinSnapshot!C$60,IF($C$1="Yearly",Monthly!O1821*12/FinSnapshot!C$60,0))</f>
        <v>3.0228263065246876E-2</v>
      </c>
      <c r="E36" s="278">
        <f>IF($C$1="APM",Monthly!O1744/FinSnapshot!D$60,IF($C$1="Yearly",Monthly!O1744*12/FinSnapshot!D$60,0))</f>
        <v>1.8660827317206693E-2</v>
      </c>
      <c r="F36" s="278">
        <f>IF($C$1="APM",Monthly!O1666/FinSnapshot!E$60,IF($C$1="Yearly",Monthly!O1666*12/FinSnapshot!E$60,0))</f>
        <v>1.4002749312671831E-2</v>
      </c>
      <c r="G36" s="278">
        <f>IF($C$1="APM",Monthly!O1588/FinSnapshot!F$60,IF($C$1="Yearly",Monthly!O1588*12/FinSnapshot!F$60,0))</f>
        <v>1.2641336790048146E-2</v>
      </c>
      <c r="H36" s="278">
        <f>IF($C$1="APM",Monthly!O1510/FinSnapshot!G$60,IF($C$1="Yearly",Monthly!O1510*12/FinSnapshot!G$60,0))</f>
        <v>1.4331348104522551E-2</v>
      </c>
      <c r="I36" s="278">
        <f>IF($C$1="APM",Monthly!O1433/FinSnapshot!H$60,IF($C$1="Yearly",Monthly!O1433*12/FinSnapshot!H$60,0))</f>
        <v>2.2097129812101227E-2</v>
      </c>
      <c r="J36" s="278">
        <f>IF($C$1="APM",Monthly!O1356/FinSnapshot!I$60,IF($C$1="Yearly",Monthly!O1356*12/FinSnapshot!I$60,0))</f>
        <v>2.6951111610465851E-2</v>
      </c>
      <c r="K36" s="278">
        <f>IF($C$1="APM",Monthly!O1279/FinSnapshot!J$60,IF($C$1="Yearly",Monthly!O1279*12/FinSnapshot!J$60,0))</f>
        <v>2.2292729061206305E-2</v>
      </c>
      <c r="L36" s="278">
        <f>IF($C$1="APM",Monthly!O1201/FinSnapshot!K$60,IF($C$1="Yearly",Monthly!O1201*12/FinSnapshot!K$60,0))</f>
        <v>2.502740150966808E-2</v>
      </c>
      <c r="M36" s="278">
        <f>IF($C$1="APM",Monthly!O1124/FinSnapshot!L$60,IF($C$1="Yearly",Monthly!O1124*12/FinSnapshot!L$60,0))</f>
        <v>3.0069014056970812E-2</v>
      </c>
      <c r="N36" s="278">
        <f>IF($C$1="APM",Monthly!O1047/FinSnapshot!M$60,IF($C$1="Yearly",Monthly!O1047*12/FinSnapshot!M$60,0))</f>
        <v>2.5200868621064059E-2</v>
      </c>
      <c r="O36" s="278">
        <f>IF($C$1="APM",Monthly!O970/FinSnapshot!N$60,IF($C$1="Yearly",Monthly!O970*12/FinSnapshot!N$60,0))</f>
        <v>2.8069996947807509E-2</v>
      </c>
      <c r="P36" s="278">
        <f>IF($C$1="APM",Monthly!$O894/FinSnapshot!O$60,IF($C$1="Yearly",Monthly!$O894*12/FinSnapshot!O$60,0))</f>
        <v>2.6392140150962341E-2</v>
      </c>
      <c r="Q36" s="278">
        <f>IF($C$1="APM",Monthly!$O817/FinSnapshot!P$60,IF($C$1="Yearly",Monthly!$O817*12/FinSnapshot!P$60,0))</f>
        <v>2.0494003241491084E-2</v>
      </c>
      <c r="R36" s="278">
        <f>IF($C$1="APM",Monthly!$O740/FinSnapshot!Q$60,IF($C$1="Yearly",Monthly!$O740*12/FinSnapshot!Q$60,0))</f>
        <v>9.6186885733294016E-3</v>
      </c>
    </row>
    <row r="37" spans="1:18" ht="15">
      <c r="A37" s="188"/>
      <c r="B37" s="189" t="s">
        <v>278</v>
      </c>
      <c r="C37" s="278">
        <f>IF($C$1="APM",Monthly!O1899/FinSnapshot!$B$60,IF($C$1="Yearly",Monthly!O1899*12/FinSnapshot!$B$60,0))</f>
        <v>1.2296295380371129E-2</v>
      </c>
      <c r="D37" s="278">
        <f>IF($C$1="APM",Monthly!O1822/FinSnapshot!C$60,IF($C$1="Yearly",Monthly!O1822*12/FinSnapshot!C$60,0))</f>
        <v>1.46091247511038E-2</v>
      </c>
      <c r="E37" s="278">
        <f>IF($C$1="APM",Monthly!O1745/FinSnapshot!D$60,IF($C$1="Yearly",Monthly!O1745*12/FinSnapshot!D$60,0))</f>
        <v>4.9201081192048451E-3</v>
      </c>
      <c r="F37" s="278">
        <f>IF($C$1="APM",Monthly!O1667/FinSnapshot!E$60,IF($C$1="Yearly",Monthly!O1667*12/FinSnapshot!E$60,0))</f>
        <v>6.5233691577105722E-3</v>
      </c>
      <c r="G37" s="278">
        <f>IF($C$1="APM",Monthly!O1589/FinSnapshot!F$60,IF($C$1="Yearly",Monthly!O1589*12/FinSnapshot!F$60,0))</f>
        <v>5.0870351408466045E-3</v>
      </c>
      <c r="H37" s="278">
        <f>IF($C$1="APM",Monthly!O1511/FinSnapshot!G$60,IF($C$1="Yearly",Monthly!O1511*12/FinSnapshot!G$60,0))</f>
        <v>5.5175435468176048E-3</v>
      </c>
      <c r="I37" s="278">
        <f>IF($C$1="APM",Monthly!O1434/FinSnapshot!H$60,IF($C$1="Yearly",Monthly!O1434*12/FinSnapshot!H$60,0))</f>
        <v>6.6388948508321792E-3</v>
      </c>
      <c r="J37" s="278">
        <f>IF($C$1="APM",Monthly!O1357/FinSnapshot!I$60,IF($C$1="Yearly",Monthly!O1357*12/FinSnapshot!I$60,0))</f>
        <v>1.6759593462822259E-3</v>
      </c>
      <c r="K37" s="278">
        <f>IF($C$1="APM",Monthly!O1280/FinSnapshot!J$60,IF($C$1="Yearly",Monthly!O1280*12/FinSnapshot!J$60,0))</f>
        <v>5.0502295058228765E-3</v>
      </c>
      <c r="L37" s="278">
        <f>IF($C$1="APM",Monthly!O1202/FinSnapshot!K$60,IF($C$1="Yearly",Monthly!O1202*12/FinSnapshot!K$60,0))</f>
        <v>4.9095233171336985E-3</v>
      </c>
      <c r="M37" s="278">
        <f>IF($C$1="APM",Monthly!O1125/FinSnapshot!L$60,IF($C$1="Yearly",Monthly!O1125*12/FinSnapshot!L$60,0))</f>
        <v>6.7019883086668359E-3</v>
      </c>
      <c r="N37" s="278">
        <f>IF($C$1="APM",Monthly!O1048/FinSnapshot!M$60,IF($C$1="Yearly",Monthly!O1048*12/FinSnapshot!M$60,0))</f>
        <v>7.1914585595367351E-3</v>
      </c>
      <c r="O37" s="278">
        <f>IF($C$1="APM",Monthly!O971/FinSnapshot!N$60,IF($C$1="Yearly",Monthly!O971*12/FinSnapshot!N$60,0))</f>
        <v>8.4613558517312708E-3</v>
      </c>
      <c r="P37" s="278">
        <f>IF($C$1="APM",Monthly!$O895/FinSnapshot!O$60,IF($C$1="Yearly",Monthly!$O895*12/FinSnapshot!O$60,0))</f>
        <v>6.6199263285094661E-3</v>
      </c>
      <c r="Q37" s="278">
        <f>IF($C$1="APM",Monthly!$O818/FinSnapshot!P$60,IF($C$1="Yearly",Monthly!$O818*12/FinSnapshot!P$60,0))</f>
        <v>5.5909238249594812E-3</v>
      </c>
      <c r="R37" s="278">
        <f>IF($C$1="APM",Monthly!$O741/FinSnapshot!Q$60,IF($C$1="Yearly",Monthly!$O741*12/FinSnapshot!Q$60,0))</f>
        <v>1.5133533326672304E-3</v>
      </c>
    </row>
    <row r="38" spans="1:18" ht="15">
      <c r="A38" s="2337" t="s">
        <v>279</v>
      </c>
      <c r="B38" s="2338"/>
      <c r="C38" s="2198">
        <f t="shared" ref="C38:I38" si="6">SUM(C40:C47)</f>
        <v>5.6707216963666852E-2</v>
      </c>
      <c r="D38" s="2198">
        <f t="shared" si="6"/>
        <v>3.6454275243124695E-2</v>
      </c>
      <c r="E38" s="2198">
        <f t="shared" si="6"/>
        <v>2.9910699011188289E-2</v>
      </c>
      <c r="F38" s="2198">
        <f t="shared" si="6"/>
        <v>3.4310172456885779E-2</v>
      </c>
      <c r="G38" s="2198">
        <f t="shared" si="6"/>
        <v>2.8033158318990874E-2</v>
      </c>
      <c r="H38" s="2198">
        <f t="shared" si="6"/>
        <v>2.5774009975392677E-2</v>
      </c>
      <c r="I38" s="2336">
        <f t="shared" si="6"/>
        <v>2.6745819593764025E-2</v>
      </c>
      <c r="J38" s="2336">
        <f t="shared" ref="J38:R38" si="7">SUM(J40:J47)</f>
        <v>2.6637454414373922E-2</v>
      </c>
      <c r="K38" s="2336">
        <f t="shared" si="7"/>
        <v>2.0982145410920909E-2</v>
      </c>
      <c r="L38" s="2336">
        <f t="shared" si="7"/>
        <v>1.930720711405232E-2</v>
      </c>
      <c r="M38" s="2336">
        <f t="shared" si="7"/>
        <v>1.9628927251754677E-2</v>
      </c>
      <c r="N38" s="2336">
        <f t="shared" si="7"/>
        <v>1.6098443720593558E-2</v>
      </c>
      <c r="O38" s="2336">
        <f t="shared" si="7"/>
        <v>1.8832027673211925E-2</v>
      </c>
      <c r="P38" s="2336">
        <f t="shared" si="7"/>
        <v>1.0601222409676534E-2</v>
      </c>
      <c r="Q38" s="2336">
        <f t="shared" si="7"/>
        <v>9.3251215559157202E-3</v>
      </c>
      <c r="R38" s="2336">
        <f t="shared" si="7"/>
        <v>5.2224093267405399E-3</v>
      </c>
    </row>
    <row r="39" spans="1:18" ht="15">
      <c r="A39" s="2337"/>
      <c r="B39" s="2338"/>
      <c r="C39" s="2198"/>
      <c r="D39" s="2198"/>
      <c r="E39" s="2198"/>
      <c r="F39" s="2198"/>
      <c r="G39" s="2198"/>
      <c r="H39" s="2198"/>
      <c r="I39" s="2336"/>
      <c r="J39" s="2336"/>
      <c r="K39" s="2336"/>
      <c r="L39" s="2336"/>
      <c r="M39" s="2336"/>
      <c r="N39" s="2336"/>
      <c r="O39" s="2336"/>
      <c r="P39" s="2336"/>
      <c r="Q39" s="2336"/>
      <c r="R39" s="2336"/>
    </row>
    <row r="40" spans="1:18" ht="15">
      <c r="A40" s="188"/>
      <c r="B40" s="189" t="s">
        <v>415</v>
      </c>
      <c r="C40" s="278">
        <f>IF($C$1="APM",Monthly!O1902/FinSnapshot!$B$60,IF($C$1="Yearly",Monthly!O1902*12/FinSnapshot!$B$60,0))</f>
        <v>5.8905437366861694E-3</v>
      </c>
      <c r="D40" s="278">
        <f>IF($C$1="APM",Monthly!O1825/FinSnapshot!C$60,IF($C$1="Yearly",Monthly!O1825*12/FinSnapshot!C$60,0))</f>
        <v>4.5089891207110494E-3</v>
      </c>
      <c r="E40" s="278">
        <f>IF($C$1="APM",Monthly!O1748/FinSnapshot!D$60,IF($C$1="Yearly",Monthly!O1748*12/FinSnapshot!D$60,0))</f>
        <v>5.0980257980634347E-3</v>
      </c>
      <c r="F40" s="278">
        <f>IF($C$1="APM",Monthly!O1670/FinSnapshot!E$60,IF($C$1="Yearly",Monthly!O1670*12/FinSnapshot!E$60,0))</f>
        <v>4.9050237440639837E-3</v>
      </c>
      <c r="G40" s="278">
        <f>IF($C$1="APM",Monthly!O1592/FinSnapshot!F$60,IF($C$1="Yearly",Monthly!O1592*12/FinSnapshot!F$60,0))</f>
        <v>4.8691749635084202E-3</v>
      </c>
      <c r="H40" s="278">
        <f>IF($C$1="APM",Monthly!O1514/FinSnapshot!G$60,IF($C$1="Yearly",Monthly!O1514*12/FinSnapshot!G$60,0))</f>
        <v>5.6907628271424425E-3</v>
      </c>
      <c r="I40" s="278">
        <f>IF($C$1="APM",Monthly!O1437/FinSnapshot!H$60,IF($C$1="Yearly",Monthly!O1437*12/FinSnapshot!H$60,0))</f>
        <v>6.5803594076213143E-3</v>
      </c>
      <c r="J40" s="278">
        <f>IF($C$1="APM",Monthly!O1360/FinSnapshot!I$60,IF($C$1="Yearly",Monthly!O1360*12/FinSnapshot!I$60,0))</f>
        <v>8.2206274080211979E-3</v>
      </c>
      <c r="K40" s="278">
        <f>IF($C$1="APM",Monthly!O1283/FinSnapshot!J$60,IF($C$1="Yearly",Monthly!O1283*12/FinSnapshot!J$60,0))</f>
        <v>6.2028600777351136E-3</v>
      </c>
      <c r="L40" s="278">
        <f>IF($C$1="APM",Monthly!O1205/FinSnapshot!K$60,IF($C$1="Yearly",Monthly!O1205*12/FinSnapshot!K$60,0))</f>
        <v>5.4844380105469959E-3</v>
      </c>
      <c r="M40" s="278">
        <f>IF($C$1="APM",Monthly!O1128/FinSnapshot!L$60,IF($C$1="Yearly",Monthly!O1128*12/FinSnapshot!L$60,0))</f>
        <v>6.9053158419519443E-3</v>
      </c>
      <c r="N40" s="278">
        <f>IF($C$1="APM",Monthly!O1051/FinSnapshot!M$60,IF($C$1="Yearly",Monthly!O1051*12/FinSnapshot!M$60,0))</f>
        <v>4.9004705030763667E-3</v>
      </c>
      <c r="O40" s="278">
        <f>IF($C$1="APM",Monthly!O974/FinSnapshot!N$60,IF($C$1="Yearly",Monthly!O974*12/FinSnapshot!N$60,0))</f>
        <v>1.3310950588394885E-2</v>
      </c>
      <c r="P40" s="278">
        <f>IF($C$1="APM",Monthly!$O898/FinSnapshot!O$60,IF($C$1="Yearly",Monthly!$O898*12/FinSnapshot!O$60,0))</f>
        <v>5.5020110799119679E-3</v>
      </c>
      <c r="Q40" s="278">
        <f>IF($C$1="APM",Monthly!$O821/FinSnapshot!P$60,IF($C$1="Yearly",Monthly!$O821*12/FinSnapshot!P$60,0))</f>
        <v>4.045380875202593E-3</v>
      </c>
      <c r="R40" s="278">
        <f>IF($C$1="APM",Monthly!$O744/FinSnapshot!Q$60,IF($C$1="Yearly",Monthly!$O744*12/FinSnapshot!Q$60,0))</f>
        <v>1.218480944176514E-3</v>
      </c>
    </row>
    <row r="41" spans="1:18" ht="15">
      <c r="A41" s="188"/>
      <c r="B41" s="189" t="s">
        <v>416</v>
      </c>
      <c r="C41" s="278">
        <f>IF($C$1="APM",Monthly!O1903/FinSnapshot!$B$60,IF($C$1="Yearly",Monthly!O1903*12/FinSnapshot!$B$60,0))</f>
        <v>0</v>
      </c>
      <c r="D41" s="278">
        <f>IF($C$1="APM",Monthly!O1826/FinSnapshot!C$60,IF($C$1="Yearly",Monthly!O1826*12/FinSnapshot!C$60,0))</f>
        <v>0</v>
      </c>
      <c r="E41" s="278">
        <f>IF($C$1="APM",Monthly!O1749/FinSnapshot!D$60,IF($C$1="Yearly",Monthly!O1749*12/FinSnapshot!D$60,0))</f>
        <v>0</v>
      </c>
      <c r="F41" s="278">
        <f>IF($C$1="APM",Monthly!O1671/FinSnapshot!E$60,IF($C$1="Yearly",Monthly!O1671*12/FinSnapshot!E$60,0))</f>
        <v>0</v>
      </c>
      <c r="G41" s="278">
        <f>IF($C$1="APM",Monthly!O1593/FinSnapshot!F$60,IF($C$1="Yearly",Monthly!O1593*12/FinSnapshot!F$60,0))</f>
        <v>0</v>
      </c>
      <c r="H41" s="278">
        <f>IF($C$1="APM",Monthly!O1515/FinSnapshot!G$60,IF($C$1="Yearly",Monthly!O1515*12/FinSnapshot!G$60,0))</f>
        <v>0</v>
      </c>
      <c r="I41" s="278">
        <f>IF($C$1="APM",Monthly!O1438/FinSnapshot!H$60,IF($C$1="Yearly",Monthly!O1438*12/FinSnapshot!H$60,0))</f>
        <v>0</v>
      </c>
      <c r="J41" s="278">
        <f>IF($C$1="APM",Monthly!O1361/FinSnapshot!I$60,IF($C$1="Yearly",Monthly!O1361*12/FinSnapshot!I$60,0))</f>
        <v>0</v>
      </c>
      <c r="K41" s="278">
        <f>IF($C$1="APM",Monthly!O1284/FinSnapshot!J$60,IF($C$1="Yearly",Monthly!O1284*12/FinSnapshot!J$60,0))</f>
        <v>0</v>
      </c>
      <c r="L41" s="278">
        <f>IF($C$1="APM",Monthly!O1206/FinSnapshot!K$60,IF($C$1="Yearly",Monthly!O1206*12/FinSnapshot!K$60,0))</f>
        <v>0</v>
      </c>
      <c r="M41" s="278">
        <f>IF($C$1="APM",Monthly!O1129/FinSnapshot!L$60,IF($C$1="Yearly",Monthly!O1129*12/FinSnapshot!L$60,0))</f>
        <v>0</v>
      </c>
      <c r="N41" s="278">
        <f>IF($C$1="APM",Monthly!O1052/FinSnapshot!M$60,IF($C$1="Yearly",Monthly!O1052*12/FinSnapshot!M$60,0))</f>
        <v>0</v>
      </c>
      <c r="O41" s="278">
        <f>IF($C$1="APM",Monthly!O975/FinSnapshot!N$60,IF($C$1="Yearly",Monthly!O975*12/FinSnapshot!N$60,0))</f>
        <v>0</v>
      </c>
      <c r="P41" s="278">
        <f>IF($C$1="APM",Monthly!$O899/FinSnapshot!O$60,IF($C$1="Yearly",Monthly!$O899*12/FinSnapshot!O$60,0))</f>
        <v>0</v>
      </c>
      <c r="Q41" s="278">
        <f>IF($C$1="APM",Monthly!$O822/FinSnapshot!P$60,IF($C$1="Yearly",Monthly!$O822*12/FinSnapshot!P$60,0))</f>
        <v>6.5867098865478118E-4</v>
      </c>
      <c r="R41" s="278">
        <f>IF($C$1="APM",Monthly!$O745/FinSnapshot!Q$60,IF($C$1="Yearly",Monthly!$O745*12/FinSnapshot!Q$60,0))</f>
        <v>7.5423970444526219E-4</v>
      </c>
    </row>
    <row r="42" spans="1:18" ht="15">
      <c r="A42" s="188"/>
      <c r="B42" s="189" t="s">
        <v>417</v>
      </c>
      <c r="C42" s="278">
        <f>IF($C$1="APM",Monthly!O1904/FinSnapshot!$B$60,IF($C$1="Yearly",Monthly!O1904*12/FinSnapshot!$B$60,0))</f>
        <v>0</v>
      </c>
      <c r="D42" s="278">
        <f>IF($C$1="APM",Monthly!O1827/FinSnapshot!C$60,IF($C$1="Yearly",Monthly!O1827*12/FinSnapshot!C$60,0))</f>
        <v>0</v>
      </c>
      <c r="E42" s="278">
        <f>IF($C$1="APM",Monthly!O1750/FinSnapshot!D$60,IF($C$1="Yearly",Monthly!O1750*12/FinSnapshot!D$60,0))</f>
        <v>0</v>
      </c>
      <c r="F42" s="278">
        <f>IF($C$1="APM",Monthly!O1672/FinSnapshot!E$60,IF($C$1="Yearly",Monthly!O1672*12/FinSnapshot!E$60,0))</f>
        <v>0</v>
      </c>
      <c r="G42" s="278">
        <f>IF($C$1="APM",Monthly!O1594/FinSnapshot!F$60,IF($C$1="Yearly",Monthly!O1594*12/FinSnapshot!F$60,0))</f>
        <v>0</v>
      </c>
      <c r="H42" s="278">
        <f>IF($C$1="APM",Monthly!O1516/FinSnapshot!G$60,IF($C$1="Yearly",Monthly!O1516*12/FinSnapshot!G$60,0))</f>
        <v>0</v>
      </c>
      <c r="I42" s="278">
        <f>IF($C$1="APM",Monthly!O1439/FinSnapshot!H$60,IF($C$1="Yearly",Monthly!O1439*12/FinSnapshot!H$60,0))</f>
        <v>0</v>
      </c>
      <c r="J42" s="278">
        <f>IF($C$1="APM",Monthly!O1362/FinSnapshot!I$60,IF($C$1="Yearly",Monthly!O1362*12/FinSnapshot!I$60,0))</f>
        <v>0</v>
      </c>
      <c r="K42" s="278">
        <f>IF($C$1="APM",Monthly!O1285/FinSnapshot!J$60,IF($C$1="Yearly",Monthly!O1285*12/FinSnapshot!J$60,0))</f>
        <v>0</v>
      </c>
      <c r="L42" s="278">
        <f>IF($C$1="APM",Monthly!O1207/FinSnapshot!K$60,IF($C$1="Yearly",Monthly!O1207*12/FinSnapshot!K$60,0))</f>
        <v>0</v>
      </c>
      <c r="M42" s="278">
        <f>IF($C$1="APM",Monthly!O1130/FinSnapshot!L$60,IF($C$1="Yearly",Monthly!O1130*12/FinSnapshot!L$60,0))</f>
        <v>0</v>
      </c>
      <c r="N42" s="278">
        <f>IF($C$1="APM",Monthly!O1053/FinSnapshot!M$60,IF($C$1="Yearly",Monthly!O1053*12/FinSnapshot!M$60,0))</f>
        <v>0</v>
      </c>
      <c r="O42" s="278">
        <f>IF($C$1="APM",Monthly!O976/FinSnapshot!N$60,IF($C$1="Yearly",Monthly!O976*12/FinSnapshot!N$60,0))</f>
        <v>0</v>
      </c>
      <c r="P42" s="278">
        <f>IF($C$1="APM",Monthly!$O900/FinSnapshot!O$60,IF($C$1="Yearly",Monthly!$O900*12/FinSnapshot!O$60,0))</f>
        <v>0</v>
      </c>
      <c r="Q42" s="278">
        <f>IF($C$1="APM",Monthly!$O823/FinSnapshot!P$60,IF($C$1="Yearly",Monthly!$O823*12/FinSnapshot!P$60,0))</f>
        <v>7.4943273905996759E-4</v>
      </c>
      <c r="R42" s="278">
        <f>IF($C$1="APM",Monthly!$O746/FinSnapshot!Q$60,IF($C$1="Yearly",Monthly!$O746*12/FinSnapshot!Q$60,0))</f>
        <v>8.2856704204002955E-4</v>
      </c>
    </row>
    <row r="43" spans="1:18" ht="15">
      <c r="A43" s="188"/>
      <c r="B43" s="189" t="s">
        <v>410</v>
      </c>
      <c r="C43" s="278">
        <f>IF($C$1="APM",Monthly!O1905/FinSnapshot!$B$60,IF($C$1="Yearly",Monthly!O1905*12/FinSnapshot!$B$60,0))</f>
        <v>0</v>
      </c>
      <c r="D43" s="278">
        <f>IF($C$1="APM",Monthly!O1828/FinSnapshot!C$60,IF($C$1="Yearly",Monthly!O1828*12/FinSnapshot!C$60,0))</f>
        <v>0</v>
      </c>
      <c r="E43" s="278">
        <f>IF($C$1="APM",Monthly!O1751/FinSnapshot!D$60,IF($C$1="Yearly",Monthly!O1751*12/FinSnapshot!D$60,0))</f>
        <v>5.3717453039997263E-3</v>
      </c>
      <c r="F43" s="278">
        <f>IF($C$1="APM",Monthly!O1673/FinSnapshot!E$60,IF($C$1="Yearly",Monthly!O1673*12/FinSnapshot!E$60,0))</f>
        <v>6.8982754311422145E-3</v>
      </c>
      <c r="G43" s="278">
        <f>IF($C$1="APM",Monthly!O1595/FinSnapshot!F$60,IF($C$1="Yearly",Monthly!O1595*12/FinSnapshot!F$60,0))</f>
        <v>5.6915971329600662E-3</v>
      </c>
      <c r="H43" s="278">
        <f>IF($C$1="APM",Monthly!O1517/FinSnapshot!G$60,IF($C$1="Yearly",Monthly!O1517*12/FinSnapshot!G$60,0))</f>
        <v>5.9454970629142616E-3</v>
      </c>
      <c r="I43" s="278">
        <f>IF($C$1="APM",Monthly!O1440/FinSnapshot!H$60,IF($C$1="Yearly",Monthly!O1440*12/FinSnapshot!H$60,0))</f>
        <v>5.6389143626465821E-3</v>
      </c>
      <c r="J43" s="278">
        <f>IF($C$1="APM",Monthly!O1363/FinSnapshot!I$60,IF($C$1="Yearly",Monthly!O1363*12/FinSnapshot!I$60,0))</f>
        <v>4.8125313072014753E-3</v>
      </c>
      <c r="K43" s="278">
        <f>IF($C$1="APM",Monthly!O1286/FinSnapshot!J$60,IF($C$1="Yearly",Monthly!O1286*12/FinSnapshot!J$60,0))</f>
        <v>4.0768970228747649E-3</v>
      </c>
      <c r="L43" s="278">
        <f>IF($C$1="APM",Monthly!O1208/FinSnapshot!K$60,IF($C$1="Yearly",Monthly!O1208*12/FinSnapshot!K$60,0))</f>
        <v>3.6232033915830834E-3</v>
      </c>
      <c r="M43" s="278">
        <f>IF($C$1="APM",Monthly!O1131/FinSnapshot!L$60,IF($C$1="Yearly",Monthly!O1131*12/FinSnapshot!L$60,0))</f>
        <v>4.1760347220864535E-3</v>
      </c>
      <c r="N43" s="278">
        <f>IF($C$1="APM",Monthly!O1054/FinSnapshot!M$60,IF($C$1="Yearly",Monthly!O1054*12/FinSnapshot!M$60,0))</f>
        <v>4.2164314151284833E-3</v>
      </c>
      <c r="O43" s="278">
        <f>IF($C$1="APM",Monthly!O977/FinSnapshot!N$60,IF($C$1="Yearly",Monthly!O977*12/FinSnapshot!N$60,0))</f>
        <v>2.4146233933597856E-3</v>
      </c>
      <c r="P43" s="278">
        <f>IF($C$1="APM",Monthly!$O901/FinSnapshot!O$60,IF($C$1="Yearly",Monthly!$O901*12/FinSnapshot!O$60,0))</f>
        <v>2.6532244411883177E-3</v>
      </c>
      <c r="Q43" s="278">
        <f>IF($C$1="APM",Monthly!$O824/FinSnapshot!P$60,IF($C$1="Yearly",Monthly!$O824*12/FinSnapshot!P$60,0))</f>
        <v>1.752998379254457E-3</v>
      </c>
      <c r="R43" s="278">
        <f>IF($C$1="APM",Monthly!$O747/FinSnapshot!Q$60,IF($C$1="Yearly",Monthly!$O747*12/FinSnapshot!Q$60,0))</f>
        <v>4.5205643028948671E-4</v>
      </c>
    </row>
    <row r="44" spans="1:18" ht="15">
      <c r="A44" s="188"/>
      <c r="B44" s="189" t="s">
        <v>418</v>
      </c>
      <c r="C44" s="278">
        <f>IF($C$1="APM",Monthly!O1906/FinSnapshot!$B$60,IF($C$1="Yearly",Monthly!O1906*12/FinSnapshot!$B$60,0))</f>
        <v>7.2644314886829431E-3</v>
      </c>
      <c r="D44" s="278">
        <f>IF($C$1="APM",Monthly!O1829/FinSnapshot!C$60,IF($C$1="Yearly",Monthly!O1829*12/FinSnapshot!C$60,0))</f>
        <v>5.8436499004415202E-3</v>
      </c>
      <c r="E44" s="278">
        <f>IF($C$1="APM",Monthly!O1752/FinSnapshot!D$60,IF($C$1="Yearly",Monthly!O1752*12/FinSnapshot!D$60,0))</f>
        <v>5.8507544393882373E-3</v>
      </c>
      <c r="F44" s="278">
        <f>IF($C$1="APM",Monthly!O1674/FinSnapshot!E$60,IF($C$1="Yearly",Monthly!O1674*12/FinSnapshot!E$60,0))</f>
        <v>7.8730317420644836E-3</v>
      </c>
      <c r="G44" s="278">
        <f>IF($C$1="APM",Monthly!O1596/FinSnapshot!F$60,IF($C$1="Yearly",Monthly!O1596*12/FinSnapshot!F$60,0))</f>
        <v>7.162153329992811E-3</v>
      </c>
      <c r="H44" s="278">
        <f>IF($C$1="APM",Monthly!O1518/FinSnapshot!G$60,IF($C$1="Yearly",Monthly!O1518*12/FinSnapshot!G$60,0))</f>
        <v>6.6995104007988469E-3</v>
      </c>
      <c r="I44" s="278">
        <f>IF($C$1="APM",Monthly!O1441/FinSnapshot!H$60,IF($C$1="Yearly",Monthly!O1441*12/FinSnapshot!H$60,0))</f>
        <v>7.7657021326413139E-3</v>
      </c>
      <c r="J44" s="278">
        <f>IF($C$1="APM",Monthly!O1364/FinSnapshot!I$60,IF($C$1="Yearly",Monthly!O1364*12/FinSnapshot!I$60,0))</f>
        <v>4.2601201260246526E-3</v>
      </c>
      <c r="K44" s="278">
        <f>IF($C$1="APM",Monthly!O1287/FinSnapshot!J$60,IF($C$1="Yearly",Monthly!O1287*12/FinSnapshot!J$60,0))</f>
        <v>3.0736815250992991E-3</v>
      </c>
      <c r="L44" s="278">
        <f>IF($C$1="APM",Monthly!O1209/FinSnapshot!K$60,IF($C$1="Yearly",Monthly!O1209*12/FinSnapshot!K$60,0))</f>
        <v>3.0193361596525694E-3</v>
      </c>
      <c r="M44" s="278">
        <f>IF($C$1="APM",Monthly!O1132/FinSnapshot!L$60,IF($C$1="Yearly",Monthly!O1132*12/FinSnapshot!L$60,0))</f>
        <v>3.5386811081350566E-3</v>
      </c>
      <c r="N44" s="278">
        <f>IF($C$1="APM",Monthly!O1055/FinSnapshot!M$60,IF($C$1="Yearly",Monthly!O1055*12/FinSnapshot!M$60,0))</f>
        <v>2.7072023163228374E-3</v>
      </c>
      <c r="O44" s="278">
        <f>IF($C$1="APM",Monthly!O978/FinSnapshot!N$60,IF($C$1="Yearly",Monthly!O978*12/FinSnapshot!N$60,0))</f>
        <v>9.2244039746328891E-4</v>
      </c>
      <c r="P44" s="278">
        <f>IF($C$1="APM",Monthly!$O902/FinSnapshot!O$60,IF($C$1="Yearly",Monthly!$O902*12/FinSnapshot!O$60,0))</f>
        <v>1.7513032615104408E-3</v>
      </c>
      <c r="Q44" s="278">
        <f>IF($C$1="APM",Monthly!$O825/FinSnapshot!P$60,IF($C$1="Yearly",Monthly!$O825*12/FinSnapshot!P$60,0))</f>
        <v>1.8930307941653159E-3</v>
      </c>
      <c r="R44" s="278">
        <f>IF($C$1="APM",Monthly!$O748/FinSnapshot!Q$60,IF($C$1="Yearly",Monthly!$O748*12/FinSnapshot!Q$60,0))</f>
        <v>8.6268450847697196E-4</v>
      </c>
    </row>
    <row r="45" spans="1:18" ht="15">
      <c r="A45" s="188"/>
      <c r="B45" s="189" t="s">
        <v>419</v>
      </c>
      <c r="C45" s="278">
        <f>IF($C$1="APM",Monthly!O1907/FinSnapshot!$B$60,IF($C$1="Yearly",Monthly!O1907*12/FinSnapshot!$B$60,0))</f>
        <v>3.091247441992742E-3</v>
      </c>
      <c r="D45" s="278">
        <f>IF($C$1="APM",Monthly!O1830/FinSnapshot!C$60,IF($C$1="Yearly",Monthly!O1830*12/FinSnapshot!C$60,0))</f>
        <v>2.8857530372550719E-3</v>
      </c>
      <c r="E45" s="278">
        <f>IF($C$1="APM",Monthly!O1753/FinSnapshot!D$60,IF($C$1="Yearly",Monthly!O1753*12/FinSnapshot!D$60,0))</f>
        <v>2.3334587881068875E-3</v>
      </c>
      <c r="F45" s="278">
        <f>IF($C$1="APM",Monthly!O1675/FinSnapshot!E$60,IF($C$1="Yearly",Monthly!O1675*12/FinSnapshot!E$60,0))</f>
        <v>2.3619095226193451E-3</v>
      </c>
      <c r="G45" s="278">
        <f>IF($C$1="APM",Monthly!O1597/FinSnapshot!F$60,IF($C$1="Yearly",Monthly!O1597*12/FinSnapshot!F$60,0))</f>
        <v>2.1677087645149344E-3</v>
      </c>
      <c r="H45" s="278">
        <f>IF($C$1="APM",Monthly!O1519/FinSnapshot!G$60,IF($C$1="Yearly",Monthly!O1519*12/FinSnapshot!G$60,0))</f>
        <v>2.1805250582067727E-3</v>
      </c>
      <c r="I45" s="278">
        <f>IF($C$1="APM",Monthly!O1442/FinSnapshot!H$60,IF($C$1="Yearly",Monthly!O1442*12/FinSnapshot!H$60,0))</f>
        <v>1.512165616280658E-3</v>
      </c>
      <c r="J45" s="278">
        <f>IF($C$1="APM",Monthly!O1365/FinSnapshot!I$60,IF($C$1="Yearly",Monthly!O1365*12/FinSnapshot!I$60,0))</f>
        <v>1.7649069093530704E-3</v>
      </c>
      <c r="K45" s="278">
        <f>IF($C$1="APM",Monthly!O1288/FinSnapshot!J$60,IF($C$1="Yearly",Monthly!O1288*12/FinSnapshot!J$60,0))</f>
        <v>1.7929808896412578E-3</v>
      </c>
      <c r="L45" s="278">
        <f>IF($C$1="APM",Monthly!O1210/FinSnapshot!K$60,IF($C$1="Yearly",Monthly!O1210*12/FinSnapshot!K$60,0))</f>
        <v>1.7371523110329852E-3</v>
      </c>
      <c r="M45" s="278">
        <f>IF($C$1="APM",Monthly!O1133/FinSnapshot!L$60,IF($C$1="Yearly",Monthly!O1133*12/FinSnapshot!L$60,0))</f>
        <v>1.6735420047312754E-3</v>
      </c>
      <c r="N45" s="278">
        <f>IF($C$1="APM",Monthly!O1056/FinSnapshot!M$60,IF($C$1="Yearly",Monthly!O1056*12/FinSnapshot!M$60,0))</f>
        <v>8.8671733622873688E-4</v>
      </c>
      <c r="O45" s="278">
        <f>IF($C$1="APM",Monthly!O979/FinSnapshot!N$60,IF($C$1="Yearly",Monthly!O979*12/FinSnapshot!N$60,0))</f>
        <v>1.3599213212602164E-3</v>
      </c>
      <c r="P45" s="278">
        <f>IF($C$1="APM",Monthly!$O903/FinSnapshot!O$60,IF($C$1="Yearly",Monthly!$O903*12/FinSnapshot!O$60,0))</f>
        <v>1.4010426092083526E-4</v>
      </c>
      <c r="Q45" s="278">
        <f>IF($C$1="APM",Monthly!$O826/FinSnapshot!P$60,IF($C$1="Yearly",Monthly!$O826*12/FinSnapshot!P$60,0))</f>
        <v>1.4003241491085898E-4</v>
      </c>
      <c r="R45" s="278">
        <f>IF($C$1="APM",Monthly!$O749/FinSnapshot!Q$60,IF($C$1="Yearly",Monthly!$O749*12/FinSnapshot!Q$60,0))</f>
        <v>0</v>
      </c>
    </row>
    <row r="46" spans="1:18" ht="15">
      <c r="A46" s="188"/>
      <c r="B46" s="189" t="s">
        <v>460</v>
      </c>
      <c r="C46" s="278">
        <f>IF($C$1="APM",Monthly!O1908/FinSnapshot!$B$60,IF($C$1="Yearly",Monthly!O1908*12/FinSnapshot!$B$60,0))</f>
        <v>2.8456650063233186E-2</v>
      </c>
      <c r="D46" s="278">
        <f>IF($C$1="APM",Monthly!O1831/FinSnapshot!C$60,IF($C$1="Yearly",Monthly!O1831*12/FinSnapshot!C$60,0))</f>
        <v>1.6225146451966641E-2</v>
      </c>
      <c r="E46" s="278">
        <f>IF($C$1="APM",Monthly!O1754/FinSnapshot!D$60,IF($C$1="Yearly",Monthly!O1754*12/FinSnapshot!D$60,0))</f>
        <v>4.8243062921271423E-3</v>
      </c>
      <c r="F46" s="278">
        <f>IF($C$1="APM",Monthly!O1676/FinSnapshot!E$60,IF($C$1="Yearly",Monthly!O1676*12/FinSnapshot!E$60,0))</f>
        <v>5.7235691077230696E-3</v>
      </c>
      <c r="G46" s="278">
        <f>IF($C$1="APM",Monthly!O1598/FinSnapshot!F$60,IF($C$1="Yearly",Monthly!O1598*12/FinSnapshot!F$60,0))</f>
        <v>3.7417485457833161E-3</v>
      </c>
      <c r="H46" s="278">
        <f>IF($C$1="APM",Monthly!O1520/FinSnapshot!G$60,IF($C$1="Yearly",Monthly!O1520*12/FinSnapshot!G$60,0))</f>
        <v>1.0647891055262045E-3</v>
      </c>
      <c r="I46" s="278">
        <f>IF($C$1="APM",Monthly!O1443/FinSnapshot!H$60,IF($C$1="Yearly",Monthly!O1443*12/FinSnapshot!H$60,0))</f>
        <v>1.1853427250199996E-3</v>
      </c>
      <c r="J46" s="278">
        <f>IF($C$1="APM",Monthly!O1366/FinSnapshot!I$60,IF($C$1="Yearly",Monthly!O1366*12/FinSnapshot!I$60,0))</f>
        <v>8.1925387038935622E-4</v>
      </c>
      <c r="K46" s="278">
        <f>IF($C$1="APM",Monthly!O1289/FinSnapshot!J$60,IF($C$1="Yearly",Monthly!O1289*12/FinSnapshot!J$60,0))</f>
        <v>2.2198811014606049E-4</v>
      </c>
      <c r="L46" s="278">
        <f>IF($C$1="APM",Monthly!O1211/FinSnapshot!K$60,IF($C$1="Yearly",Monthly!O1211*12/FinSnapshot!K$60,0))</f>
        <v>8.2721538620618341E-6</v>
      </c>
      <c r="M46" s="278">
        <f>IF($C$1="APM",Monthly!O1134/FinSnapshot!L$60,IF($C$1="Yearly",Monthly!O1134*12/FinSnapshot!L$60,0))</f>
        <v>0</v>
      </c>
      <c r="N46" s="278">
        <f>IF($C$1="APM",Monthly!O1057/FinSnapshot!M$60,IF($C$1="Yearly",Monthly!O1057*12/FinSnapshot!M$60,0))</f>
        <v>3.2573289902280132E-4</v>
      </c>
      <c r="O46" s="278">
        <f>IF($C$1="APM",Monthly!O980/FinSnapshot!N$60,IF($C$1="Yearly",Monthly!O980*12/FinSnapshot!N$60,0))</f>
        <v>5.3922067351714318E-4</v>
      </c>
      <c r="P46" s="278">
        <f>IF($C$1="APM",Monthly!$O904/FinSnapshot!O$60,IF($C$1="Yearly",Monthly!$O904*12/FinSnapshot!O$60,0))</f>
        <v>5.5457936614497288E-4</v>
      </c>
      <c r="Q46" s="278">
        <f>IF($C$1="APM",Monthly!$O827/FinSnapshot!P$60,IF($C$1="Yearly",Monthly!$O827*12/FinSnapshot!P$60,0))</f>
        <v>8.5575364667747164E-5</v>
      </c>
      <c r="R46" s="278">
        <f>IF($C$1="APM",Monthly!$O750/FinSnapshot!Q$60,IF($C$1="Yearly",Monthly!$O750*12/FinSnapshot!Q$60,0))</f>
        <v>3.6554428325295421E-5</v>
      </c>
    </row>
    <row r="47" spans="1:18" ht="15">
      <c r="A47" s="188"/>
      <c r="B47" s="189" t="s">
        <v>421</v>
      </c>
      <c r="C47" s="278">
        <f>IF($C$1="APM",Monthly!O1909/FinSnapshot!$B$60,IF($C$1="Yearly",Monthly!O1909*12/FinSnapshot!$B$60,0))</f>
        <v>1.2004344233071814E-2</v>
      </c>
      <c r="D47" s="278">
        <f>IF($C$1="APM",Monthly!O1832/FinSnapshot!C$60,IF($C$1="Yearly",Monthly!O1832*12/FinSnapshot!C$60,0))</f>
        <v>6.9907367327504116E-3</v>
      </c>
      <c r="E47" s="278">
        <f>IF($C$1="APM",Monthly!O1755/FinSnapshot!D$60,IF($C$1="Yearly",Monthly!O1755*12/FinSnapshot!D$60,0))</f>
        <v>6.4324083895028568E-3</v>
      </c>
      <c r="F47" s="278">
        <f>IF($C$1="APM",Monthly!O1677/FinSnapshot!E$60,IF($C$1="Yearly",Monthly!O1677*12/FinSnapshot!E$60,0))</f>
        <v>6.5483629092726817E-3</v>
      </c>
      <c r="G47" s="278">
        <f>IF($C$1="APM",Monthly!O1599/FinSnapshot!F$60,IF($C$1="Yearly",Monthly!O1599*12/FinSnapshot!F$60,0))</f>
        <v>4.4007755822313239E-3</v>
      </c>
      <c r="H47" s="278">
        <f>IF($C$1="APM",Monthly!O1521/FinSnapshot!G$60,IF($C$1="Yearly",Monthly!O1521*12/FinSnapshot!G$60,0))</f>
        <v>4.1929255208041447E-3</v>
      </c>
      <c r="I47" s="278">
        <f>IF($C$1="APM",Monthly!O1444/FinSnapshot!H$60,IF($C$1="Yearly",Monthly!O1444*12/FinSnapshot!H$60,0))</f>
        <v>4.0633353495541551E-3</v>
      </c>
      <c r="J47" s="278">
        <f>IF($C$1="APM",Monthly!O1367/FinSnapshot!I$60,IF($C$1="Yearly",Monthly!O1367*12/FinSnapshot!I$60,0))</f>
        <v>6.7600147933841743E-3</v>
      </c>
      <c r="K47" s="278">
        <f>IF($C$1="APM",Monthly!O1290/FinSnapshot!J$60,IF($C$1="Yearly",Monthly!O1290*12/FinSnapshot!J$60,0))</f>
        <v>5.6137377854244145E-3</v>
      </c>
      <c r="L47" s="278">
        <f>IF($C$1="APM",Monthly!O1212/FinSnapshot!K$60,IF($C$1="Yearly",Monthly!O1212*12/FinSnapshot!K$60,0))</f>
        <v>5.4348050873746249E-3</v>
      </c>
      <c r="M47" s="278">
        <f>IF($C$1="APM",Monthly!O1135/FinSnapshot!L$60,IF($C$1="Yearly",Monthly!O1135*12/FinSnapshot!L$60,0))</f>
        <v>3.3353535748499481E-3</v>
      </c>
      <c r="N47" s="278">
        <f>IF($C$1="APM",Monthly!O1058/FinSnapshot!M$60,IF($C$1="Yearly",Monthly!O1058*12/FinSnapshot!M$60,0))</f>
        <v>3.0618892508143323E-3</v>
      </c>
      <c r="O47" s="278">
        <f>IF($C$1="APM",Monthly!O981/FinSnapshot!N$60,IF($C$1="Yearly",Monthly!O981*12/FinSnapshot!N$60,0))</f>
        <v>2.8487129921660393E-4</v>
      </c>
      <c r="P47" s="278">
        <f>IF($C$1="APM",Monthly!$O905/FinSnapshot!O$60,IF($C$1="Yearly",Monthly!$O905*12/FinSnapshot!O$60,0))</f>
        <v>0</v>
      </c>
      <c r="Q47" s="278">
        <f>IF($C$1="APM",Monthly!$O828/FinSnapshot!P$60,IF($C$1="Yearly",Monthly!$O828*12/FinSnapshot!P$60,0))</f>
        <v>0</v>
      </c>
      <c r="R47" s="278">
        <f>IF($C$1="APM",Monthly!$O751/FinSnapshot!Q$60,IF($C$1="Yearly",Monthly!$O751*12/FinSnapshot!Q$60,0))</f>
        <v>1.0698262689869792E-3</v>
      </c>
    </row>
    <row r="48" spans="1:18" ht="14.1" customHeight="1">
      <c r="A48" s="2331" t="s">
        <v>422</v>
      </c>
      <c r="B48" s="2332"/>
      <c r="C48" s="2327">
        <f t="shared" ref="C48:N48" si="8">SUM(C50:C56)</f>
        <v>0.15220958932434261</v>
      </c>
      <c r="D48" s="2327">
        <f t="shared" si="8"/>
        <v>7.9964216662338022E-2</v>
      </c>
      <c r="E48" s="2327">
        <f t="shared" si="8"/>
        <v>7.2775173640811597E-2</v>
      </c>
      <c r="F48" s="2327">
        <f t="shared" si="8"/>
        <v>3.739065233691577E-2</v>
      </c>
      <c r="G48" s="2327">
        <f t="shared" si="8"/>
        <v>4.3751770113940873E-2</v>
      </c>
      <c r="H48" s="2327">
        <f t="shared" si="8"/>
        <v>4.6595986407381176E-2</v>
      </c>
      <c r="I48" s="2327">
        <f t="shared" si="8"/>
        <v>3.5267604534545666E-2</v>
      </c>
      <c r="J48" s="2327">
        <f t="shared" si="8"/>
        <v>2.3585148565837582E-2</v>
      </c>
      <c r="K48" s="2327">
        <f t="shared" si="8"/>
        <v>5.9680649612344719E-2</v>
      </c>
      <c r="L48" s="2327">
        <f t="shared" si="8"/>
        <v>4.568296970323648E-2</v>
      </c>
      <c r="M48" s="2327">
        <f t="shared" si="8"/>
        <v>4.3281393575631981E-2</v>
      </c>
      <c r="N48" s="2327">
        <f t="shared" si="8"/>
        <v>5.6731813246471224E-2</v>
      </c>
      <c r="O48" s="2327">
        <f>SUM(O50:O56)</f>
        <v>5.665886661918812E-2</v>
      </c>
      <c r="P48" s="2327">
        <f>SUM(P50:P56)</f>
        <v>5.1100110332105472E-2</v>
      </c>
      <c r="Q48" s="2327">
        <f>SUM(Q50:Q56)</f>
        <v>4.8941329011345222E-2</v>
      </c>
      <c r="R48" s="2327">
        <f>SUM(R50:R56)</f>
        <v>1.3131569135390292E-2</v>
      </c>
    </row>
    <row r="49" spans="1:18" ht="14.1" customHeight="1">
      <c r="A49" s="2333"/>
      <c r="B49" s="2334"/>
      <c r="C49" s="2328"/>
      <c r="D49" s="2328"/>
      <c r="E49" s="2328"/>
      <c r="F49" s="2328"/>
      <c r="G49" s="2328"/>
      <c r="H49" s="2328"/>
      <c r="I49" s="2328"/>
      <c r="J49" s="2328"/>
      <c r="K49" s="2328"/>
      <c r="L49" s="2328"/>
      <c r="M49" s="2328"/>
      <c r="N49" s="2328"/>
      <c r="O49" s="2328"/>
      <c r="P49" s="2328"/>
      <c r="Q49" s="2328"/>
      <c r="R49" s="2328"/>
    </row>
    <row r="50" spans="1:18" ht="15">
      <c r="A50" s="2329"/>
      <c r="B50" s="155" t="s">
        <v>280</v>
      </c>
      <c r="C50" s="278">
        <f>IF($C$1="APM",Monthly!O1912/FinSnapshot!$B$60,IF($C$1="Yearly",Monthly!O1912*12/FinSnapshot!$B$60,0))</f>
        <v>6.3628176514350598E-2</v>
      </c>
      <c r="D50" s="278">
        <f>IF($C$1="APM",Monthly!O1835/FinSnapshot!C$60,IF($C$1="Yearly",Monthly!O1835*12/FinSnapshot!C$60,0))</f>
        <v>1.9009898132917785E-2</v>
      </c>
      <c r="E50" s="278">
        <f>IF($C$1="APM",Monthly!O1758/FinSnapshot!D$60,IF($C$1="Yearly",Monthly!O1758*12/FinSnapshot!D$60,0))</f>
        <v>1.7271700824580013E-2</v>
      </c>
      <c r="F50" s="278">
        <f>IF($C$1="APM",Monthly!O1680/FinSnapshot!E$60,IF($C$1="Yearly",Monthly!O1680*12/FinSnapshot!E$60,0))</f>
        <v>1.1415896025993501E-2</v>
      </c>
      <c r="G50" s="278">
        <f>IF($C$1="APM",Monthly!O1602/FinSnapshot!F$60,IF($C$1="Yearly",Monthly!O1602*12/FinSnapshot!F$60,0))</f>
        <v>8.1370776235811862E-3</v>
      </c>
      <c r="H50" s="278">
        <f>IF($C$1="APM",Monthly!O1524/FinSnapshot!G$60,IF($C$1="Yearly",Monthly!O1524*12/FinSnapshot!G$60,0))</f>
        <v>7.0102861684404657E-3</v>
      </c>
      <c r="I50" s="278">
        <f>IF($C$1="APM",Monthly!O1447/FinSnapshot!H$60,IF($C$1="Yearly",Monthly!O1447*12/FinSnapshot!H$60,0))</f>
        <v>7.799847807847652E-3</v>
      </c>
      <c r="J50" s="278">
        <f>IF($C$1="APM",Monthly!O1370/FinSnapshot!I$60,IF($C$1="Yearly",Monthly!O1370*12/FinSnapshot!I$60,0))</f>
        <v>1.0935868807025921E-2</v>
      </c>
      <c r="K50" s="278">
        <f>IF($C$1="APM",Monthly!O1293/FinSnapshot!J$60,IF($C$1="Yearly",Monthly!O1293*12/FinSnapshot!J$60,0))</f>
        <v>2.1575536705349802E-2</v>
      </c>
      <c r="L50" s="278">
        <f>IF($C$1="APM",Monthly!O1215/FinSnapshot!K$60,IF($C$1="Yearly",Monthly!O1215*12/FinSnapshot!K$60,0))</f>
        <v>1.3520835487540067E-2</v>
      </c>
      <c r="M50" s="278">
        <f>IF($C$1="APM",Monthly!O1138/FinSnapshot!L$60,IF($C$1="Yearly",Monthly!O1138*12/FinSnapshot!L$60,0))</f>
        <v>1.4248567909441045E-2</v>
      </c>
      <c r="N50" s="278">
        <f>IF($C$1="APM",Monthly!O1061/FinSnapshot!M$60,IF($C$1="Yearly",Monthly!O1061*12/FinSnapshot!M$60,0))</f>
        <v>1.5323923271806008E-2</v>
      </c>
      <c r="O50" s="278">
        <f>IF($C$1="APM",Monthly!O984/FinSnapshot!N$60,IF($C$1="Yearly",Monthly!O984*12/FinSnapshot!N$60,0))</f>
        <v>1.0180757622002917E-2</v>
      </c>
      <c r="P50" s="278">
        <f>IF($C$1="APM",Monthly!$O908/FinSnapshot!O$60,IF($C$1="Yearly",Monthly!$O908*12/FinSnapshot!O$60,0))</f>
        <v>1.56274627702115E-2</v>
      </c>
      <c r="Q50" s="278">
        <f>IF($C$1="APM",Monthly!$O831/FinSnapshot!P$60,IF($C$1="Yearly",Monthly!$O831*12/FinSnapshot!P$60,0))</f>
        <v>6.2366288492706643E-3</v>
      </c>
      <c r="R50" s="278">
        <f>IF($C$1="APM",Monthly!$O754/FinSnapshot!Q$60,IF($C$1="Yearly",Monthly!$O754*12/FinSnapshot!Q$60,0))</f>
        <v>2.7379266815646271E-3</v>
      </c>
    </row>
    <row r="51" spans="1:18" ht="15">
      <c r="A51" s="2335"/>
      <c r="B51" s="155" t="s">
        <v>423</v>
      </c>
      <c r="C51" s="278">
        <f>IF($C$1="APM",Monthly!O1913/FinSnapshot!$B$60,IF($C$1="Yearly",Monthly!O1913*12/FinSnapshot!$B$60,0))</f>
        <v>2.8903163582632136E-2</v>
      </c>
      <c r="D51" s="278">
        <f>IF($C$1="APM",Monthly!O1836/FinSnapshot!C$60,IF($C$1="Yearly",Monthly!O1836*12/FinSnapshot!C$60,0))</f>
        <v>1.5799497878971516E-2</v>
      </c>
      <c r="E51" s="278">
        <f>IF($C$1="APM",Monthly!O1759/FinSnapshot!D$60,IF($C$1="Yearly",Monthly!O1759*12/FinSnapshot!D$60,0))</f>
        <v>3.5788825401170152E-3</v>
      </c>
      <c r="F51" s="278">
        <f>IF($C$1="APM",Monthly!O1681/FinSnapshot!E$60,IF($C$1="Yearly",Monthly!O1681*12/FinSnapshot!E$60,0))</f>
        <v>9.3726568357910527E-3</v>
      </c>
      <c r="G51" s="278">
        <f>IF($C$1="APM",Monthly!O1603/FinSnapshot!F$60,IF($C$1="Yearly",Monthly!O1603*12/FinSnapshot!F$60,0))</f>
        <v>5.2286442561164242E-3</v>
      </c>
      <c r="H51" s="278">
        <f>IF($C$1="APM",Monthly!O1525/FinSnapshot!G$60,IF($C$1="Yearly",Monthly!O1525*12/FinSnapshot!G$60,0))</f>
        <v>1.3495819811190985E-2</v>
      </c>
      <c r="I51" s="278">
        <f>IF($C$1="APM",Monthly!O1448/FinSnapshot!H$60,IF($C$1="Yearly",Monthly!O1448*12/FinSnapshot!H$60,0))</f>
        <v>4.146260560769546E-3</v>
      </c>
      <c r="J51" s="278">
        <f>IF($C$1="APM",Monthly!O1371/FinSnapshot!I$60,IF($C$1="Yearly",Monthly!O1371*12/FinSnapshot!I$60,0))</f>
        <v>3.6983460434719512E-3</v>
      </c>
      <c r="K51" s="278">
        <f>IF($C$1="APM",Monthly!O1294/FinSnapshot!J$60,IF($C$1="Yearly",Monthly!O1294*12/FinSnapshot!J$60,0))</f>
        <v>6.0918660226620827E-3</v>
      </c>
      <c r="L51" s="278">
        <f>IF($C$1="APM",Monthly!O1216/FinSnapshot!K$60,IF($C$1="Yearly",Monthly!O1216*12/FinSnapshot!K$60,0))</f>
        <v>5.5464791645124601E-3</v>
      </c>
      <c r="M51" s="278">
        <f>IF($C$1="APM",Monthly!O1139/FinSnapshot!L$60,IF($C$1="Yearly",Monthly!O1139*12/FinSnapshot!L$60,0))</f>
        <v>9.9434984066159651E-3</v>
      </c>
      <c r="N51" s="278">
        <f>IF($C$1="APM",Monthly!O1062/FinSnapshot!M$60,IF($C$1="Yearly",Monthly!O1062*12/FinSnapshot!M$60,0))</f>
        <v>8.2555193630112194E-3</v>
      </c>
      <c r="O51" s="278">
        <f>IF($C$1="APM",Monthly!O985/FinSnapshot!N$60,IF($C$1="Yearly",Monthly!O985*12/FinSnapshot!N$60,0))</f>
        <v>9.2413605995862579E-3</v>
      </c>
      <c r="P51" s="278">
        <f>IF($C$1="APM",Monthly!$O909/FinSnapshot!O$60,IF($C$1="Yearly",Monthly!$O909*12/FinSnapshot!O$60,0))</f>
        <v>7.9830240337184256E-3</v>
      </c>
      <c r="Q51" s="278">
        <f>IF($C$1="APM",Monthly!$O832/FinSnapshot!P$60,IF($C$1="Yearly",Monthly!$O832*12/FinSnapshot!P$60,0))</f>
        <v>3.2181523500810372E-3</v>
      </c>
      <c r="R51" s="278">
        <f>IF($C$1="APM",Monthly!$O755/FinSnapshot!Q$60,IF($C$1="Yearly",Monthly!$O755*12/FinSnapshot!Q$60,0))</f>
        <v>3.1071264076501107E-3</v>
      </c>
    </row>
    <row r="52" spans="1:18" ht="15">
      <c r="A52" s="2335"/>
      <c r="B52" s="155" t="s">
        <v>424</v>
      </c>
      <c r="C52" s="278">
        <f>IF($C$1="APM",Monthly!O1914/FinSnapshot!$B$60,IF($C$1="Yearly",Monthly!O1914*12/FinSnapshot!$B$60,0))</f>
        <v>2.1810468062948788E-2</v>
      </c>
      <c r="D52" s="278">
        <f>IF($C$1="APM",Monthly!O1837/FinSnapshot!C$60,IF($C$1="Yearly",Monthly!O1837*12/FinSnapshot!C$60,0))</f>
        <v>1.3707326926961591E-3</v>
      </c>
      <c r="E52" s="278">
        <f>IF($C$1="APM",Monthly!O1760/FinSnapshot!D$60,IF($C$1="Yearly",Monthly!O1760*12/FinSnapshot!D$60,0))</f>
        <v>2.7967290519040615E-2</v>
      </c>
      <c r="F52" s="278">
        <f>IF($C$1="APM",Monthly!O1682/FinSnapshot!E$60,IF($C$1="Yearly",Monthly!O1682*12/FinSnapshot!E$60,0))</f>
        <v>1.562109472631842E-4</v>
      </c>
      <c r="G52" s="278">
        <f>IF($C$1="APM",Monthly!O1604/FinSnapshot!F$60,IF($C$1="Yearly",Monthly!O1604*12/FinSnapshot!F$60,0))</f>
        <v>0</v>
      </c>
      <c r="H52" s="278">
        <f>IF($C$1="APM",Monthly!O1526/FinSnapshot!G$60,IF($C$1="Yearly",Monthly!O1526*12/FinSnapshot!G$60,0))</f>
        <v>4.432375702429655E-4</v>
      </c>
      <c r="I52" s="278">
        <f>IF($C$1="APM",Monthly!O1449/FinSnapshot!H$60,IF($C$1="Yearly",Monthly!O1449*12/FinSnapshot!H$60,0))</f>
        <v>4.175528282374978E-3</v>
      </c>
      <c r="J52" s="278">
        <f>IF($C$1="APM",Monthly!O1372/FinSnapshot!I$60,IF($C$1="Yearly",Monthly!O1372*12/FinSnapshot!I$60,0))</f>
        <v>9.1288288414813985E-4</v>
      </c>
      <c r="K52" s="278">
        <f>IF($C$1="APM",Monthly!O1295/FinSnapshot!J$60,IF($C$1="Yearly",Monthly!O1295*12/FinSnapshot!J$60,0))</f>
        <v>0</v>
      </c>
      <c r="L52" s="278">
        <f>IF($C$1="APM",Monthly!O1217/FinSnapshot!K$60,IF($C$1="Yearly",Monthly!O1217*12/FinSnapshot!K$60,0))</f>
        <v>1.9646365422396855E-3</v>
      </c>
      <c r="M52" s="278">
        <f>IF($C$1="APM",Monthly!O1140/FinSnapshot!L$60,IF($C$1="Yearly",Monthly!O1140*12/FinSnapshot!L$60,0))</f>
        <v>0</v>
      </c>
      <c r="N52" s="278">
        <f>IF($C$1="APM",Monthly!O1063/FinSnapshot!M$60,IF($C$1="Yearly",Monthly!O1063*12/FinSnapshot!M$60,0))</f>
        <v>2.5334781035106767E-4</v>
      </c>
      <c r="O52" s="278">
        <f>IF($C$1="APM",Monthly!O986/FinSnapshot!N$60,IF($C$1="Yearly",Monthly!O986*12/FinSnapshot!N$60,0))</f>
        <v>9.3939702241665817E-4</v>
      </c>
      <c r="P52" s="278">
        <f>IF($C$1="APM",Monthly!$O910/FinSnapshot!O$60,IF($C$1="Yearly",Monthly!$O910*12/FinSnapshot!O$60,0))</f>
        <v>0</v>
      </c>
      <c r="Q52" s="278">
        <f>IF($C$1="APM",Monthly!$O833/FinSnapshot!P$60,IF($C$1="Yearly",Monthly!$O833*12/FinSnapshot!P$60,0))</f>
        <v>3.420421393841167E-3</v>
      </c>
      <c r="R52" s="278">
        <f>IF($C$1="APM",Monthly!$O756/FinSnapshot!Q$60,IF($C$1="Yearly",Monthly!$O756*12/FinSnapshot!Q$60,0))</f>
        <v>0</v>
      </c>
    </row>
    <row r="53" spans="1:18" ht="15">
      <c r="A53" s="2335"/>
      <c r="B53" s="155" t="s">
        <v>425</v>
      </c>
      <c r="C53" s="278">
        <f>IF($C$1="APM",Monthly!O1915/FinSnapshot!$B$60,IF($C$1="Yearly",Monthly!O1915*12/FinSnapshot!$B$60,0))</f>
        <v>0</v>
      </c>
      <c r="D53" s="278">
        <f>IF($C$1="APM",Monthly!O1838/FinSnapshot!C$60,IF($C$1="Yearly",Monthly!O1838*12/FinSnapshot!C$60,0))</f>
        <v>5.9879375523042737E-4</v>
      </c>
      <c r="E53" s="278">
        <f>IF($C$1="APM",Monthly!O1761/FinSnapshot!D$60,IF($C$1="Yearly",Monthly!O1761*12/FinSnapshot!D$60,0))</f>
        <v>5.2143565880863581E-3</v>
      </c>
      <c r="F53" s="278">
        <f>IF($C$1="APM",Monthly!O1683/FinSnapshot!E$60,IF($C$1="Yearly",Monthly!O1683*12/FinSnapshot!E$60,0))</f>
        <v>4.6238440389902527E-4</v>
      </c>
      <c r="G53" s="278">
        <f>IF($C$1="APM",Monthly!O1605/FinSnapshot!F$60,IF($C$1="Yearly",Monthly!O1605*12/FinSnapshot!F$60,0))</f>
        <v>5.1197141674473319E-4</v>
      </c>
      <c r="H53" s="278">
        <f>IF($C$1="APM",Monthly!O1527/FinSnapshot!G$60,IF($C$1="Yearly",Monthly!O1527*12/FinSnapshot!G$60,0))</f>
        <v>5.0946847154363854E-5</v>
      </c>
      <c r="I53" s="278">
        <f>IF($C$1="APM",Monthly!O1450/FinSnapshot!H$60,IF($C$1="Yearly",Monthly!O1450*12/FinSnapshot!H$60,0))</f>
        <v>2.6389728980897934E-3</v>
      </c>
      <c r="J53" s="278">
        <f>IF($C$1="APM",Monthly!O1373/FinSnapshot!I$60,IF($C$1="Yearly",Monthly!O1373*12/FinSnapshot!I$60,0))</f>
        <v>1.4512497132611454E-4</v>
      </c>
      <c r="K53" s="278">
        <f>IF($C$1="APM",Monthly!O1296/FinSnapshot!J$60,IF($C$1="Yearly",Monthly!O1296*12/FinSnapshot!J$60,0))</f>
        <v>9.5625647447533755E-4</v>
      </c>
      <c r="L53" s="278">
        <f>IF($C$1="APM",Monthly!O1218/FinSnapshot!K$60,IF($C$1="Yearly",Monthly!O1218*12/FinSnapshot!K$60,0))</f>
        <v>1.8529624651018508E-3</v>
      </c>
      <c r="M53" s="278">
        <f>IF($C$1="APM",Monthly!O1141/FinSnapshot!L$60,IF($C$1="Yearly",Monthly!O1141*12/FinSnapshot!L$60,0))</f>
        <v>1.3294492560949383E-3</v>
      </c>
      <c r="N53" s="278">
        <f>IF($C$1="APM",Monthly!O1064/FinSnapshot!M$60,IF($C$1="Yearly",Monthly!O1064*12/FinSnapshot!M$60,0))</f>
        <v>2.5334781035106767E-4</v>
      </c>
      <c r="O53" s="278">
        <f>IF($C$1="APM",Monthly!O987/FinSnapshot!N$60,IF($C$1="Yearly",Monthly!O987*12/FinSnapshot!N$60,0))</f>
        <v>1.6108793705700817E-3</v>
      </c>
      <c r="P53" s="278">
        <f>IF($C$1="APM",Monthly!$O911/FinSnapshot!O$60,IF($C$1="Yearly",Monthly!$O911*12/FinSnapshot!O$60,0))</f>
        <v>1.3047209298252783E-3</v>
      </c>
      <c r="Q53" s="278">
        <f>IF($C$1="APM",Monthly!$O834/FinSnapshot!P$60,IF($C$1="Yearly",Monthly!$O834*12/FinSnapshot!P$60,0))</f>
        <v>2.9562398703403568E-4</v>
      </c>
      <c r="R53" s="278">
        <f>IF($C$1="APM",Monthly!$O757/FinSnapshot!Q$60,IF($C$1="Yearly",Monthly!$O757*12/FinSnapshot!Q$60,0))</f>
        <v>3.375192215368944E-4</v>
      </c>
    </row>
    <row r="54" spans="1:18" ht="15">
      <c r="A54" s="2335"/>
      <c r="B54" s="155" t="s">
        <v>426</v>
      </c>
      <c r="C54" s="278">
        <f>IF($C$1="APM",Monthly!O1916/FinSnapshot!$B$60,IF($C$1="Yearly",Monthly!O1916*12/FinSnapshot!$B$60,0))</f>
        <v>1.8736394217856008E-2</v>
      </c>
      <c r="D54" s="278">
        <f>IF($C$1="APM",Monthly!O1839/FinSnapshot!C$60,IF($C$1="Yearly",Monthly!O1839*12/FinSnapshot!C$60,0))</f>
        <v>1.9168614549966812E-2</v>
      </c>
      <c r="E54" s="278">
        <f>IF($C$1="APM",Monthly!O1762/FinSnapshot!D$60,IF($C$1="Yearly",Monthly!O1762*12/FinSnapshot!D$60,0))</f>
        <v>1.1386731446949738E-2</v>
      </c>
      <c r="F54" s="278">
        <f>IF($C$1="APM",Monthly!O1684/FinSnapshot!E$60,IF($C$1="Yearly",Monthly!O1684*12/FinSnapshot!E$60,0))</f>
        <v>5.2424393901524622E-3</v>
      </c>
      <c r="G54" s="278">
        <f>IF($C$1="APM",Monthly!O1606/FinSnapshot!F$60,IF($C$1="Yearly",Monthly!O1606*12/FinSnapshot!F$60,0))</f>
        <v>5.2613232827171518E-3</v>
      </c>
      <c r="H54" s="278">
        <f>IF($C$1="APM",Monthly!O1528/FinSnapshot!G$60,IF($C$1="Yearly",Monthly!O1528*12/FinSnapshot!G$60,0))</f>
        <v>7.504470585837795E-3</v>
      </c>
      <c r="I54" s="278">
        <f>IF($C$1="APM",Monthly!O1451/FinSnapshot!H$60,IF($C$1="Yearly",Monthly!O1451*12/FinSnapshot!H$60,0))</f>
        <v>1.0316871865914812E-2</v>
      </c>
      <c r="J54" s="278">
        <f>IF($C$1="APM",Monthly!O1374/FinSnapshot!I$60,IF($C$1="Yearly",Monthly!O1374*12/FinSnapshot!I$60,0))</f>
        <v>6.9285470181499843E-3</v>
      </c>
      <c r="K54" s="278">
        <f>IF($C$1="APM",Monthly!O1297/FinSnapshot!J$60,IF($C$1="Yearly",Monthly!O1297*12/FinSnapshot!J$60,0))</f>
        <v>7.8208118805304389E-3</v>
      </c>
      <c r="L54" s="278">
        <f>IF($C$1="APM",Monthly!O1219/FinSnapshot!K$60,IF($C$1="Yearly",Monthly!O1219*12/FinSnapshot!K$60,0))</f>
        <v>1.6858649570882019E-2</v>
      </c>
      <c r="M54" s="278">
        <f>IF($C$1="APM",Monthly!O1142/FinSnapshot!L$60,IF($C$1="Yearly",Monthly!O1142*12/FinSnapshot!L$60,0))</f>
        <v>8.1878433595964726E-3</v>
      </c>
      <c r="N54" s="278">
        <f>IF($C$1="APM",Monthly!O1065/FinSnapshot!M$60,IF($C$1="Yearly",Monthly!O1065*12/FinSnapshot!M$60,0))</f>
        <v>6.3843648208469052E-3</v>
      </c>
      <c r="O54" s="278">
        <f>IF($C$1="APM",Monthly!O988/FinSnapshot!N$60,IF($C$1="Yearly",Monthly!O988*12/FinSnapshot!N$60,0))</f>
        <v>9.0446637501271753E-3</v>
      </c>
      <c r="P54" s="278">
        <f>IF($C$1="APM",Monthly!$O912/FinSnapshot!O$60,IF($C$1="Yearly",Monthly!$O912*12/FinSnapshot!O$60,0))</f>
        <v>8.8207307604742536E-3</v>
      </c>
      <c r="Q54" s="278">
        <f>IF($C$1="APM",Monthly!$O835/FinSnapshot!P$60,IF($C$1="Yearly",Monthly!$O835*12/FinSnapshot!P$60,0))</f>
        <v>2.9069692058346841E-3</v>
      </c>
      <c r="R54" s="278">
        <f>IF($C$1="APM",Monthly!$O758/FinSnapshot!Q$60,IF($C$1="Yearly",Monthly!$O758*12/FinSnapshot!Q$60,0))</f>
        <v>1.8472171113715953E-3</v>
      </c>
    </row>
    <row r="55" spans="1:18" ht="15">
      <c r="A55" s="2335"/>
      <c r="B55" s="155" t="s">
        <v>427</v>
      </c>
      <c r="C55" s="278">
        <f>IF($C$1="APM",Monthly!O1917/FinSnapshot!$B$60,IF($C$1="Yearly",Monthly!O1917*12/FinSnapshot!$B$60,0))</f>
        <v>0</v>
      </c>
      <c r="D55" s="278">
        <f>IF($C$1="APM",Monthly!O1840/FinSnapshot!C$60,IF($C$1="Yearly",Monthly!O1840*12/FinSnapshot!C$60,0))</f>
        <v>0</v>
      </c>
      <c r="E55" s="278">
        <f>IF($C$1="APM",Monthly!O1763/FinSnapshot!D$60,IF($C$1="Yearly",Monthly!O1763*12/FinSnapshot!D$60,0))</f>
        <v>0</v>
      </c>
      <c r="F55" s="278">
        <f>IF($C$1="APM",Monthly!O1685/FinSnapshot!E$60,IF($C$1="Yearly",Monthly!O1685*12/FinSnapshot!E$60,0))</f>
        <v>0</v>
      </c>
      <c r="G55" s="278">
        <f>IF($C$1="APM",Monthly!O1607/FinSnapshot!F$60,IF($C$1="Yearly",Monthly!O1607*12/FinSnapshot!F$60,0))</f>
        <v>2.1786017733818434E-4</v>
      </c>
      <c r="H55" s="278">
        <f>IF($C$1="APM",Monthly!O1529/FinSnapshot!G$60,IF($C$1="Yearly",Monthly!O1529*12/FinSnapshot!G$60,0))</f>
        <v>4.585216243892747E-4</v>
      </c>
      <c r="I55" s="278">
        <f>IF($C$1="APM",Monthly!O1452/FinSnapshot!H$60,IF($C$1="Yearly",Monthly!O1452*12/FinSnapshot!H$60,0))</f>
        <v>4.3901582408148134E-4</v>
      </c>
      <c r="J55" s="278">
        <f>IF($C$1="APM",Monthly!O1375/FinSnapshot!I$60,IF($C$1="Yearly",Monthly!O1375*12/FinSnapshot!I$60,0))</f>
        <v>9.3629013758783576E-4</v>
      </c>
      <c r="K55" s="278">
        <f>IF($C$1="APM",Monthly!O1298/FinSnapshot!J$60,IF($C$1="Yearly",Monthly!O1298*12/FinSnapshot!J$60,0))</f>
        <v>1.3105836502853956E-3</v>
      </c>
      <c r="L55" s="278">
        <f>IF($C$1="APM",Monthly!O1220/FinSnapshot!K$60,IF($C$1="Yearly",Monthly!O1220*12/FinSnapshot!K$60,0))</f>
        <v>0</v>
      </c>
      <c r="M55" s="278">
        <f>IF($C$1="APM",Monthly!O1143/FinSnapshot!L$60,IF($C$1="Yearly",Monthly!O1143*12/FinSnapshot!L$60,0))</f>
        <v>0</v>
      </c>
      <c r="N55" s="278">
        <f>IF($C$1="APM",Monthly!O1066/FinSnapshot!M$60,IF($C$1="Yearly",Monthly!O1066*12/FinSnapshot!M$60,0))</f>
        <v>1.1762576909156715E-3</v>
      </c>
      <c r="O55" s="278">
        <f>IF($C$1="APM",Monthly!O989/FinSnapshot!N$60,IF($C$1="Yearly",Monthly!O989*12/FinSnapshot!N$60,0))</f>
        <v>0</v>
      </c>
      <c r="P55" s="278">
        <f>IF($C$1="APM",Monthly!$O913/FinSnapshot!O$60,IF($C$1="Yearly",Monthly!$O913*12/FinSnapshot!O$60,0))</f>
        <v>0</v>
      </c>
      <c r="Q55" s="278">
        <f>IF($C$1="APM",Monthly!$O836/FinSnapshot!P$60,IF($C$1="Yearly",Monthly!$O836*12/FinSnapshot!P$60,0))</f>
        <v>1.213614262560778E-3</v>
      </c>
      <c r="R55" s="278">
        <f>IF($C$1="APM",Monthly!$O759/FinSnapshot!Q$60,IF($C$1="Yearly",Monthly!$O759*12/FinSnapshot!Q$60,0))</f>
        <v>1.3744465050311077E-3</v>
      </c>
    </row>
    <row r="56" spans="1:18" ht="15">
      <c r="A56" s="2330"/>
      <c r="B56" s="155" t="s">
        <v>381</v>
      </c>
      <c r="C56" s="278">
        <f>IF($C$1="APM",Monthly!O1918/FinSnapshot!$B$60,IF($C$1="Yearly",Monthly!O1918*12/FinSnapshot!$B$60,0))</f>
        <v>1.9131386946555081E-2</v>
      </c>
      <c r="D56" s="278">
        <f>IF($C$1="APM",Monthly!O1841/FinSnapshot!C$60,IF($C$1="Yearly",Monthly!O1841*12/FinSnapshot!C$60,0))</f>
        <v>2.4016679652555335E-2</v>
      </c>
      <c r="E56" s="278">
        <f>IF($C$1="APM",Monthly!O1764/FinSnapshot!D$60,IF($C$1="Yearly",Monthly!O1764*12/FinSnapshot!D$60,0))</f>
        <v>7.3562117220378415E-3</v>
      </c>
      <c r="F56" s="278">
        <f>IF($C$1="APM",Monthly!O1686/FinSnapshot!E$60,IF($C$1="Yearly",Monthly!O1686*12/FinSnapshot!E$60,0))</f>
        <v>1.0741064733816546E-2</v>
      </c>
      <c r="G56" s="278">
        <f>IF($C$1="APM",Monthly!O1608/FinSnapshot!F$60,IF($C$1="Yearly",Monthly!O1608*12/FinSnapshot!F$60,0))</f>
        <v>2.4394893357443194E-2</v>
      </c>
      <c r="H56" s="278">
        <f>IF($C$1="APM",Monthly!O1530/FinSnapshot!G$60,IF($C$1="Yearly",Monthly!O1530*12/FinSnapshot!G$60,0))</f>
        <v>1.763270380012533E-2</v>
      </c>
      <c r="I56" s="278">
        <f>IF($C$1="APM",Monthly!O1453/FinSnapshot!H$60,IF($C$1="Yearly",Monthly!O1453*12/FinSnapshot!H$60,0))</f>
        <v>5.7511072954674058E-3</v>
      </c>
      <c r="J56" s="278">
        <f>IF($C$1="APM",Monthly!O1376/FinSnapshot!I$60,IF($C$1="Yearly",Monthly!O1376*12/FinSnapshot!I$60,0))</f>
        <v>2.808870412763507E-5</v>
      </c>
      <c r="K56" s="278">
        <f>IF($C$1="APM",Monthly!O1299/FinSnapshot!J$60,IF($C$1="Yearly",Monthly!O1299*12/FinSnapshot!J$60,0))</f>
        <v>2.1925594879041665E-2</v>
      </c>
      <c r="L56" s="278">
        <f>IF($C$1="APM",Monthly!O1221/FinSnapshot!K$60,IF($C$1="Yearly",Monthly!O1221*12/FinSnapshot!K$60,0))</f>
        <v>5.9394064729603969E-3</v>
      </c>
      <c r="M56" s="278">
        <f>IF($C$1="APM",Monthly!O1144/FinSnapshot!L$60,IF($C$1="Yearly",Monthly!O1144*12/FinSnapshot!L$60,0))</f>
        <v>9.5720346438835559E-3</v>
      </c>
      <c r="N56" s="278">
        <f>IF($C$1="APM",Monthly!O1067/FinSnapshot!M$60,IF($C$1="Yearly",Monthly!O1067*12/FinSnapshot!M$60,0))</f>
        <v>2.5085052479189286E-2</v>
      </c>
      <c r="O56" s="278">
        <f>IF($C$1="APM",Monthly!O990/FinSnapshot!N$60,IF($C$1="Yearly",Monthly!O990*12/FinSnapshot!N$60,0))</f>
        <v>2.5641808254485029E-2</v>
      </c>
      <c r="P56" s="278">
        <f>IF($C$1="APM",Monthly!$O914/FinSnapshot!O$60,IF($C$1="Yearly",Monthly!$O914*12/FinSnapshot!O$60,0))</f>
        <v>1.736417183787602E-2</v>
      </c>
      <c r="Q56" s="278">
        <f>IF($C$1="APM",Monthly!$O837/FinSnapshot!P$60,IF($C$1="Yearly",Monthly!$O837*12/FinSnapshot!P$60,0))</f>
        <v>3.1649918962722852E-2</v>
      </c>
      <c r="R56" s="278">
        <f>IF($C$1="APM",Monthly!$O760/FinSnapshot!Q$60,IF($C$1="Yearly",Monthly!$O760*12/FinSnapshot!Q$60,0))</f>
        <v>3.7273332082359565E-3</v>
      </c>
    </row>
    <row r="57" spans="1:18" ht="14.1" customHeight="1">
      <c r="A57" s="2331" t="s">
        <v>428</v>
      </c>
      <c r="B57" s="2332"/>
      <c r="C57" s="2327">
        <f>SUM(C59:C60)</f>
        <v>0</v>
      </c>
      <c r="D57" s="2327">
        <f t="shared" ref="D57:R57" si="9">SUM(D59:D60)</f>
        <v>0</v>
      </c>
      <c r="E57" s="2327">
        <f t="shared" si="9"/>
        <v>0</v>
      </c>
      <c r="F57" s="2327">
        <f t="shared" si="9"/>
        <v>0</v>
      </c>
      <c r="G57" s="2327">
        <f t="shared" si="9"/>
        <v>0</v>
      </c>
      <c r="H57" s="2327">
        <f t="shared" si="9"/>
        <v>3.8683941044308473E-2</v>
      </c>
      <c r="I57" s="2327">
        <f t="shared" si="9"/>
        <v>2.0360578330178923E-2</v>
      </c>
      <c r="J57" s="2327">
        <f t="shared" si="9"/>
        <v>6.8775192056514473E-2</v>
      </c>
      <c r="K57" s="2327">
        <f t="shared" si="9"/>
        <v>0.13859315376715103</v>
      </c>
      <c r="L57" s="2327">
        <f t="shared" si="9"/>
        <v>7.8163581842622273E-2</v>
      </c>
      <c r="M57" s="2327">
        <f t="shared" si="9"/>
        <v>0.13612778353437996</v>
      </c>
      <c r="N57" s="2327">
        <f t="shared" si="9"/>
        <v>0.11275063336952587</v>
      </c>
      <c r="O57" s="2327">
        <f t="shared" si="9"/>
        <v>9.7303896632414288E-2</v>
      </c>
      <c r="P57" s="2327">
        <f t="shared" si="9"/>
        <v>8.644432898815535E-2</v>
      </c>
      <c r="Q57" s="2327">
        <f t="shared" si="9"/>
        <v>5.367390599675851E-2</v>
      </c>
      <c r="R57" s="2327">
        <f t="shared" si="9"/>
        <v>2.8370501063733865E-2</v>
      </c>
    </row>
    <row r="58" spans="1:18" ht="14.1" customHeight="1">
      <c r="A58" s="2333"/>
      <c r="B58" s="2334"/>
      <c r="C58" s="2328"/>
      <c r="D58" s="2328"/>
      <c r="E58" s="2328"/>
      <c r="F58" s="2328"/>
      <c r="G58" s="2328"/>
      <c r="H58" s="2328"/>
      <c r="I58" s="2328"/>
      <c r="J58" s="2328"/>
      <c r="K58" s="2328"/>
      <c r="L58" s="2328"/>
      <c r="M58" s="2328"/>
      <c r="N58" s="2328"/>
      <c r="O58" s="2328"/>
      <c r="P58" s="2328"/>
      <c r="Q58" s="2328"/>
      <c r="R58" s="2328"/>
    </row>
    <row r="59" spans="1:18" ht="15">
      <c r="A59" s="2329"/>
      <c r="B59" s="155" t="s">
        <v>429</v>
      </c>
      <c r="C59" s="278">
        <f>IF($C$1="APM",Monthly!O1921/FinSnapshot!$B$60,IF($C$1="Yearly",Monthly!O1921*12/FinSnapshot!$B$60,0))</f>
        <v>0</v>
      </c>
      <c r="D59" s="278">
        <f>IF($C$1="APM",Monthly!O1844/FinSnapshot!C$60,IF($C$1="Yearly",Monthly!O1844*12/FinSnapshot!C$60,0))</f>
        <v>0</v>
      </c>
      <c r="E59" s="278">
        <f>IF($C$1="APM",Monthly!O1767/FinSnapshot!D$60,IF($C$1="Yearly",Monthly!O1767*12/FinSnapshot!D$60,0))</f>
        <v>0</v>
      </c>
      <c r="F59" s="278">
        <f>IF($C$1="APM",Monthly!O1689/FinSnapshot!E$60,IF($C$1="Yearly",Monthly!O1689*12/FinSnapshot!E$60,0))</f>
        <v>0</v>
      </c>
      <c r="G59" s="278">
        <f>IF($C$1="APM",Monthly!O1611/FinSnapshot!F$60,IF($C$1="Yearly",Monthly!O1611*12/FinSnapshot!F$60,0))</f>
        <v>0</v>
      </c>
      <c r="H59" s="278">
        <f>IF($C$1="APM",Monthly!O1533/FinSnapshot!G$60,IF($C$1="Yearly",Monthly!O1533*12/FinSnapshot!G$60,0))</f>
        <v>3.8683941044308473E-2</v>
      </c>
      <c r="I59" s="278">
        <f>IF($C$1="APM",Monthly!O1456/FinSnapshot!H$60,IF($C$1="Yearly",Monthly!O1456*12/FinSnapshot!H$60,0))</f>
        <v>2.0360578330178923E-2</v>
      </c>
      <c r="J59" s="278">
        <f>IF($C$1="APM",Monthly!O1379/FinSnapshot!I$60,IF($C$1="Yearly",Monthly!O1379*12/FinSnapshot!I$60,0))</f>
        <v>6.8775192056514473E-2</v>
      </c>
      <c r="K59" s="278">
        <f>IF($C$1="APM",Monthly!O1302/FinSnapshot!J$60,IF($C$1="Yearly",Monthly!O1302*12/FinSnapshot!J$60,0))</f>
        <v>6.8590057033014504E-2</v>
      </c>
      <c r="L59" s="278">
        <f>IF($C$1="APM",Monthly!O1224/FinSnapshot!K$60,IF($C$1="Yearly",Monthly!O1224*12/FinSnapshot!K$60,0))</f>
        <v>1.0154068865680902E-2</v>
      </c>
      <c r="M59" s="278">
        <f>IF($C$1="APM",Monthly!O1147/FinSnapshot!L$60,IF($C$1="Yearly",Monthly!O1147*12/FinSnapshot!L$60,0))</f>
        <v>6.8427535240180644E-4</v>
      </c>
      <c r="N59" s="278">
        <f>IF($C$1="APM",Monthly!O1070/FinSnapshot!M$60,IF($C$1="Yearly",Monthly!O1070*12/FinSnapshot!M$60,0))</f>
        <v>0</v>
      </c>
      <c r="O59" s="278">
        <f>IF($C$1="APM",Monthly!O993/FinSnapshot!N$60,IF($C$1="Yearly",Monthly!O993*12/FinSnapshot!N$60,0))</f>
        <v>8.4715298267032928E-3</v>
      </c>
      <c r="P59" s="278">
        <f>IF($C$1="APM",Monthly!$O917/FinSnapshot!O$60,IF($C$1="Yearly",Monthly!$O917*12/FinSnapshot!O$60,0))</f>
        <v>2.0195445443984564E-2</v>
      </c>
      <c r="Q59" s="278">
        <f>IF($C$1="APM",Monthly!$O840/FinSnapshot!P$60,IF($C$1="Yearly",Monthly!$O840*12/FinSnapshot!P$60,0))</f>
        <v>1.0447974068071313E-2</v>
      </c>
      <c r="R59" s="278">
        <f>IF($C$1="APM",Monthly!$O763/FinSnapshot!Q$60,IF($C$1="Yearly",Monthly!$O763*12/FinSnapshot!Q$60,0))</f>
        <v>4.698462520744638E-3</v>
      </c>
    </row>
    <row r="60" spans="1:18" ht="15">
      <c r="A60" s="2335"/>
      <c r="B60" s="155" t="s">
        <v>430</v>
      </c>
      <c r="C60" s="278">
        <f>IF($C$1="APM",Monthly!O1922/FinSnapshot!$B$60,IF($C$1="Yearly",Monthly!O1922*12/FinSnapshot!$B$60,0))</f>
        <v>0</v>
      </c>
      <c r="D60" s="278">
        <f>IF($C$1="APM",Monthly!O1845/FinSnapshot!C$60,IF($C$1="Yearly",Monthly!O1845*12/FinSnapshot!C$60,0))</f>
        <v>0</v>
      </c>
      <c r="E60" s="278">
        <f>IF($C$1="APM",Monthly!O1768/FinSnapshot!D$60,IF($C$1="Yearly",Monthly!O1768*12/FinSnapshot!D$60,0))</f>
        <v>0</v>
      </c>
      <c r="F60" s="278">
        <f>IF($C$1="APM",Monthly!O1690/FinSnapshot!E$60,IF($C$1="Yearly",Monthly!O1690*12/FinSnapshot!E$60,0))</f>
        <v>0</v>
      </c>
      <c r="G60" s="278">
        <f>IF($C$1="APM",Monthly!O1612/FinSnapshot!F$60,IF($C$1="Yearly",Monthly!O1612*12/FinSnapshot!F$60,0))</f>
        <v>0</v>
      </c>
      <c r="H60" s="278">
        <f>IF($C$1="APM",Monthly!O1534/FinSnapshot!G$60,IF($C$1="Yearly",Monthly!O1534*12/FinSnapshot!G$60,0))</f>
        <v>0</v>
      </c>
      <c r="I60" s="278">
        <f>IF($C$1="APM",Monthly!O1457/FinSnapshot!H$60,IF($C$1="Yearly",Monthly!O1457*12/FinSnapshot!H$60,0))</f>
        <v>0</v>
      </c>
      <c r="J60" s="278">
        <f>IF($C$1="APM",Monthly!O1380/FinSnapshot!I$60,IF($C$1="Yearly",Monthly!O1380*12/FinSnapshot!I$60,0))</f>
        <v>0</v>
      </c>
      <c r="K60" s="278">
        <f>IF($C$1="APM",Monthly!O1303/FinSnapshot!J$60,IF($C$1="Yearly",Monthly!O1303*12/FinSnapshot!J$60,0))</f>
        <v>7.0003096734136544E-2</v>
      </c>
      <c r="L60" s="278">
        <f>IF($C$1="APM",Monthly!O1225/FinSnapshot!K$60,IF($C$1="Yearly",Monthly!O1225*12/FinSnapshot!K$60,0))</f>
        <v>6.8009512976941369E-2</v>
      </c>
      <c r="M60" s="278">
        <f>IF($C$1="APM",Monthly!O1148/FinSnapshot!L$60,IF($C$1="Yearly",Monthly!O1148*12/FinSnapshot!L$60,0))</f>
        <v>0.13544350818197815</v>
      </c>
      <c r="N60" s="278">
        <f>IF($C$1="APM",Monthly!O1071/FinSnapshot!M$60,IF($C$1="Yearly",Monthly!O1071*12/FinSnapshot!M$60,0))</f>
        <v>0.11275063336952587</v>
      </c>
      <c r="O60" s="278">
        <f>IF($C$1="APM",Monthly!O994/FinSnapshot!N$60,IF($C$1="Yearly",Monthly!O994*12/FinSnapshot!N$60,0))</f>
        <v>8.8832366805710994E-2</v>
      </c>
      <c r="P60" s="278">
        <f>IF($C$1="APM",Monthly!$O918/FinSnapshot!O$60,IF($C$1="Yearly",Monthly!$O918*12/FinSnapshot!O$60,0))</f>
        <v>6.6248883544170786E-2</v>
      </c>
      <c r="Q60" s="278">
        <f>IF($C$1="APM",Monthly!$O841/FinSnapshot!P$60,IF($C$1="Yearly",Monthly!$O841*12/FinSnapshot!P$60,0))</f>
        <v>4.3225931928687199E-2</v>
      </c>
      <c r="R60" s="278">
        <f>IF($C$1="APM",Monthly!$O764/FinSnapshot!Q$60,IF($C$1="Yearly",Monthly!$O764*12/FinSnapshot!Q$60,0))</f>
        <v>2.3672038542989226E-2</v>
      </c>
    </row>
    <row r="61" spans="1:18">
      <c r="A61" s="2331" t="s">
        <v>431</v>
      </c>
      <c r="B61" s="2332"/>
      <c r="C61" s="2327">
        <f>SUM(C63:C66)</f>
        <v>1.6040139504562338E-2</v>
      </c>
      <c r="D61" s="2327">
        <f t="shared" ref="D61:R61" si="10">SUM(D63:D66)</f>
        <v>1.4769644763801115E-2</v>
      </c>
      <c r="E61" s="2327">
        <f t="shared" si="10"/>
        <v>6.9114175248913669E-3</v>
      </c>
      <c r="F61" s="2327">
        <f t="shared" si="10"/>
        <v>1.1359660084978756E-2</v>
      </c>
      <c r="G61" s="2327">
        <f t="shared" si="10"/>
        <v>1.2842857454085968E-2</v>
      </c>
      <c r="H61" s="2327">
        <f t="shared" si="10"/>
        <v>1.2945593861923857E-2</v>
      </c>
      <c r="I61" s="2327">
        <f t="shared" si="10"/>
        <v>1.8165499209771518E-2</v>
      </c>
      <c r="J61" s="2327">
        <f t="shared" si="10"/>
        <v>1.796272628962263E-2</v>
      </c>
      <c r="K61" s="2327">
        <f t="shared" si="10"/>
        <v>2.2839161332335073E-2</v>
      </c>
      <c r="L61" s="2327">
        <f t="shared" si="10"/>
        <v>7.709302726364043E-3</v>
      </c>
      <c r="M61" s="2327">
        <f t="shared" si="10"/>
        <v>2.0133335940096579E-2</v>
      </c>
      <c r="N61" s="2327">
        <f t="shared" si="10"/>
        <v>1.996742671009772E-2</v>
      </c>
      <c r="O61" s="2327">
        <f t="shared" si="10"/>
        <v>2.0408993793875271E-2</v>
      </c>
      <c r="P61" s="2327">
        <f t="shared" si="10"/>
        <v>2.4080419845768558E-2</v>
      </c>
      <c r="Q61" s="2327">
        <f t="shared" si="10"/>
        <v>2.3528038897893032E-2</v>
      </c>
      <c r="R61" s="2327">
        <f t="shared" si="10"/>
        <v>7.7166398194698626E-3</v>
      </c>
    </row>
    <row r="62" spans="1:18">
      <c r="A62" s="2333"/>
      <c r="B62" s="2334"/>
      <c r="C62" s="2328"/>
      <c r="D62" s="2328"/>
      <c r="E62" s="2328"/>
      <c r="F62" s="2328"/>
      <c r="G62" s="2328"/>
      <c r="H62" s="2328"/>
      <c r="I62" s="2328"/>
      <c r="J62" s="2328"/>
      <c r="K62" s="2328"/>
      <c r="L62" s="2328"/>
      <c r="M62" s="2328"/>
      <c r="N62" s="2328"/>
      <c r="O62" s="2328"/>
      <c r="P62" s="2328"/>
      <c r="Q62" s="2328"/>
      <c r="R62" s="2328"/>
    </row>
    <row r="63" spans="1:18" ht="15">
      <c r="A63" s="276"/>
      <c r="B63" s="155" t="s">
        <v>432</v>
      </c>
      <c r="C63" s="278">
        <f>IF($C$1="APM",Monthly!O1925/FinSnapshot!$B$60,IF($C$1="Yearly",Monthly!O1925*12/FinSnapshot!$B$60,0))</f>
        <v>7.4447542561325202E-3</v>
      </c>
      <c r="D63" s="278">
        <f>IF($C$1="APM",Monthly!O1848/FinSnapshot!C$60,IF($C$1="Yearly",Monthly!O1848*12/FinSnapshot!C$60,0))</f>
        <v>6.7905376157908403E-3</v>
      </c>
      <c r="E63" s="278">
        <f>IF($C$1="APM",Monthly!O1771/FinSnapshot!D$60,IF($C$1="Yearly",Monthly!O1771*12/FinSnapshot!D$60,0))</f>
        <v>2.2034420227871488E-3</v>
      </c>
      <c r="F63" s="278">
        <f>IF($C$1="APM",Monthly!O1693/FinSnapshot!E$60,IF($C$1="Yearly",Monthly!O1693*12/FinSnapshot!E$60,0))</f>
        <v>9.0539865033741566E-3</v>
      </c>
      <c r="G63" s="278">
        <f>IF($C$1="APM",Monthly!O1615/FinSnapshot!F$60,IF($C$1="Yearly",Monthly!O1615*12/FinSnapshot!F$60,0))</f>
        <v>8.6272630225920997E-3</v>
      </c>
      <c r="H63" s="278">
        <f>IF($C$1="APM",Monthly!O1537/FinSnapshot!G$60,IF($C$1="Yearly",Monthly!O1537*12/FinSnapshot!G$60,0))</f>
        <v>8.6303959079492374E-3</v>
      </c>
      <c r="I63" s="278">
        <f>IF($C$1="APM",Monthly!O1460/FinSnapshot!H$60,IF($C$1="Yearly",Monthly!O1460*12/FinSnapshot!H$60,0))</f>
        <v>8.6730015024097107E-3</v>
      </c>
      <c r="J63" s="278">
        <f>IF($C$1="APM",Monthly!O1383/FinSnapshot!I$60,IF($C$1="Yearly",Monthly!O1383*12/FinSnapshot!I$60,0))</f>
        <v>9.3207683196869055E-3</v>
      </c>
      <c r="K63" s="278">
        <f>IF($C$1="APM",Monthly!O1306/FinSnapshot!J$60,IF($C$1="Yearly",Monthly!O1306*12/FinSnapshot!J$60,0))</f>
        <v>1.2273381089806232E-2</v>
      </c>
      <c r="L63" s="278">
        <f>IF($C$1="APM",Monthly!O1228/FinSnapshot!K$60,IF($C$1="Yearly",Monthly!O1228*12/FinSnapshot!K$60,0))</f>
        <v>3.8999758728845688E-3</v>
      </c>
      <c r="M63" s="278">
        <f>IF($C$1="APM",Monthly!O1151/FinSnapshot!L$60,IF($C$1="Yearly",Monthly!O1151*12/FinSnapshot!L$60,0))</f>
        <v>1.3638585309585718E-2</v>
      </c>
      <c r="N63" s="278">
        <f>IF($C$1="APM",Monthly!O1074/FinSnapshot!M$60,IF($C$1="Yearly",Monthly!O1074*12/FinSnapshot!M$60,0))</f>
        <v>1.3250090481360841E-2</v>
      </c>
      <c r="O63" s="278">
        <f>IF($C$1="APM",Monthly!O997/FinSnapshot!N$60,IF($C$1="Yearly",Monthly!O997*12/FinSnapshot!N$60,0))</f>
        <v>1.1805202292535696E-2</v>
      </c>
      <c r="P63" s="278">
        <f>IF($C$1="APM",Monthly!$O921/FinSnapshot!O$60,IF($C$1="Yearly",Monthly!$O921*12/FinSnapshot!O$60,0))</f>
        <v>1.0364796469372623E-2</v>
      </c>
      <c r="Q63" s="278">
        <f>IF($C$1="APM",Monthly!$O844/FinSnapshot!P$60,IF($C$1="Yearly",Monthly!$O844*12/FinSnapshot!P$60,0))</f>
        <v>1.0302755267423016E-2</v>
      </c>
      <c r="R63" s="278">
        <f>IF($C$1="APM",Monthly!$O767/FinSnapshot!Q$60,IF($C$1="Yearly",Monthly!$O767*12/FinSnapshot!Q$60,0))</f>
        <v>1.1429351256375701E-3</v>
      </c>
    </row>
    <row r="64" spans="1:18" ht="14.1" customHeight="1">
      <c r="A64" s="276"/>
      <c r="B64" s="155" t="s">
        <v>284</v>
      </c>
      <c r="C64" s="278">
        <f>IF($C$1="APM",Monthly!O1926/FinSnapshot!$B$60,IF($C$1="Yearly",Monthly!O1926*12/FinSnapshot!$B$60,0))</f>
        <v>3.8984064962908466E-3</v>
      </c>
      <c r="D64" s="278">
        <f>IF($C$1="APM",Monthly!O1849/FinSnapshot!C$60,IF($C$1="Yearly",Monthly!O1849*12/FinSnapshot!C$60,0))</f>
        <v>6.0745101434219262E-3</v>
      </c>
      <c r="E64" s="278">
        <f>IF($C$1="APM",Monthly!O1772/FinSnapshot!D$60,IF($C$1="Yearly",Monthly!O1772*12/FinSnapshot!D$60,0))</f>
        <v>2.0528962945221886E-3</v>
      </c>
      <c r="F64" s="278">
        <f>IF($C$1="APM",Monthly!O1694/FinSnapshot!E$60,IF($C$1="Yearly",Monthly!O1694*12/FinSnapshot!E$60,0))</f>
        <v>1.30592351912022E-3</v>
      </c>
      <c r="G64" s="278">
        <f>IF($C$1="APM",Monthly!O1616/FinSnapshot!F$60,IF($C$1="Yearly",Monthly!O1616*12/FinSnapshot!F$60,0))</f>
        <v>2.4781595172218471E-3</v>
      </c>
      <c r="H64" s="278">
        <f>IF($C$1="APM",Monthly!O1538/FinSnapshot!G$60,IF($C$1="Yearly",Monthly!O1538*12/FinSnapshot!G$60,0))</f>
        <v>1.4112276661758787E-3</v>
      </c>
      <c r="I64" s="278">
        <f>IF($C$1="APM",Monthly!O1461/FinSnapshot!H$60,IF($C$1="Yearly",Monthly!O1461*12/FinSnapshot!H$60,0))</f>
        <v>6.6242609900294628E-3</v>
      </c>
      <c r="J64" s="278">
        <f>IF($C$1="APM",Monthly!O1384/FinSnapshot!I$60,IF($C$1="Yearly",Monthly!O1384*12/FinSnapshot!I$60,0))</f>
        <v>6.2310108656470466E-3</v>
      </c>
      <c r="K64" s="278">
        <f>IF($C$1="APM",Monthly!O1307/FinSnapshot!J$60,IF($C$1="Yearly",Monthly!O1307*12/FinSnapshot!J$60,0))</f>
        <v>6.6724503107363949E-3</v>
      </c>
      <c r="L64" s="278">
        <f>IF($C$1="APM",Monthly!O1229/FinSnapshot!K$60,IF($C$1="Yearly",Monthly!O1229*12/FinSnapshot!K$60,0))</f>
        <v>2.6057284665494777E-3</v>
      </c>
      <c r="M64" s="278">
        <f>IF($C$1="APM",Monthly!O1152/FinSnapshot!L$60,IF($C$1="Yearly",Monthly!O1152*12/FinSnapshot!L$60,0))</f>
        <v>2.1583999687188409E-3</v>
      </c>
      <c r="N64" s="278">
        <f>IF($C$1="APM",Monthly!O1075/FinSnapshot!M$60,IF($C$1="Yearly",Monthly!O1075*12/FinSnapshot!M$60,0))</f>
        <v>2.280130293159609E-3</v>
      </c>
      <c r="O64" s="278">
        <f>IF($C$1="APM",Monthly!O998/FinSnapshot!N$60,IF($C$1="Yearly",Monthly!O998*12/FinSnapshot!N$60,0))</f>
        <v>4.2866347882117547E-3</v>
      </c>
      <c r="P64" s="278">
        <f>IF($C$1="APM",Monthly!$O922/FinSnapshot!O$60,IF($C$1="Yearly",Monthly!$O922*12/FinSnapshot!O$60,0))</f>
        <v>2.7349519267254713E-3</v>
      </c>
      <c r="Q64" s="278">
        <f>IF($C$1="APM",Monthly!$O845/FinSnapshot!P$60,IF($C$1="Yearly",Monthly!$O845*12/FinSnapshot!P$60,0))</f>
        <v>1.3743922204213939E-3</v>
      </c>
      <c r="R64" s="278">
        <f>IF($C$1="APM",Monthly!$O768/FinSnapshot!Q$60,IF($C$1="Yearly",Monthly!$O768*12/FinSnapshot!Q$60,0))</f>
        <v>2.5709947922124445E-4</v>
      </c>
    </row>
    <row r="65" spans="1:18" ht="14.1" customHeight="1">
      <c r="A65" s="276"/>
      <c r="B65" s="155" t="s">
        <v>433</v>
      </c>
      <c r="C65" s="278">
        <f>IF($C$1="APM",Monthly!O1927/FinSnapshot!$B$60,IF($C$1="Yearly",Monthly!O1927*12/FinSnapshot!$B$60,0))</f>
        <v>4.6969787521389719E-3</v>
      </c>
      <c r="D65" s="278">
        <f>IF($C$1="APM",Monthly!O1850/FinSnapshot!C$60,IF($C$1="Yearly",Monthly!O1850*12/FinSnapshot!C$60,0))</f>
        <v>1.9045970045883473E-3</v>
      </c>
      <c r="E65" s="278">
        <f>IF($C$1="APM",Monthly!O1773/FinSnapshot!D$60,IF($C$1="Yearly",Monthly!O1773*12/FinSnapshot!D$60,0))</f>
        <v>2.65507920758203E-3</v>
      </c>
      <c r="F65" s="278">
        <f>IF($C$1="APM",Monthly!O1695/FinSnapshot!E$60,IF($C$1="Yearly",Monthly!O1695*12/FinSnapshot!E$60,0))</f>
        <v>9.9975006248437899E-4</v>
      </c>
      <c r="G65" s="278">
        <f>IF($C$1="APM",Monthly!O1617/FinSnapshot!F$60,IF($C$1="Yearly",Monthly!O1617*12/FinSnapshot!F$60,0))</f>
        <v>1.7374349142720202E-3</v>
      </c>
      <c r="H65" s="278">
        <f>IF($C$1="APM",Monthly!O1539/FinSnapshot!G$60,IF($C$1="Yearly",Monthly!O1539*12/FinSnapshot!G$60,0))</f>
        <v>2.9039702877987398E-3</v>
      </c>
      <c r="I65" s="278">
        <f>IF($C$1="APM",Monthly!O1462/FinSnapshot!H$60,IF($C$1="Yearly",Monthly!O1462*12/FinSnapshot!H$60,0))</f>
        <v>2.8682367173323447E-3</v>
      </c>
      <c r="J65" s="278">
        <f>IF($C$1="APM",Monthly!O1385/FinSnapshot!I$60,IF($C$1="Yearly",Monthly!O1385*12/FinSnapshot!I$60,0))</f>
        <v>2.4109471042886776E-3</v>
      </c>
      <c r="K65" s="278">
        <f>IF($C$1="APM",Monthly!O1308/FinSnapshot!J$60,IF($C$1="Yearly",Monthly!O1308*12/FinSnapshot!J$60,0))</f>
        <v>3.8933299317924458E-3</v>
      </c>
      <c r="L65" s="278">
        <f>IF($C$1="APM",Monthly!O1230/FinSnapshot!K$60,IF($C$1="Yearly",Monthly!O1230*12/FinSnapshot!K$60,0))</f>
        <v>1.2035983869299969E-3</v>
      </c>
      <c r="M65" s="278">
        <f>IF($C$1="APM",Monthly!O1153/FinSnapshot!L$60,IF($C$1="Yearly",Monthly!O1153*12/FinSnapshot!L$60,0))</f>
        <v>4.3363506617920189E-3</v>
      </c>
      <c r="N65" s="278">
        <f>IF($C$1="APM",Monthly!O1076/FinSnapshot!M$60,IF($C$1="Yearly",Monthly!O1076*12/FinSnapshot!M$60,0))</f>
        <v>4.4372059355772707E-3</v>
      </c>
      <c r="O65" s="278">
        <f>IF($C$1="APM",Monthly!O999/FinSnapshot!N$60,IF($C$1="Yearly",Monthly!O999*12/FinSnapshot!N$60,0))</f>
        <v>4.3171567131278189E-3</v>
      </c>
      <c r="P65" s="278">
        <f>IF($C$1="APM",Monthly!$O923/FinSnapshot!O$60,IF($C$1="Yearly",Monthly!$O923*12/FinSnapshot!O$60,0))</f>
        <v>3.870380207938074E-3</v>
      </c>
      <c r="Q65" s="278">
        <f>IF($C$1="APM",Monthly!$O846/FinSnapshot!P$60,IF($C$1="Yearly",Monthly!$O846*12/FinSnapshot!P$60,0))</f>
        <v>4.5380875202593188E-3</v>
      </c>
      <c r="R65" s="278">
        <f>IF($C$1="APM",Monthly!$O769/FinSnapshot!Q$60,IF($C$1="Yearly",Monthly!$O769*12/FinSnapshot!Q$60,0))</f>
        <v>3.3483856345970604E-3</v>
      </c>
    </row>
    <row r="66" spans="1:18" ht="15">
      <c r="A66" s="276"/>
      <c r="B66" s="155" t="s">
        <v>434</v>
      </c>
      <c r="C66" s="278">
        <f>IF($C$1="APM",Monthly!O1928/FinSnapshot!$B$60,IF($C$1="Yearly",Monthly!O1928*12/FinSnapshot!$B$60,0))</f>
        <v>0</v>
      </c>
      <c r="D66" s="278">
        <f>IF($C$1="APM",Monthly!O1851/FinSnapshot!C$60,IF($C$1="Yearly",Monthly!O1851*12/FinSnapshot!C$60,0))</f>
        <v>0</v>
      </c>
      <c r="E66" s="278">
        <f>IF($C$1="APM",Monthly!O1774/FinSnapshot!D$60,IF($C$1="Yearly",Monthly!O1774*12/FinSnapshot!D$60,0))</f>
        <v>0</v>
      </c>
      <c r="F66" s="278">
        <f>IF($C$1="APM",Monthly!O1696/FinSnapshot!E$60,IF($C$1="Yearly",Monthly!O1696*12/FinSnapshot!E$60,0))</f>
        <v>0</v>
      </c>
      <c r="G66" s="278">
        <f>IF($C$1="APM",Monthly!O1618/FinSnapshot!F$60,IF($C$1="Yearly",Monthly!O1618*12/FinSnapshot!F$60,0))</f>
        <v>0</v>
      </c>
      <c r="H66" s="278">
        <f>IF($C$1="APM",Monthly!O1540/FinSnapshot!G$60,IF($C$1="Yearly",Monthly!O1540*12/FinSnapshot!G$60,0))</f>
        <v>0</v>
      </c>
      <c r="I66" s="278">
        <f>IF($C$1="APM",Monthly!O1463/FinSnapshot!H$60,IF($C$1="Yearly",Monthly!O1463*12/FinSnapshot!H$60,0))</f>
        <v>0</v>
      </c>
      <c r="J66" s="278">
        <f>IF($C$1="APM",Monthly!O1386/FinSnapshot!I$60,IF($C$1="Yearly",Monthly!O1386*12/FinSnapshot!I$60,0))</f>
        <v>0</v>
      </c>
      <c r="K66" s="278">
        <f>IF($C$1="APM",Monthly!O1309/FinSnapshot!J$60,IF($C$1="Yearly",Monthly!O1309*12/FinSnapshot!J$60,0))</f>
        <v>0</v>
      </c>
      <c r="L66" s="278">
        <f>IF($C$1="APM",Monthly!O1231/FinSnapshot!K$60,IF($C$1="Yearly",Monthly!O1231*12/FinSnapshot!K$60,0))</f>
        <v>0</v>
      </c>
      <c r="M66" s="278">
        <f>IF($C$1="APM",Monthly!O1154/FinSnapshot!L$60,IF($C$1="Yearly",Monthly!O1154*12/FinSnapshot!L$60,0))</f>
        <v>0</v>
      </c>
      <c r="N66" s="278">
        <f>IF($C$1="APM",Monthly!O1077/FinSnapshot!M$60,IF($C$1="Yearly",Monthly!O1077*12/FinSnapshot!M$60,0))</f>
        <v>0</v>
      </c>
      <c r="O66" s="278">
        <f>IF($C$1="APM",Monthly!O1000/FinSnapshot!N$60,IF($C$1="Yearly",Monthly!O1000*12/FinSnapshot!N$60,0))</f>
        <v>0</v>
      </c>
      <c r="P66" s="278">
        <f>IF($C$1="APM",Monthly!$O924/FinSnapshot!O$60,IF($C$1="Yearly",Monthly!$O924*12/FinSnapshot!O$60,0))</f>
        <v>7.1102912417323888E-3</v>
      </c>
      <c r="Q66" s="278">
        <f>IF($C$1="APM",Monthly!$O847/FinSnapshot!P$60,IF($C$1="Yearly",Monthly!$O847*12/FinSnapshot!P$60,0))</f>
        <v>7.3128038897893027E-3</v>
      </c>
      <c r="R66" s="278">
        <f>IF($C$1="APM",Monthly!$O770/FinSnapshot!Q$60,IF($C$1="Yearly",Monthly!$O770*12/FinSnapshot!Q$60,0))</f>
        <v>2.968219580013988E-3</v>
      </c>
    </row>
    <row r="67" spans="1:18">
      <c r="A67" s="2331" t="s">
        <v>435</v>
      </c>
      <c r="B67" s="2332"/>
      <c r="C67" s="2327">
        <f>SUM(C69:C71)</f>
        <v>6.3267530979451453E-2</v>
      </c>
      <c r="D67" s="2327">
        <f t="shared" ref="D67:R67" si="11">SUM(D69:D71)</f>
        <v>3.4924826133379508E-2</v>
      </c>
      <c r="E67" s="2327">
        <f t="shared" si="11"/>
        <v>7.2590412974304588E-2</v>
      </c>
      <c r="F67" s="2327">
        <f t="shared" si="11"/>
        <v>3.046113471632092E-2</v>
      </c>
      <c r="G67" s="2327">
        <f t="shared" si="11"/>
        <v>1.3943051349643799E-3</v>
      </c>
      <c r="H67" s="2327">
        <f t="shared" si="11"/>
        <v>1.4428147114115842E-2</v>
      </c>
      <c r="I67" s="2327">
        <f t="shared" si="11"/>
        <v>2.5228776023882463E-2</v>
      </c>
      <c r="J67" s="2327">
        <f t="shared" si="11"/>
        <v>2.2662902780313562E-2</v>
      </c>
      <c r="K67" s="2327">
        <f t="shared" si="11"/>
        <v>2.0666239254174591E-2</v>
      </c>
      <c r="L67" s="2327">
        <f t="shared" si="11"/>
        <v>1.9853169268948404E-3</v>
      </c>
      <c r="M67" s="2327">
        <f t="shared" si="11"/>
        <v>1.1300318676806976E-3</v>
      </c>
      <c r="N67" s="2327">
        <f t="shared" si="11"/>
        <v>2.49728555917481E-4</v>
      </c>
      <c r="O67" s="2327">
        <f t="shared" si="11"/>
        <v>2.5160240105809341E-2</v>
      </c>
      <c r="P67" s="2327">
        <f t="shared" si="11"/>
        <v>4.6351159654642992E-3</v>
      </c>
      <c r="Q67" s="2327">
        <f t="shared" si="11"/>
        <v>4.4836304700162071E-3</v>
      </c>
      <c r="R67" s="2327">
        <f t="shared" si="11"/>
        <v>1.2428505630600443E-3</v>
      </c>
    </row>
    <row r="68" spans="1:18">
      <c r="A68" s="2333"/>
      <c r="B68" s="2334"/>
      <c r="C68" s="2328"/>
      <c r="D68" s="2328"/>
      <c r="E68" s="2328"/>
      <c r="F68" s="2328"/>
      <c r="G68" s="2328"/>
      <c r="H68" s="2328"/>
      <c r="I68" s="2328"/>
      <c r="J68" s="2328"/>
      <c r="K68" s="2328"/>
      <c r="L68" s="2328"/>
      <c r="M68" s="2328"/>
      <c r="N68" s="2328"/>
      <c r="O68" s="2328"/>
      <c r="P68" s="2328"/>
      <c r="Q68" s="2328"/>
      <c r="R68" s="2328"/>
    </row>
    <row r="69" spans="1:18" ht="21" customHeight="1">
      <c r="A69" s="276"/>
      <c r="B69" s="155" t="s">
        <v>405</v>
      </c>
      <c r="C69" s="278">
        <f>IF($C$1="APM",Monthly!O1931/FinSnapshot!$B$60,IF($C$1="Yearly",Monthly!O1931*12/FinSnapshot!$B$60,0))</f>
        <v>1.9990066791553063E-2</v>
      </c>
      <c r="D69" s="278">
        <f>IF($C$1="APM",Monthly!O1854/FinSnapshot!C$60,IF($C$1="Yearly",Monthly!O1854*12/FinSnapshot!C$60,0))</f>
        <v>5.7715060745101437E-3</v>
      </c>
      <c r="E69" s="278">
        <f>IF($C$1="APM",Monthly!O1777/FinSnapshot!D$60,IF($C$1="Yearly",Monthly!O1777*12/FinSnapshot!D$60,0))</f>
        <v>4.5286892257159476E-2</v>
      </c>
      <c r="F69" s="278">
        <f>IF($C$1="APM",Monthly!O1699/FinSnapshot!E$60,IF($C$1="Yearly",Monthly!O1699*12/FinSnapshot!E$60,0))</f>
        <v>0</v>
      </c>
      <c r="G69" s="278">
        <f>IF($C$1="APM",Monthly!O1621/FinSnapshot!F$60,IF($C$1="Yearly",Monthly!O1621*12/FinSnapshot!F$60,0))</f>
        <v>1.0348358423563757E-4</v>
      </c>
      <c r="H69" s="278">
        <f>IF($C$1="APM",Monthly!O1543/FinSnapshot!G$60,IF($C$1="Yearly",Monthly!O1543*12/FinSnapshot!G$60,0))</f>
        <v>0</v>
      </c>
      <c r="I69" s="278">
        <f>IF($C$1="APM",Monthly!O1466/FinSnapshot!H$60,IF($C$1="Yearly",Monthly!O1466*12/FinSnapshot!H$60,0))</f>
        <v>0</v>
      </c>
      <c r="J69" s="278">
        <f>IF($C$1="APM",Monthly!O1389/FinSnapshot!I$60,IF($C$1="Yearly",Monthly!O1389*12/FinSnapshot!I$60,0))</f>
        <v>3.745160550351343E-3</v>
      </c>
      <c r="K69" s="278">
        <f>IF($C$1="APM",Monthly!O1312/FinSnapshot!J$60,IF($C$1="Yearly",Monthly!O1312*12/FinSnapshot!J$60,0))</f>
        <v>3.4152016945547766E-3</v>
      </c>
      <c r="L69" s="278">
        <f>IF($C$1="APM",Monthly!O1234/FinSnapshot!K$60,IF($C$1="Yearly",Monthly!O1234*12/FinSnapshot!K$60,0))</f>
        <v>0</v>
      </c>
      <c r="M69" s="278">
        <f>IF($C$1="APM",Monthly!O1157/FinSnapshot!L$60,IF($C$1="Yearly",Monthly!O1157*12/FinSnapshot!L$60,0))</f>
        <v>0</v>
      </c>
      <c r="N69" s="278">
        <f>IF($C$1="APM",Monthly!O1080/FinSnapshot!M$60,IF($C$1="Yearly",Monthly!O1080*12/FinSnapshot!M$60,0))</f>
        <v>0</v>
      </c>
      <c r="O69" s="278">
        <f>IF($C$1="APM",Monthly!O1003/FinSnapshot!N$60,IF($C$1="Yearly",Monthly!O1003*12/FinSnapshot!N$60,0))</f>
        <v>0</v>
      </c>
      <c r="P69" s="278">
        <f>IF($C$1="APM",Monthly!$O927/FinSnapshot!O$60,IF($C$1="Yearly",Monthly!$O927*12/FinSnapshot!O$60,0))</f>
        <v>0</v>
      </c>
      <c r="Q69" s="278">
        <f>IF($C$1="APM",Monthly!$O850/FinSnapshot!P$60,IF($C$1="Yearly",Monthly!$O850*12/FinSnapshot!P$60,0))</f>
        <v>0</v>
      </c>
      <c r="R69" s="278">
        <f>IF($C$1="APM",Monthly!$O773/FinSnapshot!Q$60,IF($C$1="Yearly",Monthly!$O773*12/FinSnapshot!Q$60,0))</f>
        <v>0</v>
      </c>
    </row>
    <row r="70" spans="1:18" ht="15">
      <c r="A70" s="276"/>
      <c r="B70" s="155" t="s">
        <v>436</v>
      </c>
      <c r="C70" s="278">
        <f>IF($C$1="APM",Monthly!O1932/FinSnapshot!$B$60,IF($C$1="Yearly",Monthly!O1932*12/FinSnapshot!$B$60,0))</f>
        <v>0</v>
      </c>
      <c r="D70" s="278">
        <f>IF($C$1="APM",Monthly!O1855/FinSnapshot!C$60,IF($C$1="Yearly",Monthly!O1855*12/FinSnapshot!C$60,0))</f>
        <v>3.7514789484315931E-4</v>
      </c>
      <c r="E70" s="278">
        <f>IF($C$1="APM",Monthly!O1778/FinSnapshot!D$60,IF($C$1="Yearly",Monthly!O1778*12/FinSnapshot!D$60,0))</f>
        <v>1.0948780237451671E-4</v>
      </c>
      <c r="F70" s="278">
        <f>IF($C$1="APM",Monthly!O1700/FinSnapshot!E$60,IF($C$1="Yearly",Monthly!O1700*12/FinSnapshot!E$60,0))</f>
        <v>3.1242189452636841E-4</v>
      </c>
      <c r="G70" s="278">
        <f>IF($C$1="APM",Monthly!O1622/FinSnapshot!F$60,IF($C$1="Yearly",Monthly!O1622*12/FinSnapshot!F$60,0))</f>
        <v>0</v>
      </c>
      <c r="H70" s="278">
        <f>IF($C$1="APM",Monthly!O1544/FinSnapshot!G$60,IF($C$1="Yearly",Monthly!O1544*12/FinSnapshot!G$60,0))</f>
        <v>1.1310200068268775E-3</v>
      </c>
      <c r="I70" s="278">
        <f>IF($C$1="APM",Monthly!O1467/FinSnapshot!H$60,IF($C$1="Yearly",Monthly!O1467*12/FinSnapshot!H$60,0))</f>
        <v>1.2585120290335798E-3</v>
      </c>
      <c r="J70" s="278">
        <f>IF($C$1="APM",Monthly!O1390/FinSnapshot!I$60,IF($C$1="Yearly",Monthly!O1390*12/FinSnapshot!I$60,0))</f>
        <v>2.4343543577283729E-4</v>
      </c>
      <c r="K70" s="278">
        <f>IF($C$1="APM",Monthly!O1313/FinSnapshot!J$60,IF($C$1="Yearly",Monthly!O1313*12/FinSnapshot!J$60,0))</f>
        <v>2.2198811014606049E-4</v>
      </c>
      <c r="L70" s="278">
        <f>IF($C$1="APM",Monthly!O1235/FinSnapshot!K$60,IF($C$1="Yearly",Monthly!O1235*12/FinSnapshot!K$60,0))</f>
        <v>1.348361079516079E-3</v>
      </c>
      <c r="M70" s="278">
        <f>IF($C$1="APM",Monthly!O1158/FinSnapshot!L$60,IF($C$1="Yearly",Monthly!O1158*12/FinSnapshot!L$60,0))</f>
        <v>5.2786955756710786E-4</v>
      </c>
      <c r="N70" s="278">
        <f>IF($C$1="APM",Monthly!O1081/FinSnapshot!M$60,IF($C$1="Yearly",Monthly!O1081*12/FinSnapshot!M$60,0))</f>
        <v>2.49728555917481E-4</v>
      </c>
      <c r="O70" s="278">
        <f>IF($C$1="APM",Monthly!O1004/FinSnapshot!N$60,IF($C$1="Yearly",Monthly!O1004*12/FinSnapshot!N$60,0))</f>
        <v>3.0996710414759048E-3</v>
      </c>
      <c r="P70" s="278">
        <f>IF($C$1="APM",Monthly!$O928/FinSnapshot!O$60,IF($C$1="Yearly",Monthly!$O928*12/FinSnapshot!O$60,0))</f>
        <v>2.7728968307248643E-3</v>
      </c>
      <c r="Q70" s="278">
        <f>IF($C$1="APM",Monthly!$O851/FinSnapshot!P$60,IF($C$1="Yearly",Monthly!$O851*12/FinSnapshot!P$60,0))</f>
        <v>1.7115072933549433E-3</v>
      </c>
      <c r="R70" s="278">
        <f>IF($C$1="APM",Monthly!$O774/FinSnapshot!Q$60,IF($C$1="Yearly",Monthly!$O774*12/FinSnapshot!Q$60,0))</f>
        <v>9.4797817456932789E-4</v>
      </c>
    </row>
    <row r="71" spans="1:18" ht="15">
      <c r="A71" s="276"/>
      <c r="B71" s="155" t="s">
        <v>130</v>
      </c>
      <c r="C71" s="278">
        <f>IF($C$1="APM",Monthly!O1933/FinSnapshot!$B$60,IF($C$1="Yearly",Monthly!O1933*12/FinSnapshot!$B$60,0))</f>
        <v>4.3277464187898386E-2</v>
      </c>
      <c r="D71" s="278">
        <f>IF($C$1="APM",Monthly!O1856/FinSnapshot!C$60,IF($C$1="Yearly",Monthly!O1856*12/FinSnapshot!C$60,0))</f>
        <v>2.8778172164026204E-2</v>
      </c>
      <c r="E71" s="278">
        <f>IF($C$1="APM",Monthly!O1779/FinSnapshot!D$60,IF($C$1="Yearly",Monthly!O1779*12/FinSnapshot!D$60,0))</f>
        <v>2.7194032914770589E-2</v>
      </c>
      <c r="F71" s="278">
        <f>IF($C$1="APM",Monthly!O1701/FinSnapshot!E$60,IF($C$1="Yearly",Monthly!O1701*12/FinSnapshot!E$60,0))</f>
        <v>3.014871282179455E-2</v>
      </c>
      <c r="G71" s="278">
        <f>IF($C$1="APM",Monthly!O1623/FinSnapshot!F$60,IF($C$1="Yearly",Monthly!O1623*12/FinSnapshot!F$60,0))</f>
        <v>1.2908215507287423E-3</v>
      </c>
      <c r="H71" s="278">
        <f>IF($C$1="APM",Monthly!O1545/FinSnapshot!G$60,IF($C$1="Yearly",Monthly!O1545*12/FinSnapshot!G$60,0))</f>
        <v>1.3297127107288965E-2</v>
      </c>
      <c r="I71" s="278">
        <f>IF($C$1="APM",Monthly!O1468/FinSnapshot!H$60,IF($C$1="Yearly",Monthly!O1468*12/FinSnapshot!H$60,0))</f>
        <v>2.3970263994848882E-2</v>
      </c>
      <c r="J71" s="278">
        <f>IF($C$1="APM",Monthly!O1391/FinSnapshot!I$60,IF($C$1="Yearly",Monthly!O1391*12/FinSnapshot!I$60,0))</f>
        <v>1.8674306794189383E-2</v>
      </c>
      <c r="K71" s="278">
        <f>IF($C$1="APM",Monthly!O1314/FinSnapshot!J$60,IF($C$1="Yearly",Monthly!O1314*12/FinSnapshot!J$60,0))</f>
        <v>1.7029049449473754E-2</v>
      </c>
      <c r="L71" s="278">
        <f>IF($C$1="APM",Monthly!O1236/FinSnapshot!K$60,IF($C$1="Yearly",Monthly!O1236*12/FinSnapshot!K$60,0))</f>
        <v>6.3695584737876126E-4</v>
      </c>
      <c r="M71" s="278">
        <f>IF($C$1="APM",Monthly!O1159/FinSnapshot!L$60,IF($C$1="Yearly",Monthly!O1159*12/FinSnapshot!L$60,0))</f>
        <v>6.021623101135897E-4</v>
      </c>
      <c r="N71" s="278">
        <f>IF($C$1="APM",Monthly!O1082/FinSnapshot!M$60,IF($C$1="Yearly",Monthly!O1082*12/FinSnapshot!M$60,0))</f>
        <v>0</v>
      </c>
      <c r="O71" s="278">
        <f>IF($C$1="APM",Monthly!O1005/FinSnapshot!N$60,IF($C$1="Yearly",Monthly!O1005*12/FinSnapshot!N$60,0))</f>
        <v>2.2060569064333437E-2</v>
      </c>
      <c r="P71" s="278">
        <f>IF($C$1="APM",Monthly!$O929/FinSnapshot!O$60,IF($C$1="Yearly",Monthly!$O929*12/FinSnapshot!O$60,0))</f>
        <v>1.8622191347394353E-3</v>
      </c>
      <c r="Q71" s="278">
        <f>IF($C$1="APM",Monthly!$O852/FinSnapshot!P$60,IF($C$1="Yearly",Monthly!$O852*12/FinSnapshot!P$60,0))</f>
        <v>2.7721231766612642E-3</v>
      </c>
      <c r="R71" s="278">
        <f>IF($C$1="APM",Monthly!$O775/FinSnapshot!Q$60,IF($C$1="Yearly",Monthly!$O775*12/FinSnapshot!Q$60,0))</f>
        <v>2.9487238849071638E-4</v>
      </c>
    </row>
    <row r="72" spans="1:18">
      <c r="A72" s="2331" t="s">
        <v>286</v>
      </c>
      <c r="B72" s="2332"/>
      <c r="C72" s="2327">
        <f>SUM(C74:C75)</f>
        <v>9.4454782949778215E-2</v>
      </c>
      <c r="D72" s="2327">
        <f t="shared" ref="D72:R72" si="12">SUM(D74:D75)</f>
        <v>5.8133494935503419E-2</v>
      </c>
      <c r="E72" s="2327">
        <f t="shared" si="12"/>
        <v>1.8886645909604136E-2</v>
      </c>
      <c r="F72" s="2327">
        <f t="shared" si="12"/>
        <v>0.13137965508622845</v>
      </c>
      <c r="G72" s="2327">
        <f t="shared" si="12"/>
        <v>0.1168819851419359</v>
      </c>
      <c r="H72" s="2327">
        <f t="shared" si="12"/>
        <v>0.10471105495636403</v>
      </c>
      <c r="I72" s="2327">
        <f t="shared" si="12"/>
        <v>5.2194103529687223E-2</v>
      </c>
      <c r="J72" s="2327">
        <f t="shared" si="12"/>
        <v>2.3224676862866264E-2</v>
      </c>
      <c r="K72" s="2327">
        <f t="shared" si="12"/>
        <v>3.4399619068402991E-2</v>
      </c>
      <c r="L72" s="2327">
        <f t="shared" si="12"/>
        <v>3.6707682762899388E-2</v>
      </c>
      <c r="M72" s="2327">
        <f t="shared" si="12"/>
        <v>3.8495376253690199E-2</v>
      </c>
      <c r="N72" s="2327">
        <f t="shared" si="12"/>
        <v>4.1621425986246831E-2</v>
      </c>
      <c r="O72" s="2327">
        <f t="shared" si="12"/>
        <v>2.6011462678468478E-2</v>
      </c>
      <c r="P72" s="2327">
        <f t="shared" si="12"/>
        <v>2.6269548922656611E-2</v>
      </c>
      <c r="Q72" s="2327">
        <f t="shared" si="12"/>
        <v>1.8152350081037279E-2</v>
      </c>
      <c r="R72" s="2327">
        <f t="shared" si="12"/>
        <v>1.035708802550037E-2</v>
      </c>
    </row>
    <row r="73" spans="1:18">
      <c r="A73" s="2333"/>
      <c r="B73" s="2334"/>
      <c r="C73" s="2328"/>
      <c r="D73" s="2328"/>
      <c r="E73" s="2328"/>
      <c r="F73" s="2328"/>
      <c r="G73" s="2328"/>
      <c r="H73" s="2328"/>
      <c r="I73" s="2328"/>
      <c r="J73" s="2328"/>
      <c r="K73" s="2328"/>
      <c r="L73" s="2328"/>
      <c r="M73" s="2328"/>
      <c r="N73" s="2328"/>
      <c r="O73" s="2328"/>
      <c r="P73" s="2328"/>
      <c r="Q73" s="2328"/>
      <c r="R73" s="2328"/>
    </row>
    <row r="74" spans="1:18" ht="15">
      <c r="A74" s="2329"/>
      <c r="B74" s="155" t="s">
        <v>82</v>
      </c>
      <c r="C74" s="278">
        <f>IF($C$1="APM",Monthly!O1936/FinSnapshot!$B$60,IF($C$1="Yearly",Monthly!O1936*12/FinSnapshot!$B$60,0))</f>
        <v>5.1520790699879034E-2</v>
      </c>
      <c r="D74" s="278">
        <f>IF($C$1="APM",Monthly!O1859/FinSnapshot!C$60,IF($C$1="Yearly",Monthly!O1859*12/FinSnapshot!C$60,0))</f>
        <v>3.6071912965688395E-2</v>
      </c>
      <c r="E74" s="278">
        <f>IF($C$1="APM",Monthly!O1782/FinSnapshot!D$60,IF($C$1="Yearly",Monthly!O1782*12/FinSnapshot!D$60,0))</f>
        <v>1.0264481472610942E-2</v>
      </c>
      <c r="F74" s="278">
        <f>IF($C$1="APM",Monthly!O1704/FinSnapshot!E$60,IF($C$1="Yearly",Monthly!O1704*12/FinSnapshot!E$60,0))</f>
        <v>0.11263434141464634</v>
      </c>
      <c r="G74" s="278">
        <f>IF($C$1="APM",Monthly!O1626/FinSnapshot!F$60,IF($C$1="Yearly",Monthly!O1626*12/FinSnapshot!F$60,0))</f>
        <v>0.1168819851419359</v>
      </c>
      <c r="H74" s="278">
        <f>IF($C$1="APM",Monthly!O1548/FinSnapshot!G$60,IF($C$1="Yearly",Monthly!O1548*12/FinSnapshot!G$60,0))</f>
        <v>0.10216371259864583</v>
      </c>
      <c r="I74" s="278">
        <f>IF($C$1="APM",Monthly!O1471/FinSnapshot!H$60,IF($C$1="Yearly",Monthly!O1471*12/FinSnapshot!H$60,0))</f>
        <v>4.9755126729234551E-2</v>
      </c>
      <c r="J74" s="278">
        <f>IF($C$1="APM",Monthly!O1394/FinSnapshot!I$60,IF($C$1="Yearly",Monthly!O1394*12/FinSnapshot!I$60,0))</f>
        <v>1.7326048996062899E-2</v>
      </c>
      <c r="K74" s="278">
        <f>IF($C$1="APM",Monthly!O1317/FinSnapshot!J$60,IF($C$1="Yearly",Monthly!O1317*12/FinSnapshot!J$60,0))</f>
        <v>2.1345010590967356E-2</v>
      </c>
      <c r="L74" s="278">
        <f>IF($C$1="APM",Monthly!O1239/FinSnapshot!K$60,IF($C$1="Yearly",Monthly!O1239*12/FinSnapshot!K$60,0))</f>
        <v>3.6707682762899388E-2</v>
      </c>
      <c r="M74" s="278">
        <f>IF($C$1="APM",Monthly!O1162/FinSnapshot!L$60,IF($C$1="Yearly",Monthly!O1162*12/FinSnapshot!L$60,0))</f>
        <v>3.8495376253690199E-2</v>
      </c>
      <c r="N74" s="278">
        <f>IF($C$1="APM",Monthly!O1085/FinSnapshot!M$60,IF($C$1="Yearly",Monthly!O1085*12/FinSnapshot!M$60,0))</f>
        <v>4.1621425986246831E-2</v>
      </c>
      <c r="O74" s="278">
        <f>IF($C$1="APM",Monthly!O1008/FinSnapshot!N$60,IF($C$1="Yearly",Monthly!O1008*12/FinSnapshot!N$60,0))</f>
        <v>2.6011462678468478E-2</v>
      </c>
      <c r="P74" s="278">
        <f>IF($C$1="APM",Monthly!$O932/FinSnapshot!O$60,IF($C$1="Yearly",Monthly!$O932*12/FinSnapshot!O$60,0))</f>
        <v>2.6269548922656611E-2</v>
      </c>
      <c r="Q74" s="278">
        <f>IF($C$1="APM",Monthly!$O855/FinSnapshot!P$60,IF($C$1="Yearly",Monthly!$O855*12/FinSnapshot!P$60,0))</f>
        <v>1.8152350081037279E-2</v>
      </c>
      <c r="R74" s="278">
        <f>IF($C$1="APM",Monthly!$O778/FinSnapshot!Q$60,IF($C$1="Yearly",Monthly!$O778*12/FinSnapshot!Q$60,0))</f>
        <v>1.035708802550037E-2</v>
      </c>
    </row>
    <row r="75" spans="1:18" ht="15">
      <c r="A75" s="2330"/>
      <c r="B75" s="155" t="s">
        <v>83</v>
      </c>
      <c r="C75" s="278">
        <f>IF($C$1="APM",Monthly!O1937/FinSnapshot!$B$60,IF($C$1="Yearly",Monthly!O1937*12/FinSnapshot!$B$60,0))</f>
        <v>4.2933992249899189E-2</v>
      </c>
      <c r="D75" s="278">
        <f>IF($C$1="APM",Monthly!O1860/FinSnapshot!C$60,IF($C$1="Yearly",Monthly!O1860*12/FinSnapshot!C$60,0))</f>
        <v>2.2061581969815024E-2</v>
      </c>
      <c r="E75" s="278">
        <f>IF($C$1="APM",Monthly!O1783/FinSnapshot!D$60,IF($C$1="Yearly",Monthly!O1783*12/FinSnapshot!D$60,0))</f>
        <v>8.6221644369931915E-3</v>
      </c>
      <c r="F75" s="278">
        <f>IF($C$1="APM",Monthly!O1705/FinSnapshot!E$60,IF($C$1="Yearly",Monthly!O1705*12/FinSnapshot!E$60,0))</f>
        <v>1.8745313671582105E-2</v>
      </c>
      <c r="G75" s="278">
        <f>IF($C$1="APM",Monthly!O1627/FinSnapshot!F$60,IF($C$1="Yearly",Monthly!O1627*12/FinSnapshot!F$60,0))</f>
        <v>0</v>
      </c>
      <c r="H75" s="278">
        <f>IF($C$1="APM",Monthly!O1549/FinSnapshot!G$60,IF($C$1="Yearly",Monthly!O1549*12/FinSnapshot!G$60,0))</f>
        <v>2.5473423577181925E-3</v>
      </c>
      <c r="I75" s="278">
        <f>IF($C$1="APM",Monthly!O1472/FinSnapshot!H$60,IF($C$1="Yearly",Monthly!O1472*12/FinSnapshot!H$60,0))</f>
        <v>2.438976800452674E-3</v>
      </c>
      <c r="J75" s="278">
        <f>IF($C$1="APM",Monthly!O1395/FinSnapshot!I$60,IF($C$1="Yearly",Monthly!O1395*12/FinSnapshot!I$60,0))</f>
        <v>5.8986278668033652E-3</v>
      </c>
      <c r="K75" s="278">
        <f>IF($C$1="APM",Monthly!O1318/FinSnapshot!J$60,IF($C$1="Yearly",Monthly!O1318*12/FinSnapshot!J$60,0))</f>
        <v>1.3054608477435635E-2</v>
      </c>
      <c r="L75" s="278">
        <f>IF($C$1="APM",Monthly!O1240/FinSnapshot!K$60,IF($C$1="Yearly",Monthly!O1240*12/FinSnapshot!K$60,0))</f>
        <v>0</v>
      </c>
      <c r="M75" s="278">
        <f>IF($C$1="APM",Monthly!O1163/FinSnapshot!L$60,IF($C$1="Yearly",Monthly!O1163*12/FinSnapshot!L$60,0))</f>
        <v>0</v>
      </c>
      <c r="N75" s="278">
        <f>IF($C$1="APM",Monthly!O1086/FinSnapshot!M$60,IF($C$1="Yearly",Monthly!O1086*12/FinSnapshot!M$60,0))</f>
        <v>0</v>
      </c>
      <c r="O75" s="278">
        <f>IF($C$1="APM",Monthly!O1009/FinSnapshot!N$60,IF($C$1="Yearly",Monthly!O1009*12/FinSnapshot!N$60,0))</f>
        <v>0</v>
      </c>
      <c r="P75" s="278">
        <f>IF($C$1="APM",Monthly!$O933/FinSnapshot!O$60,IF($C$1="Yearly",Monthly!$O933*12/FinSnapshot!O$60,0))</f>
        <v>0</v>
      </c>
      <c r="Q75" s="278">
        <f>IF($C$1="APM",Monthly!$O856/FinSnapshot!P$60,IF($C$1="Yearly",Monthly!$O856*12/FinSnapshot!P$60,0))</f>
        <v>0</v>
      </c>
      <c r="R75" s="278">
        <f>IF($C$1="APM",Monthly!$O779/FinSnapshot!Q$60,IF($C$1="Yearly",Monthly!$O779*12/FinSnapshot!Q$60,0))</f>
        <v>0</v>
      </c>
    </row>
    <row r="76" spans="1:18" ht="17.100000000000001" customHeight="1">
      <c r="A76" s="2325" t="s">
        <v>287</v>
      </c>
      <c r="B76" s="2326"/>
      <c r="C76" s="2198">
        <f>FinSnapshot!B85/FinSnapshot!B60</f>
        <v>0.24946366856881427</v>
      </c>
      <c r="D76" s="2198">
        <f>FinSnapshot!C85/FinSnapshot!C60</f>
        <v>0.3073471272328514</v>
      </c>
      <c r="E76" s="2198">
        <f>FinSnapshot!D85/FinSnapshot!D60</f>
        <v>0.29105963663735585</v>
      </c>
      <c r="F76" s="2198">
        <f>FinSnapshot!E85/FinSnapshot!E60</f>
        <v>0.34490127468132969</v>
      </c>
      <c r="G76" s="2198">
        <f>FinSnapshot!F85/FinSnapshot!F60</f>
        <v>0.29728655149125294</v>
      </c>
      <c r="H76" s="2198">
        <f>FinSnapshot!G85/FinSnapshot!G60</f>
        <v>0.27902059781030453</v>
      </c>
      <c r="I76" s="2198">
        <f>FinSnapshot!H85/FinSnapshot!H60</f>
        <v>0.28580213069013288</v>
      </c>
      <c r="J76" s="2198">
        <f>FinSnapshot!I85/FinSnapshot!I60</f>
        <v>0.30282900065072166</v>
      </c>
      <c r="K76" s="2198">
        <f>FinSnapshot!J85/FinSnapshot!J60</f>
        <v>0.28070396527969349</v>
      </c>
      <c r="L76" s="2198">
        <f>FinSnapshot!K85/FinSnapshot!K60</f>
        <v>0.26284768896701477</v>
      </c>
      <c r="M76" s="2198">
        <f>FinSnapshot!L85/FinSnapshot!L60</f>
        <v>0.29201352910125322</v>
      </c>
      <c r="N76" s="2198">
        <f>FinSnapshot!M85/FinSnapshot!M60</f>
        <v>0.28534925805284111</v>
      </c>
      <c r="O76" s="2198">
        <f>FinSnapshot!N85/FinSnapshot!N60</f>
        <v>0.32402414623393361</v>
      </c>
      <c r="P76" s="2198">
        <f>FinSnapshot!O85/FinSnapshot!O60</f>
        <v>0.32916620451719486</v>
      </c>
      <c r="Q76" s="2198">
        <f>FinSnapshot!P85/FinSnapshot!P60</f>
        <v>0.62574781199351703</v>
      </c>
      <c r="R76" s="2198">
        <f>FinSnapshot!Q85/FinSnapshot!Q60</f>
        <v>0.38019529812573261</v>
      </c>
    </row>
    <row r="77" spans="1:18" ht="18" customHeight="1">
      <c r="A77" s="2343" t="s">
        <v>437</v>
      </c>
      <c r="B77" s="2344"/>
      <c r="C77" s="279">
        <f>C6+C20+C28+C34+C38+C48+C57+C61+ C68+ C67+C72</f>
        <v>0.67069765333102516</v>
      </c>
      <c r="D77" s="279">
        <f t="shared" ref="D77:R77" si="13">D6+D20+D28+D34+D38+D48+D57+D61+ D68+ D67+D72</f>
        <v>0.53285610192479727</v>
      </c>
      <c r="E77" s="279">
        <f t="shared" si="13"/>
        <v>0.54175933212440563</v>
      </c>
      <c r="F77" s="279">
        <f t="shared" si="13"/>
        <v>0.51345288677830547</v>
      </c>
      <c r="G77" s="279">
        <f t="shared" si="13"/>
        <v>0.44415154353935637</v>
      </c>
      <c r="H77" s="279">
        <f t="shared" si="13"/>
        <v>0.45837387853252692</v>
      </c>
      <c r="I77" s="279">
        <f t="shared" si="13"/>
        <v>0.40246320178825429</v>
      </c>
      <c r="J77" s="279">
        <f t="shared" si="13"/>
        <v>0.38869938388262981</v>
      </c>
      <c r="K77" s="279">
        <f t="shared" si="13"/>
        <v>0.50873014688829332</v>
      </c>
      <c r="L77" s="279">
        <f t="shared" si="13"/>
        <v>0.40018742824599896</v>
      </c>
      <c r="M77" s="279">
        <f t="shared" si="13"/>
        <v>0.46086687441596014</v>
      </c>
      <c r="N77" s="279">
        <f t="shared" si="13"/>
        <v>0.48329641548740465</v>
      </c>
      <c r="O77" s="279">
        <f t="shared" si="13"/>
        <v>0.39704276460813248</v>
      </c>
      <c r="P77" s="279">
        <f t="shared" si="13"/>
        <v>0.31415753556605036</v>
      </c>
      <c r="Q77" s="279">
        <f t="shared" si="13"/>
        <v>0.30664246353322527</v>
      </c>
      <c r="R77" s="279">
        <f t="shared" si="13"/>
        <v>0.1630552922282848</v>
      </c>
    </row>
    <row r="78" spans="1:18" ht="15" customHeight="1">
      <c r="A78" s="2345" t="s">
        <v>329</v>
      </c>
      <c r="B78" s="2346"/>
      <c r="C78" s="280">
        <f>1-C76-C77</f>
        <v>7.9838678100160543E-2</v>
      </c>
      <c r="D78" s="280">
        <f t="shared" ref="D78:R78" si="14">1-D76-D77</f>
        <v>0.15979677084235133</v>
      </c>
      <c r="E78" s="280">
        <f t="shared" si="14"/>
        <v>0.16718103123823846</v>
      </c>
      <c r="F78" s="280">
        <f t="shared" si="14"/>
        <v>0.14164583854036483</v>
      </c>
      <c r="G78" s="280">
        <f t="shared" si="14"/>
        <v>0.25856190496939069</v>
      </c>
      <c r="H78" s="280">
        <f t="shared" si="14"/>
        <v>0.26260552365716855</v>
      </c>
      <c r="I78" s="280">
        <f t="shared" si="14"/>
        <v>0.31173466752161288</v>
      </c>
      <c r="J78" s="280">
        <f t="shared" si="14"/>
        <v>0.30847161546664847</v>
      </c>
      <c r="K78" s="280">
        <f t="shared" si="14"/>
        <v>0.21056588783201324</v>
      </c>
      <c r="L78" s="280">
        <f t="shared" si="14"/>
        <v>0.33696488278698622</v>
      </c>
      <c r="M78" s="280">
        <f t="shared" si="14"/>
        <v>0.24711959648278664</v>
      </c>
      <c r="N78" s="280">
        <f t="shared" si="14"/>
        <v>0.23135432645975418</v>
      </c>
      <c r="O78" s="280">
        <f t="shared" si="14"/>
        <v>0.27893308915793391</v>
      </c>
      <c r="P78" s="280">
        <f t="shared" si="14"/>
        <v>0.35667625991675483</v>
      </c>
      <c r="Q78" s="280">
        <f t="shared" si="14"/>
        <v>6.7609724473257693E-2</v>
      </c>
      <c r="R78" s="280">
        <f t="shared" si="14"/>
        <v>0.4567494096459826</v>
      </c>
    </row>
    <row r="81" spans="2:2" s="151" customFormat="1" ht="15" thickBot="1">
      <c r="B81" s="154">
        <f ca="1">12*15 + MONTH(TODAY())</f>
        <v>183</v>
      </c>
    </row>
  </sheetData>
  <mergeCells count="171">
    <mergeCell ref="A1:B1"/>
    <mergeCell ref="A6:B7"/>
    <mergeCell ref="C6:C7"/>
    <mergeCell ref="D6:D7"/>
    <mergeCell ref="E6:E7"/>
    <mergeCell ref="F6:F7"/>
    <mergeCell ref="A77:B77"/>
    <mergeCell ref="A78:B78"/>
    <mergeCell ref="M6:M7"/>
    <mergeCell ref="A38:B39"/>
    <mergeCell ref="I38:I39"/>
    <mergeCell ref="J38:J39"/>
    <mergeCell ref="K38:K39"/>
    <mergeCell ref="L38:L39"/>
    <mergeCell ref="H34:H35"/>
    <mergeCell ref="I34:I35"/>
    <mergeCell ref="J34:J35"/>
    <mergeCell ref="K34:K35"/>
    <mergeCell ref="L34:L35"/>
    <mergeCell ref="A34:B35"/>
    <mergeCell ref="C34:C35"/>
    <mergeCell ref="D34:D35"/>
    <mergeCell ref="E34:E35"/>
    <mergeCell ref="F34:F35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N20:N21"/>
    <mergeCell ref="O20:O21"/>
    <mergeCell ref="P20:P21"/>
    <mergeCell ref="Q20:Q21"/>
    <mergeCell ref="R20:R21"/>
    <mergeCell ref="A28:B29"/>
    <mergeCell ref="C28:C29"/>
    <mergeCell ref="D28:D29"/>
    <mergeCell ref="E28:E29"/>
    <mergeCell ref="F28:F29"/>
    <mergeCell ref="H20:H21"/>
    <mergeCell ref="I20:I21"/>
    <mergeCell ref="J20:J21"/>
    <mergeCell ref="K20:K21"/>
    <mergeCell ref="L20:L21"/>
    <mergeCell ref="M20:M21"/>
    <mergeCell ref="A20:B21"/>
    <mergeCell ref="C20:C21"/>
    <mergeCell ref="D20:D21"/>
    <mergeCell ref="E20:E21"/>
    <mergeCell ref="F20:F21"/>
    <mergeCell ref="G20:G21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G34:G35"/>
    <mergeCell ref="M38:M39"/>
    <mergeCell ref="N38:N39"/>
    <mergeCell ref="O38:O39"/>
    <mergeCell ref="P38:P39"/>
    <mergeCell ref="Q38:Q39"/>
    <mergeCell ref="R38:R39"/>
    <mergeCell ref="N34:N35"/>
    <mergeCell ref="O34:O35"/>
    <mergeCell ref="P34:P35"/>
    <mergeCell ref="Q34:Q35"/>
    <mergeCell ref="R34:R35"/>
    <mergeCell ref="M34:M35"/>
    <mergeCell ref="N48:N49"/>
    <mergeCell ref="O48:O49"/>
    <mergeCell ref="P48:P49"/>
    <mergeCell ref="Q48:Q49"/>
    <mergeCell ref="R48:R49"/>
    <mergeCell ref="A50:A56"/>
    <mergeCell ref="H48:H49"/>
    <mergeCell ref="I48:I49"/>
    <mergeCell ref="J48:J49"/>
    <mergeCell ref="K48:K49"/>
    <mergeCell ref="L48:L49"/>
    <mergeCell ref="M48:M49"/>
    <mergeCell ref="A48:B49"/>
    <mergeCell ref="C48:C49"/>
    <mergeCell ref="D48:D49"/>
    <mergeCell ref="E48:E49"/>
    <mergeCell ref="F48:F49"/>
    <mergeCell ref="G48:G49"/>
    <mergeCell ref="N57:N58"/>
    <mergeCell ref="O57:O58"/>
    <mergeCell ref="P57:P58"/>
    <mergeCell ref="Q57:Q58"/>
    <mergeCell ref="R57:R58"/>
    <mergeCell ref="A59:A60"/>
    <mergeCell ref="H57:H58"/>
    <mergeCell ref="I57:I58"/>
    <mergeCell ref="J57:J58"/>
    <mergeCell ref="K57:K58"/>
    <mergeCell ref="L57:L58"/>
    <mergeCell ref="M57:M58"/>
    <mergeCell ref="A57:B58"/>
    <mergeCell ref="C57:C58"/>
    <mergeCell ref="D57:D58"/>
    <mergeCell ref="E57:E58"/>
    <mergeCell ref="F57:F58"/>
    <mergeCell ref="G57:G58"/>
    <mergeCell ref="N61:N62"/>
    <mergeCell ref="O61:O62"/>
    <mergeCell ref="P61:P62"/>
    <mergeCell ref="Q61:Q62"/>
    <mergeCell ref="R61:R62"/>
    <mergeCell ref="A67:B68"/>
    <mergeCell ref="C67:C68"/>
    <mergeCell ref="D67:D68"/>
    <mergeCell ref="E67:E68"/>
    <mergeCell ref="F67:F68"/>
    <mergeCell ref="H61:H62"/>
    <mergeCell ref="I61:I62"/>
    <mergeCell ref="J61:J62"/>
    <mergeCell ref="K61:K62"/>
    <mergeCell ref="L61:L62"/>
    <mergeCell ref="M61:M62"/>
    <mergeCell ref="A61:B62"/>
    <mergeCell ref="C61:C62"/>
    <mergeCell ref="D61:D62"/>
    <mergeCell ref="E61:E62"/>
    <mergeCell ref="F61:F62"/>
    <mergeCell ref="G61:G62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76:B76"/>
    <mergeCell ref="N72:N73"/>
    <mergeCell ref="O72:O73"/>
    <mergeCell ref="P72:P73"/>
    <mergeCell ref="Q72:Q73"/>
    <mergeCell ref="R72:R73"/>
    <mergeCell ref="A74:A75"/>
    <mergeCell ref="H72:H73"/>
    <mergeCell ref="I72:I73"/>
    <mergeCell ref="J72:J73"/>
    <mergeCell ref="K72:K73"/>
    <mergeCell ref="L72:L73"/>
    <mergeCell ref="M72:M73"/>
    <mergeCell ref="A72:B73"/>
    <mergeCell ref="C72:C73"/>
    <mergeCell ref="D72:D73"/>
    <mergeCell ref="E72:E73"/>
    <mergeCell ref="F72:F73"/>
    <mergeCell ref="G72:G73"/>
  </mergeCells>
  <dataValidations count="1">
    <dataValidation type="list" allowBlank="1" showInputMessage="1" showErrorMessage="1" sqref="C1" xr:uid="{00000000-0002-0000-1400-000000000000}">
      <formula1>$C$2:$C$3</formula1>
    </dataValidation>
  </dataValidations>
  <pageMargins left="0.75" right="0.75" top="1" bottom="1" header="0.5" footer="0.5"/>
  <pageSetup orientation="portrait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7">
    <tabColor indexed="50"/>
  </sheetPr>
  <dimension ref="A2:T178"/>
  <sheetViews>
    <sheetView view="pageLayout" zoomScale="125" zoomScaleNormal="125" zoomScalePageLayoutView="125" workbookViewId="0">
      <selection activeCell="J147" sqref="J147"/>
    </sheetView>
  </sheetViews>
  <sheetFormatPr defaultColWidth="8.85546875" defaultRowHeight="15"/>
  <cols>
    <col min="1" max="1" width="20.140625" style="130" customWidth="1"/>
    <col min="2" max="2" width="21.140625" style="131" customWidth="1"/>
    <col min="3" max="6" width="20" style="131" customWidth="1"/>
    <col min="7" max="7" width="1.85546875" style="130" customWidth="1"/>
    <col min="8" max="8" width="6.140625" style="212" customWidth="1"/>
    <col min="9" max="9" width="9" style="215" customWidth="1"/>
    <col min="10" max="10" width="9" style="196" customWidth="1"/>
    <col min="11" max="11" width="9" style="197" customWidth="1"/>
    <col min="12" max="12" width="9" style="213" customWidth="1"/>
    <col min="13" max="13" width="9" style="218" customWidth="1"/>
    <col min="14" max="14" width="9" style="196" customWidth="1"/>
    <col min="15" max="15" width="9" style="197" customWidth="1"/>
    <col min="16" max="16" width="9" style="211" customWidth="1"/>
    <col min="17" max="20" width="9" style="131" customWidth="1"/>
    <col min="21" max="16384" width="8.85546875" style="186"/>
  </cols>
  <sheetData>
    <row r="2" spans="7:20">
      <c r="G2" s="129"/>
      <c r="H2" s="191" t="s">
        <v>685</v>
      </c>
      <c r="I2" s="192"/>
      <c r="J2" s="192" t="s">
        <v>11638</v>
      </c>
      <c r="K2" s="192" t="s">
        <v>11639</v>
      </c>
      <c r="L2" s="193" t="s">
        <v>11640</v>
      </c>
      <c r="M2" s="214"/>
      <c r="N2" s="192" t="s">
        <v>11641</v>
      </c>
      <c r="O2" s="192" t="s">
        <v>11639</v>
      </c>
      <c r="P2" s="194" t="s">
        <v>11642</v>
      </c>
      <c r="Q2" s="214"/>
      <c r="R2" s="192" t="s">
        <v>11643</v>
      </c>
      <c r="S2" s="192" t="s">
        <v>11639</v>
      </c>
      <c r="T2" s="194" t="s">
        <v>11642</v>
      </c>
    </row>
    <row r="3" spans="7:20" ht="5.25" customHeight="1">
      <c r="G3" s="129"/>
      <c r="H3" s="195"/>
      <c r="L3" s="198"/>
      <c r="M3" s="216"/>
      <c r="P3" s="199"/>
      <c r="Q3" s="216"/>
      <c r="R3" s="196"/>
      <c r="S3" s="197"/>
      <c r="T3" s="199"/>
    </row>
    <row r="4" spans="7:20">
      <c r="G4" s="129"/>
      <c r="H4" s="200">
        <v>0</v>
      </c>
      <c r="I4" s="217">
        <v>37027</v>
      </c>
      <c r="J4" s="200">
        <v>100</v>
      </c>
      <c r="K4" s="200"/>
      <c r="L4" s="201">
        <v>0</v>
      </c>
      <c r="M4" s="217">
        <v>37282</v>
      </c>
      <c r="N4" s="200">
        <v>10</v>
      </c>
      <c r="O4" s="200"/>
      <c r="P4" s="202">
        <v>0</v>
      </c>
      <c r="Q4" s="217">
        <v>40176</v>
      </c>
      <c r="R4" s="200">
        <v>118</v>
      </c>
      <c r="S4" s="200"/>
      <c r="T4" s="202">
        <v>0</v>
      </c>
    </row>
    <row r="5" spans="7:20">
      <c r="G5" s="129"/>
      <c r="H5" s="200">
        <v>1</v>
      </c>
      <c r="I5" s="217">
        <v>37058</v>
      </c>
      <c r="J5" s="200">
        <v>3100</v>
      </c>
      <c r="K5" s="200">
        <f t="shared" ref="K5:K94" si="0">J5-J4</f>
        <v>3000</v>
      </c>
      <c r="L5" s="201">
        <f t="shared" ref="L5:L168" si="1">J5/H5</f>
        <v>3100</v>
      </c>
      <c r="M5" s="217">
        <v>37313</v>
      </c>
      <c r="N5" s="200">
        <v>3300</v>
      </c>
      <c r="O5" s="200">
        <f t="shared" ref="O5:O107" si="2">N5-N4</f>
        <v>3290</v>
      </c>
      <c r="P5" s="202">
        <f t="shared" ref="P5:P36" si="3">N5/H5</f>
        <v>3300</v>
      </c>
      <c r="Q5" s="217">
        <v>40206</v>
      </c>
      <c r="R5" s="200">
        <v>1925</v>
      </c>
      <c r="S5" s="200">
        <f t="shared" ref="S5:S65" si="4">R5-R4</f>
        <v>1807</v>
      </c>
      <c r="T5" s="202">
        <f t="shared" ref="T5:T36" si="5">R5/H5</f>
        <v>1925</v>
      </c>
    </row>
    <row r="6" spans="7:20">
      <c r="G6" s="129"/>
      <c r="H6" s="204">
        <v>2</v>
      </c>
      <c r="I6" s="217">
        <v>37088</v>
      </c>
      <c r="J6" s="200">
        <v>6200</v>
      </c>
      <c r="K6" s="200">
        <f t="shared" si="0"/>
        <v>3100</v>
      </c>
      <c r="L6" s="201">
        <f t="shared" si="1"/>
        <v>3100</v>
      </c>
      <c r="M6" s="217">
        <v>37341</v>
      </c>
      <c r="N6" s="200">
        <v>6400</v>
      </c>
      <c r="O6" s="200">
        <f t="shared" si="2"/>
        <v>3100</v>
      </c>
      <c r="P6" s="202">
        <f t="shared" si="3"/>
        <v>3200</v>
      </c>
      <c r="Q6" s="217">
        <v>40237</v>
      </c>
      <c r="R6" s="200">
        <v>3488</v>
      </c>
      <c r="S6" s="200">
        <f t="shared" si="4"/>
        <v>1563</v>
      </c>
      <c r="T6" s="202">
        <f t="shared" si="5"/>
        <v>1744</v>
      </c>
    </row>
    <row r="7" spans="7:20">
      <c r="G7" s="129"/>
      <c r="H7" s="200">
        <v>3</v>
      </c>
      <c r="I7" s="217">
        <v>37119</v>
      </c>
      <c r="J7" s="200">
        <v>8700</v>
      </c>
      <c r="K7" s="200">
        <f t="shared" si="0"/>
        <v>2500</v>
      </c>
      <c r="L7" s="201">
        <f t="shared" si="1"/>
        <v>2900</v>
      </c>
      <c r="M7" s="217">
        <v>37372</v>
      </c>
      <c r="N7" s="200">
        <v>9200</v>
      </c>
      <c r="O7" s="200">
        <f t="shared" si="2"/>
        <v>2800</v>
      </c>
      <c r="P7" s="202">
        <f t="shared" si="3"/>
        <v>3066.6666666666665</v>
      </c>
      <c r="Q7" s="217">
        <v>40265</v>
      </c>
      <c r="R7" s="200">
        <v>4500</v>
      </c>
      <c r="S7" s="200">
        <f t="shared" si="4"/>
        <v>1012</v>
      </c>
      <c r="T7" s="202">
        <f t="shared" si="5"/>
        <v>1500</v>
      </c>
    </row>
    <row r="8" spans="7:20">
      <c r="G8" s="205"/>
      <c r="H8" s="200">
        <v>4</v>
      </c>
      <c r="I8" s="217">
        <v>37150</v>
      </c>
      <c r="J8" s="200">
        <v>10800</v>
      </c>
      <c r="K8" s="200">
        <f t="shared" si="0"/>
        <v>2100</v>
      </c>
      <c r="L8" s="201">
        <f t="shared" si="1"/>
        <v>2700</v>
      </c>
      <c r="M8" s="217">
        <v>37402</v>
      </c>
      <c r="N8" s="200">
        <v>11545</v>
      </c>
      <c r="O8" s="200">
        <f t="shared" si="2"/>
        <v>2345</v>
      </c>
      <c r="P8" s="202">
        <f t="shared" si="3"/>
        <v>2886.25</v>
      </c>
      <c r="Q8" s="217">
        <v>40296</v>
      </c>
      <c r="R8" s="200">
        <v>5927</v>
      </c>
      <c r="S8" s="200">
        <f t="shared" si="4"/>
        <v>1427</v>
      </c>
      <c r="T8" s="202">
        <f t="shared" si="5"/>
        <v>1481.75</v>
      </c>
    </row>
    <row r="9" spans="7:20">
      <c r="H9" s="200">
        <v>5</v>
      </c>
      <c r="I9" s="217">
        <v>37180</v>
      </c>
      <c r="J9" s="200">
        <v>14100</v>
      </c>
      <c r="K9" s="200">
        <f t="shared" si="0"/>
        <v>3300</v>
      </c>
      <c r="L9" s="201">
        <f t="shared" si="1"/>
        <v>2820</v>
      </c>
      <c r="M9" s="217">
        <v>37433</v>
      </c>
      <c r="N9" s="200">
        <v>13600</v>
      </c>
      <c r="O9" s="200">
        <f t="shared" si="2"/>
        <v>2055</v>
      </c>
      <c r="P9" s="202">
        <f t="shared" si="3"/>
        <v>2720</v>
      </c>
      <c r="Q9" s="217">
        <v>40326</v>
      </c>
      <c r="R9" s="200">
        <v>7800</v>
      </c>
      <c r="S9" s="200">
        <f t="shared" si="4"/>
        <v>1873</v>
      </c>
      <c r="T9" s="202">
        <f t="shared" si="5"/>
        <v>1560</v>
      </c>
    </row>
    <row r="10" spans="7:20">
      <c r="G10" s="131"/>
      <c r="H10" s="200">
        <v>6</v>
      </c>
      <c r="I10" s="217">
        <v>37211</v>
      </c>
      <c r="J10" s="200">
        <v>16800</v>
      </c>
      <c r="K10" s="200">
        <f>J10-J9</f>
        <v>2700</v>
      </c>
      <c r="L10" s="201">
        <f t="shared" si="1"/>
        <v>2800</v>
      </c>
      <c r="M10" s="217">
        <v>37463</v>
      </c>
      <c r="N10" s="200">
        <v>17000</v>
      </c>
      <c r="O10" s="200">
        <f>N10-N9</f>
        <v>3400</v>
      </c>
      <c r="P10" s="202">
        <f t="shared" si="3"/>
        <v>2833.3333333333335</v>
      </c>
      <c r="Q10" s="217">
        <v>40357</v>
      </c>
      <c r="R10" s="200">
        <v>9030</v>
      </c>
      <c r="S10" s="200">
        <f>R10-R9</f>
        <v>1230</v>
      </c>
      <c r="T10" s="202">
        <f t="shared" si="5"/>
        <v>1505</v>
      </c>
    </row>
    <row r="11" spans="7:20">
      <c r="H11" s="200">
        <v>7</v>
      </c>
      <c r="I11" s="217">
        <v>37241</v>
      </c>
      <c r="J11" s="200">
        <v>19800</v>
      </c>
      <c r="K11" s="200">
        <f>J11-J10</f>
        <v>3000</v>
      </c>
      <c r="L11" s="201">
        <f t="shared" si="1"/>
        <v>2828.5714285714284</v>
      </c>
      <c r="M11" s="217">
        <v>37494</v>
      </c>
      <c r="N11" s="200">
        <v>19030</v>
      </c>
      <c r="O11" s="200">
        <f>N11-N10</f>
        <v>2030</v>
      </c>
      <c r="P11" s="202">
        <f t="shared" si="3"/>
        <v>2718.5714285714284</v>
      </c>
      <c r="Q11" s="217">
        <v>40387</v>
      </c>
      <c r="R11" s="200">
        <v>10205</v>
      </c>
      <c r="S11" s="200">
        <f t="shared" si="4"/>
        <v>1175</v>
      </c>
      <c r="T11" s="202">
        <f t="shared" si="5"/>
        <v>1457.8571428571429</v>
      </c>
    </row>
    <row r="12" spans="7:20">
      <c r="H12" s="200">
        <v>8</v>
      </c>
      <c r="I12" s="217">
        <v>37272</v>
      </c>
      <c r="J12" s="200">
        <v>22500</v>
      </c>
      <c r="K12" s="200">
        <f t="shared" si="0"/>
        <v>2700</v>
      </c>
      <c r="L12" s="201">
        <f t="shared" si="1"/>
        <v>2812.5</v>
      </c>
      <c r="M12" s="217">
        <v>37525</v>
      </c>
      <c r="N12" s="200">
        <v>20988</v>
      </c>
      <c r="O12" s="200">
        <f t="shared" si="2"/>
        <v>1958</v>
      </c>
      <c r="P12" s="202">
        <f t="shared" si="3"/>
        <v>2623.5</v>
      </c>
      <c r="Q12" s="217">
        <v>40418</v>
      </c>
      <c r="R12" s="200">
        <v>12790</v>
      </c>
      <c r="S12" s="200">
        <f t="shared" si="4"/>
        <v>2585</v>
      </c>
      <c r="T12" s="202">
        <f t="shared" si="5"/>
        <v>1598.75</v>
      </c>
    </row>
    <row r="13" spans="7:20">
      <c r="H13" s="200">
        <v>9</v>
      </c>
      <c r="I13" s="217">
        <v>37303</v>
      </c>
      <c r="J13" s="200">
        <v>24600</v>
      </c>
      <c r="K13" s="200">
        <f t="shared" si="0"/>
        <v>2100</v>
      </c>
      <c r="L13" s="201">
        <f t="shared" si="1"/>
        <v>2733.3333333333335</v>
      </c>
      <c r="M13" s="217">
        <v>37555</v>
      </c>
      <c r="N13" s="200">
        <v>23619</v>
      </c>
      <c r="O13" s="200">
        <f t="shared" si="2"/>
        <v>2631</v>
      </c>
      <c r="P13" s="202">
        <f t="shared" si="3"/>
        <v>2624.3333333333335</v>
      </c>
      <c r="Q13" s="217">
        <v>40449</v>
      </c>
      <c r="R13" s="200">
        <v>13900</v>
      </c>
      <c r="S13" s="200">
        <f t="shared" si="4"/>
        <v>1110</v>
      </c>
      <c r="T13" s="202">
        <f t="shared" si="5"/>
        <v>1544.4444444444443</v>
      </c>
    </row>
    <row r="14" spans="7:20">
      <c r="H14" s="200">
        <v>10</v>
      </c>
      <c r="I14" s="217">
        <v>37331</v>
      </c>
      <c r="J14" s="200">
        <v>26400</v>
      </c>
      <c r="K14" s="200">
        <f t="shared" si="0"/>
        <v>1800</v>
      </c>
      <c r="L14" s="201">
        <f t="shared" si="1"/>
        <v>2640</v>
      </c>
      <c r="M14" s="217">
        <v>37586</v>
      </c>
      <c r="N14" s="200">
        <v>25719</v>
      </c>
      <c r="O14" s="200">
        <f t="shared" si="2"/>
        <v>2100</v>
      </c>
      <c r="P14" s="202">
        <f t="shared" si="3"/>
        <v>2571.9</v>
      </c>
      <c r="Q14" s="217">
        <v>40479</v>
      </c>
      <c r="R14" s="200">
        <v>15100</v>
      </c>
      <c r="S14" s="200">
        <f t="shared" si="4"/>
        <v>1200</v>
      </c>
      <c r="T14" s="202">
        <f t="shared" si="5"/>
        <v>1510</v>
      </c>
    </row>
    <row r="15" spans="7:20">
      <c r="H15" s="200">
        <v>11</v>
      </c>
      <c r="I15" s="217">
        <v>37362</v>
      </c>
      <c r="J15" s="200">
        <v>28500</v>
      </c>
      <c r="K15" s="200">
        <f t="shared" si="0"/>
        <v>2100</v>
      </c>
      <c r="L15" s="201">
        <f t="shared" si="1"/>
        <v>2590.909090909091</v>
      </c>
      <c r="M15" s="217">
        <v>37616</v>
      </c>
      <c r="N15" s="200">
        <v>26535</v>
      </c>
      <c r="O15" s="200">
        <f t="shared" si="2"/>
        <v>816</v>
      </c>
      <c r="P15" s="202">
        <f t="shared" si="3"/>
        <v>2412.2727272727275</v>
      </c>
      <c r="Q15" s="217">
        <v>40510</v>
      </c>
      <c r="R15" s="200">
        <v>16499</v>
      </c>
      <c r="S15" s="200">
        <f t="shared" si="4"/>
        <v>1399</v>
      </c>
      <c r="T15" s="202">
        <f t="shared" si="5"/>
        <v>1499.909090909091</v>
      </c>
    </row>
    <row r="16" spans="7:20">
      <c r="H16" s="200">
        <v>12</v>
      </c>
      <c r="I16" s="217">
        <v>37392</v>
      </c>
      <c r="J16" s="200">
        <v>30400</v>
      </c>
      <c r="K16" s="200">
        <f t="shared" si="0"/>
        <v>1900</v>
      </c>
      <c r="L16" s="201">
        <f t="shared" si="1"/>
        <v>2533.3333333333335</v>
      </c>
      <c r="M16" s="217">
        <v>37647</v>
      </c>
      <c r="N16" s="200">
        <v>27860</v>
      </c>
      <c r="O16" s="200">
        <f t="shared" si="2"/>
        <v>1325</v>
      </c>
      <c r="P16" s="202">
        <f t="shared" si="3"/>
        <v>2321.6666666666665</v>
      </c>
      <c r="Q16" s="217">
        <v>40540</v>
      </c>
      <c r="R16" s="200">
        <v>18134</v>
      </c>
      <c r="S16" s="200">
        <f t="shared" si="4"/>
        <v>1635</v>
      </c>
      <c r="T16" s="202">
        <f t="shared" si="5"/>
        <v>1511.1666666666667</v>
      </c>
    </row>
    <row r="17" spans="1:20">
      <c r="A17" s="129"/>
      <c r="B17" s="128"/>
      <c r="C17" s="128"/>
      <c r="D17" s="128"/>
      <c r="E17" s="128"/>
      <c r="F17" s="128"/>
      <c r="H17" s="200">
        <v>13</v>
      </c>
      <c r="I17" s="217">
        <v>37423</v>
      </c>
      <c r="J17" s="200">
        <v>32419</v>
      </c>
      <c r="K17" s="200">
        <f t="shared" si="0"/>
        <v>2019</v>
      </c>
      <c r="L17" s="201">
        <f t="shared" si="1"/>
        <v>2493.7692307692309</v>
      </c>
      <c r="M17" s="217">
        <v>37678</v>
      </c>
      <c r="N17" s="200">
        <v>29400</v>
      </c>
      <c r="O17" s="200">
        <f t="shared" si="2"/>
        <v>1540</v>
      </c>
      <c r="P17" s="202">
        <f t="shared" si="3"/>
        <v>2261.5384615384614</v>
      </c>
      <c r="Q17" s="217">
        <v>40571</v>
      </c>
      <c r="R17" s="200">
        <v>18535</v>
      </c>
      <c r="S17" s="200">
        <f t="shared" si="4"/>
        <v>401</v>
      </c>
      <c r="T17" s="202">
        <f t="shared" si="5"/>
        <v>1425.7692307692307</v>
      </c>
    </row>
    <row r="18" spans="1:20">
      <c r="A18" s="129"/>
      <c r="B18" s="128"/>
      <c r="C18" s="128"/>
      <c r="D18" s="128"/>
      <c r="E18" s="128"/>
      <c r="F18" s="128"/>
      <c r="H18" s="200">
        <v>14</v>
      </c>
      <c r="I18" s="217">
        <v>37453</v>
      </c>
      <c r="J18" s="200">
        <v>33523</v>
      </c>
      <c r="K18" s="200">
        <f t="shared" si="0"/>
        <v>1104</v>
      </c>
      <c r="L18" s="201">
        <f t="shared" si="1"/>
        <v>2394.5</v>
      </c>
      <c r="M18" s="217">
        <v>37706</v>
      </c>
      <c r="N18" s="200">
        <v>31065</v>
      </c>
      <c r="O18" s="200">
        <f t="shared" si="2"/>
        <v>1665</v>
      </c>
      <c r="P18" s="202">
        <f t="shared" si="3"/>
        <v>2218.9285714285716</v>
      </c>
      <c r="Q18" s="217">
        <v>40602</v>
      </c>
      <c r="R18" s="200">
        <v>19875</v>
      </c>
      <c r="S18" s="200">
        <f t="shared" si="4"/>
        <v>1340</v>
      </c>
      <c r="T18" s="202">
        <f t="shared" si="5"/>
        <v>1419.6428571428571</v>
      </c>
    </row>
    <row r="19" spans="1:20">
      <c r="A19" s="129"/>
      <c r="B19" s="128"/>
      <c r="C19" s="128"/>
      <c r="D19" s="128"/>
      <c r="E19" s="128"/>
      <c r="F19" s="128"/>
      <c r="H19" s="200">
        <v>15</v>
      </c>
      <c r="I19" s="217">
        <v>37484</v>
      </c>
      <c r="J19" s="200">
        <v>34519</v>
      </c>
      <c r="K19" s="200">
        <f t="shared" si="0"/>
        <v>996</v>
      </c>
      <c r="L19" s="201">
        <f t="shared" si="1"/>
        <v>2301.2666666666669</v>
      </c>
      <c r="M19" s="217">
        <v>37737</v>
      </c>
      <c r="N19" s="200">
        <v>32890</v>
      </c>
      <c r="O19" s="200">
        <f t="shared" si="2"/>
        <v>1825</v>
      </c>
      <c r="P19" s="202">
        <f t="shared" si="3"/>
        <v>2192.6666666666665</v>
      </c>
      <c r="Q19" s="217">
        <v>40630</v>
      </c>
      <c r="R19" s="200">
        <v>21530</v>
      </c>
      <c r="S19" s="200">
        <f t="shared" si="4"/>
        <v>1655</v>
      </c>
      <c r="T19" s="202">
        <f t="shared" si="5"/>
        <v>1435.3333333333333</v>
      </c>
    </row>
    <row r="20" spans="1:20">
      <c r="A20" s="129"/>
      <c r="B20" s="128"/>
      <c r="C20" s="128"/>
      <c r="D20" s="128"/>
      <c r="E20" s="128"/>
      <c r="F20" s="128"/>
      <c r="H20" s="200">
        <v>16</v>
      </c>
      <c r="I20" s="217">
        <v>37515</v>
      </c>
      <c r="J20" s="200">
        <v>35582</v>
      </c>
      <c r="K20" s="200">
        <f t="shared" si="0"/>
        <v>1063</v>
      </c>
      <c r="L20" s="201">
        <f t="shared" si="1"/>
        <v>2223.875</v>
      </c>
      <c r="M20" s="217">
        <v>37767</v>
      </c>
      <c r="N20" s="200">
        <v>34581</v>
      </c>
      <c r="O20" s="200">
        <f t="shared" si="2"/>
        <v>1691</v>
      </c>
      <c r="P20" s="202">
        <f t="shared" si="3"/>
        <v>2161.3125</v>
      </c>
      <c r="Q20" s="217">
        <v>40661</v>
      </c>
      <c r="R20" s="200">
        <v>23800</v>
      </c>
      <c r="S20" s="200">
        <f t="shared" si="4"/>
        <v>2270</v>
      </c>
      <c r="T20" s="202">
        <f t="shared" si="5"/>
        <v>1487.5</v>
      </c>
    </row>
    <row r="21" spans="1:20">
      <c r="A21" s="129"/>
      <c r="B21" s="128"/>
      <c r="C21" s="128"/>
      <c r="D21" s="128"/>
      <c r="E21" s="128"/>
      <c r="F21" s="128"/>
      <c r="H21" s="200">
        <v>17</v>
      </c>
      <c r="I21" s="217">
        <v>37545</v>
      </c>
      <c r="J21" s="200">
        <v>36827</v>
      </c>
      <c r="K21" s="200">
        <f t="shared" si="0"/>
        <v>1245</v>
      </c>
      <c r="L21" s="201">
        <f t="shared" si="1"/>
        <v>2166.294117647059</v>
      </c>
      <c r="M21" s="217">
        <v>37798</v>
      </c>
      <c r="N21" s="200">
        <v>36485</v>
      </c>
      <c r="O21" s="200">
        <f t="shared" si="2"/>
        <v>1904</v>
      </c>
      <c r="P21" s="202">
        <f t="shared" si="3"/>
        <v>2146.1764705882351</v>
      </c>
      <c r="Q21" s="217">
        <v>40326</v>
      </c>
      <c r="R21" s="200">
        <v>25400</v>
      </c>
      <c r="S21" s="200">
        <f t="shared" si="4"/>
        <v>1600</v>
      </c>
      <c r="T21" s="202">
        <f t="shared" si="5"/>
        <v>1494.1176470588234</v>
      </c>
    </row>
    <row r="22" spans="1:20">
      <c r="A22" s="129"/>
      <c r="B22" s="128"/>
      <c r="C22" s="128"/>
      <c r="D22" s="128"/>
      <c r="E22" s="128"/>
      <c r="F22" s="128"/>
      <c r="H22" s="200">
        <v>18</v>
      </c>
      <c r="I22" s="217">
        <v>37576</v>
      </c>
      <c r="J22" s="200">
        <v>37969</v>
      </c>
      <c r="K22" s="200">
        <f t="shared" si="0"/>
        <v>1142</v>
      </c>
      <c r="L22" s="201">
        <f t="shared" si="1"/>
        <v>2109.3888888888887</v>
      </c>
      <c r="M22" s="217">
        <v>37828</v>
      </c>
      <c r="N22" s="200">
        <v>38295</v>
      </c>
      <c r="O22" s="200">
        <f t="shared" si="2"/>
        <v>1810</v>
      </c>
      <c r="P22" s="202">
        <f t="shared" si="3"/>
        <v>2127.5</v>
      </c>
      <c r="Q22" s="217">
        <v>40722</v>
      </c>
      <c r="R22" s="200">
        <v>27000</v>
      </c>
      <c r="S22" s="200">
        <f t="shared" si="4"/>
        <v>1600</v>
      </c>
      <c r="T22" s="202">
        <f t="shared" si="5"/>
        <v>1500</v>
      </c>
    </row>
    <row r="23" spans="1:20">
      <c r="A23" s="129"/>
      <c r="B23" s="128"/>
      <c r="C23" s="128"/>
      <c r="D23" s="128"/>
      <c r="E23" s="128"/>
      <c r="F23" s="128"/>
      <c r="H23" s="200">
        <v>19</v>
      </c>
      <c r="I23" s="217">
        <v>37606</v>
      </c>
      <c r="J23" s="200">
        <v>38940</v>
      </c>
      <c r="K23" s="200">
        <f t="shared" si="0"/>
        <v>971</v>
      </c>
      <c r="L23" s="201">
        <f t="shared" si="1"/>
        <v>2049.4736842105262</v>
      </c>
      <c r="M23" s="217">
        <v>37859</v>
      </c>
      <c r="N23" s="200">
        <v>40180</v>
      </c>
      <c r="O23" s="200">
        <f t="shared" si="2"/>
        <v>1885</v>
      </c>
      <c r="P23" s="202">
        <f t="shared" si="3"/>
        <v>2114.7368421052633</v>
      </c>
      <c r="Q23" s="217">
        <v>40752</v>
      </c>
      <c r="R23" s="200">
        <v>28550</v>
      </c>
      <c r="S23" s="200">
        <f t="shared" si="4"/>
        <v>1550</v>
      </c>
      <c r="T23" s="202">
        <f t="shared" si="5"/>
        <v>1502.6315789473683</v>
      </c>
    </row>
    <row r="24" spans="1:20">
      <c r="A24" s="129"/>
      <c r="B24" s="128"/>
      <c r="C24" s="128"/>
      <c r="D24" s="128"/>
      <c r="E24" s="128"/>
      <c r="F24" s="128"/>
      <c r="H24" s="200">
        <v>20</v>
      </c>
      <c r="I24" s="217">
        <v>37637</v>
      </c>
      <c r="J24" s="200">
        <v>39541</v>
      </c>
      <c r="K24" s="200">
        <f t="shared" si="0"/>
        <v>601</v>
      </c>
      <c r="L24" s="201">
        <f t="shared" si="1"/>
        <v>1977.05</v>
      </c>
      <c r="M24" s="217">
        <v>37890</v>
      </c>
      <c r="N24" s="200">
        <v>40625</v>
      </c>
      <c r="O24" s="200">
        <f t="shared" si="2"/>
        <v>445</v>
      </c>
      <c r="P24" s="202">
        <f t="shared" si="3"/>
        <v>2031.25</v>
      </c>
      <c r="Q24" s="217">
        <v>40783</v>
      </c>
      <c r="R24" s="200">
        <v>30300</v>
      </c>
      <c r="S24" s="200">
        <f t="shared" si="4"/>
        <v>1750</v>
      </c>
      <c r="T24" s="202">
        <f t="shared" si="5"/>
        <v>1515</v>
      </c>
    </row>
    <row r="25" spans="1:20">
      <c r="A25" s="129"/>
      <c r="B25" s="128"/>
      <c r="C25" s="128"/>
      <c r="D25" s="128"/>
      <c r="E25" s="128"/>
      <c r="F25" s="128"/>
      <c r="H25" s="200">
        <v>21</v>
      </c>
      <c r="I25" s="217">
        <v>37668</v>
      </c>
      <c r="J25" s="200">
        <v>40598</v>
      </c>
      <c r="K25" s="200">
        <f t="shared" si="0"/>
        <v>1057</v>
      </c>
      <c r="L25" s="201">
        <f t="shared" si="1"/>
        <v>1933.2380952380952</v>
      </c>
      <c r="M25" s="217">
        <v>37920</v>
      </c>
      <c r="N25" s="200">
        <v>41380</v>
      </c>
      <c r="O25" s="200">
        <f t="shared" si="2"/>
        <v>755</v>
      </c>
      <c r="P25" s="202">
        <f t="shared" si="3"/>
        <v>1970.4761904761904</v>
      </c>
      <c r="Q25" s="217">
        <v>40814</v>
      </c>
      <c r="R25" s="200">
        <v>32400</v>
      </c>
      <c r="S25" s="200">
        <f t="shared" si="4"/>
        <v>2100</v>
      </c>
      <c r="T25" s="202">
        <f t="shared" si="5"/>
        <v>1542.8571428571429</v>
      </c>
    </row>
    <row r="26" spans="1:20">
      <c r="A26" s="129"/>
      <c r="B26" s="128"/>
      <c r="C26" s="128"/>
      <c r="D26" s="128"/>
      <c r="E26" s="128"/>
      <c r="F26" s="128"/>
      <c r="H26" s="200">
        <v>22</v>
      </c>
      <c r="I26" s="217">
        <v>37696</v>
      </c>
      <c r="J26" s="200">
        <v>41835</v>
      </c>
      <c r="K26" s="200">
        <f t="shared" si="0"/>
        <v>1237</v>
      </c>
      <c r="L26" s="201">
        <f t="shared" si="1"/>
        <v>1901.590909090909</v>
      </c>
      <c r="M26" s="217">
        <v>37951</v>
      </c>
      <c r="N26" s="200">
        <v>43063</v>
      </c>
      <c r="O26" s="200">
        <f t="shared" si="2"/>
        <v>1683</v>
      </c>
      <c r="P26" s="202">
        <f t="shared" si="3"/>
        <v>1957.409090909091</v>
      </c>
      <c r="Q26" s="217">
        <v>40844</v>
      </c>
      <c r="R26" s="200">
        <v>33550</v>
      </c>
      <c r="S26" s="200">
        <f t="shared" si="4"/>
        <v>1150</v>
      </c>
      <c r="T26" s="202">
        <f t="shared" si="5"/>
        <v>1525</v>
      </c>
    </row>
    <row r="27" spans="1:20">
      <c r="H27" s="200">
        <v>23</v>
      </c>
      <c r="I27" s="217">
        <v>37727</v>
      </c>
      <c r="J27" s="200">
        <v>42805</v>
      </c>
      <c r="K27" s="200">
        <f t="shared" si="0"/>
        <v>970</v>
      </c>
      <c r="L27" s="201">
        <f t="shared" si="1"/>
        <v>1861.0869565217392</v>
      </c>
      <c r="M27" s="217">
        <v>37981</v>
      </c>
      <c r="N27" s="200">
        <v>44663</v>
      </c>
      <c r="O27" s="200">
        <f t="shared" si="2"/>
        <v>1600</v>
      </c>
      <c r="P27" s="202">
        <f t="shared" si="3"/>
        <v>1941.8695652173913</v>
      </c>
      <c r="Q27" s="217">
        <v>40875</v>
      </c>
      <c r="R27" s="200">
        <v>34768</v>
      </c>
      <c r="S27" s="200">
        <f t="shared" si="4"/>
        <v>1218</v>
      </c>
      <c r="T27" s="202">
        <f t="shared" si="5"/>
        <v>1511.6521739130435</v>
      </c>
    </row>
    <row r="28" spans="1:20">
      <c r="A28" s="206"/>
      <c r="B28" s="207" t="s">
        <v>11644</v>
      </c>
      <c r="C28" s="207" t="s">
        <v>11645</v>
      </c>
      <c r="D28" s="194" t="s">
        <v>11646</v>
      </c>
      <c r="E28" s="194" t="s">
        <v>11647</v>
      </c>
      <c r="F28" s="192"/>
      <c r="H28" s="200">
        <v>24</v>
      </c>
      <c r="I28" s="217">
        <v>37757</v>
      </c>
      <c r="J28" s="200">
        <v>43571</v>
      </c>
      <c r="K28" s="200">
        <f>J28-J27</f>
        <v>766</v>
      </c>
      <c r="L28" s="201">
        <f t="shared" si="1"/>
        <v>1815.4583333333333</v>
      </c>
      <c r="M28" s="217">
        <v>38012</v>
      </c>
      <c r="N28" s="200">
        <v>45981</v>
      </c>
      <c r="O28" s="200">
        <f>N28-N27</f>
        <v>1318</v>
      </c>
      <c r="P28" s="202">
        <f t="shared" si="3"/>
        <v>1915.875</v>
      </c>
      <c r="Q28" s="217">
        <v>40905</v>
      </c>
      <c r="R28" s="200">
        <v>36000</v>
      </c>
      <c r="S28" s="200">
        <f>R28-R27</f>
        <v>1232</v>
      </c>
      <c r="T28" s="202">
        <f t="shared" si="5"/>
        <v>1500</v>
      </c>
    </row>
    <row r="29" spans="1:20">
      <c r="A29" s="203" t="s">
        <v>11648</v>
      </c>
      <c r="B29" s="200">
        <v>165005</v>
      </c>
      <c r="C29" s="200">
        <v>171247</v>
      </c>
      <c r="D29" s="200">
        <v>130000</v>
      </c>
      <c r="E29" s="200">
        <v>14700</v>
      </c>
      <c r="F29" s="128"/>
      <c r="H29" s="200">
        <v>25</v>
      </c>
      <c r="I29" s="217">
        <v>37788</v>
      </c>
      <c r="J29" s="200">
        <v>44580</v>
      </c>
      <c r="K29" s="200">
        <f t="shared" si="0"/>
        <v>1009</v>
      </c>
      <c r="L29" s="201">
        <f t="shared" si="1"/>
        <v>1783.2</v>
      </c>
      <c r="M29" s="217">
        <v>38043</v>
      </c>
      <c r="N29" s="200">
        <v>47500</v>
      </c>
      <c r="O29" s="200">
        <f t="shared" si="2"/>
        <v>1519</v>
      </c>
      <c r="P29" s="202">
        <f t="shared" si="3"/>
        <v>1900</v>
      </c>
      <c r="Q29" s="217">
        <v>40936</v>
      </c>
      <c r="R29" s="200">
        <v>37400</v>
      </c>
      <c r="S29" s="200">
        <f t="shared" si="4"/>
        <v>1400</v>
      </c>
      <c r="T29" s="202">
        <f t="shared" si="5"/>
        <v>1496</v>
      </c>
    </row>
    <row r="30" spans="1:20">
      <c r="A30" s="224" t="s">
        <v>11649</v>
      </c>
      <c r="B30" s="204">
        <f ca="1">B31*12</f>
        <v>6640.0402414486925</v>
      </c>
      <c r="C30" s="204">
        <f>C31*12</f>
        <v>19951.106796116503</v>
      </c>
      <c r="D30" s="204">
        <f ca="1">D31*12</f>
        <v>7998.6327123568626</v>
      </c>
      <c r="E30" s="204">
        <f>E29-14607</f>
        <v>93</v>
      </c>
      <c r="F30" s="260"/>
      <c r="H30" s="200">
        <v>26</v>
      </c>
      <c r="I30" s="217">
        <v>37818</v>
      </c>
      <c r="J30" s="200">
        <v>45181</v>
      </c>
      <c r="K30" s="200">
        <f t="shared" si="0"/>
        <v>601</v>
      </c>
      <c r="L30" s="201">
        <f t="shared" si="1"/>
        <v>1737.7307692307693</v>
      </c>
      <c r="M30" s="217">
        <v>38072</v>
      </c>
      <c r="N30" s="200">
        <v>49446</v>
      </c>
      <c r="O30" s="200">
        <f t="shared" si="2"/>
        <v>1946</v>
      </c>
      <c r="P30" s="202">
        <f t="shared" si="3"/>
        <v>1901.7692307692307</v>
      </c>
      <c r="Q30" s="217">
        <v>40967</v>
      </c>
      <c r="R30" s="200">
        <v>38700</v>
      </c>
      <c r="S30" s="200">
        <f t="shared" si="4"/>
        <v>1300</v>
      </c>
      <c r="T30" s="202">
        <f t="shared" si="5"/>
        <v>1488.4615384615386</v>
      </c>
    </row>
    <row r="31" spans="1:20">
      <c r="A31" s="224" t="s">
        <v>11642</v>
      </c>
      <c r="B31" s="204">
        <f ca="1">B29/((DAYS360(DATE(2001,5,21),TODAY()))/30)</f>
        <v>553.33668678739105</v>
      </c>
      <c r="C31" s="204">
        <f>C29/C46</f>
        <v>1662.5922330097087</v>
      </c>
      <c r="D31" s="204">
        <f ca="1">D29/((DAYS360(DATE(2009,12,26),TODAY()))/30)</f>
        <v>666.55272602973855</v>
      </c>
      <c r="E31" s="204">
        <f ca="1">(E29- 14607)/((DAYS360(DATE(2016,7,22),TODAY()))/30)</f>
        <v>0.80057388809182206</v>
      </c>
      <c r="F31" s="260"/>
      <c r="H31" s="200">
        <v>27</v>
      </c>
      <c r="I31" s="217">
        <v>37849</v>
      </c>
      <c r="J31" s="200">
        <v>46510</v>
      </c>
      <c r="K31" s="200">
        <f>J31-J30</f>
        <v>1329</v>
      </c>
      <c r="L31" s="201">
        <f t="shared" si="1"/>
        <v>1722.5925925925926</v>
      </c>
      <c r="M31" s="217">
        <v>38103</v>
      </c>
      <c r="N31" s="200">
        <v>49886</v>
      </c>
      <c r="O31" s="200">
        <f>N31-N30</f>
        <v>440</v>
      </c>
      <c r="P31" s="202">
        <f t="shared" si="3"/>
        <v>1847.6296296296296</v>
      </c>
      <c r="Q31" s="217">
        <v>40996</v>
      </c>
      <c r="R31" s="200">
        <v>39991</v>
      </c>
      <c r="S31" s="200">
        <f t="shared" si="4"/>
        <v>1291</v>
      </c>
      <c r="T31" s="202">
        <f t="shared" si="5"/>
        <v>1481.148148148148</v>
      </c>
    </row>
    <row r="32" spans="1:20">
      <c r="A32" s="203" t="s">
        <v>11650</v>
      </c>
      <c r="B32" s="219">
        <f>30535 + 100</f>
        <v>30635</v>
      </c>
      <c r="C32" s="219">
        <v>21500</v>
      </c>
      <c r="D32" s="219">
        <v>28146</v>
      </c>
      <c r="E32" s="219">
        <v>46700</v>
      </c>
      <c r="F32" s="261"/>
      <c r="H32" s="200">
        <v>28</v>
      </c>
      <c r="I32" s="217">
        <v>37880</v>
      </c>
      <c r="J32" s="200">
        <v>47451</v>
      </c>
      <c r="K32" s="200">
        <f t="shared" si="0"/>
        <v>941</v>
      </c>
      <c r="L32" s="201">
        <f t="shared" si="1"/>
        <v>1694.6785714285713</v>
      </c>
      <c r="M32" s="217">
        <v>38133</v>
      </c>
      <c r="N32" s="200">
        <v>51720</v>
      </c>
      <c r="O32" s="200">
        <f t="shared" si="2"/>
        <v>1834</v>
      </c>
      <c r="P32" s="202">
        <f t="shared" si="3"/>
        <v>1847.1428571428571</v>
      </c>
      <c r="Q32" s="217">
        <v>41027</v>
      </c>
      <c r="R32" s="200">
        <v>41500</v>
      </c>
      <c r="S32" s="200">
        <f t="shared" si="4"/>
        <v>1509</v>
      </c>
      <c r="T32" s="202">
        <f t="shared" si="5"/>
        <v>1482.1428571428571</v>
      </c>
    </row>
    <row r="33" spans="1:20">
      <c r="A33" s="203" t="s">
        <v>486</v>
      </c>
      <c r="B33" s="219">
        <v>5000</v>
      </c>
      <c r="C33" s="219">
        <v>1000</v>
      </c>
      <c r="D33" s="219">
        <v>28146</v>
      </c>
      <c r="E33" s="219">
        <v>46700</v>
      </c>
      <c r="F33" s="261"/>
      <c r="H33" s="200">
        <v>29</v>
      </c>
      <c r="I33" s="217">
        <v>37910</v>
      </c>
      <c r="J33" s="200">
        <v>47904</v>
      </c>
      <c r="K33" s="200">
        <f t="shared" si="0"/>
        <v>453</v>
      </c>
      <c r="L33" s="201">
        <f t="shared" si="1"/>
        <v>1651.8620689655172</v>
      </c>
      <c r="M33" s="217">
        <v>38164</v>
      </c>
      <c r="N33" s="200">
        <v>53619</v>
      </c>
      <c r="O33" s="200">
        <f t="shared" si="2"/>
        <v>1899</v>
      </c>
      <c r="P33" s="202">
        <f t="shared" si="3"/>
        <v>1848.9310344827586</v>
      </c>
      <c r="Q33" s="217">
        <v>41057</v>
      </c>
      <c r="R33" s="200">
        <v>42800</v>
      </c>
      <c r="S33" s="200">
        <f t="shared" si="4"/>
        <v>1300</v>
      </c>
      <c r="T33" s="202">
        <f t="shared" si="5"/>
        <v>1475.8620689655172</v>
      </c>
    </row>
    <row r="34" spans="1:20">
      <c r="A34" s="203" t="s">
        <v>11651</v>
      </c>
      <c r="B34" s="219">
        <v>3500</v>
      </c>
      <c r="C34" s="219">
        <v>2152</v>
      </c>
      <c r="D34" s="219">
        <v>0</v>
      </c>
      <c r="E34" s="219">
        <v>0</v>
      </c>
      <c r="F34" s="261"/>
      <c r="H34" s="200">
        <v>30</v>
      </c>
      <c r="I34" s="217">
        <v>37941</v>
      </c>
      <c r="J34" s="200">
        <v>48552</v>
      </c>
      <c r="K34" s="200">
        <f t="shared" si="0"/>
        <v>648</v>
      </c>
      <c r="L34" s="201">
        <f t="shared" si="1"/>
        <v>1618.4</v>
      </c>
      <c r="M34" s="217">
        <v>38194</v>
      </c>
      <c r="N34" s="200">
        <v>55100</v>
      </c>
      <c r="O34" s="200">
        <f t="shared" si="2"/>
        <v>1481</v>
      </c>
      <c r="P34" s="202">
        <f t="shared" si="3"/>
        <v>1836.6666666666667</v>
      </c>
      <c r="Q34" s="217">
        <v>41088</v>
      </c>
      <c r="R34" s="200">
        <v>45000</v>
      </c>
      <c r="S34" s="200">
        <f t="shared" si="4"/>
        <v>2200</v>
      </c>
      <c r="T34" s="202">
        <f t="shared" si="5"/>
        <v>1500</v>
      </c>
    </row>
    <row r="35" spans="1:20">
      <c r="A35" s="203" t="s">
        <v>11652</v>
      </c>
      <c r="B35" s="219">
        <f>1331 + 67 + 67 + 67 + 67</f>
        <v>1599</v>
      </c>
      <c r="C35" s="219">
        <f xml:space="preserve"> 1030 + 45</f>
        <v>1075</v>
      </c>
      <c r="D35" s="219">
        <f>515 + 372 + 140</f>
        <v>1027</v>
      </c>
      <c r="E35" s="219">
        <f>515 + 372 + 140</f>
        <v>1027</v>
      </c>
      <c r="F35" s="261"/>
      <c r="G35" s="205"/>
      <c r="H35" s="200">
        <v>31</v>
      </c>
      <c r="I35" s="217">
        <v>37971</v>
      </c>
      <c r="J35" s="200">
        <v>49052</v>
      </c>
      <c r="K35" s="200">
        <f t="shared" si="0"/>
        <v>500</v>
      </c>
      <c r="L35" s="201">
        <f t="shared" si="1"/>
        <v>1582.3225806451612</v>
      </c>
      <c r="M35" s="217">
        <v>38225</v>
      </c>
      <c r="N35" s="200">
        <v>56430</v>
      </c>
      <c r="O35" s="200">
        <f t="shared" si="2"/>
        <v>1330</v>
      </c>
      <c r="P35" s="202">
        <f t="shared" si="3"/>
        <v>1820.3225806451612</v>
      </c>
      <c r="Q35" s="217">
        <v>41118</v>
      </c>
      <c r="R35" s="200">
        <v>47312</v>
      </c>
      <c r="S35" s="200">
        <f t="shared" si="4"/>
        <v>2312</v>
      </c>
      <c r="T35" s="202">
        <f t="shared" si="5"/>
        <v>1526.1935483870968</v>
      </c>
    </row>
    <row r="36" spans="1:20">
      <c r="A36" s="203" t="s">
        <v>11653</v>
      </c>
      <c r="B36" s="219">
        <f ca="1">29*(((DAYS360(DATE(2001,5,21),TODAY()))/365))</f>
        <v>710.77808219178075</v>
      </c>
      <c r="C36" s="219">
        <f ca="1">29*(((DAYS360(DATE(2002,1,26),TODAY()))/365))</f>
        <v>691.31232876712329</v>
      </c>
      <c r="D36" s="219">
        <f ca="1">29*(((DAYS360(DATE(2009,12,29),TODAY()))/365))</f>
        <v>464.63561643835618</v>
      </c>
      <c r="E36" s="219">
        <f ca="1">29*(((DAYS360(DATE(2009,12,29),TODAY()))/365))</f>
        <v>464.63561643835618</v>
      </c>
      <c r="F36" s="261"/>
      <c r="H36" s="200">
        <v>32</v>
      </c>
      <c r="I36" s="217">
        <v>38002</v>
      </c>
      <c r="J36" s="200">
        <v>49623</v>
      </c>
      <c r="K36" s="200">
        <f t="shared" si="0"/>
        <v>571</v>
      </c>
      <c r="L36" s="201">
        <f t="shared" si="1"/>
        <v>1550.71875</v>
      </c>
      <c r="M36" s="217">
        <v>38256</v>
      </c>
      <c r="N36" s="200">
        <v>57871</v>
      </c>
      <c r="O36" s="200">
        <f t="shared" si="2"/>
        <v>1441</v>
      </c>
      <c r="P36" s="202">
        <f t="shared" si="3"/>
        <v>1808.46875</v>
      </c>
      <c r="Q36" s="217">
        <v>41149</v>
      </c>
      <c r="R36" s="200">
        <v>49415</v>
      </c>
      <c r="S36" s="200">
        <f t="shared" si="4"/>
        <v>2103</v>
      </c>
      <c r="T36" s="202">
        <f t="shared" si="5"/>
        <v>1544.21875</v>
      </c>
    </row>
    <row r="37" spans="1:20">
      <c r="A37" s="203" t="s">
        <v>11654</v>
      </c>
      <c r="B37" s="219">
        <f>41* 4 + 50 * 4</f>
        <v>364</v>
      </c>
      <c r="C37" s="219">
        <f>41* 4</f>
        <v>164</v>
      </c>
      <c r="D37" s="219">
        <f>41 + 50+ 50</f>
        <v>141</v>
      </c>
      <c r="E37" s="219">
        <f>41 + 50+ 50</f>
        <v>141</v>
      </c>
      <c r="F37" s="261"/>
      <c r="H37" s="200">
        <v>33</v>
      </c>
      <c r="I37" s="217">
        <v>38033</v>
      </c>
      <c r="J37" s="200">
        <v>50280</v>
      </c>
      <c r="K37" s="200">
        <f t="shared" si="0"/>
        <v>657</v>
      </c>
      <c r="L37" s="201">
        <f t="shared" si="1"/>
        <v>1523.6363636363637</v>
      </c>
      <c r="M37" s="217">
        <v>38286</v>
      </c>
      <c r="N37" s="200">
        <v>59180</v>
      </c>
      <c r="O37" s="200">
        <f t="shared" si="2"/>
        <v>1309</v>
      </c>
      <c r="P37" s="202">
        <f t="shared" ref="P37:P68" si="6">N37/H37</f>
        <v>1793.3333333333333</v>
      </c>
      <c r="Q37" s="217">
        <v>41180</v>
      </c>
      <c r="R37" s="200">
        <v>50991</v>
      </c>
      <c r="S37" s="200">
        <f t="shared" si="4"/>
        <v>1576</v>
      </c>
      <c r="T37" s="202">
        <f t="shared" ref="T37:T65" si="7">R37/H37</f>
        <v>1545.1818181818182</v>
      </c>
    </row>
    <row r="38" spans="1:20">
      <c r="A38" s="203" t="s">
        <v>11655</v>
      </c>
      <c r="B38" s="219" t="e">
        <f>B88</f>
        <v>#REF!</v>
      </c>
      <c r="C38" s="219" t="e">
        <f>C88</f>
        <v>#REF!</v>
      </c>
      <c r="D38" s="219" t="e">
        <f>D88</f>
        <v>#REF!</v>
      </c>
      <c r="E38" s="219" t="e">
        <f>E88</f>
        <v>#REF!</v>
      </c>
      <c r="F38" s="261"/>
      <c r="H38" s="200">
        <v>34</v>
      </c>
      <c r="I38" s="217">
        <v>38062</v>
      </c>
      <c r="J38" s="200">
        <v>51087</v>
      </c>
      <c r="K38" s="200">
        <f t="shared" si="0"/>
        <v>807</v>
      </c>
      <c r="L38" s="201">
        <f t="shared" si="1"/>
        <v>1502.5588235294117</v>
      </c>
      <c r="M38" s="217">
        <v>38317</v>
      </c>
      <c r="N38" s="200">
        <v>60300</v>
      </c>
      <c r="O38" s="200">
        <f t="shared" si="2"/>
        <v>1120</v>
      </c>
      <c r="P38" s="202">
        <f t="shared" si="6"/>
        <v>1773.5294117647059</v>
      </c>
      <c r="Q38" s="217">
        <v>41210</v>
      </c>
      <c r="R38" s="200">
        <v>52145</v>
      </c>
      <c r="S38" s="200">
        <f t="shared" si="4"/>
        <v>1154</v>
      </c>
      <c r="T38" s="202">
        <f t="shared" si="7"/>
        <v>1533.6764705882354</v>
      </c>
    </row>
    <row r="39" spans="1:20">
      <c r="A39" s="203" t="s">
        <v>400</v>
      </c>
      <c r="B39" s="219">
        <f>2000+1200+1100+1000+950+900+900+923+600+585+612+550+550+550</f>
        <v>12420</v>
      </c>
      <c r="C39" s="219">
        <f>1700 + 1100 + 1100 + 950 + 950 + 890 + 890 + 600 + 400</f>
        <v>8580</v>
      </c>
      <c r="D39" s="219">
        <f>800 + 756 + 780 + 550 + 550 + 550</f>
        <v>3986</v>
      </c>
      <c r="E39" s="219">
        <f>800 + 756 + 780 + 550 + 550 + 550</f>
        <v>3986</v>
      </c>
      <c r="F39" s="261"/>
      <c r="H39" s="200">
        <v>35</v>
      </c>
      <c r="I39" s="217">
        <v>38093</v>
      </c>
      <c r="J39" s="200">
        <v>51591</v>
      </c>
      <c r="K39" s="200">
        <f t="shared" si="0"/>
        <v>504</v>
      </c>
      <c r="L39" s="201">
        <f t="shared" si="1"/>
        <v>1474.0285714285715</v>
      </c>
      <c r="M39" s="217">
        <v>38347</v>
      </c>
      <c r="N39" s="200">
        <v>61610</v>
      </c>
      <c r="O39" s="200">
        <f t="shared" si="2"/>
        <v>1310</v>
      </c>
      <c r="P39" s="202">
        <f t="shared" si="6"/>
        <v>1760.2857142857142</v>
      </c>
      <c r="Q39" s="217">
        <v>41241</v>
      </c>
      <c r="R39" s="200">
        <v>53557</v>
      </c>
      <c r="S39" s="200">
        <f t="shared" si="4"/>
        <v>1412</v>
      </c>
      <c r="T39" s="202">
        <f t="shared" si="7"/>
        <v>1530.2</v>
      </c>
    </row>
    <row r="40" spans="1:20">
      <c r="A40" s="203" t="s">
        <v>11656</v>
      </c>
      <c r="B40" s="219">
        <v>1000</v>
      </c>
      <c r="C40" s="219">
        <v>3000</v>
      </c>
      <c r="D40" s="219"/>
      <c r="E40" s="219"/>
      <c r="F40" s="261"/>
      <c r="H40" s="200">
        <v>36</v>
      </c>
      <c r="I40" s="217">
        <v>38123</v>
      </c>
      <c r="J40" s="200">
        <v>51881</v>
      </c>
      <c r="K40" s="200">
        <f t="shared" si="0"/>
        <v>290</v>
      </c>
      <c r="L40" s="201">
        <f t="shared" si="1"/>
        <v>1441.1388888888889</v>
      </c>
      <c r="M40" s="217">
        <v>38378</v>
      </c>
      <c r="N40" s="200">
        <v>62835</v>
      </c>
      <c r="O40" s="200">
        <f t="shared" si="2"/>
        <v>1225</v>
      </c>
      <c r="P40" s="202">
        <f t="shared" si="6"/>
        <v>1745.4166666666667</v>
      </c>
      <c r="Q40" s="217">
        <v>41271</v>
      </c>
      <c r="R40" s="200">
        <v>54879</v>
      </c>
      <c r="S40" s="200">
        <f t="shared" si="4"/>
        <v>1322</v>
      </c>
      <c r="T40" s="202">
        <f t="shared" si="7"/>
        <v>1524.4166666666667</v>
      </c>
    </row>
    <row r="41" spans="1:20">
      <c r="A41" s="224" t="s">
        <v>11657</v>
      </c>
      <c r="B41" s="219" t="e">
        <f ca="1">SUM(B32:B40)-B33-B40</f>
        <v>#REF!</v>
      </c>
      <c r="C41" s="219" t="e">
        <f ca="1">SUM(C32:C39)-C40- C33</f>
        <v>#REF!</v>
      </c>
      <c r="D41" s="219" t="e">
        <f ca="1">SUM(D32:D40)-D33</f>
        <v>#REF!</v>
      </c>
      <c r="E41" s="219" t="e">
        <f ca="1">SUM(E32:E40)-E33</f>
        <v>#REF!</v>
      </c>
      <c r="F41" s="261"/>
      <c r="H41" s="200">
        <v>37</v>
      </c>
      <c r="I41" s="217">
        <v>38154</v>
      </c>
      <c r="J41" s="200">
        <v>52425</v>
      </c>
      <c r="K41" s="200">
        <f t="shared" si="0"/>
        <v>544</v>
      </c>
      <c r="L41" s="201">
        <f t="shared" si="1"/>
        <v>1416.8918918918919</v>
      </c>
      <c r="M41" s="217">
        <v>38409</v>
      </c>
      <c r="N41" s="200">
        <v>64200</v>
      </c>
      <c r="O41" s="200">
        <f t="shared" si="2"/>
        <v>1365</v>
      </c>
      <c r="P41" s="202">
        <f t="shared" si="6"/>
        <v>1735.1351351351352</v>
      </c>
      <c r="Q41" s="217">
        <v>41302</v>
      </c>
      <c r="R41" s="200">
        <v>55700</v>
      </c>
      <c r="S41" s="200">
        <f t="shared" si="4"/>
        <v>821</v>
      </c>
      <c r="T41" s="202">
        <f t="shared" si="7"/>
        <v>1505.4054054054054</v>
      </c>
    </row>
    <row r="42" spans="1:20">
      <c r="A42" s="224" t="s">
        <v>11658</v>
      </c>
      <c r="B42" s="219" t="e">
        <f ca="1">B41/B29</f>
        <v>#REF!</v>
      </c>
      <c r="C42" s="219" t="e">
        <f ca="1">C41/C29</f>
        <v>#REF!</v>
      </c>
      <c r="D42" s="219" t="e">
        <f ca="1">D41/D29</f>
        <v>#REF!</v>
      </c>
      <c r="E42" s="219" t="e">
        <f ca="1">E41/E29</f>
        <v>#REF!</v>
      </c>
      <c r="F42" s="261"/>
      <c r="H42" s="200">
        <v>38</v>
      </c>
      <c r="I42" s="217">
        <v>38184</v>
      </c>
      <c r="J42" s="200">
        <v>53625</v>
      </c>
      <c r="K42" s="200">
        <f t="shared" si="0"/>
        <v>1200</v>
      </c>
      <c r="L42" s="201">
        <f t="shared" si="1"/>
        <v>1411.1842105263158</v>
      </c>
      <c r="M42" s="217">
        <v>38437</v>
      </c>
      <c r="N42" s="200">
        <v>65165</v>
      </c>
      <c r="O42" s="200">
        <f t="shared" si="2"/>
        <v>965</v>
      </c>
      <c r="P42" s="202">
        <f t="shared" si="6"/>
        <v>1714.8684210526317</v>
      </c>
      <c r="Q42" s="217">
        <v>41333</v>
      </c>
      <c r="R42" s="200">
        <v>56559</v>
      </c>
      <c r="S42" s="200">
        <f t="shared" si="4"/>
        <v>859</v>
      </c>
      <c r="T42" s="202">
        <f t="shared" si="7"/>
        <v>1488.3947368421052</v>
      </c>
    </row>
    <row r="43" spans="1:20">
      <c r="A43" s="224" t="s">
        <v>11659</v>
      </c>
      <c r="B43" s="219" t="e">
        <f>B38/B29 * 100</f>
        <v>#REF!</v>
      </c>
      <c r="C43" s="219" t="e">
        <f>C38/C29 * 100</f>
        <v>#REF!</v>
      </c>
      <c r="D43" s="219" t="e">
        <f>D38/D29 * 100</f>
        <v>#REF!</v>
      </c>
      <c r="E43" s="219" t="e">
        <f>E38/E29 * 100</f>
        <v>#REF!</v>
      </c>
      <c r="F43" s="261"/>
      <c r="H43" s="200">
        <v>39</v>
      </c>
      <c r="I43" s="217">
        <v>38215</v>
      </c>
      <c r="J43" s="200">
        <v>54775</v>
      </c>
      <c r="K43" s="200">
        <f t="shared" si="0"/>
        <v>1150</v>
      </c>
      <c r="L43" s="201">
        <f t="shared" si="1"/>
        <v>1404.4871794871794</v>
      </c>
      <c r="M43" s="217">
        <v>38468</v>
      </c>
      <c r="N43" s="200">
        <v>66400</v>
      </c>
      <c r="O43" s="200">
        <f t="shared" si="2"/>
        <v>1235</v>
      </c>
      <c r="P43" s="202">
        <f t="shared" si="6"/>
        <v>1702.5641025641025</v>
      </c>
      <c r="Q43" s="217">
        <v>41361</v>
      </c>
      <c r="R43" s="200">
        <v>57800</v>
      </c>
      <c r="S43" s="200">
        <f t="shared" si="4"/>
        <v>1241</v>
      </c>
      <c r="T43" s="202">
        <f t="shared" si="7"/>
        <v>1482.051282051282</v>
      </c>
    </row>
    <row r="44" spans="1:20">
      <c r="A44" s="224" t="s">
        <v>11660</v>
      </c>
      <c r="B44" s="219" t="e">
        <f ca="1">B41/B46</f>
        <v>#REF!</v>
      </c>
      <c r="C44" s="219" t="e">
        <f ca="1">C41/C46</f>
        <v>#REF!</v>
      </c>
      <c r="D44" s="219" t="e">
        <f ca="1">D41/D46</f>
        <v>#REF!</v>
      </c>
      <c r="E44" s="219" t="e">
        <f ca="1">E41/E46</f>
        <v>#REF!</v>
      </c>
      <c r="F44" s="261"/>
      <c r="H44" s="200">
        <v>40</v>
      </c>
      <c r="I44" s="217">
        <v>38246</v>
      </c>
      <c r="J44" s="200">
        <v>56133</v>
      </c>
      <c r="K44" s="200">
        <f t="shared" si="0"/>
        <v>1358</v>
      </c>
      <c r="L44" s="201">
        <f t="shared" si="1"/>
        <v>1403.325</v>
      </c>
      <c r="M44" s="217">
        <v>38498</v>
      </c>
      <c r="N44" s="200">
        <v>67514</v>
      </c>
      <c r="O44" s="200">
        <f t="shared" si="2"/>
        <v>1114</v>
      </c>
      <c r="P44" s="202">
        <f t="shared" si="6"/>
        <v>1687.85</v>
      </c>
      <c r="Q44" s="217">
        <v>41392</v>
      </c>
      <c r="R44" s="200">
        <v>59800</v>
      </c>
      <c r="S44" s="200">
        <f t="shared" si="4"/>
        <v>2000</v>
      </c>
      <c r="T44" s="202">
        <f t="shared" si="7"/>
        <v>1495</v>
      </c>
    </row>
    <row r="45" spans="1:20">
      <c r="A45" s="203"/>
      <c r="B45" s="219"/>
      <c r="C45" s="219"/>
      <c r="D45" s="219"/>
      <c r="E45" s="219"/>
      <c r="F45" s="261"/>
      <c r="H45" s="200">
        <v>41</v>
      </c>
      <c r="I45" s="217">
        <v>38276</v>
      </c>
      <c r="J45" s="200">
        <v>57575</v>
      </c>
      <c r="K45" s="200">
        <f>J45-J44</f>
        <v>1442</v>
      </c>
      <c r="L45" s="201">
        <f t="shared" si="1"/>
        <v>1404.2682926829268</v>
      </c>
      <c r="M45" s="217">
        <v>38529</v>
      </c>
      <c r="N45" s="200">
        <v>68676</v>
      </c>
      <c r="O45" s="200">
        <f>N45-N44</f>
        <v>1162</v>
      </c>
      <c r="P45" s="202">
        <f t="shared" si="6"/>
        <v>1675.0243902439024</v>
      </c>
      <c r="Q45" s="217">
        <v>41422</v>
      </c>
      <c r="R45" s="200">
        <v>62000</v>
      </c>
      <c r="S45" s="200">
        <f t="shared" si="4"/>
        <v>2200</v>
      </c>
      <c r="T45" s="202">
        <f t="shared" si="7"/>
        <v>1512.1951219512196</v>
      </c>
    </row>
    <row r="46" spans="1:20">
      <c r="A46" s="203" t="s">
        <v>11661</v>
      </c>
      <c r="B46" s="220">
        <v>182</v>
      </c>
      <c r="C46" s="220">
        <v>103</v>
      </c>
      <c r="D46" s="220">
        <f ca="1">DAYS360(DATE(2009,12,26),TODAY())/30</f>
        <v>195.03333333333333</v>
      </c>
      <c r="E46" s="220">
        <f ca="1">DAYS360(DATE(2016,7,22),TODAY())/30</f>
        <v>116.16666666666667</v>
      </c>
      <c r="F46" s="262"/>
      <c r="H46" s="200">
        <v>42</v>
      </c>
      <c r="I46" s="217">
        <v>38307</v>
      </c>
      <c r="J46" s="200">
        <v>58997</v>
      </c>
      <c r="K46" s="200">
        <f t="shared" si="0"/>
        <v>1422</v>
      </c>
      <c r="L46" s="201">
        <f t="shared" si="1"/>
        <v>1404.6904761904761</v>
      </c>
      <c r="M46" s="217">
        <v>38559</v>
      </c>
      <c r="N46" s="200">
        <v>70250</v>
      </c>
      <c r="O46" s="200">
        <f t="shared" si="2"/>
        <v>1574</v>
      </c>
      <c r="P46" s="202">
        <f t="shared" si="6"/>
        <v>1672.6190476190477</v>
      </c>
      <c r="Q46" s="217">
        <v>41453</v>
      </c>
      <c r="R46" s="200">
        <v>64100</v>
      </c>
      <c r="S46" s="200">
        <f t="shared" si="4"/>
        <v>2100</v>
      </c>
      <c r="T46" s="202">
        <f t="shared" si="7"/>
        <v>1526.1904761904761</v>
      </c>
    </row>
    <row r="47" spans="1:20">
      <c r="A47" s="203" t="s">
        <v>11662</v>
      </c>
      <c r="B47" s="219" t="e">
        <f ca="1">B48*12</f>
        <v>#REF!</v>
      </c>
      <c r="C47" s="219" t="e">
        <f ca="1">C48*12</f>
        <v>#REF!</v>
      </c>
      <c r="D47" s="219" t="e">
        <f ca="1">D48*12</f>
        <v>#REF!</v>
      </c>
      <c r="E47" s="219" t="e">
        <f ca="1">E48*12</f>
        <v>#REF!</v>
      </c>
      <c r="F47" s="261"/>
      <c r="H47" s="200">
        <v>43</v>
      </c>
      <c r="I47" s="217">
        <v>38337</v>
      </c>
      <c r="J47" s="200">
        <v>60383</v>
      </c>
      <c r="K47" s="200">
        <f t="shared" si="0"/>
        <v>1386</v>
      </c>
      <c r="L47" s="201">
        <f t="shared" si="1"/>
        <v>1404.2558139534883</v>
      </c>
      <c r="M47" s="217">
        <v>38590</v>
      </c>
      <c r="N47" s="200">
        <v>71912</v>
      </c>
      <c r="O47" s="200">
        <f t="shared" si="2"/>
        <v>1662</v>
      </c>
      <c r="P47" s="202">
        <f t="shared" si="6"/>
        <v>1672.3720930232557</v>
      </c>
      <c r="Q47" s="217">
        <v>41483</v>
      </c>
      <c r="R47" s="200">
        <v>65300</v>
      </c>
      <c r="S47" s="200">
        <f t="shared" si="4"/>
        <v>1200</v>
      </c>
      <c r="T47" s="202">
        <f t="shared" si="7"/>
        <v>1518.6046511627908</v>
      </c>
    </row>
    <row r="48" spans="1:20">
      <c r="A48" s="203" t="s">
        <v>11663</v>
      </c>
      <c r="B48" s="219" t="e">
        <f ca="1">B38/((DAYS360(DATE(2001,5,21),TODAY()))/30)</f>
        <v>#REF!</v>
      </c>
      <c r="C48" s="219" t="e">
        <f ca="1">C38/((DAYS360(DATE(2002,1,26),TODAY()))/30)</f>
        <v>#REF!</v>
      </c>
      <c r="D48" s="219" t="e">
        <f ca="1">D38/((DAYS360(DATE(2002,1,26),TODAY()))/30)</f>
        <v>#REF!</v>
      </c>
      <c r="E48" s="219" t="e">
        <f ca="1">E38/((DAYS360(DATE(2002,1,26),TODAY()))/30)</f>
        <v>#REF!</v>
      </c>
      <c r="F48" s="261"/>
      <c r="H48" s="200">
        <v>44</v>
      </c>
      <c r="I48" s="217">
        <v>38368</v>
      </c>
      <c r="J48" s="200">
        <v>61255</v>
      </c>
      <c r="K48" s="200">
        <f t="shared" si="0"/>
        <v>872</v>
      </c>
      <c r="L48" s="201">
        <f t="shared" si="1"/>
        <v>1392.159090909091</v>
      </c>
      <c r="M48" s="217">
        <v>38621</v>
      </c>
      <c r="N48" s="200">
        <v>73080</v>
      </c>
      <c r="O48" s="200">
        <f t="shared" si="2"/>
        <v>1168</v>
      </c>
      <c r="P48" s="202">
        <f t="shared" si="6"/>
        <v>1660.909090909091</v>
      </c>
      <c r="Q48" s="217">
        <v>41514</v>
      </c>
      <c r="R48" s="200">
        <v>67100</v>
      </c>
      <c r="S48" s="200">
        <f t="shared" si="4"/>
        <v>1800</v>
      </c>
      <c r="T48" s="202">
        <f t="shared" si="7"/>
        <v>1525</v>
      </c>
    </row>
    <row r="49" spans="1:20" ht="15.75" thickBot="1">
      <c r="A49" s="203" t="s">
        <v>11664</v>
      </c>
      <c r="B49" s="219" t="e">
        <f ca="1">B41/B46</f>
        <v>#REF!</v>
      </c>
      <c r="C49" s="219" t="e">
        <f ca="1">C41/C46</f>
        <v>#REF!</v>
      </c>
      <c r="D49" s="219" t="e">
        <f ca="1">D41/D46</f>
        <v>#REF!</v>
      </c>
      <c r="E49" s="219" t="e">
        <f ca="1">E41/E46</f>
        <v>#REF!</v>
      </c>
      <c r="F49" s="261"/>
      <c r="G49" s="208"/>
      <c r="H49" s="200">
        <v>45</v>
      </c>
      <c r="I49" s="217">
        <v>38399</v>
      </c>
      <c r="J49" s="200">
        <v>62755</v>
      </c>
      <c r="K49" s="200">
        <f t="shared" si="0"/>
        <v>1500</v>
      </c>
      <c r="L49" s="201">
        <f t="shared" si="1"/>
        <v>1394.5555555555557</v>
      </c>
      <c r="M49" s="217">
        <v>38651</v>
      </c>
      <c r="N49" s="200">
        <v>73560</v>
      </c>
      <c r="O49" s="200">
        <f t="shared" si="2"/>
        <v>480</v>
      </c>
      <c r="P49" s="202">
        <f t="shared" si="6"/>
        <v>1634.6666666666667</v>
      </c>
      <c r="Q49" s="217">
        <v>41545</v>
      </c>
      <c r="R49" s="200">
        <v>69200</v>
      </c>
      <c r="S49" s="200">
        <f t="shared" si="4"/>
        <v>2100</v>
      </c>
      <c r="T49" s="202">
        <f t="shared" si="7"/>
        <v>1537.7777777777778</v>
      </c>
    </row>
    <row r="50" spans="1:20">
      <c r="A50" s="203" t="s">
        <v>11665</v>
      </c>
      <c r="B50" s="219" t="e">
        <f ca="1">B49*12</f>
        <v>#REF!</v>
      </c>
      <c r="C50" s="219" t="e">
        <f ca="1">C49*12</f>
        <v>#REF!</v>
      </c>
      <c r="D50" s="219" t="e">
        <f ca="1">D49*12</f>
        <v>#REF!</v>
      </c>
      <c r="E50" s="219" t="e">
        <f ca="1">E49*12</f>
        <v>#REF!</v>
      </c>
      <c r="F50" s="261"/>
      <c r="H50" s="200">
        <v>46</v>
      </c>
      <c r="I50" s="217">
        <v>38427</v>
      </c>
      <c r="J50" s="200">
        <v>63900</v>
      </c>
      <c r="K50" s="200">
        <f t="shared" si="0"/>
        <v>1145</v>
      </c>
      <c r="L50" s="201">
        <f t="shared" si="1"/>
        <v>1389.1304347826087</v>
      </c>
      <c r="M50" s="217">
        <v>38682</v>
      </c>
      <c r="N50" s="200">
        <v>75560</v>
      </c>
      <c r="O50" s="200">
        <f t="shared" si="2"/>
        <v>2000</v>
      </c>
      <c r="P50" s="202">
        <f t="shared" si="6"/>
        <v>1642.608695652174</v>
      </c>
      <c r="Q50" s="217">
        <v>41575</v>
      </c>
      <c r="R50" s="200">
        <v>71300</v>
      </c>
      <c r="S50" s="200">
        <f t="shared" si="4"/>
        <v>2100</v>
      </c>
      <c r="T50" s="202">
        <f t="shared" si="7"/>
        <v>1550</v>
      </c>
    </row>
    <row r="51" spans="1:20">
      <c r="A51" s="203" t="s">
        <v>11666</v>
      </c>
      <c r="B51" s="219" t="e">
        <f ca="1">B41/B29</f>
        <v>#REF!</v>
      </c>
      <c r="C51" s="219" t="e">
        <f ca="1">C41/C29</f>
        <v>#REF!</v>
      </c>
      <c r="D51" s="219" t="e">
        <f ca="1">D41/D29</f>
        <v>#REF!</v>
      </c>
      <c r="E51" s="219" t="e">
        <f ca="1">E41/E29</f>
        <v>#REF!</v>
      </c>
      <c r="F51" s="261"/>
      <c r="H51" s="200">
        <v>47</v>
      </c>
      <c r="I51" s="217">
        <v>38458</v>
      </c>
      <c r="J51" s="200">
        <v>65230</v>
      </c>
      <c r="K51" s="200">
        <f t="shared" si="0"/>
        <v>1330</v>
      </c>
      <c r="L51" s="201">
        <f>J51/H51</f>
        <v>1387.872340425532</v>
      </c>
      <c r="M51" s="217">
        <v>38712</v>
      </c>
      <c r="N51" s="200">
        <v>75904</v>
      </c>
      <c r="O51" s="200">
        <f t="shared" si="2"/>
        <v>344</v>
      </c>
      <c r="P51" s="202">
        <f t="shared" si="6"/>
        <v>1614.9787234042553</v>
      </c>
      <c r="Q51" s="217">
        <v>41606</v>
      </c>
      <c r="R51" s="200">
        <v>73400</v>
      </c>
      <c r="S51" s="200">
        <f t="shared" si="4"/>
        <v>2100</v>
      </c>
      <c r="T51" s="202">
        <f t="shared" si="7"/>
        <v>1561.7021276595744</v>
      </c>
    </row>
    <row r="52" spans="1:20">
      <c r="H52" s="200">
        <v>48</v>
      </c>
      <c r="I52" s="217">
        <v>38488</v>
      </c>
      <c r="J52" s="200">
        <v>66491</v>
      </c>
      <c r="K52" s="200">
        <f t="shared" si="0"/>
        <v>1261</v>
      </c>
      <c r="L52" s="201">
        <f t="shared" si="1"/>
        <v>1385.2291666666667</v>
      </c>
      <c r="M52" s="217">
        <v>38743</v>
      </c>
      <c r="N52" s="200">
        <v>77116</v>
      </c>
      <c r="O52" s="200">
        <f t="shared" si="2"/>
        <v>1212</v>
      </c>
      <c r="P52" s="202">
        <f t="shared" si="6"/>
        <v>1606.5833333333333</v>
      </c>
      <c r="Q52" s="217">
        <v>41636</v>
      </c>
      <c r="R52" s="200">
        <v>75500</v>
      </c>
      <c r="S52" s="200">
        <f t="shared" si="4"/>
        <v>2100</v>
      </c>
      <c r="T52" s="202">
        <f t="shared" si="7"/>
        <v>1572.9166666666667</v>
      </c>
    </row>
    <row r="53" spans="1:20">
      <c r="A53" s="223" t="s">
        <v>11639</v>
      </c>
      <c r="B53" s="223" t="s">
        <v>11667</v>
      </c>
      <c r="C53" s="223" t="s">
        <v>11668</v>
      </c>
      <c r="D53" s="223" t="s">
        <v>11669</v>
      </c>
      <c r="E53" s="223" t="s">
        <v>11670</v>
      </c>
      <c r="F53" s="192"/>
      <c r="H53" s="200">
        <v>49</v>
      </c>
      <c r="I53" s="217">
        <v>38519</v>
      </c>
      <c r="J53" s="200">
        <v>68060</v>
      </c>
      <c r="K53" s="200">
        <f t="shared" si="0"/>
        <v>1569</v>
      </c>
      <c r="L53" s="201">
        <f t="shared" si="1"/>
        <v>1388.9795918367347</v>
      </c>
      <c r="M53" s="217">
        <v>38774</v>
      </c>
      <c r="N53" s="200">
        <v>78515</v>
      </c>
      <c r="O53" s="200">
        <f t="shared" si="2"/>
        <v>1399</v>
      </c>
      <c r="P53" s="202">
        <f t="shared" si="6"/>
        <v>1602.3469387755101</v>
      </c>
      <c r="Q53" s="217">
        <v>41667</v>
      </c>
      <c r="R53" s="200">
        <v>77100</v>
      </c>
      <c r="S53" s="200">
        <f t="shared" si="4"/>
        <v>1600</v>
      </c>
      <c r="T53" s="202">
        <f t="shared" si="7"/>
        <v>1573.4693877551019</v>
      </c>
    </row>
    <row r="54" spans="1:20">
      <c r="A54" s="200" t="s">
        <v>11671</v>
      </c>
      <c r="B54" s="200">
        <f>J16</f>
        <v>30400</v>
      </c>
      <c r="C54" s="200">
        <f>N16</f>
        <v>27860</v>
      </c>
      <c r="D54" s="200">
        <f>R16-R4</f>
        <v>18016</v>
      </c>
      <c r="E54" s="200"/>
      <c r="F54" s="128"/>
      <c r="H54" s="200">
        <v>50</v>
      </c>
      <c r="I54" s="217">
        <v>38549</v>
      </c>
      <c r="J54" s="200">
        <v>69307</v>
      </c>
      <c r="K54" s="200">
        <f t="shared" si="0"/>
        <v>1247</v>
      </c>
      <c r="L54" s="201">
        <f t="shared" si="1"/>
        <v>1386.14</v>
      </c>
      <c r="M54" s="217">
        <v>38802</v>
      </c>
      <c r="N54" s="200">
        <v>80200</v>
      </c>
      <c r="O54" s="200">
        <f t="shared" si="2"/>
        <v>1685</v>
      </c>
      <c r="P54" s="202">
        <f t="shared" si="6"/>
        <v>1604</v>
      </c>
      <c r="Q54" s="217">
        <v>41698</v>
      </c>
      <c r="R54" s="200">
        <v>79200</v>
      </c>
      <c r="S54" s="200">
        <f t="shared" si="4"/>
        <v>2100</v>
      </c>
      <c r="T54" s="202">
        <f t="shared" si="7"/>
        <v>1584</v>
      </c>
    </row>
    <row r="55" spans="1:20">
      <c r="A55" s="200" t="s">
        <v>11672</v>
      </c>
      <c r="B55" s="200">
        <f>J28-J16</f>
        <v>13171</v>
      </c>
      <c r="C55" s="200">
        <f>N28-N16</f>
        <v>18121</v>
      </c>
      <c r="D55" s="200">
        <f>R28-R16</f>
        <v>17866</v>
      </c>
      <c r="E55" s="200"/>
      <c r="F55" s="128"/>
      <c r="H55" s="200">
        <v>51</v>
      </c>
      <c r="I55" s="217">
        <v>38580</v>
      </c>
      <c r="J55" s="200">
        <v>70450</v>
      </c>
      <c r="K55" s="200">
        <f t="shared" si="0"/>
        <v>1143</v>
      </c>
      <c r="L55" s="201">
        <f t="shared" si="1"/>
        <v>1381.3725490196077</v>
      </c>
      <c r="M55" s="217">
        <v>38833</v>
      </c>
      <c r="N55" s="200">
        <v>82040</v>
      </c>
      <c r="O55" s="200">
        <f t="shared" si="2"/>
        <v>1840</v>
      </c>
      <c r="P55" s="202">
        <f t="shared" si="6"/>
        <v>1608.6274509803923</v>
      </c>
      <c r="Q55" s="217">
        <v>41726</v>
      </c>
      <c r="R55" s="200">
        <v>81200</v>
      </c>
      <c r="S55" s="200">
        <f t="shared" si="4"/>
        <v>2000</v>
      </c>
      <c r="T55" s="202">
        <f t="shared" si="7"/>
        <v>1592.1568627450981</v>
      </c>
    </row>
    <row r="56" spans="1:20">
      <c r="A56" s="200" t="s">
        <v>11673</v>
      </c>
      <c r="B56" s="200">
        <f>J40-J28</f>
        <v>8310</v>
      </c>
      <c r="C56" s="200">
        <f>N40-N28</f>
        <v>16854</v>
      </c>
      <c r="D56" s="200">
        <f>R40-R28</f>
        <v>18879</v>
      </c>
      <c r="E56" s="200"/>
      <c r="F56" s="128"/>
      <c r="H56" s="200">
        <v>52</v>
      </c>
      <c r="I56" s="217">
        <v>38611</v>
      </c>
      <c r="J56" s="200">
        <v>71510</v>
      </c>
      <c r="K56" s="200">
        <f t="shared" si="0"/>
        <v>1060</v>
      </c>
      <c r="L56" s="201">
        <f t="shared" si="1"/>
        <v>1375.1923076923076</v>
      </c>
      <c r="M56" s="217">
        <v>38863</v>
      </c>
      <c r="N56" s="200">
        <v>83423</v>
      </c>
      <c r="O56" s="200">
        <f t="shared" si="2"/>
        <v>1383</v>
      </c>
      <c r="P56" s="202">
        <f t="shared" si="6"/>
        <v>1604.2884615384614</v>
      </c>
      <c r="Q56" s="217">
        <v>41757</v>
      </c>
      <c r="R56" s="200">
        <v>82000</v>
      </c>
      <c r="S56" s="200">
        <f t="shared" si="4"/>
        <v>800</v>
      </c>
      <c r="T56" s="202">
        <f t="shared" si="7"/>
        <v>1576.9230769230769</v>
      </c>
    </row>
    <row r="57" spans="1:20">
      <c r="A57" s="200" t="s">
        <v>11674</v>
      </c>
      <c r="B57" s="200">
        <f>J52-J40</f>
        <v>14610</v>
      </c>
      <c r="C57" s="200">
        <f>N52-N40</f>
        <v>14281</v>
      </c>
      <c r="D57" s="200">
        <f>R52-R40</f>
        <v>20621</v>
      </c>
      <c r="E57" s="200"/>
      <c r="F57" s="128"/>
      <c r="H57" s="200">
        <v>53</v>
      </c>
      <c r="I57" s="217">
        <v>38641</v>
      </c>
      <c r="J57" s="200">
        <v>72100</v>
      </c>
      <c r="K57" s="200">
        <f t="shared" si="0"/>
        <v>590</v>
      </c>
      <c r="L57" s="201">
        <f t="shared" si="1"/>
        <v>1360.3773584905659</v>
      </c>
      <c r="M57" s="217">
        <v>38894</v>
      </c>
      <c r="N57" s="200">
        <v>84880</v>
      </c>
      <c r="O57" s="200">
        <f t="shared" si="2"/>
        <v>1457</v>
      </c>
      <c r="P57" s="202">
        <f t="shared" si="6"/>
        <v>1601.5094339622642</v>
      </c>
      <c r="Q57" s="217">
        <v>41787</v>
      </c>
      <c r="R57" s="200">
        <v>83100</v>
      </c>
      <c r="S57" s="200">
        <f t="shared" si="4"/>
        <v>1100</v>
      </c>
      <c r="T57" s="202">
        <f t="shared" si="7"/>
        <v>1567.9245283018868</v>
      </c>
    </row>
    <row r="58" spans="1:20">
      <c r="A58" s="200" t="s">
        <v>11675</v>
      </c>
      <c r="B58" s="200">
        <f>J64-J52</f>
        <v>9194</v>
      </c>
      <c r="C58" s="204">
        <f>N64-N52</f>
        <v>18092</v>
      </c>
      <c r="D58" s="204">
        <f>R64-R52</f>
        <v>18000</v>
      </c>
      <c r="E58" s="204"/>
      <c r="F58" s="260"/>
      <c r="H58" s="200">
        <v>54</v>
      </c>
      <c r="I58" s="217">
        <v>38672</v>
      </c>
      <c r="J58" s="200">
        <v>72600</v>
      </c>
      <c r="K58" s="200">
        <f t="shared" si="0"/>
        <v>500</v>
      </c>
      <c r="L58" s="201">
        <f t="shared" si="1"/>
        <v>1344.4444444444443</v>
      </c>
      <c r="M58" s="217">
        <v>38924</v>
      </c>
      <c r="N58" s="200">
        <v>86750</v>
      </c>
      <c r="O58" s="200">
        <f t="shared" si="2"/>
        <v>1870</v>
      </c>
      <c r="P58" s="202">
        <f t="shared" si="6"/>
        <v>1606.4814814814815</v>
      </c>
      <c r="Q58" s="217">
        <v>41818</v>
      </c>
      <c r="R58" s="200">
        <v>84000</v>
      </c>
      <c r="S58" s="200">
        <f t="shared" si="4"/>
        <v>900</v>
      </c>
      <c r="T58" s="202">
        <f t="shared" si="7"/>
        <v>1555.5555555555557</v>
      </c>
    </row>
    <row r="59" spans="1:20">
      <c r="A59" s="200" t="s">
        <v>11676</v>
      </c>
      <c r="B59" s="200">
        <f>J76-J64</f>
        <v>8697</v>
      </c>
      <c r="C59" s="204">
        <f>N76-N64</f>
        <v>22812</v>
      </c>
      <c r="D59" s="204"/>
      <c r="E59" s="204"/>
      <c r="F59" s="260"/>
      <c r="H59" s="200">
        <v>55</v>
      </c>
      <c r="I59" s="217">
        <v>38702</v>
      </c>
      <c r="J59" s="200">
        <v>72870</v>
      </c>
      <c r="K59" s="200">
        <f t="shared" si="0"/>
        <v>270</v>
      </c>
      <c r="L59" s="201">
        <f t="shared" si="1"/>
        <v>1324.909090909091</v>
      </c>
      <c r="M59" s="217">
        <v>38955</v>
      </c>
      <c r="N59" s="200">
        <v>88575</v>
      </c>
      <c r="O59" s="200">
        <f t="shared" si="2"/>
        <v>1825</v>
      </c>
      <c r="P59" s="202">
        <f t="shared" si="6"/>
        <v>1610.4545454545455</v>
      </c>
      <c r="Q59" s="217">
        <v>41848</v>
      </c>
      <c r="R59" s="200">
        <v>85100</v>
      </c>
      <c r="S59" s="200">
        <f t="shared" si="4"/>
        <v>1100</v>
      </c>
      <c r="T59" s="202">
        <f t="shared" si="7"/>
        <v>1547.2727272727273</v>
      </c>
    </row>
    <row r="60" spans="1:20">
      <c r="A60" s="200" t="s">
        <v>11677</v>
      </c>
      <c r="B60" s="200">
        <f>J88-J76</f>
        <v>10218</v>
      </c>
      <c r="C60" s="204">
        <f>N88-N76</f>
        <v>27190</v>
      </c>
      <c r="D60" s="204"/>
      <c r="E60" s="204"/>
      <c r="F60" s="260"/>
      <c r="H60" s="200">
        <v>56</v>
      </c>
      <c r="I60" s="217">
        <v>38733</v>
      </c>
      <c r="J60" s="200">
        <v>73260</v>
      </c>
      <c r="K60" s="200">
        <f t="shared" si="0"/>
        <v>390</v>
      </c>
      <c r="L60" s="201">
        <f t="shared" si="1"/>
        <v>1308.2142857142858</v>
      </c>
      <c r="M60" s="217">
        <v>38986</v>
      </c>
      <c r="N60" s="200">
        <v>89870</v>
      </c>
      <c r="O60" s="200">
        <f t="shared" si="2"/>
        <v>1295</v>
      </c>
      <c r="P60" s="202">
        <f t="shared" si="6"/>
        <v>1604.8214285714287</v>
      </c>
      <c r="Q60" s="217">
        <v>41879</v>
      </c>
      <c r="R60" s="200">
        <v>86500</v>
      </c>
      <c r="S60" s="200">
        <f t="shared" si="4"/>
        <v>1400</v>
      </c>
      <c r="T60" s="202">
        <f t="shared" si="7"/>
        <v>1544.6428571428571</v>
      </c>
    </row>
    <row r="61" spans="1:20">
      <c r="A61" s="200" t="s">
        <v>11678</v>
      </c>
      <c r="B61" s="200">
        <f>J100-J88</f>
        <v>8380</v>
      </c>
      <c r="C61" s="204">
        <f>N100-N88</f>
        <v>21115</v>
      </c>
      <c r="D61" s="204"/>
      <c r="E61" s="204"/>
      <c r="F61" s="260"/>
      <c r="H61" s="200">
        <v>57</v>
      </c>
      <c r="I61" s="217">
        <v>38764</v>
      </c>
      <c r="J61" s="200">
        <v>73819</v>
      </c>
      <c r="K61" s="200">
        <f t="shared" si="0"/>
        <v>559</v>
      </c>
      <c r="L61" s="201">
        <f t="shared" si="1"/>
        <v>1295.0701754385964</v>
      </c>
      <c r="M61" s="217">
        <v>39016</v>
      </c>
      <c r="N61" s="200">
        <v>91357</v>
      </c>
      <c r="O61" s="200">
        <f t="shared" si="2"/>
        <v>1487</v>
      </c>
      <c r="P61" s="202">
        <f t="shared" si="6"/>
        <v>1602.7543859649122</v>
      </c>
      <c r="Q61" s="217">
        <v>41910</v>
      </c>
      <c r="R61" s="200">
        <v>87600</v>
      </c>
      <c r="S61" s="200">
        <f t="shared" si="4"/>
        <v>1100</v>
      </c>
      <c r="T61" s="202">
        <f t="shared" si="7"/>
        <v>1536.8421052631579</v>
      </c>
    </row>
    <row r="62" spans="1:20">
      <c r="A62" s="200" t="s">
        <v>11679</v>
      </c>
      <c r="B62" s="200">
        <f>J112-J100</f>
        <v>5920</v>
      </c>
      <c r="C62" s="204">
        <f>N107-N100</f>
        <v>5152</v>
      </c>
      <c r="D62" s="204"/>
      <c r="E62" s="204"/>
      <c r="F62" s="260"/>
      <c r="H62" s="200">
        <v>58</v>
      </c>
      <c r="I62" s="217">
        <v>38792</v>
      </c>
      <c r="J62" s="200">
        <v>74440</v>
      </c>
      <c r="K62" s="200">
        <f t="shared" si="0"/>
        <v>621</v>
      </c>
      <c r="L62" s="201">
        <f t="shared" si="1"/>
        <v>1283.4482758620691</v>
      </c>
      <c r="M62" s="217">
        <v>39047</v>
      </c>
      <c r="N62" s="200">
        <v>93140</v>
      </c>
      <c r="O62" s="200">
        <f t="shared" si="2"/>
        <v>1783</v>
      </c>
      <c r="P62" s="202">
        <f t="shared" si="6"/>
        <v>1605.8620689655172</v>
      </c>
      <c r="Q62" s="217">
        <v>41940</v>
      </c>
      <c r="R62" s="200">
        <v>89500</v>
      </c>
      <c r="S62" s="200">
        <f t="shared" si="4"/>
        <v>1900</v>
      </c>
      <c r="T62" s="202">
        <f t="shared" si="7"/>
        <v>1543.1034482758621</v>
      </c>
    </row>
    <row r="63" spans="1:20">
      <c r="A63" s="200" t="s">
        <v>11680</v>
      </c>
      <c r="B63" s="200">
        <f>J124-J112</f>
        <v>9900</v>
      </c>
      <c r="C63" s="204" t="s">
        <v>37</v>
      </c>
      <c r="D63" s="204"/>
      <c r="E63" s="204"/>
      <c r="F63" s="260"/>
      <c r="H63" s="200">
        <v>59</v>
      </c>
      <c r="I63" s="217">
        <v>38823</v>
      </c>
      <c r="J63" s="200">
        <v>75125</v>
      </c>
      <c r="K63" s="200">
        <f t="shared" si="0"/>
        <v>685</v>
      </c>
      <c r="L63" s="201">
        <f t="shared" si="1"/>
        <v>1273.3050847457628</v>
      </c>
      <c r="M63" s="217">
        <v>39077</v>
      </c>
      <c r="N63" s="200">
        <v>94900</v>
      </c>
      <c r="O63" s="200">
        <f t="shared" si="2"/>
        <v>1760</v>
      </c>
      <c r="P63" s="202">
        <f t="shared" si="6"/>
        <v>1608.4745762711864</v>
      </c>
      <c r="Q63" s="217">
        <v>41971</v>
      </c>
      <c r="R63" s="200">
        <v>91500</v>
      </c>
      <c r="S63" s="200">
        <f t="shared" si="4"/>
        <v>2000</v>
      </c>
      <c r="T63" s="202">
        <f t="shared" si="7"/>
        <v>1550.8474576271187</v>
      </c>
    </row>
    <row r="64" spans="1:20">
      <c r="A64" s="200" t="s">
        <v>11681</v>
      </c>
      <c r="B64" s="200">
        <f>J136-J124</f>
        <v>4100</v>
      </c>
      <c r="C64" s="204"/>
      <c r="D64" s="204"/>
      <c r="E64" s="204"/>
      <c r="F64" s="260"/>
      <c r="H64" s="200">
        <v>60</v>
      </c>
      <c r="I64" s="217">
        <v>38853</v>
      </c>
      <c r="J64" s="200">
        <v>75685</v>
      </c>
      <c r="K64" s="200">
        <f t="shared" si="0"/>
        <v>560</v>
      </c>
      <c r="L64" s="201">
        <f t="shared" si="1"/>
        <v>1261.4166666666667</v>
      </c>
      <c r="M64" s="217">
        <v>39108</v>
      </c>
      <c r="N64" s="200">
        <v>95208</v>
      </c>
      <c r="O64" s="200">
        <f t="shared" si="2"/>
        <v>308</v>
      </c>
      <c r="P64" s="202">
        <f t="shared" si="6"/>
        <v>1586.8</v>
      </c>
      <c r="Q64" s="217">
        <v>42001</v>
      </c>
      <c r="R64" s="200">
        <v>93500</v>
      </c>
      <c r="S64" s="200">
        <f t="shared" si="4"/>
        <v>2000</v>
      </c>
      <c r="T64" s="202">
        <f t="shared" si="7"/>
        <v>1558.3333333333333</v>
      </c>
    </row>
    <row r="65" spans="1:20">
      <c r="A65" s="200" t="s">
        <v>11682</v>
      </c>
      <c r="B65" s="200">
        <f>J148-J136</f>
        <v>7880</v>
      </c>
      <c r="C65" s="204"/>
      <c r="D65" s="204"/>
      <c r="E65" s="204"/>
      <c r="F65" s="260"/>
      <c r="H65" s="200">
        <v>61</v>
      </c>
      <c r="I65" s="217">
        <v>38884</v>
      </c>
      <c r="J65" s="200">
        <v>76170</v>
      </c>
      <c r="K65" s="200">
        <f t="shared" si="0"/>
        <v>485</v>
      </c>
      <c r="L65" s="201">
        <f t="shared" si="1"/>
        <v>1248.688524590164</v>
      </c>
      <c r="M65" s="217">
        <v>39139</v>
      </c>
      <c r="N65" s="200">
        <v>97168</v>
      </c>
      <c r="O65" s="200">
        <f t="shared" si="2"/>
        <v>1960</v>
      </c>
      <c r="P65" s="202">
        <f t="shared" si="6"/>
        <v>1592.9180327868853</v>
      </c>
      <c r="Q65" s="217">
        <v>42032</v>
      </c>
      <c r="R65" s="200">
        <v>95500</v>
      </c>
      <c r="S65" s="200">
        <f t="shared" si="4"/>
        <v>2000</v>
      </c>
      <c r="T65" s="202">
        <f t="shared" si="7"/>
        <v>1565.5737704918033</v>
      </c>
    </row>
    <row r="66" spans="1:20">
      <c r="A66" s="200" t="s">
        <v>11683</v>
      </c>
      <c r="B66" s="200">
        <f>J160-J148</f>
        <v>11320</v>
      </c>
      <c r="C66" s="204"/>
      <c r="D66" s="204"/>
      <c r="E66" s="204"/>
      <c r="F66" s="260"/>
      <c r="H66" s="200">
        <v>62</v>
      </c>
      <c r="I66" s="217">
        <v>38914</v>
      </c>
      <c r="J66" s="200">
        <v>76890</v>
      </c>
      <c r="K66" s="200">
        <f t="shared" si="0"/>
        <v>720</v>
      </c>
      <c r="L66" s="201">
        <f t="shared" si="1"/>
        <v>1240.1612903225807</v>
      </c>
      <c r="M66" s="217">
        <v>39167</v>
      </c>
      <c r="N66" s="200">
        <v>98300</v>
      </c>
      <c r="O66" s="200">
        <f t="shared" si="2"/>
        <v>1132</v>
      </c>
      <c r="P66" s="202">
        <f t="shared" si="6"/>
        <v>1585.483870967742</v>
      </c>
      <c r="Q66" s="217"/>
      <c r="R66" s="200"/>
      <c r="S66" s="200"/>
      <c r="T66" s="202"/>
    </row>
    <row r="67" spans="1:20">
      <c r="A67" s="200" t="s">
        <v>11684</v>
      </c>
      <c r="B67" s="200"/>
      <c r="C67" s="204"/>
      <c r="D67" s="204"/>
      <c r="E67" s="204"/>
      <c r="F67" s="260"/>
      <c r="H67" s="200">
        <v>63</v>
      </c>
      <c r="I67" s="217">
        <v>38945</v>
      </c>
      <c r="J67" s="200">
        <v>77702</v>
      </c>
      <c r="K67" s="200">
        <f t="shared" si="0"/>
        <v>812</v>
      </c>
      <c r="L67" s="201">
        <f t="shared" si="1"/>
        <v>1233.3650793650793</v>
      </c>
      <c r="M67" s="217">
        <v>39198</v>
      </c>
      <c r="N67" s="200">
        <v>100254</v>
      </c>
      <c r="O67" s="200">
        <f t="shared" si="2"/>
        <v>1954</v>
      </c>
      <c r="P67" s="202">
        <f t="shared" si="6"/>
        <v>1591.3333333333333</v>
      </c>
      <c r="Q67" s="217"/>
      <c r="R67" s="200"/>
      <c r="S67" s="200"/>
      <c r="T67" s="202"/>
    </row>
    <row r="68" spans="1:20">
      <c r="A68" s="200" t="s">
        <v>11685</v>
      </c>
      <c r="B68" s="200"/>
      <c r="C68" s="204"/>
      <c r="D68" s="204"/>
      <c r="E68" s="204"/>
      <c r="F68" s="260"/>
      <c r="H68" s="200">
        <v>64</v>
      </c>
      <c r="I68" s="217">
        <v>38976</v>
      </c>
      <c r="J68" s="200">
        <v>78700</v>
      </c>
      <c r="K68" s="200">
        <f t="shared" si="0"/>
        <v>998</v>
      </c>
      <c r="L68" s="201">
        <f t="shared" si="1"/>
        <v>1229.6875</v>
      </c>
      <c r="M68" s="217">
        <v>39228</v>
      </c>
      <c r="N68" s="200">
        <v>102280</v>
      </c>
      <c r="O68" s="200">
        <f t="shared" si="2"/>
        <v>2026</v>
      </c>
      <c r="P68" s="202">
        <f t="shared" si="6"/>
        <v>1598.125</v>
      </c>
      <c r="Q68" s="217"/>
      <c r="R68" s="200"/>
      <c r="S68" s="200"/>
      <c r="T68" s="202"/>
    </row>
    <row r="69" spans="1:20">
      <c r="A69" s="200"/>
      <c r="B69" s="200"/>
      <c r="C69" s="204"/>
      <c r="D69" s="204"/>
      <c r="E69" s="204"/>
      <c r="F69" s="260"/>
      <c r="H69" s="200">
        <v>65</v>
      </c>
      <c r="I69" s="217">
        <v>39006</v>
      </c>
      <c r="J69" s="200">
        <v>79600</v>
      </c>
      <c r="K69" s="200">
        <f t="shared" si="0"/>
        <v>900</v>
      </c>
      <c r="L69" s="201">
        <f t="shared" si="1"/>
        <v>1224.6153846153845</v>
      </c>
      <c r="M69" s="217">
        <v>39259</v>
      </c>
      <c r="N69" s="200">
        <v>104200</v>
      </c>
      <c r="O69" s="200">
        <f t="shared" si="2"/>
        <v>1920</v>
      </c>
      <c r="P69" s="202">
        <f t="shared" ref="P69:P107" si="8">N69/H69</f>
        <v>1603.0769230769231</v>
      </c>
      <c r="Q69" s="217"/>
      <c r="R69" s="200"/>
      <c r="S69" s="200"/>
      <c r="T69" s="202"/>
    </row>
    <row r="70" spans="1:20">
      <c r="A70" s="221" t="s">
        <v>244</v>
      </c>
      <c r="B70" s="221">
        <f>SUM(B54:B69)</f>
        <v>142100</v>
      </c>
      <c r="C70" s="221">
        <f>SUM(C54:C69)</f>
        <v>171477</v>
      </c>
      <c r="D70" s="221">
        <f>SUM(D54:D69)</f>
        <v>93382</v>
      </c>
      <c r="E70" s="221">
        <f>SUM(E54:E69)</f>
        <v>0</v>
      </c>
      <c r="F70" s="263"/>
      <c r="H70" s="200">
        <v>66</v>
      </c>
      <c r="I70" s="217">
        <v>39037</v>
      </c>
      <c r="J70" s="200">
        <v>80380</v>
      </c>
      <c r="K70" s="200">
        <f t="shared" si="0"/>
        <v>780</v>
      </c>
      <c r="L70" s="201">
        <f t="shared" si="1"/>
        <v>1217.878787878788</v>
      </c>
      <c r="M70" s="217">
        <v>39289</v>
      </c>
      <c r="N70" s="200">
        <v>106300</v>
      </c>
      <c r="O70" s="200">
        <f t="shared" si="2"/>
        <v>2100</v>
      </c>
      <c r="P70" s="202">
        <f t="shared" si="8"/>
        <v>1610.6060606060605</v>
      </c>
      <c r="Q70" s="217"/>
      <c r="R70" s="200"/>
      <c r="S70" s="200"/>
      <c r="T70" s="202"/>
    </row>
    <row r="71" spans="1:20">
      <c r="H71" s="200">
        <v>67</v>
      </c>
      <c r="I71" s="217">
        <v>39067</v>
      </c>
      <c r="J71" s="200">
        <v>81150</v>
      </c>
      <c r="K71" s="200">
        <f t="shared" si="0"/>
        <v>770</v>
      </c>
      <c r="L71" s="201">
        <f t="shared" si="1"/>
        <v>1211.1940298507463</v>
      </c>
      <c r="M71" s="217">
        <v>39320</v>
      </c>
      <c r="N71" s="200">
        <v>108700</v>
      </c>
      <c r="O71" s="200">
        <f t="shared" si="2"/>
        <v>2400</v>
      </c>
      <c r="P71" s="202">
        <f t="shared" si="8"/>
        <v>1622.3880597014925</v>
      </c>
      <c r="Q71" s="217"/>
      <c r="R71" s="200"/>
      <c r="S71" s="200"/>
      <c r="T71" s="202"/>
    </row>
    <row r="72" spans="1:20">
      <c r="A72" s="223" t="s">
        <v>11655</v>
      </c>
      <c r="B72" s="223" t="s">
        <v>11667</v>
      </c>
      <c r="C72" s="223" t="s">
        <v>11686</v>
      </c>
      <c r="D72" s="223" t="s">
        <v>11641</v>
      </c>
      <c r="E72" s="223" t="s">
        <v>11687</v>
      </c>
      <c r="F72" s="192"/>
      <c r="H72" s="200">
        <v>68</v>
      </c>
      <c r="I72" s="217">
        <v>39098</v>
      </c>
      <c r="J72" s="200">
        <v>81380</v>
      </c>
      <c r="K72" s="200">
        <f t="shared" si="0"/>
        <v>230</v>
      </c>
      <c r="L72" s="201">
        <f t="shared" si="1"/>
        <v>1196.7647058823529</v>
      </c>
      <c r="M72" s="217">
        <v>39351</v>
      </c>
      <c r="N72" s="200">
        <v>110700</v>
      </c>
      <c r="O72" s="200">
        <f t="shared" si="2"/>
        <v>2000</v>
      </c>
      <c r="P72" s="202">
        <f t="shared" si="8"/>
        <v>1627.9411764705883</v>
      </c>
      <c r="Q72" s="217"/>
      <c r="R72" s="200"/>
      <c r="S72" s="200"/>
      <c r="T72" s="202"/>
    </row>
    <row r="73" spans="1:20">
      <c r="A73" s="200" t="s">
        <v>11671</v>
      </c>
      <c r="B73" s="219">
        <v>300</v>
      </c>
      <c r="C73" s="219" t="e">
        <f>#REF!</f>
        <v>#REF!</v>
      </c>
      <c r="D73" s="219" t="e">
        <f>#REF!</f>
        <v>#REF!</v>
      </c>
      <c r="E73" s="219" t="e">
        <f>#REF!</f>
        <v>#REF!</v>
      </c>
      <c r="F73" s="261"/>
      <c r="H73" s="200">
        <v>69</v>
      </c>
      <c r="I73" s="217">
        <v>39129</v>
      </c>
      <c r="J73" s="200">
        <v>82000</v>
      </c>
      <c r="K73" s="200">
        <f>J73-J72</f>
        <v>620</v>
      </c>
      <c r="L73" s="201">
        <f t="shared" si="1"/>
        <v>1188.4057971014493</v>
      </c>
      <c r="M73" s="217">
        <v>39381</v>
      </c>
      <c r="N73" s="200">
        <v>113000</v>
      </c>
      <c r="O73" s="200">
        <f>N73-N72</f>
        <v>2300</v>
      </c>
      <c r="P73" s="202">
        <f t="shared" si="8"/>
        <v>1637.6811594202898</v>
      </c>
      <c r="Q73" s="217"/>
      <c r="R73" s="200"/>
      <c r="S73" s="200"/>
      <c r="T73" s="202"/>
    </row>
    <row r="74" spans="1:20">
      <c r="A74" s="200" t="s">
        <v>11672</v>
      </c>
      <c r="B74" s="219" t="e">
        <f>#REF!</f>
        <v>#REF!</v>
      </c>
      <c r="C74" s="219" t="e">
        <f>#REF!</f>
        <v>#REF!</v>
      </c>
      <c r="D74" s="219" t="e">
        <f>#REF!</f>
        <v>#REF!</v>
      </c>
      <c r="E74" s="219" t="e">
        <f>#REF!</f>
        <v>#REF!</v>
      </c>
      <c r="F74" s="261"/>
      <c r="H74" s="200">
        <v>70</v>
      </c>
      <c r="I74" s="217">
        <v>39157</v>
      </c>
      <c r="J74" s="200">
        <v>82650</v>
      </c>
      <c r="K74" s="200">
        <f t="shared" si="0"/>
        <v>650</v>
      </c>
      <c r="L74" s="201">
        <f t="shared" si="1"/>
        <v>1180.7142857142858</v>
      </c>
      <c r="M74" s="217">
        <v>39412</v>
      </c>
      <c r="N74" s="200">
        <v>115200</v>
      </c>
      <c r="O74" s="200">
        <f t="shared" si="2"/>
        <v>2200</v>
      </c>
      <c r="P74" s="202">
        <f t="shared" si="8"/>
        <v>1645.7142857142858</v>
      </c>
      <c r="Q74" s="217"/>
      <c r="R74" s="200"/>
      <c r="S74" s="200"/>
      <c r="T74" s="202"/>
    </row>
    <row r="75" spans="1:20">
      <c r="A75" s="200" t="s">
        <v>11673</v>
      </c>
      <c r="B75" s="219" t="e">
        <f>#REF!</f>
        <v>#REF!</v>
      </c>
      <c r="C75" s="219" t="e">
        <f>#REF!</f>
        <v>#REF!</v>
      </c>
      <c r="D75" s="219" t="e">
        <f>#REF!</f>
        <v>#REF!</v>
      </c>
      <c r="E75" s="219" t="e">
        <f>#REF!</f>
        <v>#REF!</v>
      </c>
      <c r="F75" s="261"/>
      <c r="H75" s="200">
        <v>71</v>
      </c>
      <c r="I75" s="217">
        <v>39188</v>
      </c>
      <c r="J75" s="200">
        <v>83695</v>
      </c>
      <c r="K75" s="200">
        <f t="shared" si="0"/>
        <v>1045</v>
      </c>
      <c r="L75" s="201">
        <f t="shared" si="1"/>
        <v>1178.8028169014085</v>
      </c>
      <c r="M75" s="217">
        <v>39442</v>
      </c>
      <c r="N75" s="200">
        <v>117400</v>
      </c>
      <c r="O75" s="200">
        <f t="shared" si="2"/>
        <v>2200</v>
      </c>
      <c r="P75" s="202">
        <f t="shared" si="8"/>
        <v>1653.5211267605634</v>
      </c>
      <c r="Q75" s="217"/>
      <c r="R75" s="200"/>
      <c r="S75" s="200"/>
      <c r="T75" s="202"/>
    </row>
    <row r="76" spans="1:20">
      <c r="A76" s="200" t="s">
        <v>11674</v>
      </c>
      <c r="B76" s="219" t="e">
        <f>#REF!</f>
        <v>#REF!</v>
      </c>
      <c r="C76" s="219" t="e">
        <f>#REF!</f>
        <v>#REF!</v>
      </c>
      <c r="D76" s="219" t="e">
        <f>#REF!</f>
        <v>#REF!</v>
      </c>
      <c r="E76" s="219" t="e">
        <f>#REF!</f>
        <v>#REF!</v>
      </c>
      <c r="F76" s="261"/>
      <c r="H76" s="200">
        <v>72</v>
      </c>
      <c r="I76" s="217">
        <v>39218</v>
      </c>
      <c r="J76" s="200">
        <v>84382</v>
      </c>
      <c r="K76" s="200">
        <f t="shared" si="0"/>
        <v>687</v>
      </c>
      <c r="L76" s="201">
        <f t="shared" si="1"/>
        <v>1171.9722222222222</v>
      </c>
      <c r="M76" s="217">
        <v>39473</v>
      </c>
      <c r="N76" s="200">
        <v>118020</v>
      </c>
      <c r="O76" s="200">
        <f t="shared" si="2"/>
        <v>620</v>
      </c>
      <c r="P76" s="202">
        <f t="shared" si="8"/>
        <v>1639.1666666666667</v>
      </c>
      <c r="Q76" s="217"/>
      <c r="R76" s="200"/>
      <c r="S76" s="200"/>
      <c r="T76" s="202"/>
    </row>
    <row r="77" spans="1:20">
      <c r="A77" s="200" t="s">
        <v>11675</v>
      </c>
      <c r="B77" s="219" t="e">
        <f>#REF!</f>
        <v>#REF!</v>
      </c>
      <c r="C77" s="219" t="e">
        <f>#REF!</f>
        <v>#REF!</v>
      </c>
      <c r="D77" s="219" t="e">
        <f>#REF!</f>
        <v>#REF!</v>
      </c>
      <c r="E77" s="219" t="e">
        <f>#REF!</f>
        <v>#REF!</v>
      </c>
      <c r="F77" s="261"/>
      <c r="H77" s="200">
        <v>73</v>
      </c>
      <c r="I77" s="217">
        <v>39249</v>
      </c>
      <c r="J77" s="200">
        <v>85399</v>
      </c>
      <c r="K77" s="200">
        <f t="shared" si="0"/>
        <v>1017</v>
      </c>
      <c r="L77" s="201">
        <f t="shared" si="1"/>
        <v>1169.8493150684931</v>
      </c>
      <c r="M77" s="217">
        <v>39504</v>
      </c>
      <c r="N77" s="200">
        <v>120135</v>
      </c>
      <c r="O77" s="200">
        <f t="shared" si="2"/>
        <v>2115</v>
      </c>
      <c r="P77" s="202">
        <f t="shared" si="8"/>
        <v>1645.6849315068494</v>
      </c>
      <c r="Q77" s="217"/>
      <c r="R77" s="200"/>
      <c r="S77" s="200"/>
      <c r="T77" s="202"/>
    </row>
    <row r="78" spans="1:20">
      <c r="A78" s="200" t="s">
        <v>11676</v>
      </c>
      <c r="B78" s="219" t="e">
        <f>#REF!</f>
        <v>#REF!</v>
      </c>
      <c r="C78" s="219" t="e">
        <f>#REF!</f>
        <v>#REF!</v>
      </c>
      <c r="D78" s="219" t="e">
        <f>#REF!</f>
        <v>#REF!</v>
      </c>
      <c r="E78" s="219" t="e">
        <f>#REF!</f>
        <v>#REF!</v>
      </c>
      <c r="F78" s="261"/>
      <c r="H78" s="200">
        <v>74</v>
      </c>
      <c r="I78" s="217">
        <v>39279</v>
      </c>
      <c r="J78" s="200">
        <v>86112</v>
      </c>
      <c r="K78" s="200">
        <f t="shared" si="0"/>
        <v>713</v>
      </c>
      <c r="L78" s="201">
        <f t="shared" si="1"/>
        <v>1163.6756756756756</v>
      </c>
      <c r="M78" s="217">
        <v>39533</v>
      </c>
      <c r="N78" s="200">
        <v>122120</v>
      </c>
      <c r="O78" s="200">
        <f t="shared" si="2"/>
        <v>1985</v>
      </c>
      <c r="P78" s="202">
        <f t="shared" si="8"/>
        <v>1650.2702702702702</v>
      </c>
      <c r="Q78" s="217"/>
      <c r="R78" s="200"/>
      <c r="S78" s="200"/>
      <c r="T78" s="202"/>
    </row>
    <row r="79" spans="1:20" ht="14.25" customHeight="1">
      <c r="A79" s="200" t="s">
        <v>11677</v>
      </c>
      <c r="B79" s="219" t="e">
        <f>#REF!</f>
        <v>#REF!</v>
      </c>
      <c r="C79" s="219" t="e">
        <f>#REF!</f>
        <v>#REF!</v>
      </c>
      <c r="D79" s="219"/>
      <c r="E79" s="219"/>
      <c r="F79" s="261"/>
      <c r="H79" s="200">
        <v>75</v>
      </c>
      <c r="I79" s="217">
        <v>39310</v>
      </c>
      <c r="J79" s="200">
        <v>87000</v>
      </c>
      <c r="K79" s="200">
        <f t="shared" si="0"/>
        <v>888</v>
      </c>
      <c r="L79" s="201">
        <f t="shared" si="1"/>
        <v>1160</v>
      </c>
      <c r="M79" s="217">
        <v>39564</v>
      </c>
      <c r="N79" s="200">
        <v>124155</v>
      </c>
      <c r="O79" s="200">
        <f t="shared" si="2"/>
        <v>2035</v>
      </c>
      <c r="P79" s="202">
        <f t="shared" si="8"/>
        <v>1655.4</v>
      </c>
      <c r="Q79" s="217"/>
      <c r="R79" s="200"/>
      <c r="S79" s="200"/>
      <c r="T79" s="202"/>
    </row>
    <row r="80" spans="1:20">
      <c r="A80" s="200" t="s">
        <v>11678</v>
      </c>
      <c r="B80" s="219" t="e">
        <f>#REF!</f>
        <v>#REF!</v>
      </c>
      <c r="C80" s="219" t="e">
        <f>#REF! + 223 + 85</f>
        <v>#REF!</v>
      </c>
      <c r="D80" s="219"/>
      <c r="E80" s="219"/>
      <c r="F80" s="261"/>
      <c r="H80" s="200">
        <v>76</v>
      </c>
      <c r="I80" s="217">
        <v>39341</v>
      </c>
      <c r="J80" s="200">
        <v>87850</v>
      </c>
      <c r="K80" s="200">
        <f t="shared" si="0"/>
        <v>850</v>
      </c>
      <c r="L80" s="201">
        <f t="shared" si="1"/>
        <v>1155.921052631579</v>
      </c>
      <c r="M80" s="217">
        <v>39594</v>
      </c>
      <c r="N80" s="200">
        <v>126820</v>
      </c>
      <c r="O80" s="200">
        <f t="shared" si="2"/>
        <v>2665</v>
      </c>
      <c r="P80" s="202">
        <f t="shared" si="8"/>
        <v>1668.6842105263158</v>
      </c>
      <c r="Q80" s="217"/>
      <c r="R80" s="200"/>
      <c r="S80" s="200"/>
      <c r="T80" s="202"/>
    </row>
    <row r="81" spans="1:20">
      <c r="A81" s="200" t="s">
        <v>11679</v>
      </c>
      <c r="B81" s="219" t="e">
        <f>#REF!</f>
        <v>#REF!</v>
      </c>
      <c r="C81" s="219"/>
      <c r="D81" s="219"/>
      <c r="E81" s="219"/>
      <c r="F81" s="261"/>
      <c r="H81" s="200">
        <v>77</v>
      </c>
      <c r="I81" s="217">
        <v>39371</v>
      </c>
      <c r="J81" s="200">
        <v>89000</v>
      </c>
      <c r="K81" s="200">
        <f t="shared" si="0"/>
        <v>1150</v>
      </c>
      <c r="L81" s="201">
        <f t="shared" si="1"/>
        <v>1155.8441558441559</v>
      </c>
      <c r="M81" s="217">
        <v>39625</v>
      </c>
      <c r="N81" s="200">
        <v>128940</v>
      </c>
      <c r="O81" s="200">
        <f t="shared" si="2"/>
        <v>2120</v>
      </c>
      <c r="P81" s="202">
        <f t="shared" si="8"/>
        <v>1674.5454545454545</v>
      </c>
      <c r="Q81" s="217"/>
      <c r="R81" s="200"/>
      <c r="S81" s="200"/>
      <c r="T81" s="202"/>
    </row>
    <row r="82" spans="1:20">
      <c r="A82" s="200" t="s">
        <v>11680</v>
      </c>
      <c r="B82" s="219" t="e">
        <f>#REF!</f>
        <v>#REF!</v>
      </c>
      <c r="C82" s="219"/>
      <c r="D82" s="219"/>
      <c r="E82" s="219"/>
      <c r="F82" s="261"/>
      <c r="H82" s="200">
        <v>78</v>
      </c>
      <c r="I82" s="217">
        <v>39402</v>
      </c>
      <c r="J82" s="200">
        <v>90000</v>
      </c>
      <c r="K82" s="200">
        <f t="shared" si="0"/>
        <v>1000</v>
      </c>
      <c r="L82" s="201">
        <f t="shared" si="1"/>
        <v>1153.8461538461538</v>
      </c>
      <c r="M82" s="217">
        <v>39655</v>
      </c>
      <c r="N82" s="200">
        <v>131750</v>
      </c>
      <c r="O82" s="200">
        <f t="shared" si="2"/>
        <v>2810</v>
      </c>
      <c r="P82" s="202">
        <f t="shared" si="8"/>
        <v>1689.1025641025642</v>
      </c>
      <c r="Q82" s="217"/>
      <c r="R82" s="200"/>
      <c r="S82" s="200"/>
      <c r="T82" s="202"/>
    </row>
    <row r="83" spans="1:20">
      <c r="A83" s="200" t="s">
        <v>11681</v>
      </c>
      <c r="B83" s="219" t="e">
        <f>#REF!</f>
        <v>#REF!</v>
      </c>
      <c r="C83" s="219"/>
      <c r="D83" s="219"/>
      <c r="E83" s="219"/>
      <c r="F83" s="261"/>
      <c r="H83" s="200">
        <v>79</v>
      </c>
      <c r="I83" s="217">
        <v>39432</v>
      </c>
      <c r="J83" s="200">
        <v>90850</v>
      </c>
      <c r="K83" s="200">
        <f t="shared" si="0"/>
        <v>850</v>
      </c>
      <c r="L83" s="201">
        <f t="shared" si="1"/>
        <v>1150</v>
      </c>
      <c r="M83" s="217">
        <v>39686</v>
      </c>
      <c r="N83" s="200">
        <v>134800</v>
      </c>
      <c r="O83" s="200">
        <f t="shared" si="2"/>
        <v>3050</v>
      </c>
      <c r="P83" s="202">
        <f t="shared" si="8"/>
        <v>1706.3291139240507</v>
      </c>
      <c r="Q83" s="217"/>
      <c r="R83" s="200"/>
      <c r="S83" s="200"/>
      <c r="T83" s="202"/>
    </row>
    <row r="84" spans="1:20">
      <c r="A84" s="200" t="s">
        <v>11682</v>
      </c>
      <c r="B84" s="219" t="e">
        <f>#REF!</f>
        <v>#REF!</v>
      </c>
      <c r="C84" s="219"/>
      <c r="D84" s="219"/>
      <c r="E84" s="219"/>
      <c r="F84" s="261"/>
      <c r="H84" s="200">
        <v>80</v>
      </c>
      <c r="I84" s="217">
        <v>39463</v>
      </c>
      <c r="J84" s="200">
        <v>91025</v>
      </c>
      <c r="K84" s="200">
        <f t="shared" si="0"/>
        <v>175</v>
      </c>
      <c r="L84" s="201">
        <f t="shared" si="1"/>
        <v>1137.8125</v>
      </c>
      <c r="M84" s="217">
        <v>39717</v>
      </c>
      <c r="N84" s="200">
        <v>137600</v>
      </c>
      <c r="O84" s="200">
        <f t="shared" si="2"/>
        <v>2800</v>
      </c>
      <c r="P84" s="202">
        <f t="shared" si="8"/>
        <v>1720</v>
      </c>
      <c r="Q84" s="217"/>
      <c r="R84" s="200"/>
      <c r="S84" s="200"/>
      <c r="T84" s="202"/>
    </row>
    <row r="85" spans="1:20">
      <c r="A85" s="200" t="s">
        <v>11683</v>
      </c>
      <c r="B85" s="219" t="e">
        <f>#REF!</f>
        <v>#REF!</v>
      </c>
      <c r="C85" s="219"/>
      <c r="D85" s="219"/>
      <c r="E85" s="219"/>
      <c r="F85" s="261"/>
      <c r="H85" s="200">
        <v>81</v>
      </c>
      <c r="I85" s="217">
        <v>39494</v>
      </c>
      <c r="J85" s="200">
        <v>91380</v>
      </c>
      <c r="K85" s="200">
        <f t="shared" si="0"/>
        <v>355</v>
      </c>
      <c r="L85" s="201">
        <f t="shared" si="1"/>
        <v>1128.148148148148</v>
      </c>
      <c r="M85" s="217">
        <v>39747</v>
      </c>
      <c r="N85" s="200">
        <v>140100</v>
      </c>
      <c r="O85" s="200">
        <f t="shared" si="2"/>
        <v>2500</v>
      </c>
      <c r="P85" s="202">
        <f t="shared" si="8"/>
        <v>1729.6296296296296</v>
      </c>
      <c r="Q85" s="217"/>
      <c r="R85" s="200"/>
      <c r="S85" s="200"/>
      <c r="T85" s="202"/>
    </row>
    <row r="86" spans="1:20">
      <c r="A86" s="200" t="s">
        <v>11684</v>
      </c>
      <c r="B86" s="219" t="e">
        <f>#REF!</f>
        <v>#REF!</v>
      </c>
      <c r="C86" s="219"/>
      <c r="D86" s="219"/>
      <c r="E86" s="219"/>
      <c r="F86" s="261"/>
      <c r="H86" s="200">
        <v>82</v>
      </c>
      <c r="I86" s="217">
        <v>39523</v>
      </c>
      <c r="J86" s="200">
        <v>92500</v>
      </c>
      <c r="K86" s="200">
        <f t="shared" si="0"/>
        <v>1120</v>
      </c>
      <c r="L86" s="201">
        <f t="shared" si="1"/>
        <v>1128.0487804878048</v>
      </c>
      <c r="M86" s="217">
        <v>39778</v>
      </c>
      <c r="N86" s="200">
        <v>142000</v>
      </c>
      <c r="O86" s="200">
        <f t="shared" si="2"/>
        <v>1900</v>
      </c>
      <c r="P86" s="202">
        <f t="shared" si="8"/>
        <v>1731.7073170731708</v>
      </c>
      <c r="Q86" s="217"/>
      <c r="R86" s="200"/>
      <c r="S86" s="200"/>
      <c r="T86" s="202"/>
    </row>
    <row r="87" spans="1:20">
      <c r="A87" s="200" t="s">
        <v>11685</v>
      </c>
      <c r="B87" s="219" t="e">
        <f>SUM(#REF!)</f>
        <v>#REF!</v>
      </c>
      <c r="C87" s="219"/>
      <c r="D87" s="219"/>
      <c r="E87" s="219"/>
      <c r="F87" s="261"/>
      <c r="H87" s="200">
        <v>83</v>
      </c>
      <c r="I87" s="217">
        <v>39554</v>
      </c>
      <c r="J87" s="200">
        <v>93600</v>
      </c>
      <c r="K87" s="200">
        <f t="shared" si="0"/>
        <v>1100</v>
      </c>
      <c r="L87" s="201">
        <f t="shared" si="1"/>
        <v>1127.7108433734941</v>
      </c>
      <c r="M87" s="217">
        <v>39808</v>
      </c>
      <c r="N87" s="200">
        <v>143364</v>
      </c>
      <c r="O87" s="200">
        <f t="shared" si="2"/>
        <v>1364</v>
      </c>
      <c r="P87" s="202">
        <f t="shared" si="8"/>
        <v>1727.2771084337348</v>
      </c>
      <c r="Q87" s="217"/>
      <c r="R87" s="200"/>
      <c r="S87" s="200"/>
      <c r="T87" s="202"/>
    </row>
    <row r="88" spans="1:20">
      <c r="A88" s="222" t="s">
        <v>244</v>
      </c>
      <c r="B88" s="187" t="e">
        <f>SUM(B73:B87)</f>
        <v>#REF!</v>
      </c>
      <c r="C88" s="187" t="e">
        <f>SUM(C73:C87)</f>
        <v>#REF!</v>
      </c>
      <c r="D88" s="187" t="e">
        <f>SUM(D73:D87)</f>
        <v>#REF!</v>
      </c>
      <c r="E88" s="187" t="e">
        <f>SUM(E73:E87)</f>
        <v>#REF!</v>
      </c>
      <c r="F88" s="264"/>
      <c r="H88" s="200">
        <v>84</v>
      </c>
      <c r="I88" s="217">
        <v>39584</v>
      </c>
      <c r="J88" s="200">
        <v>94600</v>
      </c>
      <c r="K88" s="200">
        <f t="shared" si="0"/>
        <v>1000</v>
      </c>
      <c r="L88" s="201">
        <f t="shared" si="1"/>
        <v>1126.1904761904761</v>
      </c>
      <c r="M88" s="217">
        <v>39839</v>
      </c>
      <c r="N88" s="200">
        <v>145210</v>
      </c>
      <c r="O88" s="200">
        <f t="shared" si="2"/>
        <v>1846</v>
      </c>
      <c r="P88" s="202">
        <f t="shared" si="8"/>
        <v>1728.6904761904761</v>
      </c>
      <c r="Q88" s="217"/>
      <c r="R88" s="200"/>
      <c r="S88" s="200"/>
      <c r="T88" s="202"/>
    </row>
    <row r="89" spans="1:20">
      <c r="H89" s="200">
        <v>85</v>
      </c>
      <c r="I89" s="217">
        <v>39615</v>
      </c>
      <c r="J89" s="200">
        <v>95400</v>
      </c>
      <c r="K89" s="200">
        <f>J89-J88</f>
        <v>800</v>
      </c>
      <c r="L89" s="201">
        <f t="shared" si="1"/>
        <v>1122.3529411764705</v>
      </c>
      <c r="M89" s="217">
        <v>39870</v>
      </c>
      <c r="N89" s="200">
        <v>147700</v>
      </c>
      <c r="O89" s="200">
        <f>N89-N88</f>
        <v>2490</v>
      </c>
      <c r="P89" s="202">
        <f t="shared" si="8"/>
        <v>1737.6470588235295</v>
      </c>
      <c r="Q89" s="217"/>
      <c r="R89" s="200"/>
      <c r="S89" s="200"/>
      <c r="T89" s="202"/>
    </row>
    <row r="90" spans="1:20">
      <c r="H90" s="200">
        <v>86</v>
      </c>
      <c r="I90" s="217">
        <v>39644</v>
      </c>
      <c r="J90" s="200">
        <v>96064</v>
      </c>
      <c r="K90" s="200">
        <f>J90-J89</f>
        <v>664</v>
      </c>
      <c r="L90" s="201">
        <f t="shared" si="1"/>
        <v>1117.0232558139535</v>
      </c>
      <c r="M90" s="217">
        <v>39898</v>
      </c>
      <c r="N90" s="200">
        <v>149500</v>
      </c>
      <c r="O90" s="200">
        <f>N90-N89</f>
        <v>1800</v>
      </c>
      <c r="P90" s="202">
        <f t="shared" si="8"/>
        <v>1738.3720930232557</v>
      </c>
      <c r="Q90" s="217"/>
      <c r="R90" s="200"/>
      <c r="S90" s="200"/>
      <c r="T90" s="202"/>
    </row>
    <row r="91" spans="1:20">
      <c r="H91" s="200">
        <v>87</v>
      </c>
      <c r="I91" s="217">
        <v>39675</v>
      </c>
      <c r="J91" s="200">
        <v>97200</v>
      </c>
      <c r="K91" s="200">
        <f t="shared" si="0"/>
        <v>1136</v>
      </c>
      <c r="L91" s="201">
        <f t="shared" si="1"/>
        <v>1117.2413793103449</v>
      </c>
      <c r="M91" s="217">
        <v>39929</v>
      </c>
      <c r="N91" s="200">
        <v>151780</v>
      </c>
      <c r="O91" s="200">
        <f t="shared" si="2"/>
        <v>2280</v>
      </c>
      <c r="P91" s="202">
        <f t="shared" si="8"/>
        <v>1744.5977011494253</v>
      </c>
      <c r="Q91" s="217"/>
      <c r="R91" s="200"/>
      <c r="S91" s="200"/>
      <c r="T91" s="202"/>
    </row>
    <row r="92" spans="1:20">
      <c r="H92" s="200">
        <v>88</v>
      </c>
      <c r="I92" s="217">
        <v>39706</v>
      </c>
      <c r="J92" s="200">
        <v>98150</v>
      </c>
      <c r="K92" s="200">
        <f t="shared" si="0"/>
        <v>950</v>
      </c>
      <c r="L92" s="201">
        <f t="shared" si="1"/>
        <v>1115.340909090909</v>
      </c>
      <c r="M92" s="217">
        <v>39959</v>
      </c>
      <c r="N92" s="200">
        <v>153522</v>
      </c>
      <c r="O92" s="200">
        <f t="shared" si="2"/>
        <v>1742</v>
      </c>
      <c r="P92" s="202">
        <f t="shared" si="8"/>
        <v>1744.5681818181818</v>
      </c>
      <c r="Q92" s="217"/>
      <c r="R92" s="200"/>
      <c r="S92" s="200"/>
      <c r="T92" s="202"/>
    </row>
    <row r="93" spans="1:20">
      <c r="H93" s="200">
        <v>89</v>
      </c>
      <c r="I93" s="217">
        <v>39736</v>
      </c>
      <c r="J93" s="200">
        <v>98800</v>
      </c>
      <c r="K93" s="200">
        <f t="shared" si="0"/>
        <v>650</v>
      </c>
      <c r="L93" s="201">
        <f t="shared" si="1"/>
        <v>1110.1123595505619</v>
      </c>
      <c r="M93" s="217">
        <v>39990</v>
      </c>
      <c r="N93" s="200">
        <v>155500</v>
      </c>
      <c r="O93" s="200">
        <f t="shared" si="2"/>
        <v>1978</v>
      </c>
      <c r="P93" s="202">
        <f t="shared" si="8"/>
        <v>1747.1910112359551</v>
      </c>
      <c r="Q93" s="217"/>
      <c r="R93" s="200"/>
      <c r="S93" s="200"/>
      <c r="T93" s="202"/>
    </row>
    <row r="94" spans="1:20">
      <c r="A94" s="131"/>
      <c r="H94" s="200">
        <v>90</v>
      </c>
      <c r="I94" s="217">
        <v>39767</v>
      </c>
      <c r="J94" s="200">
        <v>99510</v>
      </c>
      <c r="K94" s="200">
        <f t="shared" si="0"/>
        <v>710</v>
      </c>
      <c r="L94" s="201">
        <f t="shared" si="1"/>
        <v>1105.6666666666667</v>
      </c>
      <c r="M94" s="217">
        <v>40020</v>
      </c>
      <c r="N94" s="200">
        <v>157035</v>
      </c>
      <c r="O94" s="200">
        <f t="shared" si="2"/>
        <v>1535</v>
      </c>
      <c r="P94" s="202">
        <f t="shared" si="8"/>
        <v>1744.8333333333333</v>
      </c>
      <c r="Q94" s="217"/>
      <c r="R94" s="200"/>
      <c r="S94" s="200"/>
      <c r="T94" s="202"/>
    </row>
    <row r="95" spans="1:20">
      <c r="A95" s="131"/>
      <c r="H95" s="200">
        <v>91</v>
      </c>
      <c r="I95" s="217">
        <v>39797</v>
      </c>
      <c r="J95" s="200">
        <v>99872</v>
      </c>
      <c r="K95" s="200">
        <f t="shared" ref="K95:K168" si="9">J95-J94</f>
        <v>362</v>
      </c>
      <c r="L95" s="201">
        <f t="shared" si="1"/>
        <v>1097.4945054945056</v>
      </c>
      <c r="M95" s="217">
        <v>40051</v>
      </c>
      <c r="N95" s="200">
        <v>158975</v>
      </c>
      <c r="O95" s="200">
        <f t="shared" si="2"/>
        <v>1940</v>
      </c>
      <c r="P95" s="202">
        <f t="shared" si="8"/>
        <v>1746.9780219780221</v>
      </c>
      <c r="Q95" s="217"/>
      <c r="R95" s="200"/>
      <c r="S95" s="200"/>
      <c r="T95" s="202"/>
    </row>
    <row r="96" spans="1:20">
      <c r="H96" s="200">
        <v>92</v>
      </c>
      <c r="I96" s="217">
        <v>39828</v>
      </c>
      <c r="J96" s="200">
        <v>100400</v>
      </c>
      <c r="K96" s="200">
        <f t="shared" si="9"/>
        <v>528</v>
      </c>
      <c r="L96" s="201">
        <f t="shared" si="1"/>
        <v>1091.304347826087</v>
      </c>
      <c r="M96" s="217">
        <v>40082</v>
      </c>
      <c r="N96" s="200">
        <v>161330</v>
      </c>
      <c r="O96" s="200">
        <f t="shared" si="2"/>
        <v>2355</v>
      </c>
      <c r="P96" s="202">
        <f t="shared" si="8"/>
        <v>1753.5869565217392</v>
      </c>
      <c r="Q96" s="217"/>
      <c r="R96" s="200"/>
      <c r="S96" s="200"/>
      <c r="T96" s="202"/>
    </row>
    <row r="97" spans="8:20">
      <c r="H97" s="200">
        <v>93</v>
      </c>
      <c r="I97" s="217">
        <v>39859</v>
      </c>
      <c r="J97" s="200">
        <v>101150</v>
      </c>
      <c r="K97" s="200">
        <f t="shared" si="9"/>
        <v>750</v>
      </c>
      <c r="L97" s="201">
        <f t="shared" si="1"/>
        <v>1087.6344086021506</v>
      </c>
      <c r="M97" s="217">
        <v>40112</v>
      </c>
      <c r="N97" s="200">
        <v>162975</v>
      </c>
      <c r="O97" s="200">
        <f t="shared" si="2"/>
        <v>1645</v>
      </c>
      <c r="P97" s="202">
        <f t="shared" si="8"/>
        <v>1752.4193548387098</v>
      </c>
      <c r="Q97" s="217"/>
      <c r="R97" s="200"/>
      <c r="S97" s="200"/>
      <c r="T97" s="202"/>
    </row>
    <row r="98" spans="8:20">
      <c r="H98" s="200">
        <v>94</v>
      </c>
      <c r="I98" s="217">
        <v>39887</v>
      </c>
      <c r="J98" s="200">
        <v>101700</v>
      </c>
      <c r="K98" s="200">
        <f t="shared" si="9"/>
        <v>550</v>
      </c>
      <c r="L98" s="201">
        <f t="shared" si="1"/>
        <v>1081.9148936170213</v>
      </c>
      <c r="M98" s="217">
        <v>40143</v>
      </c>
      <c r="N98" s="200">
        <v>164500</v>
      </c>
      <c r="O98" s="200">
        <f t="shared" si="2"/>
        <v>1525</v>
      </c>
      <c r="P98" s="202">
        <f t="shared" si="8"/>
        <v>1750</v>
      </c>
      <c r="Q98" s="217"/>
      <c r="R98" s="200"/>
      <c r="S98" s="200"/>
      <c r="T98" s="202"/>
    </row>
    <row r="99" spans="8:20">
      <c r="H99" s="200">
        <v>95</v>
      </c>
      <c r="I99" s="217">
        <v>39918</v>
      </c>
      <c r="J99" s="200">
        <v>102500</v>
      </c>
      <c r="K99" s="200">
        <f t="shared" si="9"/>
        <v>800</v>
      </c>
      <c r="L99" s="201">
        <f t="shared" si="1"/>
        <v>1078.9473684210527</v>
      </c>
      <c r="M99" s="217">
        <v>40173</v>
      </c>
      <c r="N99" s="200">
        <v>165800</v>
      </c>
      <c r="O99" s="200">
        <f t="shared" si="2"/>
        <v>1300</v>
      </c>
      <c r="P99" s="202">
        <f t="shared" si="8"/>
        <v>1745.2631578947369</v>
      </c>
      <c r="Q99" s="217"/>
      <c r="R99" s="200"/>
      <c r="S99" s="200"/>
      <c r="T99" s="202"/>
    </row>
    <row r="100" spans="8:20">
      <c r="H100" s="200">
        <v>96</v>
      </c>
      <c r="I100" s="217">
        <v>39948</v>
      </c>
      <c r="J100" s="200">
        <v>102980</v>
      </c>
      <c r="K100" s="200">
        <f t="shared" si="9"/>
        <v>480</v>
      </c>
      <c r="L100" s="201">
        <f t="shared" si="1"/>
        <v>1072.7083333333333</v>
      </c>
      <c r="M100" s="217">
        <v>40204</v>
      </c>
      <c r="N100" s="200">
        <v>166325</v>
      </c>
      <c r="O100" s="200">
        <f t="shared" si="2"/>
        <v>525</v>
      </c>
      <c r="P100" s="202">
        <f t="shared" si="8"/>
        <v>1732.5520833333333</v>
      </c>
      <c r="Q100" s="217"/>
      <c r="R100" s="200"/>
      <c r="S100" s="200"/>
      <c r="T100" s="202"/>
    </row>
    <row r="101" spans="8:20">
      <c r="H101" s="200">
        <v>97</v>
      </c>
      <c r="I101" s="217">
        <v>39979</v>
      </c>
      <c r="J101" s="200">
        <v>103121</v>
      </c>
      <c r="K101" s="200">
        <f t="shared" si="9"/>
        <v>141</v>
      </c>
      <c r="L101" s="201">
        <f t="shared" si="1"/>
        <v>1063.1030927835052</v>
      </c>
      <c r="M101" s="217">
        <v>40235</v>
      </c>
      <c r="N101" s="200">
        <v>167199</v>
      </c>
      <c r="O101" s="200">
        <f t="shared" si="2"/>
        <v>874</v>
      </c>
      <c r="P101" s="202">
        <f t="shared" si="8"/>
        <v>1723.7010309278351</v>
      </c>
      <c r="Q101" s="217"/>
      <c r="R101" s="200"/>
      <c r="S101" s="200"/>
      <c r="T101" s="202"/>
    </row>
    <row r="102" spans="8:20">
      <c r="H102" s="200">
        <v>98</v>
      </c>
      <c r="I102" s="217">
        <v>40009</v>
      </c>
      <c r="J102" s="200">
        <v>103840</v>
      </c>
      <c r="K102" s="200">
        <f t="shared" si="9"/>
        <v>719</v>
      </c>
      <c r="L102" s="201">
        <f t="shared" si="1"/>
        <v>1059.591836734694</v>
      </c>
      <c r="M102" s="217">
        <v>40263</v>
      </c>
      <c r="N102" s="200">
        <v>167900</v>
      </c>
      <c r="O102" s="200">
        <f t="shared" si="2"/>
        <v>701</v>
      </c>
      <c r="P102" s="202">
        <f t="shared" si="8"/>
        <v>1713.2653061224489</v>
      </c>
      <c r="Q102" s="217"/>
      <c r="R102" s="200"/>
      <c r="S102" s="200"/>
      <c r="T102" s="202"/>
    </row>
    <row r="103" spans="8:20">
      <c r="H103" s="200">
        <v>99</v>
      </c>
      <c r="I103" s="217">
        <v>40040</v>
      </c>
      <c r="J103" s="200">
        <v>104530</v>
      </c>
      <c r="K103" s="200">
        <f t="shared" si="9"/>
        <v>690</v>
      </c>
      <c r="L103" s="201">
        <f t="shared" si="1"/>
        <v>1055.8585858585859</v>
      </c>
      <c r="M103" s="217">
        <v>40294</v>
      </c>
      <c r="N103" s="200">
        <v>169010</v>
      </c>
      <c r="O103" s="200">
        <f t="shared" si="2"/>
        <v>1110</v>
      </c>
      <c r="P103" s="202">
        <f t="shared" si="8"/>
        <v>1707.1717171717171</v>
      </c>
      <c r="Q103" s="217"/>
      <c r="R103" s="200"/>
      <c r="S103" s="200"/>
      <c r="T103" s="202"/>
    </row>
    <row r="104" spans="8:20">
      <c r="H104" s="200">
        <v>100</v>
      </c>
      <c r="I104" s="217">
        <v>40071</v>
      </c>
      <c r="J104" s="200">
        <v>105156</v>
      </c>
      <c r="K104" s="200">
        <f t="shared" si="9"/>
        <v>626</v>
      </c>
      <c r="L104" s="201">
        <f t="shared" si="1"/>
        <v>1051.56</v>
      </c>
      <c r="M104" s="217">
        <v>40324</v>
      </c>
      <c r="N104" s="200">
        <v>169900</v>
      </c>
      <c r="O104" s="200">
        <f t="shared" si="2"/>
        <v>890</v>
      </c>
      <c r="P104" s="202">
        <f t="shared" si="8"/>
        <v>1699</v>
      </c>
      <c r="Q104" s="217"/>
      <c r="R104" s="200"/>
      <c r="S104" s="200"/>
      <c r="T104" s="202"/>
    </row>
    <row r="105" spans="8:20">
      <c r="H105" s="200">
        <v>101</v>
      </c>
      <c r="I105" s="217">
        <v>40101</v>
      </c>
      <c r="J105" s="200">
        <v>106000</v>
      </c>
      <c r="K105" s="200">
        <f t="shared" si="9"/>
        <v>844</v>
      </c>
      <c r="L105" s="201">
        <f t="shared" si="1"/>
        <v>1049.5049504950496</v>
      </c>
      <c r="M105" s="217">
        <v>40355</v>
      </c>
      <c r="N105" s="200">
        <v>170250</v>
      </c>
      <c r="O105" s="200">
        <f t="shared" si="2"/>
        <v>350</v>
      </c>
      <c r="P105" s="202">
        <f t="shared" si="8"/>
        <v>1685.6435643564357</v>
      </c>
      <c r="Q105" s="217"/>
      <c r="R105" s="200"/>
      <c r="S105" s="200"/>
      <c r="T105" s="202"/>
    </row>
    <row r="106" spans="8:20">
      <c r="H106" s="200">
        <v>102</v>
      </c>
      <c r="I106" s="217">
        <v>40132</v>
      </c>
      <c r="J106" s="200">
        <v>106500</v>
      </c>
      <c r="K106" s="200">
        <f t="shared" si="9"/>
        <v>500</v>
      </c>
      <c r="L106" s="201">
        <f t="shared" si="1"/>
        <v>1044.1176470588234</v>
      </c>
      <c r="M106" s="217">
        <v>40385</v>
      </c>
      <c r="N106" s="200">
        <v>170650</v>
      </c>
      <c r="O106" s="200">
        <f t="shared" si="2"/>
        <v>400</v>
      </c>
      <c r="P106" s="202">
        <f t="shared" si="8"/>
        <v>1673.0392156862745</v>
      </c>
      <c r="Q106" s="217"/>
      <c r="R106" s="200"/>
      <c r="S106" s="200"/>
      <c r="T106" s="202"/>
    </row>
    <row r="107" spans="8:20">
      <c r="H107" s="200">
        <v>103</v>
      </c>
      <c r="I107" s="217">
        <v>40162</v>
      </c>
      <c r="J107" s="200">
        <v>107400</v>
      </c>
      <c r="K107" s="200">
        <f t="shared" si="9"/>
        <v>900</v>
      </c>
      <c r="L107" s="201">
        <f t="shared" si="1"/>
        <v>1042.7184466019417</v>
      </c>
      <c r="M107" s="217">
        <v>40416</v>
      </c>
      <c r="N107" s="200">
        <v>171477</v>
      </c>
      <c r="O107" s="200">
        <f t="shared" si="2"/>
        <v>827</v>
      </c>
      <c r="P107" s="202">
        <f t="shared" si="8"/>
        <v>1664.8252427184466</v>
      </c>
      <c r="Q107" s="217"/>
      <c r="R107" s="200"/>
      <c r="S107" s="200"/>
      <c r="T107" s="202"/>
    </row>
    <row r="108" spans="8:20">
      <c r="H108" s="200">
        <v>104</v>
      </c>
      <c r="I108" s="217">
        <v>40193</v>
      </c>
      <c r="J108" s="200">
        <v>108200</v>
      </c>
      <c r="K108" s="200">
        <f t="shared" si="9"/>
        <v>800</v>
      </c>
      <c r="L108" s="201">
        <f t="shared" si="1"/>
        <v>1040.3846153846155</v>
      </c>
      <c r="M108" s="217"/>
      <c r="N108" s="200"/>
      <c r="O108" s="200"/>
      <c r="P108" s="202"/>
      <c r="Q108" s="217"/>
      <c r="R108" s="200"/>
      <c r="S108" s="200"/>
      <c r="T108" s="202"/>
    </row>
    <row r="109" spans="8:20">
      <c r="H109" s="200">
        <v>105</v>
      </c>
      <c r="I109" s="217">
        <v>40224</v>
      </c>
      <c r="J109" s="200">
        <v>108315</v>
      </c>
      <c r="K109" s="200">
        <f t="shared" si="9"/>
        <v>115</v>
      </c>
      <c r="L109" s="201">
        <f t="shared" si="1"/>
        <v>1031.5714285714287</v>
      </c>
      <c r="M109" s="217"/>
      <c r="N109" s="200"/>
      <c r="O109" s="200"/>
      <c r="P109" s="202"/>
      <c r="Q109" s="217"/>
      <c r="R109" s="200"/>
      <c r="S109" s="200"/>
      <c r="T109" s="202"/>
    </row>
    <row r="110" spans="8:20">
      <c r="H110" s="200">
        <v>106</v>
      </c>
      <c r="I110" s="217">
        <v>40252</v>
      </c>
      <c r="J110" s="200">
        <v>108570</v>
      </c>
      <c r="K110" s="200">
        <f t="shared" si="9"/>
        <v>255</v>
      </c>
      <c r="L110" s="201">
        <f t="shared" si="1"/>
        <v>1024.2452830188679</v>
      </c>
      <c r="M110" s="217"/>
      <c r="N110" s="200"/>
      <c r="O110" s="200"/>
      <c r="P110" s="202"/>
      <c r="Q110" s="217"/>
      <c r="R110" s="200"/>
      <c r="S110" s="200"/>
      <c r="T110" s="202"/>
    </row>
    <row r="111" spans="8:20">
      <c r="H111" s="200">
        <v>107</v>
      </c>
      <c r="I111" s="217">
        <v>40284</v>
      </c>
      <c r="J111" s="200">
        <v>108833</v>
      </c>
      <c r="K111" s="200">
        <f t="shared" si="9"/>
        <v>263</v>
      </c>
      <c r="L111" s="201">
        <f t="shared" si="1"/>
        <v>1017.1308411214953</v>
      </c>
      <c r="M111" s="217"/>
      <c r="N111" s="200"/>
      <c r="O111" s="200"/>
      <c r="P111" s="202"/>
      <c r="Q111" s="217"/>
      <c r="R111" s="200"/>
      <c r="S111" s="200"/>
      <c r="T111" s="202"/>
    </row>
    <row r="112" spans="8:20">
      <c r="H112" s="200">
        <v>108</v>
      </c>
      <c r="I112" s="217">
        <v>40314</v>
      </c>
      <c r="J112" s="200">
        <v>108900</v>
      </c>
      <c r="K112" s="200">
        <f t="shared" si="9"/>
        <v>67</v>
      </c>
      <c r="L112" s="201">
        <f t="shared" si="1"/>
        <v>1008.3333333333334</v>
      </c>
      <c r="M112" s="217"/>
      <c r="N112" s="200"/>
      <c r="O112" s="200"/>
      <c r="P112" s="202"/>
      <c r="Q112" s="217"/>
      <c r="R112" s="200"/>
      <c r="S112" s="200"/>
      <c r="T112" s="202"/>
    </row>
    <row r="113" spans="8:20">
      <c r="H113" s="200">
        <v>109</v>
      </c>
      <c r="I113" s="217">
        <v>40345</v>
      </c>
      <c r="J113" s="200">
        <v>109500</v>
      </c>
      <c r="K113" s="200">
        <f t="shared" si="9"/>
        <v>600</v>
      </c>
      <c r="L113" s="201">
        <f t="shared" si="1"/>
        <v>1004.5871559633027</v>
      </c>
      <c r="M113" s="217"/>
      <c r="N113" s="200"/>
      <c r="O113" s="200"/>
      <c r="P113" s="202"/>
      <c r="Q113" s="217"/>
      <c r="R113" s="200"/>
      <c r="S113" s="200"/>
      <c r="T113" s="202"/>
    </row>
    <row r="114" spans="8:20">
      <c r="H114" s="200">
        <v>110</v>
      </c>
      <c r="I114" s="217">
        <v>40375</v>
      </c>
      <c r="J114" s="200">
        <v>109610</v>
      </c>
      <c r="K114" s="200">
        <f t="shared" si="9"/>
        <v>110</v>
      </c>
      <c r="L114" s="201">
        <f t="shared" si="1"/>
        <v>996.4545454545455</v>
      </c>
      <c r="M114" s="217"/>
      <c r="N114" s="200"/>
      <c r="O114" s="200"/>
      <c r="P114" s="202"/>
      <c r="Q114" s="217"/>
      <c r="R114" s="200"/>
      <c r="S114" s="200"/>
      <c r="T114" s="202"/>
    </row>
    <row r="115" spans="8:20">
      <c r="H115" s="200">
        <v>111</v>
      </c>
      <c r="I115" s="217">
        <v>40406</v>
      </c>
      <c r="J115" s="200">
        <v>109610</v>
      </c>
      <c r="K115" s="200">
        <f t="shared" si="9"/>
        <v>0</v>
      </c>
      <c r="L115" s="201">
        <f t="shared" si="1"/>
        <v>987.47747747747746</v>
      </c>
      <c r="M115" s="217"/>
      <c r="N115" s="200"/>
      <c r="O115" s="200"/>
      <c r="P115" s="202"/>
      <c r="Q115" s="217"/>
      <c r="R115" s="200"/>
      <c r="S115" s="200"/>
      <c r="T115" s="202"/>
    </row>
    <row r="116" spans="8:20">
      <c r="H116" s="200">
        <v>112</v>
      </c>
      <c r="I116" s="217">
        <v>40437</v>
      </c>
      <c r="J116" s="200">
        <v>110530</v>
      </c>
      <c r="K116" s="200">
        <f t="shared" si="9"/>
        <v>920</v>
      </c>
      <c r="L116" s="201">
        <f t="shared" si="1"/>
        <v>986.875</v>
      </c>
      <c r="M116" s="217"/>
      <c r="N116" s="200"/>
      <c r="O116" s="200"/>
      <c r="P116" s="202"/>
      <c r="Q116" s="217"/>
      <c r="R116" s="200"/>
      <c r="S116" s="200"/>
      <c r="T116" s="202"/>
    </row>
    <row r="117" spans="8:20">
      <c r="H117" s="200">
        <v>113</v>
      </c>
      <c r="I117" s="217">
        <v>40467</v>
      </c>
      <c r="J117" s="200">
        <v>112030</v>
      </c>
      <c r="K117" s="200">
        <f t="shared" si="9"/>
        <v>1500</v>
      </c>
      <c r="L117" s="201">
        <f t="shared" si="1"/>
        <v>991.4159292035398</v>
      </c>
      <c r="M117" s="217"/>
      <c r="N117" s="200"/>
      <c r="O117" s="200"/>
      <c r="P117" s="202"/>
      <c r="Q117" s="217"/>
      <c r="R117" s="200"/>
      <c r="S117" s="200"/>
      <c r="T117" s="202"/>
    </row>
    <row r="118" spans="8:20">
      <c r="H118" s="200">
        <v>114</v>
      </c>
      <c r="I118" s="217">
        <v>40498</v>
      </c>
      <c r="J118" s="200">
        <v>113681</v>
      </c>
      <c r="K118" s="200">
        <f t="shared" si="9"/>
        <v>1651</v>
      </c>
      <c r="L118" s="201">
        <f t="shared" si="1"/>
        <v>997.20175438596493</v>
      </c>
      <c r="M118" s="217"/>
      <c r="N118" s="200"/>
      <c r="O118" s="200"/>
      <c r="P118" s="202"/>
      <c r="Q118" s="217"/>
      <c r="R118" s="200"/>
      <c r="S118" s="200"/>
      <c r="T118" s="202"/>
    </row>
    <row r="119" spans="8:20">
      <c r="H119" s="200">
        <v>115</v>
      </c>
      <c r="I119" s="217">
        <v>40528</v>
      </c>
      <c r="J119" s="200">
        <v>115395</v>
      </c>
      <c r="K119" s="200">
        <f t="shared" si="9"/>
        <v>1714</v>
      </c>
      <c r="L119" s="201">
        <f t="shared" si="1"/>
        <v>1003.4347826086956</v>
      </c>
      <c r="M119" s="217"/>
      <c r="N119" s="200"/>
      <c r="O119" s="200"/>
      <c r="P119" s="202"/>
      <c r="Q119" s="217"/>
      <c r="R119" s="200"/>
      <c r="S119" s="200"/>
      <c r="T119" s="202"/>
    </row>
    <row r="120" spans="8:20">
      <c r="H120" s="200">
        <v>116</v>
      </c>
      <c r="I120" s="217">
        <v>40559</v>
      </c>
      <c r="J120" s="200">
        <v>116058</v>
      </c>
      <c r="K120" s="200">
        <f t="shared" si="9"/>
        <v>663</v>
      </c>
      <c r="L120" s="201">
        <f t="shared" si="1"/>
        <v>1000.5</v>
      </c>
      <c r="M120" s="217"/>
      <c r="N120" s="200"/>
      <c r="O120" s="200"/>
      <c r="P120" s="202"/>
      <c r="Q120" s="217"/>
      <c r="R120" s="200"/>
      <c r="S120" s="200"/>
      <c r="T120" s="202"/>
    </row>
    <row r="121" spans="8:20">
      <c r="H121" s="200">
        <v>117</v>
      </c>
      <c r="I121" s="217">
        <v>40590</v>
      </c>
      <c r="J121" s="200">
        <v>116811</v>
      </c>
      <c r="K121" s="200">
        <f t="shared" si="9"/>
        <v>753</v>
      </c>
      <c r="L121" s="201">
        <f t="shared" si="1"/>
        <v>998.38461538461536</v>
      </c>
      <c r="M121" s="217"/>
      <c r="N121" s="200"/>
      <c r="O121" s="200"/>
      <c r="P121" s="202"/>
      <c r="Q121" s="217"/>
      <c r="R121" s="200"/>
      <c r="S121" s="200"/>
      <c r="T121" s="202"/>
    </row>
    <row r="122" spans="8:20">
      <c r="H122" s="200">
        <v>118</v>
      </c>
      <c r="I122" s="217">
        <v>40618</v>
      </c>
      <c r="J122" s="200">
        <v>117370</v>
      </c>
      <c r="K122" s="200">
        <f t="shared" si="9"/>
        <v>559</v>
      </c>
      <c r="L122" s="201">
        <f t="shared" si="1"/>
        <v>994.66101694915255</v>
      </c>
      <c r="M122" s="217"/>
      <c r="N122" s="200"/>
      <c r="O122" s="200"/>
      <c r="P122" s="202"/>
      <c r="Q122" s="217"/>
      <c r="R122" s="200"/>
      <c r="S122" s="200"/>
      <c r="T122" s="202"/>
    </row>
    <row r="123" spans="8:20">
      <c r="H123" s="200">
        <v>119</v>
      </c>
      <c r="I123" s="217">
        <v>40649</v>
      </c>
      <c r="J123" s="200">
        <v>118500</v>
      </c>
      <c r="K123" s="200">
        <f t="shared" si="9"/>
        <v>1130</v>
      </c>
      <c r="L123" s="201">
        <f t="shared" si="1"/>
        <v>995.79831932773106</v>
      </c>
      <c r="M123" s="217"/>
      <c r="N123" s="200"/>
      <c r="O123" s="200"/>
      <c r="P123" s="202"/>
      <c r="Q123" s="217"/>
      <c r="R123" s="200"/>
      <c r="S123" s="200"/>
      <c r="T123" s="202"/>
    </row>
    <row r="124" spans="8:20">
      <c r="H124" s="200">
        <v>120</v>
      </c>
      <c r="I124" s="217">
        <v>40679</v>
      </c>
      <c r="J124" s="200">
        <v>118800</v>
      </c>
      <c r="K124" s="200">
        <f t="shared" si="9"/>
        <v>300</v>
      </c>
      <c r="L124" s="201">
        <f t="shared" si="1"/>
        <v>990</v>
      </c>
      <c r="M124" s="217"/>
      <c r="N124" s="200"/>
      <c r="O124" s="200"/>
      <c r="P124" s="202"/>
      <c r="Q124" s="217"/>
      <c r="R124" s="200"/>
      <c r="S124" s="200"/>
      <c r="T124" s="202"/>
    </row>
    <row r="125" spans="8:20">
      <c r="H125" s="200">
        <v>121</v>
      </c>
      <c r="I125" s="217">
        <v>40710</v>
      </c>
      <c r="J125" s="200">
        <v>118982</v>
      </c>
      <c r="K125" s="200">
        <f t="shared" si="9"/>
        <v>182</v>
      </c>
      <c r="L125" s="201">
        <f t="shared" si="1"/>
        <v>983.32231404958679</v>
      </c>
      <c r="M125" s="217"/>
      <c r="N125" s="200"/>
      <c r="O125" s="200"/>
      <c r="P125" s="202"/>
      <c r="Q125" s="217"/>
      <c r="R125" s="200"/>
      <c r="S125" s="200"/>
      <c r="T125" s="202"/>
    </row>
    <row r="126" spans="8:20">
      <c r="H126" s="200">
        <v>122</v>
      </c>
      <c r="I126" s="217">
        <v>40740</v>
      </c>
      <c r="J126" s="200">
        <v>119052</v>
      </c>
      <c r="K126" s="200">
        <f t="shared" si="9"/>
        <v>70</v>
      </c>
      <c r="L126" s="201">
        <f t="shared" si="1"/>
        <v>975.8360655737705</v>
      </c>
      <c r="M126" s="217"/>
      <c r="N126" s="200"/>
      <c r="O126" s="200"/>
      <c r="P126" s="202"/>
      <c r="Q126" s="217"/>
      <c r="R126" s="200"/>
      <c r="S126" s="200"/>
      <c r="T126" s="202"/>
    </row>
    <row r="127" spans="8:20">
      <c r="H127" s="200">
        <v>123</v>
      </c>
      <c r="I127" s="217">
        <v>40771</v>
      </c>
      <c r="J127" s="200">
        <v>119125</v>
      </c>
      <c r="K127" s="200">
        <f t="shared" si="9"/>
        <v>73</v>
      </c>
      <c r="L127" s="201">
        <f t="shared" si="1"/>
        <v>968.4959349593496</v>
      </c>
      <c r="M127" s="217"/>
      <c r="N127" s="200"/>
      <c r="O127" s="200"/>
      <c r="P127" s="202"/>
      <c r="Q127" s="217"/>
      <c r="R127" s="200"/>
      <c r="S127" s="200"/>
      <c r="T127" s="202"/>
    </row>
    <row r="128" spans="8:20">
      <c r="H128" s="200">
        <v>124</v>
      </c>
      <c r="I128" s="217">
        <v>40802</v>
      </c>
      <c r="J128" s="200">
        <v>119300</v>
      </c>
      <c r="K128" s="200">
        <f t="shared" si="9"/>
        <v>175</v>
      </c>
      <c r="L128" s="201">
        <f t="shared" si="1"/>
        <v>962.09677419354841</v>
      </c>
      <c r="M128" s="217"/>
      <c r="N128" s="200"/>
      <c r="O128" s="200"/>
      <c r="P128" s="202"/>
      <c r="Q128" s="217"/>
      <c r="R128" s="200"/>
      <c r="S128" s="200"/>
      <c r="T128" s="202"/>
    </row>
    <row r="129" spans="7:20">
      <c r="H129" s="200">
        <v>125</v>
      </c>
      <c r="I129" s="217">
        <v>40832</v>
      </c>
      <c r="J129" s="200">
        <v>119500</v>
      </c>
      <c r="K129" s="200">
        <f t="shared" si="9"/>
        <v>200</v>
      </c>
      <c r="L129" s="201">
        <f t="shared" si="1"/>
        <v>956</v>
      </c>
      <c r="M129" s="217"/>
      <c r="N129" s="200"/>
      <c r="O129" s="200"/>
      <c r="P129" s="202"/>
      <c r="Q129" s="217"/>
      <c r="R129" s="200"/>
      <c r="S129" s="200"/>
      <c r="T129" s="202"/>
    </row>
    <row r="130" spans="7:20">
      <c r="G130" s="130">
        <v>124</v>
      </c>
      <c r="H130" s="200">
        <v>126</v>
      </c>
      <c r="I130" s="217">
        <v>40863</v>
      </c>
      <c r="J130" s="200">
        <v>119872</v>
      </c>
      <c r="K130" s="200">
        <f t="shared" si="9"/>
        <v>372</v>
      </c>
      <c r="L130" s="201">
        <f t="shared" si="1"/>
        <v>951.3650793650794</v>
      </c>
      <c r="M130" s="217"/>
      <c r="N130" s="200"/>
      <c r="O130" s="200"/>
      <c r="P130" s="202"/>
      <c r="Q130" s="217"/>
      <c r="R130" s="200"/>
      <c r="S130" s="200"/>
      <c r="T130" s="202"/>
    </row>
    <row r="131" spans="7:20">
      <c r="H131" s="200">
        <v>127</v>
      </c>
      <c r="I131" s="217">
        <v>40893</v>
      </c>
      <c r="J131" s="200">
        <v>120021</v>
      </c>
      <c r="K131" s="200">
        <f t="shared" si="9"/>
        <v>149</v>
      </c>
      <c r="L131" s="201">
        <f t="shared" si="1"/>
        <v>945.04724409448818</v>
      </c>
      <c r="M131" s="217"/>
      <c r="N131" s="200"/>
      <c r="O131" s="200"/>
      <c r="P131" s="202"/>
      <c r="Q131" s="217"/>
      <c r="R131" s="200"/>
      <c r="S131" s="200"/>
      <c r="T131" s="202"/>
    </row>
    <row r="132" spans="7:20">
      <c r="H132" s="200">
        <v>128</v>
      </c>
      <c r="I132" s="217">
        <v>40924</v>
      </c>
      <c r="J132" s="200">
        <v>120600</v>
      </c>
      <c r="K132" s="200">
        <f t="shared" si="9"/>
        <v>579</v>
      </c>
      <c r="L132" s="201">
        <f t="shared" si="1"/>
        <v>942.1875</v>
      </c>
      <c r="M132" s="217"/>
      <c r="N132" s="200"/>
      <c r="O132" s="200"/>
      <c r="P132" s="202"/>
      <c r="Q132" s="217"/>
      <c r="R132" s="200"/>
      <c r="S132" s="200"/>
      <c r="T132" s="202"/>
    </row>
    <row r="133" spans="7:20">
      <c r="H133" s="200">
        <v>129</v>
      </c>
      <c r="I133" s="217">
        <v>40955</v>
      </c>
      <c r="J133" s="200">
        <v>121398</v>
      </c>
      <c r="K133" s="200">
        <f t="shared" si="9"/>
        <v>798</v>
      </c>
      <c r="L133" s="201">
        <f t="shared" si="1"/>
        <v>941.06976744186045</v>
      </c>
      <c r="M133" s="217"/>
      <c r="N133" s="200"/>
      <c r="O133" s="200"/>
      <c r="P133" s="202"/>
      <c r="Q133" s="217"/>
      <c r="R133" s="200"/>
      <c r="S133" s="200"/>
      <c r="T133" s="202"/>
    </row>
    <row r="134" spans="7:20">
      <c r="H134" s="200">
        <v>130</v>
      </c>
      <c r="I134" s="217">
        <v>40984</v>
      </c>
      <c r="J134" s="200">
        <v>121700</v>
      </c>
      <c r="K134" s="200">
        <f t="shared" si="9"/>
        <v>302</v>
      </c>
      <c r="L134" s="201">
        <f t="shared" si="1"/>
        <v>936.15384615384619</v>
      </c>
      <c r="M134" s="217"/>
      <c r="N134" s="200"/>
      <c r="O134" s="200"/>
      <c r="P134" s="202"/>
      <c r="Q134" s="217"/>
      <c r="R134" s="200"/>
      <c r="S134" s="200"/>
      <c r="T134" s="202"/>
    </row>
    <row r="135" spans="7:20">
      <c r="H135" s="200">
        <v>131</v>
      </c>
      <c r="I135" s="217">
        <v>41015</v>
      </c>
      <c r="J135" s="200">
        <v>122000</v>
      </c>
      <c r="K135" s="200">
        <f t="shared" si="9"/>
        <v>300</v>
      </c>
      <c r="L135" s="201">
        <f t="shared" si="1"/>
        <v>931.29770992366412</v>
      </c>
      <c r="M135" s="217"/>
      <c r="N135" s="200"/>
      <c r="O135" s="200"/>
      <c r="P135" s="202"/>
      <c r="Q135" s="217"/>
      <c r="R135" s="200"/>
      <c r="S135" s="200"/>
      <c r="T135" s="202"/>
    </row>
    <row r="136" spans="7:20">
      <c r="H136" s="200">
        <v>132</v>
      </c>
      <c r="I136" s="217">
        <v>41045</v>
      </c>
      <c r="J136" s="200">
        <v>122900</v>
      </c>
      <c r="K136" s="200">
        <f t="shared" si="9"/>
        <v>900</v>
      </c>
      <c r="L136" s="201">
        <f t="shared" si="1"/>
        <v>931.06060606060601</v>
      </c>
      <c r="M136" s="217"/>
      <c r="N136" s="200"/>
      <c r="O136" s="200"/>
      <c r="P136" s="202"/>
      <c r="Q136" s="217"/>
      <c r="R136" s="200"/>
      <c r="S136" s="200"/>
      <c r="T136" s="202"/>
    </row>
    <row r="137" spans="7:20">
      <c r="H137" s="200">
        <v>133</v>
      </c>
      <c r="I137" s="217">
        <v>41076</v>
      </c>
      <c r="J137" s="200">
        <v>123500</v>
      </c>
      <c r="K137" s="200">
        <f t="shared" si="9"/>
        <v>600</v>
      </c>
      <c r="L137" s="201">
        <f t="shared" si="1"/>
        <v>928.57142857142856</v>
      </c>
      <c r="M137" s="217"/>
      <c r="N137" s="200"/>
      <c r="O137" s="200"/>
      <c r="P137" s="202"/>
      <c r="Q137" s="217"/>
      <c r="R137" s="200"/>
      <c r="S137" s="200"/>
      <c r="T137" s="202"/>
    </row>
    <row r="138" spans="7:20">
      <c r="H138" s="200">
        <v>134</v>
      </c>
      <c r="I138" s="217">
        <v>41106</v>
      </c>
      <c r="J138" s="200">
        <v>124100</v>
      </c>
      <c r="K138" s="200">
        <f t="shared" si="9"/>
        <v>600</v>
      </c>
      <c r="L138" s="201">
        <f t="shared" si="1"/>
        <v>926.11940298507466</v>
      </c>
      <c r="M138" s="217"/>
      <c r="N138" s="200"/>
      <c r="O138" s="200"/>
      <c r="P138" s="202"/>
      <c r="Q138" s="217"/>
      <c r="R138" s="200"/>
      <c r="S138" s="200"/>
      <c r="T138" s="202"/>
    </row>
    <row r="139" spans="7:20">
      <c r="H139" s="200">
        <v>135</v>
      </c>
      <c r="I139" s="217">
        <v>41137</v>
      </c>
      <c r="J139" s="200">
        <v>124700</v>
      </c>
      <c r="K139" s="200">
        <f t="shared" si="9"/>
        <v>600</v>
      </c>
      <c r="L139" s="201">
        <f t="shared" si="1"/>
        <v>923.7037037037037</v>
      </c>
      <c r="M139" s="217"/>
      <c r="N139" s="200"/>
      <c r="O139" s="200"/>
      <c r="P139" s="202"/>
      <c r="Q139" s="217"/>
      <c r="R139" s="200"/>
      <c r="S139" s="200"/>
      <c r="T139" s="202"/>
    </row>
    <row r="140" spans="7:20">
      <c r="H140" s="200">
        <v>136</v>
      </c>
      <c r="I140" s="217">
        <v>41168</v>
      </c>
      <c r="J140" s="200">
        <v>125100</v>
      </c>
      <c r="K140" s="200">
        <f t="shared" si="9"/>
        <v>400</v>
      </c>
      <c r="L140" s="201">
        <f t="shared" si="1"/>
        <v>919.85294117647061</v>
      </c>
      <c r="M140" s="217"/>
      <c r="N140" s="200"/>
      <c r="O140" s="200"/>
      <c r="P140" s="202"/>
      <c r="Q140" s="217"/>
      <c r="R140" s="200"/>
      <c r="S140" s="200"/>
      <c r="T140" s="202"/>
    </row>
    <row r="141" spans="7:20">
      <c r="H141" s="200">
        <v>137</v>
      </c>
      <c r="I141" s="217">
        <v>41198</v>
      </c>
      <c r="J141" s="200">
        <v>125400</v>
      </c>
      <c r="K141" s="200">
        <f t="shared" si="9"/>
        <v>300</v>
      </c>
      <c r="L141" s="201">
        <f t="shared" si="1"/>
        <v>915.32846715328469</v>
      </c>
      <c r="M141" s="217"/>
      <c r="N141" s="200"/>
      <c r="O141" s="200"/>
      <c r="P141" s="202"/>
      <c r="Q141" s="217"/>
      <c r="R141" s="200"/>
      <c r="S141" s="200"/>
      <c r="T141" s="202"/>
    </row>
    <row r="142" spans="7:20">
      <c r="H142" s="200">
        <v>138</v>
      </c>
      <c r="I142" s="217">
        <v>41229</v>
      </c>
      <c r="J142" s="200">
        <v>126112</v>
      </c>
      <c r="K142" s="200">
        <f t="shared" si="9"/>
        <v>712</v>
      </c>
      <c r="L142" s="201">
        <f t="shared" si="1"/>
        <v>913.85507246376812</v>
      </c>
      <c r="M142" s="217"/>
      <c r="N142" s="200"/>
      <c r="O142" s="200"/>
      <c r="P142" s="202"/>
      <c r="Q142" s="217"/>
      <c r="R142" s="200"/>
      <c r="S142" s="200"/>
      <c r="T142" s="202"/>
    </row>
    <row r="143" spans="7:20">
      <c r="H143" s="200">
        <v>139</v>
      </c>
      <c r="I143" s="217">
        <v>41259</v>
      </c>
      <c r="J143" s="200">
        <v>126651</v>
      </c>
      <c r="K143" s="200">
        <f t="shared" si="9"/>
        <v>539</v>
      </c>
      <c r="L143" s="201">
        <f t="shared" si="1"/>
        <v>911.15827338129498</v>
      </c>
      <c r="M143" s="217"/>
      <c r="N143" s="200"/>
      <c r="O143" s="200"/>
      <c r="P143" s="202"/>
      <c r="Q143" s="217"/>
      <c r="R143" s="200"/>
      <c r="S143" s="200"/>
      <c r="T143" s="202"/>
    </row>
    <row r="144" spans="7:20">
      <c r="H144" s="200">
        <v>140</v>
      </c>
      <c r="I144" s="217">
        <v>41290</v>
      </c>
      <c r="J144" s="200">
        <v>127100</v>
      </c>
      <c r="K144" s="200">
        <f t="shared" si="9"/>
        <v>449</v>
      </c>
      <c r="L144" s="201">
        <f t="shared" si="1"/>
        <v>907.85714285714289</v>
      </c>
      <c r="M144" s="217"/>
      <c r="N144" s="200"/>
      <c r="O144" s="200"/>
      <c r="P144" s="202"/>
      <c r="Q144" s="217"/>
      <c r="R144" s="200"/>
      <c r="S144" s="200"/>
      <c r="T144" s="202"/>
    </row>
    <row r="145" spans="8:20">
      <c r="H145" s="200">
        <v>141</v>
      </c>
      <c r="I145" s="217">
        <v>41321</v>
      </c>
      <c r="J145" s="200">
        <v>127898</v>
      </c>
      <c r="K145" s="200">
        <f t="shared" si="9"/>
        <v>798</v>
      </c>
      <c r="L145" s="201">
        <f t="shared" si="1"/>
        <v>907.07801418439715</v>
      </c>
      <c r="M145" s="217"/>
      <c r="N145" s="200"/>
      <c r="O145" s="200"/>
      <c r="P145" s="202"/>
      <c r="Q145" s="217"/>
      <c r="R145" s="200"/>
      <c r="S145" s="200"/>
      <c r="T145" s="202"/>
    </row>
    <row r="146" spans="8:20">
      <c r="H146" s="200">
        <v>142</v>
      </c>
      <c r="I146" s="217">
        <v>41349</v>
      </c>
      <c r="J146" s="200">
        <v>128900</v>
      </c>
      <c r="K146" s="200">
        <f t="shared" si="9"/>
        <v>1002</v>
      </c>
      <c r="L146" s="201">
        <f t="shared" si="1"/>
        <v>907.74647887323943</v>
      </c>
      <c r="M146" s="217"/>
      <c r="N146" s="200"/>
      <c r="O146" s="200"/>
      <c r="P146" s="202"/>
      <c r="Q146" s="217"/>
      <c r="R146" s="200"/>
      <c r="S146" s="200"/>
      <c r="T146" s="202"/>
    </row>
    <row r="147" spans="8:20">
      <c r="H147" s="200">
        <v>143</v>
      </c>
      <c r="I147" s="217">
        <v>41380</v>
      </c>
      <c r="J147" s="200">
        <v>129800</v>
      </c>
      <c r="K147" s="200">
        <f t="shared" si="9"/>
        <v>900</v>
      </c>
      <c r="L147" s="201">
        <f t="shared" si="1"/>
        <v>907.69230769230774</v>
      </c>
      <c r="M147" s="217"/>
      <c r="N147" s="200"/>
      <c r="O147" s="200"/>
      <c r="P147" s="202"/>
      <c r="Q147" s="217"/>
      <c r="R147" s="200"/>
      <c r="S147" s="200"/>
      <c r="T147" s="202"/>
    </row>
    <row r="148" spans="8:20">
      <c r="H148" s="200">
        <v>144</v>
      </c>
      <c r="I148" s="217">
        <v>41410</v>
      </c>
      <c r="J148" s="200">
        <v>130780</v>
      </c>
      <c r="K148" s="200">
        <f t="shared" si="9"/>
        <v>980</v>
      </c>
      <c r="L148" s="201">
        <f t="shared" si="1"/>
        <v>908.19444444444446</v>
      </c>
      <c r="M148" s="217"/>
      <c r="N148" s="200"/>
      <c r="O148" s="200"/>
      <c r="P148" s="209"/>
      <c r="Q148" s="217"/>
      <c r="R148" s="200"/>
      <c r="S148" s="200"/>
      <c r="T148" s="202"/>
    </row>
    <row r="149" spans="8:20">
      <c r="H149" s="200">
        <v>145</v>
      </c>
      <c r="I149" s="217">
        <v>41441</v>
      </c>
      <c r="J149" s="200">
        <v>131500</v>
      </c>
      <c r="K149" s="200">
        <f t="shared" si="9"/>
        <v>720</v>
      </c>
      <c r="L149" s="201">
        <f t="shared" si="1"/>
        <v>906.89655172413791</v>
      </c>
      <c r="M149" s="217"/>
      <c r="N149" s="200"/>
      <c r="O149" s="200"/>
      <c r="P149" s="209"/>
      <c r="Q149" s="217"/>
      <c r="R149" s="200"/>
      <c r="S149" s="200"/>
      <c r="T149" s="202"/>
    </row>
    <row r="150" spans="8:20">
      <c r="H150" s="200">
        <v>146</v>
      </c>
      <c r="I150" s="217">
        <v>41471</v>
      </c>
      <c r="J150" s="200">
        <v>132600</v>
      </c>
      <c r="K150" s="200">
        <f t="shared" si="9"/>
        <v>1100</v>
      </c>
      <c r="L150" s="201">
        <f t="shared" si="1"/>
        <v>908.21917808219177</v>
      </c>
      <c r="M150" s="217"/>
      <c r="N150" s="200"/>
      <c r="O150" s="200"/>
      <c r="P150" s="209"/>
      <c r="Q150" s="217"/>
      <c r="R150" s="200"/>
      <c r="S150" s="200"/>
      <c r="T150" s="209"/>
    </row>
    <row r="151" spans="8:20">
      <c r="H151" s="200">
        <v>147</v>
      </c>
      <c r="I151" s="217">
        <v>41502</v>
      </c>
      <c r="J151" s="200">
        <v>133700</v>
      </c>
      <c r="K151" s="200">
        <f t="shared" si="9"/>
        <v>1100</v>
      </c>
      <c r="L151" s="201">
        <f t="shared" si="1"/>
        <v>909.52380952380952</v>
      </c>
      <c r="M151" s="217"/>
      <c r="N151" s="200"/>
      <c r="O151" s="200"/>
      <c r="P151" s="209"/>
      <c r="Q151" s="200"/>
      <c r="R151" s="200"/>
      <c r="S151" s="200"/>
      <c r="T151" s="200"/>
    </row>
    <row r="152" spans="8:20">
      <c r="H152" s="200">
        <v>148</v>
      </c>
      <c r="I152" s="217">
        <v>41533</v>
      </c>
      <c r="J152" s="200">
        <v>134865</v>
      </c>
      <c r="K152" s="200">
        <f t="shared" si="9"/>
        <v>1165</v>
      </c>
      <c r="L152" s="201">
        <f t="shared" si="1"/>
        <v>911.25</v>
      </c>
      <c r="M152" s="217"/>
      <c r="N152" s="200"/>
      <c r="O152" s="200"/>
      <c r="P152" s="209"/>
      <c r="Q152" s="200"/>
      <c r="R152" s="200"/>
      <c r="S152" s="200"/>
      <c r="T152" s="200"/>
    </row>
    <row r="153" spans="8:20">
      <c r="H153" s="200">
        <v>149</v>
      </c>
      <c r="I153" s="217">
        <v>41557</v>
      </c>
      <c r="J153" s="200">
        <v>135700</v>
      </c>
      <c r="K153" s="200">
        <f t="shared" si="9"/>
        <v>835</v>
      </c>
      <c r="L153" s="201">
        <f t="shared" si="1"/>
        <v>910.73825503355704</v>
      </c>
      <c r="M153" s="217"/>
      <c r="N153" s="200"/>
      <c r="O153" s="200"/>
      <c r="P153" s="209"/>
      <c r="Q153" s="200"/>
      <c r="R153" s="200"/>
      <c r="S153" s="200"/>
      <c r="T153" s="200"/>
    </row>
    <row r="154" spans="8:20">
      <c r="H154" s="200">
        <v>150</v>
      </c>
      <c r="I154" s="217">
        <v>41594</v>
      </c>
      <c r="J154" s="200">
        <v>136600</v>
      </c>
      <c r="K154" s="200">
        <f t="shared" si="9"/>
        <v>900</v>
      </c>
      <c r="L154" s="201">
        <f t="shared" si="1"/>
        <v>910.66666666666663</v>
      </c>
      <c r="M154" s="217"/>
      <c r="N154" s="200"/>
      <c r="O154" s="200"/>
      <c r="P154" s="209"/>
      <c r="Q154" s="200"/>
      <c r="R154" s="200"/>
      <c r="S154" s="200"/>
      <c r="T154" s="200"/>
    </row>
    <row r="155" spans="8:20">
      <c r="H155" s="200">
        <v>151</v>
      </c>
      <c r="I155" s="217">
        <v>41624</v>
      </c>
      <c r="J155" s="200">
        <v>137343</v>
      </c>
      <c r="K155" s="200">
        <f t="shared" si="9"/>
        <v>743</v>
      </c>
      <c r="L155" s="201">
        <f t="shared" si="1"/>
        <v>909.55629139072846</v>
      </c>
      <c r="M155" s="217"/>
      <c r="N155" s="200"/>
      <c r="O155" s="200"/>
      <c r="P155" s="209"/>
      <c r="Q155" s="200"/>
      <c r="R155" s="200"/>
      <c r="S155" s="200"/>
      <c r="T155" s="200"/>
    </row>
    <row r="156" spans="8:20">
      <c r="H156" s="200">
        <v>152</v>
      </c>
      <c r="I156" s="217">
        <v>41290</v>
      </c>
      <c r="J156" s="200">
        <v>138000</v>
      </c>
      <c r="K156" s="200">
        <f t="shared" si="9"/>
        <v>657</v>
      </c>
      <c r="L156" s="201">
        <f t="shared" si="1"/>
        <v>907.89473684210532</v>
      </c>
      <c r="M156" s="217"/>
      <c r="N156" s="200"/>
      <c r="O156" s="200"/>
      <c r="P156" s="209"/>
      <c r="Q156" s="200"/>
      <c r="R156" s="200"/>
      <c r="S156" s="200"/>
      <c r="T156" s="200"/>
    </row>
    <row r="157" spans="8:20">
      <c r="H157" s="200">
        <v>153</v>
      </c>
      <c r="I157" s="217">
        <v>41686</v>
      </c>
      <c r="J157" s="200">
        <v>138700</v>
      </c>
      <c r="K157" s="200">
        <f t="shared" si="9"/>
        <v>700</v>
      </c>
      <c r="L157" s="201">
        <f t="shared" si="1"/>
        <v>906.53594771241831</v>
      </c>
      <c r="M157" s="217"/>
      <c r="N157" s="200"/>
      <c r="O157" s="200"/>
      <c r="P157" s="209"/>
      <c r="Q157" s="200"/>
      <c r="R157" s="200"/>
      <c r="S157" s="200"/>
      <c r="T157" s="200"/>
    </row>
    <row r="158" spans="8:20">
      <c r="H158" s="200">
        <v>154</v>
      </c>
      <c r="I158" s="217">
        <v>41714</v>
      </c>
      <c r="J158" s="200">
        <v>139900</v>
      </c>
      <c r="K158" s="200">
        <f t="shared" si="9"/>
        <v>1200</v>
      </c>
      <c r="L158" s="201">
        <f t="shared" si="1"/>
        <v>908.44155844155841</v>
      </c>
      <c r="M158" s="217"/>
      <c r="N158" s="200"/>
      <c r="O158" s="200"/>
      <c r="P158" s="209"/>
      <c r="Q158" s="200"/>
      <c r="R158" s="200"/>
      <c r="S158" s="200"/>
      <c r="T158" s="200"/>
    </row>
    <row r="159" spans="8:20">
      <c r="H159" s="200">
        <v>155</v>
      </c>
      <c r="I159" s="217">
        <v>41745</v>
      </c>
      <c r="J159" s="200">
        <v>141200</v>
      </c>
      <c r="K159" s="200">
        <f t="shared" si="9"/>
        <v>1300</v>
      </c>
      <c r="L159" s="201">
        <f t="shared" si="1"/>
        <v>910.9677419354839</v>
      </c>
      <c r="M159" s="217"/>
      <c r="N159" s="200"/>
      <c r="O159" s="200"/>
      <c r="P159" s="209"/>
      <c r="Q159" s="200"/>
      <c r="R159" s="200"/>
      <c r="S159" s="200"/>
      <c r="T159" s="200"/>
    </row>
    <row r="160" spans="8:20">
      <c r="H160" s="200">
        <v>156</v>
      </c>
      <c r="I160" s="217">
        <v>41775</v>
      </c>
      <c r="J160" s="200">
        <v>142100</v>
      </c>
      <c r="K160" s="200">
        <f t="shared" si="9"/>
        <v>900</v>
      </c>
      <c r="L160" s="201">
        <f t="shared" si="1"/>
        <v>910.89743589743591</v>
      </c>
      <c r="M160" s="217"/>
      <c r="N160" s="200"/>
      <c r="O160" s="200"/>
      <c r="P160" s="209"/>
      <c r="Q160" s="200"/>
      <c r="R160" s="200"/>
      <c r="S160" s="200"/>
      <c r="T160" s="200"/>
    </row>
    <row r="161" spans="8:20">
      <c r="H161" s="200">
        <v>157</v>
      </c>
      <c r="I161" s="217">
        <v>41806</v>
      </c>
      <c r="J161" s="200">
        <v>143400</v>
      </c>
      <c r="K161" s="200">
        <f t="shared" si="9"/>
        <v>1300</v>
      </c>
      <c r="L161" s="201">
        <f t="shared" si="1"/>
        <v>913.37579617834399</v>
      </c>
      <c r="M161" s="217"/>
      <c r="N161" s="200"/>
      <c r="O161" s="200"/>
      <c r="P161" s="209"/>
      <c r="Q161" s="200"/>
      <c r="R161" s="200"/>
      <c r="S161" s="200"/>
      <c r="T161" s="200"/>
    </row>
    <row r="162" spans="8:20">
      <c r="H162" s="200">
        <v>158</v>
      </c>
      <c r="I162" s="217">
        <v>41836</v>
      </c>
      <c r="J162" s="200">
        <v>143900</v>
      </c>
      <c r="K162" s="200">
        <f t="shared" si="9"/>
        <v>500</v>
      </c>
      <c r="L162" s="201">
        <f t="shared" si="1"/>
        <v>910.75949367088606</v>
      </c>
      <c r="M162" s="217"/>
      <c r="N162" s="200"/>
      <c r="O162" s="200"/>
      <c r="P162" s="209"/>
      <c r="Q162" s="200"/>
      <c r="R162" s="200"/>
      <c r="S162" s="200"/>
      <c r="T162" s="200"/>
    </row>
    <row r="163" spans="8:20">
      <c r="H163" s="200">
        <v>159</v>
      </c>
      <c r="I163" s="217">
        <v>41867</v>
      </c>
      <c r="J163" s="200">
        <v>144350</v>
      </c>
      <c r="K163" s="200">
        <f t="shared" si="9"/>
        <v>450</v>
      </c>
      <c r="L163" s="201">
        <f t="shared" si="1"/>
        <v>907.86163522012578</v>
      </c>
      <c r="M163" s="217"/>
      <c r="N163" s="200"/>
      <c r="O163" s="200"/>
      <c r="P163" s="209"/>
      <c r="Q163" s="200"/>
      <c r="R163" s="200"/>
      <c r="S163" s="200"/>
      <c r="T163" s="200"/>
    </row>
    <row r="164" spans="8:20">
      <c r="H164" s="200">
        <v>160</v>
      </c>
      <c r="I164" s="217">
        <v>41898</v>
      </c>
      <c r="J164" s="200">
        <v>145300</v>
      </c>
      <c r="K164" s="200">
        <f t="shared" si="9"/>
        <v>950</v>
      </c>
      <c r="L164" s="201">
        <f t="shared" si="1"/>
        <v>908.125</v>
      </c>
      <c r="M164" s="217"/>
      <c r="N164" s="200"/>
      <c r="O164" s="200"/>
      <c r="P164" s="209"/>
      <c r="Q164" s="200"/>
      <c r="R164" s="200"/>
      <c r="S164" s="200"/>
      <c r="T164" s="200"/>
    </row>
    <row r="165" spans="8:20">
      <c r="H165" s="200">
        <v>161</v>
      </c>
      <c r="I165" s="217">
        <v>41928</v>
      </c>
      <c r="J165" s="200">
        <v>146500</v>
      </c>
      <c r="K165" s="200">
        <f t="shared" si="9"/>
        <v>1200</v>
      </c>
      <c r="L165" s="201">
        <f t="shared" si="1"/>
        <v>909.93788819875772</v>
      </c>
      <c r="M165" s="217"/>
      <c r="N165" s="200"/>
      <c r="O165" s="200"/>
      <c r="P165" s="209"/>
      <c r="Q165" s="200"/>
      <c r="R165" s="200"/>
      <c r="S165" s="200"/>
      <c r="T165" s="200"/>
    </row>
    <row r="166" spans="8:20">
      <c r="H166" s="200">
        <v>162</v>
      </c>
      <c r="I166" s="217">
        <v>41959</v>
      </c>
      <c r="J166" s="200">
        <v>147300</v>
      </c>
      <c r="K166" s="200">
        <f t="shared" si="9"/>
        <v>800</v>
      </c>
      <c r="L166" s="201">
        <f t="shared" si="1"/>
        <v>909.25925925925924</v>
      </c>
      <c r="M166" s="217"/>
      <c r="N166" s="200"/>
      <c r="O166" s="200"/>
      <c r="P166" s="209"/>
      <c r="Q166" s="200"/>
      <c r="R166" s="200"/>
      <c r="S166" s="200"/>
      <c r="T166" s="200"/>
    </row>
    <row r="167" spans="8:20">
      <c r="H167" s="200">
        <v>163</v>
      </c>
      <c r="I167" s="217">
        <v>41989</v>
      </c>
      <c r="J167" s="200">
        <v>148100</v>
      </c>
      <c r="K167" s="200">
        <f t="shared" si="9"/>
        <v>800</v>
      </c>
      <c r="L167" s="201">
        <f t="shared" si="1"/>
        <v>908.58895705521468</v>
      </c>
      <c r="M167" s="217"/>
      <c r="N167" s="200"/>
      <c r="O167" s="200"/>
      <c r="P167" s="209"/>
      <c r="Q167" s="200"/>
      <c r="R167" s="200"/>
      <c r="S167" s="200"/>
      <c r="T167" s="200"/>
    </row>
    <row r="168" spans="8:20">
      <c r="H168" s="200">
        <v>164</v>
      </c>
      <c r="I168" s="217">
        <v>42020</v>
      </c>
      <c r="J168" s="200">
        <v>148900</v>
      </c>
      <c r="K168" s="200">
        <f t="shared" si="9"/>
        <v>800</v>
      </c>
      <c r="L168" s="201">
        <f t="shared" si="1"/>
        <v>907.92682926829264</v>
      </c>
      <c r="M168" s="217"/>
      <c r="N168" s="200"/>
      <c r="O168" s="200"/>
      <c r="P168" s="209"/>
      <c r="Q168" s="200"/>
      <c r="R168" s="200"/>
      <c r="S168" s="200"/>
      <c r="T168" s="200"/>
    </row>
    <row r="169" spans="8:20">
      <c r="H169" s="200">
        <v>165</v>
      </c>
      <c r="I169" s="217">
        <v>42051</v>
      </c>
      <c r="J169" s="200"/>
      <c r="K169" s="200"/>
      <c r="L169" s="210"/>
      <c r="M169" s="217"/>
      <c r="N169" s="200"/>
      <c r="O169" s="200"/>
      <c r="P169" s="209"/>
      <c r="Q169" s="200"/>
      <c r="R169" s="200"/>
      <c r="S169" s="200"/>
      <c r="T169" s="200"/>
    </row>
    <row r="170" spans="8:20">
      <c r="H170" s="200">
        <v>166</v>
      </c>
      <c r="I170" s="217">
        <v>42079</v>
      </c>
      <c r="J170" s="200"/>
      <c r="K170" s="200"/>
      <c r="L170" s="210"/>
      <c r="M170" s="217"/>
      <c r="N170" s="200"/>
      <c r="O170" s="200"/>
      <c r="P170" s="209"/>
      <c r="Q170" s="200"/>
      <c r="R170" s="200"/>
      <c r="S170" s="200"/>
      <c r="T170" s="200"/>
    </row>
    <row r="171" spans="8:20">
      <c r="H171" s="200">
        <v>167</v>
      </c>
      <c r="I171" s="217">
        <v>42110</v>
      </c>
      <c r="J171" s="200"/>
      <c r="K171" s="200"/>
      <c r="L171" s="210"/>
      <c r="M171" s="217"/>
      <c r="N171" s="200"/>
      <c r="O171" s="200"/>
      <c r="P171" s="209"/>
      <c r="Q171" s="200"/>
      <c r="R171" s="200"/>
      <c r="S171" s="200"/>
      <c r="T171" s="200"/>
    </row>
    <row r="172" spans="8:20">
      <c r="H172" s="200">
        <v>161</v>
      </c>
      <c r="I172" s="217">
        <v>42140</v>
      </c>
      <c r="J172" s="200"/>
      <c r="K172" s="200"/>
      <c r="L172" s="210"/>
      <c r="M172" s="217"/>
      <c r="N172" s="200"/>
      <c r="O172" s="200"/>
      <c r="P172" s="209"/>
      <c r="Q172" s="200"/>
      <c r="R172" s="200"/>
      <c r="S172" s="200"/>
      <c r="T172" s="200"/>
    </row>
    <row r="173" spans="8:20">
      <c r="H173" s="200">
        <v>162</v>
      </c>
      <c r="I173" s="217">
        <v>42171</v>
      </c>
      <c r="J173" s="200"/>
      <c r="K173" s="200"/>
      <c r="L173" s="210"/>
      <c r="M173" s="217"/>
      <c r="N173" s="200"/>
      <c r="O173" s="200"/>
      <c r="P173" s="209"/>
      <c r="Q173" s="200"/>
      <c r="R173" s="200"/>
      <c r="S173" s="200"/>
      <c r="T173" s="200"/>
    </row>
    <row r="174" spans="8:20">
      <c r="H174" s="200">
        <v>163</v>
      </c>
      <c r="I174" s="217">
        <v>42201</v>
      </c>
      <c r="J174" s="200"/>
      <c r="K174" s="200"/>
      <c r="L174" s="210"/>
      <c r="M174" s="217"/>
      <c r="N174" s="200"/>
      <c r="O174" s="200"/>
      <c r="P174" s="209"/>
      <c r="Q174" s="200"/>
      <c r="R174" s="200"/>
      <c r="S174" s="200"/>
      <c r="T174" s="200"/>
    </row>
    <row r="175" spans="8:20">
      <c r="H175" s="200">
        <v>164</v>
      </c>
      <c r="I175" s="217">
        <v>42232</v>
      </c>
      <c r="J175" s="200"/>
      <c r="K175" s="200"/>
      <c r="L175" s="210"/>
      <c r="M175" s="217"/>
      <c r="N175" s="200"/>
      <c r="O175" s="200"/>
      <c r="P175" s="209"/>
      <c r="Q175" s="200"/>
      <c r="R175" s="200"/>
      <c r="S175" s="200"/>
      <c r="T175" s="200"/>
    </row>
    <row r="176" spans="8:20">
      <c r="H176" s="200">
        <v>165</v>
      </c>
      <c r="I176" s="217">
        <v>42263</v>
      </c>
      <c r="J176" s="200"/>
      <c r="K176" s="200"/>
      <c r="L176" s="210"/>
      <c r="M176" s="217"/>
      <c r="N176" s="200"/>
      <c r="O176" s="200"/>
      <c r="P176" s="209"/>
      <c r="Q176" s="200"/>
      <c r="R176" s="200"/>
      <c r="S176" s="200"/>
      <c r="T176" s="200"/>
    </row>
    <row r="177" spans="8:20">
      <c r="H177" s="200">
        <v>166</v>
      </c>
      <c r="I177" s="217">
        <v>42293</v>
      </c>
      <c r="J177" s="200"/>
      <c r="K177" s="200"/>
      <c r="L177" s="210"/>
      <c r="M177" s="217"/>
      <c r="N177" s="200"/>
      <c r="O177" s="200"/>
      <c r="P177" s="209"/>
      <c r="Q177" s="200"/>
      <c r="R177" s="200"/>
      <c r="S177" s="200"/>
      <c r="T177" s="200"/>
    </row>
    <row r="178" spans="8:20">
      <c r="H178" s="200">
        <v>167</v>
      </c>
      <c r="I178" s="209"/>
      <c r="J178" s="200"/>
      <c r="K178" s="200"/>
      <c r="L178" s="200"/>
      <c r="M178" s="217"/>
      <c r="N178" s="200"/>
      <c r="O178" s="200"/>
      <c r="P178" s="209"/>
      <c r="Q178" s="200"/>
      <c r="R178" s="200"/>
      <c r="S178" s="200"/>
      <c r="T178" s="200"/>
    </row>
  </sheetData>
  <phoneticPr fontId="0" type="noConversion"/>
  <pageMargins left="0.75" right="0.75" top="1" bottom="1" header="0.5" footer="0.5"/>
  <pageSetup orientation="portrait" verticalDpi="30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"/>
  <dimension ref="C5:N44"/>
  <sheetViews>
    <sheetView zoomScale="125" zoomScaleNormal="125" zoomScalePageLayoutView="125" workbookViewId="0">
      <selection activeCell="J147" sqref="J147"/>
    </sheetView>
  </sheetViews>
  <sheetFormatPr defaultColWidth="10.7109375" defaultRowHeight="15"/>
  <cols>
    <col min="3" max="3" width="31.42578125" style="174" customWidth="1"/>
    <col min="4" max="4" width="7.7109375" style="167" customWidth="1"/>
    <col min="5" max="5" width="8.140625" style="167" customWidth="1"/>
    <col min="6" max="6" width="12.28515625" style="167" bestFit="1" customWidth="1"/>
    <col min="7" max="7" width="15.140625" style="167" customWidth="1"/>
    <col min="8" max="8" width="17.140625" style="167" customWidth="1"/>
    <col min="9" max="13" width="13" style="167" customWidth="1"/>
    <col min="14" max="14" width="13" bestFit="1" customWidth="1"/>
  </cols>
  <sheetData>
    <row r="5" spans="3:14">
      <c r="C5" s="165" t="s">
        <v>11688</v>
      </c>
      <c r="D5" s="166">
        <v>34</v>
      </c>
    </row>
    <row r="6" spans="3:14">
      <c r="C6" s="165" t="s">
        <v>11689</v>
      </c>
      <c r="D6" s="166">
        <v>33.85</v>
      </c>
    </row>
    <row r="7" spans="3:14">
      <c r="C7" s="165" t="s">
        <v>11690</v>
      </c>
      <c r="D7" s="166">
        <v>24.05</v>
      </c>
    </row>
    <row r="8" spans="3:14">
      <c r="C8" s="165" t="s">
        <v>11691</v>
      </c>
      <c r="D8" s="166">
        <v>0.111</v>
      </c>
    </row>
    <row r="9" spans="3:14">
      <c r="C9" s="165" t="s">
        <v>11692</v>
      </c>
      <c r="D9" s="166">
        <v>9</v>
      </c>
    </row>
    <row r="12" spans="3:14">
      <c r="C12" s="168"/>
      <c r="D12" s="169" t="s">
        <v>11693</v>
      </c>
      <c r="E12" s="169" t="s">
        <v>11694</v>
      </c>
      <c r="F12" s="169" t="s">
        <v>11695</v>
      </c>
      <c r="G12" s="169" t="s">
        <v>11696</v>
      </c>
      <c r="H12" s="169" t="s">
        <v>11697</v>
      </c>
      <c r="I12" s="169" t="s">
        <v>241</v>
      </c>
      <c r="J12" s="169" t="s">
        <v>11698</v>
      </c>
      <c r="K12" s="169" t="s">
        <v>11699</v>
      </c>
      <c r="L12" s="244" t="s">
        <v>11700</v>
      </c>
      <c r="M12" s="256"/>
      <c r="N12" s="250" t="s">
        <v>11701</v>
      </c>
    </row>
    <row r="13" spans="3:14">
      <c r="C13" s="165" t="s">
        <v>11702</v>
      </c>
      <c r="D13" s="166">
        <v>3000</v>
      </c>
      <c r="E13" s="170">
        <v>16.89</v>
      </c>
      <c r="F13" s="170">
        <f>D13*($D$7-E13)</f>
        <v>21480</v>
      </c>
      <c r="G13" s="170">
        <f>D13*($D$6-E13)</f>
        <v>50880</v>
      </c>
      <c r="H13" s="170">
        <f>D13*($D$5-E13)</f>
        <v>51330</v>
      </c>
      <c r="I13" s="170">
        <f>G13-H13</f>
        <v>-450</v>
      </c>
      <c r="J13" s="176">
        <f>D13*$D$8</f>
        <v>333</v>
      </c>
      <c r="K13" s="170">
        <f>J13*$D$9</f>
        <v>2997</v>
      </c>
      <c r="L13" s="245">
        <f>J13*($D$5-$D$7)</f>
        <v>3313.35</v>
      </c>
      <c r="M13" s="257"/>
      <c r="N13" s="251">
        <f>K13*($D$5-E13)</f>
        <v>51278.67</v>
      </c>
    </row>
    <row r="14" spans="3:14">
      <c r="C14" s="165" t="s">
        <v>11703</v>
      </c>
      <c r="D14" s="166">
        <v>1588</v>
      </c>
      <c r="E14" s="175" t="s">
        <v>37</v>
      </c>
      <c r="F14" s="182">
        <f>D14*$D$7</f>
        <v>38191.4</v>
      </c>
      <c r="G14" s="170">
        <f>D14*$D$6</f>
        <v>53753.8</v>
      </c>
      <c r="H14" s="170">
        <f>D14*$D$5</f>
        <v>53992</v>
      </c>
      <c r="I14" s="170">
        <f>G14-H14</f>
        <v>-238.19999999999709</v>
      </c>
      <c r="J14" s="176">
        <f>D14*$D$8</f>
        <v>176.268</v>
      </c>
      <c r="K14" s="170">
        <f>J14*$D$9</f>
        <v>1586.412</v>
      </c>
      <c r="L14" s="245">
        <f>J14*($D$5-$D$7)</f>
        <v>1753.8665999999998</v>
      </c>
      <c r="M14" s="257"/>
      <c r="N14" s="251">
        <v>0</v>
      </c>
    </row>
    <row r="15" spans="3:14">
      <c r="C15" s="165" t="s">
        <v>11703</v>
      </c>
      <c r="D15" s="166">
        <v>3073</v>
      </c>
      <c r="E15" s="175" t="s">
        <v>37</v>
      </c>
      <c r="F15" s="182">
        <f>D15*$D$7</f>
        <v>73905.650000000009</v>
      </c>
      <c r="G15" s="170">
        <f>D15*$D$6</f>
        <v>104021.05</v>
      </c>
      <c r="H15" s="170">
        <f>D15*$D$5</f>
        <v>104482</v>
      </c>
      <c r="I15" s="170">
        <f>G15-H15</f>
        <v>-460.94999999999709</v>
      </c>
      <c r="J15" s="176">
        <f>D15*$D$8</f>
        <v>341.10300000000001</v>
      </c>
      <c r="K15" s="170">
        <f>J15*$D$9</f>
        <v>3069.9270000000001</v>
      </c>
      <c r="L15" s="245">
        <f>J15*($D$5-$D$7)</f>
        <v>3393.9748500000001</v>
      </c>
      <c r="M15" s="257"/>
      <c r="N15" s="251">
        <v>0</v>
      </c>
    </row>
    <row r="16" spans="3:14">
      <c r="C16" s="165" t="s">
        <v>11704</v>
      </c>
      <c r="D16" s="166">
        <v>684</v>
      </c>
      <c r="E16" s="175" t="s">
        <v>37</v>
      </c>
      <c r="F16" s="182">
        <f>D16*$D$7</f>
        <v>16450.2</v>
      </c>
      <c r="G16" s="170">
        <f>D16*$D$6</f>
        <v>23153.4</v>
      </c>
      <c r="H16" s="170">
        <f>D16*$D$5</f>
        <v>23256</v>
      </c>
      <c r="I16" s="170">
        <f>G16-H16</f>
        <v>-102.59999999999854</v>
      </c>
      <c r="J16" s="176">
        <f>D16*$D$8</f>
        <v>75.924000000000007</v>
      </c>
      <c r="K16" s="170">
        <f>J16*$D$9</f>
        <v>683.31600000000003</v>
      </c>
      <c r="L16" s="245">
        <f>J16*($D$5-$D$7)</f>
        <v>755.44380000000001</v>
      </c>
      <c r="M16" s="257"/>
      <c r="N16" s="251">
        <v>0</v>
      </c>
    </row>
    <row r="17" spans="3:14">
      <c r="C17" s="178" t="s">
        <v>11705</v>
      </c>
      <c r="D17" s="179"/>
      <c r="E17" s="180"/>
      <c r="F17" s="180">
        <f>SUM(F13:F16)</f>
        <v>150027.25000000003</v>
      </c>
      <c r="G17" s="180">
        <f t="shared" ref="G17:N17" si="0">SUM(G13:G16)</f>
        <v>231808.25</v>
      </c>
      <c r="H17" s="180">
        <f t="shared" si="0"/>
        <v>233060</v>
      </c>
      <c r="I17" s="180">
        <f t="shared" si="0"/>
        <v>-1251.7499999999927</v>
      </c>
      <c r="J17" s="181">
        <f t="shared" si="0"/>
        <v>926.29500000000007</v>
      </c>
      <c r="K17" s="180">
        <f t="shared" si="0"/>
        <v>8336.6550000000007</v>
      </c>
      <c r="L17" s="246">
        <f t="shared" si="0"/>
        <v>9216.6352499999994</v>
      </c>
      <c r="M17" s="258"/>
      <c r="N17" s="252">
        <f t="shared" si="0"/>
        <v>51278.67</v>
      </c>
    </row>
    <row r="18" spans="3:14">
      <c r="C18" s="165" t="s">
        <v>11702</v>
      </c>
      <c r="D18" s="166">
        <v>0</v>
      </c>
      <c r="E18" s="170">
        <v>9.75</v>
      </c>
      <c r="F18" s="170">
        <f>D18*($D$7-E18)</f>
        <v>0</v>
      </c>
      <c r="G18" s="170">
        <f>D18*($D$6-E18)</f>
        <v>0</v>
      </c>
      <c r="H18" s="170">
        <f>D18*($D$5-E18)</f>
        <v>0</v>
      </c>
      <c r="I18" s="170">
        <f>G18-H18</f>
        <v>0</v>
      </c>
      <c r="J18" s="176">
        <f>D18*$D$8</f>
        <v>0</v>
      </c>
      <c r="K18" s="170">
        <f>J18*$D$9</f>
        <v>0</v>
      </c>
      <c r="L18" s="245">
        <f>J18*($D$5-$D$7)</f>
        <v>0</v>
      </c>
      <c r="M18" s="257"/>
      <c r="N18" s="251">
        <f>K18*($D$5-E18)</f>
        <v>0</v>
      </c>
    </row>
    <row r="19" spans="3:14">
      <c r="C19" s="165"/>
      <c r="D19" s="166">
        <v>1000</v>
      </c>
      <c r="E19" s="170">
        <v>19.11</v>
      </c>
      <c r="F19" s="170">
        <f>D19*($D$7-E19)</f>
        <v>4940.0000000000009</v>
      </c>
      <c r="G19" s="170">
        <f>D19*($D$6-E19)</f>
        <v>14740.000000000002</v>
      </c>
      <c r="H19" s="170">
        <f>D19*($D$5-E19)</f>
        <v>14890</v>
      </c>
      <c r="I19" s="170">
        <f>G19-H19</f>
        <v>-149.99999999999818</v>
      </c>
      <c r="J19" s="176">
        <f>D19*$D$8</f>
        <v>111</v>
      </c>
      <c r="K19" s="170">
        <f>J19*$D$9</f>
        <v>999</v>
      </c>
      <c r="L19" s="245">
        <f>J19*($D$5-$D$7)</f>
        <v>1104.4499999999998</v>
      </c>
      <c r="M19" s="257"/>
      <c r="N19" s="251">
        <f>K19*($D$5-E19)</f>
        <v>14875.11</v>
      </c>
    </row>
    <row r="20" spans="3:14">
      <c r="C20" s="165"/>
      <c r="D20" s="166">
        <v>1250</v>
      </c>
      <c r="E20" s="170">
        <v>15.18</v>
      </c>
      <c r="F20" s="170">
        <f>D20*($D$7-E20)</f>
        <v>11087.500000000002</v>
      </c>
      <c r="G20" s="170">
        <f>D20*($D$6-E20)</f>
        <v>23337.500000000004</v>
      </c>
      <c r="H20" s="170">
        <f>D20*($D$5-E20)</f>
        <v>23525</v>
      </c>
      <c r="I20" s="170">
        <f>G20-H20</f>
        <v>-187.49999999999636</v>
      </c>
      <c r="J20" s="176">
        <f>D20*$D$8</f>
        <v>138.75</v>
      </c>
      <c r="K20" s="170">
        <f>J20*$D$9</f>
        <v>1248.75</v>
      </c>
      <c r="L20" s="245">
        <f>J20*($D$5-$D$7)</f>
        <v>1380.5625</v>
      </c>
      <c r="M20" s="257"/>
      <c r="N20" s="251">
        <f>K20*($D$5-E20)</f>
        <v>23501.474999999999</v>
      </c>
    </row>
    <row r="21" spans="3:14">
      <c r="C21" s="165" t="s">
        <v>11703</v>
      </c>
      <c r="D21" s="166">
        <v>737</v>
      </c>
      <c r="E21" s="175" t="s">
        <v>37</v>
      </c>
      <c r="F21" s="182">
        <f>D21*$D$7</f>
        <v>17724.850000000002</v>
      </c>
      <c r="G21" s="170">
        <f>D21*$D$6</f>
        <v>24947.45</v>
      </c>
      <c r="H21" s="170">
        <f>D21*$D$5</f>
        <v>25058</v>
      </c>
      <c r="I21" s="170">
        <f>G21-H21</f>
        <v>-110.54999999999927</v>
      </c>
      <c r="J21" s="176">
        <f>D21*$D$8</f>
        <v>81.807000000000002</v>
      </c>
      <c r="K21" s="170">
        <f>J21*$D$9</f>
        <v>736.26300000000003</v>
      </c>
      <c r="L21" s="245">
        <f>J21*($D$5-$D$7)</f>
        <v>813.97964999999999</v>
      </c>
      <c r="M21" s="257"/>
      <c r="N21" s="251">
        <v>0</v>
      </c>
    </row>
    <row r="22" spans="3:14">
      <c r="C22" s="165" t="s">
        <v>11706</v>
      </c>
      <c r="D22" s="166">
        <v>4428</v>
      </c>
      <c r="E22" s="175"/>
      <c r="F22" s="182">
        <f>D22*$D$7</f>
        <v>106493.40000000001</v>
      </c>
      <c r="G22" s="170">
        <f>D22*$D$6</f>
        <v>149887.80000000002</v>
      </c>
      <c r="H22" s="170">
        <f>D22*$D$5</f>
        <v>150552</v>
      </c>
      <c r="I22" s="170">
        <f>E22*$D$5</f>
        <v>0</v>
      </c>
      <c r="J22" s="176">
        <f>D22*$D$8</f>
        <v>491.50799999999998</v>
      </c>
      <c r="K22" s="170">
        <f>J22*$D$9</f>
        <v>4423.5720000000001</v>
      </c>
      <c r="L22" s="245">
        <f>J22*($D$5-$D$7)</f>
        <v>4890.5045999999993</v>
      </c>
      <c r="M22" s="257"/>
      <c r="N22" s="251"/>
    </row>
    <row r="23" spans="3:14">
      <c r="C23" s="178" t="s">
        <v>11707</v>
      </c>
      <c r="D23" s="179"/>
      <c r="E23" s="180"/>
      <c r="F23" s="180">
        <f>SUM(F20:F22)</f>
        <v>135305.75</v>
      </c>
      <c r="G23" s="180">
        <f t="shared" ref="G23:N23" si="1">SUM(G20:G22)</f>
        <v>198172.75000000003</v>
      </c>
      <c r="H23" s="180">
        <f t="shared" si="1"/>
        <v>199135</v>
      </c>
      <c r="I23" s="180">
        <f t="shared" si="1"/>
        <v>-298.04999999999563</v>
      </c>
      <c r="J23" s="181">
        <f t="shared" si="1"/>
        <v>712.06500000000005</v>
      </c>
      <c r="K23" s="180">
        <f t="shared" si="1"/>
        <v>6408.585</v>
      </c>
      <c r="L23" s="246">
        <f t="shared" si="1"/>
        <v>7085.0467499999995</v>
      </c>
      <c r="M23" s="258"/>
      <c r="N23" s="252">
        <f t="shared" si="1"/>
        <v>23501.474999999999</v>
      </c>
    </row>
    <row r="24" spans="3:14">
      <c r="C24" s="171" t="s">
        <v>244</v>
      </c>
      <c r="D24" s="172"/>
      <c r="E24" s="173"/>
      <c r="F24" s="173">
        <f t="shared" ref="F24:N24" si="2">F17+F23</f>
        <v>285333</v>
      </c>
      <c r="G24" s="173">
        <f t="shared" si="2"/>
        <v>429981</v>
      </c>
      <c r="H24" s="173">
        <f t="shared" si="2"/>
        <v>432195</v>
      </c>
      <c r="I24" s="173">
        <f t="shared" si="2"/>
        <v>-1549.7999999999884</v>
      </c>
      <c r="J24" s="177">
        <f t="shared" si="2"/>
        <v>1638.3600000000001</v>
      </c>
      <c r="K24" s="173">
        <f t="shared" si="2"/>
        <v>14745.240000000002</v>
      </c>
      <c r="L24" s="247">
        <f t="shared" si="2"/>
        <v>16301.681999999999</v>
      </c>
      <c r="M24" s="258"/>
      <c r="N24" s="253">
        <f t="shared" si="2"/>
        <v>74780.14499999999</v>
      </c>
    </row>
    <row r="25" spans="3:14">
      <c r="C25" s="183" t="s">
        <v>11708</v>
      </c>
      <c r="D25" s="184"/>
      <c r="E25" s="184"/>
      <c r="F25" s="184"/>
      <c r="G25" s="185">
        <f>G24-F24</f>
        <v>144648</v>
      </c>
      <c r="H25" s="185">
        <f>H24-F24</f>
        <v>146862</v>
      </c>
      <c r="I25" s="184"/>
      <c r="J25" s="184"/>
      <c r="K25" s="184"/>
      <c r="L25" s="248"/>
      <c r="N25" s="254">
        <f>F14+F21</f>
        <v>55916.25</v>
      </c>
    </row>
    <row r="26" spans="3:14">
      <c r="C26" s="235" t="s">
        <v>11709</v>
      </c>
      <c r="D26" s="236"/>
      <c r="E26" s="236"/>
      <c r="F26" s="237">
        <f>F24/2</f>
        <v>142666.5</v>
      </c>
      <c r="G26" s="237">
        <f>G24/2</f>
        <v>214990.5</v>
      </c>
      <c r="H26" s="237">
        <f>H24/2</f>
        <v>216097.5</v>
      </c>
      <c r="I26" s="236"/>
      <c r="J26" s="236"/>
      <c r="K26" s="237">
        <f>K24/2</f>
        <v>7372.6200000000008</v>
      </c>
      <c r="L26" s="249">
        <f>L24/2</f>
        <v>8150.8409999999994</v>
      </c>
      <c r="M26" s="243"/>
      <c r="N26" s="255">
        <f>N24/2</f>
        <v>37390.072499999995</v>
      </c>
    </row>
    <row r="27" spans="3:14">
      <c r="C27" s="265" t="s">
        <v>11710</v>
      </c>
      <c r="D27" s="266"/>
      <c r="E27" s="266"/>
      <c r="F27" s="267"/>
      <c r="G27" s="267"/>
      <c r="H27" s="267">
        <f>H16 + H22</f>
        <v>173808</v>
      </c>
      <c r="I27" s="266"/>
      <c r="J27" s="266"/>
      <c r="K27" s="267"/>
      <c r="L27" s="267"/>
      <c r="M27" s="243"/>
      <c r="N27" s="267"/>
    </row>
    <row r="28" spans="3:14">
      <c r="C28" s="174" t="s">
        <v>11711</v>
      </c>
      <c r="H28" s="243">
        <f>H16 + H22  -F16-F22</f>
        <v>50864.39999999998</v>
      </c>
    </row>
    <row r="29" spans="3:14">
      <c r="C29" s="174" t="s">
        <v>11712</v>
      </c>
      <c r="H29" s="243">
        <f>H28/J24</f>
        <v>31.045923972753226</v>
      </c>
    </row>
    <row r="30" spans="3:14">
      <c r="C30" s="174" t="s">
        <v>11713</v>
      </c>
      <c r="H30" s="259">
        <f>(H29-D9)/D9</f>
        <v>2.4495471080836917</v>
      </c>
    </row>
    <row r="33" spans="4:8">
      <c r="G33" s="243">
        <f>H27</f>
        <v>173808</v>
      </c>
      <c r="H33" s="268">
        <v>146663</v>
      </c>
    </row>
    <row r="34" spans="4:8">
      <c r="F34" s="167" t="s">
        <v>11714</v>
      </c>
      <c r="H34" s="243">
        <f>G33-H33</f>
        <v>27145</v>
      </c>
    </row>
    <row r="36" spans="4:8">
      <c r="G36" s="167" t="s">
        <v>241</v>
      </c>
    </row>
    <row r="37" spans="4:8">
      <c r="D37" s="167">
        <v>1113</v>
      </c>
      <c r="E37" s="167">
        <v>28.5</v>
      </c>
      <c r="F37" s="167">
        <f t="shared" ref="F37:F44" si="3">D37*E37</f>
        <v>31720.5</v>
      </c>
    </row>
    <row r="38" spans="4:8">
      <c r="D38" s="167">
        <v>1113</v>
      </c>
      <c r="E38" s="167">
        <v>28.4</v>
      </c>
      <c r="F38" s="167">
        <f t="shared" si="3"/>
        <v>31609.199999999997</v>
      </c>
      <c r="G38" s="167">
        <f>$F$37-F38</f>
        <v>111.30000000000291</v>
      </c>
    </row>
    <row r="39" spans="4:8">
      <c r="D39" s="167">
        <v>1113</v>
      </c>
      <c r="E39" s="167">
        <v>28.2</v>
      </c>
      <c r="F39" s="167">
        <f t="shared" si="3"/>
        <v>31386.6</v>
      </c>
      <c r="G39" s="167">
        <f t="shared" ref="G39:G44" si="4">$F$37-F39</f>
        <v>333.90000000000146</v>
      </c>
    </row>
    <row r="40" spans="4:8">
      <c r="D40" s="167">
        <v>1113</v>
      </c>
      <c r="E40" s="167">
        <v>28</v>
      </c>
      <c r="F40" s="167">
        <f t="shared" si="3"/>
        <v>31164</v>
      </c>
      <c r="G40" s="167">
        <f t="shared" si="4"/>
        <v>556.5</v>
      </c>
    </row>
    <row r="41" spans="4:8">
      <c r="D41" s="167">
        <v>1113</v>
      </c>
      <c r="E41" s="167">
        <v>28.75</v>
      </c>
      <c r="F41" s="167">
        <f t="shared" si="3"/>
        <v>31998.75</v>
      </c>
      <c r="G41" s="167">
        <f t="shared" si="4"/>
        <v>-278.25</v>
      </c>
    </row>
    <row r="42" spans="4:8">
      <c r="D42" s="167">
        <v>1113</v>
      </c>
      <c r="E42" s="167">
        <v>29</v>
      </c>
      <c r="F42" s="167">
        <f t="shared" si="3"/>
        <v>32277</v>
      </c>
      <c r="G42" s="167">
        <f t="shared" si="4"/>
        <v>-556.5</v>
      </c>
    </row>
    <row r="43" spans="4:8">
      <c r="D43" s="167">
        <v>1113</v>
      </c>
      <c r="E43" s="167">
        <v>29.5</v>
      </c>
      <c r="F43" s="167">
        <f t="shared" si="3"/>
        <v>32833.5</v>
      </c>
      <c r="G43" s="167">
        <f t="shared" si="4"/>
        <v>-1113</v>
      </c>
    </row>
    <row r="44" spans="4:8">
      <c r="D44" s="167">
        <v>1113</v>
      </c>
      <c r="E44" s="167">
        <v>30</v>
      </c>
      <c r="F44" s="167">
        <f t="shared" si="3"/>
        <v>33390</v>
      </c>
      <c r="G44" s="167">
        <f t="shared" si="4"/>
        <v>-1669.5</v>
      </c>
    </row>
  </sheetData>
  <pageMargins left="0.75" right="0.75" top="1" bottom="1" header="0.5" footer="0.5"/>
  <pageSetup orientation="portrait" horizontalDpi="4294967292" verticalDpi="429496729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6"/>
  <dimension ref="A1:Q102"/>
  <sheetViews>
    <sheetView topLeftCell="AO28" zoomScale="70" zoomScaleNormal="70" zoomScalePageLayoutView="70" workbookViewId="0">
      <selection activeCell="J147" sqref="J147"/>
    </sheetView>
  </sheetViews>
  <sheetFormatPr defaultColWidth="8.85546875" defaultRowHeight="15"/>
  <cols>
    <col min="1" max="1" width="8.85546875" style="99"/>
    <col min="2" max="2" width="32.28515625" style="100" customWidth="1"/>
    <col min="3" max="3" width="16.42578125" style="101" customWidth="1"/>
    <col min="4" max="4" width="13" style="101" customWidth="1"/>
    <col min="5" max="5" width="13.42578125" style="101" customWidth="1"/>
    <col min="6" max="6" width="12" style="101" customWidth="1"/>
    <col min="7" max="7" width="12.7109375" style="100" customWidth="1"/>
    <col min="8" max="8" width="12.140625" style="102" customWidth="1"/>
    <col min="9" max="9" width="14.42578125" style="112" customWidth="1"/>
    <col min="10" max="10" width="16.140625" style="112" customWidth="1"/>
    <col min="11" max="15" width="16.28515625" style="100" customWidth="1"/>
    <col min="16" max="16" width="14.28515625" style="100" customWidth="1"/>
    <col min="17" max="17" width="12.140625" style="100" customWidth="1"/>
    <col min="18" max="16384" width="8.85546875" style="100"/>
  </cols>
  <sheetData>
    <row r="1" spans="1:6" ht="18.75" customHeight="1">
      <c r="A1" s="233" t="s">
        <v>11715</v>
      </c>
      <c r="B1" s="234" t="s">
        <v>387</v>
      </c>
      <c r="C1" s="234" t="s">
        <v>11716</v>
      </c>
      <c r="D1" s="234" t="s">
        <v>11717</v>
      </c>
      <c r="E1" s="234" t="s">
        <v>280</v>
      </c>
      <c r="F1" s="234" t="s">
        <v>244</v>
      </c>
    </row>
    <row r="2" spans="1:6" s="107" customFormat="1">
      <c r="A2" s="158" t="s">
        <v>11718</v>
      </c>
      <c r="B2" s="159">
        <f>276*52</f>
        <v>14352</v>
      </c>
      <c r="C2" s="159">
        <v>0</v>
      </c>
      <c r="D2" s="159">
        <v>0</v>
      </c>
      <c r="E2" s="159"/>
      <c r="F2" s="159">
        <f t="shared" ref="F2:F7" si="0">B2+C2+D2+E2</f>
        <v>14352</v>
      </c>
    </row>
    <row r="3" spans="1:6" s="107" customFormat="1">
      <c r="A3" s="158" t="s">
        <v>11719</v>
      </c>
      <c r="B3" s="159">
        <v>6525</v>
      </c>
      <c r="C3" s="159">
        <v>3500</v>
      </c>
      <c r="D3" s="159">
        <f>300*10</f>
        <v>3000</v>
      </c>
      <c r="E3" s="159">
        <v>600</v>
      </c>
      <c r="F3" s="159">
        <f t="shared" si="0"/>
        <v>13625</v>
      </c>
    </row>
    <row r="4" spans="1:6" s="104" customFormat="1">
      <c r="A4" s="158" t="s">
        <v>11720</v>
      </c>
      <c r="B4" s="159">
        <v>11720</v>
      </c>
      <c r="C4" s="159">
        <v>4500</v>
      </c>
      <c r="D4" s="159">
        <f>300*10</f>
        <v>3000</v>
      </c>
      <c r="E4" s="159"/>
      <c r="F4" s="159">
        <f t="shared" si="0"/>
        <v>19220</v>
      </c>
    </row>
    <row r="5" spans="1:6" s="104" customFormat="1">
      <c r="A5" s="158" t="s">
        <v>11721</v>
      </c>
      <c r="B5" s="159">
        <v>12700</v>
      </c>
      <c r="C5" s="159">
        <v>4500</v>
      </c>
      <c r="D5" s="159">
        <f>300*10</f>
        <v>3000</v>
      </c>
      <c r="E5" s="159"/>
      <c r="F5" s="159">
        <f t="shared" si="0"/>
        <v>20200</v>
      </c>
    </row>
    <row r="6" spans="1:6">
      <c r="A6" s="158" t="s">
        <v>11722</v>
      </c>
      <c r="B6" s="159">
        <v>5360</v>
      </c>
      <c r="C6" s="159">
        <v>7980</v>
      </c>
      <c r="D6" s="159">
        <f>300*10</f>
        <v>3000</v>
      </c>
      <c r="E6" s="159"/>
      <c r="F6" s="159">
        <f t="shared" si="0"/>
        <v>16340</v>
      </c>
    </row>
    <row r="7" spans="1:6">
      <c r="A7" s="158" t="s">
        <v>11723</v>
      </c>
      <c r="B7" s="159">
        <v>8185</v>
      </c>
      <c r="C7" s="159">
        <v>3625</v>
      </c>
      <c r="D7" s="159">
        <f>300*10</f>
        <v>3000</v>
      </c>
      <c r="E7" s="159">
        <v>300</v>
      </c>
      <c r="F7" s="159">
        <f t="shared" si="0"/>
        <v>15110</v>
      </c>
    </row>
    <row r="8" spans="1:6">
      <c r="A8" s="100"/>
      <c r="B8" s="101"/>
      <c r="F8" s="100"/>
    </row>
    <row r="9" spans="1:6">
      <c r="A9" s="100"/>
      <c r="B9" s="101"/>
      <c r="F9" s="100"/>
    </row>
    <row r="10" spans="1:6">
      <c r="A10" s="233" t="s">
        <v>11724</v>
      </c>
      <c r="B10" s="234" t="s">
        <v>11725</v>
      </c>
      <c r="C10" s="234" t="s">
        <v>11726</v>
      </c>
      <c r="D10" s="234" t="s">
        <v>11727</v>
      </c>
      <c r="E10" s="234" t="s">
        <v>11728</v>
      </c>
      <c r="F10" s="100"/>
    </row>
    <row r="11" spans="1:6">
      <c r="A11" s="226" t="s">
        <v>11729</v>
      </c>
      <c r="B11" s="227" t="s">
        <v>11730</v>
      </c>
      <c r="C11" s="227" t="s">
        <v>11731</v>
      </c>
      <c r="D11" s="227">
        <f>F2+F3</f>
        <v>27977</v>
      </c>
      <c r="E11" s="228">
        <f>D11/52</f>
        <v>538.01923076923072</v>
      </c>
      <c r="F11" s="100"/>
    </row>
    <row r="12" spans="1:6">
      <c r="A12" s="160" t="s">
        <v>11732</v>
      </c>
      <c r="B12" s="161" t="s">
        <v>11733</v>
      </c>
      <c r="C12" s="161" t="s">
        <v>11734</v>
      </c>
      <c r="D12" s="161">
        <f>F3+F6</f>
        <v>29965</v>
      </c>
      <c r="E12" s="229">
        <f>D12/52</f>
        <v>576.25</v>
      </c>
      <c r="F12" s="100"/>
    </row>
    <row r="13" spans="1:6">
      <c r="A13" s="230" t="s">
        <v>11735</v>
      </c>
      <c r="B13" s="231" t="s">
        <v>11733</v>
      </c>
      <c r="C13" s="231" t="s">
        <v>11736</v>
      </c>
      <c r="D13" s="231">
        <f>F3+F7</f>
        <v>28735</v>
      </c>
      <c r="E13" s="232">
        <f>D13/52</f>
        <v>552.59615384615381</v>
      </c>
      <c r="F13" s="100"/>
    </row>
    <row r="14" spans="1:6">
      <c r="A14" s="162" t="s">
        <v>11737</v>
      </c>
      <c r="B14" s="163" t="s">
        <v>11730</v>
      </c>
      <c r="C14" s="163" t="s">
        <v>11738</v>
      </c>
      <c r="D14" s="163">
        <f>F3+F4</f>
        <v>32845</v>
      </c>
      <c r="E14" s="164">
        <f>D14/52</f>
        <v>631.63461538461536</v>
      </c>
      <c r="F14" s="100"/>
    </row>
    <row r="15" spans="1:6">
      <c r="A15" s="162" t="s">
        <v>11739</v>
      </c>
      <c r="B15" s="163" t="s">
        <v>11738</v>
      </c>
      <c r="C15" s="163" t="s">
        <v>11738</v>
      </c>
      <c r="D15" s="163">
        <f>F4+F5</f>
        <v>39420</v>
      </c>
      <c r="E15" s="164">
        <f>D15/52</f>
        <v>758.07692307692309</v>
      </c>
      <c r="F15" s="100"/>
    </row>
    <row r="18" spans="1:17" ht="18.75" customHeight="1">
      <c r="B18" s="100" t="s">
        <v>11715</v>
      </c>
      <c r="C18" s="101" t="s">
        <v>387</v>
      </c>
      <c r="D18" s="101" t="s">
        <v>11716</v>
      </c>
      <c r="E18" s="101" t="s">
        <v>11717</v>
      </c>
      <c r="F18" s="101" t="s">
        <v>244</v>
      </c>
      <c r="G18" s="101" t="s">
        <v>11740</v>
      </c>
      <c r="H18" s="100" t="s">
        <v>11741</v>
      </c>
      <c r="I18" s="100" t="s">
        <v>11742</v>
      </c>
      <c r="J18" s="100" t="s">
        <v>11743</v>
      </c>
      <c r="K18" s="100" t="s">
        <v>11742</v>
      </c>
      <c r="L18" s="100" t="s">
        <v>11744</v>
      </c>
      <c r="M18" s="100" t="s">
        <v>11745</v>
      </c>
      <c r="N18" s="100" t="s">
        <v>11746</v>
      </c>
      <c r="O18" s="100" t="s">
        <v>11747</v>
      </c>
      <c r="P18" s="100" t="s">
        <v>11748</v>
      </c>
      <c r="Q18" s="100" t="s">
        <v>11749</v>
      </c>
    </row>
    <row r="19" spans="1:17">
      <c r="H19" s="100"/>
      <c r="I19" s="100"/>
      <c r="J19" s="100"/>
    </row>
    <row r="20" spans="1:17" s="106" customFormat="1">
      <c r="A20" s="103">
        <v>1</v>
      </c>
      <c r="B20" s="104" t="s">
        <v>11750</v>
      </c>
      <c r="C20" s="105">
        <v>14000</v>
      </c>
      <c r="D20" s="105">
        <v>4100</v>
      </c>
      <c r="E20" s="105">
        <f>325*13</f>
        <v>4225</v>
      </c>
      <c r="F20" s="105">
        <f t="shared" ref="F20:F34" si="1">C20+D20+E20</f>
        <v>22325</v>
      </c>
      <c r="G20" s="104">
        <f t="shared" ref="G20:G34" si="2">F20+$C$36</f>
        <v>37982</v>
      </c>
      <c r="H20" s="100">
        <f t="shared" ref="H20:H34" si="3">G20-$G$23</f>
        <v>7713</v>
      </c>
      <c r="I20" s="100">
        <f t="shared" ref="I20:I34" si="4">G20-$G$25</f>
        <v>6185</v>
      </c>
      <c r="J20" s="100">
        <f>F20*2</f>
        <v>44650</v>
      </c>
      <c r="K20" s="100">
        <f>J20-$J$25</f>
        <v>12370</v>
      </c>
      <c r="L20" s="100"/>
      <c r="M20" s="100"/>
      <c r="N20" s="100"/>
      <c r="O20" s="100"/>
      <c r="P20" s="100">
        <f>K20*9</f>
        <v>111330</v>
      </c>
      <c r="Q20" s="150">
        <f>F20/52</f>
        <v>429.32692307692309</v>
      </c>
    </row>
    <row r="21" spans="1:17" s="106" customFormat="1">
      <c r="A21" s="103" t="s">
        <v>11751</v>
      </c>
      <c r="B21" s="104" t="s">
        <v>11752</v>
      </c>
      <c r="C21" s="105">
        <v>14000</v>
      </c>
      <c r="D21" s="105">
        <v>3350</v>
      </c>
      <c r="E21" s="105">
        <f>325*13</f>
        <v>4225</v>
      </c>
      <c r="F21" s="105">
        <f t="shared" si="1"/>
        <v>21575</v>
      </c>
      <c r="G21" s="104">
        <f t="shared" si="2"/>
        <v>37232</v>
      </c>
      <c r="H21" s="100">
        <f t="shared" si="3"/>
        <v>6963</v>
      </c>
      <c r="I21" s="100">
        <f t="shared" si="4"/>
        <v>5435</v>
      </c>
      <c r="J21" s="100">
        <f>F21*2</f>
        <v>43150</v>
      </c>
      <c r="K21" s="100">
        <f>J21-$J$25</f>
        <v>10870</v>
      </c>
      <c r="L21" s="100"/>
      <c r="M21" s="100"/>
      <c r="N21" s="100"/>
      <c r="O21" s="100"/>
      <c r="P21" s="100">
        <f>K21*9</f>
        <v>97830</v>
      </c>
      <c r="Q21" s="150">
        <f t="shared" ref="Q21:Q34" si="5">F21/52</f>
        <v>414.90384615384613</v>
      </c>
    </row>
    <row r="22" spans="1:17" s="104" customFormat="1">
      <c r="A22" s="103">
        <v>2</v>
      </c>
      <c r="B22" s="104" t="s">
        <v>11753</v>
      </c>
      <c r="C22" s="105">
        <v>10760</v>
      </c>
      <c r="D22" s="105">
        <v>5300</v>
      </c>
      <c r="E22" s="105">
        <f>260*13</f>
        <v>3380</v>
      </c>
      <c r="F22" s="105">
        <f t="shared" si="1"/>
        <v>19440</v>
      </c>
      <c r="G22" s="104">
        <f t="shared" si="2"/>
        <v>35097</v>
      </c>
      <c r="H22" s="100">
        <f t="shared" si="3"/>
        <v>4828</v>
      </c>
      <c r="I22" s="100">
        <f t="shared" si="4"/>
        <v>3300</v>
      </c>
      <c r="J22" s="100">
        <f>F22*2</f>
        <v>38880</v>
      </c>
      <c r="K22" s="100">
        <f>J22-$J$25</f>
        <v>6600</v>
      </c>
      <c r="L22" s="100"/>
      <c r="M22" s="100"/>
      <c r="N22" s="100"/>
      <c r="O22" s="100"/>
      <c r="P22" s="100">
        <f>K22*9</f>
        <v>59400</v>
      </c>
      <c r="Q22" s="150">
        <f t="shared" si="5"/>
        <v>373.84615384615387</v>
      </c>
    </row>
    <row r="23" spans="1:17" s="107" customFormat="1">
      <c r="A23" s="132">
        <v>5</v>
      </c>
      <c r="B23" s="133" t="s">
        <v>11718</v>
      </c>
      <c r="C23" s="134">
        <f>281*52</f>
        <v>14612</v>
      </c>
      <c r="D23" s="134">
        <v>0</v>
      </c>
      <c r="E23" s="134">
        <v>0</v>
      </c>
      <c r="F23" s="134">
        <f t="shared" si="1"/>
        <v>14612</v>
      </c>
      <c r="G23" s="108">
        <f t="shared" si="2"/>
        <v>30269</v>
      </c>
      <c r="H23" s="133">
        <f t="shared" si="3"/>
        <v>0</v>
      </c>
      <c r="I23" s="133">
        <f t="shared" si="4"/>
        <v>-1528</v>
      </c>
      <c r="J23" s="135" t="s">
        <v>37</v>
      </c>
      <c r="K23" s="135" t="s">
        <v>310</v>
      </c>
      <c r="L23" s="135"/>
      <c r="M23" s="156">
        <f>F20+F25 - (281*12)</f>
        <v>35093</v>
      </c>
      <c r="N23" s="135"/>
      <c r="O23" s="135"/>
      <c r="P23" s="135" t="s">
        <v>37</v>
      </c>
      <c r="Q23" s="150">
        <f t="shared" si="5"/>
        <v>281</v>
      </c>
    </row>
    <row r="24" spans="1:17" s="107" customFormat="1">
      <c r="A24" s="103">
        <v>6</v>
      </c>
      <c r="B24" s="104" t="s">
        <v>11754</v>
      </c>
      <c r="C24" s="105">
        <v>16800</v>
      </c>
      <c r="D24" s="105">
        <v>0</v>
      </c>
      <c r="E24" s="105">
        <f t="shared" ref="E24:E34" si="6">325*13</f>
        <v>4225</v>
      </c>
      <c r="F24" s="105">
        <f t="shared" si="1"/>
        <v>21025</v>
      </c>
      <c r="G24" s="104">
        <f t="shared" si="2"/>
        <v>36682</v>
      </c>
      <c r="H24" s="100">
        <f t="shared" si="3"/>
        <v>6413</v>
      </c>
      <c r="I24" s="100">
        <f t="shared" si="4"/>
        <v>4885</v>
      </c>
      <c r="J24" s="100">
        <f t="shared" ref="J24:J34" si="7">F24*2</f>
        <v>42050</v>
      </c>
      <c r="K24" s="100">
        <f t="shared" ref="K24:K34" si="8">J24-$J$25</f>
        <v>9770</v>
      </c>
      <c r="L24" s="100"/>
      <c r="M24" s="100"/>
      <c r="N24" s="100"/>
      <c r="O24" s="100"/>
      <c r="P24" s="100">
        <f t="shared" ref="P24:P34" si="9">K24*9</f>
        <v>87930</v>
      </c>
      <c r="Q24" s="150">
        <f t="shared" si="5"/>
        <v>404.32692307692309</v>
      </c>
    </row>
    <row r="25" spans="1:17" s="107" customFormat="1">
      <c r="A25" s="137">
        <v>7</v>
      </c>
      <c r="B25" s="138" t="s">
        <v>11755</v>
      </c>
      <c r="C25" s="139">
        <v>4790</v>
      </c>
      <c r="D25" s="139">
        <f>7270 + 350 + 350</f>
        <v>7970</v>
      </c>
      <c r="E25" s="139">
        <f>260*13</f>
        <v>3380</v>
      </c>
      <c r="F25" s="139">
        <f t="shared" si="1"/>
        <v>16140</v>
      </c>
      <c r="G25" s="138">
        <f t="shared" si="2"/>
        <v>31797</v>
      </c>
      <c r="H25" s="138">
        <f t="shared" si="3"/>
        <v>1528</v>
      </c>
      <c r="I25" s="138">
        <f t="shared" si="4"/>
        <v>0</v>
      </c>
      <c r="J25" s="138">
        <f t="shared" si="7"/>
        <v>32280</v>
      </c>
      <c r="K25" s="138">
        <f t="shared" si="8"/>
        <v>0</v>
      </c>
      <c r="L25" s="138">
        <f>F25*2</f>
        <v>32280</v>
      </c>
      <c r="M25" s="138"/>
      <c r="N25" s="138"/>
      <c r="O25" s="138"/>
      <c r="P25" s="138">
        <f t="shared" si="9"/>
        <v>0</v>
      </c>
      <c r="Q25" s="150">
        <f t="shared" si="5"/>
        <v>310.38461538461536</v>
      </c>
    </row>
    <row r="26" spans="1:17">
      <c r="A26" s="109">
        <v>8</v>
      </c>
      <c r="B26" s="110" t="s">
        <v>11756</v>
      </c>
      <c r="C26" s="111">
        <v>3200</v>
      </c>
      <c r="D26" s="111">
        <f>260*10</f>
        <v>2600</v>
      </c>
      <c r="E26" s="111">
        <f t="shared" si="6"/>
        <v>4225</v>
      </c>
      <c r="F26" s="111">
        <f t="shared" si="1"/>
        <v>10025</v>
      </c>
      <c r="G26" s="136">
        <f t="shared" si="2"/>
        <v>25682</v>
      </c>
      <c r="H26" s="110">
        <f t="shared" si="3"/>
        <v>-4587</v>
      </c>
      <c r="I26" s="133">
        <f t="shared" si="4"/>
        <v>-6115</v>
      </c>
      <c r="J26" s="100">
        <f t="shared" si="7"/>
        <v>20050</v>
      </c>
      <c r="K26" s="133">
        <f t="shared" si="8"/>
        <v>-12230</v>
      </c>
      <c r="L26" s="133"/>
      <c r="M26" s="133"/>
      <c r="N26" s="133"/>
      <c r="O26" s="133"/>
      <c r="P26" s="100">
        <f t="shared" si="9"/>
        <v>-110070</v>
      </c>
      <c r="Q26" s="150">
        <f t="shared" si="5"/>
        <v>192.78846153846155</v>
      </c>
    </row>
    <row r="27" spans="1:17">
      <c r="A27" s="109">
        <v>9</v>
      </c>
      <c r="B27" s="110" t="s">
        <v>11757</v>
      </c>
      <c r="C27" s="111">
        <v>4000</v>
      </c>
      <c r="D27" s="111">
        <v>5000</v>
      </c>
      <c r="E27" s="111">
        <f t="shared" si="6"/>
        <v>4225</v>
      </c>
      <c r="F27" s="111">
        <f t="shared" si="1"/>
        <v>13225</v>
      </c>
      <c r="G27" s="136">
        <f t="shared" si="2"/>
        <v>28882</v>
      </c>
      <c r="H27" s="106">
        <f t="shared" si="3"/>
        <v>-1387</v>
      </c>
      <c r="I27" s="133">
        <f t="shared" si="4"/>
        <v>-2915</v>
      </c>
      <c r="J27" s="100">
        <f t="shared" si="7"/>
        <v>26450</v>
      </c>
      <c r="K27" s="133">
        <f t="shared" si="8"/>
        <v>-5830</v>
      </c>
      <c r="L27" s="133"/>
      <c r="M27" s="133"/>
      <c r="N27" s="133"/>
      <c r="O27" s="133"/>
      <c r="P27" s="100">
        <f t="shared" si="9"/>
        <v>-52470</v>
      </c>
      <c r="Q27" s="150">
        <f t="shared" si="5"/>
        <v>254.32692307692307</v>
      </c>
    </row>
    <row r="28" spans="1:17">
      <c r="A28" s="109">
        <v>10</v>
      </c>
      <c r="B28" s="110" t="s">
        <v>11758</v>
      </c>
      <c r="C28" s="111">
        <v>3000</v>
      </c>
      <c r="D28" s="111">
        <f>354*12</f>
        <v>4248</v>
      </c>
      <c r="E28" s="111">
        <f t="shared" si="6"/>
        <v>4225</v>
      </c>
      <c r="F28" s="111">
        <f t="shared" si="1"/>
        <v>11473</v>
      </c>
      <c r="G28" s="136">
        <f t="shared" si="2"/>
        <v>27130</v>
      </c>
      <c r="H28" s="110">
        <f t="shared" si="3"/>
        <v>-3139</v>
      </c>
      <c r="I28" s="133">
        <f t="shared" si="4"/>
        <v>-4667</v>
      </c>
      <c r="J28" s="100">
        <f t="shared" si="7"/>
        <v>22946</v>
      </c>
      <c r="K28" s="133">
        <f t="shared" si="8"/>
        <v>-9334</v>
      </c>
      <c r="L28" s="133"/>
      <c r="M28" s="133"/>
      <c r="N28" s="133"/>
      <c r="O28" s="133"/>
      <c r="P28" s="100">
        <f t="shared" si="9"/>
        <v>-84006</v>
      </c>
      <c r="Q28" s="150">
        <f t="shared" si="5"/>
        <v>220.63461538461539</v>
      </c>
    </row>
    <row r="29" spans="1:17">
      <c r="A29" s="103">
        <v>11</v>
      </c>
      <c r="B29" s="104" t="s">
        <v>11759</v>
      </c>
      <c r="C29" s="105">
        <v>19575</v>
      </c>
      <c r="D29" s="105"/>
      <c r="E29" s="105">
        <f t="shared" si="6"/>
        <v>4225</v>
      </c>
      <c r="F29" s="105">
        <f t="shared" si="1"/>
        <v>23800</v>
      </c>
      <c r="G29" s="104">
        <f t="shared" si="2"/>
        <v>39457</v>
      </c>
      <c r="H29" s="100">
        <f t="shared" si="3"/>
        <v>9188</v>
      </c>
      <c r="I29" s="100">
        <f t="shared" si="4"/>
        <v>7660</v>
      </c>
      <c r="J29" s="100">
        <f t="shared" si="7"/>
        <v>47600</v>
      </c>
      <c r="K29" s="100">
        <f t="shared" si="8"/>
        <v>15320</v>
      </c>
      <c r="P29" s="100">
        <f t="shared" si="9"/>
        <v>137880</v>
      </c>
      <c r="Q29" s="150">
        <f t="shared" si="5"/>
        <v>457.69230769230768</v>
      </c>
    </row>
    <row r="30" spans="1:17" s="106" customFormat="1">
      <c r="A30" s="103" t="s">
        <v>11760</v>
      </c>
      <c r="B30" s="104" t="s">
        <v>11761</v>
      </c>
      <c r="C30" s="105">
        <v>14000</v>
      </c>
      <c r="D30" s="105">
        <v>0</v>
      </c>
      <c r="E30" s="105">
        <f t="shared" si="6"/>
        <v>4225</v>
      </c>
      <c r="F30" s="105">
        <f t="shared" si="1"/>
        <v>18225</v>
      </c>
      <c r="G30" s="104">
        <f t="shared" si="2"/>
        <v>33882</v>
      </c>
      <c r="H30" s="100">
        <f t="shared" si="3"/>
        <v>3613</v>
      </c>
      <c r="I30" s="100">
        <f t="shared" si="4"/>
        <v>2085</v>
      </c>
      <c r="J30" s="100">
        <f t="shared" si="7"/>
        <v>36450</v>
      </c>
      <c r="K30" s="100">
        <f t="shared" si="8"/>
        <v>4170</v>
      </c>
      <c r="L30" s="100"/>
      <c r="M30" s="100"/>
      <c r="N30" s="100"/>
      <c r="O30" s="100"/>
      <c r="P30" s="100">
        <f t="shared" si="9"/>
        <v>37530</v>
      </c>
      <c r="Q30" s="150">
        <f t="shared" si="5"/>
        <v>350.48076923076923</v>
      </c>
    </row>
    <row r="31" spans="1:17" s="106" customFormat="1">
      <c r="A31" s="103" t="s">
        <v>11762</v>
      </c>
      <c r="B31" s="104" t="s">
        <v>11763</v>
      </c>
      <c r="C31" s="105">
        <v>14000</v>
      </c>
      <c r="D31" s="105">
        <v>2350</v>
      </c>
      <c r="E31" s="105">
        <f t="shared" si="6"/>
        <v>4225</v>
      </c>
      <c r="F31" s="105">
        <f t="shared" si="1"/>
        <v>20575</v>
      </c>
      <c r="G31" s="104">
        <f t="shared" si="2"/>
        <v>36232</v>
      </c>
      <c r="H31" s="100">
        <f t="shared" si="3"/>
        <v>5963</v>
      </c>
      <c r="I31" s="100">
        <f t="shared" si="4"/>
        <v>4435</v>
      </c>
      <c r="J31" s="100">
        <f t="shared" si="7"/>
        <v>41150</v>
      </c>
      <c r="K31" s="100">
        <f t="shared" si="8"/>
        <v>8870</v>
      </c>
      <c r="L31" s="100"/>
      <c r="M31" s="100"/>
      <c r="N31" s="157">
        <f>F32+F25</f>
        <v>36585</v>
      </c>
      <c r="O31" s="100"/>
      <c r="P31" s="100">
        <f t="shared" si="9"/>
        <v>79830</v>
      </c>
      <c r="Q31" s="150">
        <f t="shared" si="5"/>
        <v>395.67307692307691</v>
      </c>
    </row>
    <row r="32" spans="1:17" s="104" customFormat="1">
      <c r="A32" s="103" t="s">
        <v>11764</v>
      </c>
      <c r="B32" s="104" t="s">
        <v>11765</v>
      </c>
      <c r="C32" s="105">
        <v>11720</v>
      </c>
      <c r="D32" s="105">
        <v>4500</v>
      </c>
      <c r="E32" s="105">
        <f t="shared" si="6"/>
        <v>4225</v>
      </c>
      <c r="F32" s="105">
        <f t="shared" si="1"/>
        <v>20445</v>
      </c>
      <c r="G32" s="104">
        <f t="shared" si="2"/>
        <v>36102</v>
      </c>
      <c r="H32" s="100">
        <f t="shared" si="3"/>
        <v>5833</v>
      </c>
      <c r="I32" s="100">
        <f t="shared" si="4"/>
        <v>4305</v>
      </c>
      <c r="J32" s="100">
        <f t="shared" si="7"/>
        <v>40890</v>
      </c>
      <c r="K32" s="100">
        <f t="shared" si="8"/>
        <v>8610</v>
      </c>
      <c r="L32" s="100"/>
      <c r="M32" s="100"/>
      <c r="N32" s="100"/>
      <c r="O32" s="100"/>
      <c r="P32" s="100">
        <f t="shared" si="9"/>
        <v>77490</v>
      </c>
      <c r="Q32" s="150">
        <f t="shared" si="5"/>
        <v>393.17307692307691</v>
      </c>
    </row>
    <row r="33" spans="1:17" s="107" customFormat="1">
      <c r="A33" s="103">
        <v>4</v>
      </c>
      <c r="B33" s="104" t="s">
        <v>11766</v>
      </c>
      <c r="C33" s="105">
        <v>5900</v>
      </c>
      <c r="D33" s="105">
        <v>8000</v>
      </c>
      <c r="E33" s="105">
        <f t="shared" si="6"/>
        <v>4225</v>
      </c>
      <c r="F33" s="105">
        <f t="shared" si="1"/>
        <v>18125</v>
      </c>
      <c r="G33" s="104">
        <f t="shared" si="2"/>
        <v>33782</v>
      </c>
      <c r="H33" s="100">
        <f t="shared" si="3"/>
        <v>3513</v>
      </c>
      <c r="I33" s="100">
        <f t="shared" si="4"/>
        <v>1985</v>
      </c>
      <c r="J33" s="100">
        <f t="shared" si="7"/>
        <v>36250</v>
      </c>
      <c r="K33" s="100">
        <f t="shared" si="8"/>
        <v>3970</v>
      </c>
      <c r="L33" s="100"/>
      <c r="M33" s="100"/>
      <c r="N33" s="100"/>
      <c r="O33" s="157">
        <f>F34+F32</f>
        <v>41870</v>
      </c>
      <c r="P33" s="100">
        <f t="shared" si="9"/>
        <v>35730</v>
      </c>
      <c r="Q33" s="150">
        <f t="shared" si="5"/>
        <v>348.55769230769232</v>
      </c>
    </row>
    <row r="34" spans="1:17" s="104" customFormat="1">
      <c r="A34" s="103" t="s">
        <v>11767</v>
      </c>
      <c r="B34" s="104" t="s">
        <v>11768</v>
      </c>
      <c r="C34" s="105">
        <v>12700</v>
      </c>
      <c r="D34" s="105">
        <v>4500</v>
      </c>
      <c r="E34" s="105">
        <f t="shared" si="6"/>
        <v>4225</v>
      </c>
      <c r="F34" s="105">
        <f t="shared" si="1"/>
        <v>21425</v>
      </c>
      <c r="G34" s="104">
        <f t="shared" si="2"/>
        <v>37082</v>
      </c>
      <c r="H34" s="106">
        <f t="shared" si="3"/>
        <v>6813</v>
      </c>
      <c r="I34" s="100">
        <f t="shared" si="4"/>
        <v>5285</v>
      </c>
      <c r="J34" s="100">
        <f t="shared" si="7"/>
        <v>42850</v>
      </c>
      <c r="K34" s="100">
        <f t="shared" si="8"/>
        <v>10570</v>
      </c>
      <c r="L34" s="100"/>
      <c r="M34" s="100"/>
      <c r="N34" s="100"/>
      <c r="O34" s="100"/>
      <c r="P34" s="100">
        <f t="shared" si="9"/>
        <v>95130</v>
      </c>
      <c r="Q34" s="150">
        <f t="shared" si="5"/>
        <v>412.01923076923077</v>
      </c>
    </row>
    <row r="35" spans="1:17">
      <c r="A35" s="115"/>
      <c r="B35" s="116" t="s">
        <v>11726</v>
      </c>
      <c r="C35" s="117"/>
      <c r="H35" s="100"/>
      <c r="I35" s="101"/>
      <c r="J35" s="101"/>
    </row>
    <row r="36" spans="1:17">
      <c r="A36" s="115">
        <v>1</v>
      </c>
      <c r="B36" s="116" t="s">
        <v>11769</v>
      </c>
      <c r="C36" s="117">
        <f>307*51</f>
        <v>15657</v>
      </c>
      <c r="H36" s="100"/>
      <c r="I36" s="100"/>
      <c r="J36" s="100"/>
    </row>
    <row r="37" spans="1:17">
      <c r="A37" s="115"/>
      <c r="B37" s="116" t="s">
        <v>11770</v>
      </c>
      <c r="C37" s="117">
        <f>350*53</f>
        <v>18550</v>
      </c>
      <c r="H37" s="100"/>
      <c r="I37" s="100"/>
      <c r="J37" s="100"/>
    </row>
    <row r="38" spans="1:17">
      <c r="A38" s="115"/>
      <c r="B38" s="116" t="s">
        <v>11771</v>
      </c>
      <c r="C38" s="117">
        <v>-65000</v>
      </c>
      <c r="H38" s="100"/>
      <c r="I38" s="100"/>
      <c r="J38" s="100"/>
    </row>
    <row r="39" spans="1:17">
      <c r="A39" s="115"/>
      <c r="B39" s="116" t="s">
        <v>11772</v>
      </c>
      <c r="C39" s="118">
        <v>0.08</v>
      </c>
      <c r="H39" s="100"/>
      <c r="I39" s="100"/>
      <c r="J39" s="100"/>
    </row>
    <row r="40" spans="1:17" s="101" customFormat="1">
      <c r="A40" s="99"/>
      <c r="B40" s="105"/>
      <c r="C40" s="105" t="s">
        <v>11773</v>
      </c>
      <c r="D40" s="105" t="s">
        <v>11671</v>
      </c>
      <c r="E40" s="105" t="s">
        <v>11672</v>
      </c>
      <c r="F40" s="105" t="s">
        <v>11673</v>
      </c>
      <c r="G40" s="105" t="s">
        <v>11674</v>
      </c>
      <c r="H40" s="105" t="s">
        <v>11675</v>
      </c>
      <c r="I40" s="105" t="s">
        <v>11676</v>
      </c>
      <c r="J40" s="105" t="s">
        <v>11677</v>
      </c>
    </row>
    <row r="41" spans="1:17" s="114" customFormat="1">
      <c r="A41" s="113"/>
      <c r="B41" s="119"/>
      <c r="C41" s="119"/>
      <c r="D41" s="120">
        <v>2013</v>
      </c>
      <c r="E41" s="120">
        <v>2014</v>
      </c>
      <c r="F41" s="120">
        <v>2015</v>
      </c>
      <c r="G41" s="120">
        <v>2016</v>
      </c>
      <c r="H41" s="119">
        <v>2017</v>
      </c>
      <c r="I41" s="120">
        <v>2018</v>
      </c>
      <c r="J41" s="120">
        <v>2019</v>
      </c>
    </row>
    <row r="42" spans="1:17">
      <c r="B42" s="110" t="s">
        <v>11774</v>
      </c>
      <c r="C42" s="111"/>
      <c r="D42" s="111">
        <f>F26+C37</f>
        <v>28575</v>
      </c>
      <c r="E42" s="111">
        <f>$F26+$C37</f>
        <v>28575</v>
      </c>
      <c r="F42" s="110">
        <f>$F26*2</f>
        <v>20050</v>
      </c>
      <c r="G42" s="110">
        <f>$F26*2</f>
        <v>20050</v>
      </c>
      <c r="H42" s="110">
        <f>$F26*2</f>
        <v>20050</v>
      </c>
      <c r="I42" s="111">
        <f>$F26*2</f>
        <v>20050</v>
      </c>
      <c r="J42" s="111">
        <f>F26*2</f>
        <v>20050</v>
      </c>
    </row>
    <row r="43" spans="1:17">
      <c r="B43" s="110" t="s">
        <v>11775</v>
      </c>
      <c r="C43" s="110"/>
      <c r="D43" s="111">
        <v>37651</v>
      </c>
      <c r="E43" s="111">
        <v>37651</v>
      </c>
      <c r="F43" s="111">
        <v>37651</v>
      </c>
      <c r="G43" s="111">
        <v>37651</v>
      </c>
      <c r="H43" s="111">
        <v>37651</v>
      </c>
      <c r="I43" s="111">
        <f>21380*2</f>
        <v>42760</v>
      </c>
      <c r="J43" s="111">
        <f>21380*2</f>
        <v>42760</v>
      </c>
    </row>
    <row r="44" spans="1:17">
      <c r="B44" s="110"/>
      <c r="C44" s="110">
        <f>$C$38</f>
        <v>-65000</v>
      </c>
      <c r="D44" s="111">
        <f>D43-D42</f>
        <v>9076</v>
      </c>
      <c r="E44" s="111">
        <f t="shared" ref="E44:J44" si="10">E43-E42</f>
        <v>9076</v>
      </c>
      <c r="F44" s="111">
        <f t="shared" si="10"/>
        <v>17601</v>
      </c>
      <c r="G44" s="111">
        <f t="shared" si="10"/>
        <v>17601</v>
      </c>
      <c r="H44" s="111">
        <f t="shared" si="10"/>
        <v>17601</v>
      </c>
      <c r="I44" s="111">
        <f t="shared" si="10"/>
        <v>22710</v>
      </c>
      <c r="J44" s="111">
        <f t="shared" si="10"/>
        <v>22710</v>
      </c>
    </row>
    <row r="45" spans="1:17">
      <c r="B45" s="110" t="s">
        <v>11772</v>
      </c>
      <c r="C45" s="121">
        <f>$C$39</f>
        <v>0.08</v>
      </c>
      <c r="D45" s="111"/>
      <c r="E45" s="111"/>
      <c r="F45" s="111"/>
      <c r="G45" s="111"/>
      <c r="H45" s="111"/>
      <c r="I45" s="111"/>
      <c r="J45" s="111"/>
    </row>
    <row r="46" spans="1:17">
      <c r="B46" s="110" t="s">
        <v>11776</v>
      </c>
      <c r="C46" s="122">
        <f>NPV(C45,D44:J44)+C44</f>
        <v>17635.576503938515</v>
      </c>
      <c r="D46" s="111"/>
      <c r="E46" s="111"/>
      <c r="F46" s="111"/>
      <c r="G46" s="111"/>
      <c r="H46" s="110"/>
      <c r="I46" s="111"/>
      <c r="J46" s="111"/>
    </row>
    <row r="47" spans="1:17">
      <c r="B47" s="110" t="s">
        <v>11777</v>
      </c>
      <c r="C47" s="121">
        <f>IRR(C44:J44,0.1)</f>
        <v>0.14344387071197473</v>
      </c>
      <c r="D47" s="111"/>
      <c r="E47" s="111"/>
      <c r="F47" s="111"/>
      <c r="G47" s="111"/>
      <c r="H47" s="110"/>
      <c r="I47" s="111"/>
      <c r="J47" s="111"/>
    </row>
    <row r="49" spans="2:9">
      <c r="B49" s="104" t="s">
        <v>11774</v>
      </c>
      <c r="C49" s="105"/>
      <c r="D49" s="105">
        <f>$D42</f>
        <v>28575</v>
      </c>
      <c r="E49" s="105">
        <f>$E42</f>
        <v>28575</v>
      </c>
      <c r="F49" s="105">
        <f>$F42</f>
        <v>20050</v>
      </c>
      <c r="G49" s="105">
        <f>$G42</f>
        <v>20050</v>
      </c>
      <c r="H49" s="105">
        <f>$H42</f>
        <v>20050</v>
      </c>
      <c r="I49" s="105">
        <f>$I42</f>
        <v>20050</v>
      </c>
    </row>
    <row r="50" spans="2:9">
      <c r="B50" s="104" t="s">
        <v>11775</v>
      </c>
      <c r="C50" s="104"/>
      <c r="D50" s="105">
        <v>37651</v>
      </c>
      <c r="E50" s="105">
        <v>37651</v>
      </c>
      <c r="F50" s="105">
        <v>37651</v>
      </c>
      <c r="G50" s="105">
        <v>37651</v>
      </c>
      <c r="H50" s="105">
        <v>37651</v>
      </c>
      <c r="I50" s="105">
        <f>21380*2</f>
        <v>42760</v>
      </c>
    </row>
    <row r="51" spans="2:9">
      <c r="B51" s="104"/>
      <c r="C51" s="104">
        <f>$C$38</f>
        <v>-65000</v>
      </c>
      <c r="D51" s="105">
        <f t="shared" ref="D51:I51" si="11">D50-D49</f>
        <v>9076</v>
      </c>
      <c r="E51" s="105">
        <f t="shared" si="11"/>
        <v>9076</v>
      </c>
      <c r="F51" s="105">
        <f t="shared" si="11"/>
        <v>17601</v>
      </c>
      <c r="G51" s="105">
        <f t="shared" si="11"/>
        <v>17601</v>
      </c>
      <c r="H51" s="105">
        <f t="shared" si="11"/>
        <v>17601</v>
      </c>
      <c r="I51" s="105">
        <f t="shared" si="11"/>
        <v>22710</v>
      </c>
    </row>
    <row r="52" spans="2:9">
      <c r="B52" s="104" t="s">
        <v>11772</v>
      </c>
      <c r="C52" s="123">
        <f>$C$39</f>
        <v>0.08</v>
      </c>
      <c r="D52" s="105"/>
      <c r="E52" s="105"/>
      <c r="F52" s="105"/>
      <c r="G52" s="105"/>
      <c r="H52" s="105"/>
      <c r="I52" s="105"/>
    </row>
    <row r="53" spans="2:9">
      <c r="B53" s="104" t="s">
        <v>11776</v>
      </c>
      <c r="C53" s="124">
        <f>NPV(C52,D51:I51)+C51</f>
        <v>4384.5096275354445</v>
      </c>
      <c r="D53" s="105"/>
      <c r="E53" s="105"/>
      <c r="F53" s="105"/>
      <c r="G53" s="105"/>
      <c r="H53" s="104"/>
      <c r="I53" s="105"/>
    </row>
    <row r="54" spans="2:9">
      <c r="B54" s="104" t="s">
        <v>11777</v>
      </c>
      <c r="C54" s="123">
        <f>IRR(C51:I51,0.1)</f>
        <v>9.884869083620762E-2</v>
      </c>
      <c r="D54" s="105"/>
      <c r="E54" s="105"/>
      <c r="F54" s="105"/>
      <c r="G54" s="105"/>
      <c r="H54" s="104"/>
      <c r="I54" s="105"/>
    </row>
    <row r="55" spans="2:9">
      <c r="B55" s="104"/>
      <c r="C55" s="105"/>
      <c r="D55" s="105"/>
      <c r="E55" s="105"/>
      <c r="F55" s="105"/>
      <c r="G55" s="104"/>
      <c r="H55" s="104"/>
      <c r="I55" s="100"/>
    </row>
    <row r="56" spans="2:9">
      <c r="B56" s="104" t="s">
        <v>11774</v>
      </c>
      <c r="C56" s="105"/>
      <c r="D56" s="105">
        <f>$D49</f>
        <v>28575</v>
      </c>
      <c r="E56" s="105">
        <f>$E49</f>
        <v>28575</v>
      </c>
      <c r="F56" s="105">
        <f>$F49</f>
        <v>20050</v>
      </c>
      <c r="G56" s="105">
        <f>$G49</f>
        <v>20050</v>
      </c>
      <c r="H56" s="105">
        <f>$H49</f>
        <v>20050</v>
      </c>
      <c r="I56" s="100"/>
    </row>
    <row r="57" spans="2:9">
      <c r="B57" s="104" t="s">
        <v>11775</v>
      </c>
      <c r="C57" s="104"/>
      <c r="D57" s="105">
        <v>37651</v>
      </c>
      <c r="E57" s="105">
        <v>37651</v>
      </c>
      <c r="F57" s="105">
        <v>37651</v>
      </c>
      <c r="G57" s="105">
        <v>37651</v>
      </c>
      <c r="H57" s="105">
        <v>37651</v>
      </c>
      <c r="I57" s="100"/>
    </row>
    <row r="58" spans="2:9">
      <c r="B58" s="104"/>
      <c r="C58" s="104">
        <f>$C$38</f>
        <v>-65000</v>
      </c>
      <c r="D58" s="105">
        <f>D57-D56</f>
        <v>9076</v>
      </c>
      <c r="E58" s="105">
        <f>E57-E56</f>
        <v>9076</v>
      </c>
      <c r="F58" s="105">
        <f>F57-F56</f>
        <v>17601</v>
      </c>
      <c r="G58" s="105">
        <f>G57-G56</f>
        <v>17601</v>
      </c>
      <c r="H58" s="105">
        <f>H57-H56</f>
        <v>17601</v>
      </c>
      <c r="I58" s="100"/>
    </row>
    <row r="59" spans="2:9">
      <c r="B59" s="104" t="s">
        <v>11772</v>
      </c>
      <c r="C59" s="123">
        <f>$C$39</f>
        <v>0.08</v>
      </c>
      <c r="D59" s="105"/>
      <c r="E59" s="105"/>
      <c r="F59" s="105"/>
      <c r="G59" s="105"/>
      <c r="H59" s="105"/>
      <c r="I59" s="100"/>
    </row>
    <row r="60" spans="2:9">
      <c r="B60" s="104" t="s">
        <v>11776</v>
      </c>
      <c r="C60" s="124">
        <f>NPV(C59,D58:H58)+C58</f>
        <v>-9926.6425989798518</v>
      </c>
      <c r="D60" s="105"/>
      <c r="E60" s="105"/>
      <c r="F60" s="105"/>
      <c r="G60" s="105"/>
      <c r="H60" s="104"/>
      <c r="I60" s="100"/>
    </row>
    <row r="61" spans="2:9">
      <c r="B61" s="104" t="s">
        <v>11777</v>
      </c>
      <c r="C61" s="123">
        <f>IRR(C58:H58,0.1)</f>
        <v>2.6613826777673655E-2</v>
      </c>
      <c r="D61" s="105"/>
      <c r="E61" s="105"/>
      <c r="F61" s="105"/>
      <c r="G61" s="105"/>
      <c r="H61" s="104"/>
      <c r="I61" s="100"/>
    </row>
    <row r="62" spans="2:9">
      <c r="B62" s="104"/>
      <c r="C62" s="105"/>
      <c r="D62" s="105"/>
      <c r="E62" s="105"/>
      <c r="F62" s="105"/>
      <c r="G62" s="104"/>
      <c r="H62" s="100"/>
      <c r="I62" s="100"/>
    </row>
    <row r="63" spans="2:9">
      <c r="B63" s="104" t="s">
        <v>11774</v>
      </c>
      <c r="C63" s="105"/>
      <c r="D63" s="105">
        <f>$D56</f>
        <v>28575</v>
      </c>
      <c r="E63" s="105">
        <f>$E56</f>
        <v>28575</v>
      </c>
      <c r="F63" s="105">
        <f>$F56</f>
        <v>20050</v>
      </c>
      <c r="G63" s="105">
        <f>$G56</f>
        <v>20050</v>
      </c>
      <c r="H63" s="100"/>
      <c r="I63" s="100"/>
    </row>
    <row r="64" spans="2:9">
      <c r="B64" s="104" t="s">
        <v>11775</v>
      </c>
      <c r="C64" s="104"/>
      <c r="D64" s="105">
        <v>37651</v>
      </c>
      <c r="E64" s="105">
        <v>37651</v>
      </c>
      <c r="F64" s="105">
        <v>37651</v>
      </c>
      <c r="G64" s="105">
        <v>37651</v>
      </c>
      <c r="H64" s="100"/>
      <c r="I64" s="100"/>
    </row>
    <row r="65" spans="2:7">
      <c r="B65" s="104"/>
      <c r="C65" s="104">
        <f>$C$38</f>
        <v>-65000</v>
      </c>
      <c r="D65" s="105">
        <f>D64-D63</f>
        <v>9076</v>
      </c>
      <c r="E65" s="105">
        <f>E64-E63</f>
        <v>9076</v>
      </c>
      <c r="F65" s="105">
        <f>F64-F63</f>
        <v>17601</v>
      </c>
      <c r="G65" s="105">
        <f>G64-G63</f>
        <v>17601</v>
      </c>
    </row>
    <row r="66" spans="2:7">
      <c r="B66" s="104" t="s">
        <v>11772</v>
      </c>
      <c r="C66" s="123">
        <f>$C$39</f>
        <v>0.08</v>
      </c>
      <c r="D66" s="105"/>
      <c r="E66" s="105"/>
      <c r="F66" s="105"/>
      <c r="G66" s="105"/>
    </row>
    <row r="67" spans="2:7">
      <c r="B67" s="104" t="s">
        <v>11776</v>
      </c>
      <c r="C67" s="124">
        <f>NPV(C66,D65:G65)+C65</f>
        <v>-21905.587449970939</v>
      </c>
      <c r="D67" s="105"/>
      <c r="E67" s="105"/>
      <c r="F67" s="105"/>
      <c r="G67" s="105"/>
    </row>
    <row r="68" spans="2:7">
      <c r="B68" s="104" t="s">
        <v>11777</v>
      </c>
      <c r="C68" s="123">
        <f>IRR(C65:G65,0.1)</f>
        <v>-6.6734059287096414E-2</v>
      </c>
      <c r="D68" s="105"/>
      <c r="E68" s="105"/>
      <c r="F68" s="105"/>
      <c r="G68" s="105"/>
    </row>
    <row r="69" spans="2:7">
      <c r="B69" s="104"/>
      <c r="C69" s="105"/>
      <c r="D69" s="105"/>
      <c r="E69" s="105"/>
      <c r="F69" s="105"/>
    </row>
    <row r="70" spans="2:7">
      <c r="B70" s="104" t="s">
        <v>11774</v>
      </c>
      <c r="C70" s="105"/>
      <c r="D70" s="105">
        <f>$D63</f>
        <v>28575</v>
      </c>
      <c r="E70" s="105">
        <f>$E63</f>
        <v>28575</v>
      </c>
      <c r="F70" s="105">
        <f>$F63</f>
        <v>20050</v>
      </c>
      <c r="G70" s="101"/>
    </row>
    <row r="71" spans="2:7">
      <c r="B71" s="104" t="s">
        <v>11775</v>
      </c>
      <c r="C71" s="104"/>
      <c r="D71" s="105">
        <v>37651</v>
      </c>
      <c r="E71" s="105">
        <v>37651</v>
      </c>
      <c r="F71" s="105">
        <v>37651</v>
      </c>
      <c r="G71" s="101"/>
    </row>
    <row r="72" spans="2:7">
      <c r="B72" s="104"/>
      <c r="C72" s="104">
        <f>$C$38</f>
        <v>-65000</v>
      </c>
      <c r="D72" s="105">
        <f>D71-D70</f>
        <v>9076</v>
      </c>
      <c r="E72" s="105">
        <f>E71-E70</f>
        <v>9076</v>
      </c>
      <c r="F72" s="105">
        <f>F71-F70</f>
        <v>17601</v>
      </c>
      <c r="G72" s="101"/>
    </row>
    <row r="73" spans="2:7">
      <c r="B73" s="104" t="s">
        <v>11772</v>
      </c>
      <c r="C73" s="123">
        <f>$C$39</f>
        <v>0.08</v>
      </c>
      <c r="D73" s="105"/>
      <c r="E73" s="105"/>
      <c r="F73" s="105"/>
      <c r="G73" s="101"/>
    </row>
    <row r="74" spans="2:7">
      <c r="B74" s="104" t="s">
        <v>11776</v>
      </c>
      <c r="C74" s="124">
        <f>NPV(C73,D72:G72)+C72</f>
        <v>-34842.84788904131</v>
      </c>
      <c r="D74" s="105"/>
      <c r="E74" s="105"/>
      <c r="F74" s="105"/>
      <c r="G74" s="101"/>
    </row>
    <row r="75" spans="2:7">
      <c r="B75" s="104" t="s">
        <v>11777</v>
      </c>
      <c r="C75" s="123">
        <f>IRR(C72:G72,0.1)</f>
        <v>-0.22681723855576974</v>
      </c>
      <c r="D75" s="105"/>
      <c r="E75" s="105"/>
      <c r="F75" s="105"/>
      <c r="G75" s="101"/>
    </row>
    <row r="76" spans="2:7">
      <c r="B76" s="104"/>
      <c r="C76" s="105"/>
      <c r="D76" s="105"/>
      <c r="E76" s="105"/>
      <c r="F76" s="105"/>
    </row>
    <row r="77" spans="2:7">
      <c r="B77" s="104" t="s">
        <v>11774</v>
      </c>
      <c r="C77" s="105"/>
      <c r="D77" s="105">
        <f>$D63</f>
        <v>28575</v>
      </c>
      <c r="E77" s="105">
        <f>$E63</f>
        <v>28575</v>
      </c>
    </row>
    <row r="78" spans="2:7">
      <c r="B78" s="104" t="s">
        <v>11775</v>
      </c>
      <c r="C78" s="104"/>
      <c r="D78" s="105">
        <v>37651</v>
      </c>
      <c r="E78" s="105">
        <v>37651</v>
      </c>
    </row>
    <row r="79" spans="2:7">
      <c r="B79" s="104"/>
      <c r="C79" s="104">
        <f>$C$38</f>
        <v>-65000</v>
      </c>
      <c r="D79" s="105">
        <f>D78-D77</f>
        <v>9076</v>
      </c>
      <c r="E79" s="105">
        <f>E78-E77</f>
        <v>9076</v>
      </c>
    </row>
    <row r="80" spans="2:7">
      <c r="B80" s="104" t="s">
        <v>11772</v>
      </c>
      <c r="C80" s="123">
        <f>$C$39</f>
        <v>0.08</v>
      </c>
      <c r="D80" s="105"/>
      <c r="E80" s="105"/>
    </row>
    <row r="81" spans="1:6">
      <c r="B81" s="104" t="s">
        <v>11776</v>
      </c>
      <c r="C81" s="124">
        <f>NPV(C80,D79:G79)+C79</f>
        <v>-48815.089163237317</v>
      </c>
      <c r="D81" s="105"/>
      <c r="E81" s="105"/>
    </row>
    <row r="82" spans="1:6">
      <c r="B82" s="104" t="s">
        <v>11777</v>
      </c>
      <c r="C82" s="123">
        <f>IRR(C79:G79,0.1)</f>
        <v>-0.55004653894427347</v>
      </c>
      <c r="D82" s="105"/>
      <c r="E82" s="105"/>
    </row>
    <row r="83" spans="1:6">
      <c r="B83" s="104"/>
      <c r="C83" s="105"/>
      <c r="D83" s="105"/>
      <c r="E83" s="105"/>
    </row>
    <row r="91" spans="1:6">
      <c r="B91" s="100" t="s">
        <v>282</v>
      </c>
      <c r="C91" s="101" t="s">
        <v>11778</v>
      </c>
      <c r="D91" s="101" t="s">
        <v>11779</v>
      </c>
      <c r="E91" s="101" t="s">
        <v>11780</v>
      </c>
      <c r="F91" s="101" t="s">
        <v>11781</v>
      </c>
    </row>
    <row r="93" spans="1:6">
      <c r="A93" s="99">
        <v>1</v>
      </c>
      <c r="B93" s="100" t="s">
        <v>11782</v>
      </c>
    </row>
    <row r="94" spans="1:6">
      <c r="A94" s="99">
        <v>2</v>
      </c>
      <c r="B94" s="100" t="s">
        <v>11783</v>
      </c>
    </row>
    <row r="95" spans="1:6">
      <c r="A95" s="99">
        <v>3</v>
      </c>
      <c r="B95" s="100" t="s">
        <v>11784</v>
      </c>
    </row>
    <row r="96" spans="1:6">
      <c r="A96" s="99">
        <v>4</v>
      </c>
      <c r="B96" s="100" t="s">
        <v>11785</v>
      </c>
    </row>
    <row r="97" spans="1:6">
      <c r="A97" s="99">
        <v>5</v>
      </c>
      <c r="B97" s="100" t="s">
        <v>11786</v>
      </c>
    </row>
    <row r="98" spans="1:6">
      <c r="A98" s="99">
        <v>6</v>
      </c>
      <c r="B98" s="100" t="s">
        <v>11787</v>
      </c>
    </row>
    <row r="99" spans="1:6">
      <c r="A99" s="99">
        <v>7</v>
      </c>
      <c r="B99" s="100" t="s">
        <v>11788</v>
      </c>
      <c r="F99" s="127" t="s">
        <v>11789</v>
      </c>
    </row>
    <row r="100" spans="1:6">
      <c r="A100" s="99">
        <v>8</v>
      </c>
      <c r="B100" s="100" t="s">
        <v>448</v>
      </c>
    </row>
    <row r="101" spans="1:6">
      <c r="A101" s="99">
        <v>9</v>
      </c>
    </row>
    <row r="102" spans="1:6">
      <c r="A102" s="99">
        <v>10</v>
      </c>
    </row>
  </sheetData>
  <pageMargins left="0.7" right="0.7" top="0.75" bottom="0.75" header="0.3" footer="0.3"/>
  <pageSetup paperSize="11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B4:N83"/>
  <sheetViews>
    <sheetView zoomScale="80" zoomScaleNormal="80" zoomScalePageLayoutView="80" workbookViewId="0">
      <selection activeCell="J147" sqref="J147"/>
    </sheetView>
  </sheetViews>
  <sheetFormatPr defaultColWidth="8.85546875" defaultRowHeight="12.75"/>
  <cols>
    <col min="1" max="1" width="8.140625" customWidth="1"/>
    <col min="3" max="3" width="21" customWidth="1"/>
    <col min="4" max="4" width="15" customWidth="1"/>
    <col min="7" max="7" width="14.42578125" customWidth="1"/>
    <col min="8" max="8" width="14.42578125" style="25" customWidth="1"/>
    <col min="9" max="9" width="14.28515625" customWidth="1"/>
    <col min="10" max="10" width="11.85546875" style="25" customWidth="1"/>
    <col min="11" max="11" width="20.28515625" customWidth="1"/>
    <col min="12" max="12" width="11.42578125" style="25" customWidth="1"/>
    <col min="13" max="13" width="19.42578125" customWidth="1"/>
    <col min="14" max="14" width="12.7109375" customWidth="1"/>
  </cols>
  <sheetData>
    <row r="4" spans="2:8">
      <c r="B4" s="8" t="s">
        <v>388</v>
      </c>
      <c r="C4" s="9"/>
      <c r="D4" s="10">
        <v>2012</v>
      </c>
    </row>
    <row r="5" spans="2:8" ht="13.5" thickBot="1">
      <c r="B5" s="11"/>
      <c r="C5" s="12"/>
      <c r="D5" s="13"/>
    </row>
    <row r="6" spans="2:8">
      <c r="B6" s="4" t="s">
        <v>56</v>
      </c>
      <c r="C6" s="5"/>
      <c r="D6" s="14">
        <v>2466.0317637295921</v>
      </c>
      <c r="G6" s="52"/>
      <c r="H6" s="37"/>
    </row>
    <row r="7" spans="2:8">
      <c r="B7" s="3"/>
      <c r="C7" s="1"/>
      <c r="D7" s="6"/>
      <c r="G7" s="53" t="s">
        <v>11790</v>
      </c>
      <c r="H7" s="38"/>
    </row>
    <row r="8" spans="2:8">
      <c r="B8" s="15"/>
      <c r="C8" s="16" t="s">
        <v>393</v>
      </c>
      <c r="D8" s="17">
        <v>1745.4484303962588</v>
      </c>
      <c r="G8" s="54"/>
      <c r="H8" s="38"/>
    </row>
    <row r="9" spans="2:8">
      <c r="B9" s="15"/>
      <c r="C9" s="16" t="s">
        <v>394</v>
      </c>
      <c r="D9" s="17">
        <v>951.24123144117664</v>
      </c>
      <c r="G9" s="53" t="s">
        <v>138</v>
      </c>
      <c r="H9" s="38">
        <f>D83</f>
        <v>8958.9484303962599</v>
      </c>
    </row>
    <row r="10" spans="2:8">
      <c r="B10" s="15"/>
      <c r="C10" s="16" t="s">
        <v>395</v>
      </c>
      <c r="D10" s="17">
        <v>297.89457152222963</v>
      </c>
      <c r="G10" s="53" t="s">
        <v>512</v>
      </c>
      <c r="H10" s="38">
        <f>(17000*2 + 2200*12)/12</f>
        <v>5033.333333333333</v>
      </c>
    </row>
    <row r="11" spans="2:8">
      <c r="B11" s="15"/>
      <c r="C11" s="16" t="s">
        <v>396</v>
      </c>
      <c r="D11" s="17">
        <v>0</v>
      </c>
      <c r="G11" s="65" t="s">
        <v>11791</v>
      </c>
      <c r="H11" s="38">
        <f>1200</f>
        <v>1200</v>
      </c>
    </row>
    <row r="12" spans="2:8">
      <c r="B12" s="15"/>
      <c r="C12" s="16" t="s">
        <v>397</v>
      </c>
      <c r="D12" s="17">
        <v>103.15535186862797</v>
      </c>
      <c r="G12" s="53">
        <v>529</v>
      </c>
      <c r="H12" s="38">
        <v>1500</v>
      </c>
    </row>
    <row r="13" spans="2:8">
      <c r="B13" s="15"/>
      <c r="C13" s="16" t="s">
        <v>398</v>
      </c>
      <c r="D13" s="17">
        <v>393.15727556422439</v>
      </c>
      <c r="G13" s="65" t="s">
        <v>39</v>
      </c>
      <c r="H13" s="38">
        <f>34000/12</f>
        <v>2833.3333333333335</v>
      </c>
    </row>
    <row r="14" spans="2:8">
      <c r="B14" s="15"/>
      <c r="C14" s="16" t="s">
        <v>287</v>
      </c>
      <c r="D14" s="17">
        <v>308.25</v>
      </c>
      <c r="G14" s="66" t="s">
        <v>11792</v>
      </c>
      <c r="H14" s="38">
        <f>H10+H9</f>
        <v>13992.281763729592</v>
      </c>
    </row>
    <row r="15" spans="2:8">
      <c r="B15" s="15"/>
      <c r="C15" s="16" t="s">
        <v>399</v>
      </c>
      <c r="D15" s="17">
        <v>25</v>
      </c>
      <c r="G15" s="53" t="s">
        <v>11793</v>
      </c>
      <c r="H15" s="38">
        <v>150000</v>
      </c>
    </row>
    <row r="16" spans="2:8" ht="13.5" thickBot="1">
      <c r="B16" s="15"/>
      <c r="C16" s="16" t="s">
        <v>400</v>
      </c>
      <c r="D16" s="17">
        <v>18.583333333333332</v>
      </c>
      <c r="G16" s="54"/>
      <c r="H16" s="38"/>
    </row>
    <row r="17" spans="2:14">
      <c r="B17" s="15"/>
      <c r="C17" s="16" t="s">
        <v>401</v>
      </c>
      <c r="D17" s="17">
        <v>296.41666666666669</v>
      </c>
      <c r="G17" s="26" t="s">
        <v>11724</v>
      </c>
      <c r="H17" s="27"/>
      <c r="I17" s="28"/>
      <c r="J17" s="27"/>
      <c r="K17" s="28"/>
      <c r="L17" s="27"/>
      <c r="M17" s="28"/>
      <c r="N17" s="62"/>
    </row>
    <row r="18" spans="2:14">
      <c r="B18" s="15"/>
      <c r="C18" s="16" t="s">
        <v>402</v>
      </c>
      <c r="D18" s="17">
        <v>34</v>
      </c>
      <c r="G18" s="63"/>
      <c r="H18" s="29"/>
      <c r="I18" s="30"/>
      <c r="J18" s="29"/>
      <c r="K18" s="30"/>
      <c r="L18" s="29"/>
      <c r="M18" s="30"/>
      <c r="N18" s="64"/>
    </row>
    <row r="19" spans="2:14" ht="13.5" thickBot="1">
      <c r="B19" s="15"/>
      <c r="C19" s="16" t="s">
        <v>403</v>
      </c>
      <c r="D19" s="17">
        <v>38.333333333333336</v>
      </c>
      <c r="G19" s="63"/>
      <c r="H19" s="29"/>
      <c r="I19" s="30"/>
      <c r="J19" s="29"/>
      <c r="K19" s="30"/>
      <c r="L19" s="29"/>
      <c r="M19" s="30"/>
      <c r="N19" s="64"/>
    </row>
    <row r="20" spans="2:14">
      <c r="B20" s="15"/>
      <c r="C20" s="16"/>
      <c r="D20" s="17"/>
      <c r="G20" s="31" t="s">
        <v>11729</v>
      </c>
      <c r="H20" s="32"/>
      <c r="I20" s="55" t="s">
        <v>11732</v>
      </c>
      <c r="J20" s="56"/>
      <c r="K20" s="39" t="s">
        <v>11735</v>
      </c>
      <c r="L20" s="49"/>
      <c r="M20" s="50" t="s">
        <v>11737</v>
      </c>
      <c r="N20" s="42"/>
    </row>
    <row r="21" spans="2:14">
      <c r="B21" s="15"/>
      <c r="C21" s="16"/>
      <c r="D21" s="17"/>
      <c r="G21" s="33" t="s">
        <v>11794</v>
      </c>
      <c r="H21" s="34"/>
      <c r="I21" s="57" t="s">
        <v>11795</v>
      </c>
      <c r="J21" s="46"/>
      <c r="K21" s="40" t="s">
        <v>11796</v>
      </c>
      <c r="L21" s="47"/>
      <c r="M21" s="51" t="s">
        <v>11797</v>
      </c>
      <c r="N21" s="43"/>
    </row>
    <row r="22" spans="2:14" ht="13.5" thickBot="1">
      <c r="B22" s="15"/>
      <c r="C22" s="16" t="s">
        <v>11798</v>
      </c>
      <c r="D22" s="17">
        <v>1800</v>
      </c>
      <c r="G22" s="35"/>
      <c r="H22" s="36"/>
      <c r="I22" s="58"/>
      <c r="J22" s="59"/>
      <c r="K22" s="41"/>
      <c r="L22" s="48"/>
      <c r="M22" s="44"/>
      <c r="N22" s="45"/>
    </row>
    <row r="23" spans="2:14">
      <c r="B23" s="15"/>
      <c r="C23" s="16" t="s">
        <v>287</v>
      </c>
      <c r="D23" s="17">
        <f>4500/12</f>
        <v>375</v>
      </c>
      <c r="G23" s="33" t="s">
        <v>11799</v>
      </c>
      <c r="H23" s="34">
        <v>0</v>
      </c>
      <c r="I23" s="57" t="s">
        <v>11799</v>
      </c>
      <c r="J23" s="46">
        <v>1200</v>
      </c>
      <c r="K23" s="40" t="s">
        <v>11799</v>
      </c>
      <c r="L23" s="47">
        <v>0</v>
      </c>
      <c r="M23" s="51" t="s">
        <v>11799</v>
      </c>
      <c r="N23" s="43">
        <v>0</v>
      </c>
    </row>
    <row r="24" spans="2:14">
      <c r="B24" s="15"/>
      <c r="C24" s="16" t="s">
        <v>11800</v>
      </c>
      <c r="D24" s="17">
        <v>100</v>
      </c>
      <c r="G24" s="33" t="s">
        <v>11801</v>
      </c>
      <c r="H24" s="34">
        <v>35000</v>
      </c>
      <c r="I24" s="57" t="s">
        <v>11801</v>
      </c>
      <c r="J24" s="60">
        <v>0</v>
      </c>
      <c r="K24" s="40" t="s">
        <v>11801</v>
      </c>
      <c r="L24" s="47">
        <v>0</v>
      </c>
      <c r="M24" s="51" t="s">
        <v>11802</v>
      </c>
      <c r="N24" s="43">
        <v>50000</v>
      </c>
    </row>
    <row r="25" spans="2:14">
      <c r="B25" s="15"/>
      <c r="C25" s="16" t="s">
        <v>11803</v>
      </c>
      <c r="D25" s="17">
        <v>120</v>
      </c>
      <c r="G25" s="33" t="s">
        <v>554</v>
      </c>
      <c r="H25" s="34">
        <v>70000</v>
      </c>
      <c r="I25" s="57" t="s">
        <v>554</v>
      </c>
      <c r="J25" s="46">
        <v>70000</v>
      </c>
      <c r="K25" s="40" t="s">
        <v>554</v>
      </c>
      <c r="L25" s="47">
        <v>70000</v>
      </c>
      <c r="M25" s="51" t="s">
        <v>554</v>
      </c>
      <c r="N25" s="43">
        <v>70000</v>
      </c>
    </row>
    <row r="26" spans="2:14">
      <c r="B26" s="15"/>
      <c r="C26" s="16" t="s">
        <v>11804</v>
      </c>
      <c r="D26" s="17">
        <v>120</v>
      </c>
      <c r="G26" s="33" t="s">
        <v>138</v>
      </c>
      <c r="H26" s="34">
        <f>D83-D6+D28</f>
        <v>8767.9166666666679</v>
      </c>
      <c r="I26" s="57" t="s">
        <v>138</v>
      </c>
      <c r="J26" s="46">
        <f>D83+D28-J23</f>
        <v>10033.94843039626</v>
      </c>
      <c r="K26" s="40" t="s">
        <v>138</v>
      </c>
      <c r="L26" s="47">
        <f>D83+D28</f>
        <v>11233.94843039626</v>
      </c>
      <c r="M26" s="51" t="s">
        <v>138</v>
      </c>
      <c r="N26" s="43">
        <f>D83+D28-800</f>
        <v>10433.94843039626</v>
      </c>
    </row>
    <row r="27" spans="2:14">
      <c r="B27" s="15"/>
      <c r="C27" s="16"/>
      <c r="D27" s="17"/>
      <c r="G27" s="33" t="s">
        <v>11805</v>
      </c>
      <c r="H27" s="34">
        <f>H24+H25</f>
        <v>105000</v>
      </c>
      <c r="I27" s="57" t="s">
        <v>11805</v>
      </c>
      <c r="J27" s="46">
        <f>J24+J25</f>
        <v>70000</v>
      </c>
      <c r="K27" s="40" t="s">
        <v>11805</v>
      </c>
      <c r="L27" s="47">
        <f>L24+L25</f>
        <v>70000</v>
      </c>
      <c r="M27" s="51" t="s">
        <v>11805</v>
      </c>
      <c r="N27" s="43">
        <f>N24+N25</f>
        <v>120000</v>
      </c>
    </row>
    <row r="28" spans="2:14">
      <c r="B28" s="15"/>
      <c r="C28" s="16" t="s">
        <v>11806</v>
      </c>
      <c r="D28" s="17">
        <f>SUM(D22:D24)</f>
        <v>2275</v>
      </c>
      <c r="G28" s="33" t="s">
        <v>11807</v>
      </c>
      <c r="H28" s="34">
        <f>H26-H9</f>
        <v>-191.03176372959206</v>
      </c>
      <c r="I28" s="57" t="s">
        <v>11807</v>
      </c>
      <c r="J28" s="46">
        <f>J26-$H$9</f>
        <v>1075</v>
      </c>
      <c r="K28" s="40" t="s">
        <v>11807</v>
      </c>
      <c r="L28" s="47">
        <f>L26-$H$9</f>
        <v>2275</v>
      </c>
      <c r="M28" s="51" t="s">
        <v>11807</v>
      </c>
      <c r="N28" s="43">
        <f>N26-$H$9</f>
        <v>1475</v>
      </c>
    </row>
    <row r="29" spans="2:14" ht="13.5" thickBot="1">
      <c r="B29" s="15"/>
      <c r="C29" s="16" t="s">
        <v>244</v>
      </c>
      <c r="D29" s="17">
        <f>D6+D28</f>
        <v>4741.0317637295921</v>
      </c>
      <c r="G29" s="35"/>
      <c r="H29" s="36"/>
      <c r="I29" s="61"/>
      <c r="J29" s="59"/>
      <c r="K29" s="41"/>
      <c r="L29" s="48"/>
      <c r="M29" s="44"/>
      <c r="N29" s="45"/>
    </row>
    <row r="30" spans="2:14">
      <c r="B30" s="22" t="s">
        <v>404</v>
      </c>
      <c r="C30" s="23"/>
      <c r="D30" s="14">
        <v>252.58333333333334</v>
      </c>
    </row>
    <row r="31" spans="2:14">
      <c r="B31" s="3"/>
      <c r="C31" s="1"/>
      <c r="D31" s="18"/>
    </row>
    <row r="32" spans="2:14">
      <c r="B32" s="15"/>
      <c r="C32" s="16" t="s">
        <v>405</v>
      </c>
      <c r="D32" s="17">
        <v>0</v>
      </c>
    </row>
    <row r="33" spans="2:4">
      <c r="B33" s="15"/>
      <c r="C33" s="16" t="s">
        <v>400</v>
      </c>
      <c r="D33" s="17">
        <v>102</v>
      </c>
    </row>
    <row r="34" spans="2:4">
      <c r="B34" s="15"/>
      <c r="C34" s="16" t="s">
        <v>406</v>
      </c>
      <c r="D34" s="17">
        <v>38.166666666666664</v>
      </c>
    </row>
    <row r="35" spans="2:4">
      <c r="B35" s="15"/>
      <c r="C35" s="16" t="s">
        <v>407</v>
      </c>
      <c r="D35" s="17">
        <v>0</v>
      </c>
    </row>
    <row r="36" spans="2:4">
      <c r="B36" s="15"/>
      <c r="C36" s="16" t="s">
        <v>523</v>
      </c>
      <c r="D36" s="17">
        <v>55.083333333333336</v>
      </c>
    </row>
    <row r="37" spans="2:4">
      <c r="B37" s="15"/>
      <c r="C37" s="16" t="s">
        <v>409</v>
      </c>
      <c r="D37" s="17">
        <v>57.333333333333336</v>
      </c>
    </row>
    <row r="38" spans="2:4">
      <c r="B38" s="15"/>
      <c r="C38" s="16"/>
      <c r="D38" s="17"/>
    </row>
    <row r="39" spans="2:4">
      <c r="B39" s="22" t="s">
        <v>277</v>
      </c>
      <c r="C39" s="23"/>
      <c r="D39" s="14">
        <v>324.25</v>
      </c>
    </row>
    <row r="40" spans="2:4">
      <c r="B40" s="3"/>
      <c r="C40" s="1"/>
      <c r="D40" s="18"/>
    </row>
    <row r="41" spans="2:4">
      <c r="B41" s="15"/>
      <c r="C41" s="16" t="s">
        <v>410</v>
      </c>
      <c r="D41" s="17">
        <v>267</v>
      </c>
    </row>
    <row r="42" spans="2:4">
      <c r="B42" s="15"/>
      <c r="C42" s="16" t="s">
        <v>1455</v>
      </c>
      <c r="D42" s="17">
        <v>21.416666666666668</v>
      </c>
    </row>
    <row r="43" spans="2:4">
      <c r="B43" s="15"/>
      <c r="C43" s="16" t="s">
        <v>412</v>
      </c>
      <c r="D43" s="17">
        <v>20</v>
      </c>
    </row>
    <row r="44" spans="2:4">
      <c r="B44" s="21"/>
      <c r="C44" s="16" t="s">
        <v>413</v>
      </c>
      <c r="D44" s="17">
        <v>15.833333333333334</v>
      </c>
    </row>
    <row r="45" spans="2:4">
      <c r="B45" s="21"/>
      <c r="C45" s="16"/>
      <c r="D45" s="17"/>
    </row>
    <row r="46" spans="2:4">
      <c r="B46" s="22" t="s">
        <v>278</v>
      </c>
      <c r="C46" s="23"/>
      <c r="D46" s="14">
        <v>783.66666666666674</v>
      </c>
    </row>
    <row r="47" spans="2:4">
      <c r="B47" s="3"/>
      <c r="C47" s="1"/>
      <c r="D47" s="18"/>
    </row>
    <row r="48" spans="2:4">
      <c r="B48" s="15"/>
      <c r="C48" s="16" t="s">
        <v>414</v>
      </c>
      <c r="D48" s="17">
        <v>640.83333333333337</v>
      </c>
    </row>
    <row r="49" spans="2:4">
      <c r="B49" s="15"/>
      <c r="C49" s="16" t="s">
        <v>278</v>
      </c>
      <c r="D49" s="17">
        <v>142.83333333333334</v>
      </c>
    </row>
    <row r="50" spans="2:4">
      <c r="B50" s="15"/>
      <c r="C50" s="16"/>
      <c r="D50" s="17"/>
    </row>
    <row r="51" spans="2:4">
      <c r="B51" s="22" t="s">
        <v>279</v>
      </c>
      <c r="C51" s="23"/>
      <c r="D51" s="14">
        <v>418.33333333333331</v>
      </c>
    </row>
    <row r="52" spans="2:4">
      <c r="B52" s="3"/>
      <c r="C52" s="1"/>
      <c r="D52" s="18"/>
    </row>
    <row r="53" spans="2:4">
      <c r="B53" s="15"/>
      <c r="C53" s="16" t="s">
        <v>415</v>
      </c>
      <c r="D53" s="17">
        <v>147.16666666666666</v>
      </c>
    </row>
    <row r="54" spans="2:4">
      <c r="B54" s="15"/>
      <c r="C54" s="16" t="s">
        <v>410</v>
      </c>
      <c r="D54" s="17">
        <v>89</v>
      </c>
    </row>
    <row r="55" spans="2:4">
      <c r="B55" s="15"/>
      <c r="C55" s="16" t="s">
        <v>418</v>
      </c>
      <c r="D55" s="17">
        <v>75.416666666666671</v>
      </c>
    </row>
    <row r="56" spans="2:4">
      <c r="B56" s="15"/>
      <c r="C56" s="16" t="s">
        <v>419</v>
      </c>
      <c r="D56" s="17">
        <v>35.666666666666664</v>
      </c>
    </row>
    <row r="57" spans="2:4">
      <c r="B57" s="15"/>
      <c r="C57" s="16" t="s">
        <v>460</v>
      </c>
      <c r="D57" s="17">
        <v>0</v>
      </c>
    </row>
    <row r="58" spans="2:4">
      <c r="B58" s="15"/>
      <c r="C58" s="16" t="s">
        <v>421</v>
      </c>
      <c r="D58" s="17">
        <v>71.083333333333329</v>
      </c>
    </row>
    <row r="59" spans="2:4">
      <c r="B59" s="15"/>
      <c r="C59" s="16"/>
      <c r="D59" s="17"/>
    </row>
    <row r="60" spans="2:4">
      <c r="B60" s="22" t="s">
        <v>422</v>
      </c>
      <c r="C60" s="23"/>
      <c r="D60" s="14">
        <v>3855</v>
      </c>
    </row>
    <row r="61" spans="2:4">
      <c r="B61" s="3"/>
      <c r="C61" s="1"/>
      <c r="D61" s="18"/>
    </row>
    <row r="62" spans="2:4">
      <c r="B62" s="15"/>
      <c r="C62" s="16" t="s">
        <v>280</v>
      </c>
      <c r="D62" s="17">
        <v>303.66666666666669</v>
      </c>
    </row>
    <row r="63" spans="2:4">
      <c r="B63" s="15"/>
      <c r="C63" s="16" t="s">
        <v>423</v>
      </c>
      <c r="D63" s="17">
        <v>211.91666666666666</v>
      </c>
    </row>
    <row r="64" spans="2:4">
      <c r="B64" s="15"/>
      <c r="C64" s="16" t="s">
        <v>559</v>
      </c>
      <c r="D64" s="17">
        <v>0</v>
      </c>
    </row>
    <row r="65" spans="2:4">
      <c r="B65" s="15"/>
      <c r="C65" s="16" t="s">
        <v>561</v>
      </c>
      <c r="D65" s="17">
        <v>28.333333333333332</v>
      </c>
    </row>
    <row r="66" spans="2:4">
      <c r="B66" s="15"/>
      <c r="C66" s="16" t="s">
        <v>10192</v>
      </c>
      <c r="D66" s="17">
        <v>2886.5833333333335</v>
      </c>
    </row>
    <row r="67" spans="2:4">
      <c r="B67" s="15"/>
      <c r="C67" s="16" t="s">
        <v>426</v>
      </c>
      <c r="D67" s="17">
        <v>174.5</v>
      </c>
    </row>
    <row r="68" spans="2:4">
      <c r="B68" s="15"/>
      <c r="C68" s="16" t="s">
        <v>427</v>
      </c>
      <c r="D68" s="17">
        <v>0</v>
      </c>
    </row>
    <row r="69" spans="2:4">
      <c r="B69" s="15"/>
      <c r="C69" s="16" t="s">
        <v>284</v>
      </c>
      <c r="D69" s="17">
        <v>46</v>
      </c>
    </row>
    <row r="70" spans="2:4">
      <c r="B70" s="15"/>
      <c r="C70" s="16" t="s">
        <v>565</v>
      </c>
      <c r="D70" s="17">
        <v>204</v>
      </c>
    </row>
    <row r="71" spans="2:4">
      <c r="B71" s="15"/>
      <c r="C71" s="16"/>
      <c r="D71" s="17"/>
    </row>
    <row r="72" spans="2:4">
      <c r="B72" s="3" t="s">
        <v>435</v>
      </c>
      <c r="C72" s="1"/>
      <c r="D72" s="20">
        <v>38.666666666666671</v>
      </c>
    </row>
    <row r="73" spans="2:4">
      <c r="B73" s="3"/>
      <c r="C73" s="1"/>
      <c r="D73" s="18"/>
    </row>
    <row r="74" spans="2:4">
      <c r="B74" s="15"/>
      <c r="C74" s="16" t="s">
        <v>428</v>
      </c>
      <c r="D74" s="17">
        <v>14.583333333333334</v>
      </c>
    </row>
    <row r="75" spans="2:4">
      <c r="B75" s="15"/>
      <c r="C75" s="16" t="s">
        <v>11808</v>
      </c>
      <c r="D75" s="17">
        <v>0</v>
      </c>
    </row>
    <row r="76" spans="2:4">
      <c r="B76" s="15"/>
      <c r="C76" s="16" t="s">
        <v>436</v>
      </c>
      <c r="D76" s="17">
        <v>11.25</v>
      </c>
    </row>
    <row r="77" spans="2:4">
      <c r="B77" s="15"/>
      <c r="C77" s="16" t="s">
        <v>130</v>
      </c>
      <c r="D77" s="17">
        <v>12.833333333333334</v>
      </c>
    </row>
    <row r="78" spans="2:4">
      <c r="B78" s="15"/>
      <c r="C78" s="16"/>
      <c r="D78" s="17"/>
    </row>
    <row r="79" spans="2:4">
      <c r="B79" s="3" t="s">
        <v>286</v>
      </c>
      <c r="C79" s="1"/>
      <c r="D79" s="20">
        <v>820.41666666666663</v>
      </c>
    </row>
    <row r="81" spans="2:4">
      <c r="B81" s="15"/>
      <c r="C81" s="16" t="s">
        <v>82</v>
      </c>
      <c r="D81" s="17">
        <v>820.41666666666663</v>
      </c>
    </row>
    <row r="82" spans="2:4">
      <c r="B82" s="15"/>
      <c r="C82" s="16" t="s">
        <v>83</v>
      </c>
      <c r="D82" s="17">
        <v>0</v>
      </c>
    </row>
    <row r="83" spans="2:4" ht="13.5" thickBot="1">
      <c r="B83" s="2" t="s">
        <v>437</v>
      </c>
      <c r="C83" s="19"/>
      <c r="D83" s="24">
        <v>8958.9484303962599</v>
      </c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B4C5-4064-7840-8656-A489E2DFD09C}">
  <sheetPr>
    <tabColor theme="4"/>
    <pageSetUpPr autoPageBreaks="0" fitToPage="1"/>
  </sheetPr>
  <dimension ref="B1:T370"/>
  <sheetViews>
    <sheetView showGridLines="0" topLeftCell="B1" zoomScale="74" zoomScaleNormal="74" workbookViewId="0">
      <pane ySplit="10" topLeftCell="J147" activePane="bottomLeft" state="frozen"/>
      <selection pane="bottomLeft" activeCell="O159" sqref="O159"/>
      <selection activeCell="J147" sqref="J147"/>
    </sheetView>
  </sheetViews>
  <sheetFormatPr defaultColWidth="9.140625" defaultRowHeight="15"/>
  <cols>
    <col min="1" max="1" width="2.7109375" style="428" customWidth="1"/>
    <col min="2" max="2" width="6.85546875" style="428" customWidth="1"/>
    <col min="3" max="3" width="26.7109375" style="428" customWidth="1"/>
    <col min="4" max="4" width="16.7109375" style="428" customWidth="1"/>
    <col min="5" max="9" width="15.42578125" style="428" customWidth="1"/>
    <col min="10" max="10" width="18" style="428" customWidth="1"/>
    <col min="11" max="11" width="19.28515625" style="428" customWidth="1"/>
    <col min="12" max="12" width="15.28515625" style="428" customWidth="1"/>
    <col min="13" max="13" width="16.85546875" style="428" customWidth="1"/>
    <col min="14" max="14" width="16.42578125" style="428" customWidth="1"/>
    <col min="15" max="15" width="15.85546875" style="428" customWidth="1"/>
    <col min="16" max="17" width="13.85546875" style="428" bestFit="1" customWidth="1"/>
    <col min="18" max="18" width="13.85546875" style="428" customWidth="1"/>
    <col min="19" max="16384" width="9.140625" style="428"/>
  </cols>
  <sheetData>
    <row r="1" spans="2:19" ht="20.100000000000001" customHeight="1">
      <c r="C1" s="434" t="s">
        <v>11809</v>
      </c>
      <c r="D1" s="434"/>
      <c r="E1" s="434"/>
      <c r="F1" s="435"/>
      <c r="G1" s="434" t="s">
        <v>11810</v>
      </c>
      <c r="H1" s="434"/>
      <c r="I1" s="434"/>
      <c r="J1" s="435"/>
      <c r="K1" s="436" t="s">
        <v>11811</v>
      </c>
      <c r="L1" s="437"/>
      <c r="M1" s="437"/>
      <c r="N1" s="438"/>
    </row>
    <row r="2" spans="2:19" s="439" customFormat="1" ht="14.25" customHeight="1">
      <c r="C2" s="2347" t="s">
        <v>11812</v>
      </c>
      <c r="D2" s="2347"/>
      <c r="E2" s="440">
        <v>2385000</v>
      </c>
      <c r="F2" s="474">
        <f ca="1">F1-F3</f>
        <v>2426325.75</v>
      </c>
      <c r="G2" s="2347" t="s">
        <v>11813</v>
      </c>
      <c r="H2" s="2347"/>
      <c r="I2" s="441">
        <f>IF(LoanIsGood,-PMT(InterestRate/PaymentsPerYear,ScheduledNumberOfPayments,LoanAmount),"")</f>
        <v>9423.6334368029093</v>
      </c>
      <c r="K2" s="442" t="s">
        <v>11814</v>
      </c>
      <c r="L2" s="443">
        <v>3.2500000000000001E-2</v>
      </c>
      <c r="M2" s="443">
        <v>2.87E-2</v>
      </c>
      <c r="N2" s="443">
        <v>2.75E-2</v>
      </c>
    </row>
    <row r="3" spans="2:19" s="439" customFormat="1">
      <c r="C3" s="472" t="s">
        <v>11815</v>
      </c>
      <c r="D3" s="444" t="s">
        <v>11816</v>
      </c>
      <c r="E3" s="445">
        <v>2.5000000000000001E-2</v>
      </c>
      <c r="F3" s="475">
        <f ca="1">F2-F4</f>
        <v>2433825.75</v>
      </c>
      <c r="G3" s="2347" t="s">
        <v>11817</v>
      </c>
      <c r="H3" s="2347"/>
      <c r="I3" s="446">
        <f>IF(LoanIsGood,LoanPeriod*PaymentsPerYear,"")</f>
        <v>360</v>
      </c>
      <c r="K3" s="442" t="s">
        <v>11818</v>
      </c>
      <c r="L3" s="447">
        <v>10599.19</v>
      </c>
      <c r="M3" s="447">
        <v>10059.85</v>
      </c>
      <c r="N3" s="447">
        <v>9904.9500000000007</v>
      </c>
      <c r="S3" s="476" t="s">
        <v>11819</v>
      </c>
    </row>
    <row r="4" spans="2:19" s="439" customFormat="1">
      <c r="C4" s="2347" t="s">
        <v>11820</v>
      </c>
      <c r="D4" s="2347"/>
      <c r="E4" s="448">
        <v>30</v>
      </c>
      <c r="F4" s="475">
        <v>2437500</v>
      </c>
      <c r="G4" s="2347" t="s">
        <v>11821</v>
      </c>
      <c r="H4" s="2347"/>
      <c r="I4" s="446">
        <f ca="1">ActualNumberOfPayments</f>
        <v>360</v>
      </c>
      <c r="K4" s="442" t="s">
        <v>11822</v>
      </c>
      <c r="L4" s="447">
        <v>1375059.59</v>
      </c>
      <c r="M4" s="447">
        <f>1195294.38</f>
        <v>1195294.3799999999</v>
      </c>
      <c r="N4" s="447">
        <v>1139532.6000000001</v>
      </c>
    </row>
    <row r="5" spans="2:19" s="439" customFormat="1">
      <c r="C5" s="2347" t="s">
        <v>11823</v>
      </c>
      <c r="D5" s="2347"/>
      <c r="E5" s="448">
        <v>12</v>
      </c>
      <c r="G5" s="2347" t="s">
        <v>11824</v>
      </c>
      <c r="H5" s="2347"/>
      <c r="I5" s="449">
        <f ca="1">(I3-I4)/E5</f>
        <v>0</v>
      </c>
      <c r="K5" s="442" t="s">
        <v>11825</v>
      </c>
      <c r="L5" s="442"/>
      <c r="M5" s="450">
        <f>M3-L3</f>
        <v>-539.34000000000015</v>
      </c>
      <c r="N5" s="450">
        <f>N3-M3</f>
        <v>-154.89999999999964</v>
      </c>
    </row>
    <row r="6" spans="2:19" s="439" customFormat="1">
      <c r="C6" s="2347" t="s">
        <v>11826</v>
      </c>
      <c r="D6" s="2347"/>
      <c r="E6" s="451">
        <v>43952</v>
      </c>
      <c r="G6" s="2347" t="s">
        <v>11827</v>
      </c>
      <c r="H6" s="2347"/>
      <c r="I6" s="441">
        <f ca="1">TotalEarlyPayments</f>
        <v>0</v>
      </c>
      <c r="K6" s="442" t="s">
        <v>11828</v>
      </c>
      <c r="L6" s="442"/>
      <c r="M6" s="450">
        <f>M4-L4</f>
        <v>-179765.2100000002</v>
      </c>
      <c r="N6" s="450">
        <f>N4-M4</f>
        <v>-55761.779999999795</v>
      </c>
    </row>
    <row r="7" spans="2:19" s="439" customFormat="1">
      <c r="C7" s="442"/>
      <c r="D7" s="442"/>
      <c r="E7" s="442"/>
      <c r="G7" s="2347" t="s">
        <v>11829</v>
      </c>
      <c r="H7" s="2347"/>
      <c r="I7" s="441">
        <f ca="1">TotalInterest</f>
        <v>1007508.0372490491</v>
      </c>
      <c r="K7" s="442" t="s">
        <v>11830</v>
      </c>
      <c r="L7" s="442"/>
      <c r="M7" s="450">
        <f>M5*12</f>
        <v>-6472.0800000000017</v>
      </c>
      <c r="N7" s="450">
        <f>N5*12</f>
        <v>-1858.7999999999956</v>
      </c>
    </row>
    <row r="8" spans="2:19" s="439" customFormat="1">
      <c r="C8" s="2347" t="s">
        <v>11831</v>
      </c>
      <c r="D8" s="2347"/>
      <c r="E8" s="452">
        <v>0</v>
      </c>
      <c r="G8" s="453" t="s">
        <v>11832</v>
      </c>
      <c r="H8" s="2348" t="s">
        <v>11833</v>
      </c>
      <c r="I8" s="2348"/>
    </row>
    <row r="10" spans="2:19" ht="35.1" customHeight="1">
      <c r="B10" s="433" t="s">
        <v>11834</v>
      </c>
      <c r="C10" s="433" t="s">
        <v>11835</v>
      </c>
      <c r="D10" s="433" t="s">
        <v>11836</v>
      </c>
      <c r="E10" s="433" t="s">
        <v>11837</v>
      </c>
      <c r="F10" s="433" t="s">
        <v>11838</v>
      </c>
      <c r="G10" s="433" t="s">
        <v>11839</v>
      </c>
      <c r="H10" s="433" t="s">
        <v>11840</v>
      </c>
      <c r="I10" s="433" t="s">
        <v>11841</v>
      </c>
      <c r="J10" s="433" t="s">
        <v>11842</v>
      </c>
      <c r="K10" s="433" t="s">
        <v>11843</v>
      </c>
    </row>
    <row r="11" spans="2:19">
      <c r="B11" s="429">
        <f ca="1">IF(LoanIsGood,IF(ROW()-ROW(PaymentSchedule[[#Headers],[PMT NO]])&gt;ScheduledNumberOfPayments,"",ROW()-ROW(PaymentSchedule[[#Headers],[PMT NO]])),"")</f>
        <v>1</v>
      </c>
      <c r="C11" s="430">
        <f ca="1">IF(PaymentSchedule[[#This Row],[PMT NO]]&lt;&gt;"",EOMONTH(LoanStartDate,ROW(PaymentSchedule[[#This Row],[PMT NO]])-ROW(PaymentSchedule[[#Headers],[PMT NO]])-2)+DAY(LoanStartDate),"")</f>
        <v>43952</v>
      </c>
      <c r="D11" s="431">
        <f ca="1">IF(PaymentSchedule[[#This Row],[PMT NO]]&lt;&gt;"",IF(ROW()-ROW(PaymentSchedule[[#Headers],[BEGINNING BALANCE]])=1,LoanAmount,INDEX(PaymentSchedule[ENDING BALANCE],ROW()-ROW(PaymentSchedule[[#Headers],[BEGINNING BALANCE]])-1)),"")</f>
        <v>2385000</v>
      </c>
      <c r="E11" s="431">
        <f ca="1">IF(PaymentSchedule[[#This Row],[PMT NO]]&lt;&gt;"",ScheduledPayment,"")</f>
        <v>9423.6334368029093</v>
      </c>
      <c r="F1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" s="431">
        <f ca="1">IF(PaymentSchedule[[#This Row],[PMT NO]]&lt;&gt;"",PaymentSchedule[[#This Row],[TOTAL PAYMENT]]-PaymentSchedule[[#This Row],[INTEREST]],"")</f>
        <v>4454.8834368029093</v>
      </c>
      <c r="I11" s="431">
        <f ca="1">IF(PaymentSchedule[[#This Row],[PMT NO]]&lt;&gt;"",PaymentSchedule[[#This Row],[BEGINNING BALANCE]]*(InterestRate/PaymentsPerYear),"")</f>
        <v>4968.75</v>
      </c>
      <c r="J1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2380545.1165631972</v>
      </c>
      <c r="K11" s="431">
        <f ca="1">IF(PaymentSchedule[[#This Row],[PMT NO]]&lt;&gt;"",SUM(INDEX(PaymentSchedule[INTEREST],1,1):PaymentSchedule[[#This Row],[INTEREST]]),"")</f>
        <v>4968.75</v>
      </c>
    </row>
    <row r="12" spans="2:19">
      <c r="B12" s="432">
        <f ca="1">IF(LoanIsGood,IF(ROW()-ROW(PaymentSchedule[[#Headers],[PMT NO]])&gt;ScheduledNumberOfPayments,"",ROW()-ROW(PaymentSchedule[[#Headers],[PMT NO]])),"")</f>
        <v>2</v>
      </c>
      <c r="C12" s="430">
        <f ca="1">IF(PaymentSchedule[[#This Row],[PMT NO]]&lt;&gt;"",EOMONTH(LoanStartDate,ROW(PaymentSchedule[[#This Row],[PMT NO]])-ROW(PaymentSchedule[[#Headers],[PMT NO]])-2)+DAY(LoanStartDate),"")</f>
        <v>43983</v>
      </c>
      <c r="D12" s="431">
        <f ca="1">IF(PaymentSchedule[[#This Row],[PMT NO]]&lt;&gt;"",IF(ROW()-ROW(PaymentSchedule[[#Headers],[BEGINNING BALANCE]])=1,LoanAmount,INDEX(PaymentSchedule[ENDING BALANCE],ROW()-ROW(PaymentSchedule[[#Headers],[BEGINNING BALANCE]])-1)),"")</f>
        <v>2380545.1165631972</v>
      </c>
      <c r="E12" s="431">
        <f ca="1">IF(PaymentSchedule[[#This Row],[PMT NO]]&lt;&gt;"",ScheduledPayment,"")</f>
        <v>9423.6334368029093</v>
      </c>
      <c r="F1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" s="431">
        <f ca="1">IF(PaymentSchedule[[#This Row],[PMT NO]]&lt;&gt;"",PaymentSchedule[[#This Row],[TOTAL PAYMENT]]-PaymentSchedule[[#This Row],[INTEREST]],"")</f>
        <v>4464.1644439629154</v>
      </c>
      <c r="I12" s="431">
        <f ca="1">IF(PaymentSchedule[[#This Row],[PMT NO]]&lt;&gt;"",PaymentSchedule[[#This Row],[BEGINNING BALANCE]]*(InterestRate/PaymentsPerYear),"")</f>
        <v>4959.4689928399939</v>
      </c>
      <c r="J1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2376080.9521192345</v>
      </c>
      <c r="K12" s="431">
        <f ca="1">IF(PaymentSchedule[[#This Row],[PMT NO]]&lt;&gt;"",SUM(INDEX(PaymentSchedule[INTEREST],1,1):PaymentSchedule[[#This Row],[INTEREST]]),"")</f>
        <v>9928.218992839993</v>
      </c>
      <c r="L12" s="474">
        <f>L11-L13</f>
        <v>0</v>
      </c>
      <c r="M12" s="475">
        <f>M11-M13</f>
        <v>0</v>
      </c>
    </row>
    <row r="13" spans="2:19">
      <c r="B13" s="432">
        <f ca="1">IF(LoanIsGood,IF(ROW()-ROW(PaymentSchedule[[#Headers],[PMT NO]])&gt;ScheduledNumberOfPayments,"",ROW()-ROW(PaymentSchedule[[#Headers],[PMT NO]])),"")</f>
        <v>3</v>
      </c>
      <c r="C13" s="430">
        <f ca="1">IF(PaymentSchedule[[#This Row],[PMT NO]]&lt;&gt;"",EOMONTH(LoanStartDate,ROW(PaymentSchedule[[#This Row],[PMT NO]])-ROW(PaymentSchedule[[#Headers],[PMT NO]])-2)+DAY(LoanStartDate),"")</f>
        <v>44013</v>
      </c>
      <c r="D13" s="431">
        <f ca="1">IF(PaymentSchedule[[#This Row],[PMT NO]]&lt;&gt;"",IF(ROW()-ROW(PaymentSchedule[[#Headers],[BEGINNING BALANCE]])=1,LoanAmount,INDEX(PaymentSchedule[ENDING BALANCE],ROW()-ROW(PaymentSchedule[[#Headers],[BEGINNING BALANCE]])-1)),"")</f>
        <v>2376080.9521192345</v>
      </c>
      <c r="E13" s="431">
        <f ca="1">IF(PaymentSchedule[[#This Row],[PMT NO]]&lt;&gt;"",ScheduledPayment,"")</f>
        <v>9423.6334368029093</v>
      </c>
      <c r="F1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" s="431">
        <f ca="1">IF(PaymentSchedule[[#This Row],[PMT NO]]&lt;&gt;"",PaymentSchedule[[#This Row],[TOTAL PAYMENT]]-PaymentSchedule[[#This Row],[INTEREST]],"")</f>
        <v>4473.4647865545039</v>
      </c>
      <c r="I13" s="431">
        <f ca="1">IF(PaymentSchedule[[#This Row],[PMT NO]]&lt;&gt;"",PaymentSchedule[[#This Row],[BEGINNING BALANCE]]*(InterestRate/PaymentsPerYear),"")</f>
        <v>4950.1686502484054</v>
      </c>
      <c r="J1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2371607.4873326798</v>
      </c>
      <c r="K13" s="431">
        <f ca="1">IF(PaymentSchedule[[#This Row],[PMT NO]]&lt;&gt;"",SUM(INDEX(PaymentSchedule[INTEREST],1,1):PaymentSchedule[[#This Row],[INTEREST]]),"")</f>
        <v>14878.387643088397</v>
      </c>
    </row>
    <row r="14" spans="2:19">
      <c r="B14" s="432">
        <f ca="1">IF(LoanIsGood,IF(ROW()-ROW(PaymentSchedule[[#Headers],[PMT NO]])&gt;ScheduledNumberOfPayments,"",ROW()-ROW(PaymentSchedule[[#Headers],[PMT NO]])),"")</f>
        <v>4</v>
      </c>
      <c r="C14" s="430">
        <f ca="1">IF(PaymentSchedule[[#This Row],[PMT NO]]&lt;&gt;"",EOMONTH(LoanStartDate,ROW(PaymentSchedule[[#This Row],[PMT NO]])-ROW(PaymentSchedule[[#Headers],[PMT NO]])-2)+DAY(LoanStartDate),"")</f>
        <v>44044</v>
      </c>
      <c r="D14" s="431">
        <f ca="1">IF(PaymentSchedule[[#This Row],[PMT NO]]&lt;&gt;"",IF(ROW()-ROW(PaymentSchedule[[#Headers],[BEGINNING BALANCE]])=1,LoanAmount,INDEX(PaymentSchedule[ENDING BALANCE],ROW()-ROW(PaymentSchedule[[#Headers],[BEGINNING BALANCE]])-1)),"")</f>
        <v>2371607.4873326798</v>
      </c>
      <c r="E14" s="431">
        <f ca="1">IF(PaymentSchedule[[#This Row],[PMT NO]]&lt;&gt;"",ScheduledPayment,"")</f>
        <v>9423.6334368029093</v>
      </c>
      <c r="F1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" s="431">
        <f ca="1">IF(PaymentSchedule[[#This Row],[PMT NO]]&lt;&gt;"",PaymentSchedule[[#This Row],[TOTAL PAYMENT]]-PaymentSchedule[[#This Row],[INTEREST]],"")</f>
        <v>4482.7845048598265</v>
      </c>
      <c r="I14" s="431">
        <f ca="1">IF(PaymentSchedule[[#This Row],[PMT NO]]&lt;&gt;"",PaymentSchedule[[#This Row],[BEGINNING BALANCE]]*(InterestRate/PaymentsPerYear),"")</f>
        <v>4940.8489319430828</v>
      </c>
      <c r="J1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2367124.7028278201</v>
      </c>
      <c r="K14" s="431">
        <f ca="1">IF(PaymentSchedule[[#This Row],[PMT NO]]&lt;&gt;"",SUM(INDEX(PaymentSchedule[INTEREST],1,1):PaymentSchedule[[#This Row],[INTEREST]]),"")</f>
        <v>19819.236575031478</v>
      </c>
    </row>
    <row r="15" spans="2:19">
      <c r="B15" s="432">
        <f ca="1">IF(LoanIsGood,IF(ROW()-ROW(PaymentSchedule[[#Headers],[PMT NO]])&gt;ScheduledNumberOfPayments,"",ROW()-ROW(PaymentSchedule[[#Headers],[PMT NO]])),"")</f>
        <v>5</v>
      </c>
      <c r="C15" s="430">
        <f ca="1">IF(PaymentSchedule[[#This Row],[PMT NO]]&lt;&gt;"",EOMONTH(LoanStartDate,ROW(PaymentSchedule[[#This Row],[PMT NO]])-ROW(PaymentSchedule[[#Headers],[PMT NO]])-2)+DAY(LoanStartDate),"")</f>
        <v>44075</v>
      </c>
      <c r="D15" s="431">
        <f ca="1">IF(PaymentSchedule[[#This Row],[PMT NO]]&lt;&gt;"",IF(ROW()-ROW(PaymentSchedule[[#Headers],[BEGINNING BALANCE]])=1,LoanAmount,INDEX(PaymentSchedule[ENDING BALANCE],ROW()-ROW(PaymentSchedule[[#Headers],[BEGINNING BALANCE]])-1)),"")</f>
        <v>2367124.7028278201</v>
      </c>
      <c r="E15" s="431">
        <f ca="1">IF(PaymentSchedule[[#This Row],[PMT NO]]&lt;&gt;"",ScheduledPayment,"")</f>
        <v>9423.6334368029093</v>
      </c>
      <c r="F1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" s="431">
        <f ca="1">IF(PaymentSchedule[[#This Row],[PMT NO]]&lt;&gt;"",PaymentSchedule[[#This Row],[TOTAL PAYMENT]]-PaymentSchedule[[#This Row],[INTEREST]],"")</f>
        <v>4492.1236392449509</v>
      </c>
      <c r="I15" s="431">
        <f ca="1">IF(PaymentSchedule[[#This Row],[PMT NO]]&lt;&gt;"",PaymentSchedule[[#This Row],[BEGINNING BALANCE]]*(InterestRate/PaymentsPerYear),"")</f>
        <v>4931.5097975579583</v>
      </c>
      <c r="J1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2362632.579188575</v>
      </c>
      <c r="K15" s="431">
        <f ca="1">IF(PaymentSchedule[[#This Row],[PMT NO]]&lt;&gt;"",SUM(INDEX(PaymentSchedule[INTEREST],1,1):PaymentSchedule[[#This Row],[INTEREST]]),"")</f>
        <v>24750.746372589438</v>
      </c>
    </row>
    <row r="16" spans="2:19">
      <c r="B16" s="432">
        <f ca="1">IF(LoanIsGood,IF(ROW()-ROW(PaymentSchedule[[#Headers],[PMT NO]])&gt;ScheduledNumberOfPayments,"",ROW()-ROW(PaymentSchedule[[#Headers],[PMT NO]])),"")</f>
        <v>6</v>
      </c>
      <c r="C16" s="430">
        <f ca="1">IF(PaymentSchedule[[#This Row],[PMT NO]]&lt;&gt;"",EOMONTH(LoanStartDate,ROW(PaymentSchedule[[#This Row],[PMT NO]])-ROW(PaymentSchedule[[#Headers],[PMT NO]])-2)+DAY(LoanStartDate),"")</f>
        <v>44105</v>
      </c>
      <c r="D16" s="431">
        <f ca="1">IF(PaymentSchedule[[#This Row],[PMT NO]]&lt;&gt;"",IF(ROW()-ROW(PaymentSchedule[[#Headers],[BEGINNING BALANCE]])=1,LoanAmount,INDEX(PaymentSchedule[ENDING BALANCE],ROW()-ROW(PaymentSchedule[[#Headers],[BEGINNING BALANCE]])-1)),"")</f>
        <v>2362632.579188575</v>
      </c>
      <c r="E16" s="431">
        <f ca="1">IF(PaymentSchedule[[#This Row],[PMT NO]]&lt;&gt;"",ScheduledPayment,"")</f>
        <v>9423.6334368029093</v>
      </c>
      <c r="F1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" s="431">
        <f ca="1">IF(PaymentSchedule[[#This Row],[PMT NO]]&lt;&gt;"",PaymentSchedule[[#This Row],[TOTAL PAYMENT]]-PaymentSchedule[[#This Row],[INTEREST]],"")</f>
        <v>4501.4822301600443</v>
      </c>
      <c r="I16" s="431">
        <f ca="1">IF(PaymentSchedule[[#This Row],[PMT NO]]&lt;&gt;"",PaymentSchedule[[#This Row],[BEGINNING BALANCE]]*(InterestRate/PaymentsPerYear),"")</f>
        <v>4922.151206642865</v>
      </c>
      <c r="J1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2358131.0969584151</v>
      </c>
      <c r="K16" s="431">
        <f ca="1">IF(PaymentSchedule[[#This Row],[PMT NO]]&lt;&gt;"",SUM(INDEX(PaymentSchedule[INTEREST],1,1):PaymentSchedule[[#This Row],[INTEREST]]),"")</f>
        <v>29672.897579232304</v>
      </c>
    </row>
    <row r="17" spans="2:20">
      <c r="B17" s="432">
        <f ca="1">IF(LoanIsGood,IF(ROW()-ROW(PaymentSchedule[[#Headers],[PMT NO]])&gt;ScheduledNumberOfPayments,"",ROW()-ROW(PaymentSchedule[[#Headers],[PMT NO]])),"")</f>
        <v>7</v>
      </c>
      <c r="C17" s="430">
        <f ca="1">IF(PaymentSchedule[[#This Row],[PMT NO]]&lt;&gt;"",EOMONTH(LoanStartDate,ROW(PaymentSchedule[[#This Row],[PMT NO]])-ROW(PaymentSchedule[[#Headers],[PMT NO]])-2)+DAY(LoanStartDate),"")</f>
        <v>44136</v>
      </c>
      <c r="D17" s="431">
        <f ca="1">IF(PaymentSchedule[[#This Row],[PMT NO]]&lt;&gt;"",IF(ROW()-ROW(PaymentSchedule[[#Headers],[BEGINNING BALANCE]])=1,LoanAmount,INDEX(PaymentSchedule[ENDING BALANCE],ROW()-ROW(PaymentSchedule[[#Headers],[BEGINNING BALANCE]])-1)),"")</f>
        <v>2358131.0969584151</v>
      </c>
      <c r="E17" s="431">
        <f ca="1">IF(PaymentSchedule[[#This Row],[PMT NO]]&lt;&gt;"",ScheduledPayment,"")</f>
        <v>9423.6334368029093</v>
      </c>
      <c r="F1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" s="431">
        <f ca="1">IF(PaymentSchedule[[#This Row],[PMT NO]]&lt;&gt;"",PaymentSchedule[[#This Row],[TOTAL PAYMENT]]-PaymentSchedule[[#This Row],[INTEREST]],"")</f>
        <v>4510.8603181395447</v>
      </c>
      <c r="I17" s="431">
        <f ca="1">IF(PaymentSchedule[[#This Row],[PMT NO]]&lt;&gt;"",PaymentSchedule[[#This Row],[BEGINNING BALANCE]]*(InterestRate/PaymentsPerYear),"")</f>
        <v>4912.7731186633646</v>
      </c>
      <c r="J1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2353620.2366402755</v>
      </c>
      <c r="K17" s="431">
        <f ca="1">IF(PaymentSchedule[[#This Row],[PMT NO]]&lt;&gt;"",SUM(INDEX(PaymentSchedule[INTEREST],1,1):PaymentSchedule[[#This Row],[INTEREST]]),"")</f>
        <v>34585.670697895664</v>
      </c>
    </row>
    <row r="18" spans="2:20">
      <c r="B18" s="432">
        <f ca="1">IF(LoanIsGood,IF(ROW()-ROW(PaymentSchedule[[#Headers],[PMT NO]])&gt;ScheduledNumberOfPayments,"",ROW()-ROW(PaymentSchedule[[#Headers],[PMT NO]])),"")</f>
        <v>8</v>
      </c>
      <c r="C18" s="430">
        <f ca="1">IF(PaymentSchedule[[#This Row],[PMT NO]]&lt;&gt;"",EOMONTH(LoanStartDate,ROW(PaymentSchedule[[#This Row],[PMT NO]])-ROW(PaymentSchedule[[#Headers],[PMT NO]])-2)+DAY(LoanStartDate),"")</f>
        <v>44166</v>
      </c>
      <c r="D18" s="431">
        <f ca="1">IF(PaymentSchedule[[#This Row],[PMT NO]]&lt;&gt;"",IF(ROW()-ROW(PaymentSchedule[[#Headers],[BEGINNING BALANCE]])=1,LoanAmount,INDEX(PaymentSchedule[ENDING BALANCE],ROW()-ROW(PaymentSchedule[[#Headers],[BEGINNING BALANCE]])-1)),"")</f>
        <v>2353620.2366402755</v>
      </c>
      <c r="E18" s="431">
        <f ca="1">IF(PaymentSchedule[[#This Row],[PMT NO]]&lt;&gt;"",ScheduledPayment,"")</f>
        <v>9423.6334368029093</v>
      </c>
      <c r="F1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" s="431">
        <f ca="1">IF(PaymentSchedule[[#This Row],[PMT NO]]&lt;&gt;"",PaymentSchedule[[#This Row],[TOTAL PAYMENT]]-PaymentSchedule[[#This Row],[INTEREST]],"")</f>
        <v>4520.2579438023358</v>
      </c>
      <c r="I18" s="431">
        <f ca="1">IF(PaymentSchedule[[#This Row],[PMT NO]]&lt;&gt;"",PaymentSchedule[[#This Row],[BEGINNING BALANCE]]*(InterestRate/PaymentsPerYear),"")</f>
        <v>4903.3754930005734</v>
      </c>
      <c r="J1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2349099.9786964729</v>
      </c>
      <c r="K18" s="431">
        <f ca="1">IF(PaymentSchedule[[#This Row],[PMT NO]]&lt;&gt;"",SUM(INDEX(PaymentSchedule[INTEREST],1,1):PaymentSchedule[[#This Row],[INTEREST]]),"")</f>
        <v>39489.046190896239</v>
      </c>
      <c r="Q18" s="428" t="s">
        <v>477</v>
      </c>
      <c r="R18" s="428" t="s">
        <v>133</v>
      </c>
      <c r="S18" s="428" t="s">
        <v>11844</v>
      </c>
    </row>
    <row r="19" spans="2:20">
      <c r="B19" s="432">
        <f ca="1">IF(LoanIsGood,IF(ROW()-ROW(PaymentSchedule[[#Headers],[PMT NO]])&gt;ScheduledNumberOfPayments,"",ROW()-ROW(PaymentSchedule[[#Headers],[PMT NO]])),"")</f>
        <v>9</v>
      </c>
      <c r="C19" s="430">
        <f ca="1">IF(PaymentSchedule[[#This Row],[PMT NO]]&lt;&gt;"",EOMONTH(LoanStartDate,ROW(PaymentSchedule[[#This Row],[PMT NO]])-ROW(PaymentSchedule[[#Headers],[PMT NO]])-2)+DAY(LoanStartDate),"")</f>
        <v>44197</v>
      </c>
      <c r="D19" s="431">
        <f ca="1">IF(PaymentSchedule[[#This Row],[PMT NO]]&lt;&gt;"",IF(ROW()-ROW(PaymentSchedule[[#Headers],[BEGINNING BALANCE]])=1,LoanAmount,INDEX(PaymentSchedule[ENDING BALANCE],ROW()-ROW(PaymentSchedule[[#Headers],[BEGINNING BALANCE]])-1)),"")</f>
        <v>2349099.9786964729</v>
      </c>
      <c r="E19" s="431">
        <f ca="1">IF(PaymentSchedule[[#This Row],[PMT NO]]&lt;&gt;"",ScheduledPayment,"")</f>
        <v>9423.6334368029093</v>
      </c>
      <c r="F1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" s="431">
        <f ca="1">IF(PaymentSchedule[[#This Row],[PMT NO]]&lt;&gt;"",PaymentSchedule[[#This Row],[TOTAL PAYMENT]]-PaymentSchedule[[#This Row],[INTEREST]],"")</f>
        <v>4529.6751478519236</v>
      </c>
      <c r="I19" s="431">
        <f ca="1">IF(PaymentSchedule[[#This Row],[PMT NO]]&lt;&gt;"",PaymentSchedule[[#This Row],[BEGINNING BALANCE]]*(InterestRate/PaymentsPerYear),"")</f>
        <v>4893.9582889509857</v>
      </c>
      <c r="J1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2344570.303548621</v>
      </c>
      <c r="K19" s="431">
        <f ca="1">IF(PaymentSchedule[[#This Row],[PMT NO]]&lt;&gt;"",SUM(INDEX(PaymentSchedule[INTEREST],1,1):PaymentSchedule[[#This Row],[INTEREST]]),"")</f>
        <v>44383.004479847223</v>
      </c>
      <c r="N19" s="428">
        <v>2.625</v>
      </c>
      <c r="O19" s="478">
        <v>9655.98</v>
      </c>
      <c r="P19" s="479">
        <v>-8943</v>
      </c>
      <c r="Q19" s="478">
        <f>O19-$O$20</f>
        <v>192.82999999999993</v>
      </c>
      <c r="R19" s="478">
        <f>Q19*12</f>
        <v>2313.9599999999991</v>
      </c>
      <c r="S19" s="477">
        <f>P19/R19</f>
        <v>-3.8648031945236752</v>
      </c>
      <c r="T19" s="428" t="s">
        <v>11845</v>
      </c>
    </row>
    <row r="20" spans="2:20">
      <c r="B20" s="432">
        <f ca="1">IF(LoanIsGood,IF(ROW()-ROW(PaymentSchedule[[#Headers],[PMT NO]])&gt;ScheduledNumberOfPayments,"",ROW()-ROW(PaymentSchedule[[#Headers],[PMT NO]])),"")</f>
        <v>10</v>
      </c>
      <c r="C20" s="430">
        <f ca="1">IF(PaymentSchedule[[#This Row],[PMT NO]]&lt;&gt;"",EOMONTH(LoanStartDate,ROW(PaymentSchedule[[#This Row],[PMT NO]])-ROW(PaymentSchedule[[#Headers],[PMT NO]])-2)+DAY(LoanStartDate),"")</f>
        <v>44228</v>
      </c>
      <c r="D20" s="431">
        <f ca="1">IF(PaymentSchedule[[#This Row],[PMT NO]]&lt;&gt;"",IF(ROW()-ROW(PaymentSchedule[[#Headers],[BEGINNING BALANCE]])=1,LoanAmount,INDEX(PaymentSchedule[ENDING BALANCE],ROW()-ROW(PaymentSchedule[[#Headers],[BEGINNING BALANCE]])-1)),"")</f>
        <v>2344570.303548621</v>
      </c>
      <c r="E20" s="431">
        <f ca="1">IF(PaymentSchedule[[#This Row],[PMT NO]]&lt;&gt;"",ScheduledPayment,"")</f>
        <v>9423.6334368029093</v>
      </c>
      <c r="F2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" s="431">
        <f ca="1">IF(PaymentSchedule[[#This Row],[PMT NO]]&lt;&gt;"",PaymentSchedule[[#This Row],[TOTAL PAYMENT]]-PaymentSchedule[[#This Row],[INTEREST]],"")</f>
        <v>4539.1119710766152</v>
      </c>
      <c r="I20" s="431">
        <f ca="1">IF(PaymentSchedule[[#This Row],[PMT NO]]&lt;&gt;"",PaymentSchedule[[#This Row],[BEGINNING BALANCE]]*(InterestRate/PaymentsPerYear),"")</f>
        <v>4884.5214657262941</v>
      </c>
      <c r="J2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2340031.1915775444</v>
      </c>
      <c r="K20" s="431">
        <f ca="1">IF(PaymentSchedule[[#This Row],[PMT NO]]&lt;&gt;"",SUM(INDEX(PaymentSchedule[INTEREST],1,1):PaymentSchedule[[#This Row],[INTEREST]]),"")</f>
        <v>49267.525945573514</v>
      </c>
      <c r="N20" s="428">
        <v>2.5</v>
      </c>
      <c r="O20" s="478">
        <v>9463.15</v>
      </c>
      <c r="P20" s="478">
        <v>0</v>
      </c>
      <c r="Q20" s="478">
        <f>O20-$O$20</f>
        <v>0</v>
      </c>
      <c r="R20" s="478">
        <f>Q20*12</f>
        <v>0</v>
      </c>
      <c r="S20" s="477"/>
    </row>
    <row r="21" spans="2:20">
      <c r="B21" s="432">
        <f ca="1">IF(LoanIsGood,IF(ROW()-ROW(PaymentSchedule[[#Headers],[PMT NO]])&gt;ScheduledNumberOfPayments,"",ROW()-ROW(PaymentSchedule[[#Headers],[PMT NO]])),"")</f>
        <v>11</v>
      </c>
      <c r="C21" s="430">
        <f ca="1">IF(PaymentSchedule[[#This Row],[PMT NO]]&lt;&gt;"",EOMONTH(LoanStartDate,ROW(PaymentSchedule[[#This Row],[PMT NO]])-ROW(PaymentSchedule[[#Headers],[PMT NO]])-2)+DAY(LoanStartDate),"")</f>
        <v>44256</v>
      </c>
      <c r="D21" s="431">
        <f ca="1">IF(PaymentSchedule[[#This Row],[PMT NO]]&lt;&gt;"",IF(ROW()-ROW(PaymentSchedule[[#Headers],[BEGINNING BALANCE]])=1,LoanAmount,INDEX(PaymentSchedule[ENDING BALANCE],ROW()-ROW(PaymentSchedule[[#Headers],[BEGINNING BALANCE]])-1)),"")</f>
        <v>2340031.1915775444</v>
      </c>
      <c r="E21" s="431">
        <f ca="1">IF(PaymentSchedule[[#This Row],[PMT NO]]&lt;&gt;"",ScheduledPayment,"")</f>
        <v>9423.6334368029093</v>
      </c>
      <c r="F2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" s="431">
        <f ca="1">IF(PaymentSchedule[[#This Row],[PMT NO]]&lt;&gt;"",PaymentSchedule[[#This Row],[TOTAL PAYMENT]]-PaymentSchedule[[#This Row],[INTEREST]],"")</f>
        <v>4548.5684543496918</v>
      </c>
      <c r="I21" s="431">
        <f ca="1">IF(PaymentSchedule[[#This Row],[PMT NO]]&lt;&gt;"",PaymentSchedule[[#This Row],[BEGINNING BALANCE]]*(InterestRate/PaymentsPerYear),"")</f>
        <v>4875.0649824532175</v>
      </c>
      <c r="J2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2335482.6231231946</v>
      </c>
      <c r="K21" s="431">
        <f ca="1">IF(PaymentSchedule[[#This Row],[PMT NO]]&lt;&gt;"",SUM(INDEX(PaymentSchedule[INTEREST],1,1):PaymentSchedule[[#This Row],[INTEREST]]),"")</f>
        <v>54142.59092802673</v>
      </c>
      <c r="N21" s="428">
        <v>2.375</v>
      </c>
      <c r="O21" s="478">
        <v>9269</v>
      </c>
      <c r="P21" s="480">
        <v>14906</v>
      </c>
      <c r="Q21" s="478">
        <f>O21-$O$20</f>
        <v>-194.14999999999964</v>
      </c>
      <c r="R21" s="478">
        <f>Q21*12</f>
        <v>-2329.7999999999956</v>
      </c>
      <c r="S21" s="428">
        <f>P21/R21</f>
        <v>-6.3979740750279115</v>
      </c>
      <c r="T21" s="428" t="s">
        <v>11845</v>
      </c>
    </row>
    <row r="22" spans="2:20">
      <c r="B22" s="432">
        <f ca="1">IF(LoanIsGood,IF(ROW()-ROW(PaymentSchedule[[#Headers],[PMT NO]])&gt;ScheduledNumberOfPayments,"",ROW()-ROW(PaymentSchedule[[#Headers],[PMT NO]])),"")</f>
        <v>12</v>
      </c>
      <c r="C22" s="430">
        <f ca="1">IF(PaymentSchedule[[#This Row],[PMT NO]]&lt;&gt;"",EOMONTH(LoanStartDate,ROW(PaymentSchedule[[#This Row],[PMT NO]])-ROW(PaymentSchedule[[#Headers],[PMT NO]])-2)+DAY(LoanStartDate),"")</f>
        <v>44287</v>
      </c>
      <c r="D22" s="431">
        <f ca="1">IF(PaymentSchedule[[#This Row],[PMT NO]]&lt;&gt;"",IF(ROW()-ROW(PaymentSchedule[[#Headers],[BEGINNING BALANCE]])=1,LoanAmount,INDEX(PaymentSchedule[ENDING BALANCE],ROW()-ROW(PaymentSchedule[[#Headers],[BEGINNING BALANCE]])-1)),"")</f>
        <v>2335482.6231231946</v>
      </c>
      <c r="E22" s="431">
        <f ca="1">IF(PaymentSchedule[[#This Row],[PMT NO]]&lt;&gt;"",ScheduledPayment,"")</f>
        <v>9423.6334368029093</v>
      </c>
      <c r="F2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" s="431">
        <f ca="1">IF(PaymentSchedule[[#This Row],[PMT NO]]&lt;&gt;"",PaymentSchedule[[#This Row],[TOTAL PAYMENT]]-PaymentSchedule[[#This Row],[INTEREST]],"")</f>
        <v>4558.0446386295871</v>
      </c>
      <c r="I22" s="431">
        <f ca="1">IF(PaymentSchedule[[#This Row],[PMT NO]]&lt;&gt;"",PaymentSchedule[[#This Row],[BEGINNING BALANCE]]*(InterestRate/PaymentsPerYear),"")</f>
        <v>4865.5887981733222</v>
      </c>
      <c r="J2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2330924.578484565</v>
      </c>
      <c r="K22" s="431">
        <f ca="1">IF(PaymentSchedule[[#This Row],[PMT NO]]&lt;&gt;"",SUM(INDEX(PaymentSchedule[INTEREST],1,1):PaymentSchedule[[#This Row],[INTEREST]]),"")</f>
        <v>59008.179726200055</v>
      </c>
      <c r="O22" s="478"/>
      <c r="P22" s="478"/>
      <c r="Q22" s="478"/>
      <c r="R22" s="478"/>
    </row>
    <row r="23" spans="2:20">
      <c r="B23" s="432">
        <f ca="1">IF(LoanIsGood,IF(ROW()-ROW(PaymentSchedule[[#Headers],[PMT NO]])&gt;ScheduledNumberOfPayments,"",ROW()-ROW(PaymentSchedule[[#Headers],[PMT NO]])),"")</f>
        <v>13</v>
      </c>
      <c r="C23" s="430">
        <f ca="1">IF(PaymentSchedule[[#This Row],[PMT NO]]&lt;&gt;"",EOMONTH(LoanStartDate,ROW(PaymentSchedule[[#This Row],[PMT NO]])-ROW(PaymentSchedule[[#Headers],[PMT NO]])-2)+DAY(LoanStartDate),"")</f>
        <v>44317</v>
      </c>
      <c r="D23" s="431">
        <f ca="1">IF(PaymentSchedule[[#This Row],[PMT NO]]&lt;&gt;"",IF(ROW()-ROW(PaymentSchedule[[#Headers],[BEGINNING BALANCE]])=1,LoanAmount,INDEX(PaymentSchedule[ENDING BALANCE],ROW()-ROW(PaymentSchedule[[#Headers],[BEGINNING BALANCE]])-1)),"")</f>
        <v>2330924.578484565</v>
      </c>
      <c r="E23" s="431">
        <f ca="1">IF(PaymentSchedule[[#This Row],[PMT NO]]&lt;&gt;"",ScheduledPayment,"")</f>
        <v>9423.6334368029093</v>
      </c>
      <c r="F2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" s="431">
        <f ca="1">IF(PaymentSchedule[[#This Row],[PMT NO]]&lt;&gt;"",PaymentSchedule[[#This Row],[TOTAL PAYMENT]]-PaymentSchedule[[#This Row],[INTEREST]],"")</f>
        <v>4567.5405649600652</v>
      </c>
      <c r="I23" s="431">
        <f ca="1">IF(PaymentSchedule[[#This Row],[PMT NO]]&lt;&gt;"",PaymentSchedule[[#This Row],[BEGINNING BALANCE]]*(InterestRate/PaymentsPerYear),"")</f>
        <v>4856.092871842844</v>
      </c>
      <c r="J2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2326357.0379196052</v>
      </c>
      <c r="K23" s="431">
        <f ca="1">IF(PaymentSchedule[[#This Row],[PMT NO]]&lt;&gt;"",SUM(INDEX(PaymentSchedule[INTEREST],1,1):PaymentSchedule[[#This Row],[INTEREST]]),"")</f>
        <v>63864.272598042895</v>
      </c>
      <c r="O23" s="478"/>
      <c r="P23" s="478"/>
      <c r="Q23" s="478"/>
      <c r="R23" s="478"/>
    </row>
    <row r="24" spans="2:20">
      <c r="B24" s="432">
        <f ca="1">IF(LoanIsGood,IF(ROW()-ROW(PaymentSchedule[[#Headers],[PMT NO]])&gt;ScheduledNumberOfPayments,"",ROW()-ROW(PaymentSchedule[[#Headers],[PMT NO]])),"")</f>
        <v>14</v>
      </c>
      <c r="C24" s="430">
        <f ca="1">IF(PaymentSchedule[[#This Row],[PMT NO]]&lt;&gt;"",EOMONTH(LoanStartDate,ROW(PaymentSchedule[[#This Row],[PMT NO]])-ROW(PaymentSchedule[[#Headers],[PMT NO]])-2)+DAY(LoanStartDate),"")</f>
        <v>44348</v>
      </c>
      <c r="D24" s="431">
        <f ca="1">IF(PaymentSchedule[[#This Row],[PMT NO]]&lt;&gt;"",IF(ROW()-ROW(PaymentSchedule[[#Headers],[BEGINNING BALANCE]])=1,LoanAmount,INDEX(PaymentSchedule[ENDING BALANCE],ROW()-ROW(PaymentSchedule[[#Headers],[BEGINNING BALANCE]])-1)),"")</f>
        <v>2326357.0379196052</v>
      </c>
      <c r="E24" s="431">
        <f ca="1">IF(PaymentSchedule[[#This Row],[PMT NO]]&lt;&gt;"",ScheduledPayment,"")</f>
        <v>9423.6334368029093</v>
      </c>
      <c r="F2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" s="431">
        <f ca="1">IF(PaymentSchedule[[#This Row],[PMT NO]]&lt;&gt;"",PaymentSchedule[[#This Row],[TOTAL PAYMENT]]-PaymentSchedule[[#This Row],[INTEREST]],"")</f>
        <v>4577.0562744703984</v>
      </c>
      <c r="I24" s="431">
        <f ca="1">IF(PaymentSchedule[[#This Row],[PMT NO]]&lt;&gt;"",PaymentSchedule[[#This Row],[BEGINNING BALANCE]]*(InterestRate/PaymentsPerYear),"")</f>
        <v>4846.5771623325109</v>
      </c>
      <c r="J2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2321779.9816451347</v>
      </c>
      <c r="K24" s="431">
        <f ca="1">IF(PaymentSchedule[[#This Row],[PMT NO]]&lt;&gt;"",SUM(INDEX(PaymentSchedule[INTEREST],1,1):PaymentSchedule[[#This Row],[INTEREST]]),"")</f>
        <v>68710.849760375408</v>
      </c>
      <c r="N24" s="428">
        <v>2.625</v>
      </c>
      <c r="O24" s="478">
        <v>1068030.8799999999</v>
      </c>
      <c r="P24" s="478">
        <f>O24-O25</f>
        <v>56297.879999999888</v>
      </c>
      <c r="Q24" s="478"/>
      <c r="R24" s="478"/>
    </row>
    <row r="25" spans="2:20">
      <c r="B25" s="432">
        <f ca="1">IF(LoanIsGood,IF(ROW()-ROW(PaymentSchedule[[#Headers],[PMT NO]])&gt;ScheduledNumberOfPayments,"",ROW()-ROW(PaymentSchedule[[#Headers],[PMT NO]])),"")</f>
        <v>15</v>
      </c>
      <c r="C25" s="430">
        <f ca="1">IF(PaymentSchedule[[#This Row],[PMT NO]]&lt;&gt;"",EOMONTH(LoanStartDate,ROW(PaymentSchedule[[#This Row],[PMT NO]])-ROW(PaymentSchedule[[#Headers],[PMT NO]])-2)+DAY(LoanStartDate),"")</f>
        <v>44378</v>
      </c>
      <c r="D25" s="431">
        <f ca="1">IF(PaymentSchedule[[#This Row],[PMT NO]]&lt;&gt;"",IF(ROW()-ROW(PaymentSchedule[[#Headers],[BEGINNING BALANCE]])=1,LoanAmount,INDEX(PaymentSchedule[ENDING BALANCE],ROW()-ROW(PaymentSchedule[[#Headers],[BEGINNING BALANCE]])-1)),"")</f>
        <v>2321779.9816451347</v>
      </c>
      <c r="E25" s="431">
        <f ca="1">IF(PaymentSchedule[[#This Row],[PMT NO]]&lt;&gt;"",ScheduledPayment,"")</f>
        <v>9423.6334368029093</v>
      </c>
      <c r="F2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" s="431">
        <f ca="1">IF(PaymentSchedule[[#This Row],[PMT NO]]&lt;&gt;"",PaymentSchedule[[#This Row],[TOTAL PAYMENT]]-PaymentSchedule[[#This Row],[INTEREST]],"")</f>
        <v>4586.591808375545</v>
      </c>
      <c r="I25" s="431">
        <f ca="1">IF(PaymentSchedule[[#This Row],[PMT NO]]&lt;&gt;"",PaymentSchedule[[#This Row],[BEGINNING BALANCE]]*(InterestRate/PaymentsPerYear),"")</f>
        <v>4837.0416284273642</v>
      </c>
      <c r="J2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2317193.3898367593</v>
      </c>
      <c r="K25" s="431">
        <f ca="1">IF(PaymentSchedule[[#This Row],[PMT NO]]&lt;&gt;"",SUM(INDEX(PaymentSchedule[INTEREST],1,1):PaymentSchedule[[#This Row],[INTEREST]]),"")</f>
        <v>73547.891388802775</v>
      </c>
      <c r="N25" s="428">
        <v>2.5</v>
      </c>
      <c r="O25" s="478">
        <f>1011733</f>
        <v>1011733</v>
      </c>
      <c r="P25" s="478">
        <f>O25-O25</f>
        <v>0</v>
      </c>
      <c r="Q25" s="478"/>
      <c r="R25" s="478"/>
    </row>
    <row r="26" spans="2:20">
      <c r="B26" s="432">
        <f ca="1">IF(LoanIsGood,IF(ROW()-ROW(PaymentSchedule[[#Headers],[PMT NO]])&gt;ScheduledNumberOfPayments,"",ROW()-ROW(PaymentSchedule[[#Headers],[PMT NO]])),"")</f>
        <v>16</v>
      </c>
      <c r="C26" s="430">
        <f ca="1">IF(PaymentSchedule[[#This Row],[PMT NO]]&lt;&gt;"",EOMONTH(LoanStartDate,ROW(PaymentSchedule[[#This Row],[PMT NO]])-ROW(PaymentSchedule[[#Headers],[PMT NO]])-2)+DAY(LoanStartDate),"")</f>
        <v>44409</v>
      </c>
      <c r="D26" s="431">
        <f ca="1">IF(PaymentSchedule[[#This Row],[PMT NO]]&lt;&gt;"",IF(ROW()-ROW(PaymentSchedule[[#Headers],[BEGINNING BALANCE]])=1,LoanAmount,INDEX(PaymentSchedule[ENDING BALANCE],ROW()-ROW(PaymentSchedule[[#Headers],[BEGINNING BALANCE]])-1)),"")</f>
        <v>2317193.3898367593</v>
      </c>
      <c r="E26" s="431">
        <f ca="1">IF(PaymentSchedule[[#This Row],[PMT NO]]&lt;&gt;"",ScheduledPayment,"")</f>
        <v>9423.6334368029093</v>
      </c>
      <c r="F2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" s="431">
        <f ca="1">IF(PaymentSchedule[[#This Row],[PMT NO]]&lt;&gt;"",PaymentSchedule[[#This Row],[TOTAL PAYMENT]]-PaymentSchedule[[#This Row],[INTEREST]],"")</f>
        <v>4596.1472079763271</v>
      </c>
      <c r="I26" s="431">
        <f ca="1">IF(PaymentSchedule[[#This Row],[PMT NO]]&lt;&gt;"",PaymentSchedule[[#This Row],[BEGINNING BALANCE]]*(InterestRate/PaymentsPerYear),"")</f>
        <v>4827.4862288265822</v>
      </c>
      <c r="J2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2312597.242628783</v>
      </c>
      <c r="K26" s="431">
        <f ca="1">IF(PaymentSchedule[[#This Row],[PMT NO]]&lt;&gt;"",SUM(INDEX(PaymentSchedule[INTEREST],1,1):PaymentSchedule[[#This Row],[INTEREST]]),"")</f>
        <v>78375.377617629361</v>
      </c>
      <c r="N26" s="428">
        <v>2.375</v>
      </c>
      <c r="O26" s="478">
        <f>955963</f>
        <v>955963</v>
      </c>
      <c r="P26" s="478">
        <f>O26-O25</f>
        <v>-55770</v>
      </c>
      <c r="Q26" s="478">
        <f>P26/12</f>
        <v>-4647.5</v>
      </c>
      <c r="R26" s="478"/>
    </row>
    <row r="27" spans="2:20">
      <c r="B27" s="432">
        <f ca="1">IF(LoanIsGood,IF(ROW()-ROW(PaymentSchedule[[#Headers],[PMT NO]])&gt;ScheduledNumberOfPayments,"",ROW()-ROW(PaymentSchedule[[#Headers],[PMT NO]])),"")</f>
        <v>17</v>
      </c>
      <c r="C27" s="430">
        <f ca="1">IF(PaymentSchedule[[#This Row],[PMT NO]]&lt;&gt;"",EOMONTH(LoanStartDate,ROW(PaymentSchedule[[#This Row],[PMT NO]])-ROW(PaymentSchedule[[#Headers],[PMT NO]])-2)+DAY(LoanStartDate),"")</f>
        <v>44440</v>
      </c>
      <c r="D27" s="431">
        <f ca="1">IF(PaymentSchedule[[#This Row],[PMT NO]]&lt;&gt;"",IF(ROW()-ROW(PaymentSchedule[[#Headers],[BEGINNING BALANCE]])=1,LoanAmount,INDEX(PaymentSchedule[ENDING BALANCE],ROW()-ROW(PaymentSchedule[[#Headers],[BEGINNING BALANCE]])-1)),"")</f>
        <v>2312597.242628783</v>
      </c>
      <c r="E27" s="431">
        <f ca="1">IF(PaymentSchedule[[#This Row],[PMT NO]]&lt;&gt;"",ScheduledPayment,"")</f>
        <v>9423.6334368029093</v>
      </c>
      <c r="F2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" s="431">
        <f ca="1">IF(PaymentSchedule[[#This Row],[PMT NO]]&lt;&gt;"",PaymentSchedule[[#This Row],[TOTAL PAYMENT]]-PaymentSchedule[[#This Row],[INTEREST]],"")</f>
        <v>4605.7225146596111</v>
      </c>
      <c r="I27" s="431">
        <f ca="1">IF(PaymentSchedule[[#This Row],[PMT NO]]&lt;&gt;"",PaymentSchedule[[#This Row],[BEGINNING BALANCE]]*(InterestRate/PaymentsPerYear),"")</f>
        <v>4817.9109221432982</v>
      </c>
      <c r="J2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2307991.5201141234</v>
      </c>
      <c r="K27" s="431">
        <f ca="1">IF(PaymentSchedule[[#This Row],[PMT NO]]&lt;&gt;"",SUM(INDEX(PaymentSchedule[INTEREST],1,1):PaymentSchedule[[#This Row],[INTEREST]]),"")</f>
        <v>83193.288539772664</v>
      </c>
    </row>
    <row r="28" spans="2:20">
      <c r="B28" s="432">
        <f ca="1">IF(LoanIsGood,IF(ROW()-ROW(PaymentSchedule[[#Headers],[PMT NO]])&gt;ScheduledNumberOfPayments,"",ROW()-ROW(PaymentSchedule[[#Headers],[PMT NO]])),"")</f>
        <v>18</v>
      </c>
      <c r="C28" s="430">
        <f ca="1">IF(PaymentSchedule[[#This Row],[PMT NO]]&lt;&gt;"",EOMONTH(LoanStartDate,ROW(PaymentSchedule[[#This Row],[PMT NO]])-ROW(PaymentSchedule[[#Headers],[PMT NO]])-2)+DAY(LoanStartDate),"")</f>
        <v>44470</v>
      </c>
      <c r="D28" s="431">
        <f ca="1">IF(PaymentSchedule[[#This Row],[PMT NO]]&lt;&gt;"",IF(ROW()-ROW(PaymentSchedule[[#Headers],[BEGINNING BALANCE]])=1,LoanAmount,INDEX(PaymentSchedule[ENDING BALANCE],ROW()-ROW(PaymentSchedule[[#Headers],[BEGINNING BALANCE]])-1)),"")</f>
        <v>2307991.5201141234</v>
      </c>
      <c r="E28" s="431">
        <f ca="1">IF(PaymentSchedule[[#This Row],[PMT NO]]&lt;&gt;"",ScheduledPayment,"")</f>
        <v>9423.6334368029093</v>
      </c>
      <c r="F2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" s="431">
        <f ca="1">IF(PaymentSchedule[[#This Row],[PMT NO]]&lt;&gt;"",PaymentSchedule[[#This Row],[TOTAL PAYMENT]]-PaymentSchedule[[#This Row],[INTEREST]],"")</f>
        <v>4615.3177698984855</v>
      </c>
      <c r="I28" s="431">
        <f ca="1">IF(PaymentSchedule[[#This Row],[PMT NO]]&lt;&gt;"",PaymentSchedule[[#This Row],[BEGINNING BALANCE]]*(InterestRate/PaymentsPerYear),"")</f>
        <v>4808.3156669044238</v>
      </c>
      <c r="J2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2303376.2023442248</v>
      </c>
      <c r="K28" s="431">
        <f ca="1">IF(PaymentSchedule[[#This Row],[PMT NO]]&lt;&gt;"",SUM(INDEX(PaymentSchedule[INTEREST],1,1):PaymentSchedule[[#This Row],[INTEREST]]),"")</f>
        <v>88001.60420667709</v>
      </c>
    </row>
    <row r="29" spans="2:20">
      <c r="B29" s="432">
        <f ca="1">IF(LoanIsGood,IF(ROW()-ROW(PaymentSchedule[[#Headers],[PMT NO]])&gt;ScheduledNumberOfPayments,"",ROW()-ROW(PaymentSchedule[[#Headers],[PMT NO]])),"")</f>
        <v>19</v>
      </c>
      <c r="C29" s="430">
        <f ca="1">IF(PaymentSchedule[[#This Row],[PMT NO]]&lt;&gt;"",EOMONTH(LoanStartDate,ROW(PaymentSchedule[[#This Row],[PMT NO]])-ROW(PaymentSchedule[[#Headers],[PMT NO]])-2)+DAY(LoanStartDate),"")</f>
        <v>44501</v>
      </c>
      <c r="D29" s="431">
        <f ca="1">IF(PaymentSchedule[[#This Row],[PMT NO]]&lt;&gt;"",IF(ROW()-ROW(PaymentSchedule[[#Headers],[BEGINNING BALANCE]])=1,LoanAmount,INDEX(PaymentSchedule[ENDING BALANCE],ROW()-ROW(PaymentSchedule[[#Headers],[BEGINNING BALANCE]])-1)),"")</f>
        <v>2303376.2023442248</v>
      </c>
      <c r="E29" s="431">
        <f ca="1">IF(PaymentSchedule[[#This Row],[PMT NO]]&lt;&gt;"",ScheduledPayment,"")</f>
        <v>9423.6334368029093</v>
      </c>
      <c r="F2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" s="431">
        <f ca="1">IF(PaymentSchedule[[#This Row],[PMT NO]]&lt;&gt;"",PaymentSchedule[[#This Row],[TOTAL PAYMENT]]-PaymentSchedule[[#This Row],[INTEREST]],"")</f>
        <v>4624.9330152524408</v>
      </c>
      <c r="I29" s="431">
        <f ca="1">IF(PaymentSchedule[[#This Row],[PMT NO]]&lt;&gt;"",PaymentSchedule[[#This Row],[BEGINNING BALANCE]]*(InterestRate/PaymentsPerYear),"")</f>
        <v>4798.7004215504685</v>
      </c>
      <c r="J2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2298751.2693289723</v>
      </c>
      <c r="K29" s="431">
        <f ca="1">IF(PaymentSchedule[[#This Row],[PMT NO]]&lt;&gt;"",SUM(INDEX(PaymentSchedule[INTEREST],1,1):PaymentSchedule[[#This Row],[INTEREST]]),"")</f>
        <v>92800.304628227561</v>
      </c>
    </row>
    <row r="30" spans="2:20">
      <c r="B30" s="432">
        <f ca="1">IF(LoanIsGood,IF(ROW()-ROW(PaymentSchedule[[#Headers],[PMT NO]])&gt;ScheduledNumberOfPayments,"",ROW()-ROW(PaymentSchedule[[#Headers],[PMT NO]])),"")</f>
        <v>20</v>
      </c>
      <c r="C30" s="430">
        <f ca="1">IF(PaymentSchedule[[#This Row],[PMT NO]]&lt;&gt;"",EOMONTH(LoanStartDate,ROW(PaymentSchedule[[#This Row],[PMT NO]])-ROW(PaymentSchedule[[#Headers],[PMT NO]])-2)+DAY(LoanStartDate),"")</f>
        <v>44531</v>
      </c>
      <c r="D30" s="431">
        <f ca="1">IF(PaymentSchedule[[#This Row],[PMT NO]]&lt;&gt;"",IF(ROW()-ROW(PaymentSchedule[[#Headers],[BEGINNING BALANCE]])=1,LoanAmount,INDEX(PaymentSchedule[ENDING BALANCE],ROW()-ROW(PaymentSchedule[[#Headers],[BEGINNING BALANCE]])-1)),"")</f>
        <v>2298751.2693289723</v>
      </c>
      <c r="E30" s="431">
        <f ca="1">IF(PaymentSchedule[[#This Row],[PMT NO]]&lt;&gt;"",ScheduledPayment,"")</f>
        <v>9423.6334368029093</v>
      </c>
      <c r="F3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" s="431">
        <f ca="1">IF(PaymentSchedule[[#This Row],[PMT NO]]&lt;&gt;"",PaymentSchedule[[#This Row],[TOTAL PAYMENT]]-PaymentSchedule[[#This Row],[INTEREST]],"")</f>
        <v>4634.5682923675504</v>
      </c>
      <c r="I30" s="431">
        <f ca="1">IF(PaymentSchedule[[#This Row],[PMT NO]]&lt;&gt;"",PaymentSchedule[[#This Row],[BEGINNING BALANCE]]*(InterestRate/PaymentsPerYear),"")</f>
        <v>4789.0651444353589</v>
      </c>
      <c r="J3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2294116.7010366046</v>
      </c>
      <c r="K30" s="431">
        <f ca="1">IF(PaymentSchedule[[#This Row],[PMT NO]]&lt;&gt;"",SUM(INDEX(PaymentSchedule[INTEREST],1,1):PaymentSchedule[[#This Row],[INTEREST]]),"")</f>
        <v>97589.369772662918</v>
      </c>
    </row>
    <row r="31" spans="2:20">
      <c r="B31" s="432">
        <f ca="1">IF(LoanIsGood,IF(ROW()-ROW(PaymentSchedule[[#Headers],[PMT NO]])&gt;ScheduledNumberOfPayments,"",ROW()-ROW(PaymentSchedule[[#Headers],[PMT NO]])),"")</f>
        <v>21</v>
      </c>
      <c r="C31" s="430">
        <f ca="1">IF(PaymentSchedule[[#This Row],[PMT NO]]&lt;&gt;"",EOMONTH(LoanStartDate,ROW(PaymentSchedule[[#This Row],[PMT NO]])-ROW(PaymentSchedule[[#Headers],[PMT NO]])-2)+DAY(LoanStartDate),"")</f>
        <v>44562</v>
      </c>
      <c r="D31" s="431">
        <f ca="1">IF(PaymentSchedule[[#This Row],[PMT NO]]&lt;&gt;"",IF(ROW()-ROW(PaymentSchedule[[#Headers],[BEGINNING BALANCE]])=1,LoanAmount,INDEX(PaymentSchedule[ENDING BALANCE],ROW()-ROW(PaymentSchedule[[#Headers],[BEGINNING BALANCE]])-1)),"")</f>
        <v>2294116.7010366046</v>
      </c>
      <c r="E31" s="431">
        <f ca="1">IF(PaymentSchedule[[#This Row],[PMT NO]]&lt;&gt;"",ScheduledPayment,"")</f>
        <v>9423.6334368029093</v>
      </c>
      <c r="F3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" s="431">
        <f ca="1">IF(PaymentSchedule[[#This Row],[PMT NO]]&lt;&gt;"",PaymentSchedule[[#This Row],[TOTAL PAYMENT]]-PaymentSchedule[[#This Row],[INTEREST]],"")</f>
        <v>4644.2236429766499</v>
      </c>
      <c r="I31" s="431">
        <f ca="1">IF(PaymentSchedule[[#This Row],[PMT NO]]&lt;&gt;"",PaymentSchedule[[#This Row],[BEGINNING BALANCE]]*(InterestRate/PaymentsPerYear),"")</f>
        <v>4779.4097938262594</v>
      </c>
      <c r="J3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2289472.4773936281</v>
      </c>
      <c r="K31" s="431">
        <f ca="1">IF(PaymentSchedule[[#This Row],[PMT NO]]&lt;&gt;"",SUM(INDEX(PaymentSchedule[INTEREST],1,1):PaymentSchedule[[#This Row],[INTEREST]]),"")</f>
        <v>102368.77956648917</v>
      </c>
    </row>
    <row r="32" spans="2:20">
      <c r="B32" s="432">
        <f ca="1">IF(LoanIsGood,IF(ROW()-ROW(PaymentSchedule[[#Headers],[PMT NO]])&gt;ScheduledNumberOfPayments,"",ROW()-ROW(PaymentSchedule[[#Headers],[PMT NO]])),"")</f>
        <v>22</v>
      </c>
      <c r="C32" s="430">
        <f ca="1">IF(PaymentSchedule[[#This Row],[PMT NO]]&lt;&gt;"",EOMONTH(LoanStartDate,ROW(PaymentSchedule[[#This Row],[PMT NO]])-ROW(PaymentSchedule[[#Headers],[PMT NO]])-2)+DAY(LoanStartDate),"")</f>
        <v>44593</v>
      </c>
      <c r="D32" s="431">
        <f ca="1">IF(PaymentSchedule[[#This Row],[PMT NO]]&lt;&gt;"",IF(ROW()-ROW(PaymentSchedule[[#Headers],[BEGINNING BALANCE]])=1,LoanAmount,INDEX(PaymentSchedule[ENDING BALANCE],ROW()-ROW(PaymentSchedule[[#Headers],[BEGINNING BALANCE]])-1)),"")</f>
        <v>2289472.4773936281</v>
      </c>
      <c r="E32" s="431">
        <f ca="1">IF(PaymentSchedule[[#This Row],[PMT NO]]&lt;&gt;"",ScheduledPayment,"")</f>
        <v>9423.6334368029093</v>
      </c>
      <c r="F3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" s="431">
        <f ca="1">IF(PaymentSchedule[[#This Row],[PMT NO]]&lt;&gt;"",PaymentSchedule[[#This Row],[TOTAL PAYMENT]]-PaymentSchedule[[#This Row],[INTEREST]],"")</f>
        <v>4653.8991088995172</v>
      </c>
      <c r="I32" s="431">
        <f ca="1">IF(PaymentSchedule[[#This Row],[PMT NO]]&lt;&gt;"",PaymentSchedule[[#This Row],[BEGINNING BALANCE]]*(InterestRate/PaymentsPerYear),"")</f>
        <v>4769.7343279033921</v>
      </c>
      <c r="J3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2284818.5782847288</v>
      </c>
      <c r="K32" s="431">
        <f ca="1">IF(PaymentSchedule[[#This Row],[PMT NO]]&lt;&gt;"",SUM(INDEX(PaymentSchedule[INTEREST],1,1):PaymentSchedule[[#This Row],[INTEREST]]),"")</f>
        <v>107138.51389439257</v>
      </c>
    </row>
    <row r="33" spans="2:11">
      <c r="B33" s="454">
        <f ca="1">IF(LoanIsGood,IF(ROW()-ROW(PaymentSchedule[[#Headers],[PMT NO]])&gt;ScheduledNumberOfPayments,"",ROW()-ROW(PaymentSchedule[[#Headers],[PMT NO]])),"")</f>
        <v>23</v>
      </c>
      <c r="C33" s="455">
        <f ca="1">IF(PaymentSchedule[[#This Row],[PMT NO]]&lt;&gt;"",EOMONTH(LoanStartDate,ROW(PaymentSchedule[[#This Row],[PMT NO]])-ROW(PaymentSchedule[[#Headers],[PMT NO]])-2)+DAY(LoanStartDate),"")</f>
        <v>44621</v>
      </c>
      <c r="D33" s="456">
        <f ca="1">IF(PaymentSchedule[[#This Row],[PMT NO]]&lt;&gt;"",IF(ROW()-ROW(PaymentSchedule[[#Headers],[BEGINNING BALANCE]])=1,LoanAmount,INDEX(PaymentSchedule[ENDING BALANCE],ROW()-ROW(PaymentSchedule[[#Headers],[BEGINNING BALANCE]])-1)),"")</f>
        <v>2284818.5782847288</v>
      </c>
      <c r="E33" s="456">
        <f ca="1">IF(PaymentSchedule[[#This Row],[PMT NO]]&lt;&gt;"",ScheduledPayment,"")</f>
        <v>9423.6334368029093</v>
      </c>
      <c r="F33" s="456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" s="456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" s="456">
        <f ca="1">IF(PaymentSchedule[[#This Row],[PMT NO]]&lt;&gt;"",PaymentSchedule[[#This Row],[TOTAL PAYMENT]]-PaymentSchedule[[#This Row],[INTEREST]],"")</f>
        <v>4663.5947320430578</v>
      </c>
      <c r="I33" s="456">
        <f ca="1">IF(PaymentSchedule[[#This Row],[PMT NO]]&lt;&gt;"",PaymentSchedule[[#This Row],[BEGINNING BALANCE]]*(InterestRate/PaymentsPerYear),"")</f>
        <v>4760.0387047598515</v>
      </c>
      <c r="J33" s="456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2280154.9835526859</v>
      </c>
      <c r="K33" s="456">
        <f ca="1">IF(PaymentSchedule[[#This Row],[PMT NO]]&lt;&gt;"",SUM(INDEX(PaymentSchedule[INTEREST],1,1):PaymentSchedule[[#This Row],[INTEREST]]),"")</f>
        <v>111898.55259915242</v>
      </c>
    </row>
    <row r="34" spans="2:11">
      <c r="B34" s="432">
        <f ca="1">IF(LoanIsGood,IF(ROW()-ROW(PaymentSchedule[[#Headers],[PMT NO]])&gt;ScheduledNumberOfPayments,"",ROW()-ROW(PaymentSchedule[[#Headers],[PMT NO]])),"")</f>
        <v>24</v>
      </c>
      <c r="C34" s="430">
        <f ca="1">IF(PaymentSchedule[[#This Row],[PMT NO]]&lt;&gt;"",EOMONTH(LoanStartDate,ROW(PaymentSchedule[[#This Row],[PMT NO]])-ROW(PaymentSchedule[[#Headers],[PMT NO]])-2)+DAY(LoanStartDate),"")</f>
        <v>44652</v>
      </c>
      <c r="D34" s="431">
        <f ca="1">IF(PaymentSchedule[[#This Row],[PMT NO]]&lt;&gt;"",IF(ROW()-ROW(PaymentSchedule[[#Headers],[BEGINNING BALANCE]])=1,LoanAmount,INDEX(PaymentSchedule[ENDING BALANCE],ROW()-ROW(PaymentSchedule[[#Headers],[BEGINNING BALANCE]])-1)),"")</f>
        <v>2280154.9835526859</v>
      </c>
      <c r="E34" s="431">
        <f ca="1">IF(PaymentSchedule[[#This Row],[PMT NO]]&lt;&gt;"",ScheduledPayment,"")</f>
        <v>9423.6334368029093</v>
      </c>
      <c r="F3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" s="431">
        <f ca="1">IF(PaymentSchedule[[#This Row],[PMT NO]]&lt;&gt;"",PaymentSchedule[[#This Row],[TOTAL PAYMENT]]-PaymentSchedule[[#This Row],[INTEREST]],"")</f>
        <v>4673.3105544014807</v>
      </c>
      <c r="I34" s="431">
        <f ca="1">IF(PaymentSchedule[[#This Row],[PMT NO]]&lt;&gt;"",PaymentSchedule[[#This Row],[BEGINNING BALANCE]]*(InterestRate/PaymentsPerYear),"")</f>
        <v>4750.3228824014286</v>
      </c>
      <c r="J3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2275481.6729982845</v>
      </c>
      <c r="K34" s="431">
        <f ca="1">IF(PaymentSchedule[[#This Row],[PMT NO]]&lt;&gt;"",SUM(INDEX(PaymentSchedule[INTEREST],1,1):PaymentSchedule[[#This Row],[INTEREST]]),"")</f>
        <v>116648.87548155384</v>
      </c>
    </row>
    <row r="35" spans="2:11">
      <c r="B35" s="432">
        <f ca="1">IF(LoanIsGood,IF(ROW()-ROW(PaymentSchedule[[#Headers],[PMT NO]])&gt;ScheduledNumberOfPayments,"",ROW()-ROW(PaymentSchedule[[#Headers],[PMT NO]])),"")</f>
        <v>25</v>
      </c>
      <c r="C35" s="430">
        <f ca="1">IF(PaymentSchedule[[#This Row],[PMT NO]]&lt;&gt;"",EOMONTH(LoanStartDate,ROW(PaymentSchedule[[#This Row],[PMT NO]])-ROW(PaymentSchedule[[#Headers],[PMT NO]])-2)+DAY(LoanStartDate),"")</f>
        <v>44682</v>
      </c>
      <c r="D35" s="431">
        <f ca="1">IF(PaymentSchedule[[#This Row],[PMT NO]]&lt;&gt;"",IF(ROW()-ROW(PaymentSchedule[[#Headers],[BEGINNING BALANCE]])=1,LoanAmount,INDEX(PaymentSchedule[ENDING BALANCE],ROW()-ROW(PaymentSchedule[[#Headers],[BEGINNING BALANCE]])-1)),"")</f>
        <v>2275481.6729982845</v>
      </c>
      <c r="E35" s="431">
        <f ca="1">IF(PaymentSchedule[[#This Row],[PMT NO]]&lt;&gt;"",ScheduledPayment,"")</f>
        <v>9423.6334368029093</v>
      </c>
      <c r="F3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" s="431">
        <f ca="1">IF(PaymentSchedule[[#This Row],[PMT NO]]&lt;&gt;"",PaymentSchedule[[#This Row],[TOTAL PAYMENT]]-PaymentSchedule[[#This Row],[INTEREST]],"")</f>
        <v>4683.0466180564836</v>
      </c>
      <c r="I35" s="431">
        <f ca="1">IF(PaymentSchedule[[#This Row],[PMT NO]]&lt;&gt;"",PaymentSchedule[[#This Row],[BEGINNING BALANCE]]*(InterestRate/PaymentsPerYear),"")</f>
        <v>4740.5868187464257</v>
      </c>
      <c r="J3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2270798.626380228</v>
      </c>
      <c r="K35" s="431">
        <f ca="1">IF(PaymentSchedule[[#This Row],[PMT NO]]&lt;&gt;"",SUM(INDEX(PaymentSchedule[INTEREST],1,1):PaymentSchedule[[#This Row],[INTEREST]]),"")</f>
        <v>121389.46230030026</v>
      </c>
    </row>
    <row r="36" spans="2:11">
      <c r="B36" s="432">
        <f ca="1">IF(LoanIsGood,IF(ROW()-ROW(PaymentSchedule[[#Headers],[PMT NO]])&gt;ScheduledNumberOfPayments,"",ROW()-ROW(PaymentSchedule[[#Headers],[PMT NO]])),"")</f>
        <v>26</v>
      </c>
      <c r="C36" s="430">
        <f ca="1">IF(PaymentSchedule[[#This Row],[PMT NO]]&lt;&gt;"",EOMONTH(LoanStartDate,ROW(PaymentSchedule[[#This Row],[PMT NO]])-ROW(PaymentSchedule[[#Headers],[PMT NO]])-2)+DAY(LoanStartDate),"")</f>
        <v>44713</v>
      </c>
      <c r="D36" s="431">
        <f ca="1">IF(PaymentSchedule[[#This Row],[PMT NO]]&lt;&gt;"",IF(ROW()-ROW(PaymentSchedule[[#Headers],[BEGINNING BALANCE]])=1,LoanAmount,INDEX(PaymentSchedule[ENDING BALANCE],ROW()-ROW(PaymentSchedule[[#Headers],[BEGINNING BALANCE]])-1)),"")</f>
        <v>2270798.626380228</v>
      </c>
      <c r="E36" s="431">
        <f ca="1">IF(PaymentSchedule[[#This Row],[PMT NO]]&lt;&gt;"",ScheduledPayment,"")</f>
        <v>9423.6334368029093</v>
      </c>
      <c r="F3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" s="431">
        <f ca="1">IF(PaymentSchedule[[#This Row],[PMT NO]]&lt;&gt;"",PaymentSchedule[[#This Row],[TOTAL PAYMENT]]-PaymentSchedule[[#This Row],[INTEREST]],"")</f>
        <v>4692.8029651774341</v>
      </c>
      <c r="I36" s="431">
        <f ca="1">IF(PaymentSchedule[[#This Row],[PMT NO]]&lt;&gt;"",PaymentSchedule[[#This Row],[BEGINNING BALANCE]]*(InterestRate/PaymentsPerYear),"")</f>
        <v>4730.8304716254752</v>
      </c>
      <c r="J3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2266105.8234150507</v>
      </c>
      <c r="K36" s="431">
        <f ca="1">IF(PaymentSchedule[[#This Row],[PMT NO]]&lt;&gt;"",SUM(INDEX(PaymentSchedule[INTEREST],1,1):PaymentSchedule[[#This Row],[INTEREST]]),"")</f>
        <v>126120.29277192574</v>
      </c>
    </row>
    <row r="37" spans="2:11">
      <c r="B37" s="432">
        <f ca="1">IF(LoanIsGood,IF(ROW()-ROW(PaymentSchedule[[#Headers],[PMT NO]])&gt;ScheduledNumberOfPayments,"",ROW()-ROW(PaymentSchedule[[#Headers],[PMT NO]])),"")</f>
        <v>27</v>
      </c>
      <c r="C37" s="430">
        <f ca="1">IF(PaymentSchedule[[#This Row],[PMT NO]]&lt;&gt;"",EOMONTH(LoanStartDate,ROW(PaymentSchedule[[#This Row],[PMT NO]])-ROW(PaymentSchedule[[#Headers],[PMT NO]])-2)+DAY(LoanStartDate),"")</f>
        <v>44743</v>
      </c>
      <c r="D37" s="431">
        <f ca="1">IF(PaymentSchedule[[#This Row],[PMT NO]]&lt;&gt;"",IF(ROW()-ROW(PaymentSchedule[[#Headers],[BEGINNING BALANCE]])=1,LoanAmount,INDEX(PaymentSchedule[ENDING BALANCE],ROW()-ROW(PaymentSchedule[[#Headers],[BEGINNING BALANCE]])-1)),"")</f>
        <v>2266105.8234150507</v>
      </c>
      <c r="E37" s="431">
        <f ca="1">IF(PaymentSchedule[[#This Row],[PMT NO]]&lt;&gt;"",ScheduledPayment,"")</f>
        <v>9423.6334368029093</v>
      </c>
      <c r="F3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7" s="431">
        <f ca="1">IF(PaymentSchedule[[#This Row],[PMT NO]]&lt;&gt;"",PaymentSchedule[[#This Row],[TOTAL PAYMENT]]-PaymentSchedule[[#This Row],[INTEREST]],"")</f>
        <v>4702.5796380215534</v>
      </c>
      <c r="I37" s="431">
        <f ca="1">IF(PaymentSchedule[[#This Row],[PMT NO]]&lt;&gt;"",PaymentSchedule[[#This Row],[BEGINNING BALANCE]]*(InterestRate/PaymentsPerYear),"")</f>
        <v>4721.0537987813559</v>
      </c>
      <c r="J3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2261403.2437770292</v>
      </c>
      <c r="K37" s="431">
        <f ca="1">IF(PaymentSchedule[[#This Row],[PMT NO]]&lt;&gt;"",SUM(INDEX(PaymentSchedule[INTEREST],1,1):PaymentSchedule[[#This Row],[INTEREST]]),"")</f>
        <v>130841.3465707071</v>
      </c>
    </row>
    <row r="38" spans="2:11">
      <c r="B38" s="432">
        <f ca="1">IF(LoanIsGood,IF(ROW()-ROW(PaymentSchedule[[#Headers],[PMT NO]])&gt;ScheduledNumberOfPayments,"",ROW()-ROW(PaymentSchedule[[#Headers],[PMT NO]])),"")</f>
        <v>28</v>
      </c>
      <c r="C38" s="430">
        <f ca="1">IF(PaymentSchedule[[#This Row],[PMT NO]]&lt;&gt;"",EOMONTH(LoanStartDate,ROW(PaymentSchedule[[#This Row],[PMT NO]])-ROW(PaymentSchedule[[#Headers],[PMT NO]])-2)+DAY(LoanStartDate),"")</f>
        <v>44774</v>
      </c>
      <c r="D38" s="431">
        <f ca="1">IF(PaymentSchedule[[#This Row],[PMT NO]]&lt;&gt;"",IF(ROW()-ROW(PaymentSchedule[[#Headers],[BEGINNING BALANCE]])=1,LoanAmount,INDEX(PaymentSchedule[ENDING BALANCE],ROW()-ROW(PaymentSchedule[[#Headers],[BEGINNING BALANCE]])-1)),"")</f>
        <v>2261403.2437770292</v>
      </c>
      <c r="E38" s="431">
        <f ca="1">IF(PaymentSchedule[[#This Row],[PMT NO]]&lt;&gt;"",ScheduledPayment,"")</f>
        <v>9423.6334368029093</v>
      </c>
      <c r="F3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8" s="431">
        <f ca="1">IF(PaymentSchedule[[#This Row],[PMT NO]]&lt;&gt;"",PaymentSchedule[[#This Row],[TOTAL PAYMENT]]-PaymentSchedule[[#This Row],[INTEREST]],"")</f>
        <v>4712.3766789340989</v>
      </c>
      <c r="I38" s="431">
        <f ca="1">IF(PaymentSchedule[[#This Row],[PMT NO]]&lt;&gt;"",PaymentSchedule[[#This Row],[BEGINNING BALANCE]]*(InterestRate/PaymentsPerYear),"")</f>
        <v>4711.2567578688104</v>
      </c>
      <c r="J3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2256690.8670980949</v>
      </c>
      <c r="K38" s="431">
        <f ca="1">IF(PaymentSchedule[[#This Row],[PMT NO]]&lt;&gt;"",SUM(INDEX(PaymentSchedule[INTEREST],1,1):PaymentSchedule[[#This Row],[INTEREST]]),"")</f>
        <v>135552.6033285759</v>
      </c>
    </row>
    <row r="39" spans="2:11">
      <c r="B39" s="432">
        <f ca="1">IF(LoanIsGood,IF(ROW()-ROW(PaymentSchedule[[#Headers],[PMT NO]])&gt;ScheduledNumberOfPayments,"",ROW()-ROW(PaymentSchedule[[#Headers],[PMT NO]])),"")</f>
        <v>29</v>
      </c>
      <c r="C39" s="430">
        <f ca="1">IF(PaymentSchedule[[#This Row],[PMT NO]]&lt;&gt;"",EOMONTH(LoanStartDate,ROW(PaymentSchedule[[#This Row],[PMT NO]])-ROW(PaymentSchedule[[#Headers],[PMT NO]])-2)+DAY(LoanStartDate),"")</f>
        <v>44805</v>
      </c>
      <c r="D39" s="431">
        <f ca="1">IF(PaymentSchedule[[#This Row],[PMT NO]]&lt;&gt;"",IF(ROW()-ROW(PaymentSchedule[[#Headers],[BEGINNING BALANCE]])=1,LoanAmount,INDEX(PaymentSchedule[ENDING BALANCE],ROW()-ROW(PaymentSchedule[[#Headers],[BEGINNING BALANCE]])-1)),"")</f>
        <v>2256690.8670980949</v>
      </c>
      <c r="E39" s="431">
        <f ca="1">IF(PaymentSchedule[[#This Row],[PMT NO]]&lt;&gt;"",ScheduledPayment,"")</f>
        <v>9423.6334368029093</v>
      </c>
      <c r="F3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9" s="431">
        <f ca="1">IF(PaymentSchedule[[#This Row],[PMT NO]]&lt;&gt;"",PaymentSchedule[[#This Row],[TOTAL PAYMENT]]-PaymentSchedule[[#This Row],[INTEREST]],"")</f>
        <v>4722.1941303485446</v>
      </c>
      <c r="I39" s="431">
        <f ca="1">IF(PaymentSchedule[[#This Row],[PMT NO]]&lt;&gt;"",PaymentSchedule[[#This Row],[BEGINNING BALANCE]]*(InterestRate/PaymentsPerYear),"")</f>
        <v>4701.4393064543647</v>
      </c>
      <c r="J3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2251968.6729677464</v>
      </c>
      <c r="K39" s="431">
        <f ca="1">IF(PaymentSchedule[[#This Row],[PMT NO]]&lt;&gt;"",SUM(INDEX(PaymentSchedule[INTEREST],1,1):PaymentSchedule[[#This Row],[INTEREST]]),"")</f>
        <v>140254.04263503026</v>
      </c>
    </row>
    <row r="40" spans="2:11">
      <c r="B40" s="432">
        <f ca="1">IF(LoanIsGood,IF(ROW()-ROW(PaymentSchedule[[#Headers],[PMT NO]])&gt;ScheduledNumberOfPayments,"",ROW()-ROW(PaymentSchedule[[#Headers],[PMT NO]])),"")</f>
        <v>30</v>
      </c>
      <c r="C40" s="430">
        <f ca="1">IF(PaymentSchedule[[#This Row],[PMT NO]]&lt;&gt;"",EOMONTH(LoanStartDate,ROW(PaymentSchedule[[#This Row],[PMT NO]])-ROW(PaymentSchedule[[#Headers],[PMT NO]])-2)+DAY(LoanStartDate),"")</f>
        <v>44835</v>
      </c>
      <c r="D40" s="431">
        <f ca="1">IF(PaymentSchedule[[#This Row],[PMT NO]]&lt;&gt;"",IF(ROW()-ROW(PaymentSchedule[[#Headers],[BEGINNING BALANCE]])=1,LoanAmount,INDEX(PaymentSchedule[ENDING BALANCE],ROW()-ROW(PaymentSchedule[[#Headers],[BEGINNING BALANCE]])-1)),"")</f>
        <v>2251968.6729677464</v>
      </c>
      <c r="E40" s="431">
        <f ca="1">IF(PaymentSchedule[[#This Row],[PMT NO]]&lt;&gt;"",ScheduledPayment,"")</f>
        <v>9423.6334368029093</v>
      </c>
      <c r="F4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0" s="431">
        <f ca="1">IF(PaymentSchedule[[#This Row],[PMT NO]]&lt;&gt;"",PaymentSchedule[[#This Row],[TOTAL PAYMENT]]-PaymentSchedule[[#This Row],[INTEREST]],"")</f>
        <v>4732.032034786771</v>
      </c>
      <c r="I40" s="431">
        <f ca="1">IF(PaymentSchedule[[#This Row],[PMT NO]]&lt;&gt;"",PaymentSchedule[[#This Row],[BEGINNING BALANCE]]*(InterestRate/PaymentsPerYear),"")</f>
        <v>4691.6014020161383</v>
      </c>
      <c r="J4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2247236.6409329595</v>
      </c>
      <c r="K40" s="431">
        <f ca="1">IF(PaymentSchedule[[#This Row],[PMT NO]]&lt;&gt;"",SUM(INDEX(PaymentSchedule[INTEREST],1,1):PaymentSchedule[[#This Row],[INTEREST]]),"")</f>
        <v>144945.64403704641</v>
      </c>
    </row>
    <row r="41" spans="2:11">
      <c r="B41" s="432">
        <f ca="1">IF(LoanIsGood,IF(ROW()-ROW(PaymentSchedule[[#Headers],[PMT NO]])&gt;ScheduledNumberOfPayments,"",ROW()-ROW(PaymentSchedule[[#Headers],[PMT NO]])),"")</f>
        <v>31</v>
      </c>
      <c r="C41" s="430">
        <f ca="1">IF(PaymentSchedule[[#This Row],[PMT NO]]&lt;&gt;"",EOMONTH(LoanStartDate,ROW(PaymentSchedule[[#This Row],[PMT NO]])-ROW(PaymentSchedule[[#Headers],[PMT NO]])-2)+DAY(LoanStartDate),"")</f>
        <v>44866</v>
      </c>
      <c r="D41" s="431">
        <f ca="1">IF(PaymentSchedule[[#This Row],[PMT NO]]&lt;&gt;"",IF(ROW()-ROW(PaymentSchedule[[#Headers],[BEGINNING BALANCE]])=1,LoanAmount,INDEX(PaymentSchedule[ENDING BALANCE],ROW()-ROW(PaymentSchedule[[#Headers],[BEGINNING BALANCE]])-1)),"")</f>
        <v>2247236.6409329595</v>
      </c>
      <c r="E41" s="431">
        <f ca="1">IF(PaymentSchedule[[#This Row],[PMT NO]]&lt;&gt;"",ScheduledPayment,"")</f>
        <v>9423.6334368029093</v>
      </c>
      <c r="F4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1" s="431">
        <f ca="1">IF(PaymentSchedule[[#This Row],[PMT NO]]&lt;&gt;"",PaymentSchedule[[#This Row],[TOTAL PAYMENT]]-PaymentSchedule[[#This Row],[INTEREST]],"")</f>
        <v>4741.8904348592441</v>
      </c>
      <c r="I41" s="431">
        <f ca="1">IF(PaymentSchedule[[#This Row],[PMT NO]]&lt;&gt;"",PaymentSchedule[[#This Row],[BEGINNING BALANCE]]*(InterestRate/PaymentsPerYear),"")</f>
        <v>4681.7430019436651</v>
      </c>
      <c r="J4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2242494.7504981002</v>
      </c>
      <c r="K41" s="431">
        <f ca="1">IF(PaymentSchedule[[#This Row],[PMT NO]]&lt;&gt;"",SUM(INDEX(PaymentSchedule[INTEREST],1,1):PaymentSchedule[[#This Row],[INTEREST]]),"")</f>
        <v>149627.38703899007</v>
      </c>
    </row>
    <row r="42" spans="2:11">
      <c r="B42" s="432">
        <f ca="1">IF(LoanIsGood,IF(ROW()-ROW(PaymentSchedule[[#Headers],[PMT NO]])&gt;ScheduledNumberOfPayments,"",ROW()-ROW(PaymentSchedule[[#Headers],[PMT NO]])),"")</f>
        <v>32</v>
      </c>
      <c r="C42" s="430">
        <f ca="1">IF(PaymentSchedule[[#This Row],[PMT NO]]&lt;&gt;"",EOMONTH(LoanStartDate,ROW(PaymentSchedule[[#This Row],[PMT NO]])-ROW(PaymentSchedule[[#Headers],[PMT NO]])-2)+DAY(LoanStartDate),"")</f>
        <v>44896</v>
      </c>
      <c r="D42" s="431">
        <f ca="1">IF(PaymentSchedule[[#This Row],[PMT NO]]&lt;&gt;"",IF(ROW()-ROW(PaymentSchedule[[#Headers],[BEGINNING BALANCE]])=1,LoanAmount,INDEX(PaymentSchedule[ENDING BALANCE],ROW()-ROW(PaymentSchedule[[#Headers],[BEGINNING BALANCE]])-1)),"")</f>
        <v>2242494.7504981002</v>
      </c>
      <c r="E42" s="431">
        <f ca="1">IF(PaymentSchedule[[#This Row],[PMT NO]]&lt;&gt;"",ScheduledPayment,"")</f>
        <v>9423.6334368029093</v>
      </c>
      <c r="F4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2" s="431">
        <f ca="1">IF(PaymentSchedule[[#This Row],[PMT NO]]&lt;&gt;"",PaymentSchedule[[#This Row],[TOTAL PAYMENT]]-PaymentSchedule[[#This Row],[INTEREST]],"")</f>
        <v>4751.7693732652006</v>
      </c>
      <c r="I42" s="431">
        <f ca="1">IF(PaymentSchedule[[#This Row],[PMT NO]]&lt;&gt;"",PaymentSchedule[[#This Row],[BEGINNING BALANCE]]*(InterestRate/PaymentsPerYear),"")</f>
        <v>4671.8640635377087</v>
      </c>
      <c r="J4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2237742.9811248351</v>
      </c>
      <c r="K42" s="431">
        <f ca="1">IF(PaymentSchedule[[#This Row],[PMT NO]]&lt;&gt;"",SUM(INDEX(PaymentSchedule[INTEREST],1,1):PaymentSchedule[[#This Row],[INTEREST]]),"")</f>
        <v>154299.25110252778</v>
      </c>
    </row>
    <row r="43" spans="2:11">
      <c r="B43" s="432">
        <f ca="1">IF(LoanIsGood,IF(ROW()-ROW(PaymentSchedule[[#Headers],[PMT NO]])&gt;ScheduledNumberOfPayments,"",ROW()-ROW(PaymentSchedule[[#Headers],[PMT NO]])),"")</f>
        <v>33</v>
      </c>
      <c r="C43" s="430">
        <f ca="1">IF(PaymentSchedule[[#This Row],[PMT NO]]&lt;&gt;"",EOMONTH(LoanStartDate,ROW(PaymentSchedule[[#This Row],[PMT NO]])-ROW(PaymentSchedule[[#Headers],[PMT NO]])-2)+DAY(LoanStartDate),"")</f>
        <v>44927</v>
      </c>
      <c r="D43" s="431">
        <f ca="1">IF(PaymentSchedule[[#This Row],[PMT NO]]&lt;&gt;"",IF(ROW()-ROW(PaymentSchedule[[#Headers],[BEGINNING BALANCE]])=1,LoanAmount,INDEX(PaymentSchedule[ENDING BALANCE],ROW()-ROW(PaymentSchedule[[#Headers],[BEGINNING BALANCE]])-1)),"")</f>
        <v>2237742.9811248351</v>
      </c>
      <c r="E43" s="431">
        <f ca="1">IF(PaymentSchedule[[#This Row],[PMT NO]]&lt;&gt;"",ScheduledPayment,"")</f>
        <v>9423.6334368029093</v>
      </c>
      <c r="F4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3" s="431">
        <f ca="1">IF(PaymentSchedule[[#This Row],[PMT NO]]&lt;&gt;"",PaymentSchedule[[#This Row],[TOTAL PAYMENT]]-PaymentSchedule[[#This Row],[INTEREST]],"")</f>
        <v>4761.6688927928362</v>
      </c>
      <c r="I43" s="431">
        <f ca="1">IF(PaymentSchedule[[#This Row],[PMT NO]]&lt;&gt;"",PaymentSchedule[[#This Row],[BEGINNING BALANCE]]*(InterestRate/PaymentsPerYear),"")</f>
        <v>4661.964544010073</v>
      </c>
      <c r="J4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2232981.3122320422</v>
      </c>
      <c r="K43" s="431">
        <f ca="1">IF(PaymentSchedule[[#This Row],[PMT NO]]&lt;&gt;"",SUM(INDEX(PaymentSchedule[INTEREST],1,1):PaymentSchedule[[#This Row],[INTEREST]]),"")</f>
        <v>158961.21564653786</v>
      </c>
    </row>
    <row r="44" spans="2:11">
      <c r="B44" s="432">
        <f ca="1">IF(LoanIsGood,IF(ROW()-ROW(PaymentSchedule[[#Headers],[PMT NO]])&gt;ScheduledNumberOfPayments,"",ROW()-ROW(PaymentSchedule[[#Headers],[PMT NO]])),"")</f>
        <v>34</v>
      </c>
      <c r="C44" s="430">
        <f ca="1">IF(PaymentSchedule[[#This Row],[PMT NO]]&lt;&gt;"",EOMONTH(LoanStartDate,ROW(PaymentSchedule[[#This Row],[PMT NO]])-ROW(PaymentSchedule[[#Headers],[PMT NO]])-2)+DAY(LoanStartDate),"")</f>
        <v>44958</v>
      </c>
      <c r="D44" s="431">
        <f ca="1">IF(PaymentSchedule[[#This Row],[PMT NO]]&lt;&gt;"",IF(ROW()-ROW(PaymentSchedule[[#Headers],[BEGINNING BALANCE]])=1,LoanAmount,INDEX(PaymentSchedule[ENDING BALANCE],ROW()-ROW(PaymentSchedule[[#Headers],[BEGINNING BALANCE]])-1)),"")</f>
        <v>2232981.3122320422</v>
      </c>
      <c r="E44" s="431">
        <f ca="1">IF(PaymentSchedule[[#This Row],[PMT NO]]&lt;&gt;"",ScheduledPayment,"")</f>
        <v>9423.6334368029093</v>
      </c>
      <c r="F4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4" s="431">
        <f ca="1">IF(PaymentSchedule[[#This Row],[PMT NO]]&lt;&gt;"",PaymentSchedule[[#This Row],[TOTAL PAYMENT]]-PaymentSchedule[[#This Row],[INTEREST]],"")</f>
        <v>4771.5890363194885</v>
      </c>
      <c r="I44" s="431">
        <f ca="1">IF(PaymentSchedule[[#This Row],[PMT NO]]&lt;&gt;"",PaymentSchedule[[#This Row],[BEGINNING BALANCE]]*(InterestRate/PaymentsPerYear),"")</f>
        <v>4652.0444004834208</v>
      </c>
      <c r="J4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2228209.7231957228</v>
      </c>
      <c r="K44" s="431">
        <f ca="1">IF(PaymentSchedule[[#This Row],[PMT NO]]&lt;&gt;"",SUM(INDEX(PaymentSchedule[INTEREST],1,1):PaymentSchedule[[#This Row],[INTEREST]]),"")</f>
        <v>163613.26004702129</v>
      </c>
    </row>
    <row r="45" spans="2:11">
      <c r="B45" s="432">
        <f ca="1">IF(LoanIsGood,IF(ROW()-ROW(PaymentSchedule[[#Headers],[PMT NO]])&gt;ScheduledNumberOfPayments,"",ROW()-ROW(PaymentSchedule[[#Headers],[PMT NO]])),"")</f>
        <v>35</v>
      </c>
      <c r="C45" s="430">
        <f ca="1">IF(PaymentSchedule[[#This Row],[PMT NO]]&lt;&gt;"",EOMONTH(LoanStartDate,ROW(PaymentSchedule[[#This Row],[PMT NO]])-ROW(PaymentSchedule[[#Headers],[PMT NO]])-2)+DAY(LoanStartDate),"")</f>
        <v>44986</v>
      </c>
      <c r="D45" s="431">
        <f ca="1">IF(PaymentSchedule[[#This Row],[PMT NO]]&lt;&gt;"",IF(ROW()-ROW(PaymentSchedule[[#Headers],[BEGINNING BALANCE]])=1,LoanAmount,INDEX(PaymentSchedule[ENDING BALANCE],ROW()-ROW(PaymentSchedule[[#Headers],[BEGINNING BALANCE]])-1)),"")</f>
        <v>2228209.7231957228</v>
      </c>
      <c r="E45" s="431">
        <f ca="1">IF(PaymentSchedule[[#This Row],[PMT NO]]&lt;&gt;"",ScheduledPayment,"")</f>
        <v>9423.6334368029093</v>
      </c>
      <c r="F4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5" s="431">
        <f ca="1">IF(PaymentSchedule[[#This Row],[PMT NO]]&lt;&gt;"",PaymentSchedule[[#This Row],[TOTAL PAYMENT]]-PaymentSchedule[[#This Row],[INTEREST]],"")</f>
        <v>4781.5298468118199</v>
      </c>
      <c r="I45" s="431">
        <f ca="1">IF(PaymentSchedule[[#This Row],[PMT NO]]&lt;&gt;"",PaymentSchedule[[#This Row],[BEGINNING BALANCE]]*(InterestRate/PaymentsPerYear),"")</f>
        <v>4642.1035899910894</v>
      </c>
      <c r="J4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2223428.1933489111</v>
      </c>
      <c r="K45" s="431">
        <f ca="1">IF(PaymentSchedule[[#This Row],[PMT NO]]&lt;&gt;"",SUM(INDEX(PaymentSchedule[INTEREST],1,1):PaymentSchedule[[#This Row],[INTEREST]]),"")</f>
        <v>168255.36363701237</v>
      </c>
    </row>
    <row r="46" spans="2:11">
      <c r="B46" s="432">
        <f ca="1">IF(LoanIsGood,IF(ROW()-ROW(PaymentSchedule[[#Headers],[PMT NO]])&gt;ScheduledNumberOfPayments,"",ROW()-ROW(PaymentSchedule[[#Headers],[PMT NO]])),"")</f>
        <v>36</v>
      </c>
      <c r="C46" s="430">
        <f ca="1">IF(PaymentSchedule[[#This Row],[PMT NO]]&lt;&gt;"",EOMONTH(LoanStartDate,ROW(PaymentSchedule[[#This Row],[PMT NO]])-ROW(PaymentSchedule[[#Headers],[PMT NO]])-2)+DAY(LoanStartDate),"")</f>
        <v>45017</v>
      </c>
      <c r="D46" s="431">
        <f ca="1">IF(PaymentSchedule[[#This Row],[PMT NO]]&lt;&gt;"",IF(ROW()-ROW(PaymentSchedule[[#Headers],[BEGINNING BALANCE]])=1,LoanAmount,INDEX(PaymentSchedule[ENDING BALANCE],ROW()-ROW(PaymentSchedule[[#Headers],[BEGINNING BALANCE]])-1)),"")</f>
        <v>2223428.1933489111</v>
      </c>
      <c r="E46" s="431">
        <f ca="1">IF(PaymentSchedule[[#This Row],[PMT NO]]&lt;&gt;"",ScheduledPayment,"")</f>
        <v>9423.6334368029093</v>
      </c>
      <c r="F4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6" s="431">
        <f ca="1">IF(PaymentSchedule[[#This Row],[PMT NO]]&lt;&gt;"",PaymentSchedule[[#This Row],[TOTAL PAYMENT]]-PaymentSchedule[[#This Row],[INTEREST]],"")</f>
        <v>4791.4913673260107</v>
      </c>
      <c r="I46" s="431">
        <f ca="1">IF(PaymentSchedule[[#This Row],[PMT NO]]&lt;&gt;"",PaymentSchedule[[#This Row],[BEGINNING BALANCE]]*(InterestRate/PaymentsPerYear),"")</f>
        <v>4632.1420694768985</v>
      </c>
      <c r="J4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2218636.701981585</v>
      </c>
      <c r="K46" s="431">
        <f ca="1">IF(PaymentSchedule[[#This Row],[PMT NO]]&lt;&gt;"",SUM(INDEX(PaymentSchedule[INTEREST],1,1):PaymentSchedule[[#This Row],[INTEREST]]),"")</f>
        <v>172887.50570648926</v>
      </c>
    </row>
    <row r="47" spans="2:11">
      <c r="B47" s="432">
        <f ca="1">IF(LoanIsGood,IF(ROW()-ROW(PaymentSchedule[[#Headers],[PMT NO]])&gt;ScheduledNumberOfPayments,"",ROW()-ROW(PaymentSchedule[[#Headers],[PMT NO]])),"")</f>
        <v>37</v>
      </c>
      <c r="C47" s="430">
        <f ca="1">IF(PaymentSchedule[[#This Row],[PMT NO]]&lt;&gt;"",EOMONTH(LoanStartDate,ROW(PaymentSchedule[[#This Row],[PMT NO]])-ROW(PaymentSchedule[[#Headers],[PMT NO]])-2)+DAY(LoanStartDate),"")</f>
        <v>45047</v>
      </c>
      <c r="D47" s="431">
        <f ca="1">IF(PaymentSchedule[[#This Row],[PMT NO]]&lt;&gt;"",IF(ROW()-ROW(PaymentSchedule[[#Headers],[BEGINNING BALANCE]])=1,LoanAmount,INDEX(PaymentSchedule[ENDING BALANCE],ROW()-ROW(PaymentSchedule[[#Headers],[BEGINNING BALANCE]])-1)),"")</f>
        <v>2218636.701981585</v>
      </c>
      <c r="E47" s="431">
        <f ca="1">IF(PaymentSchedule[[#This Row],[PMT NO]]&lt;&gt;"",ScheduledPayment,"")</f>
        <v>9423.6334368029093</v>
      </c>
      <c r="F4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7" s="431">
        <f ca="1">IF(PaymentSchedule[[#This Row],[PMT NO]]&lt;&gt;"",PaymentSchedule[[#This Row],[TOTAL PAYMENT]]-PaymentSchedule[[#This Row],[INTEREST]],"")</f>
        <v>4801.4736410079404</v>
      </c>
      <c r="I47" s="431">
        <f ca="1">IF(PaymentSchedule[[#This Row],[PMT NO]]&lt;&gt;"",PaymentSchedule[[#This Row],[BEGINNING BALANCE]]*(InterestRate/PaymentsPerYear),"")</f>
        <v>4622.1597957949689</v>
      </c>
      <c r="J4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2213835.2283405769</v>
      </c>
      <c r="K47" s="431">
        <f ca="1">IF(PaymentSchedule[[#This Row],[PMT NO]]&lt;&gt;"",SUM(INDEX(PaymentSchedule[INTEREST],1,1):PaymentSchedule[[#This Row],[INTEREST]]),"")</f>
        <v>177509.66550228422</v>
      </c>
    </row>
    <row r="48" spans="2:11">
      <c r="B48" s="432">
        <f ca="1">IF(LoanIsGood,IF(ROW()-ROW(PaymentSchedule[[#Headers],[PMT NO]])&gt;ScheduledNumberOfPayments,"",ROW()-ROW(PaymentSchedule[[#Headers],[PMT NO]])),"")</f>
        <v>38</v>
      </c>
      <c r="C48" s="430">
        <f ca="1">IF(PaymentSchedule[[#This Row],[PMT NO]]&lt;&gt;"",EOMONTH(LoanStartDate,ROW(PaymentSchedule[[#This Row],[PMT NO]])-ROW(PaymentSchedule[[#Headers],[PMT NO]])-2)+DAY(LoanStartDate),"")</f>
        <v>45078</v>
      </c>
      <c r="D48" s="431">
        <f ca="1">IF(PaymentSchedule[[#This Row],[PMT NO]]&lt;&gt;"",IF(ROW()-ROW(PaymentSchedule[[#Headers],[BEGINNING BALANCE]])=1,LoanAmount,INDEX(PaymentSchedule[ENDING BALANCE],ROW()-ROW(PaymentSchedule[[#Headers],[BEGINNING BALANCE]])-1)),"")</f>
        <v>2213835.2283405769</v>
      </c>
      <c r="E48" s="431">
        <f ca="1">IF(PaymentSchedule[[#This Row],[PMT NO]]&lt;&gt;"",ScheduledPayment,"")</f>
        <v>9423.6334368029093</v>
      </c>
      <c r="F4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8" s="431">
        <f ca="1">IF(PaymentSchedule[[#This Row],[PMT NO]]&lt;&gt;"",PaymentSchedule[[#This Row],[TOTAL PAYMENT]]-PaymentSchedule[[#This Row],[INTEREST]],"")</f>
        <v>4811.4767110933744</v>
      </c>
      <c r="I48" s="431">
        <f ca="1">IF(PaymentSchedule[[#This Row],[PMT NO]]&lt;&gt;"",PaymentSchedule[[#This Row],[BEGINNING BALANCE]]*(InterestRate/PaymentsPerYear),"")</f>
        <v>4612.1567257095348</v>
      </c>
      <c r="J4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2209023.7516294834</v>
      </c>
      <c r="K48" s="431">
        <f ca="1">IF(PaymentSchedule[[#This Row],[PMT NO]]&lt;&gt;"",SUM(INDEX(PaymentSchedule[INTEREST],1,1):PaymentSchedule[[#This Row],[INTEREST]]),"")</f>
        <v>182121.82222799375</v>
      </c>
    </row>
    <row r="49" spans="2:11">
      <c r="B49" s="432">
        <f ca="1">IF(LoanIsGood,IF(ROW()-ROW(PaymentSchedule[[#Headers],[PMT NO]])&gt;ScheduledNumberOfPayments,"",ROW()-ROW(PaymentSchedule[[#Headers],[PMT NO]])),"")</f>
        <v>39</v>
      </c>
      <c r="C49" s="430">
        <f ca="1">IF(PaymentSchedule[[#This Row],[PMT NO]]&lt;&gt;"",EOMONTH(LoanStartDate,ROW(PaymentSchedule[[#This Row],[PMT NO]])-ROW(PaymentSchedule[[#Headers],[PMT NO]])-2)+DAY(LoanStartDate),"")</f>
        <v>45108</v>
      </c>
      <c r="D49" s="431">
        <f ca="1">IF(PaymentSchedule[[#This Row],[PMT NO]]&lt;&gt;"",IF(ROW()-ROW(PaymentSchedule[[#Headers],[BEGINNING BALANCE]])=1,LoanAmount,INDEX(PaymentSchedule[ENDING BALANCE],ROW()-ROW(PaymentSchedule[[#Headers],[BEGINNING BALANCE]])-1)),"")</f>
        <v>2209023.7516294834</v>
      </c>
      <c r="E49" s="431">
        <f ca="1">IF(PaymentSchedule[[#This Row],[PMT NO]]&lt;&gt;"",ScheduledPayment,"")</f>
        <v>9423.6334368029093</v>
      </c>
      <c r="F4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4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49" s="431">
        <f ca="1">IF(PaymentSchedule[[#This Row],[PMT NO]]&lt;&gt;"",PaymentSchedule[[#This Row],[TOTAL PAYMENT]]-PaymentSchedule[[#This Row],[INTEREST]],"")</f>
        <v>4821.5006209081521</v>
      </c>
      <c r="I49" s="431">
        <f ca="1">IF(PaymentSchedule[[#This Row],[PMT NO]]&lt;&gt;"",PaymentSchedule[[#This Row],[BEGINNING BALANCE]]*(InterestRate/PaymentsPerYear),"")</f>
        <v>4602.1328158947572</v>
      </c>
      <c r="J4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2204202.2510085753</v>
      </c>
      <c r="K49" s="431">
        <f ca="1">IF(PaymentSchedule[[#This Row],[PMT NO]]&lt;&gt;"",SUM(INDEX(PaymentSchedule[INTEREST],1,1):PaymentSchedule[[#This Row],[INTEREST]]),"")</f>
        <v>186723.95504388851</v>
      </c>
    </row>
    <row r="50" spans="2:11">
      <c r="B50" s="432">
        <f ca="1">IF(LoanIsGood,IF(ROW()-ROW(PaymentSchedule[[#Headers],[PMT NO]])&gt;ScheduledNumberOfPayments,"",ROW()-ROW(PaymentSchedule[[#Headers],[PMT NO]])),"")</f>
        <v>40</v>
      </c>
      <c r="C50" s="430">
        <f ca="1">IF(PaymentSchedule[[#This Row],[PMT NO]]&lt;&gt;"",EOMONTH(LoanStartDate,ROW(PaymentSchedule[[#This Row],[PMT NO]])-ROW(PaymentSchedule[[#Headers],[PMT NO]])-2)+DAY(LoanStartDate),"")</f>
        <v>45139</v>
      </c>
      <c r="D50" s="431">
        <f ca="1">IF(PaymentSchedule[[#This Row],[PMT NO]]&lt;&gt;"",IF(ROW()-ROW(PaymentSchedule[[#Headers],[BEGINNING BALANCE]])=1,LoanAmount,INDEX(PaymentSchedule[ENDING BALANCE],ROW()-ROW(PaymentSchedule[[#Headers],[BEGINNING BALANCE]])-1)),"")</f>
        <v>2204202.2510085753</v>
      </c>
      <c r="E50" s="431">
        <f ca="1">IF(PaymentSchedule[[#This Row],[PMT NO]]&lt;&gt;"",ScheduledPayment,"")</f>
        <v>9423.6334368029093</v>
      </c>
      <c r="F5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0" s="431">
        <f ca="1">IF(PaymentSchedule[[#This Row],[PMT NO]]&lt;&gt;"",PaymentSchedule[[#This Row],[TOTAL PAYMENT]]-PaymentSchedule[[#This Row],[INTEREST]],"")</f>
        <v>4831.5454138683772</v>
      </c>
      <c r="I50" s="431">
        <f ca="1">IF(PaymentSchedule[[#This Row],[PMT NO]]&lt;&gt;"",PaymentSchedule[[#This Row],[BEGINNING BALANCE]]*(InterestRate/PaymentsPerYear),"")</f>
        <v>4592.0880229345321</v>
      </c>
      <c r="J5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2199370.7055947068</v>
      </c>
      <c r="K50" s="431">
        <f ca="1">IF(PaymentSchedule[[#This Row],[PMT NO]]&lt;&gt;"",SUM(INDEX(PaymentSchedule[INTEREST],1,1):PaymentSchedule[[#This Row],[INTEREST]]),"")</f>
        <v>191316.04306682304</v>
      </c>
    </row>
    <row r="51" spans="2:11">
      <c r="B51" s="432">
        <f ca="1">IF(LoanIsGood,IF(ROW()-ROW(PaymentSchedule[[#Headers],[PMT NO]])&gt;ScheduledNumberOfPayments,"",ROW()-ROW(PaymentSchedule[[#Headers],[PMT NO]])),"")</f>
        <v>41</v>
      </c>
      <c r="C51" s="430">
        <f ca="1">IF(PaymentSchedule[[#This Row],[PMT NO]]&lt;&gt;"",EOMONTH(LoanStartDate,ROW(PaymentSchedule[[#This Row],[PMT NO]])-ROW(PaymentSchedule[[#Headers],[PMT NO]])-2)+DAY(LoanStartDate),"")</f>
        <v>45170</v>
      </c>
      <c r="D51" s="431">
        <f ca="1">IF(PaymentSchedule[[#This Row],[PMT NO]]&lt;&gt;"",IF(ROW()-ROW(PaymentSchedule[[#Headers],[BEGINNING BALANCE]])=1,LoanAmount,INDEX(PaymentSchedule[ENDING BALANCE],ROW()-ROW(PaymentSchedule[[#Headers],[BEGINNING BALANCE]])-1)),"")</f>
        <v>2199370.7055947068</v>
      </c>
      <c r="E51" s="431">
        <f ca="1">IF(PaymentSchedule[[#This Row],[PMT NO]]&lt;&gt;"",ScheduledPayment,"")</f>
        <v>9423.6334368029093</v>
      </c>
      <c r="F5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1" s="431">
        <f ca="1">IF(PaymentSchedule[[#This Row],[PMT NO]]&lt;&gt;"",PaymentSchedule[[#This Row],[TOTAL PAYMENT]]-PaymentSchedule[[#This Row],[INTEREST]],"")</f>
        <v>4841.6111334806037</v>
      </c>
      <c r="I51" s="431">
        <f ca="1">IF(PaymentSchedule[[#This Row],[PMT NO]]&lt;&gt;"",PaymentSchedule[[#This Row],[BEGINNING BALANCE]]*(InterestRate/PaymentsPerYear),"")</f>
        <v>4582.0223033223056</v>
      </c>
      <c r="J5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2194529.0944612264</v>
      </c>
      <c r="K51" s="431">
        <f ca="1">IF(PaymentSchedule[[#This Row],[PMT NO]]&lt;&gt;"",SUM(INDEX(PaymentSchedule[INTEREST],1,1):PaymentSchedule[[#This Row],[INTEREST]]),"")</f>
        <v>195898.06537014534</v>
      </c>
    </row>
    <row r="52" spans="2:11">
      <c r="B52" s="432">
        <f ca="1">IF(LoanIsGood,IF(ROW()-ROW(PaymentSchedule[[#Headers],[PMT NO]])&gt;ScheduledNumberOfPayments,"",ROW()-ROW(PaymentSchedule[[#Headers],[PMT NO]])),"")</f>
        <v>42</v>
      </c>
      <c r="C52" s="430">
        <f ca="1">IF(PaymentSchedule[[#This Row],[PMT NO]]&lt;&gt;"",EOMONTH(LoanStartDate,ROW(PaymentSchedule[[#This Row],[PMT NO]])-ROW(PaymentSchedule[[#Headers],[PMT NO]])-2)+DAY(LoanStartDate),"")</f>
        <v>45200</v>
      </c>
      <c r="D52" s="431">
        <f ca="1">IF(PaymentSchedule[[#This Row],[PMT NO]]&lt;&gt;"",IF(ROW()-ROW(PaymentSchedule[[#Headers],[BEGINNING BALANCE]])=1,LoanAmount,INDEX(PaymentSchedule[ENDING BALANCE],ROW()-ROW(PaymentSchedule[[#Headers],[BEGINNING BALANCE]])-1)),"")</f>
        <v>2194529.0944612264</v>
      </c>
      <c r="E52" s="431">
        <f ca="1">IF(PaymentSchedule[[#This Row],[PMT NO]]&lt;&gt;"",ScheduledPayment,"")</f>
        <v>9423.6334368029093</v>
      </c>
      <c r="F5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2" s="431">
        <f ca="1">IF(PaymentSchedule[[#This Row],[PMT NO]]&lt;&gt;"",PaymentSchedule[[#This Row],[TOTAL PAYMENT]]-PaymentSchedule[[#This Row],[INTEREST]],"")</f>
        <v>4851.6978233420214</v>
      </c>
      <c r="I52" s="431">
        <f ca="1">IF(PaymentSchedule[[#This Row],[PMT NO]]&lt;&gt;"",PaymentSchedule[[#This Row],[BEGINNING BALANCE]]*(InterestRate/PaymentsPerYear),"")</f>
        <v>4571.9356134608879</v>
      </c>
      <c r="J5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2189677.3966378844</v>
      </c>
      <c r="K52" s="431">
        <f ca="1">IF(PaymentSchedule[[#This Row],[PMT NO]]&lt;&gt;"",SUM(INDEX(PaymentSchedule[INTEREST],1,1):PaymentSchedule[[#This Row],[INTEREST]]),"")</f>
        <v>200470.00098360624</v>
      </c>
    </row>
    <row r="53" spans="2:11">
      <c r="B53" s="432">
        <f ca="1">IF(LoanIsGood,IF(ROW()-ROW(PaymentSchedule[[#Headers],[PMT NO]])&gt;ScheduledNumberOfPayments,"",ROW()-ROW(PaymentSchedule[[#Headers],[PMT NO]])),"")</f>
        <v>43</v>
      </c>
      <c r="C53" s="430">
        <f ca="1">IF(PaymentSchedule[[#This Row],[PMT NO]]&lt;&gt;"",EOMONTH(LoanStartDate,ROW(PaymentSchedule[[#This Row],[PMT NO]])-ROW(PaymentSchedule[[#Headers],[PMT NO]])-2)+DAY(LoanStartDate),"")</f>
        <v>45231</v>
      </c>
      <c r="D53" s="431">
        <f ca="1">IF(PaymentSchedule[[#This Row],[PMT NO]]&lt;&gt;"",IF(ROW()-ROW(PaymentSchedule[[#Headers],[BEGINNING BALANCE]])=1,LoanAmount,INDEX(PaymentSchedule[ENDING BALANCE],ROW()-ROW(PaymentSchedule[[#Headers],[BEGINNING BALANCE]])-1)),"")</f>
        <v>2189677.3966378844</v>
      </c>
      <c r="E53" s="431">
        <f ca="1">IF(PaymentSchedule[[#This Row],[PMT NO]]&lt;&gt;"",ScheduledPayment,"")</f>
        <v>9423.6334368029093</v>
      </c>
      <c r="F5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3" s="431">
        <f ca="1">IF(PaymentSchedule[[#This Row],[PMT NO]]&lt;&gt;"",PaymentSchedule[[#This Row],[TOTAL PAYMENT]]-PaymentSchedule[[#This Row],[INTEREST]],"")</f>
        <v>4861.8055271406502</v>
      </c>
      <c r="I53" s="431">
        <f ca="1">IF(PaymentSchedule[[#This Row],[PMT NO]]&lt;&gt;"",PaymentSchedule[[#This Row],[BEGINNING BALANCE]]*(InterestRate/PaymentsPerYear),"")</f>
        <v>4561.8279096622591</v>
      </c>
      <c r="J5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2184815.5911107436</v>
      </c>
      <c r="K53" s="431">
        <f ca="1">IF(PaymentSchedule[[#This Row],[PMT NO]]&lt;&gt;"",SUM(INDEX(PaymentSchedule[INTEREST],1,1):PaymentSchedule[[#This Row],[INTEREST]]),"")</f>
        <v>205031.82889326851</v>
      </c>
    </row>
    <row r="54" spans="2:11">
      <c r="B54" s="432">
        <f ca="1">IF(LoanIsGood,IF(ROW()-ROW(PaymentSchedule[[#Headers],[PMT NO]])&gt;ScheduledNumberOfPayments,"",ROW()-ROW(PaymentSchedule[[#Headers],[PMT NO]])),"")</f>
        <v>44</v>
      </c>
      <c r="C54" s="430">
        <f ca="1">IF(PaymentSchedule[[#This Row],[PMT NO]]&lt;&gt;"",EOMONTH(LoanStartDate,ROW(PaymentSchedule[[#This Row],[PMT NO]])-ROW(PaymentSchedule[[#Headers],[PMT NO]])-2)+DAY(LoanStartDate),"")</f>
        <v>45261</v>
      </c>
      <c r="D54" s="431">
        <f ca="1">IF(PaymentSchedule[[#This Row],[PMT NO]]&lt;&gt;"",IF(ROW()-ROW(PaymentSchedule[[#Headers],[BEGINNING BALANCE]])=1,LoanAmount,INDEX(PaymentSchedule[ENDING BALANCE],ROW()-ROW(PaymentSchedule[[#Headers],[BEGINNING BALANCE]])-1)),"")</f>
        <v>2184815.5911107436</v>
      </c>
      <c r="E54" s="431">
        <f ca="1">IF(PaymentSchedule[[#This Row],[PMT NO]]&lt;&gt;"",ScheduledPayment,"")</f>
        <v>9423.6334368029093</v>
      </c>
      <c r="F5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4" s="431">
        <f ca="1">IF(PaymentSchedule[[#This Row],[PMT NO]]&lt;&gt;"",PaymentSchedule[[#This Row],[TOTAL PAYMENT]]-PaymentSchedule[[#This Row],[INTEREST]],"")</f>
        <v>4871.9342886555269</v>
      </c>
      <c r="I54" s="431">
        <f ca="1">IF(PaymentSchedule[[#This Row],[PMT NO]]&lt;&gt;"",PaymentSchedule[[#This Row],[BEGINNING BALANCE]]*(InterestRate/PaymentsPerYear),"")</f>
        <v>4551.6991481473824</v>
      </c>
      <c r="J5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2179943.6568220882</v>
      </c>
      <c r="K54" s="431">
        <f ca="1">IF(PaymentSchedule[[#This Row],[PMT NO]]&lt;&gt;"",SUM(INDEX(PaymentSchedule[INTEREST],1,1):PaymentSchedule[[#This Row],[INTEREST]]),"")</f>
        <v>209583.52804141591</v>
      </c>
    </row>
    <row r="55" spans="2:11">
      <c r="B55" s="432">
        <f ca="1">IF(LoanIsGood,IF(ROW()-ROW(PaymentSchedule[[#Headers],[PMT NO]])&gt;ScheduledNumberOfPayments,"",ROW()-ROW(PaymentSchedule[[#Headers],[PMT NO]])),"")</f>
        <v>45</v>
      </c>
      <c r="C55" s="430">
        <f ca="1">IF(PaymentSchedule[[#This Row],[PMT NO]]&lt;&gt;"",EOMONTH(LoanStartDate,ROW(PaymentSchedule[[#This Row],[PMT NO]])-ROW(PaymentSchedule[[#Headers],[PMT NO]])-2)+DAY(LoanStartDate),"")</f>
        <v>45292</v>
      </c>
      <c r="D55" s="431">
        <f ca="1">IF(PaymentSchedule[[#This Row],[PMT NO]]&lt;&gt;"",IF(ROW()-ROW(PaymentSchedule[[#Headers],[BEGINNING BALANCE]])=1,LoanAmount,INDEX(PaymentSchedule[ENDING BALANCE],ROW()-ROW(PaymentSchedule[[#Headers],[BEGINNING BALANCE]])-1)),"")</f>
        <v>2179943.6568220882</v>
      </c>
      <c r="E55" s="431">
        <f ca="1">IF(PaymentSchedule[[#This Row],[PMT NO]]&lt;&gt;"",ScheduledPayment,"")</f>
        <v>9423.6334368029093</v>
      </c>
      <c r="F5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5" s="431">
        <f ca="1">IF(PaymentSchedule[[#This Row],[PMT NO]]&lt;&gt;"",PaymentSchedule[[#This Row],[TOTAL PAYMENT]]-PaymentSchedule[[#This Row],[INTEREST]],"")</f>
        <v>4882.0841517568924</v>
      </c>
      <c r="I55" s="431">
        <f ca="1">IF(PaymentSchedule[[#This Row],[PMT NO]]&lt;&gt;"",PaymentSchedule[[#This Row],[BEGINNING BALANCE]]*(InterestRate/PaymentsPerYear),"")</f>
        <v>4541.5492850460168</v>
      </c>
      <c r="J5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2175061.5726703312</v>
      </c>
      <c r="K55" s="431">
        <f ca="1">IF(PaymentSchedule[[#This Row],[PMT NO]]&lt;&gt;"",SUM(INDEX(PaymentSchedule[INTEREST],1,1):PaymentSchedule[[#This Row],[INTEREST]]),"")</f>
        <v>214125.07732646193</v>
      </c>
    </row>
    <row r="56" spans="2:11">
      <c r="B56" s="432">
        <f ca="1">IF(LoanIsGood,IF(ROW()-ROW(PaymentSchedule[[#Headers],[PMT NO]])&gt;ScheduledNumberOfPayments,"",ROW()-ROW(PaymentSchedule[[#Headers],[PMT NO]])),"")</f>
        <v>46</v>
      </c>
      <c r="C56" s="430">
        <f ca="1">IF(PaymentSchedule[[#This Row],[PMT NO]]&lt;&gt;"",EOMONTH(LoanStartDate,ROW(PaymentSchedule[[#This Row],[PMT NO]])-ROW(PaymentSchedule[[#Headers],[PMT NO]])-2)+DAY(LoanStartDate),"")</f>
        <v>45323</v>
      </c>
      <c r="D56" s="431">
        <f ca="1">IF(PaymentSchedule[[#This Row],[PMT NO]]&lt;&gt;"",IF(ROW()-ROW(PaymentSchedule[[#Headers],[BEGINNING BALANCE]])=1,LoanAmount,INDEX(PaymentSchedule[ENDING BALANCE],ROW()-ROW(PaymentSchedule[[#Headers],[BEGINNING BALANCE]])-1)),"")</f>
        <v>2175061.5726703312</v>
      </c>
      <c r="E56" s="431">
        <f ca="1">IF(PaymentSchedule[[#This Row],[PMT NO]]&lt;&gt;"",ScheduledPayment,"")</f>
        <v>9423.6334368029093</v>
      </c>
      <c r="F5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6" s="431">
        <f ca="1">IF(PaymentSchedule[[#This Row],[PMT NO]]&lt;&gt;"",PaymentSchedule[[#This Row],[TOTAL PAYMENT]]-PaymentSchedule[[#This Row],[INTEREST]],"")</f>
        <v>4892.2551604063856</v>
      </c>
      <c r="I56" s="431">
        <f ca="1">IF(PaymentSchedule[[#This Row],[PMT NO]]&lt;&gt;"",PaymentSchedule[[#This Row],[BEGINNING BALANCE]]*(InterestRate/PaymentsPerYear),"")</f>
        <v>4531.3782763965237</v>
      </c>
      <c r="J5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2170169.317509925</v>
      </c>
      <c r="K56" s="431">
        <f ca="1">IF(PaymentSchedule[[#This Row],[PMT NO]]&lt;&gt;"",SUM(INDEX(PaymentSchedule[INTEREST],1,1):PaymentSchedule[[#This Row],[INTEREST]]),"")</f>
        <v>218656.45560285845</v>
      </c>
    </row>
    <row r="57" spans="2:11">
      <c r="B57" s="432">
        <f ca="1">IF(LoanIsGood,IF(ROW()-ROW(PaymentSchedule[[#Headers],[PMT NO]])&gt;ScheduledNumberOfPayments,"",ROW()-ROW(PaymentSchedule[[#Headers],[PMT NO]])),"")</f>
        <v>47</v>
      </c>
      <c r="C57" s="430">
        <f ca="1">IF(PaymentSchedule[[#This Row],[PMT NO]]&lt;&gt;"",EOMONTH(LoanStartDate,ROW(PaymentSchedule[[#This Row],[PMT NO]])-ROW(PaymentSchedule[[#Headers],[PMT NO]])-2)+DAY(LoanStartDate),"")</f>
        <v>45352</v>
      </c>
      <c r="D57" s="431">
        <f ca="1">IF(PaymentSchedule[[#This Row],[PMT NO]]&lt;&gt;"",IF(ROW()-ROW(PaymentSchedule[[#Headers],[BEGINNING BALANCE]])=1,LoanAmount,INDEX(PaymentSchedule[ENDING BALANCE],ROW()-ROW(PaymentSchedule[[#Headers],[BEGINNING BALANCE]])-1)),"")</f>
        <v>2170169.317509925</v>
      </c>
      <c r="E57" s="431">
        <f ca="1">IF(PaymentSchedule[[#This Row],[PMT NO]]&lt;&gt;"",ScheduledPayment,"")</f>
        <v>9423.6334368029093</v>
      </c>
      <c r="F5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7" s="431">
        <f ca="1">IF(PaymentSchedule[[#This Row],[PMT NO]]&lt;&gt;"",PaymentSchedule[[#This Row],[TOTAL PAYMENT]]-PaymentSchedule[[#This Row],[INTEREST]],"")</f>
        <v>4902.4473586572321</v>
      </c>
      <c r="I57" s="431">
        <f ca="1">IF(PaymentSchedule[[#This Row],[PMT NO]]&lt;&gt;"",PaymentSchedule[[#This Row],[BEGINNING BALANCE]]*(InterestRate/PaymentsPerYear),"")</f>
        <v>4521.1860781456771</v>
      </c>
      <c r="J5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2165266.8701512679</v>
      </c>
      <c r="K57" s="431">
        <f ca="1">IF(PaymentSchedule[[#This Row],[PMT NO]]&lt;&gt;"",SUM(INDEX(PaymentSchedule[INTEREST],1,1):PaymentSchedule[[#This Row],[INTEREST]]),"")</f>
        <v>223177.64168100411</v>
      </c>
    </row>
    <row r="58" spans="2:11">
      <c r="B58" s="432">
        <f ca="1">IF(LoanIsGood,IF(ROW()-ROW(PaymentSchedule[[#Headers],[PMT NO]])&gt;ScheduledNumberOfPayments,"",ROW()-ROW(PaymentSchedule[[#Headers],[PMT NO]])),"")</f>
        <v>48</v>
      </c>
      <c r="C58" s="430">
        <f ca="1">IF(PaymentSchedule[[#This Row],[PMT NO]]&lt;&gt;"",EOMONTH(LoanStartDate,ROW(PaymentSchedule[[#This Row],[PMT NO]])-ROW(PaymentSchedule[[#Headers],[PMT NO]])-2)+DAY(LoanStartDate),"")</f>
        <v>45383</v>
      </c>
      <c r="D58" s="431">
        <f ca="1">IF(PaymentSchedule[[#This Row],[PMT NO]]&lt;&gt;"",IF(ROW()-ROW(PaymentSchedule[[#Headers],[BEGINNING BALANCE]])=1,LoanAmount,INDEX(PaymentSchedule[ENDING BALANCE],ROW()-ROW(PaymentSchedule[[#Headers],[BEGINNING BALANCE]])-1)),"")</f>
        <v>2165266.8701512679</v>
      </c>
      <c r="E58" s="431">
        <f ca="1">IF(PaymentSchedule[[#This Row],[PMT NO]]&lt;&gt;"",ScheduledPayment,"")</f>
        <v>9423.6334368029093</v>
      </c>
      <c r="F5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8" s="431">
        <f ca="1">IF(PaymentSchedule[[#This Row],[PMT NO]]&lt;&gt;"",PaymentSchedule[[#This Row],[TOTAL PAYMENT]]-PaymentSchedule[[#This Row],[INTEREST]],"")</f>
        <v>4912.660790654435</v>
      </c>
      <c r="I58" s="431">
        <f ca="1">IF(PaymentSchedule[[#This Row],[PMT NO]]&lt;&gt;"",PaymentSchedule[[#This Row],[BEGINNING BALANCE]]*(InterestRate/PaymentsPerYear),"")</f>
        <v>4510.9726461484743</v>
      </c>
      <c r="J5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2160354.2093606135</v>
      </c>
      <c r="K58" s="431">
        <f ca="1">IF(PaymentSchedule[[#This Row],[PMT NO]]&lt;&gt;"",SUM(INDEX(PaymentSchedule[INTEREST],1,1):PaymentSchedule[[#This Row],[INTEREST]]),"")</f>
        <v>227688.61432715258</v>
      </c>
    </row>
    <row r="59" spans="2:11">
      <c r="B59" s="432">
        <f ca="1">IF(LoanIsGood,IF(ROW()-ROW(PaymentSchedule[[#Headers],[PMT NO]])&gt;ScheduledNumberOfPayments,"",ROW()-ROW(PaymentSchedule[[#Headers],[PMT NO]])),"")</f>
        <v>49</v>
      </c>
      <c r="C59" s="430">
        <f ca="1">IF(PaymentSchedule[[#This Row],[PMT NO]]&lt;&gt;"",EOMONTH(LoanStartDate,ROW(PaymentSchedule[[#This Row],[PMT NO]])-ROW(PaymentSchedule[[#Headers],[PMT NO]])-2)+DAY(LoanStartDate),"")</f>
        <v>45413</v>
      </c>
      <c r="D59" s="431">
        <f ca="1">IF(PaymentSchedule[[#This Row],[PMT NO]]&lt;&gt;"",IF(ROW()-ROW(PaymentSchedule[[#Headers],[BEGINNING BALANCE]])=1,LoanAmount,INDEX(PaymentSchedule[ENDING BALANCE],ROW()-ROW(PaymentSchedule[[#Headers],[BEGINNING BALANCE]])-1)),"")</f>
        <v>2160354.2093606135</v>
      </c>
      <c r="E59" s="431">
        <f ca="1">IF(PaymentSchedule[[#This Row],[PMT NO]]&lt;&gt;"",ScheduledPayment,"")</f>
        <v>9423.6334368029093</v>
      </c>
      <c r="F5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5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59" s="431">
        <f ca="1">IF(PaymentSchedule[[#This Row],[PMT NO]]&lt;&gt;"",PaymentSchedule[[#This Row],[TOTAL PAYMENT]]-PaymentSchedule[[#This Row],[INTEREST]],"")</f>
        <v>4922.8955006349643</v>
      </c>
      <c r="I59" s="431">
        <f ca="1">IF(PaymentSchedule[[#This Row],[PMT NO]]&lt;&gt;"",PaymentSchedule[[#This Row],[BEGINNING BALANCE]]*(InterestRate/PaymentsPerYear),"")</f>
        <v>4500.737936167945</v>
      </c>
      <c r="J5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2155431.3138599787</v>
      </c>
      <c r="K59" s="431">
        <f ca="1">IF(PaymentSchedule[[#This Row],[PMT NO]]&lt;&gt;"",SUM(INDEX(PaymentSchedule[INTEREST],1,1):PaymentSchedule[[#This Row],[INTEREST]]),"")</f>
        <v>232189.35226332053</v>
      </c>
    </row>
    <row r="60" spans="2:11">
      <c r="B60" s="432">
        <f ca="1">IF(LoanIsGood,IF(ROW()-ROW(PaymentSchedule[[#Headers],[PMT NO]])&gt;ScheduledNumberOfPayments,"",ROW()-ROW(PaymentSchedule[[#Headers],[PMT NO]])),"")</f>
        <v>50</v>
      </c>
      <c r="C60" s="430">
        <f ca="1">IF(PaymentSchedule[[#This Row],[PMT NO]]&lt;&gt;"",EOMONTH(LoanStartDate,ROW(PaymentSchedule[[#This Row],[PMT NO]])-ROW(PaymentSchedule[[#Headers],[PMT NO]])-2)+DAY(LoanStartDate),"")</f>
        <v>45444</v>
      </c>
      <c r="D60" s="431">
        <f ca="1">IF(PaymentSchedule[[#This Row],[PMT NO]]&lt;&gt;"",IF(ROW()-ROW(PaymentSchedule[[#Headers],[BEGINNING BALANCE]])=1,LoanAmount,INDEX(PaymentSchedule[ENDING BALANCE],ROW()-ROW(PaymentSchedule[[#Headers],[BEGINNING BALANCE]])-1)),"")</f>
        <v>2155431.3138599787</v>
      </c>
      <c r="E60" s="431">
        <f ca="1">IF(PaymentSchedule[[#This Row],[PMT NO]]&lt;&gt;"",ScheduledPayment,"")</f>
        <v>9423.6334368029093</v>
      </c>
      <c r="F6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0" s="431">
        <f ca="1">IF(PaymentSchedule[[#This Row],[PMT NO]]&lt;&gt;"",PaymentSchedule[[#This Row],[TOTAL PAYMENT]]-PaymentSchedule[[#This Row],[INTEREST]],"")</f>
        <v>4933.1515329279537</v>
      </c>
      <c r="I60" s="431">
        <f ca="1">IF(PaymentSchedule[[#This Row],[PMT NO]]&lt;&gt;"",PaymentSchedule[[#This Row],[BEGINNING BALANCE]]*(InterestRate/PaymentsPerYear),"")</f>
        <v>4490.4819038749556</v>
      </c>
      <c r="J6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2150498.1623270507</v>
      </c>
      <c r="K60" s="431">
        <f ca="1">IF(PaymentSchedule[[#This Row],[PMT NO]]&lt;&gt;"",SUM(INDEX(PaymentSchedule[INTEREST],1,1):PaymentSchedule[[#This Row],[INTEREST]]),"")</f>
        <v>236679.83416719548</v>
      </c>
    </row>
    <row r="61" spans="2:11">
      <c r="B61" s="432">
        <f ca="1">IF(LoanIsGood,IF(ROW()-ROW(PaymentSchedule[[#Headers],[PMT NO]])&gt;ScheduledNumberOfPayments,"",ROW()-ROW(PaymentSchedule[[#Headers],[PMT NO]])),"")</f>
        <v>51</v>
      </c>
      <c r="C61" s="430">
        <f ca="1">IF(PaymentSchedule[[#This Row],[PMT NO]]&lt;&gt;"",EOMONTH(LoanStartDate,ROW(PaymentSchedule[[#This Row],[PMT NO]])-ROW(PaymentSchedule[[#Headers],[PMT NO]])-2)+DAY(LoanStartDate),"")</f>
        <v>45474</v>
      </c>
      <c r="D61" s="431">
        <f ca="1">IF(PaymentSchedule[[#This Row],[PMT NO]]&lt;&gt;"",IF(ROW()-ROW(PaymentSchedule[[#Headers],[BEGINNING BALANCE]])=1,LoanAmount,INDEX(PaymentSchedule[ENDING BALANCE],ROW()-ROW(PaymentSchedule[[#Headers],[BEGINNING BALANCE]])-1)),"")</f>
        <v>2150498.1623270507</v>
      </c>
      <c r="E61" s="431">
        <f ca="1">IF(PaymentSchedule[[#This Row],[PMT NO]]&lt;&gt;"",ScheduledPayment,"")</f>
        <v>9423.6334368029093</v>
      </c>
      <c r="F6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1" s="431">
        <f ca="1">IF(PaymentSchedule[[#This Row],[PMT NO]]&lt;&gt;"",PaymentSchedule[[#This Row],[TOTAL PAYMENT]]-PaymentSchedule[[#This Row],[INTEREST]],"")</f>
        <v>4943.428931954887</v>
      </c>
      <c r="I61" s="431">
        <f ca="1">IF(PaymentSchedule[[#This Row],[PMT NO]]&lt;&gt;"",PaymentSchedule[[#This Row],[BEGINNING BALANCE]]*(InterestRate/PaymentsPerYear),"")</f>
        <v>4480.2045048480222</v>
      </c>
      <c r="J6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2145554.7333950959</v>
      </c>
      <c r="K61" s="431">
        <f ca="1">IF(PaymentSchedule[[#This Row],[PMT NO]]&lt;&gt;"",SUM(INDEX(PaymentSchedule[INTEREST],1,1):PaymentSchedule[[#This Row],[INTEREST]]),"")</f>
        <v>241160.03867204351</v>
      </c>
    </row>
    <row r="62" spans="2:11">
      <c r="B62" s="432">
        <f ca="1">IF(LoanIsGood,IF(ROW()-ROW(PaymentSchedule[[#Headers],[PMT NO]])&gt;ScheduledNumberOfPayments,"",ROW()-ROW(PaymentSchedule[[#Headers],[PMT NO]])),"")</f>
        <v>52</v>
      </c>
      <c r="C62" s="430">
        <f ca="1">IF(PaymentSchedule[[#This Row],[PMT NO]]&lt;&gt;"",EOMONTH(LoanStartDate,ROW(PaymentSchedule[[#This Row],[PMT NO]])-ROW(PaymentSchedule[[#Headers],[PMT NO]])-2)+DAY(LoanStartDate),"")</f>
        <v>45505</v>
      </c>
      <c r="D62" s="431">
        <f ca="1">IF(PaymentSchedule[[#This Row],[PMT NO]]&lt;&gt;"",IF(ROW()-ROW(PaymentSchedule[[#Headers],[BEGINNING BALANCE]])=1,LoanAmount,INDEX(PaymentSchedule[ENDING BALANCE],ROW()-ROW(PaymentSchedule[[#Headers],[BEGINNING BALANCE]])-1)),"")</f>
        <v>2145554.7333950959</v>
      </c>
      <c r="E62" s="431">
        <f ca="1">IF(PaymentSchedule[[#This Row],[PMT NO]]&lt;&gt;"",ScheduledPayment,"")</f>
        <v>9423.6334368029093</v>
      </c>
      <c r="F6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2" s="431">
        <f ca="1">IF(PaymentSchedule[[#This Row],[PMT NO]]&lt;&gt;"",PaymentSchedule[[#This Row],[TOTAL PAYMENT]]-PaymentSchedule[[#This Row],[INTEREST]],"")</f>
        <v>4953.727742229793</v>
      </c>
      <c r="I62" s="431">
        <f ca="1">IF(PaymentSchedule[[#This Row],[PMT NO]]&lt;&gt;"",PaymentSchedule[[#This Row],[BEGINNING BALANCE]]*(InterestRate/PaymentsPerYear),"")</f>
        <v>4469.9056945731163</v>
      </c>
      <c r="J6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2140601.0056528663</v>
      </c>
      <c r="K62" s="431">
        <f ca="1">IF(PaymentSchedule[[#This Row],[PMT NO]]&lt;&gt;"",SUM(INDEX(PaymentSchedule[INTEREST],1,1):PaymentSchedule[[#This Row],[INTEREST]]),"")</f>
        <v>245629.94436661663</v>
      </c>
    </row>
    <row r="63" spans="2:11">
      <c r="B63" s="432">
        <f ca="1">IF(LoanIsGood,IF(ROW()-ROW(PaymentSchedule[[#Headers],[PMT NO]])&gt;ScheduledNumberOfPayments,"",ROW()-ROW(PaymentSchedule[[#Headers],[PMT NO]])),"")</f>
        <v>53</v>
      </c>
      <c r="C63" s="430">
        <f ca="1">IF(PaymentSchedule[[#This Row],[PMT NO]]&lt;&gt;"",EOMONTH(LoanStartDate,ROW(PaymentSchedule[[#This Row],[PMT NO]])-ROW(PaymentSchedule[[#Headers],[PMT NO]])-2)+DAY(LoanStartDate),"")</f>
        <v>45536</v>
      </c>
      <c r="D63" s="431">
        <f ca="1">IF(PaymentSchedule[[#This Row],[PMT NO]]&lt;&gt;"",IF(ROW()-ROW(PaymentSchedule[[#Headers],[BEGINNING BALANCE]])=1,LoanAmount,INDEX(PaymentSchedule[ENDING BALANCE],ROW()-ROW(PaymentSchedule[[#Headers],[BEGINNING BALANCE]])-1)),"")</f>
        <v>2140601.0056528663</v>
      </c>
      <c r="E63" s="431">
        <f ca="1">IF(PaymentSchedule[[#This Row],[PMT NO]]&lt;&gt;"",ScheduledPayment,"")</f>
        <v>9423.6334368029093</v>
      </c>
      <c r="F6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3" s="431">
        <f ca="1">IF(PaymentSchedule[[#This Row],[PMT NO]]&lt;&gt;"",PaymentSchedule[[#This Row],[TOTAL PAYMENT]]-PaymentSchedule[[#This Row],[INTEREST]],"")</f>
        <v>4964.0480083594375</v>
      </c>
      <c r="I63" s="431">
        <f ca="1">IF(PaymentSchedule[[#This Row],[PMT NO]]&lt;&gt;"",PaymentSchedule[[#This Row],[BEGINNING BALANCE]]*(InterestRate/PaymentsPerYear),"")</f>
        <v>4459.5854284434718</v>
      </c>
      <c r="J6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2135636.9576445068</v>
      </c>
      <c r="K63" s="431">
        <f ca="1">IF(PaymentSchedule[[#This Row],[PMT NO]]&lt;&gt;"",SUM(INDEX(PaymentSchedule[INTEREST],1,1):PaymentSchedule[[#This Row],[INTEREST]]),"")</f>
        <v>250089.52979506011</v>
      </c>
    </row>
    <row r="64" spans="2:11">
      <c r="B64" s="432">
        <f ca="1">IF(LoanIsGood,IF(ROW()-ROW(PaymentSchedule[[#Headers],[PMT NO]])&gt;ScheduledNumberOfPayments,"",ROW()-ROW(PaymentSchedule[[#Headers],[PMT NO]])),"")</f>
        <v>54</v>
      </c>
      <c r="C64" s="430">
        <f ca="1">IF(PaymentSchedule[[#This Row],[PMT NO]]&lt;&gt;"",EOMONTH(LoanStartDate,ROW(PaymentSchedule[[#This Row],[PMT NO]])-ROW(PaymentSchedule[[#Headers],[PMT NO]])-2)+DAY(LoanStartDate),"")</f>
        <v>45566</v>
      </c>
      <c r="D64" s="431">
        <f ca="1">IF(PaymentSchedule[[#This Row],[PMT NO]]&lt;&gt;"",IF(ROW()-ROW(PaymentSchedule[[#Headers],[BEGINNING BALANCE]])=1,LoanAmount,INDEX(PaymentSchedule[ENDING BALANCE],ROW()-ROW(PaymentSchedule[[#Headers],[BEGINNING BALANCE]])-1)),"")</f>
        <v>2135636.9576445068</v>
      </c>
      <c r="E64" s="431">
        <f ca="1">IF(PaymentSchedule[[#This Row],[PMT NO]]&lt;&gt;"",ScheduledPayment,"")</f>
        <v>9423.6334368029093</v>
      </c>
      <c r="F6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4" s="431">
        <f ca="1">IF(PaymentSchedule[[#This Row],[PMT NO]]&lt;&gt;"",PaymentSchedule[[#This Row],[TOTAL PAYMENT]]-PaymentSchedule[[#This Row],[INTEREST]],"")</f>
        <v>4974.3897750435199</v>
      </c>
      <c r="I64" s="431">
        <f ca="1">IF(PaymentSchedule[[#This Row],[PMT NO]]&lt;&gt;"",PaymentSchedule[[#This Row],[BEGINNING BALANCE]]*(InterestRate/PaymentsPerYear),"")</f>
        <v>4449.2436617593894</v>
      </c>
      <c r="J6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2130662.5678694635</v>
      </c>
      <c r="K64" s="431">
        <f ca="1">IF(PaymentSchedule[[#This Row],[PMT NO]]&lt;&gt;"",SUM(INDEX(PaymentSchedule[INTEREST],1,1):PaymentSchedule[[#This Row],[INTEREST]]),"")</f>
        <v>254538.7734568195</v>
      </c>
    </row>
    <row r="65" spans="2:11">
      <c r="B65" s="432">
        <f ca="1">IF(LoanIsGood,IF(ROW()-ROW(PaymentSchedule[[#Headers],[PMT NO]])&gt;ScheduledNumberOfPayments,"",ROW()-ROW(PaymentSchedule[[#Headers],[PMT NO]])),"")</f>
        <v>55</v>
      </c>
      <c r="C65" s="430">
        <f ca="1">IF(PaymentSchedule[[#This Row],[PMT NO]]&lt;&gt;"",EOMONTH(LoanStartDate,ROW(PaymentSchedule[[#This Row],[PMT NO]])-ROW(PaymentSchedule[[#Headers],[PMT NO]])-2)+DAY(LoanStartDate),"")</f>
        <v>45597</v>
      </c>
      <c r="D65" s="431">
        <f ca="1">IF(PaymentSchedule[[#This Row],[PMT NO]]&lt;&gt;"",IF(ROW()-ROW(PaymentSchedule[[#Headers],[BEGINNING BALANCE]])=1,LoanAmount,INDEX(PaymentSchedule[ENDING BALANCE],ROW()-ROW(PaymentSchedule[[#Headers],[BEGINNING BALANCE]])-1)),"")</f>
        <v>2130662.5678694635</v>
      </c>
      <c r="E65" s="431">
        <f ca="1">IF(PaymentSchedule[[#This Row],[PMT NO]]&lt;&gt;"",ScheduledPayment,"")</f>
        <v>9423.6334368029093</v>
      </c>
      <c r="F6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5" s="431">
        <f ca="1">IF(PaymentSchedule[[#This Row],[PMT NO]]&lt;&gt;"",PaymentSchedule[[#This Row],[TOTAL PAYMENT]]-PaymentSchedule[[#This Row],[INTEREST]],"")</f>
        <v>4984.7530870748606</v>
      </c>
      <c r="I65" s="431">
        <f ca="1">IF(PaymentSchedule[[#This Row],[PMT NO]]&lt;&gt;"",PaymentSchedule[[#This Row],[BEGINNING BALANCE]]*(InterestRate/PaymentsPerYear),"")</f>
        <v>4438.8803497280487</v>
      </c>
      <c r="J6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2125677.8147823885</v>
      </c>
      <c r="K65" s="431">
        <f ca="1">IF(PaymentSchedule[[#This Row],[PMT NO]]&lt;&gt;"",SUM(INDEX(PaymentSchedule[INTEREST],1,1):PaymentSchedule[[#This Row],[INTEREST]]),"")</f>
        <v>258977.65380654755</v>
      </c>
    </row>
    <row r="66" spans="2:11">
      <c r="B66" s="432">
        <f ca="1">IF(LoanIsGood,IF(ROW()-ROW(PaymentSchedule[[#Headers],[PMT NO]])&gt;ScheduledNumberOfPayments,"",ROW()-ROW(PaymentSchedule[[#Headers],[PMT NO]])),"")</f>
        <v>56</v>
      </c>
      <c r="C66" s="430">
        <f ca="1">IF(PaymentSchedule[[#This Row],[PMT NO]]&lt;&gt;"",EOMONTH(LoanStartDate,ROW(PaymentSchedule[[#This Row],[PMT NO]])-ROW(PaymentSchedule[[#Headers],[PMT NO]])-2)+DAY(LoanStartDate),"")</f>
        <v>45627</v>
      </c>
      <c r="D66" s="431">
        <f ca="1">IF(PaymentSchedule[[#This Row],[PMT NO]]&lt;&gt;"",IF(ROW()-ROW(PaymentSchedule[[#Headers],[BEGINNING BALANCE]])=1,LoanAmount,INDEX(PaymentSchedule[ENDING BALANCE],ROW()-ROW(PaymentSchedule[[#Headers],[BEGINNING BALANCE]])-1)),"")</f>
        <v>2125677.8147823885</v>
      </c>
      <c r="E66" s="431">
        <f ca="1">IF(PaymentSchedule[[#This Row],[PMT NO]]&lt;&gt;"",ScheduledPayment,"")</f>
        <v>9423.6334368029093</v>
      </c>
      <c r="F6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6" s="431">
        <f ca="1">IF(PaymentSchedule[[#This Row],[PMT NO]]&lt;&gt;"",PaymentSchedule[[#This Row],[TOTAL PAYMENT]]-PaymentSchedule[[#This Row],[INTEREST]],"")</f>
        <v>4995.1379893395997</v>
      </c>
      <c r="I66" s="431">
        <f ca="1">IF(PaymentSchedule[[#This Row],[PMT NO]]&lt;&gt;"",PaymentSchedule[[#This Row],[BEGINNING BALANCE]]*(InterestRate/PaymentsPerYear),"")</f>
        <v>4428.4954474633096</v>
      </c>
      <c r="J6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2120682.6767930491</v>
      </c>
      <c r="K66" s="431">
        <f ca="1">IF(PaymentSchedule[[#This Row],[PMT NO]]&lt;&gt;"",SUM(INDEX(PaymentSchedule[INTEREST],1,1):PaymentSchedule[[#This Row],[INTEREST]]),"")</f>
        <v>263406.14925401087</v>
      </c>
    </row>
    <row r="67" spans="2:11">
      <c r="B67" s="432">
        <f ca="1">IF(LoanIsGood,IF(ROW()-ROW(PaymentSchedule[[#Headers],[PMT NO]])&gt;ScheduledNumberOfPayments,"",ROW()-ROW(PaymentSchedule[[#Headers],[PMT NO]])),"")</f>
        <v>57</v>
      </c>
      <c r="C67" s="430">
        <f ca="1">IF(PaymentSchedule[[#This Row],[PMT NO]]&lt;&gt;"",EOMONTH(LoanStartDate,ROW(PaymentSchedule[[#This Row],[PMT NO]])-ROW(PaymentSchedule[[#Headers],[PMT NO]])-2)+DAY(LoanStartDate),"")</f>
        <v>45658</v>
      </c>
      <c r="D67" s="431">
        <f ca="1">IF(PaymentSchedule[[#This Row],[PMT NO]]&lt;&gt;"",IF(ROW()-ROW(PaymentSchedule[[#Headers],[BEGINNING BALANCE]])=1,LoanAmount,INDEX(PaymentSchedule[ENDING BALANCE],ROW()-ROW(PaymentSchedule[[#Headers],[BEGINNING BALANCE]])-1)),"")</f>
        <v>2120682.6767930491</v>
      </c>
      <c r="E67" s="431">
        <f ca="1">IF(PaymentSchedule[[#This Row],[PMT NO]]&lt;&gt;"",ScheduledPayment,"")</f>
        <v>9423.6334368029093</v>
      </c>
      <c r="F6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7" s="431">
        <f ca="1">IF(PaymentSchedule[[#This Row],[PMT NO]]&lt;&gt;"",PaymentSchedule[[#This Row],[TOTAL PAYMENT]]-PaymentSchedule[[#This Row],[INTEREST]],"")</f>
        <v>5005.5445268173908</v>
      </c>
      <c r="I67" s="431">
        <f ca="1">IF(PaymentSchedule[[#This Row],[PMT NO]]&lt;&gt;"",PaymentSchedule[[#This Row],[BEGINNING BALANCE]]*(InterestRate/PaymentsPerYear),"")</f>
        <v>4418.0889099855185</v>
      </c>
      <c r="J6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2115677.1322662318</v>
      </c>
      <c r="K67" s="431">
        <f ca="1">IF(PaymentSchedule[[#This Row],[PMT NO]]&lt;&gt;"",SUM(INDEX(PaymentSchedule[INTEREST],1,1):PaymentSchedule[[#This Row],[INTEREST]]),"")</f>
        <v>267824.23816399637</v>
      </c>
    </row>
    <row r="68" spans="2:11">
      <c r="B68" s="432">
        <f ca="1">IF(LoanIsGood,IF(ROW()-ROW(PaymentSchedule[[#Headers],[PMT NO]])&gt;ScheduledNumberOfPayments,"",ROW()-ROW(PaymentSchedule[[#Headers],[PMT NO]])),"")</f>
        <v>58</v>
      </c>
      <c r="C68" s="430">
        <f ca="1">IF(PaymentSchedule[[#This Row],[PMT NO]]&lt;&gt;"",EOMONTH(LoanStartDate,ROW(PaymentSchedule[[#This Row],[PMT NO]])-ROW(PaymentSchedule[[#Headers],[PMT NO]])-2)+DAY(LoanStartDate),"")</f>
        <v>45689</v>
      </c>
      <c r="D68" s="431">
        <f ca="1">IF(PaymentSchedule[[#This Row],[PMT NO]]&lt;&gt;"",IF(ROW()-ROW(PaymentSchedule[[#Headers],[BEGINNING BALANCE]])=1,LoanAmount,INDEX(PaymentSchedule[ENDING BALANCE],ROW()-ROW(PaymentSchedule[[#Headers],[BEGINNING BALANCE]])-1)),"")</f>
        <v>2115677.1322662318</v>
      </c>
      <c r="E68" s="431">
        <f ca="1">IF(PaymentSchedule[[#This Row],[PMT NO]]&lt;&gt;"",ScheduledPayment,"")</f>
        <v>9423.6334368029093</v>
      </c>
      <c r="F6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8" s="431">
        <f ca="1">IF(PaymentSchedule[[#This Row],[PMT NO]]&lt;&gt;"",PaymentSchedule[[#This Row],[TOTAL PAYMENT]]-PaymentSchedule[[#This Row],[INTEREST]],"")</f>
        <v>5015.9727445815934</v>
      </c>
      <c r="I68" s="431">
        <f ca="1">IF(PaymentSchedule[[#This Row],[PMT NO]]&lt;&gt;"",PaymentSchedule[[#This Row],[BEGINNING BALANCE]]*(InterestRate/PaymentsPerYear),"")</f>
        <v>4407.6606922213159</v>
      </c>
      <c r="J6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2110661.1595216501</v>
      </c>
      <c r="K68" s="431">
        <f ca="1">IF(PaymentSchedule[[#This Row],[PMT NO]]&lt;&gt;"",SUM(INDEX(PaymentSchedule[INTEREST],1,1):PaymentSchedule[[#This Row],[INTEREST]]),"")</f>
        <v>272231.89885621768</v>
      </c>
    </row>
    <row r="69" spans="2:11">
      <c r="B69" s="432">
        <f ca="1">IF(LoanIsGood,IF(ROW()-ROW(PaymentSchedule[[#Headers],[PMT NO]])&gt;ScheduledNumberOfPayments,"",ROW()-ROW(PaymentSchedule[[#Headers],[PMT NO]])),"")</f>
        <v>59</v>
      </c>
      <c r="C69" s="430">
        <f ca="1">IF(PaymentSchedule[[#This Row],[PMT NO]]&lt;&gt;"",EOMONTH(LoanStartDate,ROW(PaymentSchedule[[#This Row],[PMT NO]])-ROW(PaymentSchedule[[#Headers],[PMT NO]])-2)+DAY(LoanStartDate),"")</f>
        <v>45717</v>
      </c>
      <c r="D69" s="431">
        <f ca="1">IF(PaymentSchedule[[#This Row],[PMT NO]]&lt;&gt;"",IF(ROW()-ROW(PaymentSchedule[[#Headers],[BEGINNING BALANCE]])=1,LoanAmount,INDEX(PaymentSchedule[ENDING BALANCE],ROW()-ROW(PaymentSchedule[[#Headers],[BEGINNING BALANCE]])-1)),"")</f>
        <v>2110661.1595216501</v>
      </c>
      <c r="E69" s="431">
        <f ca="1">IF(PaymentSchedule[[#This Row],[PMT NO]]&lt;&gt;"",ScheduledPayment,"")</f>
        <v>9423.6334368029093</v>
      </c>
      <c r="F6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6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69" s="431">
        <f ca="1">IF(PaymentSchedule[[#This Row],[PMT NO]]&lt;&gt;"",PaymentSchedule[[#This Row],[TOTAL PAYMENT]]-PaymentSchedule[[#This Row],[INTEREST]],"")</f>
        <v>5026.4226877994715</v>
      </c>
      <c r="I69" s="431">
        <f ca="1">IF(PaymentSchedule[[#This Row],[PMT NO]]&lt;&gt;"",PaymentSchedule[[#This Row],[BEGINNING BALANCE]]*(InterestRate/PaymentsPerYear),"")</f>
        <v>4397.2107490034377</v>
      </c>
      <c r="J6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2105634.7368338504</v>
      </c>
      <c r="K69" s="431">
        <f ca="1">IF(PaymentSchedule[[#This Row],[PMT NO]]&lt;&gt;"",SUM(INDEX(PaymentSchedule[INTEREST],1,1):PaymentSchedule[[#This Row],[INTEREST]]),"")</f>
        <v>276629.10960522114</v>
      </c>
    </row>
    <row r="70" spans="2:11">
      <c r="B70" s="432">
        <f ca="1">IF(LoanIsGood,IF(ROW()-ROW(PaymentSchedule[[#Headers],[PMT NO]])&gt;ScheduledNumberOfPayments,"",ROW()-ROW(PaymentSchedule[[#Headers],[PMT NO]])),"")</f>
        <v>60</v>
      </c>
      <c r="C70" s="430">
        <f ca="1">IF(PaymentSchedule[[#This Row],[PMT NO]]&lt;&gt;"",EOMONTH(LoanStartDate,ROW(PaymentSchedule[[#This Row],[PMT NO]])-ROW(PaymentSchedule[[#Headers],[PMT NO]])-2)+DAY(LoanStartDate),"")</f>
        <v>45748</v>
      </c>
      <c r="D70" s="431">
        <f ca="1">IF(PaymentSchedule[[#This Row],[PMT NO]]&lt;&gt;"",IF(ROW()-ROW(PaymentSchedule[[#Headers],[BEGINNING BALANCE]])=1,LoanAmount,INDEX(PaymentSchedule[ENDING BALANCE],ROW()-ROW(PaymentSchedule[[#Headers],[BEGINNING BALANCE]])-1)),"")</f>
        <v>2105634.7368338504</v>
      </c>
      <c r="E70" s="431">
        <f ca="1">IF(PaymentSchedule[[#This Row],[PMT NO]]&lt;&gt;"",ScheduledPayment,"")</f>
        <v>9423.6334368029093</v>
      </c>
      <c r="F7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0" s="431">
        <f ca="1">IF(PaymentSchedule[[#This Row],[PMT NO]]&lt;&gt;"",PaymentSchedule[[#This Row],[TOTAL PAYMENT]]-PaymentSchedule[[#This Row],[INTEREST]],"")</f>
        <v>5036.8944017323875</v>
      </c>
      <c r="I70" s="431">
        <f ca="1">IF(PaymentSchedule[[#This Row],[PMT NO]]&lt;&gt;"",PaymentSchedule[[#This Row],[BEGINNING BALANCE]]*(InterestRate/PaymentsPerYear),"")</f>
        <v>4386.7390350705218</v>
      </c>
      <c r="J7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2100597.842432118</v>
      </c>
      <c r="K70" s="431">
        <f ca="1">IF(PaymentSchedule[[#This Row],[PMT NO]]&lt;&gt;"",SUM(INDEX(PaymentSchedule[INTEREST],1,1):PaymentSchedule[[#This Row],[INTEREST]]),"")</f>
        <v>281015.84864029166</v>
      </c>
    </row>
    <row r="71" spans="2:11">
      <c r="B71" s="432">
        <f ca="1">IF(LoanIsGood,IF(ROW()-ROW(PaymentSchedule[[#Headers],[PMT NO]])&gt;ScheduledNumberOfPayments,"",ROW()-ROW(PaymentSchedule[[#Headers],[PMT NO]])),"")</f>
        <v>61</v>
      </c>
      <c r="C71" s="430">
        <f ca="1">IF(PaymentSchedule[[#This Row],[PMT NO]]&lt;&gt;"",EOMONTH(LoanStartDate,ROW(PaymentSchedule[[#This Row],[PMT NO]])-ROW(PaymentSchedule[[#Headers],[PMT NO]])-2)+DAY(LoanStartDate),"")</f>
        <v>45778</v>
      </c>
      <c r="D71" s="431">
        <f ca="1">IF(PaymentSchedule[[#This Row],[PMT NO]]&lt;&gt;"",IF(ROW()-ROW(PaymentSchedule[[#Headers],[BEGINNING BALANCE]])=1,LoanAmount,INDEX(PaymentSchedule[ENDING BALANCE],ROW()-ROW(PaymentSchedule[[#Headers],[BEGINNING BALANCE]])-1)),"")</f>
        <v>2100597.842432118</v>
      </c>
      <c r="E71" s="431">
        <f ca="1">IF(PaymentSchedule[[#This Row],[PMT NO]]&lt;&gt;"",ScheduledPayment,"")</f>
        <v>9423.6334368029093</v>
      </c>
      <c r="F7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1" s="431">
        <f ca="1">IF(PaymentSchedule[[#This Row],[PMT NO]]&lt;&gt;"",PaymentSchedule[[#This Row],[TOTAL PAYMENT]]-PaymentSchedule[[#This Row],[INTEREST]],"")</f>
        <v>5047.387931735997</v>
      </c>
      <c r="I71" s="431">
        <f ca="1">IF(PaymentSchedule[[#This Row],[PMT NO]]&lt;&gt;"",PaymentSchedule[[#This Row],[BEGINNING BALANCE]]*(InterestRate/PaymentsPerYear),"")</f>
        <v>4376.2455050669123</v>
      </c>
      <c r="J7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2095550.4545003821</v>
      </c>
      <c r="K71" s="431">
        <f ca="1">IF(PaymentSchedule[[#This Row],[PMT NO]]&lt;&gt;"",SUM(INDEX(PaymentSchedule[INTEREST],1,1):PaymentSchedule[[#This Row],[INTEREST]]),"")</f>
        <v>285392.0941453586</v>
      </c>
    </row>
    <row r="72" spans="2:11">
      <c r="B72" s="432">
        <f ca="1">IF(LoanIsGood,IF(ROW()-ROW(PaymentSchedule[[#Headers],[PMT NO]])&gt;ScheduledNumberOfPayments,"",ROW()-ROW(PaymentSchedule[[#Headers],[PMT NO]])),"")</f>
        <v>62</v>
      </c>
      <c r="C72" s="430">
        <f ca="1">IF(PaymentSchedule[[#This Row],[PMT NO]]&lt;&gt;"",EOMONTH(LoanStartDate,ROW(PaymentSchedule[[#This Row],[PMT NO]])-ROW(PaymentSchedule[[#Headers],[PMT NO]])-2)+DAY(LoanStartDate),"")</f>
        <v>45809</v>
      </c>
      <c r="D72" s="431">
        <f ca="1">IF(PaymentSchedule[[#This Row],[PMT NO]]&lt;&gt;"",IF(ROW()-ROW(PaymentSchedule[[#Headers],[BEGINNING BALANCE]])=1,LoanAmount,INDEX(PaymentSchedule[ENDING BALANCE],ROW()-ROW(PaymentSchedule[[#Headers],[BEGINNING BALANCE]])-1)),"")</f>
        <v>2095550.4545003821</v>
      </c>
      <c r="E72" s="431">
        <f ca="1">IF(PaymentSchedule[[#This Row],[PMT NO]]&lt;&gt;"",ScheduledPayment,"")</f>
        <v>9423.6334368029093</v>
      </c>
      <c r="F7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2" s="431">
        <f ca="1">IF(PaymentSchedule[[#This Row],[PMT NO]]&lt;&gt;"",PaymentSchedule[[#This Row],[TOTAL PAYMENT]]-PaymentSchedule[[#This Row],[INTEREST]],"")</f>
        <v>5057.903323260447</v>
      </c>
      <c r="I72" s="431">
        <f ca="1">IF(PaymentSchedule[[#This Row],[PMT NO]]&lt;&gt;"",PaymentSchedule[[#This Row],[BEGINNING BALANCE]]*(InterestRate/PaymentsPerYear),"")</f>
        <v>4365.7301135424623</v>
      </c>
      <c r="J7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2090492.5511771217</v>
      </c>
      <c r="K72" s="431">
        <f ca="1">IF(PaymentSchedule[[#This Row],[PMT NO]]&lt;&gt;"",SUM(INDEX(PaymentSchedule[INTEREST],1,1):PaymentSchedule[[#This Row],[INTEREST]]),"")</f>
        <v>289757.82425890106</v>
      </c>
    </row>
    <row r="73" spans="2:11">
      <c r="B73" s="432">
        <f ca="1">IF(LoanIsGood,IF(ROW()-ROW(PaymentSchedule[[#Headers],[PMT NO]])&gt;ScheduledNumberOfPayments,"",ROW()-ROW(PaymentSchedule[[#Headers],[PMT NO]])),"")</f>
        <v>63</v>
      </c>
      <c r="C73" s="430">
        <f ca="1">IF(PaymentSchedule[[#This Row],[PMT NO]]&lt;&gt;"",EOMONTH(LoanStartDate,ROW(PaymentSchedule[[#This Row],[PMT NO]])-ROW(PaymentSchedule[[#Headers],[PMT NO]])-2)+DAY(LoanStartDate),"")</f>
        <v>45839</v>
      </c>
      <c r="D73" s="431">
        <f ca="1">IF(PaymentSchedule[[#This Row],[PMT NO]]&lt;&gt;"",IF(ROW()-ROW(PaymentSchedule[[#Headers],[BEGINNING BALANCE]])=1,LoanAmount,INDEX(PaymentSchedule[ENDING BALANCE],ROW()-ROW(PaymentSchedule[[#Headers],[BEGINNING BALANCE]])-1)),"")</f>
        <v>2090492.5511771217</v>
      </c>
      <c r="E73" s="431">
        <f ca="1">IF(PaymentSchedule[[#This Row],[PMT NO]]&lt;&gt;"",ScheduledPayment,"")</f>
        <v>9423.6334368029093</v>
      </c>
      <c r="F7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3" s="431">
        <f ca="1">IF(PaymentSchedule[[#This Row],[PMT NO]]&lt;&gt;"",PaymentSchedule[[#This Row],[TOTAL PAYMENT]]-PaymentSchedule[[#This Row],[INTEREST]],"")</f>
        <v>5068.4406218505728</v>
      </c>
      <c r="I73" s="431">
        <f ca="1">IF(PaymentSchedule[[#This Row],[PMT NO]]&lt;&gt;"",PaymentSchedule[[#This Row],[BEGINNING BALANCE]]*(InterestRate/PaymentsPerYear),"")</f>
        <v>4355.1928149523364</v>
      </c>
      <c r="J7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2085424.1105552712</v>
      </c>
      <c r="K73" s="431">
        <f ca="1">IF(PaymentSchedule[[#This Row],[PMT NO]]&lt;&gt;"",SUM(INDEX(PaymentSchedule[INTEREST],1,1):PaymentSchedule[[#This Row],[INTEREST]]),"")</f>
        <v>294113.01707385341</v>
      </c>
    </row>
    <row r="74" spans="2:11">
      <c r="B74" s="432">
        <f ca="1">IF(LoanIsGood,IF(ROW()-ROW(PaymentSchedule[[#Headers],[PMT NO]])&gt;ScheduledNumberOfPayments,"",ROW()-ROW(PaymentSchedule[[#Headers],[PMT NO]])),"")</f>
        <v>64</v>
      </c>
      <c r="C74" s="430">
        <f ca="1">IF(PaymentSchedule[[#This Row],[PMT NO]]&lt;&gt;"",EOMONTH(LoanStartDate,ROW(PaymentSchedule[[#This Row],[PMT NO]])-ROW(PaymentSchedule[[#Headers],[PMT NO]])-2)+DAY(LoanStartDate),"")</f>
        <v>45870</v>
      </c>
      <c r="D74" s="431">
        <f ca="1">IF(PaymentSchedule[[#This Row],[PMT NO]]&lt;&gt;"",IF(ROW()-ROW(PaymentSchedule[[#Headers],[BEGINNING BALANCE]])=1,LoanAmount,INDEX(PaymentSchedule[ENDING BALANCE],ROW()-ROW(PaymentSchedule[[#Headers],[BEGINNING BALANCE]])-1)),"")</f>
        <v>2085424.1105552712</v>
      </c>
      <c r="E74" s="431">
        <f ca="1">IF(PaymentSchedule[[#This Row],[PMT NO]]&lt;&gt;"",ScheduledPayment,"")</f>
        <v>9423.6334368029093</v>
      </c>
      <c r="F7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4" s="431">
        <f ca="1">IF(PaymentSchedule[[#This Row],[PMT NO]]&lt;&gt;"",PaymentSchedule[[#This Row],[TOTAL PAYMENT]]-PaymentSchedule[[#This Row],[INTEREST]],"")</f>
        <v>5078.9998731460946</v>
      </c>
      <c r="I74" s="431">
        <f ca="1">IF(PaymentSchedule[[#This Row],[PMT NO]]&lt;&gt;"",PaymentSchedule[[#This Row],[BEGINNING BALANCE]]*(InterestRate/PaymentsPerYear),"")</f>
        <v>4344.6335636568147</v>
      </c>
      <c r="J7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2080345.110682125</v>
      </c>
      <c r="K74" s="431">
        <f ca="1">IF(PaymentSchedule[[#This Row],[PMT NO]]&lt;&gt;"",SUM(INDEX(PaymentSchedule[INTEREST],1,1):PaymentSchedule[[#This Row],[INTEREST]]),"")</f>
        <v>298457.65063751023</v>
      </c>
    </row>
    <row r="75" spans="2:11">
      <c r="B75" s="432">
        <f ca="1">IF(LoanIsGood,IF(ROW()-ROW(PaymentSchedule[[#Headers],[PMT NO]])&gt;ScheduledNumberOfPayments,"",ROW()-ROW(PaymentSchedule[[#Headers],[PMT NO]])),"")</f>
        <v>65</v>
      </c>
      <c r="C75" s="430">
        <f ca="1">IF(PaymentSchedule[[#This Row],[PMT NO]]&lt;&gt;"",EOMONTH(LoanStartDate,ROW(PaymentSchedule[[#This Row],[PMT NO]])-ROW(PaymentSchedule[[#Headers],[PMT NO]])-2)+DAY(LoanStartDate),"")</f>
        <v>45901</v>
      </c>
      <c r="D75" s="431">
        <f ca="1">IF(PaymentSchedule[[#This Row],[PMT NO]]&lt;&gt;"",IF(ROW()-ROW(PaymentSchedule[[#Headers],[BEGINNING BALANCE]])=1,LoanAmount,INDEX(PaymentSchedule[ENDING BALANCE],ROW()-ROW(PaymentSchedule[[#Headers],[BEGINNING BALANCE]])-1)),"")</f>
        <v>2080345.110682125</v>
      </c>
      <c r="E75" s="431">
        <f ca="1">IF(PaymentSchedule[[#This Row],[PMT NO]]&lt;&gt;"",ScheduledPayment,"")</f>
        <v>9423.6334368029093</v>
      </c>
      <c r="F7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5" s="431">
        <f ca="1">IF(PaymentSchedule[[#This Row],[PMT NO]]&lt;&gt;"",PaymentSchedule[[#This Row],[TOTAL PAYMENT]]-PaymentSchedule[[#This Row],[INTEREST]],"")</f>
        <v>5089.5811228818156</v>
      </c>
      <c r="I75" s="431">
        <f ca="1">IF(PaymentSchedule[[#This Row],[PMT NO]]&lt;&gt;"",PaymentSchedule[[#This Row],[BEGINNING BALANCE]]*(InterestRate/PaymentsPerYear),"")</f>
        <v>4334.0523139210936</v>
      </c>
      <c r="J7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2075255.5295592432</v>
      </c>
      <c r="K75" s="431">
        <f ca="1">IF(PaymentSchedule[[#This Row],[PMT NO]]&lt;&gt;"",SUM(INDEX(PaymentSchedule[INTEREST],1,1):PaymentSchedule[[#This Row],[INTEREST]]),"")</f>
        <v>302791.70295143133</v>
      </c>
    </row>
    <row r="76" spans="2:11">
      <c r="B76" s="432">
        <f ca="1">IF(LoanIsGood,IF(ROW()-ROW(PaymentSchedule[[#Headers],[PMT NO]])&gt;ScheduledNumberOfPayments,"",ROW()-ROW(PaymentSchedule[[#Headers],[PMT NO]])),"")</f>
        <v>66</v>
      </c>
      <c r="C76" s="430">
        <f ca="1">IF(PaymentSchedule[[#This Row],[PMT NO]]&lt;&gt;"",EOMONTH(LoanStartDate,ROW(PaymentSchedule[[#This Row],[PMT NO]])-ROW(PaymentSchedule[[#Headers],[PMT NO]])-2)+DAY(LoanStartDate),"")</f>
        <v>45931</v>
      </c>
      <c r="D76" s="431">
        <f ca="1">IF(PaymentSchedule[[#This Row],[PMT NO]]&lt;&gt;"",IF(ROW()-ROW(PaymentSchedule[[#Headers],[BEGINNING BALANCE]])=1,LoanAmount,INDEX(PaymentSchedule[ENDING BALANCE],ROW()-ROW(PaymentSchedule[[#Headers],[BEGINNING BALANCE]])-1)),"")</f>
        <v>2075255.5295592432</v>
      </c>
      <c r="E76" s="431">
        <f ca="1">IF(PaymentSchedule[[#This Row],[PMT NO]]&lt;&gt;"",ScheduledPayment,"")</f>
        <v>9423.6334368029093</v>
      </c>
      <c r="F7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6" s="431">
        <f ca="1">IF(PaymentSchedule[[#This Row],[PMT NO]]&lt;&gt;"",PaymentSchedule[[#This Row],[TOTAL PAYMENT]]-PaymentSchedule[[#This Row],[INTEREST]],"")</f>
        <v>5100.1844168878197</v>
      </c>
      <c r="I76" s="431">
        <f ca="1">IF(PaymentSchedule[[#This Row],[PMT NO]]&lt;&gt;"",PaymentSchedule[[#This Row],[BEGINNING BALANCE]]*(InterestRate/PaymentsPerYear),"")</f>
        <v>4323.4490199150896</v>
      </c>
      <c r="J7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2070155.3451423554</v>
      </c>
      <c r="K76" s="431">
        <f ca="1">IF(PaymentSchedule[[#This Row],[PMT NO]]&lt;&gt;"",SUM(INDEX(PaymentSchedule[INTEREST],1,1):PaymentSchedule[[#This Row],[INTEREST]]),"")</f>
        <v>307115.15197134641</v>
      </c>
    </row>
    <row r="77" spans="2:11">
      <c r="B77" s="432">
        <f ca="1">IF(LoanIsGood,IF(ROW()-ROW(PaymentSchedule[[#Headers],[PMT NO]])&gt;ScheduledNumberOfPayments,"",ROW()-ROW(PaymentSchedule[[#Headers],[PMT NO]])),"")</f>
        <v>67</v>
      </c>
      <c r="C77" s="430">
        <f ca="1">IF(PaymentSchedule[[#This Row],[PMT NO]]&lt;&gt;"",EOMONTH(LoanStartDate,ROW(PaymentSchedule[[#This Row],[PMT NO]])-ROW(PaymentSchedule[[#Headers],[PMT NO]])-2)+DAY(LoanStartDate),"")</f>
        <v>45962</v>
      </c>
      <c r="D77" s="431">
        <f ca="1">IF(PaymentSchedule[[#This Row],[PMT NO]]&lt;&gt;"",IF(ROW()-ROW(PaymentSchedule[[#Headers],[BEGINNING BALANCE]])=1,LoanAmount,INDEX(PaymentSchedule[ENDING BALANCE],ROW()-ROW(PaymentSchedule[[#Headers],[BEGINNING BALANCE]])-1)),"")</f>
        <v>2070155.3451423554</v>
      </c>
      <c r="E77" s="431">
        <f ca="1">IF(PaymentSchedule[[#This Row],[PMT NO]]&lt;&gt;"",ScheduledPayment,"")</f>
        <v>9423.6334368029093</v>
      </c>
      <c r="F7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7" s="431">
        <f ca="1">IF(PaymentSchedule[[#This Row],[PMT NO]]&lt;&gt;"",PaymentSchedule[[#This Row],[TOTAL PAYMENT]]-PaymentSchedule[[#This Row],[INTEREST]],"")</f>
        <v>5110.8098010896692</v>
      </c>
      <c r="I77" s="431">
        <f ca="1">IF(PaymentSchedule[[#This Row],[PMT NO]]&lt;&gt;"",PaymentSchedule[[#This Row],[BEGINNING BALANCE]]*(InterestRate/PaymentsPerYear),"")</f>
        <v>4312.82363571324</v>
      </c>
      <c r="J7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2065044.5353412658</v>
      </c>
      <c r="K77" s="431">
        <f ca="1">IF(PaymentSchedule[[#This Row],[PMT NO]]&lt;&gt;"",SUM(INDEX(PaymentSchedule[INTEREST],1,1):PaymentSchedule[[#This Row],[INTEREST]]),"")</f>
        <v>311427.97560705966</v>
      </c>
    </row>
    <row r="78" spans="2:11">
      <c r="B78" s="432">
        <f ca="1">IF(LoanIsGood,IF(ROW()-ROW(PaymentSchedule[[#Headers],[PMT NO]])&gt;ScheduledNumberOfPayments,"",ROW()-ROW(PaymentSchedule[[#Headers],[PMT NO]])),"")</f>
        <v>68</v>
      </c>
      <c r="C78" s="430">
        <f ca="1">IF(PaymentSchedule[[#This Row],[PMT NO]]&lt;&gt;"",EOMONTH(LoanStartDate,ROW(PaymentSchedule[[#This Row],[PMT NO]])-ROW(PaymentSchedule[[#Headers],[PMT NO]])-2)+DAY(LoanStartDate),"")</f>
        <v>45992</v>
      </c>
      <c r="D78" s="431">
        <f ca="1">IF(PaymentSchedule[[#This Row],[PMT NO]]&lt;&gt;"",IF(ROW()-ROW(PaymentSchedule[[#Headers],[BEGINNING BALANCE]])=1,LoanAmount,INDEX(PaymentSchedule[ENDING BALANCE],ROW()-ROW(PaymentSchedule[[#Headers],[BEGINNING BALANCE]])-1)),"")</f>
        <v>2065044.5353412658</v>
      </c>
      <c r="E78" s="431">
        <f ca="1">IF(PaymentSchedule[[#This Row],[PMT NO]]&lt;&gt;"",ScheduledPayment,"")</f>
        <v>9423.6334368029093</v>
      </c>
      <c r="F7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8" s="431">
        <f ca="1">IF(PaymentSchedule[[#This Row],[PMT NO]]&lt;&gt;"",PaymentSchedule[[#This Row],[TOTAL PAYMENT]]-PaymentSchedule[[#This Row],[INTEREST]],"")</f>
        <v>5121.4573215086057</v>
      </c>
      <c r="I78" s="431">
        <f ca="1">IF(PaymentSchedule[[#This Row],[PMT NO]]&lt;&gt;"",PaymentSchedule[[#This Row],[BEGINNING BALANCE]]*(InterestRate/PaymentsPerYear),"")</f>
        <v>4302.1761152943036</v>
      </c>
      <c r="J7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2059923.0780197573</v>
      </c>
      <c r="K78" s="431">
        <f ca="1">IF(PaymentSchedule[[#This Row],[PMT NO]]&lt;&gt;"",SUM(INDEX(PaymentSchedule[INTEREST],1,1):PaymentSchedule[[#This Row],[INTEREST]]),"")</f>
        <v>315730.15172235394</v>
      </c>
    </row>
    <row r="79" spans="2:11">
      <c r="B79" s="432">
        <f ca="1">IF(LoanIsGood,IF(ROW()-ROW(PaymentSchedule[[#Headers],[PMT NO]])&gt;ScheduledNumberOfPayments,"",ROW()-ROW(PaymentSchedule[[#Headers],[PMT NO]])),"")</f>
        <v>69</v>
      </c>
      <c r="C79" s="430">
        <f ca="1">IF(PaymentSchedule[[#This Row],[PMT NO]]&lt;&gt;"",EOMONTH(LoanStartDate,ROW(PaymentSchedule[[#This Row],[PMT NO]])-ROW(PaymentSchedule[[#Headers],[PMT NO]])-2)+DAY(LoanStartDate),"")</f>
        <v>46023</v>
      </c>
      <c r="D79" s="431">
        <f ca="1">IF(PaymentSchedule[[#This Row],[PMT NO]]&lt;&gt;"",IF(ROW()-ROW(PaymentSchedule[[#Headers],[BEGINNING BALANCE]])=1,LoanAmount,INDEX(PaymentSchedule[ENDING BALANCE],ROW()-ROW(PaymentSchedule[[#Headers],[BEGINNING BALANCE]])-1)),"")</f>
        <v>2059923.0780197573</v>
      </c>
      <c r="E79" s="431">
        <f ca="1">IF(PaymentSchedule[[#This Row],[PMT NO]]&lt;&gt;"",ScheduledPayment,"")</f>
        <v>9423.6334368029093</v>
      </c>
      <c r="F7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7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79" s="431">
        <f ca="1">IF(PaymentSchedule[[#This Row],[PMT NO]]&lt;&gt;"",PaymentSchedule[[#This Row],[TOTAL PAYMENT]]-PaymentSchedule[[#This Row],[INTEREST]],"")</f>
        <v>5132.1270242617484</v>
      </c>
      <c r="I79" s="431">
        <f ca="1">IF(PaymentSchedule[[#This Row],[PMT NO]]&lt;&gt;"",PaymentSchedule[[#This Row],[BEGINNING BALANCE]]*(InterestRate/PaymentsPerYear),"")</f>
        <v>4291.5064125411609</v>
      </c>
      <c r="J7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2054790.9509954955</v>
      </c>
      <c r="K79" s="431">
        <f ca="1">IF(PaymentSchedule[[#This Row],[PMT NO]]&lt;&gt;"",SUM(INDEX(PaymentSchedule[INTEREST],1,1):PaymentSchedule[[#This Row],[INTEREST]]),"")</f>
        <v>320021.65813489509</v>
      </c>
    </row>
    <row r="80" spans="2:11">
      <c r="B80" s="432">
        <f ca="1">IF(LoanIsGood,IF(ROW()-ROW(PaymentSchedule[[#Headers],[PMT NO]])&gt;ScheduledNumberOfPayments,"",ROW()-ROW(PaymentSchedule[[#Headers],[PMT NO]])),"")</f>
        <v>70</v>
      </c>
      <c r="C80" s="430">
        <f ca="1">IF(PaymentSchedule[[#This Row],[PMT NO]]&lt;&gt;"",EOMONTH(LoanStartDate,ROW(PaymentSchedule[[#This Row],[PMT NO]])-ROW(PaymentSchedule[[#Headers],[PMT NO]])-2)+DAY(LoanStartDate),"")</f>
        <v>46054</v>
      </c>
      <c r="D80" s="431">
        <f ca="1">IF(PaymentSchedule[[#This Row],[PMT NO]]&lt;&gt;"",IF(ROW()-ROW(PaymentSchedule[[#Headers],[BEGINNING BALANCE]])=1,LoanAmount,INDEX(PaymentSchedule[ENDING BALANCE],ROW()-ROW(PaymentSchedule[[#Headers],[BEGINNING BALANCE]])-1)),"")</f>
        <v>2054790.9509954955</v>
      </c>
      <c r="E80" s="431">
        <f ca="1">IF(PaymentSchedule[[#This Row],[PMT NO]]&lt;&gt;"",ScheduledPayment,"")</f>
        <v>9423.6334368029093</v>
      </c>
      <c r="F8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0" s="431">
        <f ca="1">IF(PaymentSchedule[[#This Row],[PMT NO]]&lt;&gt;"",PaymentSchedule[[#This Row],[TOTAL PAYMENT]]-PaymentSchedule[[#This Row],[INTEREST]],"")</f>
        <v>5142.8189555622939</v>
      </c>
      <c r="I80" s="431">
        <f ca="1">IF(PaymentSchedule[[#This Row],[PMT NO]]&lt;&gt;"",PaymentSchedule[[#This Row],[BEGINNING BALANCE]]*(InterestRate/PaymentsPerYear),"")</f>
        <v>4280.8144812406154</v>
      </c>
      <c r="J8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2049648.1320399332</v>
      </c>
      <c r="K80" s="431">
        <f ca="1">IF(PaymentSchedule[[#This Row],[PMT NO]]&lt;&gt;"",SUM(INDEX(PaymentSchedule[INTEREST],1,1):PaymentSchedule[[#This Row],[INTEREST]]),"")</f>
        <v>324302.47261613572</v>
      </c>
    </row>
    <row r="81" spans="2:11">
      <c r="B81" s="432">
        <f ca="1">IF(LoanIsGood,IF(ROW()-ROW(PaymentSchedule[[#Headers],[PMT NO]])&gt;ScheduledNumberOfPayments,"",ROW()-ROW(PaymentSchedule[[#Headers],[PMT NO]])),"")</f>
        <v>71</v>
      </c>
      <c r="C81" s="430">
        <f ca="1">IF(PaymentSchedule[[#This Row],[PMT NO]]&lt;&gt;"",EOMONTH(LoanStartDate,ROW(PaymentSchedule[[#This Row],[PMT NO]])-ROW(PaymentSchedule[[#Headers],[PMT NO]])-2)+DAY(LoanStartDate),"")</f>
        <v>46082</v>
      </c>
      <c r="D81" s="431">
        <f ca="1">IF(PaymentSchedule[[#This Row],[PMT NO]]&lt;&gt;"",IF(ROW()-ROW(PaymentSchedule[[#Headers],[BEGINNING BALANCE]])=1,LoanAmount,INDEX(PaymentSchedule[ENDING BALANCE],ROW()-ROW(PaymentSchedule[[#Headers],[BEGINNING BALANCE]])-1)),"")</f>
        <v>2049648.1320399332</v>
      </c>
      <c r="E81" s="431">
        <f ca="1">IF(PaymentSchedule[[#This Row],[PMT NO]]&lt;&gt;"",ScheduledPayment,"")</f>
        <v>9423.6334368029093</v>
      </c>
      <c r="F8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1" s="431">
        <f ca="1">IF(PaymentSchedule[[#This Row],[PMT NO]]&lt;&gt;"",PaymentSchedule[[#This Row],[TOTAL PAYMENT]]-PaymentSchedule[[#This Row],[INTEREST]],"")</f>
        <v>5153.5331617197153</v>
      </c>
      <c r="I81" s="431">
        <f ca="1">IF(PaymentSchedule[[#This Row],[PMT NO]]&lt;&gt;"",PaymentSchedule[[#This Row],[BEGINNING BALANCE]]*(InterestRate/PaymentsPerYear),"")</f>
        <v>4270.100275083194</v>
      </c>
      <c r="J8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2044494.5988782134</v>
      </c>
      <c r="K81" s="431">
        <f ca="1">IF(PaymentSchedule[[#This Row],[PMT NO]]&lt;&gt;"",SUM(INDEX(PaymentSchedule[INTEREST],1,1):PaymentSchedule[[#This Row],[INTEREST]]),"")</f>
        <v>328572.57289121894</v>
      </c>
    </row>
    <row r="82" spans="2:11">
      <c r="B82" s="432">
        <f ca="1">IF(LoanIsGood,IF(ROW()-ROW(PaymentSchedule[[#Headers],[PMT NO]])&gt;ScheduledNumberOfPayments,"",ROW()-ROW(PaymentSchedule[[#Headers],[PMT NO]])),"")</f>
        <v>72</v>
      </c>
      <c r="C82" s="430">
        <f ca="1">IF(PaymentSchedule[[#This Row],[PMT NO]]&lt;&gt;"",EOMONTH(LoanStartDate,ROW(PaymentSchedule[[#This Row],[PMT NO]])-ROW(PaymentSchedule[[#Headers],[PMT NO]])-2)+DAY(LoanStartDate),"")</f>
        <v>46113</v>
      </c>
      <c r="D82" s="431">
        <f ca="1">IF(PaymentSchedule[[#This Row],[PMT NO]]&lt;&gt;"",IF(ROW()-ROW(PaymentSchedule[[#Headers],[BEGINNING BALANCE]])=1,LoanAmount,INDEX(PaymentSchedule[ENDING BALANCE],ROW()-ROW(PaymentSchedule[[#Headers],[BEGINNING BALANCE]])-1)),"")</f>
        <v>2044494.5988782134</v>
      </c>
      <c r="E82" s="431">
        <f ca="1">IF(PaymentSchedule[[#This Row],[PMT NO]]&lt;&gt;"",ScheduledPayment,"")</f>
        <v>9423.6334368029093</v>
      </c>
      <c r="F8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2" s="431">
        <f ca="1">IF(PaymentSchedule[[#This Row],[PMT NO]]&lt;&gt;"",PaymentSchedule[[#This Row],[TOTAL PAYMENT]]-PaymentSchedule[[#This Row],[INTEREST]],"")</f>
        <v>5164.2696891399646</v>
      </c>
      <c r="I82" s="431">
        <f ca="1">IF(PaymentSchedule[[#This Row],[PMT NO]]&lt;&gt;"",PaymentSchedule[[#This Row],[BEGINNING BALANCE]]*(InterestRate/PaymentsPerYear),"")</f>
        <v>4259.3637476629447</v>
      </c>
      <c r="J8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2039330.3291890735</v>
      </c>
      <c r="K82" s="431">
        <f ca="1">IF(PaymentSchedule[[#This Row],[PMT NO]]&lt;&gt;"",SUM(INDEX(PaymentSchedule[INTEREST],1,1):PaymentSchedule[[#This Row],[INTEREST]]),"")</f>
        <v>332831.93663888186</v>
      </c>
    </row>
    <row r="83" spans="2:11">
      <c r="B83" s="432">
        <f ca="1">IF(LoanIsGood,IF(ROW()-ROW(PaymentSchedule[[#Headers],[PMT NO]])&gt;ScheduledNumberOfPayments,"",ROW()-ROW(PaymentSchedule[[#Headers],[PMT NO]])),"")</f>
        <v>73</v>
      </c>
      <c r="C83" s="430">
        <f ca="1">IF(PaymentSchedule[[#This Row],[PMT NO]]&lt;&gt;"",EOMONTH(LoanStartDate,ROW(PaymentSchedule[[#This Row],[PMT NO]])-ROW(PaymentSchedule[[#Headers],[PMT NO]])-2)+DAY(LoanStartDate),"")</f>
        <v>46143</v>
      </c>
      <c r="D83" s="431">
        <f ca="1">IF(PaymentSchedule[[#This Row],[PMT NO]]&lt;&gt;"",IF(ROW()-ROW(PaymentSchedule[[#Headers],[BEGINNING BALANCE]])=1,LoanAmount,INDEX(PaymentSchedule[ENDING BALANCE],ROW()-ROW(PaymentSchedule[[#Headers],[BEGINNING BALANCE]])-1)),"")</f>
        <v>2039330.3291890735</v>
      </c>
      <c r="E83" s="431">
        <f ca="1">IF(PaymentSchedule[[#This Row],[PMT NO]]&lt;&gt;"",ScheduledPayment,"")</f>
        <v>9423.6334368029093</v>
      </c>
      <c r="F8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3" s="431">
        <f ca="1">IF(PaymentSchedule[[#This Row],[PMT NO]]&lt;&gt;"",PaymentSchedule[[#This Row],[TOTAL PAYMENT]]-PaymentSchedule[[#This Row],[INTEREST]],"")</f>
        <v>5175.0285843256725</v>
      </c>
      <c r="I83" s="431">
        <f ca="1">IF(PaymentSchedule[[#This Row],[PMT NO]]&lt;&gt;"",PaymentSchedule[[#This Row],[BEGINNING BALANCE]]*(InterestRate/PaymentsPerYear),"")</f>
        <v>4248.6048524772368</v>
      </c>
      <c r="J8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2034155.3006047478</v>
      </c>
      <c r="K83" s="431">
        <f ca="1">IF(PaymentSchedule[[#This Row],[PMT NO]]&lt;&gt;"",SUM(INDEX(PaymentSchedule[INTEREST],1,1):PaymentSchedule[[#This Row],[INTEREST]]),"")</f>
        <v>337080.54149135912</v>
      </c>
    </row>
    <row r="84" spans="2:11">
      <c r="B84" s="432">
        <f ca="1">IF(LoanIsGood,IF(ROW()-ROW(PaymentSchedule[[#Headers],[PMT NO]])&gt;ScheduledNumberOfPayments,"",ROW()-ROW(PaymentSchedule[[#Headers],[PMT NO]])),"")</f>
        <v>74</v>
      </c>
      <c r="C84" s="430">
        <f ca="1">IF(PaymentSchedule[[#This Row],[PMT NO]]&lt;&gt;"",EOMONTH(LoanStartDate,ROW(PaymentSchedule[[#This Row],[PMT NO]])-ROW(PaymentSchedule[[#Headers],[PMT NO]])-2)+DAY(LoanStartDate),"")</f>
        <v>46174</v>
      </c>
      <c r="D84" s="431">
        <f ca="1">IF(PaymentSchedule[[#This Row],[PMT NO]]&lt;&gt;"",IF(ROW()-ROW(PaymentSchedule[[#Headers],[BEGINNING BALANCE]])=1,LoanAmount,INDEX(PaymentSchedule[ENDING BALANCE],ROW()-ROW(PaymentSchedule[[#Headers],[BEGINNING BALANCE]])-1)),"")</f>
        <v>2034155.3006047478</v>
      </c>
      <c r="E84" s="431">
        <f ca="1">IF(PaymentSchedule[[#This Row],[PMT NO]]&lt;&gt;"",ScheduledPayment,"")</f>
        <v>9423.6334368029093</v>
      </c>
      <c r="F8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4" s="431">
        <f ca="1">IF(PaymentSchedule[[#This Row],[PMT NO]]&lt;&gt;"",PaymentSchedule[[#This Row],[TOTAL PAYMENT]]-PaymentSchedule[[#This Row],[INTEREST]],"")</f>
        <v>5185.8098938763515</v>
      </c>
      <c r="I84" s="431">
        <f ca="1">IF(PaymentSchedule[[#This Row],[PMT NO]]&lt;&gt;"",PaymentSchedule[[#This Row],[BEGINNING BALANCE]]*(InterestRate/PaymentsPerYear),"")</f>
        <v>4237.8235429265578</v>
      </c>
      <c r="J8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2028969.4907108715</v>
      </c>
      <c r="K84" s="431">
        <f ca="1">IF(PaymentSchedule[[#This Row],[PMT NO]]&lt;&gt;"",SUM(INDEX(PaymentSchedule[INTEREST],1,1):PaymentSchedule[[#This Row],[INTEREST]]),"")</f>
        <v>341318.3650342857</v>
      </c>
    </row>
    <row r="85" spans="2:11">
      <c r="B85" s="432">
        <f ca="1">IF(LoanIsGood,IF(ROW()-ROW(PaymentSchedule[[#Headers],[PMT NO]])&gt;ScheduledNumberOfPayments,"",ROW()-ROW(PaymentSchedule[[#Headers],[PMT NO]])),"")</f>
        <v>75</v>
      </c>
      <c r="C85" s="430">
        <f ca="1">IF(PaymentSchedule[[#This Row],[PMT NO]]&lt;&gt;"",EOMONTH(LoanStartDate,ROW(PaymentSchedule[[#This Row],[PMT NO]])-ROW(PaymentSchedule[[#Headers],[PMT NO]])-2)+DAY(LoanStartDate),"")</f>
        <v>46204</v>
      </c>
      <c r="D85" s="431">
        <f ca="1">IF(PaymentSchedule[[#This Row],[PMT NO]]&lt;&gt;"",IF(ROW()-ROW(PaymentSchedule[[#Headers],[BEGINNING BALANCE]])=1,LoanAmount,INDEX(PaymentSchedule[ENDING BALANCE],ROW()-ROW(PaymentSchedule[[#Headers],[BEGINNING BALANCE]])-1)),"")</f>
        <v>2028969.4907108715</v>
      </c>
      <c r="E85" s="431">
        <f ca="1">IF(PaymentSchedule[[#This Row],[PMT NO]]&lt;&gt;"",ScheduledPayment,"")</f>
        <v>9423.6334368029093</v>
      </c>
      <c r="F8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5" s="431">
        <f ca="1">IF(PaymentSchedule[[#This Row],[PMT NO]]&lt;&gt;"",PaymentSchedule[[#This Row],[TOTAL PAYMENT]]-PaymentSchedule[[#This Row],[INTEREST]],"")</f>
        <v>5196.6136644885937</v>
      </c>
      <c r="I85" s="431">
        <f ca="1">IF(PaymentSchedule[[#This Row],[PMT NO]]&lt;&gt;"",PaymentSchedule[[#This Row],[BEGINNING BALANCE]]*(InterestRate/PaymentsPerYear),"")</f>
        <v>4227.0197723143156</v>
      </c>
      <c r="J8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2023772.877046383</v>
      </c>
      <c r="K85" s="431">
        <f ca="1">IF(PaymentSchedule[[#This Row],[PMT NO]]&lt;&gt;"",SUM(INDEX(PaymentSchedule[INTEREST],1,1):PaymentSchedule[[#This Row],[INTEREST]]),"")</f>
        <v>345545.38480659999</v>
      </c>
    </row>
    <row r="86" spans="2:11">
      <c r="B86" s="432">
        <f ca="1">IF(LoanIsGood,IF(ROW()-ROW(PaymentSchedule[[#Headers],[PMT NO]])&gt;ScheduledNumberOfPayments,"",ROW()-ROW(PaymentSchedule[[#Headers],[PMT NO]])),"")</f>
        <v>76</v>
      </c>
      <c r="C86" s="430">
        <f ca="1">IF(PaymentSchedule[[#This Row],[PMT NO]]&lt;&gt;"",EOMONTH(LoanStartDate,ROW(PaymentSchedule[[#This Row],[PMT NO]])-ROW(PaymentSchedule[[#Headers],[PMT NO]])-2)+DAY(LoanStartDate),"")</f>
        <v>46235</v>
      </c>
      <c r="D86" s="431">
        <f ca="1">IF(PaymentSchedule[[#This Row],[PMT NO]]&lt;&gt;"",IF(ROW()-ROW(PaymentSchedule[[#Headers],[BEGINNING BALANCE]])=1,LoanAmount,INDEX(PaymentSchedule[ENDING BALANCE],ROW()-ROW(PaymentSchedule[[#Headers],[BEGINNING BALANCE]])-1)),"")</f>
        <v>2023772.877046383</v>
      </c>
      <c r="E86" s="431">
        <f ca="1">IF(PaymentSchedule[[#This Row],[PMT NO]]&lt;&gt;"",ScheduledPayment,"")</f>
        <v>9423.6334368029093</v>
      </c>
      <c r="F8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6" s="431">
        <f ca="1">IF(PaymentSchedule[[#This Row],[PMT NO]]&lt;&gt;"",PaymentSchedule[[#This Row],[TOTAL PAYMENT]]-PaymentSchedule[[#This Row],[INTEREST]],"")</f>
        <v>5207.4399429562782</v>
      </c>
      <c r="I86" s="431">
        <f ca="1">IF(PaymentSchedule[[#This Row],[PMT NO]]&lt;&gt;"",PaymentSchedule[[#This Row],[BEGINNING BALANCE]]*(InterestRate/PaymentsPerYear),"")</f>
        <v>4216.1934938466311</v>
      </c>
      <c r="J8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2018565.4371034268</v>
      </c>
      <c r="K86" s="431">
        <f ca="1">IF(PaymentSchedule[[#This Row],[PMT NO]]&lt;&gt;"",SUM(INDEX(PaymentSchedule[INTEREST],1,1):PaymentSchedule[[#This Row],[INTEREST]]),"")</f>
        <v>349761.57830044662</v>
      </c>
    </row>
    <row r="87" spans="2:11">
      <c r="B87" s="432">
        <f ca="1">IF(LoanIsGood,IF(ROW()-ROW(PaymentSchedule[[#Headers],[PMT NO]])&gt;ScheduledNumberOfPayments,"",ROW()-ROW(PaymentSchedule[[#Headers],[PMT NO]])),"")</f>
        <v>77</v>
      </c>
      <c r="C87" s="430">
        <f ca="1">IF(PaymentSchedule[[#This Row],[PMT NO]]&lt;&gt;"",EOMONTH(LoanStartDate,ROW(PaymentSchedule[[#This Row],[PMT NO]])-ROW(PaymentSchedule[[#Headers],[PMT NO]])-2)+DAY(LoanStartDate),"")</f>
        <v>46266</v>
      </c>
      <c r="D87" s="431">
        <f ca="1">IF(PaymentSchedule[[#This Row],[PMT NO]]&lt;&gt;"",IF(ROW()-ROW(PaymentSchedule[[#Headers],[BEGINNING BALANCE]])=1,LoanAmount,INDEX(PaymentSchedule[ENDING BALANCE],ROW()-ROW(PaymentSchedule[[#Headers],[BEGINNING BALANCE]])-1)),"")</f>
        <v>2018565.4371034268</v>
      </c>
      <c r="E87" s="431">
        <f ca="1">IF(PaymentSchedule[[#This Row],[PMT NO]]&lt;&gt;"",ScheduledPayment,"")</f>
        <v>9423.6334368029093</v>
      </c>
      <c r="F8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7" s="431">
        <f ca="1">IF(PaymentSchedule[[#This Row],[PMT NO]]&lt;&gt;"",PaymentSchedule[[#This Row],[TOTAL PAYMENT]]-PaymentSchedule[[#This Row],[INTEREST]],"")</f>
        <v>5218.2887761707698</v>
      </c>
      <c r="I87" s="431">
        <f ca="1">IF(PaymentSchedule[[#This Row],[PMT NO]]&lt;&gt;"",PaymentSchedule[[#This Row],[BEGINNING BALANCE]]*(InterestRate/PaymentsPerYear),"")</f>
        <v>4205.3446606321395</v>
      </c>
      <c r="J8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2013347.1483272561</v>
      </c>
      <c r="K87" s="431">
        <f ca="1">IF(PaymentSchedule[[#This Row],[PMT NO]]&lt;&gt;"",SUM(INDEX(PaymentSchedule[INTEREST],1,1):PaymentSchedule[[#This Row],[INTEREST]]),"")</f>
        <v>353966.92296107876</v>
      </c>
    </row>
    <row r="88" spans="2:11">
      <c r="B88" s="432">
        <f ca="1">IF(LoanIsGood,IF(ROW()-ROW(PaymentSchedule[[#Headers],[PMT NO]])&gt;ScheduledNumberOfPayments,"",ROW()-ROW(PaymentSchedule[[#Headers],[PMT NO]])),"")</f>
        <v>78</v>
      </c>
      <c r="C88" s="430">
        <f ca="1">IF(PaymentSchedule[[#This Row],[PMT NO]]&lt;&gt;"",EOMONTH(LoanStartDate,ROW(PaymentSchedule[[#This Row],[PMT NO]])-ROW(PaymentSchedule[[#Headers],[PMT NO]])-2)+DAY(LoanStartDate),"")</f>
        <v>46296</v>
      </c>
      <c r="D88" s="431">
        <f ca="1">IF(PaymentSchedule[[#This Row],[PMT NO]]&lt;&gt;"",IF(ROW()-ROW(PaymentSchedule[[#Headers],[BEGINNING BALANCE]])=1,LoanAmount,INDEX(PaymentSchedule[ENDING BALANCE],ROW()-ROW(PaymentSchedule[[#Headers],[BEGINNING BALANCE]])-1)),"")</f>
        <v>2013347.1483272561</v>
      </c>
      <c r="E88" s="431">
        <f ca="1">IF(PaymentSchedule[[#This Row],[PMT NO]]&lt;&gt;"",ScheduledPayment,"")</f>
        <v>9423.6334368029093</v>
      </c>
      <c r="F8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8" s="431">
        <f ca="1">IF(PaymentSchedule[[#This Row],[PMT NO]]&lt;&gt;"",PaymentSchedule[[#This Row],[TOTAL PAYMENT]]-PaymentSchedule[[#This Row],[INTEREST]],"")</f>
        <v>5229.1602111211259</v>
      </c>
      <c r="I88" s="431">
        <f ca="1">IF(PaymentSchedule[[#This Row],[PMT NO]]&lt;&gt;"",PaymentSchedule[[#This Row],[BEGINNING BALANCE]]*(InterestRate/PaymentsPerYear),"")</f>
        <v>4194.4732256817833</v>
      </c>
      <c r="J8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2008117.9881161349</v>
      </c>
      <c r="K88" s="431">
        <f ca="1">IF(PaymentSchedule[[#This Row],[PMT NO]]&lt;&gt;"",SUM(INDEX(PaymentSchedule[INTEREST],1,1):PaymentSchedule[[#This Row],[INTEREST]]),"")</f>
        <v>358161.39618676057</v>
      </c>
    </row>
    <row r="89" spans="2:11">
      <c r="B89" s="432">
        <f ca="1">IF(LoanIsGood,IF(ROW()-ROW(PaymentSchedule[[#Headers],[PMT NO]])&gt;ScheduledNumberOfPayments,"",ROW()-ROW(PaymentSchedule[[#Headers],[PMT NO]])),"")</f>
        <v>79</v>
      </c>
      <c r="C89" s="430">
        <f ca="1">IF(PaymentSchedule[[#This Row],[PMT NO]]&lt;&gt;"",EOMONTH(LoanStartDate,ROW(PaymentSchedule[[#This Row],[PMT NO]])-ROW(PaymentSchedule[[#Headers],[PMT NO]])-2)+DAY(LoanStartDate),"")</f>
        <v>46327</v>
      </c>
      <c r="D89" s="431">
        <f ca="1">IF(PaymentSchedule[[#This Row],[PMT NO]]&lt;&gt;"",IF(ROW()-ROW(PaymentSchedule[[#Headers],[BEGINNING BALANCE]])=1,LoanAmount,INDEX(PaymentSchedule[ENDING BALANCE],ROW()-ROW(PaymentSchedule[[#Headers],[BEGINNING BALANCE]])-1)),"")</f>
        <v>2008117.9881161349</v>
      </c>
      <c r="E89" s="431">
        <f ca="1">IF(PaymentSchedule[[#This Row],[PMT NO]]&lt;&gt;"",ScheduledPayment,"")</f>
        <v>9423.6334368029093</v>
      </c>
      <c r="F8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8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89" s="431">
        <f ca="1">IF(PaymentSchedule[[#This Row],[PMT NO]]&lt;&gt;"",PaymentSchedule[[#This Row],[TOTAL PAYMENT]]-PaymentSchedule[[#This Row],[INTEREST]],"")</f>
        <v>5240.0542948942948</v>
      </c>
      <c r="I89" s="431">
        <f ca="1">IF(PaymentSchedule[[#This Row],[PMT NO]]&lt;&gt;"",PaymentSchedule[[#This Row],[BEGINNING BALANCE]]*(InterestRate/PaymentsPerYear),"")</f>
        <v>4183.5791419086145</v>
      </c>
      <c r="J8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2002877.9338212407</v>
      </c>
      <c r="K89" s="431">
        <f ca="1">IF(PaymentSchedule[[#This Row],[PMT NO]]&lt;&gt;"",SUM(INDEX(PaymentSchedule[INTEREST],1,1):PaymentSchedule[[#This Row],[INTEREST]]),"")</f>
        <v>362344.97532866918</v>
      </c>
    </row>
    <row r="90" spans="2:11">
      <c r="B90" s="432">
        <f ca="1">IF(LoanIsGood,IF(ROW()-ROW(PaymentSchedule[[#Headers],[PMT NO]])&gt;ScheduledNumberOfPayments,"",ROW()-ROW(PaymentSchedule[[#Headers],[PMT NO]])),"")</f>
        <v>80</v>
      </c>
      <c r="C90" s="430">
        <f ca="1">IF(PaymentSchedule[[#This Row],[PMT NO]]&lt;&gt;"",EOMONTH(LoanStartDate,ROW(PaymentSchedule[[#This Row],[PMT NO]])-ROW(PaymentSchedule[[#Headers],[PMT NO]])-2)+DAY(LoanStartDate),"")</f>
        <v>46357</v>
      </c>
      <c r="D90" s="431">
        <f ca="1">IF(PaymentSchedule[[#This Row],[PMT NO]]&lt;&gt;"",IF(ROW()-ROW(PaymentSchedule[[#Headers],[BEGINNING BALANCE]])=1,LoanAmount,INDEX(PaymentSchedule[ENDING BALANCE],ROW()-ROW(PaymentSchedule[[#Headers],[BEGINNING BALANCE]])-1)),"")</f>
        <v>2002877.9338212407</v>
      </c>
      <c r="E90" s="431">
        <f ca="1">IF(PaymentSchedule[[#This Row],[PMT NO]]&lt;&gt;"",ScheduledPayment,"")</f>
        <v>9423.6334368029093</v>
      </c>
      <c r="F9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0" s="431">
        <f ca="1">IF(PaymentSchedule[[#This Row],[PMT NO]]&lt;&gt;"",PaymentSchedule[[#This Row],[TOTAL PAYMENT]]-PaymentSchedule[[#This Row],[INTEREST]],"")</f>
        <v>5250.9710746753244</v>
      </c>
      <c r="I90" s="431">
        <f ca="1">IF(PaymentSchedule[[#This Row],[PMT NO]]&lt;&gt;"",PaymentSchedule[[#This Row],[BEGINNING BALANCE]]*(InterestRate/PaymentsPerYear),"")</f>
        <v>4172.6623621275849</v>
      </c>
      <c r="J9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1997626.9627465655</v>
      </c>
      <c r="K90" s="431">
        <f ca="1">IF(PaymentSchedule[[#This Row],[PMT NO]]&lt;&gt;"",SUM(INDEX(PaymentSchedule[INTEREST],1,1):PaymentSchedule[[#This Row],[INTEREST]]),"")</f>
        <v>366517.63769079675</v>
      </c>
    </row>
    <row r="91" spans="2:11">
      <c r="B91" s="432">
        <f ca="1">IF(LoanIsGood,IF(ROW()-ROW(PaymentSchedule[[#Headers],[PMT NO]])&gt;ScheduledNumberOfPayments,"",ROW()-ROW(PaymentSchedule[[#Headers],[PMT NO]])),"")</f>
        <v>81</v>
      </c>
      <c r="C91" s="430">
        <f ca="1">IF(PaymentSchedule[[#This Row],[PMT NO]]&lt;&gt;"",EOMONTH(LoanStartDate,ROW(PaymentSchedule[[#This Row],[PMT NO]])-ROW(PaymentSchedule[[#Headers],[PMT NO]])-2)+DAY(LoanStartDate),"")</f>
        <v>46388</v>
      </c>
      <c r="D91" s="431">
        <f ca="1">IF(PaymentSchedule[[#This Row],[PMT NO]]&lt;&gt;"",IF(ROW()-ROW(PaymentSchedule[[#Headers],[BEGINNING BALANCE]])=1,LoanAmount,INDEX(PaymentSchedule[ENDING BALANCE],ROW()-ROW(PaymentSchedule[[#Headers],[BEGINNING BALANCE]])-1)),"")</f>
        <v>1997626.9627465655</v>
      </c>
      <c r="E91" s="431">
        <f ca="1">IF(PaymentSchedule[[#This Row],[PMT NO]]&lt;&gt;"",ScheduledPayment,"")</f>
        <v>9423.6334368029093</v>
      </c>
      <c r="F9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1" s="431">
        <f ca="1">IF(PaymentSchedule[[#This Row],[PMT NO]]&lt;&gt;"",PaymentSchedule[[#This Row],[TOTAL PAYMENT]]-PaymentSchedule[[#This Row],[INTEREST]],"")</f>
        <v>5261.9105977475647</v>
      </c>
      <c r="I91" s="431">
        <f ca="1">IF(PaymentSchedule[[#This Row],[PMT NO]]&lt;&gt;"",PaymentSchedule[[#This Row],[BEGINNING BALANCE]]*(InterestRate/PaymentsPerYear),"")</f>
        <v>4161.7228390553446</v>
      </c>
      <c r="J9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1992365.0521488178</v>
      </c>
      <c r="K91" s="431">
        <f ca="1">IF(PaymentSchedule[[#This Row],[PMT NO]]&lt;&gt;"",SUM(INDEX(PaymentSchedule[INTEREST],1,1):PaymentSchedule[[#This Row],[INTEREST]]),"")</f>
        <v>370679.3605298521</v>
      </c>
    </row>
    <row r="92" spans="2:11">
      <c r="B92" s="432">
        <f ca="1">IF(LoanIsGood,IF(ROW()-ROW(PaymentSchedule[[#Headers],[PMT NO]])&gt;ScheduledNumberOfPayments,"",ROW()-ROW(PaymentSchedule[[#Headers],[PMT NO]])),"")</f>
        <v>82</v>
      </c>
      <c r="C92" s="430">
        <f ca="1">IF(PaymentSchedule[[#This Row],[PMT NO]]&lt;&gt;"",EOMONTH(LoanStartDate,ROW(PaymentSchedule[[#This Row],[PMT NO]])-ROW(PaymentSchedule[[#Headers],[PMT NO]])-2)+DAY(LoanStartDate),"")</f>
        <v>46419</v>
      </c>
      <c r="D92" s="431">
        <f ca="1">IF(PaymentSchedule[[#This Row],[PMT NO]]&lt;&gt;"",IF(ROW()-ROW(PaymentSchedule[[#Headers],[BEGINNING BALANCE]])=1,LoanAmount,INDEX(PaymentSchedule[ENDING BALANCE],ROW()-ROW(PaymentSchedule[[#Headers],[BEGINNING BALANCE]])-1)),"")</f>
        <v>1992365.0521488178</v>
      </c>
      <c r="E92" s="431">
        <f ca="1">IF(PaymentSchedule[[#This Row],[PMT NO]]&lt;&gt;"",ScheduledPayment,"")</f>
        <v>9423.6334368029093</v>
      </c>
      <c r="F9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2" s="431">
        <f ca="1">IF(PaymentSchedule[[#This Row],[PMT NO]]&lt;&gt;"",PaymentSchedule[[#This Row],[TOTAL PAYMENT]]-PaymentSchedule[[#This Row],[INTEREST]],"")</f>
        <v>5272.8729114928719</v>
      </c>
      <c r="I92" s="431">
        <f ca="1">IF(PaymentSchedule[[#This Row],[PMT NO]]&lt;&gt;"",PaymentSchedule[[#This Row],[BEGINNING BALANCE]]*(InterestRate/PaymentsPerYear),"")</f>
        <v>4150.7605253100373</v>
      </c>
      <c r="J9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1987092.179237325</v>
      </c>
      <c r="K92" s="431">
        <f ca="1">IF(PaymentSchedule[[#This Row],[PMT NO]]&lt;&gt;"",SUM(INDEX(PaymentSchedule[INTEREST],1,1):PaymentSchedule[[#This Row],[INTEREST]]),"")</f>
        <v>374830.12105516216</v>
      </c>
    </row>
    <row r="93" spans="2:11">
      <c r="B93" s="432">
        <f ca="1">IF(LoanIsGood,IF(ROW()-ROW(PaymentSchedule[[#Headers],[PMT NO]])&gt;ScheduledNumberOfPayments,"",ROW()-ROW(PaymentSchedule[[#Headers],[PMT NO]])),"")</f>
        <v>83</v>
      </c>
      <c r="C93" s="430">
        <f ca="1">IF(PaymentSchedule[[#This Row],[PMT NO]]&lt;&gt;"",EOMONTH(LoanStartDate,ROW(PaymentSchedule[[#This Row],[PMT NO]])-ROW(PaymentSchedule[[#Headers],[PMT NO]])-2)+DAY(LoanStartDate),"")</f>
        <v>46447</v>
      </c>
      <c r="D93" s="431">
        <f ca="1">IF(PaymentSchedule[[#This Row],[PMT NO]]&lt;&gt;"",IF(ROW()-ROW(PaymentSchedule[[#Headers],[BEGINNING BALANCE]])=1,LoanAmount,INDEX(PaymentSchedule[ENDING BALANCE],ROW()-ROW(PaymentSchedule[[#Headers],[BEGINNING BALANCE]])-1)),"")</f>
        <v>1987092.179237325</v>
      </c>
      <c r="E93" s="431">
        <f ca="1">IF(PaymentSchedule[[#This Row],[PMT NO]]&lt;&gt;"",ScheduledPayment,"")</f>
        <v>9423.6334368029093</v>
      </c>
      <c r="F9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3" s="431">
        <f ca="1">IF(PaymentSchedule[[#This Row],[PMT NO]]&lt;&gt;"",PaymentSchedule[[#This Row],[TOTAL PAYMENT]]-PaymentSchedule[[#This Row],[INTEREST]],"")</f>
        <v>5283.8580633918154</v>
      </c>
      <c r="I93" s="431">
        <f ca="1">IF(PaymentSchedule[[#This Row],[PMT NO]]&lt;&gt;"",PaymentSchedule[[#This Row],[BEGINNING BALANCE]]*(InterestRate/PaymentsPerYear),"")</f>
        <v>4139.7753734110938</v>
      </c>
      <c r="J9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1981808.3211739331</v>
      </c>
      <c r="K93" s="431">
        <f ca="1">IF(PaymentSchedule[[#This Row],[PMT NO]]&lt;&gt;"",SUM(INDEX(PaymentSchedule[INTEREST],1,1):PaymentSchedule[[#This Row],[INTEREST]]),"")</f>
        <v>378969.89642857324</v>
      </c>
    </row>
    <row r="94" spans="2:11">
      <c r="B94" s="432">
        <f ca="1">IF(LoanIsGood,IF(ROW()-ROW(PaymentSchedule[[#Headers],[PMT NO]])&gt;ScheduledNumberOfPayments,"",ROW()-ROW(PaymentSchedule[[#Headers],[PMT NO]])),"")</f>
        <v>84</v>
      </c>
      <c r="C94" s="430">
        <f ca="1">IF(PaymentSchedule[[#This Row],[PMT NO]]&lt;&gt;"",EOMONTH(LoanStartDate,ROW(PaymentSchedule[[#This Row],[PMT NO]])-ROW(PaymentSchedule[[#Headers],[PMT NO]])-2)+DAY(LoanStartDate),"")</f>
        <v>46478</v>
      </c>
      <c r="D94" s="431">
        <f ca="1">IF(PaymentSchedule[[#This Row],[PMT NO]]&lt;&gt;"",IF(ROW()-ROW(PaymentSchedule[[#Headers],[BEGINNING BALANCE]])=1,LoanAmount,INDEX(PaymentSchedule[ENDING BALANCE],ROW()-ROW(PaymentSchedule[[#Headers],[BEGINNING BALANCE]])-1)),"")</f>
        <v>1981808.3211739331</v>
      </c>
      <c r="E94" s="431">
        <f ca="1">IF(PaymentSchedule[[#This Row],[PMT NO]]&lt;&gt;"",ScheduledPayment,"")</f>
        <v>9423.6334368029093</v>
      </c>
      <c r="F9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4" s="431">
        <f ca="1">IF(PaymentSchedule[[#This Row],[PMT NO]]&lt;&gt;"",PaymentSchedule[[#This Row],[TOTAL PAYMENT]]-PaymentSchedule[[#This Row],[INTEREST]],"")</f>
        <v>5294.866101023882</v>
      </c>
      <c r="I94" s="431">
        <f ca="1">IF(PaymentSchedule[[#This Row],[PMT NO]]&lt;&gt;"",PaymentSchedule[[#This Row],[BEGINNING BALANCE]]*(InterestRate/PaymentsPerYear),"")</f>
        <v>4128.7673357790272</v>
      </c>
      <c r="J9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1976513.4550729091</v>
      </c>
      <c r="K94" s="431">
        <f ca="1">IF(PaymentSchedule[[#This Row],[PMT NO]]&lt;&gt;"",SUM(INDEX(PaymentSchedule[INTEREST],1,1):PaymentSchedule[[#This Row],[INTEREST]]),"")</f>
        <v>383098.66376435227</v>
      </c>
    </row>
    <row r="95" spans="2:11">
      <c r="B95" s="432">
        <f ca="1">IF(LoanIsGood,IF(ROW()-ROW(PaymentSchedule[[#Headers],[PMT NO]])&gt;ScheduledNumberOfPayments,"",ROW()-ROW(PaymentSchedule[[#Headers],[PMT NO]])),"")</f>
        <v>85</v>
      </c>
      <c r="C95" s="430">
        <f ca="1">IF(PaymentSchedule[[#This Row],[PMT NO]]&lt;&gt;"",EOMONTH(LoanStartDate,ROW(PaymentSchedule[[#This Row],[PMT NO]])-ROW(PaymentSchedule[[#Headers],[PMT NO]])-2)+DAY(LoanStartDate),"")</f>
        <v>46508</v>
      </c>
      <c r="D95" s="431">
        <f ca="1">IF(PaymentSchedule[[#This Row],[PMT NO]]&lt;&gt;"",IF(ROW()-ROW(PaymentSchedule[[#Headers],[BEGINNING BALANCE]])=1,LoanAmount,INDEX(PaymentSchedule[ENDING BALANCE],ROW()-ROW(PaymentSchedule[[#Headers],[BEGINNING BALANCE]])-1)),"")</f>
        <v>1976513.4550729091</v>
      </c>
      <c r="E95" s="431">
        <f ca="1">IF(PaymentSchedule[[#This Row],[PMT NO]]&lt;&gt;"",ScheduledPayment,"")</f>
        <v>9423.6334368029093</v>
      </c>
      <c r="F9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5" s="431">
        <f ca="1">IF(PaymentSchedule[[#This Row],[PMT NO]]&lt;&gt;"",PaymentSchedule[[#This Row],[TOTAL PAYMENT]]-PaymentSchedule[[#This Row],[INTEREST]],"")</f>
        <v>5305.8970720676816</v>
      </c>
      <c r="I95" s="431">
        <f ca="1">IF(PaymentSchedule[[#This Row],[PMT NO]]&lt;&gt;"",PaymentSchedule[[#This Row],[BEGINNING BALANCE]]*(InterestRate/PaymentsPerYear),"")</f>
        <v>4117.7363647352277</v>
      </c>
      <c r="J9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1971207.5580008414</v>
      </c>
      <c r="K95" s="431">
        <f ca="1">IF(PaymentSchedule[[#This Row],[PMT NO]]&lt;&gt;"",SUM(INDEX(PaymentSchedule[INTEREST],1,1):PaymentSchedule[[#This Row],[INTEREST]]),"")</f>
        <v>387216.4001290875</v>
      </c>
    </row>
    <row r="96" spans="2:11">
      <c r="B96" s="432">
        <f ca="1">IF(LoanIsGood,IF(ROW()-ROW(PaymentSchedule[[#Headers],[PMT NO]])&gt;ScheduledNumberOfPayments,"",ROW()-ROW(PaymentSchedule[[#Headers],[PMT NO]])),"")</f>
        <v>86</v>
      </c>
      <c r="C96" s="430">
        <f ca="1">IF(PaymentSchedule[[#This Row],[PMT NO]]&lt;&gt;"",EOMONTH(LoanStartDate,ROW(PaymentSchedule[[#This Row],[PMT NO]])-ROW(PaymentSchedule[[#Headers],[PMT NO]])-2)+DAY(LoanStartDate),"")</f>
        <v>46539</v>
      </c>
      <c r="D96" s="431">
        <f ca="1">IF(PaymentSchedule[[#This Row],[PMT NO]]&lt;&gt;"",IF(ROW()-ROW(PaymentSchedule[[#Headers],[BEGINNING BALANCE]])=1,LoanAmount,INDEX(PaymentSchedule[ENDING BALANCE],ROW()-ROW(PaymentSchedule[[#Headers],[BEGINNING BALANCE]])-1)),"")</f>
        <v>1971207.5580008414</v>
      </c>
      <c r="E96" s="431">
        <f ca="1">IF(PaymentSchedule[[#This Row],[PMT NO]]&lt;&gt;"",ScheduledPayment,"")</f>
        <v>9423.6334368029093</v>
      </c>
      <c r="F9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6" s="431">
        <f ca="1">IF(PaymentSchedule[[#This Row],[PMT NO]]&lt;&gt;"",PaymentSchedule[[#This Row],[TOTAL PAYMENT]]-PaymentSchedule[[#This Row],[INTEREST]],"")</f>
        <v>5316.9510243011564</v>
      </c>
      <c r="I96" s="431">
        <f ca="1">IF(PaymentSchedule[[#This Row],[PMT NO]]&lt;&gt;"",PaymentSchedule[[#This Row],[BEGINNING BALANCE]]*(InterestRate/PaymentsPerYear),"")</f>
        <v>4106.6824125017529</v>
      </c>
      <c r="J9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1965890.6069765403</v>
      </c>
      <c r="K96" s="431">
        <f ca="1">IF(PaymentSchedule[[#This Row],[PMT NO]]&lt;&gt;"",SUM(INDEX(PaymentSchedule[INTEREST],1,1):PaymentSchedule[[#This Row],[INTEREST]]),"")</f>
        <v>391323.08254158928</v>
      </c>
    </row>
    <row r="97" spans="2:11">
      <c r="B97" s="432">
        <f ca="1">IF(LoanIsGood,IF(ROW()-ROW(PaymentSchedule[[#Headers],[PMT NO]])&gt;ScheduledNumberOfPayments,"",ROW()-ROW(PaymentSchedule[[#Headers],[PMT NO]])),"")</f>
        <v>87</v>
      </c>
      <c r="C97" s="430">
        <f ca="1">IF(PaymentSchedule[[#This Row],[PMT NO]]&lt;&gt;"",EOMONTH(LoanStartDate,ROW(PaymentSchedule[[#This Row],[PMT NO]])-ROW(PaymentSchedule[[#Headers],[PMT NO]])-2)+DAY(LoanStartDate),"")</f>
        <v>46569</v>
      </c>
      <c r="D97" s="431">
        <f ca="1">IF(PaymentSchedule[[#This Row],[PMT NO]]&lt;&gt;"",IF(ROW()-ROW(PaymentSchedule[[#Headers],[BEGINNING BALANCE]])=1,LoanAmount,INDEX(PaymentSchedule[ENDING BALANCE],ROW()-ROW(PaymentSchedule[[#Headers],[BEGINNING BALANCE]])-1)),"")</f>
        <v>1965890.6069765403</v>
      </c>
      <c r="E97" s="431">
        <f ca="1">IF(PaymentSchedule[[#This Row],[PMT NO]]&lt;&gt;"",ScheduledPayment,"")</f>
        <v>9423.6334368029093</v>
      </c>
      <c r="F9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7" s="431">
        <f ca="1">IF(PaymentSchedule[[#This Row],[PMT NO]]&lt;&gt;"",PaymentSchedule[[#This Row],[TOTAL PAYMENT]]-PaymentSchedule[[#This Row],[INTEREST]],"")</f>
        <v>5328.0280056017837</v>
      </c>
      <c r="I97" s="431">
        <f ca="1">IF(PaymentSchedule[[#This Row],[PMT NO]]&lt;&gt;"",PaymentSchedule[[#This Row],[BEGINNING BALANCE]]*(InterestRate/PaymentsPerYear),"")</f>
        <v>4095.6054312011256</v>
      </c>
      <c r="J9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1960562.5789709385</v>
      </c>
      <c r="K97" s="431">
        <f ca="1">IF(PaymentSchedule[[#This Row],[PMT NO]]&lt;&gt;"",SUM(INDEX(PaymentSchedule[INTEREST],1,1):PaymentSchedule[[#This Row],[INTEREST]]),"")</f>
        <v>395418.68797279039</v>
      </c>
    </row>
    <row r="98" spans="2:11">
      <c r="B98" s="432">
        <f ca="1">IF(LoanIsGood,IF(ROW()-ROW(PaymentSchedule[[#Headers],[PMT NO]])&gt;ScheduledNumberOfPayments,"",ROW()-ROW(PaymentSchedule[[#Headers],[PMT NO]])),"")</f>
        <v>88</v>
      </c>
      <c r="C98" s="430">
        <f ca="1">IF(PaymentSchedule[[#This Row],[PMT NO]]&lt;&gt;"",EOMONTH(LoanStartDate,ROW(PaymentSchedule[[#This Row],[PMT NO]])-ROW(PaymentSchedule[[#Headers],[PMT NO]])-2)+DAY(LoanStartDate),"")</f>
        <v>46600</v>
      </c>
      <c r="D98" s="431">
        <f ca="1">IF(PaymentSchedule[[#This Row],[PMT NO]]&lt;&gt;"",IF(ROW()-ROW(PaymentSchedule[[#Headers],[BEGINNING BALANCE]])=1,LoanAmount,INDEX(PaymentSchedule[ENDING BALANCE],ROW()-ROW(PaymentSchedule[[#Headers],[BEGINNING BALANCE]])-1)),"")</f>
        <v>1960562.5789709385</v>
      </c>
      <c r="E98" s="431">
        <f ca="1">IF(PaymentSchedule[[#This Row],[PMT NO]]&lt;&gt;"",ScheduledPayment,"")</f>
        <v>9423.6334368029093</v>
      </c>
      <c r="F9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8" s="431">
        <f ca="1">IF(PaymentSchedule[[#This Row],[PMT NO]]&lt;&gt;"",PaymentSchedule[[#This Row],[TOTAL PAYMENT]]-PaymentSchedule[[#This Row],[INTEREST]],"")</f>
        <v>5339.1280639467877</v>
      </c>
      <c r="I98" s="431">
        <f ca="1">IF(PaymentSchedule[[#This Row],[PMT NO]]&lt;&gt;"",PaymentSchedule[[#This Row],[BEGINNING BALANCE]]*(InterestRate/PaymentsPerYear),"")</f>
        <v>4084.5053728561215</v>
      </c>
      <c r="J9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1955223.4509069917</v>
      </c>
      <c r="K98" s="431">
        <f ca="1">IF(PaymentSchedule[[#This Row],[PMT NO]]&lt;&gt;"",SUM(INDEX(PaymentSchedule[INTEREST],1,1):PaymentSchedule[[#This Row],[INTEREST]]),"")</f>
        <v>399503.19334564649</v>
      </c>
    </row>
    <row r="99" spans="2:11">
      <c r="B99" s="432">
        <f ca="1">IF(LoanIsGood,IF(ROW()-ROW(PaymentSchedule[[#Headers],[PMT NO]])&gt;ScheduledNumberOfPayments,"",ROW()-ROW(PaymentSchedule[[#Headers],[PMT NO]])),"")</f>
        <v>89</v>
      </c>
      <c r="C99" s="430">
        <f ca="1">IF(PaymentSchedule[[#This Row],[PMT NO]]&lt;&gt;"",EOMONTH(LoanStartDate,ROW(PaymentSchedule[[#This Row],[PMT NO]])-ROW(PaymentSchedule[[#Headers],[PMT NO]])-2)+DAY(LoanStartDate),"")</f>
        <v>46631</v>
      </c>
      <c r="D99" s="431">
        <f ca="1">IF(PaymentSchedule[[#This Row],[PMT NO]]&lt;&gt;"",IF(ROW()-ROW(PaymentSchedule[[#Headers],[BEGINNING BALANCE]])=1,LoanAmount,INDEX(PaymentSchedule[ENDING BALANCE],ROW()-ROW(PaymentSchedule[[#Headers],[BEGINNING BALANCE]])-1)),"")</f>
        <v>1955223.4509069917</v>
      </c>
      <c r="E99" s="431">
        <f ca="1">IF(PaymentSchedule[[#This Row],[PMT NO]]&lt;&gt;"",ScheduledPayment,"")</f>
        <v>9423.6334368029093</v>
      </c>
      <c r="F9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9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99" s="431">
        <f ca="1">IF(PaymentSchedule[[#This Row],[PMT NO]]&lt;&gt;"",PaymentSchedule[[#This Row],[TOTAL PAYMENT]]-PaymentSchedule[[#This Row],[INTEREST]],"")</f>
        <v>5350.2512474133437</v>
      </c>
      <c r="I99" s="431">
        <f ca="1">IF(PaymentSchedule[[#This Row],[PMT NO]]&lt;&gt;"",PaymentSchedule[[#This Row],[BEGINNING BALANCE]]*(InterestRate/PaymentsPerYear),"")</f>
        <v>4073.3821893895661</v>
      </c>
      <c r="J9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1949873.1996595783</v>
      </c>
      <c r="K99" s="431">
        <f ca="1">IF(PaymentSchedule[[#This Row],[PMT NO]]&lt;&gt;"",SUM(INDEX(PaymentSchedule[INTEREST],1,1):PaymentSchedule[[#This Row],[INTEREST]]),"")</f>
        <v>403576.57553503604</v>
      </c>
    </row>
    <row r="100" spans="2:11">
      <c r="B100" s="432">
        <f ca="1">IF(LoanIsGood,IF(ROW()-ROW(PaymentSchedule[[#Headers],[PMT NO]])&gt;ScheduledNumberOfPayments,"",ROW()-ROW(PaymentSchedule[[#Headers],[PMT NO]])),"")</f>
        <v>90</v>
      </c>
      <c r="C100" s="430">
        <f ca="1">IF(PaymentSchedule[[#This Row],[PMT NO]]&lt;&gt;"",EOMONTH(LoanStartDate,ROW(PaymentSchedule[[#This Row],[PMT NO]])-ROW(PaymentSchedule[[#Headers],[PMT NO]])-2)+DAY(LoanStartDate),"")</f>
        <v>46661</v>
      </c>
      <c r="D100" s="431">
        <f ca="1">IF(PaymentSchedule[[#This Row],[PMT NO]]&lt;&gt;"",IF(ROW()-ROW(PaymentSchedule[[#Headers],[BEGINNING BALANCE]])=1,LoanAmount,INDEX(PaymentSchedule[ENDING BALANCE],ROW()-ROW(PaymentSchedule[[#Headers],[BEGINNING BALANCE]])-1)),"")</f>
        <v>1949873.1996595783</v>
      </c>
      <c r="E100" s="431">
        <f ca="1">IF(PaymentSchedule[[#This Row],[PMT NO]]&lt;&gt;"",ScheduledPayment,"")</f>
        <v>9423.6334368029093</v>
      </c>
      <c r="F10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0" s="431">
        <f ca="1">IF(PaymentSchedule[[#This Row],[PMT NO]]&lt;&gt;"",PaymentSchedule[[#This Row],[TOTAL PAYMENT]]-PaymentSchedule[[#This Row],[INTEREST]],"")</f>
        <v>5361.3976041787882</v>
      </c>
      <c r="I100" s="431">
        <f ca="1">IF(PaymentSchedule[[#This Row],[PMT NO]]&lt;&gt;"",PaymentSchedule[[#This Row],[BEGINNING BALANCE]]*(InterestRate/PaymentsPerYear),"")</f>
        <v>4062.2358326241215</v>
      </c>
      <c r="J10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1944511.8020553994</v>
      </c>
      <c r="K100" s="431">
        <f ca="1">IF(PaymentSchedule[[#This Row],[PMT NO]]&lt;&gt;"",SUM(INDEX(PaymentSchedule[INTEREST],1,1):PaymentSchedule[[#This Row],[INTEREST]]),"")</f>
        <v>407638.81136766018</v>
      </c>
    </row>
    <row r="101" spans="2:11">
      <c r="B101" s="432">
        <f ca="1">IF(LoanIsGood,IF(ROW()-ROW(PaymentSchedule[[#Headers],[PMT NO]])&gt;ScheduledNumberOfPayments,"",ROW()-ROW(PaymentSchedule[[#Headers],[PMT NO]])),"")</f>
        <v>91</v>
      </c>
      <c r="C101" s="430">
        <f ca="1">IF(PaymentSchedule[[#This Row],[PMT NO]]&lt;&gt;"",EOMONTH(LoanStartDate,ROW(PaymentSchedule[[#This Row],[PMT NO]])-ROW(PaymentSchedule[[#Headers],[PMT NO]])-2)+DAY(LoanStartDate),"")</f>
        <v>46692</v>
      </c>
      <c r="D101" s="431">
        <f ca="1">IF(PaymentSchedule[[#This Row],[PMT NO]]&lt;&gt;"",IF(ROW()-ROW(PaymentSchedule[[#Headers],[BEGINNING BALANCE]])=1,LoanAmount,INDEX(PaymentSchedule[ENDING BALANCE],ROW()-ROW(PaymentSchedule[[#Headers],[BEGINNING BALANCE]])-1)),"")</f>
        <v>1944511.8020553994</v>
      </c>
      <c r="E101" s="431">
        <f ca="1">IF(PaymentSchedule[[#This Row],[PMT NO]]&lt;&gt;"",ScheduledPayment,"")</f>
        <v>9423.6334368029093</v>
      </c>
      <c r="F10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1" s="431">
        <f ca="1">IF(PaymentSchedule[[#This Row],[PMT NO]]&lt;&gt;"",PaymentSchedule[[#This Row],[TOTAL PAYMENT]]-PaymentSchedule[[#This Row],[INTEREST]],"")</f>
        <v>5372.5671825208274</v>
      </c>
      <c r="I101" s="431">
        <f ca="1">IF(PaymentSchedule[[#This Row],[PMT NO]]&lt;&gt;"",PaymentSchedule[[#This Row],[BEGINNING BALANCE]]*(InterestRate/PaymentsPerYear),"")</f>
        <v>4051.0662542820819</v>
      </c>
      <c r="J10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1939139.2348728785</v>
      </c>
      <c r="K101" s="431">
        <f ca="1">IF(PaymentSchedule[[#This Row],[PMT NO]]&lt;&gt;"",SUM(INDEX(PaymentSchedule[INTEREST],1,1):PaymentSchedule[[#This Row],[INTEREST]]),"")</f>
        <v>411689.87762194226</v>
      </c>
    </row>
    <row r="102" spans="2:11">
      <c r="B102" s="432">
        <f ca="1">IF(LoanIsGood,IF(ROW()-ROW(PaymentSchedule[[#Headers],[PMT NO]])&gt;ScheduledNumberOfPayments,"",ROW()-ROW(PaymentSchedule[[#Headers],[PMT NO]])),"")</f>
        <v>92</v>
      </c>
      <c r="C102" s="430">
        <f ca="1">IF(PaymentSchedule[[#This Row],[PMT NO]]&lt;&gt;"",EOMONTH(LoanStartDate,ROW(PaymentSchedule[[#This Row],[PMT NO]])-ROW(PaymentSchedule[[#Headers],[PMT NO]])-2)+DAY(LoanStartDate),"")</f>
        <v>46722</v>
      </c>
      <c r="D102" s="431">
        <f ca="1">IF(PaymentSchedule[[#This Row],[PMT NO]]&lt;&gt;"",IF(ROW()-ROW(PaymentSchedule[[#Headers],[BEGINNING BALANCE]])=1,LoanAmount,INDEX(PaymentSchedule[ENDING BALANCE],ROW()-ROW(PaymentSchedule[[#Headers],[BEGINNING BALANCE]])-1)),"")</f>
        <v>1939139.2348728785</v>
      </c>
      <c r="E102" s="431">
        <f ca="1">IF(PaymentSchedule[[#This Row],[PMT NO]]&lt;&gt;"",ScheduledPayment,"")</f>
        <v>9423.6334368029093</v>
      </c>
      <c r="F10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2" s="431">
        <f ca="1">IF(PaymentSchedule[[#This Row],[PMT NO]]&lt;&gt;"",PaymentSchedule[[#This Row],[TOTAL PAYMENT]]-PaymentSchedule[[#This Row],[INTEREST]],"")</f>
        <v>5383.7600308177462</v>
      </c>
      <c r="I102" s="431">
        <f ca="1">IF(PaymentSchedule[[#This Row],[PMT NO]]&lt;&gt;"",PaymentSchedule[[#This Row],[BEGINNING BALANCE]]*(InterestRate/PaymentsPerYear),"")</f>
        <v>4039.8734059851636</v>
      </c>
      <c r="J10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1933755.4748420608</v>
      </c>
      <c r="K102" s="431">
        <f ca="1">IF(PaymentSchedule[[#This Row],[PMT NO]]&lt;&gt;"",SUM(INDEX(PaymentSchedule[INTEREST],1,1):PaymentSchedule[[#This Row],[INTEREST]]),"")</f>
        <v>415729.75102792744</v>
      </c>
    </row>
    <row r="103" spans="2:11">
      <c r="B103" s="432">
        <f ca="1">IF(LoanIsGood,IF(ROW()-ROW(PaymentSchedule[[#Headers],[PMT NO]])&gt;ScheduledNumberOfPayments,"",ROW()-ROW(PaymentSchedule[[#Headers],[PMT NO]])),"")</f>
        <v>93</v>
      </c>
      <c r="C103" s="430">
        <f ca="1">IF(PaymentSchedule[[#This Row],[PMT NO]]&lt;&gt;"",EOMONTH(LoanStartDate,ROW(PaymentSchedule[[#This Row],[PMT NO]])-ROW(PaymentSchedule[[#Headers],[PMT NO]])-2)+DAY(LoanStartDate),"")</f>
        <v>46753</v>
      </c>
      <c r="D103" s="431">
        <f ca="1">IF(PaymentSchedule[[#This Row],[PMT NO]]&lt;&gt;"",IF(ROW()-ROW(PaymentSchedule[[#Headers],[BEGINNING BALANCE]])=1,LoanAmount,INDEX(PaymentSchedule[ENDING BALANCE],ROW()-ROW(PaymentSchedule[[#Headers],[BEGINNING BALANCE]])-1)),"")</f>
        <v>1933755.4748420608</v>
      </c>
      <c r="E103" s="431">
        <f ca="1">IF(PaymentSchedule[[#This Row],[PMT NO]]&lt;&gt;"",ScheduledPayment,"")</f>
        <v>9423.6334368029093</v>
      </c>
      <c r="F10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3" s="431">
        <f ca="1">IF(PaymentSchedule[[#This Row],[PMT NO]]&lt;&gt;"",PaymentSchedule[[#This Row],[TOTAL PAYMENT]]-PaymentSchedule[[#This Row],[INTEREST]],"")</f>
        <v>5394.9761975486163</v>
      </c>
      <c r="I103" s="431">
        <f ca="1">IF(PaymentSchedule[[#This Row],[PMT NO]]&lt;&gt;"",PaymentSchedule[[#This Row],[BEGINNING BALANCE]]*(InterestRate/PaymentsPerYear),"")</f>
        <v>4028.6572392542935</v>
      </c>
      <c r="J10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1928360.4986445121</v>
      </c>
      <c r="K103" s="431">
        <f ca="1">IF(PaymentSchedule[[#This Row],[PMT NO]]&lt;&gt;"",SUM(INDEX(PaymentSchedule[INTEREST],1,1):PaymentSchedule[[#This Row],[INTEREST]]),"")</f>
        <v>419758.40826718172</v>
      </c>
    </row>
    <row r="104" spans="2:11">
      <c r="B104" s="432">
        <f ca="1">IF(LoanIsGood,IF(ROW()-ROW(PaymentSchedule[[#Headers],[PMT NO]])&gt;ScheduledNumberOfPayments,"",ROW()-ROW(PaymentSchedule[[#Headers],[PMT NO]])),"")</f>
        <v>94</v>
      </c>
      <c r="C104" s="430">
        <f ca="1">IF(PaymentSchedule[[#This Row],[PMT NO]]&lt;&gt;"",EOMONTH(LoanStartDate,ROW(PaymentSchedule[[#This Row],[PMT NO]])-ROW(PaymentSchedule[[#Headers],[PMT NO]])-2)+DAY(LoanStartDate),"")</f>
        <v>46784</v>
      </c>
      <c r="D104" s="431">
        <f ca="1">IF(PaymentSchedule[[#This Row],[PMT NO]]&lt;&gt;"",IF(ROW()-ROW(PaymentSchedule[[#Headers],[BEGINNING BALANCE]])=1,LoanAmount,INDEX(PaymentSchedule[ENDING BALANCE],ROW()-ROW(PaymentSchedule[[#Headers],[BEGINNING BALANCE]])-1)),"")</f>
        <v>1928360.4986445121</v>
      </c>
      <c r="E104" s="431">
        <f ca="1">IF(PaymentSchedule[[#This Row],[PMT NO]]&lt;&gt;"",ScheduledPayment,"")</f>
        <v>9423.6334368029093</v>
      </c>
      <c r="F10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4" s="431">
        <f ca="1">IF(PaymentSchedule[[#This Row],[PMT NO]]&lt;&gt;"",PaymentSchedule[[#This Row],[TOTAL PAYMENT]]-PaymentSchedule[[#This Row],[INTEREST]],"")</f>
        <v>5406.2157312935087</v>
      </c>
      <c r="I104" s="431">
        <f ca="1">IF(PaymentSchedule[[#This Row],[PMT NO]]&lt;&gt;"",PaymentSchedule[[#This Row],[BEGINNING BALANCE]]*(InterestRate/PaymentsPerYear),"")</f>
        <v>4017.4177055094001</v>
      </c>
      <c r="J10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1922954.2829132187</v>
      </c>
      <c r="K104" s="431">
        <f ca="1">IF(PaymentSchedule[[#This Row],[PMT NO]]&lt;&gt;"",SUM(INDEX(PaymentSchedule[INTEREST],1,1):PaymentSchedule[[#This Row],[INTEREST]]),"")</f>
        <v>423775.82597269112</v>
      </c>
    </row>
    <row r="105" spans="2:11">
      <c r="B105" s="432">
        <f ca="1">IF(LoanIsGood,IF(ROW()-ROW(PaymentSchedule[[#Headers],[PMT NO]])&gt;ScheduledNumberOfPayments,"",ROW()-ROW(PaymentSchedule[[#Headers],[PMT NO]])),"")</f>
        <v>95</v>
      </c>
      <c r="C105" s="430">
        <f ca="1">IF(PaymentSchedule[[#This Row],[PMT NO]]&lt;&gt;"",EOMONTH(LoanStartDate,ROW(PaymentSchedule[[#This Row],[PMT NO]])-ROW(PaymentSchedule[[#Headers],[PMT NO]])-2)+DAY(LoanStartDate),"")</f>
        <v>46813</v>
      </c>
      <c r="D105" s="431">
        <f ca="1">IF(PaymentSchedule[[#This Row],[PMT NO]]&lt;&gt;"",IF(ROW()-ROW(PaymentSchedule[[#Headers],[BEGINNING BALANCE]])=1,LoanAmount,INDEX(PaymentSchedule[ENDING BALANCE],ROW()-ROW(PaymentSchedule[[#Headers],[BEGINNING BALANCE]])-1)),"")</f>
        <v>1922954.2829132187</v>
      </c>
      <c r="E105" s="431">
        <f ca="1">IF(PaymentSchedule[[#This Row],[PMT NO]]&lt;&gt;"",ScheduledPayment,"")</f>
        <v>9423.6334368029093</v>
      </c>
      <c r="F10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5" s="431">
        <f ca="1">IF(PaymentSchedule[[#This Row],[PMT NO]]&lt;&gt;"",PaymentSchedule[[#This Row],[TOTAL PAYMENT]]-PaymentSchedule[[#This Row],[INTEREST]],"")</f>
        <v>5417.4786807337041</v>
      </c>
      <c r="I105" s="431">
        <f ca="1">IF(PaymentSchedule[[#This Row],[PMT NO]]&lt;&gt;"",PaymentSchedule[[#This Row],[BEGINNING BALANCE]]*(InterestRate/PaymentsPerYear),"")</f>
        <v>4006.1547560692056</v>
      </c>
      <c r="J10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1917536.8042324851</v>
      </c>
      <c r="K105" s="431">
        <f ca="1">IF(PaymentSchedule[[#This Row],[PMT NO]]&lt;&gt;"",SUM(INDEX(PaymentSchedule[INTEREST],1,1):PaymentSchedule[[#This Row],[INTEREST]]),"")</f>
        <v>427781.9807287603</v>
      </c>
    </row>
    <row r="106" spans="2:11">
      <c r="B106" s="432">
        <f ca="1">IF(LoanIsGood,IF(ROW()-ROW(PaymentSchedule[[#Headers],[PMT NO]])&gt;ScheduledNumberOfPayments,"",ROW()-ROW(PaymentSchedule[[#Headers],[PMT NO]])),"")</f>
        <v>96</v>
      </c>
      <c r="C106" s="430">
        <f ca="1">IF(PaymentSchedule[[#This Row],[PMT NO]]&lt;&gt;"",EOMONTH(LoanStartDate,ROW(PaymentSchedule[[#This Row],[PMT NO]])-ROW(PaymentSchedule[[#Headers],[PMT NO]])-2)+DAY(LoanStartDate),"")</f>
        <v>46844</v>
      </c>
      <c r="D106" s="431">
        <f ca="1">IF(PaymentSchedule[[#This Row],[PMT NO]]&lt;&gt;"",IF(ROW()-ROW(PaymentSchedule[[#Headers],[BEGINNING BALANCE]])=1,LoanAmount,INDEX(PaymentSchedule[ENDING BALANCE],ROW()-ROW(PaymentSchedule[[#Headers],[BEGINNING BALANCE]])-1)),"")</f>
        <v>1917536.8042324851</v>
      </c>
      <c r="E106" s="431">
        <f ca="1">IF(PaymentSchedule[[#This Row],[PMT NO]]&lt;&gt;"",ScheduledPayment,"")</f>
        <v>9423.6334368029093</v>
      </c>
      <c r="F10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6" s="431">
        <f ca="1">IF(PaymentSchedule[[#This Row],[PMT NO]]&lt;&gt;"",PaymentSchedule[[#This Row],[TOTAL PAYMENT]]-PaymentSchedule[[#This Row],[INTEREST]],"")</f>
        <v>5428.7650946518988</v>
      </c>
      <c r="I106" s="431">
        <f ca="1">IF(PaymentSchedule[[#This Row],[PMT NO]]&lt;&gt;"",PaymentSchedule[[#This Row],[BEGINNING BALANCE]]*(InterestRate/PaymentsPerYear),"")</f>
        <v>3994.8683421510104</v>
      </c>
      <c r="J10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1912108.0391378333</v>
      </c>
      <c r="K106" s="431">
        <f ca="1">IF(PaymentSchedule[[#This Row],[PMT NO]]&lt;&gt;"",SUM(INDEX(PaymentSchedule[INTEREST],1,1):PaymentSchedule[[#This Row],[INTEREST]]),"")</f>
        <v>431776.8490709113</v>
      </c>
    </row>
    <row r="107" spans="2:11">
      <c r="B107" s="432">
        <f ca="1">IF(LoanIsGood,IF(ROW()-ROW(PaymentSchedule[[#Headers],[PMT NO]])&gt;ScheduledNumberOfPayments,"",ROW()-ROW(PaymentSchedule[[#Headers],[PMT NO]])),"")</f>
        <v>97</v>
      </c>
      <c r="C107" s="430">
        <f ca="1">IF(PaymentSchedule[[#This Row],[PMT NO]]&lt;&gt;"",EOMONTH(LoanStartDate,ROW(PaymentSchedule[[#This Row],[PMT NO]])-ROW(PaymentSchedule[[#Headers],[PMT NO]])-2)+DAY(LoanStartDate),"")</f>
        <v>46874</v>
      </c>
      <c r="D107" s="431">
        <f ca="1">IF(PaymentSchedule[[#This Row],[PMT NO]]&lt;&gt;"",IF(ROW()-ROW(PaymentSchedule[[#Headers],[BEGINNING BALANCE]])=1,LoanAmount,INDEX(PaymentSchedule[ENDING BALANCE],ROW()-ROW(PaymentSchedule[[#Headers],[BEGINNING BALANCE]])-1)),"")</f>
        <v>1912108.0391378333</v>
      </c>
      <c r="E107" s="431">
        <f ca="1">IF(PaymentSchedule[[#This Row],[PMT NO]]&lt;&gt;"",ScheduledPayment,"")</f>
        <v>9423.6334368029093</v>
      </c>
      <c r="F10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7" s="431">
        <f ca="1">IF(PaymentSchedule[[#This Row],[PMT NO]]&lt;&gt;"",PaymentSchedule[[#This Row],[TOTAL PAYMENT]]-PaymentSchedule[[#This Row],[INTEREST]],"")</f>
        <v>5440.0750219324236</v>
      </c>
      <c r="I107" s="431">
        <f ca="1">IF(PaymentSchedule[[#This Row],[PMT NO]]&lt;&gt;"",PaymentSchedule[[#This Row],[BEGINNING BALANCE]]*(InterestRate/PaymentsPerYear),"")</f>
        <v>3983.5584148704861</v>
      </c>
      <c r="J10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1906667.9641159009</v>
      </c>
      <c r="K107" s="431">
        <f ca="1">IF(PaymentSchedule[[#This Row],[PMT NO]]&lt;&gt;"",SUM(INDEX(PaymentSchedule[INTEREST],1,1):PaymentSchedule[[#This Row],[INTEREST]]),"")</f>
        <v>435760.40748578176</v>
      </c>
    </row>
    <row r="108" spans="2:11">
      <c r="B108" s="432">
        <f ca="1">IF(LoanIsGood,IF(ROW()-ROW(PaymentSchedule[[#Headers],[PMT NO]])&gt;ScheduledNumberOfPayments,"",ROW()-ROW(PaymentSchedule[[#Headers],[PMT NO]])),"")</f>
        <v>98</v>
      </c>
      <c r="C108" s="430">
        <f ca="1">IF(PaymentSchedule[[#This Row],[PMT NO]]&lt;&gt;"",EOMONTH(LoanStartDate,ROW(PaymentSchedule[[#This Row],[PMT NO]])-ROW(PaymentSchedule[[#Headers],[PMT NO]])-2)+DAY(LoanStartDate),"")</f>
        <v>46905</v>
      </c>
      <c r="D108" s="431">
        <f ca="1">IF(PaymentSchedule[[#This Row],[PMT NO]]&lt;&gt;"",IF(ROW()-ROW(PaymentSchedule[[#Headers],[BEGINNING BALANCE]])=1,LoanAmount,INDEX(PaymentSchedule[ENDING BALANCE],ROW()-ROW(PaymentSchedule[[#Headers],[BEGINNING BALANCE]])-1)),"")</f>
        <v>1906667.9641159009</v>
      </c>
      <c r="E108" s="431">
        <f ca="1">IF(PaymentSchedule[[#This Row],[PMT NO]]&lt;&gt;"",ScheduledPayment,"")</f>
        <v>9423.6334368029093</v>
      </c>
      <c r="F10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8" s="431">
        <f ca="1">IF(PaymentSchedule[[#This Row],[PMT NO]]&lt;&gt;"",PaymentSchedule[[#This Row],[TOTAL PAYMENT]]-PaymentSchedule[[#This Row],[INTEREST]],"")</f>
        <v>5451.4085115614489</v>
      </c>
      <c r="I108" s="431">
        <f ca="1">IF(PaymentSchedule[[#This Row],[PMT NO]]&lt;&gt;"",PaymentSchedule[[#This Row],[BEGINNING BALANCE]]*(InterestRate/PaymentsPerYear),"")</f>
        <v>3972.2249252414604</v>
      </c>
      <c r="J10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1901216.5556043396</v>
      </c>
      <c r="K108" s="431">
        <f ca="1">IF(PaymentSchedule[[#This Row],[PMT NO]]&lt;&gt;"",SUM(INDEX(PaymentSchedule[INTEREST],1,1):PaymentSchedule[[#This Row],[INTEREST]]),"")</f>
        <v>439732.63241102319</v>
      </c>
    </row>
    <row r="109" spans="2:11">
      <c r="B109" s="432">
        <f ca="1">IF(LoanIsGood,IF(ROW()-ROW(PaymentSchedule[[#Headers],[PMT NO]])&gt;ScheduledNumberOfPayments,"",ROW()-ROW(PaymentSchedule[[#Headers],[PMT NO]])),"")</f>
        <v>99</v>
      </c>
      <c r="C109" s="430">
        <f ca="1">IF(PaymentSchedule[[#This Row],[PMT NO]]&lt;&gt;"",EOMONTH(LoanStartDate,ROW(PaymentSchedule[[#This Row],[PMT NO]])-ROW(PaymentSchedule[[#Headers],[PMT NO]])-2)+DAY(LoanStartDate),"")</f>
        <v>46935</v>
      </c>
      <c r="D109" s="431">
        <f ca="1">IF(PaymentSchedule[[#This Row],[PMT NO]]&lt;&gt;"",IF(ROW()-ROW(PaymentSchedule[[#Headers],[BEGINNING BALANCE]])=1,LoanAmount,INDEX(PaymentSchedule[ENDING BALANCE],ROW()-ROW(PaymentSchedule[[#Headers],[BEGINNING BALANCE]])-1)),"")</f>
        <v>1901216.5556043396</v>
      </c>
      <c r="E109" s="431">
        <f ca="1">IF(PaymentSchedule[[#This Row],[PMT NO]]&lt;&gt;"",ScheduledPayment,"")</f>
        <v>9423.6334368029093</v>
      </c>
      <c r="F10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0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09" s="431">
        <f ca="1">IF(PaymentSchedule[[#This Row],[PMT NO]]&lt;&gt;"",PaymentSchedule[[#This Row],[TOTAL PAYMENT]]-PaymentSchedule[[#This Row],[INTEREST]],"")</f>
        <v>5462.7656126272013</v>
      </c>
      <c r="I109" s="431">
        <f ca="1">IF(PaymentSchedule[[#This Row],[PMT NO]]&lt;&gt;"",PaymentSchedule[[#This Row],[BEGINNING BALANCE]]*(InterestRate/PaymentsPerYear),"")</f>
        <v>3960.8678241757075</v>
      </c>
      <c r="J10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1895753.7899917124</v>
      </c>
      <c r="K109" s="431">
        <f ca="1">IF(PaymentSchedule[[#This Row],[PMT NO]]&lt;&gt;"",SUM(INDEX(PaymentSchedule[INTEREST],1,1):PaymentSchedule[[#This Row],[INTEREST]]),"")</f>
        <v>443693.50023519888</v>
      </c>
    </row>
    <row r="110" spans="2:11">
      <c r="B110" s="432">
        <f ca="1">IF(LoanIsGood,IF(ROW()-ROW(PaymentSchedule[[#Headers],[PMT NO]])&gt;ScheduledNumberOfPayments,"",ROW()-ROW(PaymentSchedule[[#Headers],[PMT NO]])),"")</f>
        <v>100</v>
      </c>
      <c r="C110" s="430">
        <f ca="1">IF(PaymentSchedule[[#This Row],[PMT NO]]&lt;&gt;"",EOMONTH(LoanStartDate,ROW(PaymentSchedule[[#This Row],[PMT NO]])-ROW(PaymentSchedule[[#Headers],[PMT NO]])-2)+DAY(LoanStartDate),"")</f>
        <v>46966</v>
      </c>
      <c r="D110" s="431">
        <f ca="1">IF(PaymentSchedule[[#This Row],[PMT NO]]&lt;&gt;"",IF(ROW()-ROW(PaymentSchedule[[#Headers],[BEGINNING BALANCE]])=1,LoanAmount,INDEX(PaymentSchedule[ENDING BALANCE],ROW()-ROW(PaymentSchedule[[#Headers],[BEGINNING BALANCE]])-1)),"")</f>
        <v>1895753.7899917124</v>
      </c>
      <c r="E110" s="431">
        <f ca="1">IF(PaymentSchedule[[#This Row],[PMT NO]]&lt;&gt;"",ScheduledPayment,"")</f>
        <v>9423.6334368029093</v>
      </c>
      <c r="F11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0" s="431">
        <f ca="1">IF(PaymentSchedule[[#This Row],[PMT NO]]&lt;&gt;"",PaymentSchedule[[#This Row],[TOTAL PAYMENT]]-PaymentSchedule[[#This Row],[INTEREST]],"")</f>
        <v>5474.1463743201748</v>
      </c>
      <c r="I110" s="431">
        <f ca="1">IF(PaymentSchedule[[#This Row],[PMT NO]]&lt;&gt;"",PaymentSchedule[[#This Row],[BEGINNING BALANCE]]*(InterestRate/PaymentsPerYear),"")</f>
        <v>3949.487062482734</v>
      </c>
      <c r="J11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1890279.6436173923</v>
      </c>
      <c r="K110" s="431">
        <f ca="1">IF(PaymentSchedule[[#This Row],[PMT NO]]&lt;&gt;"",SUM(INDEX(PaymentSchedule[INTEREST],1,1):PaymentSchedule[[#This Row],[INTEREST]]),"")</f>
        <v>447642.98729768163</v>
      </c>
    </row>
    <row r="111" spans="2:11">
      <c r="B111" s="432">
        <f ca="1">IF(LoanIsGood,IF(ROW()-ROW(PaymentSchedule[[#Headers],[PMT NO]])&gt;ScheduledNumberOfPayments,"",ROW()-ROW(PaymentSchedule[[#Headers],[PMT NO]])),"")</f>
        <v>101</v>
      </c>
      <c r="C111" s="430">
        <f ca="1">IF(PaymentSchedule[[#This Row],[PMT NO]]&lt;&gt;"",EOMONTH(LoanStartDate,ROW(PaymentSchedule[[#This Row],[PMT NO]])-ROW(PaymentSchedule[[#Headers],[PMT NO]])-2)+DAY(LoanStartDate),"")</f>
        <v>46997</v>
      </c>
      <c r="D111" s="431">
        <f ca="1">IF(PaymentSchedule[[#This Row],[PMT NO]]&lt;&gt;"",IF(ROW()-ROW(PaymentSchedule[[#Headers],[BEGINNING BALANCE]])=1,LoanAmount,INDEX(PaymentSchedule[ENDING BALANCE],ROW()-ROW(PaymentSchedule[[#Headers],[BEGINNING BALANCE]])-1)),"")</f>
        <v>1890279.6436173923</v>
      </c>
      <c r="E111" s="431">
        <f ca="1">IF(PaymentSchedule[[#This Row],[PMT NO]]&lt;&gt;"",ScheduledPayment,"")</f>
        <v>9423.6334368029093</v>
      </c>
      <c r="F11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1" s="431">
        <f ca="1">IF(PaymentSchedule[[#This Row],[PMT NO]]&lt;&gt;"",PaymentSchedule[[#This Row],[TOTAL PAYMENT]]-PaymentSchedule[[#This Row],[INTEREST]],"")</f>
        <v>5485.5508459333414</v>
      </c>
      <c r="I111" s="431">
        <f ca="1">IF(PaymentSchedule[[#This Row],[PMT NO]]&lt;&gt;"",PaymentSchedule[[#This Row],[BEGINNING BALANCE]]*(InterestRate/PaymentsPerYear),"")</f>
        <v>3938.0825908695674</v>
      </c>
      <c r="J11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1884794.0927714589</v>
      </c>
      <c r="K111" s="431">
        <f ca="1">IF(PaymentSchedule[[#This Row],[PMT NO]]&lt;&gt;"",SUM(INDEX(PaymentSchedule[INTEREST],1,1):PaymentSchedule[[#This Row],[INTEREST]]),"")</f>
        <v>451581.0698885512</v>
      </c>
    </row>
    <row r="112" spans="2:11">
      <c r="B112" s="432">
        <f ca="1">IF(LoanIsGood,IF(ROW()-ROW(PaymentSchedule[[#Headers],[PMT NO]])&gt;ScheduledNumberOfPayments,"",ROW()-ROW(PaymentSchedule[[#Headers],[PMT NO]])),"")</f>
        <v>102</v>
      </c>
      <c r="C112" s="430">
        <f ca="1">IF(PaymentSchedule[[#This Row],[PMT NO]]&lt;&gt;"",EOMONTH(LoanStartDate,ROW(PaymentSchedule[[#This Row],[PMT NO]])-ROW(PaymentSchedule[[#Headers],[PMT NO]])-2)+DAY(LoanStartDate),"")</f>
        <v>47027</v>
      </c>
      <c r="D112" s="431">
        <f ca="1">IF(PaymentSchedule[[#This Row],[PMT NO]]&lt;&gt;"",IF(ROW()-ROW(PaymentSchedule[[#Headers],[BEGINNING BALANCE]])=1,LoanAmount,INDEX(PaymentSchedule[ENDING BALANCE],ROW()-ROW(PaymentSchedule[[#Headers],[BEGINNING BALANCE]])-1)),"")</f>
        <v>1884794.0927714589</v>
      </c>
      <c r="E112" s="431">
        <f ca="1">IF(PaymentSchedule[[#This Row],[PMT NO]]&lt;&gt;"",ScheduledPayment,"")</f>
        <v>9423.6334368029093</v>
      </c>
      <c r="F11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2" s="431">
        <f ca="1">IF(PaymentSchedule[[#This Row],[PMT NO]]&lt;&gt;"",PaymentSchedule[[#This Row],[TOTAL PAYMENT]]-PaymentSchedule[[#This Row],[INTEREST]],"")</f>
        <v>5496.9790768623698</v>
      </c>
      <c r="I112" s="431">
        <f ca="1">IF(PaymentSchedule[[#This Row],[PMT NO]]&lt;&gt;"",PaymentSchedule[[#This Row],[BEGINNING BALANCE]]*(InterestRate/PaymentsPerYear),"")</f>
        <v>3926.6543599405395</v>
      </c>
      <c r="J11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1879297.1136945966</v>
      </c>
      <c r="K112" s="431">
        <f ca="1">IF(PaymentSchedule[[#This Row],[PMT NO]]&lt;&gt;"",SUM(INDEX(PaymentSchedule[INTEREST],1,1):PaymentSchedule[[#This Row],[INTEREST]]),"")</f>
        <v>455507.72424849175</v>
      </c>
    </row>
    <row r="113" spans="2:11">
      <c r="B113" s="432">
        <f ca="1">IF(LoanIsGood,IF(ROW()-ROW(PaymentSchedule[[#Headers],[PMT NO]])&gt;ScheduledNumberOfPayments,"",ROW()-ROW(PaymentSchedule[[#Headers],[PMT NO]])),"")</f>
        <v>103</v>
      </c>
      <c r="C113" s="430">
        <f ca="1">IF(PaymentSchedule[[#This Row],[PMT NO]]&lt;&gt;"",EOMONTH(LoanStartDate,ROW(PaymentSchedule[[#This Row],[PMT NO]])-ROW(PaymentSchedule[[#Headers],[PMT NO]])-2)+DAY(LoanStartDate),"")</f>
        <v>47058</v>
      </c>
      <c r="D113" s="431">
        <f ca="1">IF(PaymentSchedule[[#This Row],[PMT NO]]&lt;&gt;"",IF(ROW()-ROW(PaymentSchedule[[#Headers],[BEGINNING BALANCE]])=1,LoanAmount,INDEX(PaymentSchedule[ENDING BALANCE],ROW()-ROW(PaymentSchedule[[#Headers],[BEGINNING BALANCE]])-1)),"")</f>
        <v>1879297.1136945966</v>
      </c>
      <c r="E113" s="431">
        <f ca="1">IF(PaymentSchedule[[#This Row],[PMT NO]]&lt;&gt;"",ScheduledPayment,"")</f>
        <v>9423.6334368029093</v>
      </c>
      <c r="F11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3" s="431">
        <f ca="1">IF(PaymentSchedule[[#This Row],[PMT NO]]&lt;&gt;"",PaymentSchedule[[#This Row],[TOTAL PAYMENT]]-PaymentSchedule[[#This Row],[INTEREST]],"")</f>
        <v>5508.4311166058333</v>
      </c>
      <c r="I113" s="431">
        <f ca="1">IF(PaymentSchedule[[#This Row],[PMT NO]]&lt;&gt;"",PaymentSchedule[[#This Row],[BEGINNING BALANCE]]*(InterestRate/PaymentsPerYear),"")</f>
        <v>3915.202320197076</v>
      </c>
      <c r="J11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1873788.6825779907</v>
      </c>
      <c r="K113" s="431">
        <f ca="1">IF(PaymentSchedule[[#This Row],[PMT NO]]&lt;&gt;"",SUM(INDEX(PaymentSchedule[INTEREST],1,1):PaymentSchedule[[#This Row],[INTEREST]]),"")</f>
        <v>459422.92656868882</v>
      </c>
    </row>
    <row r="114" spans="2:11">
      <c r="B114" s="432">
        <f ca="1">IF(LoanIsGood,IF(ROW()-ROW(PaymentSchedule[[#Headers],[PMT NO]])&gt;ScheduledNumberOfPayments,"",ROW()-ROW(PaymentSchedule[[#Headers],[PMT NO]])),"")</f>
        <v>104</v>
      </c>
      <c r="C114" s="430">
        <f ca="1">IF(PaymentSchedule[[#This Row],[PMT NO]]&lt;&gt;"",EOMONTH(LoanStartDate,ROW(PaymentSchedule[[#This Row],[PMT NO]])-ROW(PaymentSchedule[[#Headers],[PMT NO]])-2)+DAY(LoanStartDate),"")</f>
        <v>47088</v>
      </c>
      <c r="D114" s="431">
        <f ca="1">IF(PaymentSchedule[[#This Row],[PMT NO]]&lt;&gt;"",IF(ROW()-ROW(PaymentSchedule[[#Headers],[BEGINNING BALANCE]])=1,LoanAmount,INDEX(PaymentSchedule[ENDING BALANCE],ROW()-ROW(PaymentSchedule[[#Headers],[BEGINNING BALANCE]])-1)),"")</f>
        <v>1873788.6825779907</v>
      </c>
      <c r="E114" s="431">
        <f ca="1">IF(PaymentSchedule[[#This Row],[PMT NO]]&lt;&gt;"",ScheduledPayment,"")</f>
        <v>9423.6334368029093</v>
      </c>
      <c r="F11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4" s="431">
        <f ca="1">IF(PaymentSchedule[[#This Row],[PMT NO]]&lt;&gt;"",PaymentSchedule[[#This Row],[TOTAL PAYMENT]]-PaymentSchedule[[#This Row],[INTEREST]],"")</f>
        <v>5519.9070147654293</v>
      </c>
      <c r="I114" s="431">
        <f ca="1">IF(PaymentSchedule[[#This Row],[PMT NO]]&lt;&gt;"",PaymentSchedule[[#This Row],[BEGINNING BALANCE]]*(InterestRate/PaymentsPerYear),"")</f>
        <v>3903.7264220374805</v>
      </c>
      <c r="J11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1868268.7755632252</v>
      </c>
      <c r="K114" s="431">
        <f ca="1">IF(PaymentSchedule[[#This Row],[PMT NO]]&lt;&gt;"",SUM(INDEX(PaymentSchedule[INTEREST],1,1):PaymentSchedule[[#This Row],[INTEREST]]),"")</f>
        <v>463326.65299072629</v>
      </c>
    </row>
    <row r="115" spans="2:11">
      <c r="B115" s="432">
        <f ca="1">IF(LoanIsGood,IF(ROW()-ROW(PaymentSchedule[[#Headers],[PMT NO]])&gt;ScheduledNumberOfPayments,"",ROW()-ROW(PaymentSchedule[[#Headers],[PMT NO]])),"")</f>
        <v>105</v>
      </c>
      <c r="C115" s="430">
        <f ca="1">IF(PaymentSchedule[[#This Row],[PMT NO]]&lt;&gt;"",EOMONTH(LoanStartDate,ROW(PaymentSchedule[[#This Row],[PMT NO]])-ROW(PaymentSchedule[[#Headers],[PMT NO]])-2)+DAY(LoanStartDate),"")</f>
        <v>47119</v>
      </c>
      <c r="D115" s="431">
        <f ca="1">IF(PaymentSchedule[[#This Row],[PMT NO]]&lt;&gt;"",IF(ROW()-ROW(PaymentSchedule[[#Headers],[BEGINNING BALANCE]])=1,LoanAmount,INDEX(PaymentSchedule[ENDING BALANCE],ROW()-ROW(PaymentSchedule[[#Headers],[BEGINNING BALANCE]])-1)),"")</f>
        <v>1868268.7755632252</v>
      </c>
      <c r="E115" s="431">
        <f ca="1">IF(PaymentSchedule[[#This Row],[PMT NO]]&lt;&gt;"",ScheduledPayment,"")</f>
        <v>9423.6334368029093</v>
      </c>
      <c r="F11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5" s="431">
        <f ca="1">IF(PaymentSchedule[[#This Row],[PMT NO]]&lt;&gt;"",PaymentSchedule[[#This Row],[TOTAL PAYMENT]]-PaymentSchedule[[#This Row],[INTEREST]],"")</f>
        <v>5531.4068210461901</v>
      </c>
      <c r="I115" s="431">
        <f ca="1">IF(PaymentSchedule[[#This Row],[PMT NO]]&lt;&gt;"",PaymentSchedule[[#This Row],[BEGINNING BALANCE]]*(InterestRate/PaymentsPerYear),"")</f>
        <v>3892.2266157567192</v>
      </c>
      <c r="J11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1862737.3687421789</v>
      </c>
      <c r="K115" s="431">
        <f ca="1">IF(PaymentSchedule[[#This Row],[PMT NO]]&lt;&gt;"",SUM(INDEX(PaymentSchedule[INTEREST],1,1):PaymentSchedule[[#This Row],[INTEREST]]),"")</f>
        <v>467218.87960648298</v>
      </c>
    </row>
    <row r="116" spans="2:11">
      <c r="B116" s="432">
        <f ca="1">IF(LoanIsGood,IF(ROW()-ROW(PaymentSchedule[[#Headers],[PMT NO]])&gt;ScheduledNumberOfPayments,"",ROW()-ROW(PaymentSchedule[[#Headers],[PMT NO]])),"")</f>
        <v>106</v>
      </c>
      <c r="C116" s="430">
        <f ca="1">IF(PaymentSchedule[[#This Row],[PMT NO]]&lt;&gt;"",EOMONTH(LoanStartDate,ROW(PaymentSchedule[[#This Row],[PMT NO]])-ROW(PaymentSchedule[[#Headers],[PMT NO]])-2)+DAY(LoanStartDate),"")</f>
        <v>47150</v>
      </c>
      <c r="D116" s="431">
        <f ca="1">IF(PaymentSchedule[[#This Row],[PMT NO]]&lt;&gt;"",IF(ROW()-ROW(PaymentSchedule[[#Headers],[BEGINNING BALANCE]])=1,LoanAmount,INDEX(PaymentSchedule[ENDING BALANCE],ROW()-ROW(PaymentSchedule[[#Headers],[BEGINNING BALANCE]])-1)),"")</f>
        <v>1862737.3687421789</v>
      </c>
      <c r="E116" s="431">
        <f ca="1">IF(PaymentSchedule[[#This Row],[PMT NO]]&lt;&gt;"",ScheduledPayment,"")</f>
        <v>9423.6334368029093</v>
      </c>
      <c r="F11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6" s="431">
        <f ca="1">IF(PaymentSchedule[[#This Row],[PMT NO]]&lt;&gt;"",PaymentSchedule[[#This Row],[TOTAL PAYMENT]]-PaymentSchedule[[#This Row],[INTEREST]],"")</f>
        <v>5542.9305852567031</v>
      </c>
      <c r="I116" s="431">
        <f ca="1">IF(PaymentSchedule[[#This Row],[PMT NO]]&lt;&gt;"",PaymentSchedule[[#This Row],[BEGINNING BALANCE]]*(InterestRate/PaymentsPerYear),"")</f>
        <v>3880.7028515462061</v>
      </c>
      <c r="J11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1857194.4381569221</v>
      </c>
      <c r="K116" s="431">
        <f ca="1">IF(PaymentSchedule[[#This Row],[PMT NO]]&lt;&gt;"",SUM(INDEX(PaymentSchedule[INTEREST],1,1):PaymentSchedule[[#This Row],[INTEREST]]),"")</f>
        <v>471099.58245802921</v>
      </c>
    </row>
    <row r="117" spans="2:11">
      <c r="B117" s="432">
        <f ca="1">IF(LoanIsGood,IF(ROW()-ROW(PaymentSchedule[[#Headers],[PMT NO]])&gt;ScheduledNumberOfPayments,"",ROW()-ROW(PaymentSchedule[[#Headers],[PMT NO]])),"")</f>
        <v>107</v>
      </c>
      <c r="C117" s="430">
        <f ca="1">IF(PaymentSchedule[[#This Row],[PMT NO]]&lt;&gt;"",EOMONTH(LoanStartDate,ROW(PaymentSchedule[[#This Row],[PMT NO]])-ROW(PaymentSchedule[[#Headers],[PMT NO]])-2)+DAY(LoanStartDate),"")</f>
        <v>47178</v>
      </c>
      <c r="D117" s="431">
        <f ca="1">IF(PaymentSchedule[[#This Row],[PMT NO]]&lt;&gt;"",IF(ROW()-ROW(PaymentSchedule[[#Headers],[BEGINNING BALANCE]])=1,LoanAmount,INDEX(PaymentSchedule[ENDING BALANCE],ROW()-ROW(PaymentSchedule[[#Headers],[BEGINNING BALANCE]])-1)),"")</f>
        <v>1857194.4381569221</v>
      </c>
      <c r="E117" s="431">
        <f ca="1">IF(PaymentSchedule[[#This Row],[PMT NO]]&lt;&gt;"",ScheduledPayment,"")</f>
        <v>9423.6334368029093</v>
      </c>
      <c r="F11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7" s="431">
        <f ca="1">IF(PaymentSchedule[[#This Row],[PMT NO]]&lt;&gt;"",PaymentSchedule[[#This Row],[TOTAL PAYMENT]]-PaymentSchedule[[#This Row],[INTEREST]],"")</f>
        <v>5554.4783573093209</v>
      </c>
      <c r="I117" s="431">
        <f ca="1">IF(PaymentSchedule[[#This Row],[PMT NO]]&lt;&gt;"",PaymentSchedule[[#This Row],[BEGINNING BALANCE]]*(InterestRate/PaymentsPerYear),"")</f>
        <v>3869.1550794935879</v>
      </c>
      <c r="J11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1851639.9597996129</v>
      </c>
      <c r="K117" s="431">
        <f ca="1">IF(PaymentSchedule[[#This Row],[PMT NO]]&lt;&gt;"",SUM(INDEX(PaymentSchedule[INTEREST],1,1):PaymentSchedule[[#This Row],[INTEREST]]),"")</f>
        <v>474968.7375375228</v>
      </c>
    </row>
    <row r="118" spans="2:11">
      <c r="B118" s="432">
        <f ca="1">IF(LoanIsGood,IF(ROW()-ROW(PaymentSchedule[[#Headers],[PMT NO]])&gt;ScheduledNumberOfPayments,"",ROW()-ROW(PaymentSchedule[[#Headers],[PMT NO]])),"")</f>
        <v>108</v>
      </c>
      <c r="C118" s="430">
        <f ca="1">IF(PaymentSchedule[[#This Row],[PMT NO]]&lt;&gt;"",EOMONTH(LoanStartDate,ROW(PaymentSchedule[[#This Row],[PMT NO]])-ROW(PaymentSchedule[[#Headers],[PMT NO]])-2)+DAY(LoanStartDate),"")</f>
        <v>47209</v>
      </c>
      <c r="D118" s="431">
        <f ca="1">IF(PaymentSchedule[[#This Row],[PMT NO]]&lt;&gt;"",IF(ROW()-ROW(PaymentSchedule[[#Headers],[BEGINNING BALANCE]])=1,LoanAmount,INDEX(PaymentSchedule[ENDING BALANCE],ROW()-ROW(PaymentSchedule[[#Headers],[BEGINNING BALANCE]])-1)),"")</f>
        <v>1851639.9597996129</v>
      </c>
      <c r="E118" s="431">
        <f ca="1">IF(PaymentSchedule[[#This Row],[PMT NO]]&lt;&gt;"",ScheduledPayment,"")</f>
        <v>9423.6334368029093</v>
      </c>
      <c r="F11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8" s="431">
        <f ca="1">IF(PaymentSchedule[[#This Row],[PMT NO]]&lt;&gt;"",PaymentSchedule[[#This Row],[TOTAL PAYMENT]]-PaymentSchedule[[#This Row],[INTEREST]],"")</f>
        <v>5566.0501872203822</v>
      </c>
      <c r="I118" s="431">
        <f ca="1">IF(PaymentSchedule[[#This Row],[PMT NO]]&lt;&gt;"",PaymentSchedule[[#This Row],[BEGINNING BALANCE]]*(InterestRate/PaymentsPerYear),"")</f>
        <v>3857.5832495825266</v>
      </c>
      <c r="J11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1846073.9096123925</v>
      </c>
      <c r="K118" s="431">
        <f ca="1">IF(PaymentSchedule[[#This Row],[PMT NO]]&lt;&gt;"",SUM(INDEX(PaymentSchedule[INTEREST],1,1):PaymentSchedule[[#This Row],[INTEREST]]),"")</f>
        <v>478826.3207871053</v>
      </c>
    </row>
    <row r="119" spans="2:11">
      <c r="B119" s="432">
        <f ca="1">IF(LoanIsGood,IF(ROW()-ROW(PaymentSchedule[[#Headers],[PMT NO]])&gt;ScheduledNumberOfPayments,"",ROW()-ROW(PaymentSchedule[[#Headers],[PMT NO]])),"")</f>
        <v>109</v>
      </c>
      <c r="C119" s="430">
        <f ca="1">IF(PaymentSchedule[[#This Row],[PMT NO]]&lt;&gt;"",EOMONTH(LoanStartDate,ROW(PaymentSchedule[[#This Row],[PMT NO]])-ROW(PaymentSchedule[[#Headers],[PMT NO]])-2)+DAY(LoanStartDate),"")</f>
        <v>47239</v>
      </c>
      <c r="D119" s="431">
        <f ca="1">IF(PaymentSchedule[[#This Row],[PMT NO]]&lt;&gt;"",IF(ROW()-ROW(PaymentSchedule[[#Headers],[BEGINNING BALANCE]])=1,LoanAmount,INDEX(PaymentSchedule[ENDING BALANCE],ROW()-ROW(PaymentSchedule[[#Headers],[BEGINNING BALANCE]])-1)),"")</f>
        <v>1846073.9096123925</v>
      </c>
      <c r="E119" s="431">
        <f ca="1">IF(PaymentSchedule[[#This Row],[PMT NO]]&lt;&gt;"",ScheduledPayment,"")</f>
        <v>9423.6334368029093</v>
      </c>
      <c r="F11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1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19" s="431">
        <f ca="1">IF(PaymentSchedule[[#This Row],[PMT NO]]&lt;&gt;"",PaymentSchedule[[#This Row],[TOTAL PAYMENT]]-PaymentSchedule[[#This Row],[INTEREST]],"")</f>
        <v>5577.6461251104247</v>
      </c>
      <c r="I119" s="431">
        <f ca="1">IF(PaymentSchedule[[#This Row],[PMT NO]]&lt;&gt;"",PaymentSchedule[[#This Row],[BEGINNING BALANCE]]*(InterestRate/PaymentsPerYear),"")</f>
        <v>3845.9873116924846</v>
      </c>
      <c r="J11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1840496.2634872822</v>
      </c>
      <c r="K119" s="431">
        <f ca="1">IF(PaymentSchedule[[#This Row],[PMT NO]]&lt;&gt;"",SUM(INDEX(PaymentSchedule[INTEREST],1,1):PaymentSchedule[[#This Row],[INTEREST]]),"")</f>
        <v>482672.3080987978</v>
      </c>
    </row>
    <row r="120" spans="2:11">
      <c r="B120" s="432">
        <f ca="1">IF(LoanIsGood,IF(ROW()-ROW(PaymentSchedule[[#Headers],[PMT NO]])&gt;ScheduledNumberOfPayments,"",ROW()-ROW(PaymentSchedule[[#Headers],[PMT NO]])),"")</f>
        <v>110</v>
      </c>
      <c r="C120" s="430">
        <f ca="1">IF(PaymentSchedule[[#This Row],[PMT NO]]&lt;&gt;"",EOMONTH(LoanStartDate,ROW(PaymentSchedule[[#This Row],[PMT NO]])-ROW(PaymentSchedule[[#Headers],[PMT NO]])-2)+DAY(LoanStartDate),"")</f>
        <v>47270</v>
      </c>
      <c r="D120" s="431">
        <f ca="1">IF(PaymentSchedule[[#This Row],[PMT NO]]&lt;&gt;"",IF(ROW()-ROW(PaymentSchedule[[#Headers],[BEGINNING BALANCE]])=1,LoanAmount,INDEX(PaymentSchedule[ENDING BALANCE],ROW()-ROW(PaymentSchedule[[#Headers],[BEGINNING BALANCE]])-1)),"")</f>
        <v>1840496.2634872822</v>
      </c>
      <c r="E120" s="431">
        <f ca="1">IF(PaymentSchedule[[#This Row],[PMT NO]]&lt;&gt;"",ScheduledPayment,"")</f>
        <v>9423.6334368029093</v>
      </c>
      <c r="F12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0" s="431">
        <f ca="1">IF(PaymentSchedule[[#This Row],[PMT NO]]&lt;&gt;"",PaymentSchedule[[#This Row],[TOTAL PAYMENT]]-PaymentSchedule[[#This Row],[INTEREST]],"")</f>
        <v>5589.2662212044052</v>
      </c>
      <c r="I120" s="431">
        <f ca="1">IF(PaymentSchedule[[#This Row],[PMT NO]]&lt;&gt;"",PaymentSchedule[[#This Row],[BEGINNING BALANCE]]*(InterestRate/PaymentsPerYear),"")</f>
        <v>3834.3672155985046</v>
      </c>
      <c r="J12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1834906.9972660779</v>
      </c>
      <c r="K120" s="431">
        <f ca="1">IF(PaymentSchedule[[#This Row],[PMT NO]]&lt;&gt;"",SUM(INDEX(PaymentSchedule[INTEREST],1,1):PaymentSchedule[[#This Row],[INTEREST]]),"")</f>
        <v>486506.67531439633</v>
      </c>
    </row>
    <row r="121" spans="2:11">
      <c r="B121" s="432">
        <f ca="1">IF(LoanIsGood,IF(ROW()-ROW(PaymentSchedule[[#Headers],[PMT NO]])&gt;ScheduledNumberOfPayments,"",ROW()-ROW(PaymentSchedule[[#Headers],[PMT NO]])),"")</f>
        <v>111</v>
      </c>
      <c r="C121" s="430">
        <f ca="1">IF(PaymentSchedule[[#This Row],[PMT NO]]&lt;&gt;"",EOMONTH(LoanStartDate,ROW(PaymentSchedule[[#This Row],[PMT NO]])-ROW(PaymentSchedule[[#Headers],[PMT NO]])-2)+DAY(LoanStartDate),"")</f>
        <v>47300</v>
      </c>
      <c r="D121" s="431">
        <f ca="1">IF(PaymentSchedule[[#This Row],[PMT NO]]&lt;&gt;"",IF(ROW()-ROW(PaymentSchedule[[#Headers],[BEGINNING BALANCE]])=1,LoanAmount,INDEX(PaymentSchedule[ENDING BALANCE],ROW()-ROW(PaymentSchedule[[#Headers],[BEGINNING BALANCE]])-1)),"")</f>
        <v>1834906.9972660779</v>
      </c>
      <c r="E121" s="431">
        <f ca="1">IF(PaymentSchedule[[#This Row],[PMT NO]]&lt;&gt;"",ScheduledPayment,"")</f>
        <v>9423.6334368029093</v>
      </c>
      <c r="F12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1" s="431">
        <f ca="1">IF(PaymentSchedule[[#This Row],[PMT NO]]&lt;&gt;"",PaymentSchedule[[#This Row],[TOTAL PAYMENT]]-PaymentSchedule[[#This Row],[INTEREST]],"")</f>
        <v>5600.9105258319141</v>
      </c>
      <c r="I121" s="431">
        <f ca="1">IF(PaymentSchedule[[#This Row],[PMT NO]]&lt;&gt;"",PaymentSchedule[[#This Row],[BEGINNING BALANCE]]*(InterestRate/PaymentsPerYear),"")</f>
        <v>3822.7229109709956</v>
      </c>
      <c r="J12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1829306.086740246</v>
      </c>
      <c r="K121" s="431">
        <f ca="1">IF(PaymentSchedule[[#This Row],[PMT NO]]&lt;&gt;"",SUM(INDEX(PaymentSchedule[INTEREST],1,1):PaymentSchedule[[#This Row],[INTEREST]]),"")</f>
        <v>490329.3982253673</v>
      </c>
    </row>
    <row r="122" spans="2:11">
      <c r="B122" s="432">
        <f ca="1">IF(LoanIsGood,IF(ROW()-ROW(PaymentSchedule[[#Headers],[PMT NO]])&gt;ScheduledNumberOfPayments,"",ROW()-ROW(PaymentSchedule[[#Headers],[PMT NO]])),"")</f>
        <v>112</v>
      </c>
      <c r="C122" s="430">
        <f ca="1">IF(PaymentSchedule[[#This Row],[PMT NO]]&lt;&gt;"",EOMONTH(LoanStartDate,ROW(PaymentSchedule[[#This Row],[PMT NO]])-ROW(PaymentSchedule[[#Headers],[PMT NO]])-2)+DAY(LoanStartDate),"")</f>
        <v>47331</v>
      </c>
      <c r="D122" s="431">
        <f ca="1">IF(PaymentSchedule[[#This Row],[PMT NO]]&lt;&gt;"",IF(ROW()-ROW(PaymentSchedule[[#Headers],[BEGINNING BALANCE]])=1,LoanAmount,INDEX(PaymentSchedule[ENDING BALANCE],ROW()-ROW(PaymentSchedule[[#Headers],[BEGINNING BALANCE]])-1)),"")</f>
        <v>1829306.086740246</v>
      </c>
      <c r="E122" s="431">
        <f ca="1">IF(PaymentSchedule[[#This Row],[PMT NO]]&lt;&gt;"",ScheduledPayment,"")</f>
        <v>9423.6334368029093</v>
      </c>
      <c r="F12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2" s="431">
        <f ca="1">IF(PaymentSchedule[[#This Row],[PMT NO]]&lt;&gt;"",PaymentSchedule[[#This Row],[TOTAL PAYMENT]]-PaymentSchedule[[#This Row],[INTEREST]],"")</f>
        <v>5612.5790894273969</v>
      </c>
      <c r="I122" s="431">
        <f ca="1">IF(PaymentSchedule[[#This Row],[PMT NO]]&lt;&gt;"",PaymentSchedule[[#This Row],[BEGINNING BALANCE]]*(InterestRate/PaymentsPerYear),"")</f>
        <v>3811.0543473755124</v>
      </c>
      <c r="J12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1823693.5076508187</v>
      </c>
      <c r="K122" s="431">
        <f ca="1">IF(PaymentSchedule[[#This Row],[PMT NO]]&lt;&gt;"",SUM(INDEX(PaymentSchedule[INTEREST],1,1):PaymentSchedule[[#This Row],[INTEREST]]),"")</f>
        <v>494140.45257274283</v>
      </c>
    </row>
    <row r="123" spans="2:11">
      <c r="B123" s="432">
        <f ca="1">IF(LoanIsGood,IF(ROW()-ROW(PaymentSchedule[[#Headers],[PMT NO]])&gt;ScheduledNumberOfPayments,"",ROW()-ROW(PaymentSchedule[[#Headers],[PMT NO]])),"")</f>
        <v>113</v>
      </c>
      <c r="C123" s="430">
        <f ca="1">IF(PaymentSchedule[[#This Row],[PMT NO]]&lt;&gt;"",EOMONTH(LoanStartDate,ROW(PaymentSchedule[[#This Row],[PMT NO]])-ROW(PaymentSchedule[[#Headers],[PMT NO]])-2)+DAY(LoanStartDate),"")</f>
        <v>47362</v>
      </c>
      <c r="D123" s="431">
        <f ca="1">IF(PaymentSchedule[[#This Row],[PMT NO]]&lt;&gt;"",IF(ROW()-ROW(PaymentSchedule[[#Headers],[BEGINNING BALANCE]])=1,LoanAmount,INDEX(PaymentSchedule[ENDING BALANCE],ROW()-ROW(PaymentSchedule[[#Headers],[BEGINNING BALANCE]])-1)),"")</f>
        <v>1823693.5076508187</v>
      </c>
      <c r="E123" s="431">
        <f ca="1">IF(PaymentSchedule[[#This Row],[PMT NO]]&lt;&gt;"",ScheduledPayment,"")</f>
        <v>9423.6334368029093</v>
      </c>
      <c r="F12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3" s="431">
        <f ca="1">IF(PaymentSchedule[[#This Row],[PMT NO]]&lt;&gt;"",PaymentSchedule[[#This Row],[TOTAL PAYMENT]]-PaymentSchedule[[#This Row],[INTEREST]],"")</f>
        <v>5624.2719625303707</v>
      </c>
      <c r="I123" s="431">
        <f ca="1">IF(PaymentSchedule[[#This Row],[PMT NO]]&lt;&gt;"",PaymentSchedule[[#This Row],[BEGINNING BALANCE]]*(InterestRate/PaymentsPerYear),"")</f>
        <v>3799.361474272539</v>
      </c>
      <c r="J12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1818069.2356882882</v>
      </c>
      <c r="K123" s="431">
        <f ca="1">IF(PaymentSchedule[[#This Row],[PMT NO]]&lt;&gt;"",SUM(INDEX(PaymentSchedule[INTEREST],1,1):PaymentSchedule[[#This Row],[INTEREST]]),"")</f>
        <v>497939.81404701539</v>
      </c>
    </row>
    <row r="124" spans="2:11">
      <c r="B124" s="432">
        <f ca="1">IF(LoanIsGood,IF(ROW()-ROW(PaymentSchedule[[#Headers],[PMT NO]])&gt;ScheduledNumberOfPayments,"",ROW()-ROW(PaymentSchedule[[#Headers],[PMT NO]])),"")</f>
        <v>114</v>
      </c>
      <c r="C124" s="430">
        <f ca="1">IF(PaymentSchedule[[#This Row],[PMT NO]]&lt;&gt;"",EOMONTH(LoanStartDate,ROW(PaymentSchedule[[#This Row],[PMT NO]])-ROW(PaymentSchedule[[#Headers],[PMT NO]])-2)+DAY(LoanStartDate),"")</f>
        <v>47392</v>
      </c>
      <c r="D124" s="431">
        <f ca="1">IF(PaymentSchedule[[#This Row],[PMT NO]]&lt;&gt;"",IF(ROW()-ROW(PaymentSchedule[[#Headers],[BEGINNING BALANCE]])=1,LoanAmount,INDEX(PaymentSchedule[ENDING BALANCE],ROW()-ROW(PaymentSchedule[[#Headers],[BEGINNING BALANCE]])-1)),"")</f>
        <v>1818069.2356882882</v>
      </c>
      <c r="E124" s="431">
        <f ca="1">IF(PaymentSchedule[[#This Row],[PMT NO]]&lt;&gt;"",ScheduledPayment,"")</f>
        <v>9423.6334368029093</v>
      </c>
      <c r="F12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4" s="431">
        <f ca="1">IF(PaymentSchedule[[#This Row],[PMT NO]]&lt;&gt;"",PaymentSchedule[[#This Row],[TOTAL PAYMENT]]-PaymentSchedule[[#This Row],[INTEREST]],"")</f>
        <v>5635.9891957856416</v>
      </c>
      <c r="I124" s="431">
        <f ca="1">IF(PaymentSchedule[[#This Row],[PMT NO]]&lt;&gt;"",PaymentSchedule[[#This Row],[BEGINNING BALANCE]]*(InterestRate/PaymentsPerYear),"")</f>
        <v>3787.6442410172672</v>
      </c>
      <c r="J12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1812433.2464925025</v>
      </c>
      <c r="K124" s="431">
        <f ca="1">IF(PaymentSchedule[[#This Row],[PMT NO]]&lt;&gt;"",SUM(INDEX(PaymentSchedule[INTEREST],1,1):PaymentSchedule[[#This Row],[INTEREST]]),"")</f>
        <v>501727.45828803268</v>
      </c>
    </row>
    <row r="125" spans="2:11">
      <c r="B125" s="432">
        <f ca="1">IF(LoanIsGood,IF(ROW()-ROW(PaymentSchedule[[#Headers],[PMT NO]])&gt;ScheduledNumberOfPayments,"",ROW()-ROW(PaymentSchedule[[#Headers],[PMT NO]])),"")</f>
        <v>115</v>
      </c>
      <c r="C125" s="430">
        <f ca="1">IF(PaymentSchedule[[#This Row],[PMT NO]]&lt;&gt;"",EOMONTH(LoanStartDate,ROW(PaymentSchedule[[#This Row],[PMT NO]])-ROW(PaymentSchedule[[#Headers],[PMT NO]])-2)+DAY(LoanStartDate),"")</f>
        <v>47423</v>
      </c>
      <c r="D125" s="431">
        <f ca="1">IF(PaymentSchedule[[#This Row],[PMT NO]]&lt;&gt;"",IF(ROW()-ROW(PaymentSchedule[[#Headers],[BEGINNING BALANCE]])=1,LoanAmount,INDEX(PaymentSchedule[ENDING BALANCE],ROW()-ROW(PaymentSchedule[[#Headers],[BEGINNING BALANCE]])-1)),"")</f>
        <v>1812433.2464925025</v>
      </c>
      <c r="E125" s="431">
        <f ca="1">IF(PaymentSchedule[[#This Row],[PMT NO]]&lt;&gt;"",ScheduledPayment,"")</f>
        <v>9423.6334368029093</v>
      </c>
      <c r="F12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5" s="431">
        <f ca="1">IF(PaymentSchedule[[#This Row],[PMT NO]]&lt;&gt;"",PaymentSchedule[[#This Row],[TOTAL PAYMENT]]-PaymentSchedule[[#This Row],[INTEREST]],"")</f>
        <v>5647.7308399435296</v>
      </c>
      <c r="I125" s="431">
        <f ca="1">IF(PaymentSchedule[[#This Row],[PMT NO]]&lt;&gt;"",PaymentSchedule[[#This Row],[BEGINNING BALANCE]]*(InterestRate/PaymentsPerYear),"")</f>
        <v>3775.9025968593801</v>
      </c>
      <c r="J12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1806785.515652559</v>
      </c>
      <c r="K125" s="431">
        <f ca="1">IF(PaymentSchedule[[#This Row],[PMT NO]]&lt;&gt;"",SUM(INDEX(PaymentSchedule[INTEREST],1,1):PaymentSchedule[[#This Row],[INTEREST]]),"")</f>
        <v>505503.36088489206</v>
      </c>
    </row>
    <row r="126" spans="2:11">
      <c r="B126" s="432">
        <f ca="1">IF(LoanIsGood,IF(ROW()-ROW(PaymentSchedule[[#Headers],[PMT NO]])&gt;ScheduledNumberOfPayments,"",ROW()-ROW(PaymentSchedule[[#Headers],[PMT NO]])),"")</f>
        <v>116</v>
      </c>
      <c r="C126" s="430">
        <f ca="1">IF(PaymentSchedule[[#This Row],[PMT NO]]&lt;&gt;"",EOMONTH(LoanStartDate,ROW(PaymentSchedule[[#This Row],[PMT NO]])-ROW(PaymentSchedule[[#Headers],[PMT NO]])-2)+DAY(LoanStartDate),"")</f>
        <v>47453</v>
      </c>
      <c r="D126" s="431">
        <f ca="1">IF(PaymentSchedule[[#This Row],[PMT NO]]&lt;&gt;"",IF(ROW()-ROW(PaymentSchedule[[#Headers],[BEGINNING BALANCE]])=1,LoanAmount,INDEX(PaymentSchedule[ENDING BALANCE],ROW()-ROW(PaymentSchedule[[#Headers],[BEGINNING BALANCE]])-1)),"")</f>
        <v>1806785.515652559</v>
      </c>
      <c r="E126" s="431">
        <f ca="1">IF(PaymentSchedule[[#This Row],[PMT NO]]&lt;&gt;"",ScheduledPayment,"")</f>
        <v>9423.6334368029093</v>
      </c>
      <c r="F12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6" s="431">
        <f ca="1">IF(PaymentSchedule[[#This Row],[PMT NO]]&lt;&gt;"",PaymentSchedule[[#This Row],[TOTAL PAYMENT]]-PaymentSchedule[[#This Row],[INTEREST]],"")</f>
        <v>5659.4969458600781</v>
      </c>
      <c r="I126" s="431">
        <f ca="1">IF(PaymentSchedule[[#This Row],[PMT NO]]&lt;&gt;"",PaymentSchedule[[#This Row],[BEGINNING BALANCE]]*(InterestRate/PaymentsPerYear),"")</f>
        <v>3764.1364909428312</v>
      </c>
      <c r="J12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1801126.0187066989</v>
      </c>
      <c r="K126" s="431">
        <f ca="1">IF(PaymentSchedule[[#This Row],[PMT NO]]&lt;&gt;"",SUM(INDEX(PaymentSchedule[INTEREST],1,1):PaymentSchedule[[#This Row],[INTEREST]]),"")</f>
        <v>509267.49737583491</v>
      </c>
    </row>
    <row r="127" spans="2:11">
      <c r="B127" s="432">
        <f ca="1">IF(LoanIsGood,IF(ROW()-ROW(PaymentSchedule[[#Headers],[PMT NO]])&gt;ScheduledNumberOfPayments,"",ROW()-ROW(PaymentSchedule[[#Headers],[PMT NO]])),"")</f>
        <v>117</v>
      </c>
      <c r="C127" s="430">
        <f ca="1">IF(PaymentSchedule[[#This Row],[PMT NO]]&lt;&gt;"",EOMONTH(LoanStartDate,ROW(PaymentSchedule[[#This Row],[PMT NO]])-ROW(PaymentSchedule[[#Headers],[PMT NO]])-2)+DAY(LoanStartDate),"")</f>
        <v>47484</v>
      </c>
      <c r="D127" s="431">
        <f ca="1">IF(PaymentSchedule[[#This Row],[PMT NO]]&lt;&gt;"",IF(ROW()-ROW(PaymentSchedule[[#Headers],[BEGINNING BALANCE]])=1,LoanAmount,INDEX(PaymentSchedule[ENDING BALANCE],ROW()-ROW(PaymentSchedule[[#Headers],[BEGINNING BALANCE]])-1)),"")</f>
        <v>1801126.0187066989</v>
      </c>
      <c r="E127" s="431">
        <f ca="1">IF(PaymentSchedule[[#This Row],[PMT NO]]&lt;&gt;"",ScheduledPayment,"")</f>
        <v>9423.6334368029093</v>
      </c>
      <c r="F12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7" s="431">
        <f ca="1">IF(PaymentSchedule[[#This Row],[PMT NO]]&lt;&gt;"",PaymentSchedule[[#This Row],[TOTAL PAYMENT]]-PaymentSchedule[[#This Row],[INTEREST]],"")</f>
        <v>5671.2875644972864</v>
      </c>
      <c r="I127" s="431">
        <f ca="1">IF(PaymentSchedule[[#This Row],[PMT NO]]&lt;&gt;"",PaymentSchedule[[#This Row],[BEGINNING BALANCE]]*(InterestRate/PaymentsPerYear),"")</f>
        <v>3752.3458723056228</v>
      </c>
      <c r="J12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1795454.7311422017</v>
      </c>
      <c r="K127" s="431">
        <f ca="1">IF(PaymentSchedule[[#This Row],[PMT NO]]&lt;&gt;"",SUM(INDEX(PaymentSchedule[INTEREST],1,1):PaymentSchedule[[#This Row],[INTEREST]]),"")</f>
        <v>513019.84324814053</v>
      </c>
    </row>
    <row r="128" spans="2:11">
      <c r="B128" s="432">
        <f ca="1">IF(LoanIsGood,IF(ROW()-ROW(PaymentSchedule[[#Headers],[PMT NO]])&gt;ScheduledNumberOfPayments,"",ROW()-ROW(PaymentSchedule[[#Headers],[PMT NO]])),"")</f>
        <v>118</v>
      </c>
      <c r="C128" s="430">
        <f ca="1">IF(PaymentSchedule[[#This Row],[PMT NO]]&lt;&gt;"",EOMONTH(LoanStartDate,ROW(PaymentSchedule[[#This Row],[PMT NO]])-ROW(PaymentSchedule[[#Headers],[PMT NO]])-2)+DAY(LoanStartDate),"")</f>
        <v>47515</v>
      </c>
      <c r="D128" s="431">
        <f ca="1">IF(PaymentSchedule[[#This Row],[PMT NO]]&lt;&gt;"",IF(ROW()-ROW(PaymentSchedule[[#Headers],[BEGINNING BALANCE]])=1,LoanAmount,INDEX(PaymentSchedule[ENDING BALANCE],ROW()-ROW(PaymentSchedule[[#Headers],[BEGINNING BALANCE]])-1)),"")</f>
        <v>1795454.7311422017</v>
      </c>
      <c r="E128" s="431">
        <f ca="1">IF(PaymentSchedule[[#This Row],[PMT NO]]&lt;&gt;"",ScheduledPayment,"")</f>
        <v>9423.6334368029093</v>
      </c>
      <c r="F12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8" s="431">
        <f ca="1">IF(PaymentSchedule[[#This Row],[PMT NO]]&lt;&gt;"",PaymentSchedule[[#This Row],[TOTAL PAYMENT]]-PaymentSchedule[[#This Row],[INTEREST]],"")</f>
        <v>5683.1027469233231</v>
      </c>
      <c r="I128" s="431">
        <f ca="1">IF(PaymentSchedule[[#This Row],[PMT NO]]&lt;&gt;"",PaymentSchedule[[#This Row],[BEGINNING BALANCE]]*(InterestRate/PaymentsPerYear),"")</f>
        <v>3740.5306898795866</v>
      </c>
      <c r="J12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1789771.6283952785</v>
      </c>
      <c r="K128" s="431">
        <f ca="1">IF(PaymentSchedule[[#This Row],[PMT NO]]&lt;&gt;"",SUM(INDEX(PaymentSchedule[INTEREST],1,1):PaymentSchedule[[#This Row],[INTEREST]]),"")</f>
        <v>516760.37393802014</v>
      </c>
    </row>
    <row r="129" spans="2:11">
      <c r="B129" s="432">
        <f ca="1">IF(LoanIsGood,IF(ROW()-ROW(PaymentSchedule[[#Headers],[PMT NO]])&gt;ScheduledNumberOfPayments,"",ROW()-ROW(PaymentSchedule[[#Headers],[PMT NO]])),"")</f>
        <v>119</v>
      </c>
      <c r="C129" s="430">
        <f ca="1">IF(PaymentSchedule[[#This Row],[PMT NO]]&lt;&gt;"",EOMONTH(LoanStartDate,ROW(PaymentSchedule[[#This Row],[PMT NO]])-ROW(PaymentSchedule[[#Headers],[PMT NO]])-2)+DAY(LoanStartDate),"")</f>
        <v>47543</v>
      </c>
      <c r="D129" s="431">
        <f ca="1">IF(PaymentSchedule[[#This Row],[PMT NO]]&lt;&gt;"",IF(ROW()-ROW(PaymentSchedule[[#Headers],[BEGINNING BALANCE]])=1,LoanAmount,INDEX(PaymentSchedule[ENDING BALANCE],ROW()-ROW(PaymentSchedule[[#Headers],[BEGINNING BALANCE]])-1)),"")</f>
        <v>1789771.6283952785</v>
      </c>
      <c r="E129" s="431">
        <f ca="1">IF(PaymentSchedule[[#This Row],[PMT NO]]&lt;&gt;"",ScheduledPayment,"")</f>
        <v>9423.6334368029093</v>
      </c>
      <c r="F12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2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29" s="431">
        <f ca="1">IF(PaymentSchedule[[#This Row],[PMT NO]]&lt;&gt;"",PaymentSchedule[[#This Row],[TOTAL PAYMENT]]-PaymentSchedule[[#This Row],[INTEREST]],"")</f>
        <v>5694.9425443127457</v>
      </c>
      <c r="I129" s="431">
        <f ca="1">IF(PaymentSchedule[[#This Row],[PMT NO]]&lt;&gt;"",PaymentSchedule[[#This Row],[BEGINNING BALANCE]]*(InterestRate/PaymentsPerYear),"")</f>
        <v>3728.6908924901636</v>
      </c>
      <c r="J12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1784076.6858509658</v>
      </c>
      <c r="K129" s="431">
        <f ca="1">IF(PaymentSchedule[[#This Row],[PMT NO]]&lt;&gt;"",SUM(INDEX(PaymentSchedule[INTEREST],1,1):PaymentSchedule[[#This Row],[INTEREST]]),"")</f>
        <v>520489.06483051029</v>
      </c>
    </row>
    <row r="130" spans="2:11">
      <c r="B130" s="432">
        <f ca="1">IF(LoanIsGood,IF(ROW()-ROW(PaymentSchedule[[#Headers],[PMT NO]])&gt;ScheduledNumberOfPayments,"",ROW()-ROW(PaymentSchedule[[#Headers],[PMT NO]])),"")</f>
        <v>120</v>
      </c>
      <c r="C130" s="430">
        <f ca="1">IF(PaymentSchedule[[#This Row],[PMT NO]]&lt;&gt;"",EOMONTH(LoanStartDate,ROW(PaymentSchedule[[#This Row],[PMT NO]])-ROW(PaymentSchedule[[#Headers],[PMT NO]])-2)+DAY(LoanStartDate),"")</f>
        <v>47574</v>
      </c>
      <c r="D130" s="431">
        <f ca="1">IF(PaymentSchedule[[#This Row],[PMT NO]]&lt;&gt;"",IF(ROW()-ROW(PaymentSchedule[[#Headers],[BEGINNING BALANCE]])=1,LoanAmount,INDEX(PaymentSchedule[ENDING BALANCE],ROW()-ROW(PaymentSchedule[[#Headers],[BEGINNING BALANCE]])-1)),"")</f>
        <v>1784076.6858509658</v>
      </c>
      <c r="E130" s="431">
        <f ca="1">IF(PaymentSchedule[[#This Row],[PMT NO]]&lt;&gt;"",ScheduledPayment,"")</f>
        <v>9423.6334368029093</v>
      </c>
      <c r="F13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0" s="431">
        <f ca="1">IF(PaymentSchedule[[#This Row],[PMT NO]]&lt;&gt;"",PaymentSchedule[[#This Row],[TOTAL PAYMENT]]-PaymentSchedule[[#This Row],[INTEREST]],"")</f>
        <v>5706.8070079467307</v>
      </c>
      <c r="I130" s="431">
        <f ca="1">IF(PaymentSchedule[[#This Row],[PMT NO]]&lt;&gt;"",PaymentSchedule[[#This Row],[BEGINNING BALANCE]]*(InterestRate/PaymentsPerYear),"")</f>
        <v>3716.8264288561786</v>
      </c>
      <c r="J13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1778369.878843019</v>
      </c>
      <c r="K130" s="431">
        <f ca="1">IF(PaymentSchedule[[#This Row],[PMT NO]]&lt;&gt;"",SUM(INDEX(PaymentSchedule[INTEREST],1,1):PaymentSchedule[[#This Row],[INTEREST]]),"")</f>
        <v>524205.89125936647</v>
      </c>
    </row>
    <row r="131" spans="2:11">
      <c r="B131" s="432">
        <f ca="1">IF(LoanIsGood,IF(ROW()-ROW(PaymentSchedule[[#Headers],[PMT NO]])&gt;ScheduledNumberOfPayments,"",ROW()-ROW(PaymentSchedule[[#Headers],[PMT NO]])),"")</f>
        <v>121</v>
      </c>
      <c r="C131" s="430">
        <f ca="1">IF(PaymentSchedule[[#This Row],[PMT NO]]&lt;&gt;"",EOMONTH(LoanStartDate,ROW(PaymentSchedule[[#This Row],[PMT NO]])-ROW(PaymentSchedule[[#Headers],[PMT NO]])-2)+DAY(LoanStartDate),"")</f>
        <v>47604</v>
      </c>
      <c r="D131" s="431">
        <f ca="1">IF(PaymentSchedule[[#This Row],[PMT NO]]&lt;&gt;"",IF(ROW()-ROW(PaymentSchedule[[#Headers],[BEGINNING BALANCE]])=1,LoanAmount,INDEX(PaymentSchedule[ENDING BALANCE],ROW()-ROW(PaymentSchedule[[#Headers],[BEGINNING BALANCE]])-1)),"")</f>
        <v>1778369.878843019</v>
      </c>
      <c r="E131" s="431">
        <f ca="1">IF(PaymentSchedule[[#This Row],[PMT NO]]&lt;&gt;"",ScheduledPayment,"")</f>
        <v>9423.6334368029093</v>
      </c>
      <c r="F13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1" s="431">
        <f ca="1">IF(PaymentSchedule[[#This Row],[PMT NO]]&lt;&gt;"",PaymentSchedule[[#This Row],[TOTAL PAYMENT]]-PaymentSchedule[[#This Row],[INTEREST]],"")</f>
        <v>5718.6961892132858</v>
      </c>
      <c r="I131" s="431">
        <f ca="1">IF(PaymentSchedule[[#This Row],[PMT NO]]&lt;&gt;"",PaymentSchedule[[#This Row],[BEGINNING BALANCE]]*(InterestRate/PaymentsPerYear),"")</f>
        <v>3704.937247589623</v>
      </c>
      <c r="J13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1772651.1826538057</v>
      </c>
      <c r="K131" s="431">
        <f ca="1">IF(PaymentSchedule[[#This Row],[PMT NO]]&lt;&gt;"",SUM(INDEX(PaymentSchedule[INTEREST],1,1):PaymentSchedule[[#This Row],[INTEREST]]),"")</f>
        <v>527910.82850695611</v>
      </c>
    </row>
    <row r="132" spans="2:11">
      <c r="B132" s="432">
        <f ca="1">IF(LoanIsGood,IF(ROW()-ROW(PaymentSchedule[[#Headers],[PMT NO]])&gt;ScheduledNumberOfPayments,"",ROW()-ROW(PaymentSchedule[[#Headers],[PMT NO]])),"")</f>
        <v>122</v>
      </c>
      <c r="C132" s="430">
        <f ca="1">IF(PaymentSchedule[[#This Row],[PMT NO]]&lt;&gt;"",EOMONTH(LoanStartDate,ROW(PaymentSchedule[[#This Row],[PMT NO]])-ROW(PaymentSchedule[[#Headers],[PMT NO]])-2)+DAY(LoanStartDate),"")</f>
        <v>47635</v>
      </c>
      <c r="D132" s="431">
        <f ca="1">IF(PaymentSchedule[[#This Row],[PMT NO]]&lt;&gt;"",IF(ROW()-ROW(PaymentSchedule[[#Headers],[BEGINNING BALANCE]])=1,LoanAmount,INDEX(PaymentSchedule[ENDING BALANCE],ROW()-ROW(PaymentSchedule[[#Headers],[BEGINNING BALANCE]])-1)),"")</f>
        <v>1772651.1826538057</v>
      </c>
      <c r="E132" s="431">
        <f ca="1">IF(PaymentSchedule[[#This Row],[PMT NO]]&lt;&gt;"",ScheduledPayment,"")</f>
        <v>9423.6334368029093</v>
      </c>
      <c r="F13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2" s="431">
        <f ca="1">IF(PaymentSchedule[[#This Row],[PMT NO]]&lt;&gt;"",PaymentSchedule[[#This Row],[TOTAL PAYMENT]]-PaymentSchedule[[#This Row],[INTEREST]],"")</f>
        <v>5730.610139607481</v>
      </c>
      <c r="I132" s="431">
        <f ca="1">IF(PaymentSchedule[[#This Row],[PMT NO]]&lt;&gt;"",PaymentSchedule[[#This Row],[BEGINNING BALANCE]]*(InterestRate/PaymentsPerYear),"")</f>
        <v>3693.0232971954283</v>
      </c>
      <c r="J13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1766920.5725141983</v>
      </c>
      <c r="K132" s="431">
        <f ca="1">IF(PaymentSchedule[[#This Row],[PMT NO]]&lt;&gt;"",SUM(INDEX(PaymentSchedule[INTEREST],1,1):PaymentSchedule[[#This Row],[INTEREST]]),"")</f>
        <v>531603.85180415155</v>
      </c>
    </row>
    <row r="133" spans="2:11">
      <c r="B133" s="432">
        <f ca="1">IF(LoanIsGood,IF(ROW()-ROW(PaymentSchedule[[#Headers],[PMT NO]])&gt;ScheduledNumberOfPayments,"",ROW()-ROW(PaymentSchedule[[#Headers],[PMT NO]])),"")</f>
        <v>123</v>
      </c>
      <c r="C133" s="430">
        <f ca="1">IF(PaymentSchedule[[#This Row],[PMT NO]]&lt;&gt;"",EOMONTH(LoanStartDate,ROW(PaymentSchedule[[#This Row],[PMT NO]])-ROW(PaymentSchedule[[#Headers],[PMT NO]])-2)+DAY(LoanStartDate),"")</f>
        <v>47665</v>
      </c>
      <c r="D133" s="431">
        <f ca="1">IF(PaymentSchedule[[#This Row],[PMT NO]]&lt;&gt;"",IF(ROW()-ROW(PaymentSchedule[[#Headers],[BEGINNING BALANCE]])=1,LoanAmount,INDEX(PaymentSchedule[ENDING BALANCE],ROW()-ROW(PaymentSchedule[[#Headers],[BEGINNING BALANCE]])-1)),"")</f>
        <v>1766920.5725141983</v>
      </c>
      <c r="E133" s="431">
        <f ca="1">IF(PaymentSchedule[[#This Row],[PMT NO]]&lt;&gt;"",ScheduledPayment,"")</f>
        <v>9423.6334368029093</v>
      </c>
      <c r="F13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3" s="431">
        <f ca="1">IF(PaymentSchedule[[#This Row],[PMT NO]]&lt;&gt;"",PaymentSchedule[[#This Row],[TOTAL PAYMENT]]-PaymentSchedule[[#This Row],[INTEREST]],"")</f>
        <v>5742.5489107316625</v>
      </c>
      <c r="I133" s="431">
        <f ca="1">IF(PaymentSchedule[[#This Row],[PMT NO]]&lt;&gt;"",PaymentSchedule[[#This Row],[BEGINNING BALANCE]]*(InterestRate/PaymentsPerYear),"")</f>
        <v>3681.0845260712463</v>
      </c>
      <c r="J13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1761178.0236034666</v>
      </c>
      <c r="K133" s="431">
        <f ca="1">IF(PaymentSchedule[[#This Row],[PMT NO]]&lt;&gt;"",SUM(INDEX(PaymentSchedule[INTEREST],1,1):PaymentSchedule[[#This Row],[INTEREST]]),"")</f>
        <v>535284.93633022276</v>
      </c>
    </row>
    <row r="134" spans="2:11">
      <c r="B134" s="432">
        <f ca="1">IF(LoanIsGood,IF(ROW()-ROW(PaymentSchedule[[#Headers],[PMT NO]])&gt;ScheduledNumberOfPayments,"",ROW()-ROW(PaymentSchedule[[#Headers],[PMT NO]])),"")</f>
        <v>124</v>
      </c>
      <c r="C134" s="430">
        <f ca="1">IF(PaymentSchedule[[#This Row],[PMT NO]]&lt;&gt;"",EOMONTH(LoanStartDate,ROW(PaymentSchedule[[#This Row],[PMT NO]])-ROW(PaymentSchedule[[#Headers],[PMT NO]])-2)+DAY(LoanStartDate),"")</f>
        <v>47696</v>
      </c>
      <c r="D134" s="431">
        <f ca="1">IF(PaymentSchedule[[#This Row],[PMT NO]]&lt;&gt;"",IF(ROW()-ROW(PaymentSchedule[[#Headers],[BEGINNING BALANCE]])=1,LoanAmount,INDEX(PaymentSchedule[ENDING BALANCE],ROW()-ROW(PaymentSchedule[[#Headers],[BEGINNING BALANCE]])-1)),"")</f>
        <v>1761178.0236034666</v>
      </c>
      <c r="E134" s="431">
        <f ca="1">IF(PaymentSchedule[[#This Row],[PMT NO]]&lt;&gt;"",ScheduledPayment,"")</f>
        <v>9423.6334368029093</v>
      </c>
      <c r="F13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4" s="431">
        <f ca="1">IF(PaymentSchedule[[#This Row],[PMT NO]]&lt;&gt;"",PaymentSchedule[[#This Row],[TOTAL PAYMENT]]-PaymentSchedule[[#This Row],[INTEREST]],"")</f>
        <v>5754.5125542956866</v>
      </c>
      <c r="I134" s="431">
        <f ca="1">IF(PaymentSchedule[[#This Row],[PMT NO]]&lt;&gt;"",PaymentSchedule[[#This Row],[BEGINNING BALANCE]]*(InterestRate/PaymentsPerYear),"")</f>
        <v>3669.1208825072222</v>
      </c>
      <c r="J13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1755423.511049171</v>
      </c>
      <c r="K134" s="431">
        <f ca="1">IF(PaymentSchedule[[#This Row],[PMT NO]]&lt;&gt;"",SUM(INDEX(PaymentSchedule[INTEREST],1,1):PaymentSchedule[[#This Row],[INTEREST]]),"")</f>
        <v>538954.05721272994</v>
      </c>
    </row>
    <row r="135" spans="2:11">
      <c r="B135" s="432">
        <f ca="1">IF(LoanIsGood,IF(ROW()-ROW(PaymentSchedule[[#Headers],[PMT NO]])&gt;ScheduledNumberOfPayments,"",ROW()-ROW(PaymentSchedule[[#Headers],[PMT NO]])),"")</f>
        <v>125</v>
      </c>
      <c r="C135" s="430">
        <f ca="1">IF(PaymentSchedule[[#This Row],[PMT NO]]&lt;&gt;"",EOMONTH(LoanStartDate,ROW(PaymentSchedule[[#This Row],[PMT NO]])-ROW(PaymentSchedule[[#Headers],[PMT NO]])-2)+DAY(LoanStartDate),"")</f>
        <v>47727</v>
      </c>
      <c r="D135" s="431">
        <f ca="1">IF(PaymentSchedule[[#This Row],[PMT NO]]&lt;&gt;"",IF(ROW()-ROW(PaymentSchedule[[#Headers],[BEGINNING BALANCE]])=1,LoanAmount,INDEX(PaymentSchedule[ENDING BALANCE],ROW()-ROW(PaymentSchedule[[#Headers],[BEGINNING BALANCE]])-1)),"")</f>
        <v>1755423.511049171</v>
      </c>
      <c r="E135" s="431">
        <f ca="1">IF(PaymentSchedule[[#This Row],[PMT NO]]&lt;&gt;"",ScheduledPayment,"")</f>
        <v>9423.6334368029093</v>
      </c>
      <c r="F13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5" s="431">
        <f ca="1">IF(PaymentSchedule[[#This Row],[PMT NO]]&lt;&gt;"",PaymentSchedule[[#This Row],[TOTAL PAYMENT]]-PaymentSchedule[[#This Row],[INTEREST]],"")</f>
        <v>5766.5011221171371</v>
      </c>
      <c r="I135" s="431">
        <f ca="1">IF(PaymentSchedule[[#This Row],[PMT NO]]&lt;&gt;"",PaymentSchedule[[#This Row],[BEGINNING BALANCE]]*(InterestRate/PaymentsPerYear),"")</f>
        <v>3657.1323146857726</v>
      </c>
      <c r="J13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1749657.0099270539</v>
      </c>
      <c r="K135" s="431">
        <f ca="1">IF(PaymentSchedule[[#This Row],[PMT NO]]&lt;&gt;"",SUM(INDEX(PaymentSchedule[INTEREST],1,1):PaymentSchedule[[#This Row],[INTEREST]]),"")</f>
        <v>542611.18952741567</v>
      </c>
    </row>
    <row r="136" spans="2:11">
      <c r="B136" s="432">
        <f ca="1">IF(LoanIsGood,IF(ROW()-ROW(PaymentSchedule[[#Headers],[PMT NO]])&gt;ScheduledNumberOfPayments,"",ROW()-ROW(PaymentSchedule[[#Headers],[PMT NO]])),"")</f>
        <v>126</v>
      </c>
      <c r="C136" s="430">
        <f ca="1">IF(PaymentSchedule[[#This Row],[PMT NO]]&lt;&gt;"",EOMONTH(LoanStartDate,ROW(PaymentSchedule[[#This Row],[PMT NO]])-ROW(PaymentSchedule[[#Headers],[PMT NO]])-2)+DAY(LoanStartDate),"")</f>
        <v>47757</v>
      </c>
      <c r="D136" s="431">
        <f ca="1">IF(PaymentSchedule[[#This Row],[PMT NO]]&lt;&gt;"",IF(ROW()-ROW(PaymentSchedule[[#Headers],[BEGINNING BALANCE]])=1,LoanAmount,INDEX(PaymentSchedule[ENDING BALANCE],ROW()-ROW(PaymentSchedule[[#Headers],[BEGINNING BALANCE]])-1)),"")</f>
        <v>1749657.0099270539</v>
      </c>
      <c r="E136" s="431">
        <f ca="1">IF(PaymentSchedule[[#This Row],[PMT NO]]&lt;&gt;"",ScheduledPayment,"")</f>
        <v>9423.6334368029093</v>
      </c>
      <c r="F13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6" s="431">
        <f ca="1">IF(PaymentSchedule[[#This Row],[PMT NO]]&lt;&gt;"",PaymentSchedule[[#This Row],[TOTAL PAYMENT]]-PaymentSchedule[[#This Row],[INTEREST]],"")</f>
        <v>5778.5146661215476</v>
      </c>
      <c r="I136" s="431">
        <f ca="1">IF(PaymentSchedule[[#This Row],[PMT NO]]&lt;&gt;"",PaymentSchedule[[#This Row],[BEGINNING BALANCE]]*(InterestRate/PaymentsPerYear),"")</f>
        <v>3645.1187706813621</v>
      </c>
      <c r="J13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1743878.4952609325</v>
      </c>
      <c r="K136" s="431">
        <f ca="1">IF(PaymentSchedule[[#This Row],[PMT NO]]&lt;&gt;"",SUM(INDEX(PaymentSchedule[INTEREST],1,1):PaymentSchedule[[#This Row],[INTEREST]]),"")</f>
        <v>546256.30829809699</v>
      </c>
    </row>
    <row r="137" spans="2:11">
      <c r="B137" s="432">
        <f ca="1">IF(LoanIsGood,IF(ROW()-ROW(PaymentSchedule[[#Headers],[PMT NO]])&gt;ScheduledNumberOfPayments,"",ROW()-ROW(PaymentSchedule[[#Headers],[PMT NO]])),"")</f>
        <v>127</v>
      </c>
      <c r="C137" s="430">
        <f ca="1">IF(PaymentSchedule[[#This Row],[PMT NO]]&lt;&gt;"",EOMONTH(LoanStartDate,ROW(PaymentSchedule[[#This Row],[PMT NO]])-ROW(PaymentSchedule[[#Headers],[PMT NO]])-2)+DAY(LoanStartDate),"")</f>
        <v>47788</v>
      </c>
      <c r="D137" s="431">
        <f ca="1">IF(PaymentSchedule[[#This Row],[PMT NO]]&lt;&gt;"",IF(ROW()-ROW(PaymentSchedule[[#Headers],[BEGINNING BALANCE]])=1,LoanAmount,INDEX(PaymentSchedule[ENDING BALANCE],ROW()-ROW(PaymentSchedule[[#Headers],[BEGINNING BALANCE]])-1)),"")</f>
        <v>1743878.4952609325</v>
      </c>
      <c r="E137" s="431">
        <f ca="1">IF(PaymentSchedule[[#This Row],[PMT NO]]&lt;&gt;"",ScheduledPayment,"")</f>
        <v>9423.6334368029093</v>
      </c>
      <c r="F13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7" s="431">
        <f ca="1">IF(PaymentSchedule[[#This Row],[PMT NO]]&lt;&gt;"",PaymentSchedule[[#This Row],[TOTAL PAYMENT]]-PaymentSchedule[[#This Row],[INTEREST]],"")</f>
        <v>5790.5532383426334</v>
      </c>
      <c r="I137" s="431">
        <f ca="1">IF(PaymentSchedule[[#This Row],[PMT NO]]&lt;&gt;"",PaymentSchedule[[#This Row],[BEGINNING BALANCE]]*(InterestRate/PaymentsPerYear),"")</f>
        <v>3633.0801984602758</v>
      </c>
      <c r="J13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1738087.9420225897</v>
      </c>
      <c r="K137" s="431">
        <f ca="1">IF(PaymentSchedule[[#This Row],[PMT NO]]&lt;&gt;"",SUM(INDEX(PaymentSchedule[INTEREST],1,1):PaymentSchedule[[#This Row],[INTEREST]]),"")</f>
        <v>549889.38849655725</v>
      </c>
    </row>
    <row r="138" spans="2:11">
      <c r="B138" s="432">
        <f ca="1">IF(LoanIsGood,IF(ROW()-ROW(PaymentSchedule[[#Headers],[PMT NO]])&gt;ScheduledNumberOfPayments,"",ROW()-ROW(PaymentSchedule[[#Headers],[PMT NO]])),"")</f>
        <v>128</v>
      </c>
      <c r="C138" s="430">
        <f ca="1">IF(PaymentSchedule[[#This Row],[PMT NO]]&lt;&gt;"",EOMONTH(LoanStartDate,ROW(PaymentSchedule[[#This Row],[PMT NO]])-ROW(PaymentSchedule[[#Headers],[PMT NO]])-2)+DAY(LoanStartDate),"")</f>
        <v>47818</v>
      </c>
      <c r="D138" s="431">
        <f ca="1">IF(PaymentSchedule[[#This Row],[PMT NO]]&lt;&gt;"",IF(ROW()-ROW(PaymentSchedule[[#Headers],[BEGINNING BALANCE]])=1,LoanAmount,INDEX(PaymentSchedule[ENDING BALANCE],ROW()-ROW(PaymentSchedule[[#Headers],[BEGINNING BALANCE]])-1)),"")</f>
        <v>1738087.9420225897</v>
      </c>
      <c r="E138" s="431">
        <f ca="1">IF(PaymentSchedule[[#This Row],[PMT NO]]&lt;&gt;"",ScheduledPayment,"")</f>
        <v>9423.6334368029093</v>
      </c>
      <c r="F13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8" s="431">
        <f ca="1">IF(PaymentSchedule[[#This Row],[PMT NO]]&lt;&gt;"",PaymentSchedule[[#This Row],[TOTAL PAYMENT]]-PaymentSchedule[[#This Row],[INTEREST]],"")</f>
        <v>5802.6168909225144</v>
      </c>
      <c r="I138" s="431">
        <f ca="1">IF(PaymentSchedule[[#This Row],[PMT NO]]&lt;&gt;"",PaymentSchedule[[#This Row],[BEGINNING BALANCE]]*(InterestRate/PaymentsPerYear),"")</f>
        <v>3621.0165458803954</v>
      </c>
      <c r="J13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1732285.3251316673</v>
      </c>
      <c r="K138" s="431">
        <f ca="1">IF(PaymentSchedule[[#This Row],[PMT NO]]&lt;&gt;"",SUM(INDEX(PaymentSchedule[INTEREST],1,1):PaymentSchedule[[#This Row],[INTEREST]]),"")</f>
        <v>553510.4050424376</v>
      </c>
    </row>
    <row r="139" spans="2:11">
      <c r="B139" s="432">
        <f ca="1">IF(LoanIsGood,IF(ROW()-ROW(PaymentSchedule[[#Headers],[PMT NO]])&gt;ScheduledNumberOfPayments,"",ROW()-ROW(PaymentSchedule[[#Headers],[PMT NO]])),"")</f>
        <v>129</v>
      </c>
      <c r="C139" s="430">
        <f ca="1">IF(PaymentSchedule[[#This Row],[PMT NO]]&lt;&gt;"",EOMONTH(LoanStartDate,ROW(PaymentSchedule[[#This Row],[PMT NO]])-ROW(PaymentSchedule[[#Headers],[PMT NO]])-2)+DAY(LoanStartDate),"")</f>
        <v>47849</v>
      </c>
      <c r="D139" s="431">
        <f ca="1">IF(PaymentSchedule[[#This Row],[PMT NO]]&lt;&gt;"",IF(ROW()-ROW(PaymentSchedule[[#Headers],[BEGINNING BALANCE]])=1,LoanAmount,INDEX(PaymentSchedule[ENDING BALANCE],ROW()-ROW(PaymentSchedule[[#Headers],[BEGINNING BALANCE]])-1)),"")</f>
        <v>1732285.3251316673</v>
      </c>
      <c r="E139" s="431">
        <f ca="1">IF(PaymentSchedule[[#This Row],[PMT NO]]&lt;&gt;"",ScheduledPayment,"")</f>
        <v>9423.6334368029093</v>
      </c>
      <c r="F13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3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39" s="431">
        <f ca="1">IF(PaymentSchedule[[#This Row],[PMT NO]]&lt;&gt;"",PaymentSchedule[[#This Row],[TOTAL PAYMENT]]-PaymentSchedule[[#This Row],[INTEREST]],"")</f>
        <v>5814.7056761119356</v>
      </c>
      <c r="I139" s="431">
        <f ca="1">IF(PaymentSchedule[[#This Row],[PMT NO]]&lt;&gt;"",PaymentSchedule[[#This Row],[BEGINNING BALANCE]]*(InterestRate/PaymentsPerYear),"")</f>
        <v>3608.9277606909736</v>
      </c>
      <c r="J13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1726470.6194555555</v>
      </c>
      <c r="K139" s="431">
        <f ca="1">IF(PaymentSchedule[[#This Row],[PMT NO]]&lt;&gt;"",SUM(INDEX(PaymentSchedule[INTEREST],1,1):PaymentSchedule[[#This Row],[INTEREST]]),"")</f>
        <v>557119.33280312852</v>
      </c>
    </row>
    <row r="140" spans="2:11">
      <c r="B140" s="432">
        <f ca="1">IF(LoanIsGood,IF(ROW()-ROW(PaymentSchedule[[#Headers],[PMT NO]])&gt;ScheduledNumberOfPayments,"",ROW()-ROW(PaymentSchedule[[#Headers],[PMT NO]])),"")</f>
        <v>130</v>
      </c>
      <c r="C140" s="430">
        <f ca="1">IF(PaymentSchedule[[#This Row],[PMT NO]]&lt;&gt;"",EOMONTH(LoanStartDate,ROW(PaymentSchedule[[#This Row],[PMT NO]])-ROW(PaymentSchedule[[#Headers],[PMT NO]])-2)+DAY(LoanStartDate),"")</f>
        <v>47880</v>
      </c>
      <c r="D140" s="431">
        <f ca="1">IF(PaymentSchedule[[#This Row],[PMT NO]]&lt;&gt;"",IF(ROW()-ROW(PaymentSchedule[[#Headers],[BEGINNING BALANCE]])=1,LoanAmount,INDEX(PaymentSchedule[ENDING BALANCE],ROW()-ROW(PaymentSchedule[[#Headers],[BEGINNING BALANCE]])-1)),"")</f>
        <v>1726470.6194555555</v>
      </c>
      <c r="E140" s="431">
        <f ca="1">IF(PaymentSchedule[[#This Row],[PMT NO]]&lt;&gt;"",ScheduledPayment,"")</f>
        <v>9423.6334368029093</v>
      </c>
      <c r="F14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0" s="431">
        <f ca="1">IF(PaymentSchedule[[#This Row],[PMT NO]]&lt;&gt;"",PaymentSchedule[[#This Row],[TOTAL PAYMENT]]-PaymentSchedule[[#This Row],[INTEREST]],"")</f>
        <v>5826.8196462705018</v>
      </c>
      <c r="I140" s="431">
        <f ca="1">IF(PaymentSchedule[[#This Row],[PMT NO]]&lt;&gt;"",PaymentSchedule[[#This Row],[BEGINNING BALANCE]]*(InterestRate/PaymentsPerYear),"")</f>
        <v>3596.813790532407</v>
      </c>
      <c r="J14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1720643.799809285</v>
      </c>
      <c r="K140" s="431">
        <f ca="1">IF(PaymentSchedule[[#This Row],[PMT NO]]&lt;&gt;"",SUM(INDEX(PaymentSchedule[INTEREST],1,1):PaymentSchedule[[#This Row],[INTEREST]]),"")</f>
        <v>560716.14659366093</v>
      </c>
    </row>
    <row r="141" spans="2:11">
      <c r="B141" s="432">
        <f ca="1">IF(LoanIsGood,IF(ROW()-ROW(PaymentSchedule[[#Headers],[PMT NO]])&gt;ScheduledNumberOfPayments,"",ROW()-ROW(PaymentSchedule[[#Headers],[PMT NO]])),"")</f>
        <v>131</v>
      </c>
      <c r="C141" s="430">
        <f ca="1">IF(PaymentSchedule[[#This Row],[PMT NO]]&lt;&gt;"",EOMONTH(LoanStartDate,ROW(PaymentSchedule[[#This Row],[PMT NO]])-ROW(PaymentSchedule[[#Headers],[PMT NO]])-2)+DAY(LoanStartDate),"")</f>
        <v>47908</v>
      </c>
      <c r="D141" s="431">
        <f ca="1">IF(PaymentSchedule[[#This Row],[PMT NO]]&lt;&gt;"",IF(ROW()-ROW(PaymentSchedule[[#Headers],[BEGINNING BALANCE]])=1,LoanAmount,INDEX(PaymentSchedule[ENDING BALANCE],ROW()-ROW(PaymentSchedule[[#Headers],[BEGINNING BALANCE]])-1)),"")</f>
        <v>1720643.799809285</v>
      </c>
      <c r="E141" s="431">
        <f ca="1">IF(PaymentSchedule[[#This Row],[PMT NO]]&lt;&gt;"",ScheduledPayment,"")</f>
        <v>9423.6334368029093</v>
      </c>
      <c r="F14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1" s="431">
        <f ca="1">IF(PaymentSchedule[[#This Row],[PMT NO]]&lt;&gt;"",PaymentSchedule[[#This Row],[TOTAL PAYMENT]]-PaymentSchedule[[#This Row],[INTEREST]],"")</f>
        <v>5838.9588538668995</v>
      </c>
      <c r="I141" s="431">
        <f ca="1">IF(PaymentSchedule[[#This Row],[PMT NO]]&lt;&gt;"",PaymentSchedule[[#This Row],[BEGINNING BALANCE]]*(InterestRate/PaymentsPerYear),"")</f>
        <v>3584.6745829360102</v>
      </c>
      <c r="J14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1714804.8409554181</v>
      </c>
      <c r="K141" s="431">
        <f ca="1">IF(PaymentSchedule[[#This Row],[PMT NO]]&lt;&gt;"",SUM(INDEX(PaymentSchedule[INTEREST],1,1):PaymentSchedule[[#This Row],[INTEREST]]),"")</f>
        <v>564300.82117659692</v>
      </c>
    </row>
    <row r="142" spans="2:11">
      <c r="B142" s="432">
        <f ca="1">IF(LoanIsGood,IF(ROW()-ROW(PaymentSchedule[[#Headers],[PMT NO]])&gt;ScheduledNumberOfPayments,"",ROW()-ROW(PaymentSchedule[[#Headers],[PMT NO]])),"")</f>
        <v>132</v>
      </c>
      <c r="C142" s="430">
        <f ca="1">IF(PaymentSchedule[[#This Row],[PMT NO]]&lt;&gt;"",EOMONTH(LoanStartDate,ROW(PaymentSchedule[[#This Row],[PMT NO]])-ROW(PaymentSchedule[[#Headers],[PMT NO]])-2)+DAY(LoanStartDate),"")</f>
        <v>47939</v>
      </c>
      <c r="D142" s="431">
        <f ca="1">IF(PaymentSchedule[[#This Row],[PMT NO]]&lt;&gt;"",IF(ROW()-ROW(PaymentSchedule[[#Headers],[BEGINNING BALANCE]])=1,LoanAmount,INDEX(PaymentSchedule[ENDING BALANCE],ROW()-ROW(PaymentSchedule[[#Headers],[BEGINNING BALANCE]])-1)),"")</f>
        <v>1714804.8409554181</v>
      </c>
      <c r="E142" s="431">
        <f ca="1">IF(PaymentSchedule[[#This Row],[PMT NO]]&lt;&gt;"",ScheduledPayment,"")</f>
        <v>9423.6334368029093</v>
      </c>
      <c r="F14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2" s="431">
        <f ca="1">IF(PaymentSchedule[[#This Row],[PMT NO]]&lt;&gt;"",PaymentSchedule[[#This Row],[TOTAL PAYMENT]]-PaymentSchedule[[#This Row],[INTEREST]],"")</f>
        <v>5851.123351479122</v>
      </c>
      <c r="I142" s="431">
        <f ca="1">IF(PaymentSchedule[[#This Row],[PMT NO]]&lt;&gt;"",PaymentSchedule[[#This Row],[BEGINNING BALANCE]]*(InterestRate/PaymentsPerYear),"")</f>
        <v>3572.5100853237877</v>
      </c>
      <c r="J14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1708953.7176039389</v>
      </c>
      <c r="K142" s="431">
        <f ca="1">IF(PaymentSchedule[[#This Row],[PMT NO]]&lt;&gt;"",SUM(INDEX(PaymentSchedule[INTEREST],1,1):PaymentSchedule[[#This Row],[INTEREST]]),"")</f>
        <v>567873.33126192074</v>
      </c>
    </row>
    <row r="143" spans="2:11">
      <c r="B143" s="432">
        <f ca="1">IF(LoanIsGood,IF(ROW()-ROW(PaymentSchedule[[#Headers],[PMT NO]])&gt;ScheduledNumberOfPayments,"",ROW()-ROW(PaymentSchedule[[#Headers],[PMT NO]])),"")</f>
        <v>133</v>
      </c>
      <c r="C143" s="430">
        <f ca="1">IF(PaymentSchedule[[#This Row],[PMT NO]]&lt;&gt;"",EOMONTH(LoanStartDate,ROW(PaymentSchedule[[#This Row],[PMT NO]])-ROW(PaymentSchedule[[#Headers],[PMT NO]])-2)+DAY(LoanStartDate),"")</f>
        <v>47969</v>
      </c>
      <c r="D143" s="431">
        <f ca="1">IF(PaymentSchedule[[#This Row],[PMT NO]]&lt;&gt;"",IF(ROW()-ROW(PaymentSchedule[[#Headers],[BEGINNING BALANCE]])=1,LoanAmount,INDEX(PaymentSchedule[ENDING BALANCE],ROW()-ROW(PaymentSchedule[[#Headers],[BEGINNING BALANCE]])-1)),"")</f>
        <v>1708953.7176039389</v>
      </c>
      <c r="E143" s="431">
        <f ca="1">IF(PaymentSchedule[[#This Row],[PMT NO]]&lt;&gt;"",ScheduledPayment,"")</f>
        <v>9423.6334368029093</v>
      </c>
      <c r="F14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3" s="431">
        <f ca="1">IF(PaymentSchedule[[#This Row],[PMT NO]]&lt;&gt;"",PaymentSchedule[[#This Row],[TOTAL PAYMENT]]-PaymentSchedule[[#This Row],[INTEREST]],"")</f>
        <v>5863.313191794703</v>
      </c>
      <c r="I143" s="431">
        <f ca="1">IF(PaymentSchedule[[#This Row],[PMT NO]]&lt;&gt;"",PaymentSchedule[[#This Row],[BEGINNING BALANCE]]*(InterestRate/PaymentsPerYear),"")</f>
        <v>3560.3202450082058</v>
      </c>
      <c r="J14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1703090.4044121441</v>
      </c>
      <c r="K143" s="431">
        <f ca="1">IF(PaymentSchedule[[#This Row],[PMT NO]]&lt;&gt;"",SUM(INDEX(PaymentSchedule[INTEREST],1,1):PaymentSchedule[[#This Row],[INTEREST]]),"")</f>
        <v>571433.65150692896</v>
      </c>
    </row>
    <row r="144" spans="2:11">
      <c r="B144" s="432">
        <f ca="1">IF(LoanIsGood,IF(ROW()-ROW(PaymentSchedule[[#Headers],[PMT NO]])&gt;ScheduledNumberOfPayments,"",ROW()-ROW(PaymentSchedule[[#Headers],[PMT NO]])),"")</f>
        <v>134</v>
      </c>
      <c r="C144" s="430">
        <f ca="1">IF(PaymentSchedule[[#This Row],[PMT NO]]&lt;&gt;"",EOMONTH(LoanStartDate,ROW(PaymentSchedule[[#This Row],[PMT NO]])-ROW(PaymentSchedule[[#Headers],[PMT NO]])-2)+DAY(LoanStartDate),"")</f>
        <v>48000</v>
      </c>
      <c r="D144" s="431">
        <f ca="1">IF(PaymentSchedule[[#This Row],[PMT NO]]&lt;&gt;"",IF(ROW()-ROW(PaymentSchedule[[#Headers],[BEGINNING BALANCE]])=1,LoanAmount,INDEX(PaymentSchedule[ENDING BALANCE],ROW()-ROW(PaymentSchedule[[#Headers],[BEGINNING BALANCE]])-1)),"")</f>
        <v>1703090.4044121441</v>
      </c>
      <c r="E144" s="431">
        <f ca="1">IF(PaymentSchedule[[#This Row],[PMT NO]]&lt;&gt;"",ScheduledPayment,"")</f>
        <v>9423.6334368029093</v>
      </c>
      <c r="F14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4" s="431">
        <f ca="1">IF(PaymentSchedule[[#This Row],[PMT NO]]&lt;&gt;"",PaymentSchedule[[#This Row],[TOTAL PAYMENT]]-PaymentSchedule[[#This Row],[INTEREST]],"")</f>
        <v>5875.5284276109423</v>
      </c>
      <c r="I144" s="431">
        <f ca="1">IF(PaymentSchedule[[#This Row],[PMT NO]]&lt;&gt;"",PaymentSchedule[[#This Row],[BEGINNING BALANCE]]*(InterestRate/PaymentsPerYear),"")</f>
        <v>3548.1050091919669</v>
      </c>
      <c r="J14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1697214.8759845332</v>
      </c>
      <c r="K144" s="431">
        <f ca="1">IF(PaymentSchedule[[#This Row],[PMT NO]]&lt;&gt;"",SUM(INDEX(PaymentSchedule[INTEREST],1,1):PaymentSchedule[[#This Row],[INTEREST]]),"")</f>
        <v>574981.75651612098</v>
      </c>
    </row>
    <row r="145" spans="2:11">
      <c r="B145" s="432">
        <f ca="1">IF(LoanIsGood,IF(ROW()-ROW(PaymentSchedule[[#Headers],[PMT NO]])&gt;ScheduledNumberOfPayments,"",ROW()-ROW(PaymentSchedule[[#Headers],[PMT NO]])),"")</f>
        <v>135</v>
      </c>
      <c r="C145" s="430">
        <f ca="1">IF(PaymentSchedule[[#This Row],[PMT NO]]&lt;&gt;"",EOMONTH(LoanStartDate,ROW(PaymentSchedule[[#This Row],[PMT NO]])-ROW(PaymentSchedule[[#Headers],[PMT NO]])-2)+DAY(LoanStartDate),"")</f>
        <v>48030</v>
      </c>
      <c r="D145" s="431">
        <f ca="1">IF(PaymentSchedule[[#This Row],[PMT NO]]&lt;&gt;"",IF(ROW()-ROW(PaymentSchedule[[#Headers],[BEGINNING BALANCE]])=1,LoanAmount,INDEX(PaymentSchedule[ENDING BALANCE],ROW()-ROW(PaymentSchedule[[#Headers],[BEGINNING BALANCE]])-1)),"")</f>
        <v>1697214.8759845332</v>
      </c>
      <c r="E145" s="431">
        <f ca="1">IF(PaymentSchedule[[#This Row],[PMT NO]]&lt;&gt;"",ScheduledPayment,"")</f>
        <v>9423.6334368029093</v>
      </c>
      <c r="F14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5" s="431">
        <f ca="1">IF(PaymentSchedule[[#This Row],[PMT NO]]&lt;&gt;"",PaymentSchedule[[#This Row],[TOTAL PAYMENT]]-PaymentSchedule[[#This Row],[INTEREST]],"")</f>
        <v>5887.7691118351322</v>
      </c>
      <c r="I145" s="431">
        <f ca="1">IF(PaymentSchedule[[#This Row],[PMT NO]]&lt;&gt;"",PaymentSchedule[[#This Row],[BEGINNING BALANCE]]*(InterestRate/PaymentsPerYear),"")</f>
        <v>3535.8643249677775</v>
      </c>
      <c r="J14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1691327.1068726981</v>
      </c>
      <c r="K145" s="431">
        <f ca="1">IF(PaymentSchedule[[#This Row],[PMT NO]]&lt;&gt;"",SUM(INDEX(PaymentSchedule[INTEREST],1,1):PaymentSchedule[[#This Row],[INTEREST]]),"")</f>
        <v>578517.6208410887</v>
      </c>
    </row>
    <row r="146" spans="2:11">
      <c r="B146" s="432">
        <f ca="1">IF(LoanIsGood,IF(ROW()-ROW(PaymentSchedule[[#Headers],[PMT NO]])&gt;ScheduledNumberOfPayments,"",ROW()-ROW(PaymentSchedule[[#Headers],[PMT NO]])),"")</f>
        <v>136</v>
      </c>
      <c r="C146" s="430">
        <f ca="1">IF(PaymentSchedule[[#This Row],[PMT NO]]&lt;&gt;"",EOMONTH(LoanStartDate,ROW(PaymentSchedule[[#This Row],[PMT NO]])-ROW(PaymentSchedule[[#Headers],[PMT NO]])-2)+DAY(LoanStartDate),"")</f>
        <v>48061</v>
      </c>
      <c r="D146" s="431">
        <f ca="1">IF(PaymentSchedule[[#This Row],[PMT NO]]&lt;&gt;"",IF(ROW()-ROW(PaymentSchedule[[#Headers],[BEGINNING BALANCE]])=1,LoanAmount,INDEX(PaymentSchedule[ENDING BALANCE],ROW()-ROW(PaymentSchedule[[#Headers],[BEGINNING BALANCE]])-1)),"")</f>
        <v>1691327.1068726981</v>
      </c>
      <c r="E146" s="431">
        <f ca="1">IF(PaymentSchedule[[#This Row],[PMT NO]]&lt;&gt;"",ScheduledPayment,"")</f>
        <v>9423.6334368029093</v>
      </c>
      <c r="F14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6" s="431">
        <f ca="1">IF(PaymentSchedule[[#This Row],[PMT NO]]&lt;&gt;"",PaymentSchedule[[#This Row],[TOTAL PAYMENT]]-PaymentSchedule[[#This Row],[INTEREST]],"")</f>
        <v>5900.0352974847883</v>
      </c>
      <c r="I146" s="431">
        <f ca="1">IF(PaymentSchedule[[#This Row],[PMT NO]]&lt;&gt;"",PaymentSchedule[[#This Row],[BEGINNING BALANCE]]*(InterestRate/PaymentsPerYear),"")</f>
        <v>3523.598139318121</v>
      </c>
      <c r="J14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1685427.0715752132</v>
      </c>
      <c r="K146" s="431">
        <f ca="1">IF(PaymentSchedule[[#This Row],[PMT NO]]&lt;&gt;"",SUM(INDEX(PaymentSchedule[INTEREST],1,1):PaymentSchedule[[#This Row],[INTEREST]]),"")</f>
        <v>582041.21898040688</v>
      </c>
    </row>
    <row r="147" spans="2:11">
      <c r="B147" s="432">
        <f ca="1">IF(LoanIsGood,IF(ROW()-ROW(PaymentSchedule[[#Headers],[PMT NO]])&gt;ScheduledNumberOfPayments,"",ROW()-ROW(PaymentSchedule[[#Headers],[PMT NO]])),"")</f>
        <v>137</v>
      </c>
      <c r="C147" s="430">
        <f ca="1">IF(PaymentSchedule[[#This Row],[PMT NO]]&lt;&gt;"",EOMONTH(LoanStartDate,ROW(PaymentSchedule[[#This Row],[PMT NO]])-ROW(PaymentSchedule[[#Headers],[PMT NO]])-2)+DAY(LoanStartDate),"")</f>
        <v>48092</v>
      </c>
      <c r="D147" s="431">
        <f ca="1">IF(PaymentSchedule[[#This Row],[PMT NO]]&lt;&gt;"",IF(ROW()-ROW(PaymentSchedule[[#Headers],[BEGINNING BALANCE]])=1,LoanAmount,INDEX(PaymentSchedule[ENDING BALANCE],ROW()-ROW(PaymentSchedule[[#Headers],[BEGINNING BALANCE]])-1)),"")</f>
        <v>1685427.0715752132</v>
      </c>
      <c r="E147" s="431">
        <f ca="1">IF(PaymentSchedule[[#This Row],[PMT NO]]&lt;&gt;"",ScheduledPayment,"")</f>
        <v>9423.6334368029093</v>
      </c>
      <c r="F14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7" s="431">
        <f ca="1">IF(PaymentSchedule[[#This Row],[PMT NO]]&lt;&gt;"",PaymentSchedule[[#This Row],[TOTAL PAYMENT]]-PaymentSchedule[[#This Row],[INTEREST]],"")</f>
        <v>5912.3270376878818</v>
      </c>
      <c r="I147" s="431">
        <f ca="1">IF(PaymentSchedule[[#This Row],[PMT NO]]&lt;&gt;"",PaymentSchedule[[#This Row],[BEGINNING BALANCE]]*(InterestRate/PaymentsPerYear),"")</f>
        <v>3511.3063991150275</v>
      </c>
      <c r="J14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1679514.7445375253</v>
      </c>
      <c r="K147" s="431">
        <f ca="1">IF(PaymentSchedule[[#This Row],[PMT NO]]&lt;&gt;"",SUM(INDEX(PaymentSchedule[INTEREST],1,1):PaymentSchedule[[#This Row],[INTEREST]]),"")</f>
        <v>585552.52537952189</v>
      </c>
    </row>
    <row r="148" spans="2:11">
      <c r="B148" s="432">
        <f ca="1">IF(LoanIsGood,IF(ROW()-ROW(PaymentSchedule[[#Headers],[PMT NO]])&gt;ScheduledNumberOfPayments,"",ROW()-ROW(PaymentSchedule[[#Headers],[PMT NO]])),"")</f>
        <v>138</v>
      </c>
      <c r="C148" s="430">
        <f ca="1">IF(PaymentSchedule[[#This Row],[PMT NO]]&lt;&gt;"",EOMONTH(LoanStartDate,ROW(PaymentSchedule[[#This Row],[PMT NO]])-ROW(PaymentSchedule[[#Headers],[PMT NO]])-2)+DAY(LoanStartDate),"")</f>
        <v>48122</v>
      </c>
      <c r="D148" s="431">
        <f ca="1">IF(PaymentSchedule[[#This Row],[PMT NO]]&lt;&gt;"",IF(ROW()-ROW(PaymentSchedule[[#Headers],[BEGINNING BALANCE]])=1,LoanAmount,INDEX(PaymentSchedule[ENDING BALANCE],ROW()-ROW(PaymentSchedule[[#Headers],[BEGINNING BALANCE]])-1)),"")</f>
        <v>1679514.7445375253</v>
      </c>
      <c r="E148" s="431">
        <f ca="1">IF(PaymentSchedule[[#This Row],[PMT NO]]&lt;&gt;"",ScheduledPayment,"")</f>
        <v>9423.6334368029093</v>
      </c>
      <c r="F14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8" s="431">
        <f ca="1">IF(PaymentSchedule[[#This Row],[PMT NO]]&lt;&gt;"",PaymentSchedule[[#This Row],[TOTAL PAYMENT]]-PaymentSchedule[[#This Row],[INTEREST]],"")</f>
        <v>5924.6443856830647</v>
      </c>
      <c r="I148" s="431">
        <f ca="1">IF(PaymentSchedule[[#This Row],[PMT NO]]&lt;&gt;"",PaymentSchedule[[#This Row],[BEGINNING BALANCE]]*(InterestRate/PaymentsPerYear),"")</f>
        <v>3498.9890511198446</v>
      </c>
      <c r="J14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1673590.1001518422</v>
      </c>
      <c r="K148" s="431">
        <f ca="1">IF(PaymentSchedule[[#This Row],[PMT NO]]&lt;&gt;"",SUM(INDEX(PaymentSchedule[INTEREST],1,1):PaymentSchedule[[#This Row],[INTEREST]]),"")</f>
        <v>589051.51443064178</v>
      </c>
    </row>
    <row r="149" spans="2:11">
      <c r="B149" s="432">
        <f ca="1">IF(LoanIsGood,IF(ROW()-ROW(PaymentSchedule[[#Headers],[PMT NO]])&gt;ScheduledNumberOfPayments,"",ROW()-ROW(PaymentSchedule[[#Headers],[PMT NO]])),"")</f>
        <v>139</v>
      </c>
      <c r="C149" s="430">
        <f ca="1">IF(PaymentSchedule[[#This Row],[PMT NO]]&lt;&gt;"",EOMONTH(LoanStartDate,ROW(PaymentSchedule[[#This Row],[PMT NO]])-ROW(PaymentSchedule[[#Headers],[PMT NO]])-2)+DAY(LoanStartDate),"")</f>
        <v>48153</v>
      </c>
      <c r="D149" s="431">
        <f ca="1">IF(PaymentSchedule[[#This Row],[PMT NO]]&lt;&gt;"",IF(ROW()-ROW(PaymentSchedule[[#Headers],[BEGINNING BALANCE]])=1,LoanAmount,INDEX(PaymentSchedule[ENDING BALANCE],ROW()-ROW(PaymentSchedule[[#Headers],[BEGINNING BALANCE]])-1)),"")</f>
        <v>1673590.1001518422</v>
      </c>
      <c r="E149" s="431">
        <f ca="1">IF(PaymentSchedule[[#This Row],[PMT NO]]&lt;&gt;"",ScheduledPayment,"")</f>
        <v>9423.6334368029093</v>
      </c>
      <c r="F14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4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49" s="431">
        <f ca="1">IF(PaymentSchedule[[#This Row],[PMT NO]]&lt;&gt;"",PaymentSchedule[[#This Row],[TOTAL PAYMENT]]-PaymentSchedule[[#This Row],[INTEREST]],"")</f>
        <v>5936.9873948199047</v>
      </c>
      <c r="I149" s="431">
        <f ca="1">IF(PaymentSchedule[[#This Row],[PMT NO]]&lt;&gt;"",PaymentSchedule[[#This Row],[BEGINNING BALANCE]]*(InterestRate/PaymentsPerYear),"")</f>
        <v>3486.6460419830046</v>
      </c>
      <c r="J14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1667653.1127570223</v>
      </c>
      <c r="K149" s="431">
        <f ca="1">IF(PaymentSchedule[[#This Row],[PMT NO]]&lt;&gt;"",SUM(INDEX(PaymentSchedule[INTEREST],1,1):PaymentSchedule[[#This Row],[INTEREST]]),"")</f>
        <v>592538.16047262482</v>
      </c>
    </row>
    <row r="150" spans="2:11">
      <c r="B150" s="432">
        <f ca="1">IF(LoanIsGood,IF(ROW()-ROW(PaymentSchedule[[#Headers],[PMT NO]])&gt;ScheduledNumberOfPayments,"",ROW()-ROW(PaymentSchedule[[#Headers],[PMT NO]])),"")</f>
        <v>140</v>
      </c>
      <c r="C150" s="430">
        <f ca="1">IF(PaymentSchedule[[#This Row],[PMT NO]]&lt;&gt;"",EOMONTH(LoanStartDate,ROW(PaymentSchedule[[#This Row],[PMT NO]])-ROW(PaymentSchedule[[#Headers],[PMT NO]])-2)+DAY(LoanStartDate),"")</f>
        <v>48183</v>
      </c>
      <c r="D150" s="431">
        <f ca="1">IF(PaymentSchedule[[#This Row],[PMT NO]]&lt;&gt;"",IF(ROW()-ROW(PaymentSchedule[[#Headers],[BEGINNING BALANCE]])=1,LoanAmount,INDEX(PaymentSchedule[ENDING BALANCE],ROW()-ROW(PaymentSchedule[[#Headers],[BEGINNING BALANCE]])-1)),"")</f>
        <v>1667653.1127570223</v>
      </c>
      <c r="E150" s="431">
        <f ca="1">IF(PaymentSchedule[[#This Row],[PMT NO]]&lt;&gt;"",ScheduledPayment,"")</f>
        <v>9423.6334368029093</v>
      </c>
      <c r="F15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0" s="431">
        <f ca="1">IF(PaymentSchedule[[#This Row],[PMT NO]]&lt;&gt;"",PaymentSchedule[[#This Row],[TOTAL PAYMENT]]-PaymentSchedule[[#This Row],[INTEREST]],"")</f>
        <v>5949.3561185591134</v>
      </c>
      <c r="I150" s="431">
        <f ca="1">IF(PaymentSchedule[[#This Row],[PMT NO]]&lt;&gt;"",PaymentSchedule[[#This Row],[BEGINNING BALANCE]]*(InterestRate/PaymentsPerYear),"")</f>
        <v>3474.2773182437963</v>
      </c>
      <c r="J15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1661703.7566384631</v>
      </c>
      <c r="K150" s="431">
        <f ca="1">IF(PaymentSchedule[[#This Row],[PMT NO]]&lt;&gt;"",SUM(INDEX(PaymentSchedule[INTEREST],1,1):PaymentSchedule[[#This Row],[INTEREST]]),"")</f>
        <v>596012.43779086857</v>
      </c>
    </row>
    <row r="151" spans="2:11">
      <c r="B151" s="432">
        <f ca="1">IF(LoanIsGood,IF(ROW()-ROW(PaymentSchedule[[#Headers],[PMT NO]])&gt;ScheduledNumberOfPayments,"",ROW()-ROW(PaymentSchedule[[#Headers],[PMT NO]])),"")</f>
        <v>141</v>
      </c>
      <c r="C151" s="430">
        <f ca="1">IF(PaymentSchedule[[#This Row],[PMT NO]]&lt;&gt;"",EOMONTH(LoanStartDate,ROW(PaymentSchedule[[#This Row],[PMT NO]])-ROW(PaymentSchedule[[#Headers],[PMT NO]])-2)+DAY(LoanStartDate),"")</f>
        <v>48214</v>
      </c>
      <c r="D151" s="431">
        <f ca="1">IF(PaymentSchedule[[#This Row],[PMT NO]]&lt;&gt;"",IF(ROW()-ROW(PaymentSchedule[[#Headers],[BEGINNING BALANCE]])=1,LoanAmount,INDEX(PaymentSchedule[ENDING BALANCE],ROW()-ROW(PaymentSchedule[[#Headers],[BEGINNING BALANCE]])-1)),"")</f>
        <v>1661703.7566384631</v>
      </c>
      <c r="E151" s="431">
        <f ca="1">IF(PaymentSchedule[[#This Row],[PMT NO]]&lt;&gt;"",ScheduledPayment,"")</f>
        <v>9423.6334368029093</v>
      </c>
      <c r="F15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1" s="431">
        <f ca="1">IF(PaymentSchedule[[#This Row],[PMT NO]]&lt;&gt;"",PaymentSchedule[[#This Row],[TOTAL PAYMENT]]-PaymentSchedule[[#This Row],[INTEREST]],"")</f>
        <v>5961.7506104727781</v>
      </c>
      <c r="I151" s="431">
        <f ca="1">IF(PaymentSchedule[[#This Row],[PMT NO]]&lt;&gt;"",PaymentSchedule[[#This Row],[BEGINNING BALANCE]]*(InterestRate/PaymentsPerYear),"")</f>
        <v>3461.8828263301316</v>
      </c>
      <c r="J15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1655742.0060279903</v>
      </c>
      <c r="K151" s="431">
        <f ca="1">IF(PaymentSchedule[[#This Row],[PMT NO]]&lt;&gt;"",SUM(INDEX(PaymentSchedule[INTEREST],1,1):PaymentSchedule[[#This Row],[INTEREST]]),"")</f>
        <v>599474.32061719871</v>
      </c>
    </row>
    <row r="152" spans="2:11">
      <c r="B152" s="432">
        <f ca="1">IF(LoanIsGood,IF(ROW()-ROW(PaymentSchedule[[#Headers],[PMT NO]])&gt;ScheduledNumberOfPayments,"",ROW()-ROW(PaymentSchedule[[#Headers],[PMT NO]])),"")</f>
        <v>142</v>
      </c>
      <c r="C152" s="430">
        <f ca="1">IF(PaymentSchedule[[#This Row],[PMT NO]]&lt;&gt;"",EOMONTH(LoanStartDate,ROW(PaymentSchedule[[#This Row],[PMT NO]])-ROW(PaymentSchedule[[#Headers],[PMT NO]])-2)+DAY(LoanStartDate),"")</f>
        <v>48245</v>
      </c>
      <c r="D152" s="431">
        <f ca="1">IF(PaymentSchedule[[#This Row],[PMT NO]]&lt;&gt;"",IF(ROW()-ROW(PaymentSchedule[[#Headers],[BEGINNING BALANCE]])=1,LoanAmount,INDEX(PaymentSchedule[ENDING BALANCE],ROW()-ROW(PaymentSchedule[[#Headers],[BEGINNING BALANCE]])-1)),"")</f>
        <v>1655742.0060279903</v>
      </c>
      <c r="E152" s="431">
        <f ca="1">IF(PaymentSchedule[[#This Row],[PMT NO]]&lt;&gt;"",ScheduledPayment,"")</f>
        <v>9423.6334368029093</v>
      </c>
      <c r="F15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2" s="431">
        <f ca="1">IF(PaymentSchedule[[#This Row],[PMT NO]]&lt;&gt;"",PaymentSchedule[[#This Row],[TOTAL PAYMENT]]-PaymentSchedule[[#This Row],[INTEREST]],"")</f>
        <v>5974.1709242445959</v>
      </c>
      <c r="I152" s="431">
        <f ca="1">IF(PaymentSchedule[[#This Row],[PMT NO]]&lt;&gt;"",PaymentSchedule[[#This Row],[BEGINNING BALANCE]]*(InterestRate/PaymentsPerYear),"")</f>
        <v>3449.4625125583129</v>
      </c>
      <c r="J15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1649767.8351037456</v>
      </c>
      <c r="K152" s="431">
        <f ca="1">IF(PaymentSchedule[[#This Row],[PMT NO]]&lt;&gt;"",SUM(INDEX(PaymentSchedule[INTEREST],1,1):PaymentSchedule[[#This Row],[INTEREST]]),"")</f>
        <v>602923.78312975704</v>
      </c>
    </row>
    <row r="153" spans="2:11">
      <c r="B153" s="432">
        <f ca="1">IF(LoanIsGood,IF(ROW()-ROW(PaymentSchedule[[#Headers],[PMT NO]])&gt;ScheduledNumberOfPayments,"",ROW()-ROW(PaymentSchedule[[#Headers],[PMT NO]])),"")</f>
        <v>143</v>
      </c>
      <c r="C153" s="430">
        <f ca="1">IF(PaymentSchedule[[#This Row],[PMT NO]]&lt;&gt;"",EOMONTH(LoanStartDate,ROW(PaymentSchedule[[#This Row],[PMT NO]])-ROW(PaymentSchedule[[#Headers],[PMT NO]])-2)+DAY(LoanStartDate),"")</f>
        <v>48274</v>
      </c>
      <c r="D153" s="431">
        <f ca="1">IF(PaymentSchedule[[#This Row],[PMT NO]]&lt;&gt;"",IF(ROW()-ROW(PaymentSchedule[[#Headers],[BEGINNING BALANCE]])=1,LoanAmount,INDEX(PaymentSchedule[ENDING BALANCE],ROW()-ROW(PaymentSchedule[[#Headers],[BEGINNING BALANCE]])-1)),"")</f>
        <v>1649767.8351037456</v>
      </c>
      <c r="E153" s="431">
        <f ca="1">IF(PaymentSchedule[[#This Row],[PMT NO]]&lt;&gt;"",ScheduledPayment,"")</f>
        <v>9423.6334368029093</v>
      </c>
      <c r="F15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3" s="431">
        <f ca="1">IF(PaymentSchedule[[#This Row],[PMT NO]]&lt;&gt;"",PaymentSchedule[[#This Row],[TOTAL PAYMENT]]-PaymentSchedule[[#This Row],[INTEREST]],"")</f>
        <v>5986.6171136701059</v>
      </c>
      <c r="I153" s="431">
        <f ca="1">IF(PaymentSchedule[[#This Row],[PMT NO]]&lt;&gt;"",PaymentSchedule[[#This Row],[BEGINNING BALANCE]]*(InterestRate/PaymentsPerYear),"")</f>
        <v>3437.0163231328033</v>
      </c>
      <c r="J15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1643781.2179900755</v>
      </c>
      <c r="K153" s="431">
        <f ca="1">IF(PaymentSchedule[[#This Row],[PMT NO]]&lt;&gt;"",SUM(INDEX(PaymentSchedule[INTEREST],1,1):PaymentSchedule[[#This Row],[INTEREST]]),"")</f>
        <v>606360.79945288983</v>
      </c>
    </row>
    <row r="154" spans="2:11">
      <c r="B154" s="432">
        <f ca="1">IF(LoanIsGood,IF(ROW()-ROW(PaymentSchedule[[#Headers],[PMT NO]])&gt;ScheduledNumberOfPayments,"",ROW()-ROW(PaymentSchedule[[#Headers],[PMT NO]])),"")</f>
        <v>144</v>
      </c>
      <c r="C154" s="430">
        <f ca="1">IF(PaymentSchedule[[#This Row],[PMT NO]]&lt;&gt;"",EOMONTH(LoanStartDate,ROW(PaymentSchedule[[#This Row],[PMT NO]])-ROW(PaymentSchedule[[#Headers],[PMT NO]])-2)+DAY(LoanStartDate),"")</f>
        <v>48305</v>
      </c>
      <c r="D154" s="431">
        <f ca="1">IF(PaymentSchedule[[#This Row],[PMT NO]]&lt;&gt;"",IF(ROW()-ROW(PaymentSchedule[[#Headers],[BEGINNING BALANCE]])=1,LoanAmount,INDEX(PaymentSchedule[ENDING BALANCE],ROW()-ROW(PaymentSchedule[[#Headers],[BEGINNING BALANCE]])-1)),"")</f>
        <v>1643781.2179900755</v>
      </c>
      <c r="E154" s="431">
        <f ca="1">IF(PaymentSchedule[[#This Row],[PMT NO]]&lt;&gt;"",ScheduledPayment,"")</f>
        <v>9423.6334368029093</v>
      </c>
      <c r="F15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4" s="431">
        <f ca="1">IF(PaymentSchedule[[#This Row],[PMT NO]]&lt;&gt;"",PaymentSchedule[[#This Row],[TOTAL PAYMENT]]-PaymentSchedule[[#This Row],[INTEREST]],"")</f>
        <v>5999.0892326569192</v>
      </c>
      <c r="I154" s="431">
        <f ca="1">IF(PaymentSchedule[[#This Row],[PMT NO]]&lt;&gt;"",PaymentSchedule[[#This Row],[BEGINNING BALANCE]]*(InterestRate/PaymentsPerYear),"")</f>
        <v>3424.5442041459905</v>
      </c>
      <c r="J15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1637782.1287574186</v>
      </c>
      <c r="K154" s="431">
        <f ca="1">IF(PaymentSchedule[[#This Row],[PMT NO]]&lt;&gt;"",SUM(INDEX(PaymentSchedule[INTEREST],1,1):PaymentSchedule[[#This Row],[INTEREST]]),"")</f>
        <v>609785.34365703585</v>
      </c>
    </row>
    <row r="155" spans="2:11">
      <c r="B155" s="432">
        <f ca="1">IF(LoanIsGood,IF(ROW()-ROW(PaymentSchedule[[#Headers],[PMT NO]])&gt;ScheduledNumberOfPayments,"",ROW()-ROW(PaymentSchedule[[#Headers],[PMT NO]])),"")</f>
        <v>145</v>
      </c>
      <c r="C155" s="430">
        <f ca="1">IF(PaymentSchedule[[#This Row],[PMT NO]]&lt;&gt;"",EOMONTH(LoanStartDate,ROW(PaymentSchedule[[#This Row],[PMT NO]])-ROW(PaymentSchedule[[#Headers],[PMT NO]])-2)+DAY(LoanStartDate),"")</f>
        <v>48335</v>
      </c>
      <c r="D155" s="431">
        <f ca="1">IF(PaymentSchedule[[#This Row],[PMT NO]]&lt;&gt;"",IF(ROW()-ROW(PaymentSchedule[[#Headers],[BEGINNING BALANCE]])=1,LoanAmount,INDEX(PaymentSchedule[ENDING BALANCE],ROW()-ROW(PaymentSchedule[[#Headers],[BEGINNING BALANCE]])-1)),"")</f>
        <v>1637782.1287574186</v>
      </c>
      <c r="E155" s="431">
        <f ca="1">IF(PaymentSchedule[[#This Row],[PMT NO]]&lt;&gt;"",ScheduledPayment,"")</f>
        <v>9423.6334368029093</v>
      </c>
      <c r="F15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5" s="431">
        <f ca="1">IF(PaymentSchedule[[#This Row],[PMT NO]]&lt;&gt;"",PaymentSchedule[[#This Row],[TOTAL PAYMENT]]-PaymentSchedule[[#This Row],[INTEREST]],"")</f>
        <v>6011.5873352249546</v>
      </c>
      <c r="I155" s="431">
        <f ca="1">IF(PaymentSchedule[[#This Row],[PMT NO]]&lt;&gt;"",PaymentSchedule[[#This Row],[BEGINNING BALANCE]]*(InterestRate/PaymentsPerYear),"")</f>
        <v>3412.0461015779551</v>
      </c>
      <c r="J15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1631770.5414221936</v>
      </c>
      <c r="K155" s="431">
        <f ca="1">IF(PaymentSchedule[[#This Row],[PMT NO]]&lt;&gt;"",SUM(INDEX(PaymentSchedule[INTEREST],1,1):PaymentSchedule[[#This Row],[INTEREST]]),"")</f>
        <v>613197.38975861378</v>
      </c>
    </row>
    <row r="156" spans="2:11">
      <c r="B156" s="432">
        <f ca="1">IF(LoanIsGood,IF(ROW()-ROW(PaymentSchedule[[#Headers],[PMT NO]])&gt;ScheduledNumberOfPayments,"",ROW()-ROW(PaymentSchedule[[#Headers],[PMT NO]])),"")</f>
        <v>146</v>
      </c>
      <c r="C156" s="430">
        <f ca="1">IF(PaymentSchedule[[#This Row],[PMT NO]]&lt;&gt;"",EOMONTH(LoanStartDate,ROW(PaymentSchedule[[#This Row],[PMT NO]])-ROW(PaymentSchedule[[#Headers],[PMT NO]])-2)+DAY(LoanStartDate),"")</f>
        <v>48366</v>
      </c>
      <c r="D156" s="431">
        <f ca="1">IF(PaymentSchedule[[#This Row],[PMT NO]]&lt;&gt;"",IF(ROW()-ROW(PaymentSchedule[[#Headers],[BEGINNING BALANCE]])=1,LoanAmount,INDEX(PaymentSchedule[ENDING BALANCE],ROW()-ROW(PaymentSchedule[[#Headers],[BEGINNING BALANCE]])-1)),"")</f>
        <v>1631770.5414221936</v>
      </c>
      <c r="E156" s="431">
        <f ca="1">IF(PaymentSchedule[[#This Row],[PMT NO]]&lt;&gt;"",ScheduledPayment,"")</f>
        <v>9423.6334368029093</v>
      </c>
      <c r="F15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6" s="431">
        <f ca="1">IF(PaymentSchedule[[#This Row],[PMT NO]]&lt;&gt;"",PaymentSchedule[[#This Row],[TOTAL PAYMENT]]-PaymentSchedule[[#This Row],[INTEREST]],"")</f>
        <v>6024.1114755066719</v>
      </c>
      <c r="I156" s="431">
        <f ca="1">IF(PaymentSchedule[[#This Row],[PMT NO]]&lt;&gt;"",PaymentSchedule[[#This Row],[BEGINNING BALANCE]]*(InterestRate/PaymentsPerYear),"")</f>
        <v>3399.5219612962369</v>
      </c>
      <c r="J15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1625746.4299466871</v>
      </c>
      <c r="K156" s="431">
        <f ca="1">IF(PaymentSchedule[[#This Row],[PMT NO]]&lt;&gt;"",SUM(INDEX(PaymentSchedule[INTEREST],1,1):PaymentSchedule[[#This Row],[INTEREST]]),"")</f>
        <v>616596.91171990999</v>
      </c>
    </row>
    <row r="157" spans="2:11">
      <c r="B157" s="432">
        <f ca="1">IF(LoanIsGood,IF(ROW()-ROW(PaymentSchedule[[#Headers],[PMT NO]])&gt;ScheduledNumberOfPayments,"",ROW()-ROW(PaymentSchedule[[#Headers],[PMT NO]])),"")</f>
        <v>147</v>
      </c>
      <c r="C157" s="430">
        <f ca="1">IF(PaymentSchedule[[#This Row],[PMT NO]]&lt;&gt;"",EOMONTH(LoanStartDate,ROW(PaymentSchedule[[#This Row],[PMT NO]])-ROW(PaymentSchedule[[#Headers],[PMT NO]])-2)+DAY(LoanStartDate),"")</f>
        <v>48396</v>
      </c>
      <c r="D157" s="431">
        <f ca="1">IF(PaymentSchedule[[#This Row],[PMT NO]]&lt;&gt;"",IF(ROW()-ROW(PaymentSchedule[[#Headers],[BEGINNING BALANCE]])=1,LoanAmount,INDEX(PaymentSchedule[ENDING BALANCE],ROW()-ROW(PaymentSchedule[[#Headers],[BEGINNING BALANCE]])-1)),"")</f>
        <v>1625746.4299466871</v>
      </c>
      <c r="E157" s="431">
        <f ca="1">IF(PaymentSchedule[[#This Row],[PMT NO]]&lt;&gt;"",ScheduledPayment,"")</f>
        <v>9423.6334368029093</v>
      </c>
      <c r="F15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7" s="431">
        <f ca="1">IF(PaymentSchedule[[#This Row],[PMT NO]]&lt;&gt;"",PaymentSchedule[[#This Row],[TOTAL PAYMENT]]-PaymentSchedule[[#This Row],[INTEREST]],"")</f>
        <v>6036.6617077473111</v>
      </c>
      <c r="I157" s="431">
        <f ca="1">IF(PaymentSchedule[[#This Row],[PMT NO]]&lt;&gt;"",PaymentSchedule[[#This Row],[BEGINNING BALANCE]]*(InterestRate/PaymentsPerYear),"")</f>
        <v>3386.9717290555982</v>
      </c>
      <c r="J15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1619709.7682389398</v>
      </c>
      <c r="K157" s="431">
        <f ca="1">IF(PaymentSchedule[[#This Row],[PMT NO]]&lt;&gt;"",SUM(INDEX(PaymentSchedule[INTEREST],1,1):PaymentSchedule[[#This Row],[INTEREST]]),"")</f>
        <v>619983.88344896561</v>
      </c>
    </row>
    <row r="158" spans="2:11">
      <c r="B158" s="432">
        <f ca="1">IF(LoanIsGood,IF(ROW()-ROW(PaymentSchedule[[#Headers],[PMT NO]])&gt;ScheduledNumberOfPayments,"",ROW()-ROW(PaymentSchedule[[#Headers],[PMT NO]])),"")</f>
        <v>148</v>
      </c>
      <c r="C158" s="430">
        <f ca="1">IF(PaymentSchedule[[#This Row],[PMT NO]]&lt;&gt;"",EOMONTH(LoanStartDate,ROW(PaymentSchedule[[#This Row],[PMT NO]])-ROW(PaymentSchedule[[#Headers],[PMT NO]])-2)+DAY(LoanStartDate),"")</f>
        <v>48427</v>
      </c>
      <c r="D158" s="431">
        <f ca="1">IF(PaymentSchedule[[#This Row],[PMT NO]]&lt;&gt;"",IF(ROW()-ROW(PaymentSchedule[[#Headers],[BEGINNING BALANCE]])=1,LoanAmount,INDEX(PaymentSchedule[ENDING BALANCE],ROW()-ROW(PaymentSchedule[[#Headers],[BEGINNING BALANCE]])-1)),"")</f>
        <v>1619709.7682389398</v>
      </c>
      <c r="E158" s="431">
        <f ca="1">IF(PaymentSchedule[[#This Row],[PMT NO]]&lt;&gt;"",ScheduledPayment,"")</f>
        <v>9423.6334368029093</v>
      </c>
      <c r="F15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8" s="431">
        <f ca="1">IF(PaymentSchedule[[#This Row],[PMT NO]]&lt;&gt;"",PaymentSchedule[[#This Row],[TOTAL PAYMENT]]-PaymentSchedule[[#This Row],[INTEREST]],"")</f>
        <v>6049.2380863051185</v>
      </c>
      <c r="I158" s="431">
        <f ca="1">IF(PaymentSchedule[[#This Row],[PMT NO]]&lt;&gt;"",PaymentSchedule[[#This Row],[BEGINNING BALANCE]]*(InterestRate/PaymentsPerYear),"")</f>
        <v>3374.3953504977912</v>
      </c>
      <c r="J15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1613660.5301526347</v>
      </c>
      <c r="K158" s="431">
        <f ca="1">IF(PaymentSchedule[[#This Row],[PMT NO]]&lt;&gt;"",SUM(INDEX(PaymentSchedule[INTEREST],1,1):PaymentSchedule[[#This Row],[INTEREST]]),"")</f>
        <v>623358.27879946341</v>
      </c>
    </row>
    <row r="159" spans="2:11">
      <c r="B159" s="432">
        <f ca="1">IF(LoanIsGood,IF(ROW()-ROW(PaymentSchedule[[#Headers],[PMT NO]])&gt;ScheduledNumberOfPayments,"",ROW()-ROW(PaymentSchedule[[#Headers],[PMT NO]])),"")</f>
        <v>149</v>
      </c>
      <c r="C159" s="430">
        <f ca="1">IF(PaymentSchedule[[#This Row],[PMT NO]]&lt;&gt;"",EOMONTH(LoanStartDate,ROW(PaymentSchedule[[#This Row],[PMT NO]])-ROW(PaymentSchedule[[#Headers],[PMT NO]])-2)+DAY(LoanStartDate),"")</f>
        <v>48458</v>
      </c>
      <c r="D159" s="431">
        <f ca="1">IF(PaymentSchedule[[#This Row],[PMT NO]]&lt;&gt;"",IF(ROW()-ROW(PaymentSchedule[[#Headers],[BEGINNING BALANCE]])=1,LoanAmount,INDEX(PaymentSchedule[ENDING BALANCE],ROW()-ROW(PaymentSchedule[[#Headers],[BEGINNING BALANCE]])-1)),"")</f>
        <v>1613660.5301526347</v>
      </c>
      <c r="E159" s="431">
        <f ca="1">IF(PaymentSchedule[[#This Row],[PMT NO]]&lt;&gt;"",ScheduledPayment,"")</f>
        <v>9423.6334368029093</v>
      </c>
      <c r="F15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5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59" s="431">
        <f ca="1">IF(PaymentSchedule[[#This Row],[PMT NO]]&lt;&gt;"",PaymentSchedule[[#This Row],[TOTAL PAYMENT]]-PaymentSchedule[[#This Row],[INTEREST]],"")</f>
        <v>6061.8406656515872</v>
      </c>
      <c r="I159" s="431">
        <f ca="1">IF(PaymentSchedule[[#This Row],[PMT NO]]&lt;&gt;"",PaymentSchedule[[#This Row],[BEGINNING BALANCE]]*(InterestRate/PaymentsPerYear),"")</f>
        <v>3361.7927711513221</v>
      </c>
      <c r="J15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1607598.6894869832</v>
      </c>
      <c r="K159" s="431">
        <f ca="1">IF(PaymentSchedule[[#This Row],[PMT NO]]&lt;&gt;"",SUM(INDEX(PaymentSchedule[INTEREST],1,1):PaymentSchedule[[#This Row],[INTEREST]]),"")</f>
        <v>626720.0715706147</v>
      </c>
    </row>
    <row r="160" spans="2:11">
      <c r="B160" s="432">
        <f ca="1">IF(LoanIsGood,IF(ROW()-ROW(PaymentSchedule[[#Headers],[PMT NO]])&gt;ScheduledNumberOfPayments,"",ROW()-ROW(PaymentSchedule[[#Headers],[PMT NO]])),"")</f>
        <v>150</v>
      </c>
      <c r="C160" s="430">
        <f ca="1">IF(PaymentSchedule[[#This Row],[PMT NO]]&lt;&gt;"",EOMONTH(LoanStartDate,ROW(PaymentSchedule[[#This Row],[PMT NO]])-ROW(PaymentSchedule[[#Headers],[PMT NO]])-2)+DAY(LoanStartDate),"")</f>
        <v>48488</v>
      </c>
      <c r="D160" s="431">
        <f ca="1">IF(PaymentSchedule[[#This Row],[PMT NO]]&lt;&gt;"",IF(ROW()-ROW(PaymentSchedule[[#Headers],[BEGINNING BALANCE]])=1,LoanAmount,INDEX(PaymentSchedule[ENDING BALANCE],ROW()-ROW(PaymentSchedule[[#Headers],[BEGINNING BALANCE]])-1)),"")</f>
        <v>1607598.6894869832</v>
      </c>
      <c r="E160" s="431">
        <f ca="1">IF(PaymentSchedule[[#This Row],[PMT NO]]&lt;&gt;"",ScheduledPayment,"")</f>
        <v>9423.6334368029093</v>
      </c>
      <c r="F16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0" s="431">
        <f ca="1">IF(PaymentSchedule[[#This Row],[PMT NO]]&lt;&gt;"",PaymentSchedule[[#This Row],[TOTAL PAYMENT]]-PaymentSchedule[[#This Row],[INTEREST]],"")</f>
        <v>6074.4695003716943</v>
      </c>
      <c r="I160" s="431">
        <f ca="1">IF(PaymentSchedule[[#This Row],[PMT NO]]&lt;&gt;"",PaymentSchedule[[#This Row],[BEGINNING BALANCE]]*(InterestRate/PaymentsPerYear),"")</f>
        <v>3349.163936431215</v>
      </c>
      <c r="J16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1601524.2199866115</v>
      </c>
      <c r="K160" s="431">
        <f ca="1">IF(PaymentSchedule[[#This Row],[PMT NO]]&lt;&gt;"",SUM(INDEX(PaymentSchedule[INTEREST],1,1):PaymentSchedule[[#This Row],[INTEREST]]),"")</f>
        <v>630069.23550704587</v>
      </c>
    </row>
    <row r="161" spans="2:11">
      <c r="B161" s="432">
        <f ca="1">IF(LoanIsGood,IF(ROW()-ROW(PaymentSchedule[[#Headers],[PMT NO]])&gt;ScheduledNumberOfPayments,"",ROW()-ROW(PaymentSchedule[[#Headers],[PMT NO]])),"")</f>
        <v>151</v>
      </c>
      <c r="C161" s="430">
        <f ca="1">IF(PaymentSchedule[[#This Row],[PMT NO]]&lt;&gt;"",EOMONTH(LoanStartDate,ROW(PaymentSchedule[[#This Row],[PMT NO]])-ROW(PaymentSchedule[[#Headers],[PMT NO]])-2)+DAY(LoanStartDate),"")</f>
        <v>48519</v>
      </c>
      <c r="D161" s="431">
        <f ca="1">IF(PaymentSchedule[[#This Row],[PMT NO]]&lt;&gt;"",IF(ROW()-ROW(PaymentSchedule[[#Headers],[BEGINNING BALANCE]])=1,LoanAmount,INDEX(PaymentSchedule[ENDING BALANCE],ROW()-ROW(PaymentSchedule[[#Headers],[BEGINNING BALANCE]])-1)),"")</f>
        <v>1601524.2199866115</v>
      </c>
      <c r="E161" s="431">
        <f ca="1">IF(PaymentSchedule[[#This Row],[PMT NO]]&lt;&gt;"",ScheduledPayment,"")</f>
        <v>9423.6334368029093</v>
      </c>
      <c r="F16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1" s="431">
        <f ca="1">IF(PaymentSchedule[[#This Row],[PMT NO]]&lt;&gt;"",PaymentSchedule[[#This Row],[TOTAL PAYMENT]]-PaymentSchedule[[#This Row],[INTEREST]],"")</f>
        <v>6087.1246451641355</v>
      </c>
      <c r="I161" s="431">
        <f ca="1">IF(PaymentSchedule[[#This Row],[PMT NO]]&lt;&gt;"",PaymentSchedule[[#This Row],[BEGINNING BALANCE]]*(InterestRate/PaymentsPerYear),"")</f>
        <v>3336.5087916387738</v>
      </c>
      <c r="J16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1595437.0953414473</v>
      </c>
      <c r="K161" s="431">
        <f ca="1">IF(PaymentSchedule[[#This Row],[PMT NO]]&lt;&gt;"",SUM(INDEX(PaymentSchedule[INTEREST],1,1):PaymentSchedule[[#This Row],[INTEREST]]),"")</f>
        <v>633405.74429868464</v>
      </c>
    </row>
    <row r="162" spans="2:11">
      <c r="B162" s="432">
        <f ca="1">IF(LoanIsGood,IF(ROW()-ROW(PaymentSchedule[[#Headers],[PMT NO]])&gt;ScheduledNumberOfPayments,"",ROW()-ROW(PaymentSchedule[[#Headers],[PMT NO]])),"")</f>
        <v>152</v>
      </c>
      <c r="C162" s="430">
        <f ca="1">IF(PaymentSchedule[[#This Row],[PMT NO]]&lt;&gt;"",EOMONTH(LoanStartDate,ROW(PaymentSchedule[[#This Row],[PMT NO]])-ROW(PaymentSchedule[[#Headers],[PMT NO]])-2)+DAY(LoanStartDate),"")</f>
        <v>48549</v>
      </c>
      <c r="D162" s="431">
        <f ca="1">IF(PaymentSchedule[[#This Row],[PMT NO]]&lt;&gt;"",IF(ROW()-ROW(PaymentSchedule[[#Headers],[BEGINNING BALANCE]])=1,LoanAmount,INDEX(PaymentSchedule[ENDING BALANCE],ROW()-ROW(PaymentSchedule[[#Headers],[BEGINNING BALANCE]])-1)),"")</f>
        <v>1595437.0953414473</v>
      </c>
      <c r="E162" s="431">
        <f ca="1">IF(PaymentSchedule[[#This Row],[PMT NO]]&lt;&gt;"",ScheduledPayment,"")</f>
        <v>9423.6334368029093</v>
      </c>
      <c r="F16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2" s="431">
        <f ca="1">IF(PaymentSchedule[[#This Row],[PMT NO]]&lt;&gt;"",PaymentSchedule[[#This Row],[TOTAL PAYMENT]]-PaymentSchedule[[#This Row],[INTEREST]],"")</f>
        <v>6099.8061548415608</v>
      </c>
      <c r="I162" s="431">
        <f ca="1">IF(PaymentSchedule[[#This Row],[PMT NO]]&lt;&gt;"",PaymentSchedule[[#This Row],[BEGINNING BALANCE]]*(InterestRate/PaymentsPerYear),"")</f>
        <v>3323.8272819613485</v>
      </c>
      <c r="J16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1589337.2891866057</v>
      </c>
      <c r="K162" s="431">
        <f ca="1">IF(PaymentSchedule[[#This Row],[PMT NO]]&lt;&gt;"",SUM(INDEX(PaymentSchedule[INTEREST],1,1):PaymentSchedule[[#This Row],[INTEREST]]),"")</f>
        <v>636729.57158064598</v>
      </c>
    </row>
    <row r="163" spans="2:11">
      <c r="B163" s="432">
        <f ca="1">IF(LoanIsGood,IF(ROW()-ROW(PaymentSchedule[[#Headers],[PMT NO]])&gt;ScheduledNumberOfPayments,"",ROW()-ROW(PaymentSchedule[[#Headers],[PMT NO]])),"")</f>
        <v>153</v>
      </c>
      <c r="C163" s="430">
        <f ca="1">IF(PaymentSchedule[[#This Row],[PMT NO]]&lt;&gt;"",EOMONTH(LoanStartDate,ROW(PaymentSchedule[[#This Row],[PMT NO]])-ROW(PaymentSchedule[[#Headers],[PMT NO]])-2)+DAY(LoanStartDate),"")</f>
        <v>48580</v>
      </c>
      <c r="D163" s="431">
        <f ca="1">IF(PaymentSchedule[[#This Row],[PMT NO]]&lt;&gt;"",IF(ROW()-ROW(PaymentSchedule[[#Headers],[BEGINNING BALANCE]])=1,LoanAmount,INDEX(PaymentSchedule[ENDING BALANCE],ROW()-ROW(PaymentSchedule[[#Headers],[BEGINNING BALANCE]])-1)),"")</f>
        <v>1589337.2891866057</v>
      </c>
      <c r="E163" s="431">
        <f ca="1">IF(PaymentSchedule[[#This Row],[PMT NO]]&lt;&gt;"",ScheduledPayment,"")</f>
        <v>9423.6334368029093</v>
      </c>
      <c r="F16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3" s="431">
        <f ca="1">IF(PaymentSchedule[[#This Row],[PMT NO]]&lt;&gt;"",PaymentSchedule[[#This Row],[TOTAL PAYMENT]]-PaymentSchedule[[#This Row],[INTEREST]],"")</f>
        <v>6112.5140843308145</v>
      </c>
      <c r="I163" s="431">
        <f ca="1">IF(PaymentSchedule[[#This Row],[PMT NO]]&lt;&gt;"",PaymentSchedule[[#This Row],[BEGINNING BALANCE]]*(InterestRate/PaymentsPerYear),"")</f>
        <v>3311.1193524720952</v>
      </c>
      <c r="J16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1583224.775102275</v>
      </c>
      <c r="K163" s="431">
        <f ca="1">IF(PaymentSchedule[[#This Row],[PMT NO]]&lt;&gt;"",SUM(INDEX(PaymentSchedule[INTEREST],1,1):PaymentSchedule[[#This Row],[INTEREST]]),"")</f>
        <v>640040.69093311811</v>
      </c>
    </row>
    <row r="164" spans="2:11">
      <c r="B164" s="432">
        <f ca="1">IF(LoanIsGood,IF(ROW()-ROW(PaymentSchedule[[#Headers],[PMT NO]])&gt;ScheduledNumberOfPayments,"",ROW()-ROW(PaymentSchedule[[#Headers],[PMT NO]])),"")</f>
        <v>154</v>
      </c>
      <c r="C164" s="430">
        <f ca="1">IF(PaymentSchedule[[#This Row],[PMT NO]]&lt;&gt;"",EOMONTH(LoanStartDate,ROW(PaymentSchedule[[#This Row],[PMT NO]])-ROW(PaymentSchedule[[#Headers],[PMT NO]])-2)+DAY(LoanStartDate),"")</f>
        <v>48611</v>
      </c>
      <c r="D164" s="431">
        <f ca="1">IF(PaymentSchedule[[#This Row],[PMT NO]]&lt;&gt;"",IF(ROW()-ROW(PaymentSchedule[[#Headers],[BEGINNING BALANCE]])=1,LoanAmount,INDEX(PaymentSchedule[ENDING BALANCE],ROW()-ROW(PaymentSchedule[[#Headers],[BEGINNING BALANCE]])-1)),"")</f>
        <v>1583224.775102275</v>
      </c>
      <c r="E164" s="431">
        <f ca="1">IF(PaymentSchedule[[#This Row],[PMT NO]]&lt;&gt;"",ScheduledPayment,"")</f>
        <v>9423.6334368029093</v>
      </c>
      <c r="F16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4" s="431">
        <f ca="1">IF(PaymentSchedule[[#This Row],[PMT NO]]&lt;&gt;"",PaymentSchedule[[#This Row],[TOTAL PAYMENT]]-PaymentSchedule[[#This Row],[INTEREST]],"")</f>
        <v>6125.24848867317</v>
      </c>
      <c r="I164" s="431">
        <f ca="1">IF(PaymentSchedule[[#This Row],[PMT NO]]&lt;&gt;"",PaymentSchedule[[#This Row],[BEGINNING BALANCE]]*(InterestRate/PaymentsPerYear),"")</f>
        <v>3298.3849481297393</v>
      </c>
      <c r="J16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1577099.5266136017</v>
      </c>
      <c r="K164" s="431">
        <f ca="1">IF(PaymentSchedule[[#This Row],[PMT NO]]&lt;&gt;"",SUM(INDEX(PaymentSchedule[INTEREST],1,1):PaymentSchedule[[#This Row],[INTEREST]]),"")</f>
        <v>643339.07588124787</v>
      </c>
    </row>
    <row r="165" spans="2:11">
      <c r="B165" s="432">
        <f ca="1">IF(LoanIsGood,IF(ROW()-ROW(PaymentSchedule[[#Headers],[PMT NO]])&gt;ScheduledNumberOfPayments,"",ROW()-ROW(PaymentSchedule[[#Headers],[PMT NO]])),"")</f>
        <v>155</v>
      </c>
      <c r="C165" s="430">
        <f ca="1">IF(PaymentSchedule[[#This Row],[PMT NO]]&lt;&gt;"",EOMONTH(LoanStartDate,ROW(PaymentSchedule[[#This Row],[PMT NO]])-ROW(PaymentSchedule[[#Headers],[PMT NO]])-2)+DAY(LoanStartDate),"")</f>
        <v>48639</v>
      </c>
      <c r="D165" s="431">
        <f ca="1">IF(PaymentSchedule[[#This Row],[PMT NO]]&lt;&gt;"",IF(ROW()-ROW(PaymentSchedule[[#Headers],[BEGINNING BALANCE]])=1,LoanAmount,INDEX(PaymentSchedule[ENDING BALANCE],ROW()-ROW(PaymentSchedule[[#Headers],[BEGINNING BALANCE]])-1)),"")</f>
        <v>1577099.5266136017</v>
      </c>
      <c r="E165" s="431">
        <f ca="1">IF(PaymentSchedule[[#This Row],[PMT NO]]&lt;&gt;"",ScheduledPayment,"")</f>
        <v>9423.6334368029093</v>
      </c>
      <c r="F16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5" s="431">
        <f ca="1">IF(PaymentSchedule[[#This Row],[PMT NO]]&lt;&gt;"",PaymentSchedule[[#This Row],[TOTAL PAYMENT]]-PaymentSchedule[[#This Row],[INTEREST]],"")</f>
        <v>6138.0094230245722</v>
      </c>
      <c r="I165" s="431">
        <f ca="1">IF(PaymentSchedule[[#This Row],[PMT NO]]&lt;&gt;"",PaymentSchedule[[#This Row],[BEGINNING BALANCE]]*(InterestRate/PaymentsPerYear),"")</f>
        <v>3285.624013778337</v>
      </c>
      <c r="J16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1570961.5171905772</v>
      </c>
      <c r="K165" s="431">
        <f ca="1">IF(PaymentSchedule[[#This Row],[PMT NO]]&lt;&gt;"",SUM(INDEX(PaymentSchedule[INTEREST],1,1):PaymentSchedule[[#This Row],[INTEREST]]),"")</f>
        <v>646624.69989502616</v>
      </c>
    </row>
    <row r="166" spans="2:11">
      <c r="B166" s="432">
        <f ca="1">IF(LoanIsGood,IF(ROW()-ROW(PaymentSchedule[[#Headers],[PMT NO]])&gt;ScheduledNumberOfPayments,"",ROW()-ROW(PaymentSchedule[[#Headers],[PMT NO]])),"")</f>
        <v>156</v>
      </c>
      <c r="C166" s="430">
        <f ca="1">IF(PaymentSchedule[[#This Row],[PMT NO]]&lt;&gt;"",EOMONTH(LoanStartDate,ROW(PaymentSchedule[[#This Row],[PMT NO]])-ROW(PaymentSchedule[[#Headers],[PMT NO]])-2)+DAY(LoanStartDate),"")</f>
        <v>48670</v>
      </c>
      <c r="D166" s="431">
        <f ca="1">IF(PaymentSchedule[[#This Row],[PMT NO]]&lt;&gt;"",IF(ROW()-ROW(PaymentSchedule[[#Headers],[BEGINNING BALANCE]])=1,LoanAmount,INDEX(PaymentSchedule[ENDING BALANCE],ROW()-ROW(PaymentSchedule[[#Headers],[BEGINNING BALANCE]])-1)),"")</f>
        <v>1570961.5171905772</v>
      </c>
      <c r="E166" s="431">
        <f ca="1">IF(PaymentSchedule[[#This Row],[PMT NO]]&lt;&gt;"",ScheduledPayment,"")</f>
        <v>9423.6334368029093</v>
      </c>
      <c r="F16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6" s="431">
        <f ca="1">IF(PaymentSchedule[[#This Row],[PMT NO]]&lt;&gt;"",PaymentSchedule[[#This Row],[TOTAL PAYMENT]]-PaymentSchedule[[#This Row],[INTEREST]],"")</f>
        <v>6150.7969426558739</v>
      </c>
      <c r="I166" s="431">
        <f ca="1">IF(PaymentSchedule[[#This Row],[PMT NO]]&lt;&gt;"",PaymentSchedule[[#This Row],[BEGINNING BALANCE]]*(InterestRate/PaymentsPerYear),"")</f>
        <v>3272.8364941470359</v>
      </c>
      <c r="J16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1564810.7202479213</v>
      </c>
      <c r="K166" s="431">
        <f ca="1">IF(PaymentSchedule[[#This Row],[PMT NO]]&lt;&gt;"",SUM(INDEX(PaymentSchedule[INTEREST],1,1):PaymentSchedule[[#This Row],[INTEREST]]),"")</f>
        <v>649897.53638917324</v>
      </c>
    </row>
    <row r="167" spans="2:11">
      <c r="B167" s="432">
        <f ca="1">IF(LoanIsGood,IF(ROW()-ROW(PaymentSchedule[[#Headers],[PMT NO]])&gt;ScheduledNumberOfPayments,"",ROW()-ROW(PaymentSchedule[[#Headers],[PMT NO]])),"")</f>
        <v>157</v>
      </c>
      <c r="C167" s="430">
        <f ca="1">IF(PaymentSchedule[[#This Row],[PMT NO]]&lt;&gt;"",EOMONTH(LoanStartDate,ROW(PaymentSchedule[[#This Row],[PMT NO]])-ROW(PaymentSchedule[[#Headers],[PMT NO]])-2)+DAY(LoanStartDate),"")</f>
        <v>48700</v>
      </c>
      <c r="D167" s="431">
        <f ca="1">IF(PaymentSchedule[[#This Row],[PMT NO]]&lt;&gt;"",IF(ROW()-ROW(PaymentSchedule[[#Headers],[BEGINNING BALANCE]])=1,LoanAmount,INDEX(PaymentSchedule[ENDING BALANCE],ROW()-ROW(PaymentSchedule[[#Headers],[BEGINNING BALANCE]])-1)),"")</f>
        <v>1564810.7202479213</v>
      </c>
      <c r="E167" s="431">
        <f ca="1">IF(PaymentSchedule[[#This Row],[PMT NO]]&lt;&gt;"",ScheduledPayment,"")</f>
        <v>9423.6334368029093</v>
      </c>
      <c r="F16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7" s="431">
        <f ca="1">IF(PaymentSchedule[[#This Row],[PMT NO]]&lt;&gt;"",PaymentSchedule[[#This Row],[TOTAL PAYMENT]]-PaymentSchedule[[#This Row],[INTEREST]],"")</f>
        <v>6163.611102953073</v>
      </c>
      <c r="I167" s="431">
        <f ca="1">IF(PaymentSchedule[[#This Row],[PMT NO]]&lt;&gt;"",PaymentSchedule[[#This Row],[BEGINNING BALANCE]]*(InterestRate/PaymentsPerYear),"")</f>
        <v>3260.0223338498358</v>
      </c>
      <c r="J16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1558647.1091449682</v>
      </c>
      <c r="K167" s="431">
        <f ca="1">IF(PaymentSchedule[[#This Row],[PMT NO]]&lt;&gt;"",SUM(INDEX(PaymentSchedule[INTEREST],1,1):PaymentSchedule[[#This Row],[INTEREST]]),"")</f>
        <v>653157.55872302304</v>
      </c>
    </row>
    <row r="168" spans="2:11">
      <c r="B168" s="432">
        <f ca="1">IF(LoanIsGood,IF(ROW()-ROW(PaymentSchedule[[#Headers],[PMT NO]])&gt;ScheduledNumberOfPayments,"",ROW()-ROW(PaymentSchedule[[#Headers],[PMT NO]])),"")</f>
        <v>158</v>
      </c>
      <c r="C168" s="430">
        <f ca="1">IF(PaymentSchedule[[#This Row],[PMT NO]]&lt;&gt;"",EOMONTH(LoanStartDate,ROW(PaymentSchedule[[#This Row],[PMT NO]])-ROW(PaymentSchedule[[#Headers],[PMT NO]])-2)+DAY(LoanStartDate),"")</f>
        <v>48731</v>
      </c>
      <c r="D168" s="431">
        <f ca="1">IF(PaymentSchedule[[#This Row],[PMT NO]]&lt;&gt;"",IF(ROW()-ROW(PaymentSchedule[[#Headers],[BEGINNING BALANCE]])=1,LoanAmount,INDEX(PaymentSchedule[ENDING BALANCE],ROW()-ROW(PaymentSchedule[[#Headers],[BEGINNING BALANCE]])-1)),"")</f>
        <v>1558647.1091449682</v>
      </c>
      <c r="E168" s="431">
        <f ca="1">IF(PaymentSchedule[[#This Row],[PMT NO]]&lt;&gt;"",ScheduledPayment,"")</f>
        <v>9423.6334368029093</v>
      </c>
      <c r="F16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8" s="431">
        <f ca="1">IF(PaymentSchedule[[#This Row],[PMT NO]]&lt;&gt;"",PaymentSchedule[[#This Row],[TOTAL PAYMENT]]-PaymentSchedule[[#This Row],[INTEREST]],"")</f>
        <v>6176.451959417559</v>
      </c>
      <c r="I168" s="431">
        <f ca="1">IF(PaymentSchedule[[#This Row],[PMT NO]]&lt;&gt;"",PaymentSchedule[[#This Row],[BEGINNING BALANCE]]*(InterestRate/PaymentsPerYear),"")</f>
        <v>3247.1814773853503</v>
      </c>
      <c r="J16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1552470.6571855505</v>
      </c>
      <c r="K168" s="431">
        <f ca="1">IF(PaymentSchedule[[#This Row],[PMT NO]]&lt;&gt;"",SUM(INDEX(PaymentSchedule[INTEREST],1,1):PaymentSchedule[[#This Row],[INTEREST]]),"")</f>
        <v>656404.74020040839</v>
      </c>
    </row>
    <row r="169" spans="2:11">
      <c r="B169" s="432">
        <f ca="1">IF(LoanIsGood,IF(ROW()-ROW(PaymentSchedule[[#Headers],[PMT NO]])&gt;ScheduledNumberOfPayments,"",ROW()-ROW(PaymentSchedule[[#Headers],[PMT NO]])),"")</f>
        <v>159</v>
      </c>
      <c r="C169" s="430">
        <f ca="1">IF(PaymentSchedule[[#This Row],[PMT NO]]&lt;&gt;"",EOMONTH(LoanStartDate,ROW(PaymentSchedule[[#This Row],[PMT NO]])-ROW(PaymentSchedule[[#Headers],[PMT NO]])-2)+DAY(LoanStartDate),"")</f>
        <v>48761</v>
      </c>
      <c r="D169" s="431">
        <f ca="1">IF(PaymentSchedule[[#This Row],[PMT NO]]&lt;&gt;"",IF(ROW()-ROW(PaymentSchedule[[#Headers],[BEGINNING BALANCE]])=1,LoanAmount,INDEX(PaymentSchedule[ENDING BALANCE],ROW()-ROW(PaymentSchedule[[#Headers],[BEGINNING BALANCE]])-1)),"")</f>
        <v>1552470.6571855505</v>
      </c>
      <c r="E169" s="431">
        <f ca="1">IF(PaymentSchedule[[#This Row],[PMT NO]]&lt;&gt;"",ScheduledPayment,"")</f>
        <v>9423.6334368029093</v>
      </c>
      <c r="F16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6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69" s="431">
        <f ca="1">IF(PaymentSchedule[[#This Row],[PMT NO]]&lt;&gt;"",PaymentSchedule[[#This Row],[TOTAL PAYMENT]]-PaymentSchedule[[#This Row],[INTEREST]],"")</f>
        <v>6189.3195676663454</v>
      </c>
      <c r="I169" s="431">
        <f ca="1">IF(PaymentSchedule[[#This Row],[PMT NO]]&lt;&gt;"",PaymentSchedule[[#This Row],[BEGINNING BALANCE]]*(InterestRate/PaymentsPerYear),"")</f>
        <v>3234.3138691365634</v>
      </c>
      <c r="J16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1546281.3376178842</v>
      </c>
      <c r="K169" s="431">
        <f ca="1">IF(PaymentSchedule[[#This Row],[PMT NO]]&lt;&gt;"",SUM(INDEX(PaymentSchedule[INTEREST],1,1):PaymentSchedule[[#This Row],[INTEREST]]),"")</f>
        <v>659639.054069545</v>
      </c>
    </row>
    <row r="170" spans="2:11">
      <c r="B170" s="432">
        <f ca="1">IF(LoanIsGood,IF(ROW()-ROW(PaymentSchedule[[#Headers],[PMT NO]])&gt;ScheduledNumberOfPayments,"",ROW()-ROW(PaymentSchedule[[#Headers],[PMT NO]])),"")</f>
        <v>160</v>
      </c>
      <c r="C170" s="430">
        <f ca="1">IF(PaymentSchedule[[#This Row],[PMT NO]]&lt;&gt;"",EOMONTH(LoanStartDate,ROW(PaymentSchedule[[#This Row],[PMT NO]])-ROW(PaymentSchedule[[#Headers],[PMT NO]])-2)+DAY(LoanStartDate),"")</f>
        <v>48792</v>
      </c>
      <c r="D170" s="431">
        <f ca="1">IF(PaymentSchedule[[#This Row],[PMT NO]]&lt;&gt;"",IF(ROW()-ROW(PaymentSchedule[[#Headers],[BEGINNING BALANCE]])=1,LoanAmount,INDEX(PaymentSchedule[ENDING BALANCE],ROW()-ROW(PaymentSchedule[[#Headers],[BEGINNING BALANCE]])-1)),"")</f>
        <v>1546281.3376178842</v>
      </c>
      <c r="E170" s="431">
        <f ca="1">IF(PaymentSchedule[[#This Row],[PMT NO]]&lt;&gt;"",ScheduledPayment,"")</f>
        <v>9423.6334368029093</v>
      </c>
      <c r="F17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0" s="431">
        <f ca="1">IF(PaymentSchedule[[#This Row],[PMT NO]]&lt;&gt;"",PaymentSchedule[[#This Row],[TOTAL PAYMENT]]-PaymentSchedule[[#This Row],[INTEREST]],"")</f>
        <v>6202.213983432317</v>
      </c>
      <c r="I170" s="431">
        <f ca="1">IF(PaymentSchedule[[#This Row],[PMT NO]]&lt;&gt;"",PaymentSchedule[[#This Row],[BEGINNING BALANCE]]*(InterestRate/PaymentsPerYear),"")</f>
        <v>3221.4194533705918</v>
      </c>
      <c r="J17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1540079.1236344518</v>
      </c>
      <c r="K170" s="431">
        <f ca="1">IF(PaymentSchedule[[#This Row],[PMT NO]]&lt;&gt;"",SUM(INDEX(PaymentSchedule[INTEREST],1,1):PaymentSchedule[[#This Row],[INTEREST]]),"")</f>
        <v>662860.47352291562</v>
      </c>
    </row>
    <row r="171" spans="2:11">
      <c r="B171" s="432">
        <f ca="1">IF(LoanIsGood,IF(ROW()-ROW(PaymentSchedule[[#Headers],[PMT NO]])&gt;ScheduledNumberOfPayments,"",ROW()-ROW(PaymentSchedule[[#Headers],[PMT NO]])),"")</f>
        <v>161</v>
      </c>
      <c r="C171" s="430">
        <f ca="1">IF(PaymentSchedule[[#This Row],[PMT NO]]&lt;&gt;"",EOMONTH(LoanStartDate,ROW(PaymentSchedule[[#This Row],[PMT NO]])-ROW(PaymentSchedule[[#Headers],[PMT NO]])-2)+DAY(LoanStartDate),"")</f>
        <v>48823</v>
      </c>
      <c r="D171" s="431">
        <f ca="1">IF(PaymentSchedule[[#This Row],[PMT NO]]&lt;&gt;"",IF(ROW()-ROW(PaymentSchedule[[#Headers],[BEGINNING BALANCE]])=1,LoanAmount,INDEX(PaymentSchedule[ENDING BALANCE],ROW()-ROW(PaymentSchedule[[#Headers],[BEGINNING BALANCE]])-1)),"")</f>
        <v>1540079.1236344518</v>
      </c>
      <c r="E171" s="431">
        <f ca="1">IF(PaymentSchedule[[#This Row],[PMT NO]]&lt;&gt;"",ScheduledPayment,"")</f>
        <v>9423.6334368029093</v>
      </c>
      <c r="F17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1" s="431">
        <f ca="1">IF(PaymentSchedule[[#This Row],[PMT NO]]&lt;&gt;"",PaymentSchedule[[#This Row],[TOTAL PAYMENT]]-PaymentSchedule[[#This Row],[INTEREST]],"")</f>
        <v>6215.1352625644686</v>
      </c>
      <c r="I171" s="431">
        <f ca="1">IF(PaymentSchedule[[#This Row],[PMT NO]]&lt;&gt;"",PaymentSchedule[[#This Row],[BEGINNING BALANCE]]*(InterestRate/PaymentsPerYear),"")</f>
        <v>3208.4981742384412</v>
      </c>
      <c r="J17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1533863.9883718872</v>
      </c>
      <c r="K171" s="431">
        <f ca="1">IF(PaymentSchedule[[#This Row],[PMT NO]]&lt;&gt;"",SUM(INDEX(PaymentSchedule[INTEREST],1,1):PaymentSchedule[[#This Row],[INTEREST]]),"")</f>
        <v>666068.97169715411</v>
      </c>
    </row>
    <row r="172" spans="2:11">
      <c r="B172" s="432">
        <f ca="1">IF(LoanIsGood,IF(ROW()-ROW(PaymentSchedule[[#Headers],[PMT NO]])&gt;ScheduledNumberOfPayments,"",ROW()-ROW(PaymentSchedule[[#Headers],[PMT NO]])),"")</f>
        <v>162</v>
      </c>
      <c r="C172" s="430">
        <f ca="1">IF(PaymentSchedule[[#This Row],[PMT NO]]&lt;&gt;"",EOMONTH(LoanStartDate,ROW(PaymentSchedule[[#This Row],[PMT NO]])-ROW(PaymentSchedule[[#Headers],[PMT NO]])-2)+DAY(LoanStartDate),"")</f>
        <v>48853</v>
      </c>
      <c r="D172" s="431">
        <f ca="1">IF(PaymentSchedule[[#This Row],[PMT NO]]&lt;&gt;"",IF(ROW()-ROW(PaymentSchedule[[#Headers],[BEGINNING BALANCE]])=1,LoanAmount,INDEX(PaymentSchedule[ENDING BALANCE],ROW()-ROW(PaymentSchedule[[#Headers],[BEGINNING BALANCE]])-1)),"")</f>
        <v>1533863.9883718872</v>
      </c>
      <c r="E172" s="431">
        <f ca="1">IF(PaymentSchedule[[#This Row],[PMT NO]]&lt;&gt;"",ScheduledPayment,"")</f>
        <v>9423.6334368029093</v>
      </c>
      <c r="F17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2" s="431">
        <f ca="1">IF(PaymentSchedule[[#This Row],[PMT NO]]&lt;&gt;"",PaymentSchedule[[#This Row],[TOTAL PAYMENT]]-PaymentSchedule[[#This Row],[INTEREST]],"")</f>
        <v>6228.0834610281436</v>
      </c>
      <c r="I172" s="431">
        <f ca="1">IF(PaymentSchedule[[#This Row],[PMT NO]]&lt;&gt;"",PaymentSchedule[[#This Row],[BEGINNING BALANCE]]*(InterestRate/PaymentsPerYear),"")</f>
        <v>3195.5499757747652</v>
      </c>
      <c r="J17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1527635.9049108592</v>
      </c>
      <c r="K172" s="431">
        <f ca="1">IF(PaymentSchedule[[#This Row],[PMT NO]]&lt;&gt;"",SUM(INDEX(PaymentSchedule[INTEREST],1,1):PaymentSchedule[[#This Row],[INTEREST]]),"")</f>
        <v>669264.52167292882</v>
      </c>
    </row>
    <row r="173" spans="2:11">
      <c r="B173" s="432">
        <f ca="1">IF(LoanIsGood,IF(ROW()-ROW(PaymentSchedule[[#Headers],[PMT NO]])&gt;ScheduledNumberOfPayments,"",ROW()-ROW(PaymentSchedule[[#Headers],[PMT NO]])),"")</f>
        <v>163</v>
      </c>
      <c r="C173" s="430">
        <f ca="1">IF(PaymentSchedule[[#This Row],[PMT NO]]&lt;&gt;"",EOMONTH(LoanStartDate,ROW(PaymentSchedule[[#This Row],[PMT NO]])-ROW(PaymentSchedule[[#Headers],[PMT NO]])-2)+DAY(LoanStartDate),"")</f>
        <v>48884</v>
      </c>
      <c r="D173" s="431">
        <f ca="1">IF(PaymentSchedule[[#This Row],[PMT NO]]&lt;&gt;"",IF(ROW()-ROW(PaymentSchedule[[#Headers],[BEGINNING BALANCE]])=1,LoanAmount,INDEX(PaymentSchedule[ENDING BALANCE],ROW()-ROW(PaymentSchedule[[#Headers],[BEGINNING BALANCE]])-1)),"")</f>
        <v>1527635.9049108592</v>
      </c>
      <c r="E173" s="431">
        <f ca="1">IF(PaymentSchedule[[#This Row],[PMT NO]]&lt;&gt;"",ScheduledPayment,"")</f>
        <v>9423.6334368029093</v>
      </c>
      <c r="F17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3" s="431">
        <f ca="1">IF(PaymentSchedule[[#This Row],[PMT NO]]&lt;&gt;"",PaymentSchedule[[#This Row],[TOTAL PAYMENT]]-PaymentSchedule[[#This Row],[INTEREST]],"")</f>
        <v>6241.0586349052865</v>
      </c>
      <c r="I173" s="431">
        <f ca="1">IF(PaymentSchedule[[#This Row],[PMT NO]]&lt;&gt;"",PaymentSchedule[[#This Row],[BEGINNING BALANCE]]*(InterestRate/PaymentsPerYear),"")</f>
        <v>3182.5748018976233</v>
      </c>
      <c r="J17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1521394.8462759538</v>
      </c>
      <c r="K173" s="431">
        <f ca="1">IF(PaymentSchedule[[#This Row],[PMT NO]]&lt;&gt;"",SUM(INDEX(PaymentSchedule[INTEREST],1,1):PaymentSchedule[[#This Row],[INTEREST]]),"")</f>
        <v>672447.09647482645</v>
      </c>
    </row>
    <row r="174" spans="2:11">
      <c r="B174" s="432">
        <f ca="1">IF(LoanIsGood,IF(ROW()-ROW(PaymentSchedule[[#Headers],[PMT NO]])&gt;ScheduledNumberOfPayments,"",ROW()-ROW(PaymentSchedule[[#Headers],[PMT NO]])),"")</f>
        <v>164</v>
      </c>
      <c r="C174" s="430">
        <f ca="1">IF(PaymentSchedule[[#This Row],[PMT NO]]&lt;&gt;"",EOMONTH(LoanStartDate,ROW(PaymentSchedule[[#This Row],[PMT NO]])-ROW(PaymentSchedule[[#Headers],[PMT NO]])-2)+DAY(LoanStartDate),"")</f>
        <v>48914</v>
      </c>
      <c r="D174" s="431">
        <f ca="1">IF(PaymentSchedule[[#This Row],[PMT NO]]&lt;&gt;"",IF(ROW()-ROW(PaymentSchedule[[#Headers],[BEGINNING BALANCE]])=1,LoanAmount,INDEX(PaymentSchedule[ENDING BALANCE],ROW()-ROW(PaymentSchedule[[#Headers],[BEGINNING BALANCE]])-1)),"")</f>
        <v>1521394.8462759538</v>
      </c>
      <c r="E174" s="431">
        <f ca="1">IF(PaymentSchedule[[#This Row],[PMT NO]]&lt;&gt;"",ScheduledPayment,"")</f>
        <v>9423.6334368029093</v>
      </c>
      <c r="F17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4" s="431">
        <f ca="1">IF(PaymentSchedule[[#This Row],[PMT NO]]&lt;&gt;"",PaymentSchedule[[#This Row],[TOTAL PAYMENT]]-PaymentSchedule[[#This Row],[INTEREST]],"")</f>
        <v>6254.0608403946717</v>
      </c>
      <c r="I174" s="431">
        <f ca="1">IF(PaymentSchedule[[#This Row],[PMT NO]]&lt;&gt;"",PaymentSchedule[[#This Row],[BEGINNING BALANCE]]*(InterestRate/PaymentsPerYear),"")</f>
        <v>3169.5725964082371</v>
      </c>
      <c r="J17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1515140.7854355592</v>
      </c>
      <c r="K174" s="431">
        <f ca="1">IF(PaymentSchedule[[#This Row],[PMT NO]]&lt;&gt;"",SUM(INDEX(PaymentSchedule[INTEREST],1,1):PaymentSchedule[[#This Row],[INTEREST]]),"")</f>
        <v>675616.66907123465</v>
      </c>
    </row>
    <row r="175" spans="2:11">
      <c r="B175" s="432">
        <f ca="1">IF(LoanIsGood,IF(ROW()-ROW(PaymentSchedule[[#Headers],[PMT NO]])&gt;ScheduledNumberOfPayments,"",ROW()-ROW(PaymentSchedule[[#Headers],[PMT NO]])),"")</f>
        <v>165</v>
      </c>
      <c r="C175" s="430">
        <f ca="1">IF(PaymentSchedule[[#This Row],[PMT NO]]&lt;&gt;"",EOMONTH(LoanStartDate,ROW(PaymentSchedule[[#This Row],[PMT NO]])-ROW(PaymentSchedule[[#Headers],[PMT NO]])-2)+DAY(LoanStartDate),"")</f>
        <v>48945</v>
      </c>
      <c r="D175" s="431">
        <f ca="1">IF(PaymentSchedule[[#This Row],[PMT NO]]&lt;&gt;"",IF(ROW()-ROW(PaymentSchedule[[#Headers],[BEGINNING BALANCE]])=1,LoanAmount,INDEX(PaymentSchedule[ENDING BALANCE],ROW()-ROW(PaymentSchedule[[#Headers],[BEGINNING BALANCE]])-1)),"")</f>
        <v>1515140.7854355592</v>
      </c>
      <c r="E175" s="431">
        <f ca="1">IF(PaymentSchedule[[#This Row],[PMT NO]]&lt;&gt;"",ScheduledPayment,"")</f>
        <v>9423.6334368029093</v>
      </c>
      <c r="F17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5" s="431">
        <f ca="1">IF(PaymentSchedule[[#This Row],[PMT NO]]&lt;&gt;"",PaymentSchedule[[#This Row],[TOTAL PAYMENT]]-PaymentSchedule[[#This Row],[INTEREST]],"")</f>
        <v>6267.0901338121603</v>
      </c>
      <c r="I175" s="431">
        <f ca="1">IF(PaymentSchedule[[#This Row],[PMT NO]]&lt;&gt;"",PaymentSchedule[[#This Row],[BEGINNING BALANCE]]*(InterestRate/PaymentsPerYear),"")</f>
        <v>3156.5433029907485</v>
      </c>
      <c r="J17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1508873.6953017472</v>
      </c>
      <c r="K175" s="431">
        <f ca="1">IF(PaymentSchedule[[#This Row],[PMT NO]]&lt;&gt;"",SUM(INDEX(PaymentSchedule[INTEREST],1,1):PaymentSchedule[[#This Row],[INTEREST]]),"")</f>
        <v>678773.21237422538</v>
      </c>
    </row>
    <row r="176" spans="2:11">
      <c r="B176" s="432">
        <f ca="1">IF(LoanIsGood,IF(ROW()-ROW(PaymentSchedule[[#Headers],[PMT NO]])&gt;ScheduledNumberOfPayments,"",ROW()-ROW(PaymentSchedule[[#Headers],[PMT NO]])),"")</f>
        <v>166</v>
      </c>
      <c r="C176" s="430">
        <f ca="1">IF(PaymentSchedule[[#This Row],[PMT NO]]&lt;&gt;"",EOMONTH(LoanStartDate,ROW(PaymentSchedule[[#This Row],[PMT NO]])-ROW(PaymentSchedule[[#Headers],[PMT NO]])-2)+DAY(LoanStartDate),"")</f>
        <v>48976</v>
      </c>
      <c r="D176" s="431">
        <f ca="1">IF(PaymentSchedule[[#This Row],[PMT NO]]&lt;&gt;"",IF(ROW()-ROW(PaymentSchedule[[#Headers],[BEGINNING BALANCE]])=1,LoanAmount,INDEX(PaymentSchedule[ENDING BALANCE],ROW()-ROW(PaymentSchedule[[#Headers],[BEGINNING BALANCE]])-1)),"")</f>
        <v>1508873.6953017472</v>
      </c>
      <c r="E176" s="431">
        <f ca="1">IF(PaymentSchedule[[#This Row],[PMT NO]]&lt;&gt;"",ScheduledPayment,"")</f>
        <v>9423.6334368029093</v>
      </c>
      <c r="F17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6" s="431">
        <f ca="1">IF(PaymentSchedule[[#This Row],[PMT NO]]&lt;&gt;"",PaymentSchedule[[#This Row],[TOTAL PAYMENT]]-PaymentSchedule[[#This Row],[INTEREST]],"")</f>
        <v>6280.1465715909362</v>
      </c>
      <c r="I176" s="431">
        <f ca="1">IF(PaymentSchedule[[#This Row],[PMT NO]]&lt;&gt;"",PaymentSchedule[[#This Row],[BEGINNING BALANCE]]*(InterestRate/PaymentsPerYear),"")</f>
        <v>3143.4868652119731</v>
      </c>
      <c r="J17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1502593.5487301562</v>
      </c>
      <c r="K176" s="431">
        <f ca="1">IF(PaymentSchedule[[#This Row],[PMT NO]]&lt;&gt;"",SUM(INDEX(PaymentSchedule[INTEREST],1,1):PaymentSchedule[[#This Row],[INTEREST]]),"")</f>
        <v>681916.69923943735</v>
      </c>
    </row>
    <row r="177" spans="2:11">
      <c r="B177" s="432">
        <f ca="1">IF(LoanIsGood,IF(ROW()-ROW(PaymentSchedule[[#Headers],[PMT NO]])&gt;ScheduledNumberOfPayments,"",ROW()-ROW(PaymentSchedule[[#Headers],[PMT NO]])),"")</f>
        <v>167</v>
      </c>
      <c r="C177" s="430">
        <f ca="1">IF(PaymentSchedule[[#This Row],[PMT NO]]&lt;&gt;"",EOMONTH(LoanStartDate,ROW(PaymentSchedule[[#This Row],[PMT NO]])-ROW(PaymentSchedule[[#Headers],[PMT NO]])-2)+DAY(LoanStartDate),"")</f>
        <v>49004</v>
      </c>
      <c r="D177" s="431">
        <f ca="1">IF(PaymentSchedule[[#This Row],[PMT NO]]&lt;&gt;"",IF(ROW()-ROW(PaymentSchedule[[#Headers],[BEGINNING BALANCE]])=1,LoanAmount,INDEX(PaymentSchedule[ENDING BALANCE],ROW()-ROW(PaymentSchedule[[#Headers],[BEGINNING BALANCE]])-1)),"")</f>
        <v>1502593.5487301562</v>
      </c>
      <c r="E177" s="431">
        <f ca="1">IF(PaymentSchedule[[#This Row],[PMT NO]]&lt;&gt;"",ScheduledPayment,"")</f>
        <v>9423.6334368029093</v>
      </c>
      <c r="F17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7" s="431">
        <f ca="1">IF(PaymentSchedule[[#This Row],[PMT NO]]&lt;&gt;"",PaymentSchedule[[#This Row],[TOTAL PAYMENT]]-PaymentSchedule[[#This Row],[INTEREST]],"")</f>
        <v>6293.2302102817503</v>
      </c>
      <c r="I177" s="431">
        <f ca="1">IF(PaymentSchedule[[#This Row],[PMT NO]]&lt;&gt;"",PaymentSchedule[[#This Row],[BEGINNING BALANCE]]*(InterestRate/PaymentsPerYear),"")</f>
        <v>3130.4032265211586</v>
      </c>
      <c r="J17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1496300.3185198745</v>
      </c>
      <c r="K177" s="431">
        <f ca="1">IF(PaymentSchedule[[#This Row],[PMT NO]]&lt;&gt;"",SUM(INDEX(PaymentSchedule[INTEREST],1,1):PaymentSchedule[[#This Row],[INTEREST]]),"")</f>
        <v>685047.10246595857</v>
      </c>
    </row>
    <row r="178" spans="2:11">
      <c r="B178" s="432">
        <f ca="1">IF(LoanIsGood,IF(ROW()-ROW(PaymentSchedule[[#Headers],[PMT NO]])&gt;ScheduledNumberOfPayments,"",ROW()-ROW(PaymentSchedule[[#Headers],[PMT NO]])),"")</f>
        <v>168</v>
      </c>
      <c r="C178" s="430">
        <f ca="1">IF(PaymentSchedule[[#This Row],[PMT NO]]&lt;&gt;"",EOMONTH(LoanStartDate,ROW(PaymentSchedule[[#This Row],[PMT NO]])-ROW(PaymentSchedule[[#Headers],[PMT NO]])-2)+DAY(LoanStartDate),"")</f>
        <v>49035</v>
      </c>
      <c r="D178" s="431">
        <f ca="1">IF(PaymentSchedule[[#This Row],[PMT NO]]&lt;&gt;"",IF(ROW()-ROW(PaymentSchedule[[#Headers],[BEGINNING BALANCE]])=1,LoanAmount,INDEX(PaymentSchedule[ENDING BALANCE],ROW()-ROW(PaymentSchedule[[#Headers],[BEGINNING BALANCE]])-1)),"")</f>
        <v>1496300.3185198745</v>
      </c>
      <c r="E178" s="431">
        <f ca="1">IF(PaymentSchedule[[#This Row],[PMT NO]]&lt;&gt;"",ScheduledPayment,"")</f>
        <v>9423.6334368029093</v>
      </c>
      <c r="F17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8" s="431">
        <f ca="1">IF(PaymentSchedule[[#This Row],[PMT NO]]&lt;&gt;"",PaymentSchedule[[#This Row],[TOTAL PAYMENT]]-PaymentSchedule[[#This Row],[INTEREST]],"")</f>
        <v>6306.3411065531709</v>
      </c>
      <c r="I178" s="431">
        <f ca="1">IF(PaymentSchedule[[#This Row],[PMT NO]]&lt;&gt;"",PaymentSchedule[[#This Row],[BEGINNING BALANCE]]*(InterestRate/PaymentsPerYear),"")</f>
        <v>3117.2923302497384</v>
      </c>
      <c r="J17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1489993.9774133214</v>
      </c>
      <c r="K178" s="431">
        <f ca="1">IF(PaymentSchedule[[#This Row],[PMT NO]]&lt;&gt;"",SUM(INDEX(PaymentSchedule[INTEREST],1,1):PaymentSchedule[[#This Row],[INTEREST]]),"")</f>
        <v>688164.39479620836</v>
      </c>
    </row>
    <row r="179" spans="2:11">
      <c r="B179" s="432">
        <f ca="1">IF(LoanIsGood,IF(ROW()-ROW(PaymentSchedule[[#Headers],[PMT NO]])&gt;ScheduledNumberOfPayments,"",ROW()-ROW(PaymentSchedule[[#Headers],[PMT NO]])),"")</f>
        <v>169</v>
      </c>
      <c r="C179" s="430">
        <f ca="1">IF(PaymentSchedule[[#This Row],[PMT NO]]&lt;&gt;"",EOMONTH(LoanStartDate,ROW(PaymentSchedule[[#This Row],[PMT NO]])-ROW(PaymentSchedule[[#Headers],[PMT NO]])-2)+DAY(LoanStartDate),"")</f>
        <v>49065</v>
      </c>
      <c r="D179" s="431">
        <f ca="1">IF(PaymentSchedule[[#This Row],[PMT NO]]&lt;&gt;"",IF(ROW()-ROW(PaymentSchedule[[#Headers],[BEGINNING BALANCE]])=1,LoanAmount,INDEX(PaymentSchedule[ENDING BALANCE],ROW()-ROW(PaymentSchedule[[#Headers],[BEGINNING BALANCE]])-1)),"")</f>
        <v>1489993.9774133214</v>
      </c>
      <c r="E179" s="431">
        <f ca="1">IF(PaymentSchedule[[#This Row],[PMT NO]]&lt;&gt;"",ScheduledPayment,"")</f>
        <v>9423.6334368029093</v>
      </c>
      <c r="F17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7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79" s="431">
        <f ca="1">IF(PaymentSchedule[[#This Row],[PMT NO]]&lt;&gt;"",PaymentSchedule[[#This Row],[TOTAL PAYMENT]]-PaymentSchedule[[#This Row],[INTEREST]],"")</f>
        <v>6319.4793171918227</v>
      </c>
      <c r="I179" s="431">
        <f ca="1">IF(PaymentSchedule[[#This Row],[PMT NO]]&lt;&gt;"",PaymentSchedule[[#This Row],[BEGINNING BALANCE]]*(InterestRate/PaymentsPerYear),"")</f>
        <v>3104.1541196110861</v>
      </c>
      <c r="J17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1483674.4980961296</v>
      </c>
      <c r="K179" s="431">
        <f ca="1">IF(PaymentSchedule[[#This Row],[PMT NO]]&lt;&gt;"",SUM(INDEX(PaymentSchedule[INTEREST],1,1):PaymentSchedule[[#This Row],[INTEREST]]),"")</f>
        <v>691268.5489158195</v>
      </c>
    </row>
    <row r="180" spans="2:11">
      <c r="B180" s="432">
        <f ca="1">IF(LoanIsGood,IF(ROW()-ROW(PaymentSchedule[[#Headers],[PMT NO]])&gt;ScheduledNumberOfPayments,"",ROW()-ROW(PaymentSchedule[[#Headers],[PMT NO]])),"")</f>
        <v>170</v>
      </c>
      <c r="C180" s="430">
        <f ca="1">IF(PaymentSchedule[[#This Row],[PMT NO]]&lt;&gt;"",EOMONTH(LoanStartDate,ROW(PaymentSchedule[[#This Row],[PMT NO]])-ROW(PaymentSchedule[[#Headers],[PMT NO]])-2)+DAY(LoanStartDate),"")</f>
        <v>49096</v>
      </c>
      <c r="D180" s="431">
        <f ca="1">IF(PaymentSchedule[[#This Row],[PMT NO]]&lt;&gt;"",IF(ROW()-ROW(PaymentSchedule[[#Headers],[BEGINNING BALANCE]])=1,LoanAmount,INDEX(PaymentSchedule[ENDING BALANCE],ROW()-ROW(PaymentSchedule[[#Headers],[BEGINNING BALANCE]])-1)),"")</f>
        <v>1483674.4980961296</v>
      </c>
      <c r="E180" s="431">
        <f ca="1">IF(PaymentSchedule[[#This Row],[PMT NO]]&lt;&gt;"",ScheduledPayment,"")</f>
        <v>9423.6334368029093</v>
      </c>
      <c r="F18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0" s="431">
        <f ca="1">IF(PaymentSchedule[[#This Row],[PMT NO]]&lt;&gt;"",PaymentSchedule[[#This Row],[TOTAL PAYMENT]]-PaymentSchedule[[#This Row],[INTEREST]],"")</f>
        <v>6332.6448991026391</v>
      </c>
      <c r="I180" s="431">
        <f ca="1">IF(PaymentSchedule[[#This Row],[PMT NO]]&lt;&gt;"",PaymentSchedule[[#This Row],[BEGINNING BALANCE]]*(InterestRate/PaymentsPerYear),"")</f>
        <v>3090.9885377002702</v>
      </c>
      <c r="J18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1477341.853197027</v>
      </c>
      <c r="K180" s="431">
        <f ca="1">IF(PaymentSchedule[[#This Row],[PMT NO]]&lt;&gt;"",SUM(INDEX(PaymentSchedule[INTEREST],1,1):PaymentSchedule[[#This Row],[INTEREST]]),"")</f>
        <v>694359.53745351976</v>
      </c>
    </row>
    <row r="181" spans="2:11">
      <c r="B181" s="432">
        <f ca="1">IF(LoanIsGood,IF(ROW()-ROW(PaymentSchedule[[#Headers],[PMT NO]])&gt;ScheduledNumberOfPayments,"",ROW()-ROW(PaymentSchedule[[#Headers],[PMT NO]])),"")</f>
        <v>171</v>
      </c>
      <c r="C181" s="430">
        <f ca="1">IF(PaymentSchedule[[#This Row],[PMT NO]]&lt;&gt;"",EOMONTH(LoanStartDate,ROW(PaymentSchedule[[#This Row],[PMT NO]])-ROW(PaymentSchedule[[#Headers],[PMT NO]])-2)+DAY(LoanStartDate),"")</f>
        <v>49126</v>
      </c>
      <c r="D181" s="431">
        <f ca="1">IF(PaymentSchedule[[#This Row],[PMT NO]]&lt;&gt;"",IF(ROW()-ROW(PaymentSchedule[[#Headers],[BEGINNING BALANCE]])=1,LoanAmount,INDEX(PaymentSchedule[ENDING BALANCE],ROW()-ROW(PaymentSchedule[[#Headers],[BEGINNING BALANCE]])-1)),"")</f>
        <v>1477341.853197027</v>
      </c>
      <c r="E181" s="431">
        <f ca="1">IF(PaymentSchedule[[#This Row],[PMT NO]]&lt;&gt;"",ScheduledPayment,"")</f>
        <v>9423.6334368029093</v>
      </c>
      <c r="F18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1" s="431">
        <f ca="1">IF(PaymentSchedule[[#This Row],[PMT NO]]&lt;&gt;"",PaymentSchedule[[#This Row],[TOTAL PAYMENT]]-PaymentSchedule[[#This Row],[INTEREST]],"")</f>
        <v>6345.8379093091025</v>
      </c>
      <c r="I181" s="431">
        <f ca="1">IF(PaymentSchedule[[#This Row],[PMT NO]]&lt;&gt;"",PaymentSchedule[[#This Row],[BEGINNING BALANCE]]*(InterestRate/PaymentsPerYear),"")</f>
        <v>3077.7955274938063</v>
      </c>
      <c r="J18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1470996.0152877178</v>
      </c>
      <c r="K181" s="431">
        <f ca="1">IF(PaymentSchedule[[#This Row],[PMT NO]]&lt;&gt;"",SUM(INDEX(PaymentSchedule[INTEREST],1,1):PaymentSchedule[[#This Row],[INTEREST]]),"")</f>
        <v>697437.33298101358</v>
      </c>
    </row>
    <row r="182" spans="2:11">
      <c r="B182" s="432">
        <f ca="1">IF(LoanIsGood,IF(ROW()-ROW(PaymentSchedule[[#Headers],[PMT NO]])&gt;ScheduledNumberOfPayments,"",ROW()-ROW(PaymentSchedule[[#Headers],[PMT NO]])),"")</f>
        <v>172</v>
      </c>
      <c r="C182" s="430">
        <f ca="1">IF(PaymentSchedule[[#This Row],[PMT NO]]&lt;&gt;"",EOMONTH(LoanStartDate,ROW(PaymentSchedule[[#This Row],[PMT NO]])-ROW(PaymentSchedule[[#Headers],[PMT NO]])-2)+DAY(LoanStartDate),"")</f>
        <v>49157</v>
      </c>
      <c r="D182" s="431">
        <f ca="1">IF(PaymentSchedule[[#This Row],[PMT NO]]&lt;&gt;"",IF(ROW()-ROW(PaymentSchedule[[#Headers],[BEGINNING BALANCE]])=1,LoanAmount,INDEX(PaymentSchedule[ENDING BALANCE],ROW()-ROW(PaymentSchedule[[#Headers],[BEGINNING BALANCE]])-1)),"")</f>
        <v>1470996.0152877178</v>
      </c>
      <c r="E182" s="431">
        <f ca="1">IF(PaymentSchedule[[#This Row],[PMT NO]]&lt;&gt;"",ScheduledPayment,"")</f>
        <v>9423.6334368029093</v>
      </c>
      <c r="F18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2" s="431">
        <f ca="1">IF(PaymentSchedule[[#This Row],[PMT NO]]&lt;&gt;"",PaymentSchedule[[#This Row],[TOTAL PAYMENT]]-PaymentSchedule[[#This Row],[INTEREST]],"")</f>
        <v>6359.0584049534973</v>
      </c>
      <c r="I182" s="431">
        <f ca="1">IF(PaymentSchedule[[#This Row],[PMT NO]]&lt;&gt;"",PaymentSchedule[[#This Row],[BEGINNING BALANCE]]*(InterestRate/PaymentsPerYear),"")</f>
        <v>3064.575031849412</v>
      </c>
      <c r="J18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1464636.9568827644</v>
      </c>
      <c r="K182" s="431">
        <f ca="1">IF(PaymentSchedule[[#This Row],[PMT NO]]&lt;&gt;"",SUM(INDEX(PaymentSchedule[INTEREST],1,1):PaymentSchedule[[#This Row],[INTEREST]]),"")</f>
        <v>700501.90801286302</v>
      </c>
    </row>
    <row r="183" spans="2:11">
      <c r="B183" s="432">
        <f ca="1">IF(LoanIsGood,IF(ROW()-ROW(PaymentSchedule[[#Headers],[PMT NO]])&gt;ScheduledNumberOfPayments,"",ROW()-ROW(PaymentSchedule[[#Headers],[PMT NO]])),"")</f>
        <v>173</v>
      </c>
      <c r="C183" s="430">
        <f ca="1">IF(PaymentSchedule[[#This Row],[PMT NO]]&lt;&gt;"",EOMONTH(LoanStartDate,ROW(PaymentSchedule[[#This Row],[PMT NO]])-ROW(PaymentSchedule[[#Headers],[PMT NO]])-2)+DAY(LoanStartDate),"")</f>
        <v>49188</v>
      </c>
      <c r="D183" s="431">
        <f ca="1">IF(PaymentSchedule[[#This Row],[PMT NO]]&lt;&gt;"",IF(ROW()-ROW(PaymentSchedule[[#Headers],[BEGINNING BALANCE]])=1,LoanAmount,INDEX(PaymentSchedule[ENDING BALANCE],ROW()-ROW(PaymentSchedule[[#Headers],[BEGINNING BALANCE]])-1)),"")</f>
        <v>1464636.9568827644</v>
      </c>
      <c r="E183" s="431">
        <f ca="1">IF(PaymentSchedule[[#This Row],[PMT NO]]&lt;&gt;"",ScheduledPayment,"")</f>
        <v>9423.6334368029093</v>
      </c>
      <c r="F18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3" s="431">
        <f ca="1">IF(PaymentSchedule[[#This Row],[PMT NO]]&lt;&gt;"",PaymentSchedule[[#This Row],[TOTAL PAYMENT]]-PaymentSchedule[[#This Row],[INTEREST]],"")</f>
        <v>6372.3064432971496</v>
      </c>
      <c r="I183" s="431">
        <f ca="1">IF(PaymentSchedule[[#This Row],[PMT NO]]&lt;&gt;"",PaymentSchedule[[#This Row],[BEGINNING BALANCE]]*(InterestRate/PaymentsPerYear),"")</f>
        <v>3051.3269935057592</v>
      </c>
      <c r="J18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1458264.6504394673</v>
      </c>
      <c r="K183" s="431">
        <f ca="1">IF(PaymentSchedule[[#This Row],[PMT NO]]&lt;&gt;"",SUM(INDEX(PaymentSchedule[INTEREST],1,1):PaymentSchedule[[#This Row],[INTEREST]]),"")</f>
        <v>703553.23500636872</v>
      </c>
    </row>
    <row r="184" spans="2:11">
      <c r="B184" s="432">
        <f ca="1">IF(LoanIsGood,IF(ROW()-ROW(PaymentSchedule[[#Headers],[PMT NO]])&gt;ScheduledNumberOfPayments,"",ROW()-ROW(PaymentSchedule[[#Headers],[PMT NO]])),"")</f>
        <v>174</v>
      </c>
      <c r="C184" s="430">
        <f ca="1">IF(PaymentSchedule[[#This Row],[PMT NO]]&lt;&gt;"",EOMONTH(LoanStartDate,ROW(PaymentSchedule[[#This Row],[PMT NO]])-ROW(PaymentSchedule[[#Headers],[PMT NO]])-2)+DAY(LoanStartDate),"")</f>
        <v>49218</v>
      </c>
      <c r="D184" s="431">
        <f ca="1">IF(PaymentSchedule[[#This Row],[PMT NO]]&lt;&gt;"",IF(ROW()-ROW(PaymentSchedule[[#Headers],[BEGINNING BALANCE]])=1,LoanAmount,INDEX(PaymentSchedule[ENDING BALANCE],ROW()-ROW(PaymentSchedule[[#Headers],[BEGINNING BALANCE]])-1)),"")</f>
        <v>1458264.6504394673</v>
      </c>
      <c r="E184" s="431">
        <f ca="1">IF(PaymentSchedule[[#This Row],[PMT NO]]&lt;&gt;"",ScheduledPayment,"")</f>
        <v>9423.6334368029093</v>
      </c>
      <c r="F18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4" s="431">
        <f ca="1">IF(PaymentSchedule[[#This Row],[PMT NO]]&lt;&gt;"",PaymentSchedule[[#This Row],[TOTAL PAYMENT]]-PaymentSchedule[[#This Row],[INTEREST]],"")</f>
        <v>6385.5820817206859</v>
      </c>
      <c r="I184" s="431">
        <f ca="1">IF(PaymentSchedule[[#This Row],[PMT NO]]&lt;&gt;"",PaymentSchedule[[#This Row],[BEGINNING BALANCE]]*(InterestRate/PaymentsPerYear),"")</f>
        <v>3038.0513550822234</v>
      </c>
      <c r="J18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1451879.0683577466</v>
      </c>
      <c r="K184" s="431">
        <f ca="1">IF(PaymentSchedule[[#This Row],[PMT NO]]&lt;&gt;"",SUM(INDEX(PaymentSchedule[INTEREST],1,1):PaymentSchedule[[#This Row],[INTEREST]]),"")</f>
        <v>706591.28636145091</v>
      </c>
    </row>
    <row r="185" spans="2:11">
      <c r="B185" s="432">
        <f ca="1">IF(LoanIsGood,IF(ROW()-ROW(PaymentSchedule[[#Headers],[PMT NO]])&gt;ScheduledNumberOfPayments,"",ROW()-ROW(PaymentSchedule[[#Headers],[PMT NO]])),"")</f>
        <v>175</v>
      </c>
      <c r="C185" s="430">
        <f ca="1">IF(PaymentSchedule[[#This Row],[PMT NO]]&lt;&gt;"",EOMONTH(LoanStartDate,ROW(PaymentSchedule[[#This Row],[PMT NO]])-ROW(PaymentSchedule[[#Headers],[PMT NO]])-2)+DAY(LoanStartDate),"")</f>
        <v>49249</v>
      </c>
      <c r="D185" s="431">
        <f ca="1">IF(PaymentSchedule[[#This Row],[PMT NO]]&lt;&gt;"",IF(ROW()-ROW(PaymentSchedule[[#Headers],[BEGINNING BALANCE]])=1,LoanAmount,INDEX(PaymentSchedule[ENDING BALANCE],ROW()-ROW(PaymentSchedule[[#Headers],[BEGINNING BALANCE]])-1)),"")</f>
        <v>1451879.0683577466</v>
      </c>
      <c r="E185" s="431">
        <f ca="1">IF(PaymentSchedule[[#This Row],[PMT NO]]&lt;&gt;"",ScheduledPayment,"")</f>
        <v>9423.6334368029093</v>
      </c>
      <c r="F18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5" s="431">
        <f ca="1">IF(PaymentSchedule[[#This Row],[PMT NO]]&lt;&gt;"",PaymentSchedule[[#This Row],[TOTAL PAYMENT]]-PaymentSchedule[[#This Row],[INTEREST]],"")</f>
        <v>6398.8853777242712</v>
      </c>
      <c r="I185" s="431">
        <f ca="1">IF(PaymentSchedule[[#This Row],[PMT NO]]&lt;&gt;"",PaymentSchedule[[#This Row],[BEGINNING BALANCE]]*(InterestRate/PaymentsPerYear),"")</f>
        <v>3024.7480590786386</v>
      </c>
      <c r="J18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1445480.1829800224</v>
      </c>
      <c r="K185" s="431">
        <f ca="1">IF(PaymentSchedule[[#This Row],[PMT NO]]&lt;&gt;"",SUM(INDEX(PaymentSchedule[INTEREST],1,1):PaymentSchedule[[#This Row],[INTEREST]]),"")</f>
        <v>709616.0344205295</v>
      </c>
    </row>
    <row r="186" spans="2:11">
      <c r="B186" s="432">
        <f ca="1">IF(LoanIsGood,IF(ROW()-ROW(PaymentSchedule[[#Headers],[PMT NO]])&gt;ScheduledNumberOfPayments,"",ROW()-ROW(PaymentSchedule[[#Headers],[PMT NO]])),"")</f>
        <v>176</v>
      </c>
      <c r="C186" s="430">
        <f ca="1">IF(PaymentSchedule[[#This Row],[PMT NO]]&lt;&gt;"",EOMONTH(LoanStartDate,ROW(PaymentSchedule[[#This Row],[PMT NO]])-ROW(PaymentSchedule[[#Headers],[PMT NO]])-2)+DAY(LoanStartDate),"")</f>
        <v>49279</v>
      </c>
      <c r="D186" s="431">
        <f ca="1">IF(PaymentSchedule[[#This Row],[PMT NO]]&lt;&gt;"",IF(ROW()-ROW(PaymentSchedule[[#Headers],[BEGINNING BALANCE]])=1,LoanAmount,INDEX(PaymentSchedule[ENDING BALANCE],ROW()-ROW(PaymentSchedule[[#Headers],[BEGINNING BALANCE]])-1)),"")</f>
        <v>1445480.1829800224</v>
      </c>
      <c r="E186" s="431">
        <f ca="1">IF(PaymentSchedule[[#This Row],[PMT NO]]&lt;&gt;"",ScheduledPayment,"")</f>
        <v>9423.6334368029093</v>
      </c>
      <c r="F18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6" s="431">
        <f ca="1">IF(PaymentSchedule[[#This Row],[PMT NO]]&lt;&gt;"",PaymentSchedule[[#This Row],[TOTAL PAYMENT]]-PaymentSchedule[[#This Row],[INTEREST]],"")</f>
        <v>6412.2163889278627</v>
      </c>
      <c r="I186" s="431">
        <f ca="1">IF(PaymentSchedule[[#This Row],[PMT NO]]&lt;&gt;"",PaymentSchedule[[#This Row],[BEGINNING BALANCE]]*(InterestRate/PaymentsPerYear),"")</f>
        <v>3011.4170478750466</v>
      </c>
      <c r="J18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1439067.9665910946</v>
      </c>
      <c r="K186" s="431">
        <f ca="1">IF(PaymentSchedule[[#This Row],[PMT NO]]&lt;&gt;"",SUM(INDEX(PaymentSchedule[INTEREST],1,1):PaymentSchedule[[#This Row],[INTEREST]]),"")</f>
        <v>712627.4514684045</v>
      </c>
    </row>
    <row r="187" spans="2:11">
      <c r="B187" s="432">
        <f ca="1">IF(LoanIsGood,IF(ROW()-ROW(PaymentSchedule[[#Headers],[PMT NO]])&gt;ScheduledNumberOfPayments,"",ROW()-ROW(PaymentSchedule[[#Headers],[PMT NO]])),"")</f>
        <v>177</v>
      </c>
      <c r="C187" s="430">
        <f ca="1">IF(PaymentSchedule[[#This Row],[PMT NO]]&lt;&gt;"",EOMONTH(LoanStartDate,ROW(PaymentSchedule[[#This Row],[PMT NO]])-ROW(PaymentSchedule[[#Headers],[PMT NO]])-2)+DAY(LoanStartDate),"")</f>
        <v>49310</v>
      </c>
      <c r="D187" s="431">
        <f ca="1">IF(PaymentSchedule[[#This Row],[PMT NO]]&lt;&gt;"",IF(ROW()-ROW(PaymentSchedule[[#Headers],[BEGINNING BALANCE]])=1,LoanAmount,INDEX(PaymentSchedule[ENDING BALANCE],ROW()-ROW(PaymentSchedule[[#Headers],[BEGINNING BALANCE]])-1)),"")</f>
        <v>1439067.9665910946</v>
      </c>
      <c r="E187" s="431">
        <f ca="1">IF(PaymentSchedule[[#This Row],[PMT NO]]&lt;&gt;"",ScheduledPayment,"")</f>
        <v>9423.6334368029093</v>
      </c>
      <c r="F18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7" s="431">
        <f ca="1">IF(PaymentSchedule[[#This Row],[PMT NO]]&lt;&gt;"",PaymentSchedule[[#This Row],[TOTAL PAYMENT]]-PaymentSchedule[[#This Row],[INTEREST]],"")</f>
        <v>6425.5751730714619</v>
      </c>
      <c r="I187" s="431">
        <f ca="1">IF(PaymentSchedule[[#This Row],[PMT NO]]&lt;&gt;"",PaymentSchedule[[#This Row],[BEGINNING BALANCE]]*(InterestRate/PaymentsPerYear),"")</f>
        <v>2998.0582637314469</v>
      </c>
      <c r="J18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1432642.3914180233</v>
      </c>
      <c r="K187" s="431">
        <f ca="1">IF(PaymentSchedule[[#This Row],[PMT NO]]&lt;&gt;"",SUM(INDEX(PaymentSchedule[INTEREST],1,1):PaymentSchedule[[#This Row],[INTEREST]]),"")</f>
        <v>715625.50973213592</v>
      </c>
    </row>
    <row r="188" spans="2:11">
      <c r="B188" s="432">
        <f ca="1">IF(LoanIsGood,IF(ROW()-ROW(PaymentSchedule[[#Headers],[PMT NO]])&gt;ScheduledNumberOfPayments,"",ROW()-ROW(PaymentSchedule[[#Headers],[PMT NO]])),"")</f>
        <v>178</v>
      </c>
      <c r="C188" s="430">
        <f ca="1">IF(PaymentSchedule[[#This Row],[PMT NO]]&lt;&gt;"",EOMONTH(LoanStartDate,ROW(PaymentSchedule[[#This Row],[PMT NO]])-ROW(PaymentSchedule[[#Headers],[PMT NO]])-2)+DAY(LoanStartDate),"")</f>
        <v>49341</v>
      </c>
      <c r="D188" s="431">
        <f ca="1">IF(PaymentSchedule[[#This Row],[PMT NO]]&lt;&gt;"",IF(ROW()-ROW(PaymentSchedule[[#Headers],[BEGINNING BALANCE]])=1,LoanAmount,INDEX(PaymentSchedule[ENDING BALANCE],ROW()-ROW(PaymentSchedule[[#Headers],[BEGINNING BALANCE]])-1)),"")</f>
        <v>1432642.3914180233</v>
      </c>
      <c r="E188" s="431">
        <f ca="1">IF(PaymentSchedule[[#This Row],[PMT NO]]&lt;&gt;"",ScheduledPayment,"")</f>
        <v>9423.6334368029093</v>
      </c>
      <c r="F18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8" s="431">
        <f ca="1">IF(PaymentSchedule[[#This Row],[PMT NO]]&lt;&gt;"",PaymentSchedule[[#This Row],[TOTAL PAYMENT]]-PaymentSchedule[[#This Row],[INTEREST]],"")</f>
        <v>6438.961788015361</v>
      </c>
      <c r="I188" s="431">
        <f ca="1">IF(PaymentSchedule[[#This Row],[PMT NO]]&lt;&gt;"",PaymentSchedule[[#This Row],[BEGINNING BALANCE]]*(InterestRate/PaymentsPerYear),"")</f>
        <v>2984.6716487875483</v>
      </c>
      <c r="J18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1426203.4296300078</v>
      </c>
      <c r="K188" s="431">
        <f ca="1">IF(PaymentSchedule[[#This Row],[PMT NO]]&lt;&gt;"",SUM(INDEX(PaymentSchedule[INTEREST],1,1):PaymentSchedule[[#This Row],[INTEREST]]),"")</f>
        <v>718610.18138092349</v>
      </c>
    </row>
    <row r="189" spans="2:11">
      <c r="B189" s="432">
        <f ca="1">IF(LoanIsGood,IF(ROW()-ROW(PaymentSchedule[[#Headers],[PMT NO]])&gt;ScheduledNumberOfPayments,"",ROW()-ROW(PaymentSchedule[[#Headers],[PMT NO]])),"")</f>
        <v>179</v>
      </c>
      <c r="C189" s="430">
        <f ca="1">IF(PaymentSchedule[[#This Row],[PMT NO]]&lt;&gt;"",EOMONTH(LoanStartDate,ROW(PaymentSchedule[[#This Row],[PMT NO]])-ROW(PaymentSchedule[[#Headers],[PMT NO]])-2)+DAY(LoanStartDate),"")</f>
        <v>49369</v>
      </c>
      <c r="D189" s="431">
        <f ca="1">IF(PaymentSchedule[[#This Row],[PMT NO]]&lt;&gt;"",IF(ROW()-ROW(PaymentSchedule[[#Headers],[BEGINNING BALANCE]])=1,LoanAmount,INDEX(PaymentSchedule[ENDING BALANCE],ROW()-ROW(PaymentSchedule[[#Headers],[BEGINNING BALANCE]])-1)),"")</f>
        <v>1426203.4296300078</v>
      </c>
      <c r="E189" s="431">
        <f ca="1">IF(PaymentSchedule[[#This Row],[PMT NO]]&lt;&gt;"",ScheduledPayment,"")</f>
        <v>9423.6334368029093</v>
      </c>
      <c r="F18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8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89" s="431">
        <f ca="1">IF(PaymentSchedule[[#This Row],[PMT NO]]&lt;&gt;"",PaymentSchedule[[#This Row],[TOTAL PAYMENT]]-PaymentSchedule[[#This Row],[INTEREST]],"")</f>
        <v>6452.3762917403928</v>
      </c>
      <c r="I189" s="431">
        <f ca="1">IF(PaymentSchedule[[#This Row],[PMT NO]]&lt;&gt;"",PaymentSchedule[[#This Row],[BEGINNING BALANCE]]*(InterestRate/PaymentsPerYear),"")</f>
        <v>2971.2571450625164</v>
      </c>
      <c r="J18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1419751.0533382674</v>
      </c>
      <c r="K189" s="431">
        <f ca="1">IF(PaymentSchedule[[#This Row],[PMT NO]]&lt;&gt;"",SUM(INDEX(PaymentSchedule[INTEREST],1,1):PaymentSchedule[[#This Row],[INTEREST]]),"")</f>
        <v>721581.43852598604</v>
      </c>
    </row>
    <row r="190" spans="2:11">
      <c r="B190" s="432">
        <f ca="1">IF(LoanIsGood,IF(ROW()-ROW(PaymentSchedule[[#Headers],[PMT NO]])&gt;ScheduledNumberOfPayments,"",ROW()-ROW(PaymentSchedule[[#Headers],[PMT NO]])),"")</f>
        <v>180</v>
      </c>
      <c r="C190" s="430">
        <f ca="1">IF(PaymentSchedule[[#This Row],[PMT NO]]&lt;&gt;"",EOMONTH(LoanStartDate,ROW(PaymentSchedule[[#This Row],[PMT NO]])-ROW(PaymentSchedule[[#Headers],[PMT NO]])-2)+DAY(LoanStartDate),"")</f>
        <v>49400</v>
      </c>
      <c r="D190" s="431">
        <f ca="1">IF(PaymentSchedule[[#This Row],[PMT NO]]&lt;&gt;"",IF(ROW()-ROW(PaymentSchedule[[#Headers],[BEGINNING BALANCE]])=1,LoanAmount,INDEX(PaymentSchedule[ENDING BALANCE],ROW()-ROW(PaymentSchedule[[#Headers],[BEGINNING BALANCE]])-1)),"")</f>
        <v>1419751.0533382674</v>
      </c>
      <c r="E190" s="431">
        <f ca="1">IF(PaymentSchedule[[#This Row],[PMT NO]]&lt;&gt;"",ScheduledPayment,"")</f>
        <v>9423.6334368029093</v>
      </c>
      <c r="F19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0" s="431">
        <f ca="1">IF(PaymentSchedule[[#This Row],[PMT NO]]&lt;&gt;"",PaymentSchedule[[#This Row],[TOTAL PAYMENT]]-PaymentSchedule[[#This Row],[INTEREST]],"")</f>
        <v>6465.818742348185</v>
      </c>
      <c r="I190" s="431">
        <f ca="1">IF(PaymentSchedule[[#This Row],[PMT NO]]&lt;&gt;"",PaymentSchedule[[#This Row],[BEGINNING BALANCE]]*(InterestRate/PaymentsPerYear),"")</f>
        <v>2957.8146944547238</v>
      </c>
      <c r="J19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1413285.2345959193</v>
      </c>
      <c r="K190" s="431">
        <f ca="1">IF(PaymentSchedule[[#This Row],[PMT NO]]&lt;&gt;"",SUM(INDEX(PaymentSchedule[INTEREST],1,1):PaymentSchedule[[#This Row],[INTEREST]]),"")</f>
        <v>724539.25322044082</v>
      </c>
    </row>
    <row r="191" spans="2:11">
      <c r="B191" s="432">
        <f ca="1">IF(LoanIsGood,IF(ROW()-ROW(PaymentSchedule[[#Headers],[PMT NO]])&gt;ScheduledNumberOfPayments,"",ROW()-ROW(PaymentSchedule[[#Headers],[PMT NO]])),"")</f>
        <v>181</v>
      </c>
      <c r="C191" s="430">
        <f ca="1">IF(PaymentSchedule[[#This Row],[PMT NO]]&lt;&gt;"",EOMONTH(LoanStartDate,ROW(PaymentSchedule[[#This Row],[PMT NO]])-ROW(PaymentSchedule[[#Headers],[PMT NO]])-2)+DAY(LoanStartDate),"")</f>
        <v>49430</v>
      </c>
      <c r="D191" s="431">
        <f ca="1">IF(PaymentSchedule[[#This Row],[PMT NO]]&lt;&gt;"",IF(ROW()-ROW(PaymentSchedule[[#Headers],[BEGINNING BALANCE]])=1,LoanAmount,INDEX(PaymentSchedule[ENDING BALANCE],ROW()-ROW(PaymentSchedule[[#Headers],[BEGINNING BALANCE]])-1)),"")</f>
        <v>1413285.2345959193</v>
      </c>
      <c r="E191" s="431">
        <f ca="1">IF(PaymentSchedule[[#This Row],[PMT NO]]&lt;&gt;"",ScheduledPayment,"")</f>
        <v>9423.6334368029093</v>
      </c>
      <c r="F19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1" s="431">
        <f ca="1">IF(PaymentSchedule[[#This Row],[PMT NO]]&lt;&gt;"",PaymentSchedule[[#This Row],[TOTAL PAYMENT]]-PaymentSchedule[[#This Row],[INTEREST]],"")</f>
        <v>6479.2891980614113</v>
      </c>
      <c r="I191" s="431">
        <f ca="1">IF(PaymentSchedule[[#This Row],[PMT NO]]&lt;&gt;"",PaymentSchedule[[#This Row],[BEGINNING BALANCE]]*(InterestRate/PaymentsPerYear),"")</f>
        <v>2944.3442387414984</v>
      </c>
      <c r="J19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1406805.9453978578</v>
      </c>
      <c r="K191" s="431">
        <f ca="1">IF(PaymentSchedule[[#This Row],[PMT NO]]&lt;&gt;"",SUM(INDEX(PaymentSchedule[INTEREST],1,1):PaymentSchedule[[#This Row],[INTEREST]]),"")</f>
        <v>727483.59745918238</v>
      </c>
    </row>
    <row r="192" spans="2:11">
      <c r="B192" s="432">
        <f ca="1">IF(LoanIsGood,IF(ROW()-ROW(PaymentSchedule[[#Headers],[PMT NO]])&gt;ScheduledNumberOfPayments,"",ROW()-ROW(PaymentSchedule[[#Headers],[PMT NO]])),"")</f>
        <v>182</v>
      </c>
      <c r="C192" s="430">
        <f ca="1">IF(PaymentSchedule[[#This Row],[PMT NO]]&lt;&gt;"",EOMONTH(LoanStartDate,ROW(PaymentSchedule[[#This Row],[PMT NO]])-ROW(PaymentSchedule[[#Headers],[PMT NO]])-2)+DAY(LoanStartDate),"")</f>
        <v>49461</v>
      </c>
      <c r="D192" s="431">
        <f ca="1">IF(PaymentSchedule[[#This Row],[PMT NO]]&lt;&gt;"",IF(ROW()-ROW(PaymentSchedule[[#Headers],[BEGINNING BALANCE]])=1,LoanAmount,INDEX(PaymentSchedule[ENDING BALANCE],ROW()-ROW(PaymentSchedule[[#Headers],[BEGINNING BALANCE]])-1)),"")</f>
        <v>1406805.9453978578</v>
      </c>
      <c r="E192" s="431">
        <f ca="1">IF(PaymentSchedule[[#This Row],[PMT NO]]&lt;&gt;"",ScheduledPayment,"")</f>
        <v>9423.6334368029093</v>
      </c>
      <c r="F19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2" s="431">
        <f ca="1">IF(PaymentSchedule[[#This Row],[PMT NO]]&lt;&gt;"",PaymentSchedule[[#This Row],[TOTAL PAYMENT]]-PaymentSchedule[[#This Row],[INTEREST]],"")</f>
        <v>6492.7877172240387</v>
      </c>
      <c r="I192" s="431">
        <f ca="1">IF(PaymentSchedule[[#This Row],[PMT NO]]&lt;&gt;"",PaymentSchedule[[#This Row],[BEGINNING BALANCE]]*(InterestRate/PaymentsPerYear),"")</f>
        <v>2930.8457195788706</v>
      </c>
      <c r="J19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1400313.1576806337</v>
      </c>
      <c r="K192" s="431">
        <f ca="1">IF(PaymentSchedule[[#This Row],[PMT NO]]&lt;&gt;"",SUM(INDEX(PaymentSchedule[INTEREST],1,1):PaymentSchedule[[#This Row],[INTEREST]]),"")</f>
        <v>730414.44317876128</v>
      </c>
    </row>
    <row r="193" spans="2:11">
      <c r="B193" s="432">
        <f ca="1">IF(LoanIsGood,IF(ROW()-ROW(PaymentSchedule[[#Headers],[PMT NO]])&gt;ScheduledNumberOfPayments,"",ROW()-ROW(PaymentSchedule[[#Headers],[PMT NO]])),"")</f>
        <v>183</v>
      </c>
      <c r="C193" s="430">
        <f ca="1">IF(PaymentSchedule[[#This Row],[PMT NO]]&lt;&gt;"",EOMONTH(LoanStartDate,ROW(PaymentSchedule[[#This Row],[PMT NO]])-ROW(PaymentSchedule[[#Headers],[PMT NO]])-2)+DAY(LoanStartDate),"")</f>
        <v>49491</v>
      </c>
      <c r="D193" s="431">
        <f ca="1">IF(PaymentSchedule[[#This Row],[PMT NO]]&lt;&gt;"",IF(ROW()-ROW(PaymentSchedule[[#Headers],[BEGINNING BALANCE]])=1,LoanAmount,INDEX(PaymentSchedule[ENDING BALANCE],ROW()-ROW(PaymentSchedule[[#Headers],[BEGINNING BALANCE]])-1)),"")</f>
        <v>1400313.1576806337</v>
      </c>
      <c r="E193" s="431">
        <f ca="1">IF(PaymentSchedule[[#This Row],[PMT NO]]&lt;&gt;"",ScheduledPayment,"")</f>
        <v>9423.6334368029093</v>
      </c>
      <c r="F19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3" s="431">
        <f ca="1">IF(PaymentSchedule[[#This Row],[PMT NO]]&lt;&gt;"",PaymentSchedule[[#This Row],[TOTAL PAYMENT]]-PaymentSchedule[[#This Row],[INTEREST]],"")</f>
        <v>6506.314358301589</v>
      </c>
      <c r="I193" s="431">
        <f ca="1">IF(PaymentSchedule[[#This Row],[PMT NO]]&lt;&gt;"",PaymentSchedule[[#This Row],[BEGINNING BALANCE]]*(InterestRate/PaymentsPerYear),"")</f>
        <v>2917.3190785013203</v>
      </c>
      <c r="J19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1393806.843322332</v>
      </c>
      <c r="K193" s="431">
        <f ca="1">IF(PaymentSchedule[[#This Row],[PMT NO]]&lt;&gt;"",SUM(INDEX(PaymentSchedule[INTEREST],1,1):PaymentSchedule[[#This Row],[INTEREST]]),"")</f>
        <v>733331.7622572626</v>
      </c>
    </row>
    <row r="194" spans="2:11">
      <c r="B194" s="432">
        <f ca="1">IF(LoanIsGood,IF(ROW()-ROW(PaymentSchedule[[#Headers],[PMT NO]])&gt;ScheduledNumberOfPayments,"",ROW()-ROW(PaymentSchedule[[#Headers],[PMT NO]])),"")</f>
        <v>184</v>
      </c>
      <c r="C194" s="430">
        <f ca="1">IF(PaymentSchedule[[#This Row],[PMT NO]]&lt;&gt;"",EOMONTH(LoanStartDate,ROW(PaymentSchedule[[#This Row],[PMT NO]])-ROW(PaymentSchedule[[#Headers],[PMT NO]])-2)+DAY(LoanStartDate),"")</f>
        <v>49522</v>
      </c>
      <c r="D194" s="431">
        <f ca="1">IF(PaymentSchedule[[#This Row],[PMT NO]]&lt;&gt;"",IF(ROW()-ROW(PaymentSchedule[[#Headers],[BEGINNING BALANCE]])=1,LoanAmount,INDEX(PaymentSchedule[ENDING BALANCE],ROW()-ROW(PaymentSchedule[[#Headers],[BEGINNING BALANCE]])-1)),"")</f>
        <v>1393806.843322332</v>
      </c>
      <c r="E194" s="431">
        <f ca="1">IF(PaymentSchedule[[#This Row],[PMT NO]]&lt;&gt;"",ScheduledPayment,"")</f>
        <v>9423.6334368029093</v>
      </c>
      <c r="F19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4" s="431">
        <f ca="1">IF(PaymentSchedule[[#This Row],[PMT NO]]&lt;&gt;"",PaymentSchedule[[#This Row],[TOTAL PAYMENT]]-PaymentSchedule[[#This Row],[INTEREST]],"")</f>
        <v>6519.8691798813843</v>
      </c>
      <c r="I194" s="431">
        <f ca="1">IF(PaymentSchedule[[#This Row],[PMT NO]]&lt;&gt;"",PaymentSchedule[[#This Row],[BEGINNING BALANCE]]*(InterestRate/PaymentsPerYear),"")</f>
        <v>2903.764256921525</v>
      </c>
      <c r="J19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1387286.9741424506</v>
      </c>
      <c r="K194" s="431">
        <f ca="1">IF(PaymentSchedule[[#This Row],[PMT NO]]&lt;&gt;"",SUM(INDEX(PaymentSchedule[INTEREST],1,1):PaymentSchedule[[#This Row],[INTEREST]]),"")</f>
        <v>736235.52651418408</v>
      </c>
    </row>
    <row r="195" spans="2:11">
      <c r="B195" s="432">
        <f ca="1">IF(LoanIsGood,IF(ROW()-ROW(PaymentSchedule[[#Headers],[PMT NO]])&gt;ScheduledNumberOfPayments,"",ROW()-ROW(PaymentSchedule[[#Headers],[PMT NO]])),"")</f>
        <v>185</v>
      </c>
      <c r="C195" s="430">
        <f ca="1">IF(PaymentSchedule[[#This Row],[PMT NO]]&lt;&gt;"",EOMONTH(LoanStartDate,ROW(PaymentSchedule[[#This Row],[PMT NO]])-ROW(PaymentSchedule[[#Headers],[PMT NO]])-2)+DAY(LoanStartDate),"")</f>
        <v>49553</v>
      </c>
      <c r="D195" s="431">
        <f ca="1">IF(PaymentSchedule[[#This Row],[PMT NO]]&lt;&gt;"",IF(ROW()-ROW(PaymentSchedule[[#Headers],[BEGINNING BALANCE]])=1,LoanAmount,INDEX(PaymentSchedule[ENDING BALANCE],ROW()-ROW(PaymentSchedule[[#Headers],[BEGINNING BALANCE]])-1)),"")</f>
        <v>1387286.9741424506</v>
      </c>
      <c r="E195" s="431">
        <f ca="1">IF(PaymentSchedule[[#This Row],[PMT NO]]&lt;&gt;"",ScheduledPayment,"")</f>
        <v>9423.6334368029093</v>
      </c>
      <c r="F19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5" s="431">
        <f ca="1">IF(PaymentSchedule[[#This Row],[PMT NO]]&lt;&gt;"",PaymentSchedule[[#This Row],[TOTAL PAYMENT]]-PaymentSchedule[[#This Row],[INTEREST]],"")</f>
        <v>6533.4522406728038</v>
      </c>
      <c r="I195" s="431">
        <f ca="1">IF(PaymentSchedule[[#This Row],[PMT NO]]&lt;&gt;"",PaymentSchedule[[#This Row],[BEGINNING BALANCE]]*(InterestRate/PaymentsPerYear),"")</f>
        <v>2890.1811961301055</v>
      </c>
      <c r="J19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1380753.5219017777</v>
      </c>
      <c r="K195" s="431">
        <f ca="1">IF(PaymentSchedule[[#This Row],[PMT NO]]&lt;&gt;"",SUM(INDEX(PaymentSchedule[INTEREST],1,1):PaymentSchedule[[#This Row],[INTEREST]]),"")</f>
        <v>739125.70771031419</v>
      </c>
    </row>
    <row r="196" spans="2:11">
      <c r="B196" s="432">
        <f ca="1">IF(LoanIsGood,IF(ROW()-ROW(PaymentSchedule[[#Headers],[PMT NO]])&gt;ScheduledNumberOfPayments,"",ROW()-ROW(PaymentSchedule[[#Headers],[PMT NO]])),"")</f>
        <v>186</v>
      </c>
      <c r="C196" s="430">
        <f ca="1">IF(PaymentSchedule[[#This Row],[PMT NO]]&lt;&gt;"",EOMONTH(LoanStartDate,ROW(PaymentSchedule[[#This Row],[PMT NO]])-ROW(PaymentSchedule[[#Headers],[PMT NO]])-2)+DAY(LoanStartDate),"")</f>
        <v>49583</v>
      </c>
      <c r="D196" s="431">
        <f ca="1">IF(PaymentSchedule[[#This Row],[PMT NO]]&lt;&gt;"",IF(ROW()-ROW(PaymentSchedule[[#Headers],[BEGINNING BALANCE]])=1,LoanAmount,INDEX(PaymentSchedule[ENDING BALANCE],ROW()-ROW(PaymentSchedule[[#Headers],[BEGINNING BALANCE]])-1)),"")</f>
        <v>1380753.5219017777</v>
      </c>
      <c r="E196" s="431">
        <f ca="1">IF(PaymentSchedule[[#This Row],[PMT NO]]&lt;&gt;"",ScheduledPayment,"")</f>
        <v>9423.6334368029093</v>
      </c>
      <c r="F19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6" s="431">
        <f ca="1">IF(PaymentSchedule[[#This Row],[PMT NO]]&lt;&gt;"",PaymentSchedule[[#This Row],[TOTAL PAYMENT]]-PaymentSchedule[[#This Row],[INTEREST]],"")</f>
        <v>6547.063599507539</v>
      </c>
      <c r="I196" s="431">
        <f ca="1">IF(PaymentSchedule[[#This Row],[PMT NO]]&lt;&gt;"",PaymentSchedule[[#This Row],[BEGINNING BALANCE]]*(InterestRate/PaymentsPerYear),"")</f>
        <v>2876.5698372953702</v>
      </c>
      <c r="J19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1374206.4583022702</v>
      </c>
      <c r="K196" s="431">
        <f ca="1">IF(PaymentSchedule[[#This Row],[PMT NO]]&lt;&gt;"",SUM(INDEX(PaymentSchedule[INTEREST],1,1):PaymentSchedule[[#This Row],[INTEREST]]),"")</f>
        <v>742002.27754760953</v>
      </c>
    </row>
    <row r="197" spans="2:11">
      <c r="B197" s="432">
        <f ca="1">IF(LoanIsGood,IF(ROW()-ROW(PaymentSchedule[[#Headers],[PMT NO]])&gt;ScheduledNumberOfPayments,"",ROW()-ROW(PaymentSchedule[[#Headers],[PMT NO]])),"")</f>
        <v>187</v>
      </c>
      <c r="C197" s="430">
        <f ca="1">IF(PaymentSchedule[[#This Row],[PMT NO]]&lt;&gt;"",EOMONTH(LoanStartDate,ROW(PaymentSchedule[[#This Row],[PMT NO]])-ROW(PaymentSchedule[[#Headers],[PMT NO]])-2)+DAY(LoanStartDate),"")</f>
        <v>49614</v>
      </c>
      <c r="D197" s="431">
        <f ca="1">IF(PaymentSchedule[[#This Row],[PMT NO]]&lt;&gt;"",IF(ROW()-ROW(PaymentSchedule[[#Headers],[BEGINNING BALANCE]])=1,LoanAmount,INDEX(PaymentSchedule[ENDING BALANCE],ROW()-ROW(PaymentSchedule[[#Headers],[BEGINNING BALANCE]])-1)),"")</f>
        <v>1374206.4583022702</v>
      </c>
      <c r="E197" s="431">
        <f ca="1">IF(PaymentSchedule[[#This Row],[PMT NO]]&lt;&gt;"",ScheduledPayment,"")</f>
        <v>9423.6334368029093</v>
      </c>
      <c r="F19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7" s="431">
        <f ca="1">IF(PaymentSchedule[[#This Row],[PMT NO]]&lt;&gt;"",PaymentSchedule[[#This Row],[TOTAL PAYMENT]]-PaymentSchedule[[#This Row],[INTEREST]],"")</f>
        <v>6560.7033153398461</v>
      </c>
      <c r="I197" s="431">
        <f ca="1">IF(PaymentSchedule[[#This Row],[PMT NO]]&lt;&gt;"",PaymentSchedule[[#This Row],[BEGINNING BALANCE]]*(InterestRate/PaymentsPerYear),"")</f>
        <v>2862.9301214630627</v>
      </c>
      <c r="J19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1367645.7549869304</v>
      </c>
      <c r="K197" s="431">
        <f ca="1">IF(PaymentSchedule[[#This Row],[PMT NO]]&lt;&gt;"",SUM(INDEX(PaymentSchedule[INTEREST],1,1):PaymentSchedule[[#This Row],[INTEREST]]),"")</f>
        <v>744865.20766907255</v>
      </c>
    </row>
    <row r="198" spans="2:11">
      <c r="B198" s="432">
        <f ca="1">IF(LoanIsGood,IF(ROW()-ROW(PaymentSchedule[[#Headers],[PMT NO]])&gt;ScheduledNumberOfPayments,"",ROW()-ROW(PaymentSchedule[[#Headers],[PMT NO]])),"")</f>
        <v>188</v>
      </c>
      <c r="C198" s="430">
        <f ca="1">IF(PaymentSchedule[[#This Row],[PMT NO]]&lt;&gt;"",EOMONTH(LoanStartDate,ROW(PaymentSchedule[[#This Row],[PMT NO]])-ROW(PaymentSchedule[[#Headers],[PMT NO]])-2)+DAY(LoanStartDate),"")</f>
        <v>49644</v>
      </c>
      <c r="D198" s="431">
        <f ca="1">IF(PaymentSchedule[[#This Row],[PMT NO]]&lt;&gt;"",IF(ROW()-ROW(PaymentSchedule[[#Headers],[BEGINNING BALANCE]])=1,LoanAmount,INDEX(PaymentSchedule[ENDING BALANCE],ROW()-ROW(PaymentSchedule[[#Headers],[BEGINNING BALANCE]])-1)),"")</f>
        <v>1367645.7549869304</v>
      </c>
      <c r="E198" s="431">
        <f ca="1">IF(PaymentSchedule[[#This Row],[PMT NO]]&lt;&gt;"",ScheduledPayment,"")</f>
        <v>9423.6334368029093</v>
      </c>
      <c r="F19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8" s="431">
        <f ca="1">IF(PaymentSchedule[[#This Row],[PMT NO]]&lt;&gt;"",PaymentSchedule[[#This Row],[TOTAL PAYMENT]]-PaymentSchedule[[#This Row],[INTEREST]],"")</f>
        <v>6574.3714472468037</v>
      </c>
      <c r="I198" s="431">
        <f ca="1">IF(PaymentSchedule[[#This Row],[PMT NO]]&lt;&gt;"",PaymentSchedule[[#This Row],[BEGINNING BALANCE]]*(InterestRate/PaymentsPerYear),"")</f>
        <v>2849.2619895561052</v>
      </c>
      <c r="J19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1361071.3835396837</v>
      </c>
      <c r="K198" s="431">
        <f ca="1">IF(PaymentSchedule[[#This Row],[PMT NO]]&lt;&gt;"",SUM(INDEX(PaymentSchedule[INTEREST],1,1):PaymentSchedule[[#This Row],[INTEREST]]),"")</f>
        <v>747714.46965862869</v>
      </c>
    </row>
    <row r="199" spans="2:11">
      <c r="B199" s="432">
        <f ca="1">IF(LoanIsGood,IF(ROW()-ROW(PaymentSchedule[[#Headers],[PMT NO]])&gt;ScheduledNumberOfPayments,"",ROW()-ROW(PaymentSchedule[[#Headers],[PMT NO]])),"")</f>
        <v>189</v>
      </c>
      <c r="C199" s="430">
        <f ca="1">IF(PaymentSchedule[[#This Row],[PMT NO]]&lt;&gt;"",EOMONTH(LoanStartDate,ROW(PaymentSchedule[[#This Row],[PMT NO]])-ROW(PaymentSchedule[[#Headers],[PMT NO]])-2)+DAY(LoanStartDate),"")</f>
        <v>49675</v>
      </c>
      <c r="D199" s="431">
        <f ca="1">IF(PaymentSchedule[[#This Row],[PMT NO]]&lt;&gt;"",IF(ROW()-ROW(PaymentSchedule[[#Headers],[BEGINNING BALANCE]])=1,LoanAmount,INDEX(PaymentSchedule[ENDING BALANCE],ROW()-ROW(PaymentSchedule[[#Headers],[BEGINNING BALANCE]])-1)),"")</f>
        <v>1361071.3835396837</v>
      </c>
      <c r="E199" s="431">
        <f ca="1">IF(PaymentSchedule[[#This Row],[PMT NO]]&lt;&gt;"",ScheduledPayment,"")</f>
        <v>9423.6334368029093</v>
      </c>
      <c r="F19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19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199" s="431">
        <f ca="1">IF(PaymentSchedule[[#This Row],[PMT NO]]&lt;&gt;"",PaymentSchedule[[#This Row],[TOTAL PAYMENT]]-PaymentSchedule[[#This Row],[INTEREST]],"")</f>
        <v>6588.0680544285678</v>
      </c>
      <c r="I199" s="431">
        <f ca="1">IF(PaymentSchedule[[#This Row],[PMT NO]]&lt;&gt;"",PaymentSchedule[[#This Row],[BEGINNING BALANCE]]*(InterestRate/PaymentsPerYear),"")</f>
        <v>2835.565382374341</v>
      </c>
      <c r="J19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1354483.3154852551</v>
      </c>
      <c r="K199" s="431">
        <f ca="1">IF(PaymentSchedule[[#This Row],[PMT NO]]&lt;&gt;"",SUM(INDEX(PaymentSchedule[INTEREST],1,1):PaymentSchedule[[#This Row],[INTEREST]]),"")</f>
        <v>750550.03504100302</v>
      </c>
    </row>
    <row r="200" spans="2:11">
      <c r="B200" s="432">
        <f ca="1">IF(LoanIsGood,IF(ROW()-ROW(PaymentSchedule[[#Headers],[PMT NO]])&gt;ScheduledNumberOfPayments,"",ROW()-ROW(PaymentSchedule[[#Headers],[PMT NO]])),"")</f>
        <v>190</v>
      </c>
      <c r="C200" s="430">
        <f ca="1">IF(PaymentSchedule[[#This Row],[PMT NO]]&lt;&gt;"",EOMONTH(LoanStartDate,ROW(PaymentSchedule[[#This Row],[PMT NO]])-ROW(PaymentSchedule[[#Headers],[PMT NO]])-2)+DAY(LoanStartDate),"")</f>
        <v>49706</v>
      </c>
      <c r="D200" s="431">
        <f ca="1">IF(PaymentSchedule[[#This Row],[PMT NO]]&lt;&gt;"",IF(ROW()-ROW(PaymentSchedule[[#Headers],[BEGINNING BALANCE]])=1,LoanAmount,INDEX(PaymentSchedule[ENDING BALANCE],ROW()-ROW(PaymentSchedule[[#Headers],[BEGINNING BALANCE]])-1)),"")</f>
        <v>1354483.3154852551</v>
      </c>
      <c r="E200" s="431">
        <f ca="1">IF(PaymentSchedule[[#This Row],[PMT NO]]&lt;&gt;"",ScheduledPayment,"")</f>
        <v>9423.6334368029093</v>
      </c>
      <c r="F20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0" s="431">
        <f ca="1">IF(PaymentSchedule[[#This Row],[PMT NO]]&lt;&gt;"",PaymentSchedule[[#This Row],[TOTAL PAYMENT]]-PaymentSchedule[[#This Row],[INTEREST]],"")</f>
        <v>6601.7931962086277</v>
      </c>
      <c r="I200" s="431">
        <f ca="1">IF(PaymentSchedule[[#This Row],[PMT NO]]&lt;&gt;"",PaymentSchedule[[#This Row],[BEGINNING BALANCE]]*(InterestRate/PaymentsPerYear),"")</f>
        <v>2821.8402405942816</v>
      </c>
      <c r="J20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1347881.5222890466</v>
      </c>
      <c r="K200" s="431">
        <f ca="1">IF(PaymentSchedule[[#This Row],[PMT NO]]&lt;&gt;"",SUM(INDEX(PaymentSchedule[INTEREST],1,1):PaymentSchedule[[#This Row],[INTEREST]]),"")</f>
        <v>753371.87528159725</v>
      </c>
    </row>
    <row r="201" spans="2:11">
      <c r="B201" s="432">
        <f ca="1">IF(LoanIsGood,IF(ROW()-ROW(PaymentSchedule[[#Headers],[PMT NO]])&gt;ScheduledNumberOfPayments,"",ROW()-ROW(PaymentSchedule[[#Headers],[PMT NO]])),"")</f>
        <v>191</v>
      </c>
      <c r="C201" s="430">
        <f ca="1">IF(PaymentSchedule[[#This Row],[PMT NO]]&lt;&gt;"",EOMONTH(LoanStartDate,ROW(PaymentSchedule[[#This Row],[PMT NO]])-ROW(PaymentSchedule[[#Headers],[PMT NO]])-2)+DAY(LoanStartDate),"")</f>
        <v>49735</v>
      </c>
      <c r="D201" s="431">
        <f ca="1">IF(PaymentSchedule[[#This Row],[PMT NO]]&lt;&gt;"",IF(ROW()-ROW(PaymentSchedule[[#Headers],[BEGINNING BALANCE]])=1,LoanAmount,INDEX(PaymentSchedule[ENDING BALANCE],ROW()-ROW(PaymentSchedule[[#Headers],[BEGINNING BALANCE]])-1)),"")</f>
        <v>1347881.5222890466</v>
      </c>
      <c r="E201" s="431">
        <f ca="1">IF(PaymentSchedule[[#This Row],[PMT NO]]&lt;&gt;"",ScheduledPayment,"")</f>
        <v>9423.6334368029093</v>
      </c>
      <c r="F20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1" s="431">
        <f ca="1">IF(PaymentSchedule[[#This Row],[PMT NO]]&lt;&gt;"",PaymentSchedule[[#This Row],[TOTAL PAYMENT]]-PaymentSchedule[[#This Row],[INTEREST]],"")</f>
        <v>6615.5469320340617</v>
      </c>
      <c r="I201" s="431">
        <f ca="1">IF(PaymentSchedule[[#This Row],[PMT NO]]&lt;&gt;"",PaymentSchedule[[#This Row],[BEGINNING BALANCE]]*(InterestRate/PaymentsPerYear),"")</f>
        <v>2808.0865047688471</v>
      </c>
      <c r="J20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1341265.9753570126</v>
      </c>
      <c r="K201" s="431">
        <f ca="1">IF(PaymentSchedule[[#This Row],[PMT NO]]&lt;&gt;"",SUM(INDEX(PaymentSchedule[INTEREST],1,1):PaymentSchedule[[#This Row],[INTEREST]]),"")</f>
        <v>756179.96178636607</v>
      </c>
    </row>
    <row r="202" spans="2:11">
      <c r="B202" s="432">
        <f ca="1">IF(LoanIsGood,IF(ROW()-ROW(PaymentSchedule[[#Headers],[PMT NO]])&gt;ScheduledNumberOfPayments,"",ROW()-ROW(PaymentSchedule[[#Headers],[PMT NO]])),"")</f>
        <v>192</v>
      </c>
      <c r="C202" s="430">
        <f ca="1">IF(PaymentSchedule[[#This Row],[PMT NO]]&lt;&gt;"",EOMONTH(LoanStartDate,ROW(PaymentSchedule[[#This Row],[PMT NO]])-ROW(PaymentSchedule[[#Headers],[PMT NO]])-2)+DAY(LoanStartDate),"")</f>
        <v>49766</v>
      </c>
      <c r="D202" s="431">
        <f ca="1">IF(PaymentSchedule[[#This Row],[PMT NO]]&lt;&gt;"",IF(ROW()-ROW(PaymentSchedule[[#Headers],[BEGINNING BALANCE]])=1,LoanAmount,INDEX(PaymentSchedule[ENDING BALANCE],ROW()-ROW(PaymentSchedule[[#Headers],[BEGINNING BALANCE]])-1)),"")</f>
        <v>1341265.9753570126</v>
      </c>
      <c r="E202" s="431">
        <f ca="1">IF(PaymentSchedule[[#This Row],[PMT NO]]&lt;&gt;"",ScheduledPayment,"")</f>
        <v>9423.6334368029093</v>
      </c>
      <c r="F20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2" s="431">
        <f ca="1">IF(PaymentSchedule[[#This Row],[PMT NO]]&lt;&gt;"",PaymentSchedule[[#This Row],[TOTAL PAYMENT]]-PaymentSchedule[[#This Row],[INTEREST]],"")</f>
        <v>6629.3293214757996</v>
      </c>
      <c r="I202" s="431">
        <f ca="1">IF(PaymentSchedule[[#This Row],[PMT NO]]&lt;&gt;"",PaymentSchedule[[#This Row],[BEGINNING BALANCE]]*(InterestRate/PaymentsPerYear),"")</f>
        <v>2794.3041153271097</v>
      </c>
      <c r="J20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1334636.6460355369</v>
      </c>
      <c r="K202" s="431">
        <f ca="1">IF(PaymentSchedule[[#This Row],[PMT NO]]&lt;&gt;"",SUM(INDEX(PaymentSchedule[INTEREST],1,1):PaymentSchedule[[#This Row],[INTEREST]]),"")</f>
        <v>758974.26590169314</v>
      </c>
    </row>
    <row r="203" spans="2:11">
      <c r="B203" s="432">
        <f ca="1">IF(LoanIsGood,IF(ROW()-ROW(PaymentSchedule[[#Headers],[PMT NO]])&gt;ScheduledNumberOfPayments,"",ROW()-ROW(PaymentSchedule[[#Headers],[PMT NO]])),"")</f>
        <v>193</v>
      </c>
      <c r="C203" s="430">
        <f ca="1">IF(PaymentSchedule[[#This Row],[PMT NO]]&lt;&gt;"",EOMONTH(LoanStartDate,ROW(PaymentSchedule[[#This Row],[PMT NO]])-ROW(PaymentSchedule[[#Headers],[PMT NO]])-2)+DAY(LoanStartDate),"")</f>
        <v>49796</v>
      </c>
      <c r="D203" s="431">
        <f ca="1">IF(PaymentSchedule[[#This Row],[PMT NO]]&lt;&gt;"",IF(ROW()-ROW(PaymentSchedule[[#Headers],[BEGINNING BALANCE]])=1,LoanAmount,INDEX(PaymentSchedule[ENDING BALANCE],ROW()-ROW(PaymentSchedule[[#Headers],[BEGINNING BALANCE]])-1)),"")</f>
        <v>1334636.6460355369</v>
      </c>
      <c r="E203" s="431">
        <f ca="1">IF(PaymentSchedule[[#This Row],[PMT NO]]&lt;&gt;"",ScheduledPayment,"")</f>
        <v>9423.6334368029093</v>
      </c>
      <c r="F20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3" s="431">
        <f ca="1">IF(PaymentSchedule[[#This Row],[PMT NO]]&lt;&gt;"",PaymentSchedule[[#This Row],[TOTAL PAYMENT]]-PaymentSchedule[[#This Row],[INTEREST]],"")</f>
        <v>6643.1404242288736</v>
      </c>
      <c r="I203" s="431">
        <f ca="1">IF(PaymentSchedule[[#This Row],[PMT NO]]&lt;&gt;"",PaymentSchedule[[#This Row],[BEGINNING BALANCE]]*(InterestRate/PaymentsPerYear),"")</f>
        <v>2780.4930125740352</v>
      </c>
      <c r="J20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1327993.5056113079</v>
      </c>
      <c r="K203" s="431">
        <f ca="1">IF(PaymentSchedule[[#This Row],[PMT NO]]&lt;&gt;"",SUM(INDEX(PaymentSchedule[INTEREST],1,1):PaymentSchedule[[#This Row],[INTEREST]]),"")</f>
        <v>761754.75891426718</v>
      </c>
    </row>
    <row r="204" spans="2:11">
      <c r="B204" s="432">
        <f ca="1">IF(LoanIsGood,IF(ROW()-ROW(PaymentSchedule[[#Headers],[PMT NO]])&gt;ScheduledNumberOfPayments,"",ROW()-ROW(PaymentSchedule[[#Headers],[PMT NO]])),"")</f>
        <v>194</v>
      </c>
      <c r="C204" s="430">
        <f ca="1">IF(PaymentSchedule[[#This Row],[PMT NO]]&lt;&gt;"",EOMONTH(LoanStartDate,ROW(PaymentSchedule[[#This Row],[PMT NO]])-ROW(PaymentSchedule[[#Headers],[PMT NO]])-2)+DAY(LoanStartDate),"")</f>
        <v>49827</v>
      </c>
      <c r="D204" s="431">
        <f ca="1">IF(PaymentSchedule[[#This Row],[PMT NO]]&lt;&gt;"",IF(ROW()-ROW(PaymentSchedule[[#Headers],[BEGINNING BALANCE]])=1,LoanAmount,INDEX(PaymentSchedule[ENDING BALANCE],ROW()-ROW(PaymentSchedule[[#Headers],[BEGINNING BALANCE]])-1)),"")</f>
        <v>1327993.5056113079</v>
      </c>
      <c r="E204" s="431">
        <f ca="1">IF(PaymentSchedule[[#This Row],[PMT NO]]&lt;&gt;"",ScheduledPayment,"")</f>
        <v>9423.6334368029093</v>
      </c>
      <c r="F20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4" s="431">
        <f ca="1">IF(PaymentSchedule[[#This Row],[PMT NO]]&lt;&gt;"",PaymentSchedule[[#This Row],[TOTAL PAYMENT]]-PaymentSchedule[[#This Row],[INTEREST]],"")</f>
        <v>6656.9803001126838</v>
      </c>
      <c r="I204" s="431">
        <f ca="1">IF(PaymentSchedule[[#This Row],[PMT NO]]&lt;&gt;"",PaymentSchedule[[#This Row],[BEGINNING BALANCE]]*(InterestRate/PaymentsPerYear),"")</f>
        <v>2766.653136690225</v>
      </c>
      <c r="J20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1321336.5253111953</v>
      </c>
      <c r="K204" s="431">
        <f ca="1">IF(PaymentSchedule[[#This Row],[PMT NO]]&lt;&gt;"",SUM(INDEX(PaymentSchedule[INTEREST],1,1):PaymentSchedule[[#This Row],[INTEREST]]),"")</f>
        <v>764521.41205095744</v>
      </c>
    </row>
    <row r="205" spans="2:11">
      <c r="B205" s="432">
        <f ca="1">IF(LoanIsGood,IF(ROW()-ROW(PaymentSchedule[[#Headers],[PMT NO]])&gt;ScheduledNumberOfPayments,"",ROW()-ROW(PaymentSchedule[[#Headers],[PMT NO]])),"")</f>
        <v>195</v>
      </c>
      <c r="C205" s="430">
        <f ca="1">IF(PaymentSchedule[[#This Row],[PMT NO]]&lt;&gt;"",EOMONTH(LoanStartDate,ROW(PaymentSchedule[[#This Row],[PMT NO]])-ROW(PaymentSchedule[[#Headers],[PMT NO]])-2)+DAY(LoanStartDate),"")</f>
        <v>49857</v>
      </c>
      <c r="D205" s="431">
        <f ca="1">IF(PaymentSchedule[[#This Row],[PMT NO]]&lt;&gt;"",IF(ROW()-ROW(PaymentSchedule[[#Headers],[BEGINNING BALANCE]])=1,LoanAmount,INDEX(PaymentSchedule[ENDING BALANCE],ROW()-ROW(PaymentSchedule[[#Headers],[BEGINNING BALANCE]])-1)),"")</f>
        <v>1321336.5253111953</v>
      </c>
      <c r="E205" s="431">
        <f ca="1">IF(PaymentSchedule[[#This Row],[PMT NO]]&lt;&gt;"",ScheduledPayment,"")</f>
        <v>9423.6334368029093</v>
      </c>
      <c r="F20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5" s="431">
        <f ca="1">IF(PaymentSchedule[[#This Row],[PMT NO]]&lt;&gt;"",PaymentSchedule[[#This Row],[TOTAL PAYMENT]]-PaymentSchedule[[#This Row],[INTEREST]],"")</f>
        <v>6670.849009071253</v>
      </c>
      <c r="I205" s="431">
        <f ca="1">IF(PaymentSchedule[[#This Row],[PMT NO]]&lt;&gt;"",PaymentSchedule[[#This Row],[BEGINNING BALANCE]]*(InterestRate/PaymentsPerYear),"")</f>
        <v>2752.7844277316567</v>
      </c>
      <c r="J20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1314665.676302124</v>
      </c>
      <c r="K205" s="431">
        <f ca="1">IF(PaymentSchedule[[#This Row],[PMT NO]]&lt;&gt;"",SUM(INDEX(PaymentSchedule[INTEREST],1,1):PaymentSchedule[[#This Row],[INTEREST]]),"")</f>
        <v>767274.19647868909</v>
      </c>
    </row>
    <row r="206" spans="2:11">
      <c r="B206" s="432">
        <f ca="1">IF(LoanIsGood,IF(ROW()-ROW(PaymentSchedule[[#Headers],[PMT NO]])&gt;ScheduledNumberOfPayments,"",ROW()-ROW(PaymentSchedule[[#Headers],[PMT NO]])),"")</f>
        <v>196</v>
      </c>
      <c r="C206" s="430">
        <f ca="1">IF(PaymentSchedule[[#This Row],[PMT NO]]&lt;&gt;"",EOMONTH(LoanStartDate,ROW(PaymentSchedule[[#This Row],[PMT NO]])-ROW(PaymentSchedule[[#Headers],[PMT NO]])-2)+DAY(LoanStartDate),"")</f>
        <v>49888</v>
      </c>
      <c r="D206" s="431">
        <f ca="1">IF(PaymentSchedule[[#This Row],[PMT NO]]&lt;&gt;"",IF(ROW()-ROW(PaymentSchedule[[#Headers],[BEGINNING BALANCE]])=1,LoanAmount,INDEX(PaymentSchedule[ENDING BALANCE],ROW()-ROW(PaymentSchedule[[#Headers],[BEGINNING BALANCE]])-1)),"")</f>
        <v>1314665.676302124</v>
      </c>
      <c r="E206" s="431">
        <f ca="1">IF(PaymentSchedule[[#This Row],[PMT NO]]&lt;&gt;"",ScheduledPayment,"")</f>
        <v>9423.6334368029093</v>
      </c>
      <c r="F20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6" s="431">
        <f ca="1">IF(PaymentSchedule[[#This Row],[PMT NO]]&lt;&gt;"",PaymentSchedule[[#This Row],[TOTAL PAYMENT]]-PaymentSchedule[[#This Row],[INTEREST]],"")</f>
        <v>6684.7466111734848</v>
      </c>
      <c r="I206" s="431">
        <f ca="1">IF(PaymentSchedule[[#This Row],[PMT NO]]&lt;&gt;"",PaymentSchedule[[#This Row],[BEGINNING BALANCE]]*(InterestRate/PaymentsPerYear),"")</f>
        <v>2738.8868256294249</v>
      </c>
      <c r="J20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1307980.9296909506</v>
      </c>
      <c r="K206" s="431">
        <f ca="1">IF(PaymentSchedule[[#This Row],[PMT NO]]&lt;&gt;"",SUM(INDEX(PaymentSchedule[INTEREST],1,1):PaymentSchedule[[#This Row],[INTEREST]]),"")</f>
        <v>770013.08330431848</v>
      </c>
    </row>
    <row r="207" spans="2:11">
      <c r="B207" s="432">
        <f ca="1">IF(LoanIsGood,IF(ROW()-ROW(PaymentSchedule[[#Headers],[PMT NO]])&gt;ScheduledNumberOfPayments,"",ROW()-ROW(PaymentSchedule[[#Headers],[PMT NO]])),"")</f>
        <v>197</v>
      </c>
      <c r="C207" s="430">
        <f ca="1">IF(PaymentSchedule[[#This Row],[PMT NO]]&lt;&gt;"",EOMONTH(LoanStartDate,ROW(PaymentSchedule[[#This Row],[PMT NO]])-ROW(PaymentSchedule[[#Headers],[PMT NO]])-2)+DAY(LoanStartDate),"")</f>
        <v>49919</v>
      </c>
      <c r="D207" s="431">
        <f ca="1">IF(PaymentSchedule[[#This Row],[PMT NO]]&lt;&gt;"",IF(ROW()-ROW(PaymentSchedule[[#Headers],[BEGINNING BALANCE]])=1,LoanAmount,INDEX(PaymentSchedule[ENDING BALANCE],ROW()-ROW(PaymentSchedule[[#Headers],[BEGINNING BALANCE]])-1)),"")</f>
        <v>1307980.9296909506</v>
      </c>
      <c r="E207" s="431">
        <f ca="1">IF(PaymentSchedule[[#This Row],[PMT NO]]&lt;&gt;"",ScheduledPayment,"")</f>
        <v>9423.6334368029093</v>
      </c>
      <c r="F20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7" s="431">
        <f ca="1">IF(PaymentSchedule[[#This Row],[PMT NO]]&lt;&gt;"",PaymentSchedule[[#This Row],[TOTAL PAYMENT]]-PaymentSchedule[[#This Row],[INTEREST]],"")</f>
        <v>6698.6731666134292</v>
      </c>
      <c r="I207" s="431">
        <f ca="1">IF(PaymentSchedule[[#This Row],[PMT NO]]&lt;&gt;"",PaymentSchedule[[#This Row],[BEGINNING BALANCE]]*(InterestRate/PaymentsPerYear),"")</f>
        <v>2724.9602701894801</v>
      </c>
      <c r="J20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1301282.2565243372</v>
      </c>
      <c r="K207" s="431">
        <f ca="1">IF(PaymentSchedule[[#This Row],[PMT NO]]&lt;&gt;"",SUM(INDEX(PaymentSchedule[INTEREST],1,1):PaymentSchedule[[#This Row],[INTEREST]]),"")</f>
        <v>772738.04357450793</v>
      </c>
    </row>
    <row r="208" spans="2:11">
      <c r="B208" s="432">
        <f ca="1">IF(LoanIsGood,IF(ROW()-ROW(PaymentSchedule[[#Headers],[PMT NO]])&gt;ScheduledNumberOfPayments,"",ROW()-ROW(PaymentSchedule[[#Headers],[PMT NO]])),"")</f>
        <v>198</v>
      </c>
      <c r="C208" s="430">
        <f ca="1">IF(PaymentSchedule[[#This Row],[PMT NO]]&lt;&gt;"",EOMONTH(LoanStartDate,ROW(PaymentSchedule[[#This Row],[PMT NO]])-ROW(PaymentSchedule[[#Headers],[PMT NO]])-2)+DAY(LoanStartDate),"")</f>
        <v>49949</v>
      </c>
      <c r="D208" s="431">
        <f ca="1">IF(PaymentSchedule[[#This Row],[PMT NO]]&lt;&gt;"",IF(ROW()-ROW(PaymentSchedule[[#Headers],[BEGINNING BALANCE]])=1,LoanAmount,INDEX(PaymentSchedule[ENDING BALANCE],ROW()-ROW(PaymentSchedule[[#Headers],[BEGINNING BALANCE]])-1)),"")</f>
        <v>1301282.2565243372</v>
      </c>
      <c r="E208" s="431">
        <f ca="1">IF(PaymentSchedule[[#This Row],[PMT NO]]&lt;&gt;"",ScheduledPayment,"")</f>
        <v>9423.6334368029093</v>
      </c>
      <c r="F20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8" s="431">
        <f ca="1">IF(PaymentSchedule[[#This Row],[PMT NO]]&lt;&gt;"",PaymentSchedule[[#This Row],[TOTAL PAYMENT]]-PaymentSchedule[[#This Row],[INTEREST]],"")</f>
        <v>6712.6287357105402</v>
      </c>
      <c r="I208" s="431">
        <f ca="1">IF(PaymentSchedule[[#This Row],[PMT NO]]&lt;&gt;"",PaymentSchedule[[#This Row],[BEGINNING BALANCE]]*(InterestRate/PaymentsPerYear),"")</f>
        <v>2711.004701092369</v>
      </c>
      <c r="J20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1294569.6277886266</v>
      </c>
      <c r="K208" s="431">
        <f ca="1">IF(PaymentSchedule[[#This Row],[PMT NO]]&lt;&gt;"",SUM(INDEX(PaymentSchedule[INTEREST],1,1):PaymentSchedule[[#This Row],[INTEREST]]),"")</f>
        <v>775449.0482756003</v>
      </c>
    </row>
    <row r="209" spans="2:11">
      <c r="B209" s="432">
        <f ca="1">IF(LoanIsGood,IF(ROW()-ROW(PaymentSchedule[[#Headers],[PMT NO]])&gt;ScheduledNumberOfPayments,"",ROW()-ROW(PaymentSchedule[[#Headers],[PMT NO]])),"")</f>
        <v>199</v>
      </c>
      <c r="C209" s="430">
        <f ca="1">IF(PaymentSchedule[[#This Row],[PMT NO]]&lt;&gt;"",EOMONTH(LoanStartDate,ROW(PaymentSchedule[[#This Row],[PMT NO]])-ROW(PaymentSchedule[[#Headers],[PMT NO]])-2)+DAY(LoanStartDate),"")</f>
        <v>49980</v>
      </c>
      <c r="D209" s="431">
        <f ca="1">IF(PaymentSchedule[[#This Row],[PMT NO]]&lt;&gt;"",IF(ROW()-ROW(PaymentSchedule[[#Headers],[BEGINNING BALANCE]])=1,LoanAmount,INDEX(PaymentSchedule[ENDING BALANCE],ROW()-ROW(PaymentSchedule[[#Headers],[BEGINNING BALANCE]])-1)),"")</f>
        <v>1294569.6277886266</v>
      </c>
      <c r="E209" s="431">
        <f ca="1">IF(PaymentSchedule[[#This Row],[PMT NO]]&lt;&gt;"",ScheduledPayment,"")</f>
        <v>9423.6334368029093</v>
      </c>
      <c r="F20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0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09" s="431">
        <f ca="1">IF(PaymentSchedule[[#This Row],[PMT NO]]&lt;&gt;"",PaymentSchedule[[#This Row],[TOTAL PAYMENT]]-PaymentSchedule[[#This Row],[INTEREST]],"")</f>
        <v>6726.6133789099367</v>
      </c>
      <c r="I209" s="431">
        <f ca="1">IF(PaymentSchedule[[#This Row],[PMT NO]]&lt;&gt;"",PaymentSchedule[[#This Row],[BEGINNING BALANCE]]*(InterestRate/PaymentsPerYear),"")</f>
        <v>2697.0200578929721</v>
      </c>
      <c r="J20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1287843.0144097167</v>
      </c>
      <c r="K209" s="431">
        <f ca="1">IF(PaymentSchedule[[#This Row],[PMT NO]]&lt;&gt;"",SUM(INDEX(PaymentSchedule[INTEREST],1,1):PaymentSchedule[[#This Row],[INTEREST]]),"")</f>
        <v>778146.06833349331</v>
      </c>
    </row>
    <row r="210" spans="2:11">
      <c r="B210" s="432">
        <f ca="1">IF(LoanIsGood,IF(ROW()-ROW(PaymentSchedule[[#Headers],[PMT NO]])&gt;ScheduledNumberOfPayments,"",ROW()-ROW(PaymentSchedule[[#Headers],[PMT NO]])),"")</f>
        <v>200</v>
      </c>
      <c r="C210" s="430">
        <f ca="1">IF(PaymentSchedule[[#This Row],[PMT NO]]&lt;&gt;"",EOMONTH(LoanStartDate,ROW(PaymentSchedule[[#This Row],[PMT NO]])-ROW(PaymentSchedule[[#Headers],[PMT NO]])-2)+DAY(LoanStartDate),"")</f>
        <v>50010</v>
      </c>
      <c r="D210" s="431">
        <f ca="1">IF(PaymentSchedule[[#This Row],[PMT NO]]&lt;&gt;"",IF(ROW()-ROW(PaymentSchedule[[#Headers],[BEGINNING BALANCE]])=1,LoanAmount,INDEX(PaymentSchedule[ENDING BALANCE],ROW()-ROW(PaymentSchedule[[#Headers],[BEGINNING BALANCE]])-1)),"")</f>
        <v>1287843.0144097167</v>
      </c>
      <c r="E210" s="431">
        <f ca="1">IF(PaymentSchedule[[#This Row],[PMT NO]]&lt;&gt;"",ScheduledPayment,"")</f>
        <v>9423.6334368029093</v>
      </c>
      <c r="F21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0" s="431">
        <f ca="1">IF(PaymentSchedule[[#This Row],[PMT NO]]&lt;&gt;"",PaymentSchedule[[#This Row],[TOTAL PAYMENT]]-PaymentSchedule[[#This Row],[INTEREST]],"")</f>
        <v>6740.6271567826661</v>
      </c>
      <c r="I210" s="431">
        <f ca="1">IF(PaymentSchedule[[#This Row],[PMT NO]]&lt;&gt;"",PaymentSchedule[[#This Row],[BEGINNING BALANCE]]*(InterestRate/PaymentsPerYear),"")</f>
        <v>2683.0062800202431</v>
      </c>
      <c r="J21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1281102.387252934</v>
      </c>
      <c r="K210" s="431">
        <f ca="1">IF(PaymentSchedule[[#This Row],[PMT NO]]&lt;&gt;"",SUM(INDEX(PaymentSchedule[INTEREST],1,1):PaymentSchedule[[#This Row],[INTEREST]]),"")</f>
        <v>780829.07461351354</v>
      </c>
    </row>
    <row r="211" spans="2:11">
      <c r="B211" s="432">
        <f ca="1">IF(LoanIsGood,IF(ROW()-ROW(PaymentSchedule[[#Headers],[PMT NO]])&gt;ScheduledNumberOfPayments,"",ROW()-ROW(PaymentSchedule[[#Headers],[PMT NO]])),"")</f>
        <v>201</v>
      </c>
      <c r="C211" s="430">
        <f ca="1">IF(PaymentSchedule[[#This Row],[PMT NO]]&lt;&gt;"",EOMONTH(LoanStartDate,ROW(PaymentSchedule[[#This Row],[PMT NO]])-ROW(PaymentSchedule[[#Headers],[PMT NO]])-2)+DAY(LoanStartDate),"")</f>
        <v>50041</v>
      </c>
      <c r="D211" s="431">
        <f ca="1">IF(PaymentSchedule[[#This Row],[PMT NO]]&lt;&gt;"",IF(ROW()-ROW(PaymentSchedule[[#Headers],[BEGINNING BALANCE]])=1,LoanAmount,INDEX(PaymentSchedule[ENDING BALANCE],ROW()-ROW(PaymentSchedule[[#Headers],[BEGINNING BALANCE]])-1)),"")</f>
        <v>1281102.387252934</v>
      </c>
      <c r="E211" s="431">
        <f ca="1">IF(PaymentSchedule[[#This Row],[PMT NO]]&lt;&gt;"",ScheduledPayment,"")</f>
        <v>9423.6334368029093</v>
      </c>
      <c r="F21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1" s="431">
        <f ca="1">IF(PaymentSchedule[[#This Row],[PMT NO]]&lt;&gt;"",PaymentSchedule[[#This Row],[TOTAL PAYMENT]]-PaymentSchedule[[#This Row],[INTEREST]],"")</f>
        <v>6754.6701300259629</v>
      </c>
      <c r="I211" s="431">
        <f ca="1">IF(PaymentSchedule[[#This Row],[PMT NO]]&lt;&gt;"",PaymentSchedule[[#This Row],[BEGINNING BALANCE]]*(InterestRate/PaymentsPerYear),"")</f>
        <v>2668.963306776946</v>
      </c>
      <c r="J21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1274347.717122908</v>
      </c>
      <c r="K211" s="431">
        <f ca="1">IF(PaymentSchedule[[#This Row],[PMT NO]]&lt;&gt;"",SUM(INDEX(PaymentSchedule[INTEREST],1,1):PaymentSchedule[[#This Row],[INTEREST]]),"")</f>
        <v>783498.03792029049</v>
      </c>
    </row>
    <row r="212" spans="2:11">
      <c r="B212" s="432">
        <f ca="1">IF(LoanIsGood,IF(ROW()-ROW(PaymentSchedule[[#Headers],[PMT NO]])&gt;ScheduledNumberOfPayments,"",ROW()-ROW(PaymentSchedule[[#Headers],[PMT NO]])),"")</f>
        <v>202</v>
      </c>
      <c r="C212" s="430">
        <f ca="1">IF(PaymentSchedule[[#This Row],[PMT NO]]&lt;&gt;"",EOMONTH(LoanStartDate,ROW(PaymentSchedule[[#This Row],[PMT NO]])-ROW(PaymentSchedule[[#Headers],[PMT NO]])-2)+DAY(LoanStartDate),"")</f>
        <v>50072</v>
      </c>
      <c r="D212" s="431">
        <f ca="1">IF(PaymentSchedule[[#This Row],[PMT NO]]&lt;&gt;"",IF(ROW()-ROW(PaymentSchedule[[#Headers],[BEGINNING BALANCE]])=1,LoanAmount,INDEX(PaymentSchedule[ENDING BALANCE],ROW()-ROW(PaymentSchedule[[#Headers],[BEGINNING BALANCE]])-1)),"")</f>
        <v>1274347.717122908</v>
      </c>
      <c r="E212" s="431">
        <f ca="1">IF(PaymentSchedule[[#This Row],[PMT NO]]&lt;&gt;"",ScheduledPayment,"")</f>
        <v>9423.6334368029093</v>
      </c>
      <c r="F21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2" s="431">
        <f ca="1">IF(PaymentSchedule[[#This Row],[PMT NO]]&lt;&gt;"",PaymentSchedule[[#This Row],[TOTAL PAYMENT]]-PaymentSchedule[[#This Row],[INTEREST]],"")</f>
        <v>6768.7423594635175</v>
      </c>
      <c r="I212" s="431">
        <f ca="1">IF(PaymentSchedule[[#This Row],[PMT NO]]&lt;&gt;"",PaymentSchedule[[#This Row],[BEGINNING BALANCE]]*(InterestRate/PaymentsPerYear),"")</f>
        <v>2654.8910773393918</v>
      </c>
      <c r="J21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1267578.9747634444</v>
      </c>
      <c r="K212" s="431">
        <f ca="1">IF(PaymentSchedule[[#This Row],[PMT NO]]&lt;&gt;"",SUM(INDEX(PaymentSchedule[INTEREST],1,1):PaymentSchedule[[#This Row],[INTEREST]]),"")</f>
        <v>786152.9289976299</v>
      </c>
    </row>
    <row r="213" spans="2:11">
      <c r="B213" s="432">
        <f ca="1">IF(LoanIsGood,IF(ROW()-ROW(PaymentSchedule[[#Headers],[PMT NO]])&gt;ScheduledNumberOfPayments,"",ROW()-ROW(PaymentSchedule[[#Headers],[PMT NO]])),"")</f>
        <v>203</v>
      </c>
      <c r="C213" s="430">
        <f ca="1">IF(PaymentSchedule[[#This Row],[PMT NO]]&lt;&gt;"",EOMONTH(LoanStartDate,ROW(PaymentSchedule[[#This Row],[PMT NO]])-ROW(PaymentSchedule[[#Headers],[PMT NO]])-2)+DAY(LoanStartDate),"")</f>
        <v>50100</v>
      </c>
      <c r="D213" s="431">
        <f ca="1">IF(PaymentSchedule[[#This Row],[PMT NO]]&lt;&gt;"",IF(ROW()-ROW(PaymentSchedule[[#Headers],[BEGINNING BALANCE]])=1,LoanAmount,INDEX(PaymentSchedule[ENDING BALANCE],ROW()-ROW(PaymentSchedule[[#Headers],[BEGINNING BALANCE]])-1)),"")</f>
        <v>1267578.9747634444</v>
      </c>
      <c r="E213" s="431">
        <f ca="1">IF(PaymentSchedule[[#This Row],[PMT NO]]&lt;&gt;"",ScheduledPayment,"")</f>
        <v>9423.6334368029093</v>
      </c>
      <c r="F21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3" s="431">
        <f ca="1">IF(PaymentSchedule[[#This Row],[PMT NO]]&lt;&gt;"",PaymentSchedule[[#This Row],[TOTAL PAYMENT]]-PaymentSchedule[[#This Row],[INTEREST]],"")</f>
        <v>6782.8439060457331</v>
      </c>
      <c r="I213" s="431">
        <f ca="1">IF(PaymentSchedule[[#This Row],[PMT NO]]&lt;&gt;"",PaymentSchedule[[#This Row],[BEGINNING BALANCE]]*(InterestRate/PaymentsPerYear),"")</f>
        <v>2640.7895307571757</v>
      </c>
      <c r="J21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1260796.1308573987</v>
      </c>
      <c r="K213" s="431">
        <f ca="1">IF(PaymentSchedule[[#This Row],[PMT NO]]&lt;&gt;"",SUM(INDEX(PaymentSchedule[INTEREST],1,1):PaymentSchedule[[#This Row],[INTEREST]]),"")</f>
        <v>788793.71852838714</v>
      </c>
    </row>
    <row r="214" spans="2:11">
      <c r="B214" s="432">
        <f ca="1">IF(LoanIsGood,IF(ROW()-ROW(PaymentSchedule[[#Headers],[PMT NO]])&gt;ScheduledNumberOfPayments,"",ROW()-ROW(PaymentSchedule[[#Headers],[PMT NO]])),"")</f>
        <v>204</v>
      </c>
      <c r="C214" s="430">
        <f ca="1">IF(PaymentSchedule[[#This Row],[PMT NO]]&lt;&gt;"",EOMONTH(LoanStartDate,ROW(PaymentSchedule[[#This Row],[PMT NO]])-ROW(PaymentSchedule[[#Headers],[PMT NO]])-2)+DAY(LoanStartDate),"")</f>
        <v>50131</v>
      </c>
      <c r="D214" s="431">
        <f ca="1">IF(PaymentSchedule[[#This Row],[PMT NO]]&lt;&gt;"",IF(ROW()-ROW(PaymentSchedule[[#Headers],[BEGINNING BALANCE]])=1,LoanAmount,INDEX(PaymentSchedule[ENDING BALANCE],ROW()-ROW(PaymentSchedule[[#Headers],[BEGINNING BALANCE]])-1)),"")</f>
        <v>1260796.1308573987</v>
      </c>
      <c r="E214" s="431">
        <f ca="1">IF(PaymentSchedule[[#This Row],[PMT NO]]&lt;&gt;"",ScheduledPayment,"")</f>
        <v>9423.6334368029093</v>
      </c>
      <c r="F21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4" s="431">
        <f ca="1">IF(PaymentSchedule[[#This Row],[PMT NO]]&lt;&gt;"",PaymentSchedule[[#This Row],[TOTAL PAYMENT]]-PaymentSchedule[[#This Row],[INTEREST]],"")</f>
        <v>6796.9748308499948</v>
      </c>
      <c r="I214" s="431">
        <f ca="1">IF(PaymentSchedule[[#This Row],[PMT NO]]&lt;&gt;"",PaymentSchedule[[#This Row],[BEGINNING BALANCE]]*(InterestRate/PaymentsPerYear),"")</f>
        <v>2626.6586059529141</v>
      </c>
      <c r="J21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1253999.1560265487</v>
      </c>
      <c r="K214" s="431">
        <f ca="1">IF(PaymentSchedule[[#This Row],[PMT NO]]&lt;&gt;"",SUM(INDEX(PaymentSchedule[INTEREST],1,1):PaymentSchedule[[#This Row],[INTEREST]]),"")</f>
        <v>791420.37713434</v>
      </c>
    </row>
    <row r="215" spans="2:11">
      <c r="B215" s="432">
        <f ca="1">IF(LoanIsGood,IF(ROW()-ROW(PaymentSchedule[[#Headers],[PMT NO]])&gt;ScheduledNumberOfPayments,"",ROW()-ROW(PaymentSchedule[[#Headers],[PMT NO]])),"")</f>
        <v>205</v>
      </c>
      <c r="C215" s="430">
        <f ca="1">IF(PaymentSchedule[[#This Row],[PMT NO]]&lt;&gt;"",EOMONTH(LoanStartDate,ROW(PaymentSchedule[[#This Row],[PMT NO]])-ROW(PaymentSchedule[[#Headers],[PMT NO]])-2)+DAY(LoanStartDate),"")</f>
        <v>50161</v>
      </c>
      <c r="D215" s="431">
        <f ca="1">IF(PaymentSchedule[[#This Row],[PMT NO]]&lt;&gt;"",IF(ROW()-ROW(PaymentSchedule[[#Headers],[BEGINNING BALANCE]])=1,LoanAmount,INDEX(PaymentSchedule[ENDING BALANCE],ROW()-ROW(PaymentSchedule[[#Headers],[BEGINNING BALANCE]])-1)),"")</f>
        <v>1253999.1560265487</v>
      </c>
      <c r="E215" s="431">
        <f ca="1">IF(PaymentSchedule[[#This Row],[PMT NO]]&lt;&gt;"",ScheduledPayment,"")</f>
        <v>9423.6334368029093</v>
      </c>
      <c r="F21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5" s="431">
        <f ca="1">IF(PaymentSchedule[[#This Row],[PMT NO]]&lt;&gt;"",PaymentSchedule[[#This Row],[TOTAL PAYMENT]]-PaymentSchedule[[#This Row],[INTEREST]],"")</f>
        <v>6811.135195080933</v>
      </c>
      <c r="I215" s="431">
        <f ca="1">IF(PaymentSchedule[[#This Row],[PMT NO]]&lt;&gt;"",PaymentSchedule[[#This Row],[BEGINNING BALANCE]]*(InterestRate/PaymentsPerYear),"")</f>
        <v>2612.4982417219762</v>
      </c>
      <c r="J21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1247188.0208314678</v>
      </c>
      <c r="K215" s="431">
        <f ca="1">IF(PaymentSchedule[[#This Row],[PMT NO]]&lt;&gt;"",SUM(INDEX(PaymentSchedule[INTEREST],1,1):PaymentSchedule[[#This Row],[INTEREST]]),"")</f>
        <v>794032.875376062</v>
      </c>
    </row>
    <row r="216" spans="2:11">
      <c r="B216" s="432">
        <f ca="1">IF(LoanIsGood,IF(ROW()-ROW(PaymentSchedule[[#Headers],[PMT NO]])&gt;ScheduledNumberOfPayments,"",ROW()-ROW(PaymentSchedule[[#Headers],[PMT NO]])),"")</f>
        <v>206</v>
      </c>
      <c r="C216" s="430">
        <f ca="1">IF(PaymentSchedule[[#This Row],[PMT NO]]&lt;&gt;"",EOMONTH(LoanStartDate,ROW(PaymentSchedule[[#This Row],[PMT NO]])-ROW(PaymentSchedule[[#Headers],[PMT NO]])-2)+DAY(LoanStartDate),"")</f>
        <v>50192</v>
      </c>
      <c r="D216" s="431">
        <f ca="1">IF(PaymentSchedule[[#This Row],[PMT NO]]&lt;&gt;"",IF(ROW()-ROW(PaymentSchedule[[#Headers],[BEGINNING BALANCE]])=1,LoanAmount,INDEX(PaymentSchedule[ENDING BALANCE],ROW()-ROW(PaymentSchedule[[#Headers],[BEGINNING BALANCE]])-1)),"")</f>
        <v>1247188.0208314678</v>
      </c>
      <c r="E216" s="431">
        <f ca="1">IF(PaymentSchedule[[#This Row],[PMT NO]]&lt;&gt;"",ScheduledPayment,"")</f>
        <v>9423.6334368029093</v>
      </c>
      <c r="F21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6" s="431">
        <f ca="1">IF(PaymentSchedule[[#This Row],[PMT NO]]&lt;&gt;"",PaymentSchedule[[#This Row],[TOTAL PAYMENT]]-PaymentSchedule[[#This Row],[INTEREST]],"")</f>
        <v>6825.3250600706851</v>
      </c>
      <c r="I216" s="431">
        <f ca="1">IF(PaymentSchedule[[#This Row],[PMT NO]]&lt;&gt;"",PaymentSchedule[[#This Row],[BEGINNING BALANCE]]*(InterestRate/PaymentsPerYear),"")</f>
        <v>2598.3083767322246</v>
      </c>
      <c r="J21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1240362.6957713971</v>
      </c>
      <c r="K216" s="431">
        <f ca="1">IF(PaymentSchedule[[#This Row],[PMT NO]]&lt;&gt;"",SUM(INDEX(PaymentSchedule[INTEREST],1,1):PaymentSchedule[[#This Row],[INTEREST]]),"")</f>
        <v>796631.18375279428</v>
      </c>
    </row>
    <row r="217" spans="2:11">
      <c r="B217" s="432">
        <f ca="1">IF(LoanIsGood,IF(ROW()-ROW(PaymentSchedule[[#Headers],[PMT NO]])&gt;ScheduledNumberOfPayments,"",ROW()-ROW(PaymentSchedule[[#Headers],[PMT NO]])),"")</f>
        <v>207</v>
      </c>
      <c r="C217" s="430">
        <f ca="1">IF(PaymentSchedule[[#This Row],[PMT NO]]&lt;&gt;"",EOMONTH(LoanStartDate,ROW(PaymentSchedule[[#This Row],[PMT NO]])-ROW(PaymentSchedule[[#Headers],[PMT NO]])-2)+DAY(LoanStartDate),"")</f>
        <v>50222</v>
      </c>
      <c r="D217" s="431">
        <f ca="1">IF(PaymentSchedule[[#This Row],[PMT NO]]&lt;&gt;"",IF(ROW()-ROW(PaymentSchedule[[#Headers],[BEGINNING BALANCE]])=1,LoanAmount,INDEX(PaymentSchedule[ENDING BALANCE],ROW()-ROW(PaymentSchedule[[#Headers],[BEGINNING BALANCE]])-1)),"")</f>
        <v>1240362.6957713971</v>
      </c>
      <c r="E217" s="431">
        <f ca="1">IF(PaymentSchedule[[#This Row],[PMT NO]]&lt;&gt;"",ScheduledPayment,"")</f>
        <v>9423.6334368029093</v>
      </c>
      <c r="F21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7" s="431">
        <f ca="1">IF(PaymentSchedule[[#This Row],[PMT NO]]&lt;&gt;"",PaymentSchedule[[#This Row],[TOTAL PAYMENT]]-PaymentSchedule[[#This Row],[INTEREST]],"")</f>
        <v>6839.544487279165</v>
      </c>
      <c r="I217" s="431">
        <f ca="1">IF(PaymentSchedule[[#This Row],[PMT NO]]&lt;&gt;"",PaymentSchedule[[#This Row],[BEGINNING BALANCE]]*(InterestRate/PaymentsPerYear),"")</f>
        <v>2584.0889495237438</v>
      </c>
      <c r="J21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1233523.151284118</v>
      </c>
      <c r="K217" s="431">
        <f ca="1">IF(PaymentSchedule[[#This Row],[PMT NO]]&lt;&gt;"",SUM(INDEX(PaymentSchedule[INTEREST],1,1):PaymentSchedule[[#This Row],[INTEREST]]),"")</f>
        <v>799215.27270231803</v>
      </c>
    </row>
    <row r="218" spans="2:11">
      <c r="B218" s="432">
        <f ca="1">IF(LoanIsGood,IF(ROW()-ROW(PaymentSchedule[[#Headers],[PMT NO]])&gt;ScheduledNumberOfPayments,"",ROW()-ROW(PaymentSchedule[[#Headers],[PMT NO]])),"")</f>
        <v>208</v>
      </c>
      <c r="C218" s="430">
        <f ca="1">IF(PaymentSchedule[[#This Row],[PMT NO]]&lt;&gt;"",EOMONTH(LoanStartDate,ROW(PaymentSchedule[[#This Row],[PMT NO]])-ROW(PaymentSchedule[[#Headers],[PMT NO]])-2)+DAY(LoanStartDate),"")</f>
        <v>50253</v>
      </c>
      <c r="D218" s="431">
        <f ca="1">IF(PaymentSchedule[[#This Row],[PMT NO]]&lt;&gt;"",IF(ROW()-ROW(PaymentSchedule[[#Headers],[BEGINNING BALANCE]])=1,LoanAmount,INDEX(PaymentSchedule[ENDING BALANCE],ROW()-ROW(PaymentSchedule[[#Headers],[BEGINNING BALANCE]])-1)),"")</f>
        <v>1233523.151284118</v>
      </c>
      <c r="E218" s="431">
        <f ca="1">IF(PaymentSchedule[[#This Row],[PMT NO]]&lt;&gt;"",ScheduledPayment,"")</f>
        <v>9423.6334368029093</v>
      </c>
      <c r="F21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8" s="431">
        <f ca="1">IF(PaymentSchedule[[#This Row],[PMT NO]]&lt;&gt;"",PaymentSchedule[[#This Row],[TOTAL PAYMENT]]-PaymentSchedule[[#This Row],[INTEREST]],"")</f>
        <v>6853.7935382943306</v>
      </c>
      <c r="I218" s="431">
        <f ca="1">IF(PaymentSchedule[[#This Row],[PMT NO]]&lt;&gt;"",PaymentSchedule[[#This Row],[BEGINNING BALANCE]]*(InterestRate/PaymentsPerYear),"")</f>
        <v>2569.8398985085792</v>
      </c>
      <c r="J21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1226669.3577458237</v>
      </c>
      <c r="K218" s="431">
        <f ca="1">IF(PaymentSchedule[[#This Row],[PMT NO]]&lt;&gt;"",SUM(INDEX(PaymentSchedule[INTEREST],1,1):PaymentSchedule[[#This Row],[INTEREST]]),"")</f>
        <v>801785.11260082666</v>
      </c>
    </row>
    <row r="219" spans="2:11">
      <c r="B219" s="432">
        <f ca="1">IF(LoanIsGood,IF(ROW()-ROW(PaymentSchedule[[#Headers],[PMT NO]])&gt;ScheduledNumberOfPayments,"",ROW()-ROW(PaymentSchedule[[#Headers],[PMT NO]])),"")</f>
        <v>209</v>
      </c>
      <c r="C219" s="430">
        <f ca="1">IF(PaymentSchedule[[#This Row],[PMT NO]]&lt;&gt;"",EOMONTH(LoanStartDate,ROW(PaymentSchedule[[#This Row],[PMT NO]])-ROW(PaymentSchedule[[#Headers],[PMT NO]])-2)+DAY(LoanStartDate),"")</f>
        <v>50284</v>
      </c>
      <c r="D219" s="431">
        <f ca="1">IF(PaymentSchedule[[#This Row],[PMT NO]]&lt;&gt;"",IF(ROW()-ROW(PaymentSchedule[[#Headers],[BEGINNING BALANCE]])=1,LoanAmount,INDEX(PaymentSchedule[ENDING BALANCE],ROW()-ROW(PaymentSchedule[[#Headers],[BEGINNING BALANCE]])-1)),"")</f>
        <v>1226669.3577458237</v>
      </c>
      <c r="E219" s="431">
        <f ca="1">IF(PaymentSchedule[[#This Row],[PMT NO]]&lt;&gt;"",ScheduledPayment,"")</f>
        <v>9423.6334368029093</v>
      </c>
      <c r="F21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19" s="431">
        <f ca="1">IF(PaymentSchedule[[#This Row],[PMT NO]]&lt;&gt;"",PaymentSchedule[[#This Row],[TOTAL PAYMENT]]-PaymentSchedule[[#This Row],[INTEREST]],"")</f>
        <v>6868.0722748324433</v>
      </c>
      <c r="I219" s="431">
        <f ca="1">IF(PaymentSchedule[[#This Row],[PMT NO]]&lt;&gt;"",PaymentSchedule[[#This Row],[BEGINNING BALANCE]]*(InterestRate/PaymentsPerYear),"")</f>
        <v>2555.5611619704659</v>
      </c>
      <c r="J21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1219801.2854709912</v>
      </c>
      <c r="K219" s="431">
        <f ca="1">IF(PaymentSchedule[[#This Row],[PMT NO]]&lt;&gt;"",SUM(INDEX(PaymentSchedule[INTEREST],1,1):PaymentSchedule[[#This Row],[INTEREST]]),"")</f>
        <v>804340.67376279715</v>
      </c>
    </row>
    <row r="220" spans="2:11">
      <c r="B220" s="432">
        <f ca="1">IF(LoanIsGood,IF(ROW()-ROW(PaymentSchedule[[#Headers],[PMT NO]])&gt;ScheduledNumberOfPayments,"",ROW()-ROW(PaymentSchedule[[#Headers],[PMT NO]])),"")</f>
        <v>210</v>
      </c>
      <c r="C220" s="430">
        <f ca="1">IF(PaymentSchedule[[#This Row],[PMT NO]]&lt;&gt;"",EOMONTH(LoanStartDate,ROW(PaymentSchedule[[#This Row],[PMT NO]])-ROW(PaymentSchedule[[#Headers],[PMT NO]])-2)+DAY(LoanStartDate),"")</f>
        <v>50314</v>
      </c>
      <c r="D220" s="431">
        <f ca="1">IF(PaymentSchedule[[#This Row],[PMT NO]]&lt;&gt;"",IF(ROW()-ROW(PaymentSchedule[[#Headers],[BEGINNING BALANCE]])=1,LoanAmount,INDEX(PaymentSchedule[ENDING BALANCE],ROW()-ROW(PaymentSchedule[[#Headers],[BEGINNING BALANCE]])-1)),"")</f>
        <v>1219801.2854709912</v>
      </c>
      <c r="E220" s="431">
        <f ca="1">IF(PaymentSchedule[[#This Row],[PMT NO]]&lt;&gt;"",ScheduledPayment,"")</f>
        <v>9423.6334368029093</v>
      </c>
      <c r="F22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0" s="431">
        <f ca="1">IF(PaymentSchedule[[#This Row],[PMT NO]]&lt;&gt;"",PaymentSchedule[[#This Row],[TOTAL PAYMENT]]-PaymentSchedule[[#This Row],[INTEREST]],"")</f>
        <v>6882.3807587383444</v>
      </c>
      <c r="I220" s="431">
        <f ca="1">IF(PaymentSchedule[[#This Row],[PMT NO]]&lt;&gt;"",PaymentSchedule[[#This Row],[BEGINNING BALANCE]]*(InterestRate/PaymentsPerYear),"")</f>
        <v>2541.2526780645649</v>
      </c>
      <c r="J22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1212918.9047122528</v>
      </c>
      <c r="K220" s="431">
        <f ca="1">IF(PaymentSchedule[[#This Row],[PMT NO]]&lt;&gt;"",SUM(INDEX(PaymentSchedule[INTEREST],1,1):PaymentSchedule[[#This Row],[INTEREST]]),"")</f>
        <v>806881.92644086166</v>
      </c>
    </row>
    <row r="221" spans="2:11">
      <c r="B221" s="432">
        <f ca="1">IF(LoanIsGood,IF(ROW()-ROW(PaymentSchedule[[#Headers],[PMT NO]])&gt;ScheduledNumberOfPayments,"",ROW()-ROW(PaymentSchedule[[#Headers],[PMT NO]])),"")</f>
        <v>211</v>
      </c>
      <c r="C221" s="430">
        <f ca="1">IF(PaymentSchedule[[#This Row],[PMT NO]]&lt;&gt;"",EOMONTH(LoanStartDate,ROW(PaymentSchedule[[#This Row],[PMT NO]])-ROW(PaymentSchedule[[#Headers],[PMT NO]])-2)+DAY(LoanStartDate),"")</f>
        <v>50345</v>
      </c>
      <c r="D221" s="431">
        <f ca="1">IF(PaymentSchedule[[#This Row],[PMT NO]]&lt;&gt;"",IF(ROW()-ROW(PaymentSchedule[[#Headers],[BEGINNING BALANCE]])=1,LoanAmount,INDEX(PaymentSchedule[ENDING BALANCE],ROW()-ROW(PaymentSchedule[[#Headers],[BEGINNING BALANCE]])-1)),"")</f>
        <v>1212918.9047122528</v>
      </c>
      <c r="E221" s="431">
        <f ca="1">IF(PaymentSchedule[[#This Row],[PMT NO]]&lt;&gt;"",ScheduledPayment,"")</f>
        <v>9423.6334368029093</v>
      </c>
      <c r="F22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1" s="431">
        <f ca="1">IF(PaymentSchedule[[#This Row],[PMT NO]]&lt;&gt;"",PaymentSchedule[[#This Row],[TOTAL PAYMENT]]-PaymentSchedule[[#This Row],[INTEREST]],"")</f>
        <v>6896.7190519857159</v>
      </c>
      <c r="I221" s="431">
        <f ca="1">IF(PaymentSchedule[[#This Row],[PMT NO]]&lt;&gt;"",PaymentSchedule[[#This Row],[BEGINNING BALANCE]]*(InterestRate/PaymentsPerYear),"")</f>
        <v>2526.9143848171934</v>
      </c>
      <c r="J22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1206022.185660267</v>
      </c>
      <c r="K221" s="431">
        <f ca="1">IF(PaymentSchedule[[#This Row],[PMT NO]]&lt;&gt;"",SUM(INDEX(PaymentSchedule[INTEREST],1,1):PaymentSchedule[[#This Row],[INTEREST]]),"")</f>
        <v>809408.8408256789</v>
      </c>
    </row>
    <row r="222" spans="2:11">
      <c r="B222" s="432">
        <f ca="1">IF(LoanIsGood,IF(ROW()-ROW(PaymentSchedule[[#Headers],[PMT NO]])&gt;ScheduledNumberOfPayments,"",ROW()-ROW(PaymentSchedule[[#Headers],[PMT NO]])),"")</f>
        <v>212</v>
      </c>
      <c r="C222" s="430">
        <f ca="1">IF(PaymentSchedule[[#This Row],[PMT NO]]&lt;&gt;"",EOMONTH(LoanStartDate,ROW(PaymentSchedule[[#This Row],[PMT NO]])-ROW(PaymentSchedule[[#Headers],[PMT NO]])-2)+DAY(LoanStartDate),"")</f>
        <v>50375</v>
      </c>
      <c r="D222" s="431">
        <f ca="1">IF(PaymentSchedule[[#This Row],[PMT NO]]&lt;&gt;"",IF(ROW()-ROW(PaymentSchedule[[#Headers],[BEGINNING BALANCE]])=1,LoanAmount,INDEX(PaymentSchedule[ENDING BALANCE],ROW()-ROW(PaymentSchedule[[#Headers],[BEGINNING BALANCE]])-1)),"")</f>
        <v>1206022.185660267</v>
      </c>
      <c r="E222" s="431">
        <f ca="1">IF(PaymentSchedule[[#This Row],[PMT NO]]&lt;&gt;"",ScheduledPayment,"")</f>
        <v>9423.6334368029093</v>
      </c>
      <c r="F22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2" s="431">
        <f ca="1">IF(PaymentSchedule[[#This Row],[PMT NO]]&lt;&gt;"",PaymentSchedule[[#This Row],[TOTAL PAYMENT]]-PaymentSchedule[[#This Row],[INTEREST]],"")</f>
        <v>6911.0872166773534</v>
      </c>
      <c r="I222" s="431">
        <f ca="1">IF(PaymentSchedule[[#This Row],[PMT NO]]&lt;&gt;"",PaymentSchedule[[#This Row],[BEGINNING BALANCE]]*(InterestRate/PaymentsPerYear),"")</f>
        <v>2512.5462201255564</v>
      </c>
      <c r="J22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1199111.0984435896</v>
      </c>
      <c r="K222" s="431">
        <f ca="1">IF(PaymentSchedule[[#This Row],[PMT NO]]&lt;&gt;"",SUM(INDEX(PaymentSchedule[INTEREST],1,1):PaymentSchedule[[#This Row],[INTEREST]]),"")</f>
        <v>811921.38704580441</v>
      </c>
    </row>
    <row r="223" spans="2:11">
      <c r="B223" s="432">
        <f ca="1">IF(LoanIsGood,IF(ROW()-ROW(PaymentSchedule[[#Headers],[PMT NO]])&gt;ScheduledNumberOfPayments,"",ROW()-ROW(PaymentSchedule[[#Headers],[PMT NO]])),"")</f>
        <v>213</v>
      </c>
      <c r="C223" s="430">
        <f ca="1">IF(PaymentSchedule[[#This Row],[PMT NO]]&lt;&gt;"",EOMONTH(LoanStartDate,ROW(PaymentSchedule[[#This Row],[PMT NO]])-ROW(PaymentSchedule[[#Headers],[PMT NO]])-2)+DAY(LoanStartDate),"")</f>
        <v>50406</v>
      </c>
      <c r="D223" s="431">
        <f ca="1">IF(PaymentSchedule[[#This Row],[PMT NO]]&lt;&gt;"",IF(ROW()-ROW(PaymentSchedule[[#Headers],[BEGINNING BALANCE]])=1,LoanAmount,INDEX(PaymentSchedule[ENDING BALANCE],ROW()-ROW(PaymentSchedule[[#Headers],[BEGINNING BALANCE]])-1)),"")</f>
        <v>1199111.0984435896</v>
      </c>
      <c r="E223" s="431">
        <f ca="1">IF(PaymentSchedule[[#This Row],[PMT NO]]&lt;&gt;"",ScheduledPayment,"")</f>
        <v>9423.6334368029093</v>
      </c>
      <c r="F22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3" s="431">
        <f ca="1">IF(PaymentSchedule[[#This Row],[PMT NO]]&lt;&gt;"",PaymentSchedule[[#This Row],[TOTAL PAYMENT]]-PaymentSchedule[[#This Row],[INTEREST]],"")</f>
        <v>6925.485315045431</v>
      </c>
      <c r="I223" s="431">
        <f ca="1">IF(PaymentSchedule[[#This Row],[PMT NO]]&lt;&gt;"",PaymentSchedule[[#This Row],[BEGINNING BALANCE]]*(InterestRate/PaymentsPerYear),"")</f>
        <v>2498.1481217574783</v>
      </c>
      <c r="J22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1192185.6131285443</v>
      </c>
      <c r="K223" s="431">
        <f ca="1">IF(PaymentSchedule[[#This Row],[PMT NO]]&lt;&gt;"",SUM(INDEX(PaymentSchedule[INTEREST],1,1):PaymentSchedule[[#This Row],[INTEREST]]),"")</f>
        <v>814419.53516756184</v>
      </c>
    </row>
    <row r="224" spans="2:11">
      <c r="B224" s="432">
        <f ca="1">IF(LoanIsGood,IF(ROW()-ROW(PaymentSchedule[[#Headers],[PMT NO]])&gt;ScheduledNumberOfPayments,"",ROW()-ROW(PaymentSchedule[[#Headers],[PMT NO]])),"")</f>
        <v>214</v>
      </c>
      <c r="C224" s="430">
        <f ca="1">IF(PaymentSchedule[[#This Row],[PMT NO]]&lt;&gt;"",EOMONTH(LoanStartDate,ROW(PaymentSchedule[[#This Row],[PMT NO]])-ROW(PaymentSchedule[[#Headers],[PMT NO]])-2)+DAY(LoanStartDate),"")</f>
        <v>50437</v>
      </c>
      <c r="D224" s="431">
        <f ca="1">IF(PaymentSchedule[[#This Row],[PMT NO]]&lt;&gt;"",IF(ROW()-ROW(PaymentSchedule[[#Headers],[BEGINNING BALANCE]])=1,LoanAmount,INDEX(PaymentSchedule[ENDING BALANCE],ROW()-ROW(PaymentSchedule[[#Headers],[BEGINNING BALANCE]])-1)),"")</f>
        <v>1192185.6131285443</v>
      </c>
      <c r="E224" s="431">
        <f ca="1">IF(PaymentSchedule[[#This Row],[PMT NO]]&lt;&gt;"",ScheduledPayment,"")</f>
        <v>9423.6334368029093</v>
      </c>
      <c r="F22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4" s="431">
        <f ca="1">IF(PaymentSchedule[[#This Row],[PMT NO]]&lt;&gt;"",PaymentSchedule[[#This Row],[TOTAL PAYMENT]]-PaymentSchedule[[#This Row],[INTEREST]],"")</f>
        <v>6939.9134094517758</v>
      </c>
      <c r="I224" s="431">
        <f ca="1">IF(PaymentSchedule[[#This Row],[PMT NO]]&lt;&gt;"",PaymentSchedule[[#This Row],[BEGINNING BALANCE]]*(InterestRate/PaymentsPerYear),"")</f>
        <v>2483.7200273511339</v>
      </c>
      <c r="J22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1185245.6997190926</v>
      </c>
      <c r="K224" s="431">
        <f ca="1">IF(PaymentSchedule[[#This Row],[PMT NO]]&lt;&gt;"",SUM(INDEX(PaymentSchedule[INTEREST],1,1):PaymentSchedule[[#This Row],[INTEREST]]),"")</f>
        <v>816903.25519491301</v>
      </c>
    </row>
    <row r="225" spans="2:11">
      <c r="B225" s="432">
        <f ca="1">IF(LoanIsGood,IF(ROW()-ROW(PaymentSchedule[[#Headers],[PMT NO]])&gt;ScheduledNumberOfPayments,"",ROW()-ROW(PaymentSchedule[[#Headers],[PMT NO]])),"")</f>
        <v>215</v>
      </c>
      <c r="C225" s="430">
        <f ca="1">IF(PaymentSchedule[[#This Row],[PMT NO]]&lt;&gt;"",EOMONTH(LoanStartDate,ROW(PaymentSchedule[[#This Row],[PMT NO]])-ROW(PaymentSchedule[[#Headers],[PMT NO]])-2)+DAY(LoanStartDate),"")</f>
        <v>50465</v>
      </c>
      <c r="D225" s="431">
        <f ca="1">IF(PaymentSchedule[[#This Row],[PMT NO]]&lt;&gt;"",IF(ROW()-ROW(PaymentSchedule[[#Headers],[BEGINNING BALANCE]])=1,LoanAmount,INDEX(PaymentSchedule[ENDING BALANCE],ROW()-ROW(PaymentSchedule[[#Headers],[BEGINNING BALANCE]])-1)),"")</f>
        <v>1185245.6997190926</v>
      </c>
      <c r="E225" s="431">
        <f ca="1">IF(PaymentSchedule[[#This Row],[PMT NO]]&lt;&gt;"",ScheduledPayment,"")</f>
        <v>9423.6334368029093</v>
      </c>
      <c r="F22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5" s="431">
        <f ca="1">IF(PaymentSchedule[[#This Row],[PMT NO]]&lt;&gt;"",PaymentSchedule[[#This Row],[TOTAL PAYMENT]]-PaymentSchedule[[#This Row],[INTEREST]],"")</f>
        <v>6954.3715623881326</v>
      </c>
      <c r="I225" s="431">
        <f ca="1">IF(PaymentSchedule[[#This Row],[PMT NO]]&lt;&gt;"",PaymentSchedule[[#This Row],[BEGINNING BALANCE]]*(InterestRate/PaymentsPerYear),"")</f>
        <v>2469.2618744147762</v>
      </c>
      <c r="J22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1178291.3281567045</v>
      </c>
      <c r="K225" s="431">
        <f ca="1">IF(PaymentSchedule[[#This Row],[PMT NO]]&lt;&gt;"",SUM(INDEX(PaymentSchedule[INTEREST],1,1):PaymentSchedule[[#This Row],[INTEREST]]),"")</f>
        <v>819372.51706932776</v>
      </c>
    </row>
    <row r="226" spans="2:11">
      <c r="B226" s="432">
        <f ca="1">IF(LoanIsGood,IF(ROW()-ROW(PaymentSchedule[[#Headers],[PMT NO]])&gt;ScheduledNumberOfPayments,"",ROW()-ROW(PaymentSchedule[[#Headers],[PMT NO]])),"")</f>
        <v>216</v>
      </c>
      <c r="C226" s="430">
        <f ca="1">IF(PaymentSchedule[[#This Row],[PMT NO]]&lt;&gt;"",EOMONTH(LoanStartDate,ROW(PaymentSchedule[[#This Row],[PMT NO]])-ROW(PaymentSchedule[[#Headers],[PMT NO]])-2)+DAY(LoanStartDate),"")</f>
        <v>50496</v>
      </c>
      <c r="D226" s="431">
        <f ca="1">IF(PaymentSchedule[[#This Row],[PMT NO]]&lt;&gt;"",IF(ROW()-ROW(PaymentSchedule[[#Headers],[BEGINNING BALANCE]])=1,LoanAmount,INDEX(PaymentSchedule[ENDING BALANCE],ROW()-ROW(PaymentSchedule[[#Headers],[BEGINNING BALANCE]])-1)),"")</f>
        <v>1178291.3281567045</v>
      </c>
      <c r="E226" s="431">
        <f ca="1">IF(PaymentSchedule[[#This Row],[PMT NO]]&lt;&gt;"",ScheduledPayment,"")</f>
        <v>9423.6334368029093</v>
      </c>
      <c r="F22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6" s="431">
        <f ca="1">IF(PaymentSchedule[[#This Row],[PMT NO]]&lt;&gt;"",PaymentSchedule[[#This Row],[TOTAL PAYMENT]]-PaymentSchedule[[#This Row],[INTEREST]],"")</f>
        <v>6968.8598364764421</v>
      </c>
      <c r="I226" s="431">
        <f ca="1">IF(PaymentSchedule[[#This Row],[PMT NO]]&lt;&gt;"",PaymentSchedule[[#This Row],[BEGINNING BALANCE]]*(InterestRate/PaymentsPerYear),"")</f>
        <v>2454.7736003264677</v>
      </c>
      <c r="J22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1171322.4683202282</v>
      </c>
      <c r="K226" s="431">
        <f ca="1">IF(PaymentSchedule[[#This Row],[PMT NO]]&lt;&gt;"",SUM(INDEX(PaymentSchedule[INTEREST],1,1):PaymentSchedule[[#This Row],[INTEREST]]),"")</f>
        <v>821827.29066965426</v>
      </c>
    </row>
    <row r="227" spans="2:11">
      <c r="B227" s="432">
        <f ca="1">IF(LoanIsGood,IF(ROW()-ROW(PaymentSchedule[[#Headers],[PMT NO]])&gt;ScheduledNumberOfPayments,"",ROW()-ROW(PaymentSchedule[[#Headers],[PMT NO]])),"")</f>
        <v>217</v>
      </c>
      <c r="C227" s="430">
        <f ca="1">IF(PaymentSchedule[[#This Row],[PMT NO]]&lt;&gt;"",EOMONTH(LoanStartDate,ROW(PaymentSchedule[[#This Row],[PMT NO]])-ROW(PaymentSchedule[[#Headers],[PMT NO]])-2)+DAY(LoanStartDate),"")</f>
        <v>50526</v>
      </c>
      <c r="D227" s="431">
        <f ca="1">IF(PaymentSchedule[[#This Row],[PMT NO]]&lt;&gt;"",IF(ROW()-ROW(PaymentSchedule[[#Headers],[BEGINNING BALANCE]])=1,LoanAmount,INDEX(PaymentSchedule[ENDING BALANCE],ROW()-ROW(PaymentSchedule[[#Headers],[BEGINNING BALANCE]])-1)),"")</f>
        <v>1171322.4683202282</v>
      </c>
      <c r="E227" s="431">
        <f ca="1">IF(PaymentSchedule[[#This Row],[PMT NO]]&lt;&gt;"",ScheduledPayment,"")</f>
        <v>9423.6334368029093</v>
      </c>
      <c r="F22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7" s="431">
        <f ca="1">IF(PaymentSchedule[[#This Row],[PMT NO]]&lt;&gt;"",PaymentSchedule[[#This Row],[TOTAL PAYMENT]]-PaymentSchedule[[#This Row],[INTEREST]],"")</f>
        <v>6983.3782944691011</v>
      </c>
      <c r="I227" s="431">
        <f ca="1">IF(PaymentSchedule[[#This Row],[PMT NO]]&lt;&gt;"",PaymentSchedule[[#This Row],[BEGINNING BALANCE]]*(InterestRate/PaymentsPerYear),"")</f>
        <v>2440.2551423338086</v>
      </c>
      <c r="J22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1164339.0900257591</v>
      </c>
      <c r="K227" s="431">
        <f ca="1">IF(PaymentSchedule[[#This Row],[PMT NO]]&lt;&gt;"",SUM(INDEX(PaymentSchedule[INTEREST],1,1):PaymentSchedule[[#This Row],[INTEREST]]),"")</f>
        <v>824267.54581198806</v>
      </c>
    </row>
    <row r="228" spans="2:11">
      <c r="B228" s="432">
        <f ca="1">IF(LoanIsGood,IF(ROW()-ROW(PaymentSchedule[[#Headers],[PMT NO]])&gt;ScheduledNumberOfPayments,"",ROW()-ROW(PaymentSchedule[[#Headers],[PMT NO]])),"")</f>
        <v>218</v>
      </c>
      <c r="C228" s="430">
        <f ca="1">IF(PaymentSchedule[[#This Row],[PMT NO]]&lt;&gt;"",EOMONTH(LoanStartDate,ROW(PaymentSchedule[[#This Row],[PMT NO]])-ROW(PaymentSchedule[[#Headers],[PMT NO]])-2)+DAY(LoanStartDate),"")</f>
        <v>50557</v>
      </c>
      <c r="D228" s="431">
        <f ca="1">IF(PaymentSchedule[[#This Row],[PMT NO]]&lt;&gt;"",IF(ROW()-ROW(PaymentSchedule[[#Headers],[BEGINNING BALANCE]])=1,LoanAmount,INDEX(PaymentSchedule[ENDING BALANCE],ROW()-ROW(PaymentSchedule[[#Headers],[BEGINNING BALANCE]])-1)),"")</f>
        <v>1164339.0900257591</v>
      </c>
      <c r="E228" s="431">
        <f ca="1">IF(PaymentSchedule[[#This Row],[PMT NO]]&lt;&gt;"",ScheduledPayment,"")</f>
        <v>9423.6334368029093</v>
      </c>
      <c r="F22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8" s="431">
        <f ca="1">IF(PaymentSchedule[[#This Row],[PMT NO]]&lt;&gt;"",PaymentSchedule[[#This Row],[TOTAL PAYMENT]]-PaymentSchedule[[#This Row],[INTEREST]],"")</f>
        <v>6997.9269992492445</v>
      </c>
      <c r="I228" s="431">
        <f ca="1">IF(PaymentSchedule[[#This Row],[PMT NO]]&lt;&gt;"",PaymentSchedule[[#This Row],[BEGINNING BALANCE]]*(InterestRate/PaymentsPerYear),"")</f>
        <v>2425.7064375536647</v>
      </c>
      <c r="J22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1157341.1630265098</v>
      </c>
      <c r="K228" s="431">
        <f ca="1">IF(PaymentSchedule[[#This Row],[PMT NO]]&lt;&gt;"",SUM(INDEX(PaymentSchedule[INTEREST],1,1):PaymentSchedule[[#This Row],[INTEREST]]),"")</f>
        <v>826693.25224954169</v>
      </c>
    </row>
    <row r="229" spans="2:11">
      <c r="B229" s="432">
        <f ca="1">IF(LoanIsGood,IF(ROW()-ROW(PaymentSchedule[[#Headers],[PMT NO]])&gt;ScheduledNumberOfPayments,"",ROW()-ROW(PaymentSchedule[[#Headers],[PMT NO]])),"")</f>
        <v>219</v>
      </c>
      <c r="C229" s="430">
        <f ca="1">IF(PaymentSchedule[[#This Row],[PMT NO]]&lt;&gt;"",EOMONTH(LoanStartDate,ROW(PaymentSchedule[[#This Row],[PMT NO]])-ROW(PaymentSchedule[[#Headers],[PMT NO]])-2)+DAY(LoanStartDate),"")</f>
        <v>50587</v>
      </c>
      <c r="D229" s="431">
        <f ca="1">IF(PaymentSchedule[[#This Row],[PMT NO]]&lt;&gt;"",IF(ROW()-ROW(PaymentSchedule[[#Headers],[BEGINNING BALANCE]])=1,LoanAmount,INDEX(PaymentSchedule[ENDING BALANCE],ROW()-ROW(PaymentSchedule[[#Headers],[BEGINNING BALANCE]])-1)),"")</f>
        <v>1157341.1630265098</v>
      </c>
      <c r="E229" s="431">
        <f ca="1">IF(PaymentSchedule[[#This Row],[PMT NO]]&lt;&gt;"",ScheduledPayment,"")</f>
        <v>9423.6334368029093</v>
      </c>
      <c r="F22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29" s="431">
        <f ca="1">IF(PaymentSchedule[[#This Row],[PMT NO]]&lt;&gt;"",PaymentSchedule[[#This Row],[TOTAL PAYMENT]]-PaymentSchedule[[#This Row],[INTEREST]],"")</f>
        <v>7012.5060138310137</v>
      </c>
      <c r="I229" s="431">
        <f ca="1">IF(PaymentSchedule[[#This Row],[PMT NO]]&lt;&gt;"",PaymentSchedule[[#This Row],[BEGINNING BALANCE]]*(InterestRate/PaymentsPerYear),"")</f>
        <v>2411.1274229718956</v>
      </c>
      <c r="J22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1150328.6570126787</v>
      </c>
      <c r="K229" s="431">
        <f ca="1">IF(PaymentSchedule[[#This Row],[PMT NO]]&lt;&gt;"",SUM(INDEX(PaymentSchedule[INTEREST],1,1):PaymentSchedule[[#This Row],[INTEREST]]),"")</f>
        <v>829104.37967251358</v>
      </c>
    </row>
    <row r="230" spans="2:11">
      <c r="B230" s="432">
        <f ca="1">IF(LoanIsGood,IF(ROW()-ROW(PaymentSchedule[[#Headers],[PMT NO]])&gt;ScheduledNumberOfPayments,"",ROW()-ROW(PaymentSchedule[[#Headers],[PMT NO]])),"")</f>
        <v>220</v>
      </c>
      <c r="C230" s="430">
        <f ca="1">IF(PaymentSchedule[[#This Row],[PMT NO]]&lt;&gt;"",EOMONTH(LoanStartDate,ROW(PaymentSchedule[[#This Row],[PMT NO]])-ROW(PaymentSchedule[[#Headers],[PMT NO]])-2)+DAY(LoanStartDate),"")</f>
        <v>50618</v>
      </c>
      <c r="D230" s="431">
        <f ca="1">IF(PaymentSchedule[[#This Row],[PMT NO]]&lt;&gt;"",IF(ROW()-ROW(PaymentSchedule[[#Headers],[BEGINNING BALANCE]])=1,LoanAmount,INDEX(PaymentSchedule[ENDING BALANCE],ROW()-ROW(PaymentSchedule[[#Headers],[BEGINNING BALANCE]])-1)),"")</f>
        <v>1150328.6570126787</v>
      </c>
      <c r="E230" s="431">
        <f ca="1">IF(PaymentSchedule[[#This Row],[PMT NO]]&lt;&gt;"",ScheduledPayment,"")</f>
        <v>9423.6334368029093</v>
      </c>
      <c r="F23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0" s="431">
        <f ca="1">IF(PaymentSchedule[[#This Row],[PMT NO]]&lt;&gt;"",PaymentSchedule[[#This Row],[TOTAL PAYMENT]]-PaymentSchedule[[#This Row],[INTEREST]],"")</f>
        <v>7027.1154013598289</v>
      </c>
      <c r="I230" s="431">
        <f ca="1">IF(PaymentSchedule[[#This Row],[PMT NO]]&lt;&gt;"",PaymentSchedule[[#This Row],[BEGINNING BALANCE]]*(InterestRate/PaymentsPerYear),"")</f>
        <v>2396.5180354430804</v>
      </c>
      <c r="J23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1143301.5416113189</v>
      </c>
      <c r="K230" s="431">
        <f ca="1">IF(PaymentSchedule[[#This Row],[PMT NO]]&lt;&gt;"",SUM(INDEX(PaymentSchedule[INTEREST],1,1):PaymentSchedule[[#This Row],[INTEREST]]),"")</f>
        <v>831500.89770795661</v>
      </c>
    </row>
    <row r="231" spans="2:11">
      <c r="B231" s="432">
        <f ca="1">IF(LoanIsGood,IF(ROW()-ROW(PaymentSchedule[[#Headers],[PMT NO]])&gt;ScheduledNumberOfPayments,"",ROW()-ROW(PaymentSchedule[[#Headers],[PMT NO]])),"")</f>
        <v>221</v>
      </c>
      <c r="C231" s="430">
        <f ca="1">IF(PaymentSchedule[[#This Row],[PMT NO]]&lt;&gt;"",EOMONTH(LoanStartDate,ROW(PaymentSchedule[[#This Row],[PMT NO]])-ROW(PaymentSchedule[[#Headers],[PMT NO]])-2)+DAY(LoanStartDate),"")</f>
        <v>50649</v>
      </c>
      <c r="D231" s="431">
        <f ca="1">IF(PaymentSchedule[[#This Row],[PMT NO]]&lt;&gt;"",IF(ROW()-ROW(PaymentSchedule[[#Headers],[BEGINNING BALANCE]])=1,LoanAmount,INDEX(PaymentSchedule[ENDING BALANCE],ROW()-ROW(PaymentSchedule[[#Headers],[BEGINNING BALANCE]])-1)),"")</f>
        <v>1143301.5416113189</v>
      </c>
      <c r="E231" s="431">
        <f ca="1">IF(PaymentSchedule[[#This Row],[PMT NO]]&lt;&gt;"",ScheduledPayment,"")</f>
        <v>9423.6334368029093</v>
      </c>
      <c r="F23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1" s="431">
        <f ca="1">IF(PaymentSchedule[[#This Row],[PMT NO]]&lt;&gt;"",PaymentSchedule[[#This Row],[TOTAL PAYMENT]]-PaymentSchedule[[#This Row],[INTEREST]],"")</f>
        <v>7041.7552251126617</v>
      </c>
      <c r="I231" s="431">
        <f ca="1">IF(PaymentSchedule[[#This Row],[PMT NO]]&lt;&gt;"",PaymentSchedule[[#This Row],[BEGINNING BALANCE]]*(InterestRate/PaymentsPerYear),"")</f>
        <v>2381.8782116902476</v>
      </c>
      <c r="J23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1136259.7863862063</v>
      </c>
      <c r="K231" s="431">
        <f ca="1">IF(PaymentSchedule[[#This Row],[PMT NO]]&lt;&gt;"",SUM(INDEX(PaymentSchedule[INTEREST],1,1):PaymentSchedule[[#This Row],[INTEREST]]),"")</f>
        <v>833882.77591964684</v>
      </c>
    </row>
    <row r="232" spans="2:11">
      <c r="B232" s="432">
        <f ca="1">IF(LoanIsGood,IF(ROW()-ROW(PaymentSchedule[[#Headers],[PMT NO]])&gt;ScheduledNumberOfPayments,"",ROW()-ROW(PaymentSchedule[[#Headers],[PMT NO]])),"")</f>
        <v>222</v>
      </c>
      <c r="C232" s="430">
        <f ca="1">IF(PaymentSchedule[[#This Row],[PMT NO]]&lt;&gt;"",EOMONTH(LoanStartDate,ROW(PaymentSchedule[[#This Row],[PMT NO]])-ROW(PaymentSchedule[[#Headers],[PMT NO]])-2)+DAY(LoanStartDate),"")</f>
        <v>50679</v>
      </c>
      <c r="D232" s="431">
        <f ca="1">IF(PaymentSchedule[[#This Row],[PMT NO]]&lt;&gt;"",IF(ROW()-ROW(PaymentSchedule[[#Headers],[BEGINNING BALANCE]])=1,LoanAmount,INDEX(PaymentSchedule[ENDING BALANCE],ROW()-ROW(PaymentSchedule[[#Headers],[BEGINNING BALANCE]])-1)),"")</f>
        <v>1136259.7863862063</v>
      </c>
      <c r="E232" s="431">
        <f ca="1">IF(PaymentSchedule[[#This Row],[PMT NO]]&lt;&gt;"",ScheduledPayment,"")</f>
        <v>9423.6334368029093</v>
      </c>
      <c r="F23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2" s="431">
        <f ca="1">IF(PaymentSchedule[[#This Row],[PMT NO]]&lt;&gt;"",PaymentSchedule[[#This Row],[TOTAL PAYMENT]]-PaymentSchedule[[#This Row],[INTEREST]],"")</f>
        <v>7056.4255484983132</v>
      </c>
      <c r="I232" s="431">
        <f ca="1">IF(PaymentSchedule[[#This Row],[PMT NO]]&lt;&gt;"",PaymentSchedule[[#This Row],[BEGINNING BALANCE]]*(InterestRate/PaymentsPerYear),"")</f>
        <v>2367.2078883045965</v>
      </c>
      <c r="J23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1129203.360837708</v>
      </c>
      <c r="K232" s="431">
        <f ca="1">IF(PaymentSchedule[[#This Row],[PMT NO]]&lt;&gt;"",SUM(INDEX(PaymentSchedule[INTEREST],1,1):PaymentSchedule[[#This Row],[INTEREST]]),"")</f>
        <v>836249.98380795144</v>
      </c>
    </row>
    <row r="233" spans="2:11">
      <c r="B233" s="432">
        <f ca="1">IF(LoanIsGood,IF(ROW()-ROW(PaymentSchedule[[#Headers],[PMT NO]])&gt;ScheduledNumberOfPayments,"",ROW()-ROW(PaymentSchedule[[#Headers],[PMT NO]])),"")</f>
        <v>223</v>
      </c>
      <c r="C233" s="430">
        <f ca="1">IF(PaymentSchedule[[#This Row],[PMT NO]]&lt;&gt;"",EOMONTH(LoanStartDate,ROW(PaymentSchedule[[#This Row],[PMT NO]])-ROW(PaymentSchedule[[#Headers],[PMT NO]])-2)+DAY(LoanStartDate),"")</f>
        <v>50710</v>
      </c>
      <c r="D233" s="431">
        <f ca="1">IF(PaymentSchedule[[#This Row],[PMT NO]]&lt;&gt;"",IF(ROW()-ROW(PaymentSchedule[[#Headers],[BEGINNING BALANCE]])=1,LoanAmount,INDEX(PaymentSchedule[ENDING BALANCE],ROW()-ROW(PaymentSchedule[[#Headers],[BEGINNING BALANCE]])-1)),"")</f>
        <v>1129203.360837708</v>
      </c>
      <c r="E233" s="431">
        <f ca="1">IF(PaymentSchedule[[#This Row],[PMT NO]]&lt;&gt;"",ScheduledPayment,"")</f>
        <v>9423.6334368029093</v>
      </c>
      <c r="F23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3" s="431">
        <f ca="1">IF(PaymentSchedule[[#This Row],[PMT NO]]&lt;&gt;"",PaymentSchedule[[#This Row],[TOTAL PAYMENT]]-PaymentSchedule[[#This Row],[INTEREST]],"")</f>
        <v>7071.1264350576839</v>
      </c>
      <c r="I233" s="431">
        <f ca="1">IF(PaymentSchedule[[#This Row],[PMT NO]]&lt;&gt;"",PaymentSchedule[[#This Row],[BEGINNING BALANCE]]*(InterestRate/PaymentsPerYear),"")</f>
        <v>2352.5070017452249</v>
      </c>
      <c r="J23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1122132.2344026503</v>
      </c>
      <c r="K233" s="431">
        <f ca="1">IF(PaymentSchedule[[#This Row],[PMT NO]]&lt;&gt;"",SUM(INDEX(PaymentSchedule[INTEREST],1,1):PaymentSchedule[[#This Row],[INTEREST]]),"")</f>
        <v>838602.49080969673</v>
      </c>
    </row>
    <row r="234" spans="2:11">
      <c r="B234" s="432">
        <f ca="1">IF(LoanIsGood,IF(ROW()-ROW(PaymentSchedule[[#Headers],[PMT NO]])&gt;ScheduledNumberOfPayments,"",ROW()-ROW(PaymentSchedule[[#Headers],[PMT NO]])),"")</f>
        <v>224</v>
      </c>
      <c r="C234" s="430">
        <f ca="1">IF(PaymentSchedule[[#This Row],[PMT NO]]&lt;&gt;"",EOMONTH(LoanStartDate,ROW(PaymentSchedule[[#This Row],[PMT NO]])-ROW(PaymentSchedule[[#Headers],[PMT NO]])-2)+DAY(LoanStartDate),"")</f>
        <v>50740</v>
      </c>
      <c r="D234" s="431">
        <f ca="1">IF(PaymentSchedule[[#This Row],[PMT NO]]&lt;&gt;"",IF(ROW()-ROW(PaymentSchedule[[#Headers],[BEGINNING BALANCE]])=1,LoanAmount,INDEX(PaymentSchedule[ENDING BALANCE],ROW()-ROW(PaymentSchedule[[#Headers],[BEGINNING BALANCE]])-1)),"")</f>
        <v>1122132.2344026503</v>
      </c>
      <c r="E234" s="431">
        <f ca="1">IF(PaymentSchedule[[#This Row],[PMT NO]]&lt;&gt;"",ScheduledPayment,"")</f>
        <v>9423.6334368029093</v>
      </c>
      <c r="F23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4" s="431">
        <f ca="1">IF(PaymentSchedule[[#This Row],[PMT NO]]&lt;&gt;"",PaymentSchedule[[#This Row],[TOTAL PAYMENT]]-PaymentSchedule[[#This Row],[INTEREST]],"")</f>
        <v>7085.8579484640541</v>
      </c>
      <c r="I234" s="431">
        <f ca="1">IF(PaymentSchedule[[#This Row],[PMT NO]]&lt;&gt;"",PaymentSchedule[[#This Row],[BEGINNING BALANCE]]*(InterestRate/PaymentsPerYear),"")</f>
        <v>2337.7754883388548</v>
      </c>
      <c r="J23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1115046.3764541862</v>
      </c>
      <c r="K234" s="431">
        <f ca="1">IF(PaymentSchedule[[#This Row],[PMT NO]]&lt;&gt;"",SUM(INDEX(PaymentSchedule[INTEREST],1,1):PaymentSchedule[[#This Row],[INTEREST]]),"")</f>
        <v>840940.26629803563</v>
      </c>
    </row>
    <row r="235" spans="2:11">
      <c r="B235" s="432">
        <f ca="1">IF(LoanIsGood,IF(ROW()-ROW(PaymentSchedule[[#Headers],[PMT NO]])&gt;ScheduledNumberOfPayments,"",ROW()-ROW(PaymentSchedule[[#Headers],[PMT NO]])),"")</f>
        <v>225</v>
      </c>
      <c r="C235" s="430">
        <f ca="1">IF(PaymentSchedule[[#This Row],[PMT NO]]&lt;&gt;"",EOMONTH(LoanStartDate,ROW(PaymentSchedule[[#This Row],[PMT NO]])-ROW(PaymentSchedule[[#Headers],[PMT NO]])-2)+DAY(LoanStartDate),"")</f>
        <v>50771</v>
      </c>
      <c r="D235" s="431">
        <f ca="1">IF(PaymentSchedule[[#This Row],[PMT NO]]&lt;&gt;"",IF(ROW()-ROW(PaymentSchedule[[#Headers],[BEGINNING BALANCE]])=1,LoanAmount,INDEX(PaymentSchedule[ENDING BALANCE],ROW()-ROW(PaymentSchedule[[#Headers],[BEGINNING BALANCE]])-1)),"")</f>
        <v>1115046.3764541862</v>
      </c>
      <c r="E235" s="431">
        <f ca="1">IF(PaymentSchedule[[#This Row],[PMT NO]]&lt;&gt;"",ScheduledPayment,"")</f>
        <v>9423.6334368029093</v>
      </c>
      <c r="F23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5" s="431">
        <f ca="1">IF(PaymentSchedule[[#This Row],[PMT NO]]&lt;&gt;"",PaymentSchedule[[#This Row],[TOTAL PAYMENT]]-PaymentSchedule[[#This Row],[INTEREST]],"")</f>
        <v>7100.6201525233546</v>
      </c>
      <c r="I235" s="431">
        <f ca="1">IF(PaymentSchedule[[#This Row],[PMT NO]]&lt;&gt;"",PaymentSchedule[[#This Row],[BEGINNING BALANCE]]*(InterestRate/PaymentsPerYear),"")</f>
        <v>2323.0132842795547</v>
      </c>
      <c r="J23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1107945.7563016629</v>
      </c>
      <c r="K235" s="431">
        <f ca="1">IF(PaymentSchedule[[#This Row],[PMT NO]]&lt;&gt;"",SUM(INDEX(PaymentSchedule[INTEREST],1,1):PaymentSchedule[[#This Row],[INTEREST]]),"")</f>
        <v>843263.27958231512</v>
      </c>
    </row>
    <row r="236" spans="2:11">
      <c r="B236" s="432">
        <f ca="1">IF(LoanIsGood,IF(ROW()-ROW(PaymentSchedule[[#Headers],[PMT NO]])&gt;ScheduledNumberOfPayments,"",ROW()-ROW(PaymentSchedule[[#Headers],[PMT NO]])),"")</f>
        <v>226</v>
      </c>
      <c r="C236" s="430">
        <f ca="1">IF(PaymentSchedule[[#This Row],[PMT NO]]&lt;&gt;"",EOMONTH(LoanStartDate,ROW(PaymentSchedule[[#This Row],[PMT NO]])-ROW(PaymentSchedule[[#Headers],[PMT NO]])-2)+DAY(LoanStartDate),"")</f>
        <v>50802</v>
      </c>
      <c r="D236" s="431">
        <f ca="1">IF(PaymentSchedule[[#This Row],[PMT NO]]&lt;&gt;"",IF(ROW()-ROW(PaymentSchedule[[#Headers],[BEGINNING BALANCE]])=1,LoanAmount,INDEX(PaymentSchedule[ENDING BALANCE],ROW()-ROW(PaymentSchedule[[#Headers],[BEGINNING BALANCE]])-1)),"")</f>
        <v>1107945.7563016629</v>
      </c>
      <c r="E236" s="431">
        <f ca="1">IF(PaymentSchedule[[#This Row],[PMT NO]]&lt;&gt;"",ScheduledPayment,"")</f>
        <v>9423.6334368029093</v>
      </c>
      <c r="F23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6" s="431">
        <f ca="1">IF(PaymentSchedule[[#This Row],[PMT NO]]&lt;&gt;"",PaymentSchedule[[#This Row],[TOTAL PAYMENT]]-PaymentSchedule[[#This Row],[INTEREST]],"")</f>
        <v>7115.4131111744446</v>
      </c>
      <c r="I236" s="431">
        <f ca="1">IF(PaymentSchedule[[#This Row],[PMT NO]]&lt;&gt;"",PaymentSchedule[[#This Row],[BEGINNING BALANCE]]*(InterestRate/PaymentsPerYear),"")</f>
        <v>2308.2203256284643</v>
      </c>
      <c r="J23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1100830.3431904884</v>
      </c>
      <c r="K236" s="431">
        <f ca="1">IF(PaymentSchedule[[#This Row],[PMT NO]]&lt;&gt;"",SUM(INDEX(PaymentSchedule[INTEREST],1,1):PaymentSchedule[[#This Row],[INTEREST]]),"")</f>
        <v>845571.49990794354</v>
      </c>
    </row>
    <row r="237" spans="2:11">
      <c r="B237" s="432">
        <f ca="1">IF(LoanIsGood,IF(ROW()-ROW(PaymentSchedule[[#Headers],[PMT NO]])&gt;ScheduledNumberOfPayments,"",ROW()-ROW(PaymentSchedule[[#Headers],[PMT NO]])),"")</f>
        <v>227</v>
      </c>
      <c r="C237" s="430">
        <f ca="1">IF(PaymentSchedule[[#This Row],[PMT NO]]&lt;&gt;"",EOMONTH(LoanStartDate,ROW(PaymentSchedule[[#This Row],[PMT NO]])-ROW(PaymentSchedule[[#Headers],[PMT NO]])-2)+DAY(LoanStartDate),"")</f>
        <v>50830</v>
      </c>
      <c r="D237" s="431">
        <f ca="1">IF(PaymentSchedule[[#This Row],[PMT NO]]&lt;&gt;"",IF(ROW()-ROW(PaymentSchedule[[#Headers],[BEGINNING BALANCE]])=1,LoanAmount,INDEX(PaymentSchedule[ENDING BALANCE],ROW()-ROW(PaymentSchedule[[#Headers],[BEGINNING BALANCE]])-1)),"")</f>
        <v>1100830.3431904884</v>
      </c>
      <c r="E237" s="431">
        <f ca="1">IF(PaymentSchedule[[#This Row],[PMT NO]]&lt;&gt;"",ScheduledPayment,"")</f>
        <v>9423.6334368029093</v>
      </c>
      <c r="F23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7" s="431">
        <f ca="1">IF(PaymentSchedule[[#This Row],[PMT NO]]&lt;&gt;"",PaymentSchedule[[#This Row],[TOTAL PAYMENT]]-PaymentSchedule[[#This Row],[INTEREST]],"")</f>
        <v>7130.2368884893913</v>
      </c>
      <c r="I237" s="431">
        <f ca="1">IF(PaymentSchedule[[#This Row],[PMT NO]]&lt;&gt;"",PaymentSchedule[[#This Row],[BEGINNING BALANCE]]*(InterestRate/PaymentsPerYear),"")</f>
        <v>2293.3965483135175</v>
      </c>
      <c r="J23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1093700.106301999</v>
      </c>
      <c r="K237" s="431">
        <f ca="1">IF(PaymentSchedule[[#This Row],[PMT NO]]&lt;&gt;"",SUM(INDEX(PaymentSchedule[INTEREST],1,1):PaymentSchedule[[#This Row],[INTEREST]]),"")</f>
        <v>847864.89645625709</v>
      </c>
    </row>
    <row r="238" spans="2:11">
      <c r="B238" s="432">
        <f ca="1">IF(LoanIsGood,IF(ROW()-ROW(PaymentSchedule[[#Headers],[PMT NO]])&gt;ScheduledNumberOfPayments,"",ROW()-ROW(PaymentSchedule[[#Headers],[PMT NO]])),"")</f>
        <v>228</v>
      </c>
      <c r="C238" s="430">
        <f ca="1">IF(PaymentSchedule[[#This Row],[PMT NO]]&lt;&gt;"",EOMONTH(LoanStartDate,ROW(PaymentSchedule[[#This Row],[PMT NO]])-ROW(PaymentSchedule[[#Headers],[PMT NO]])-2)+DAY(LoanStartDate),"")</f>
        <v>50861</v>
      </c>
      <c r="D238" s="431">
        <f ca="1">IF(PaymentSchedule[[#This Row],[PMT NO]]&lt;&gt;"",IF(ROW()-ROW(PaymentSchedule[[#Headers],[BEGINNING BALANCE]])=1,LoanAmount,INDEX(PaymentSchedule[ENDING BALANCE],ROW()-ROW(PaymentSchedule[[#Headers],[BEGINNING BALANCE]])-1)),"")</f>
        <v>1093700.106301999</v>
      </c>
      <c r="E238" s="431">
        <f ca="1">IF(PaymentSchedule[[#This Row],[PMT NO]]&lt;&gt;"",ScheduledPayment,"")</f>
        <v>9423.6334368029093</v>
      </c>
      <c r="F23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8" s="431">
        <f ca="1">IF(PaymentSchedule[[#This Row],[PMT NO]]&lt;&gt;"",PaymentSchedule[[#This Row],[TOTAL PAYMENT]]-PaymentSchedule[[#This Row],[INTEREST]],"")</f>
        <v>7145.0915486737449</v>
      </c>
      <c r="I238" s="431">
        <f ca="1">IF(PaymentSchedule[[#This Row],[PMT NO]]&lt;&gt;"",PaymentSchedule[[#This Row],[BEGINNING BALANCE]]*(InterestRate/PaymentsPerYear),"")</f>
        <v>2278.5418881291644</v>
      </c>
      <c r="J23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1086555.0147533251</v>
      </c>
      <c r="K238" s="431">
        <f ca="1">IF(PaymentSchedule[[#This Row],[PMT NO]]&lt;&gt;"",SUM(INDEX(PaymentSchedule[INTEREST],1,1):PaymentSchedule[[#This Row],[INTEREST]]),"")</f>
        <v>850143.43834438629</v>
      </c>
    </row>
    <row r="239" spans="2:11">
      <c r="B239" s="432">
        <f ca="1">IF(LoanIsGood,IF(ROW()-ROW(PaymentSchedule[[#Headers],[PMT NO]])&gt;ScheduledNumberOfPayments,"",ROW()-ROW(PaymentSchedule[[#Headers],[PMT NO]])),"")</f>
        <v>229</v>
      </c>
      <c r="C239" s="430">
        <f ca="1">IF(PaymentSchedule[[#This Row],[PMT NO]]&lt;&gt;"",EOMONTH(LoanStartDate,ROW(PaymentSchedule[[#This Row],[PMT NO]])-ROW(PaymentSchedule[[#Headers],[PMT NO]])-2)+DAY(LoanStartDate),"")</f>
        <v>50891</v>
      </c>
      <c r="D239" s="431">
        <f ca="1">IF(PaymentSchedule[[#This Row],[PMT NO]]&lt;&gt;"",IF(ROW()-ROW(PaymentSchedule[[#Headers],[BEGINNING BALANCE]])=1,LoanAmount,INDEX(PaymentSchedule[ENDING BALANCE],ROW()-ROW(PaymentSchedule[[#Headers],[BEGINNING BALANCE]])-1)),"")</f>
        <v>1086555.0147533251</v>
      </c>
      <c r="E239" s="431">
        <f ca="1">IF(PaymentSchedule[[#This Row],[PMT NO]]&lt;&gt;"",ScheduledPayment,"")</f>
        <v>9423.6334368029093</v>
      </c>
      <c r="F23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39" s="431">
        <f ca="1">IF(PaymentSchedule[[#This Row],[PMT NO]]&lt;&gt;"",PaymentSchedule[[#This Row],[TOTAL PAYMENT]]-PaymentSchedule[[#This Row],[INTEREST]],"")</f>
        <v>7159.977156066815</v>
      </c>
      <c r="I239" s="431">
        <f ca="1">IF(PaymentSchedule[[#This Row],[PMT NO]]&lt;&gt;"",PaymentSchedule[[#This Row],[BEGINNING BALANCE]]*(InterestRate/PaymentsPerYear),"")</f>
        <v>2263.6562807360942</v>
      </c>
      <c r="J23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1079395.0375972583</v>
      </c>
      <c r="K239" s="431">
        <f ca="1">IF(PaymentSchedule[[#This Row],[PMT NO]]&lt;&gt;"",SUM(INDEX(PaymentSchedule[INTEREST],1,1):PaymentSchedule[[#This Row],[INTEREST]]),"")</f>
        <v>852407.09462512238</v>
      </c>
    </row>
    <row r="240" spans="2:11">
      <c r="B240" s="432">
        <f ca="1">IF(LoanIsGood,IF(ROW()-ROW(PaymentSchedule[[#Headers],[PMT NO]])&gt;ScheduledNumberOfPayments,"",ROW()-ROW(PaymentSchedule[[#Headers],[PMT NO]])),"")</f>
        <v>230</v>
      </c>
      <c r="C240" s="430">
        <f ca="1">IF(PaymentSchedule[[#This Row],[PMT NO]]&lt;&gt;"",EOMONTH(LoanStartDate,ROW(PaymentSchedule[[#This Row],[PMT NO]])-ROW(PaymentSchedule[[#Headers],[PMT NO]])-2)+DAY(LoanStartDate),"")</f>
        <v>50922</v>
      </c>
      <c r="D240" s="431">
        <f ca="1">IF(PaymentSchedule[[#This Row],[PMT NO]]&lt;&gt;"",IF(ROW()-ROW(PaymentSchedule[[#Headers],[BEGINNING BALANCE]])=1,LoanAmount,INDEX(PaymentSchedule[ENDING BALANCE],ROW()-ROW(PaymentSchedule[[#Headers],[BEGINNING BALANCE]])-1)),"")</f>
        <v>1079395.0375972583</v>
      </c>
      <c r="E240" s="431">
        <f ca="1">IF(PaymentSchedule[[#This Row],[PMT NO]]&lt;&gt;"",ScheduledPayment,"")</f>
        <v>9423.6334368029093</v>
      </c>
      <c r="F24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0" s="431">
        <f ca="1">IF(PaymentSchedule[[#This Row],[PMT NO]]&lt;&gt;"",PaymentSchedule[[#This Row],[TOTAL PAYMENT]]-PaymentSchedule[[#This Row],[INTEREST]],"")</f>
        <v>7174.8937751419544</v>
      </c>
      <c r="I240" s="431">
        <f ca="1">IF(PaymentSchedule[[#This Row],[PMT NO]]&lt;&gt;"",PaymentSchedule[[#This Row],[BEGINNING BALANCE]]*(InterestRate/PaymentsPerYear),"")</f>
        <v>2248.7396616609549</v>
      </c>
      <c r="J24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1072220.1438221163</v>
      </c>
      <c r="K240" s="431">
        <f ca="1">IF(PaymentSchedule[[#This Row],[PMT NO]]&lt;&gt;"",SUM(INDEX(PaymentSchedule[INTEREST],1,1):PaymentSchedule[[#This Row],[INTEREST]]),"")</f>
        <v>854655.83428678336</v>
      </c>
    </row>
    <row r="241" spans="2:11">
      <c r="B241" s="432">
        <f ca="1">IF(LoanIsGood,IF(ROW()-ROW(PaymentSchedule[[#Headers],[PMT NO]])&gt;ScheduledNumberOfPayments,"",ROW()-ROW(PaymentSchedule[[#Headers],[PMT NO]])),"")</f>
        <v>231</v>
      </c>
      <c r="C241" s="430">
        <f ca="1">IF(PaymentSchedule[[#This Row],[PMT NO]]&lt;&gt;"",EOMONTH(LoanStartDate,ROW(PaymentSchedule[[#This Row],[PMT NO]])-ROW(PaymentSchedule[[#Headers],[PMT NO]])-2)+DAY(LoanStartDate),"")</f>
        <v>50952</v>
      </c>
      <c r="D241" s="431">
        <f ca="1">IF(PaymentSchedule[[#This Row],[PMT NO]]&lt;&gt;"",IF(ROW()-ROW(PaymentSchedule[[#Headers],[BEGINNING BALANCE]])=1,LoanAmount,INDEX(PaymentSchedule[ENDING BALANCE],ROW()-ROW(PaymentSchedule[[#Headers],[BEGINNING BALANCE]])-1)),"")</f>
        <v>1072220.1438221163</v>
      </c>
      <c r="E241" s="431">
        <f ca="1">IF(PaymentSchedule[[#This Row],[PMT NO]]&lt;&gt;"",ScheduledPayment,"")</f>
        <v>9423.6334368029093</v>
      </c>
      <c r="F24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1" s="431">
        <f ca="1">IF(PaymentSchedule[[#This Row],[PMT NO]]&lt;&gt;"",PaymentSchedule[[#This Row],[TOTAL PAYMENT]]-PaymentSchedule[[#This Row],[INTEREST]],"")</f>
        <v>7189.8414705068335</v>
      </c>
      <c r="I241" s="431">
        <f ca="1">IF(PaymentSchedule[[#This Row],[PMT NO]]&lt;&gt;"",PaymentSchedule[[#This Row],[BEGINNING BALANCE]]*(InterestRate/PaymentsPerYear),"")</f>
        <v>2233.7919662960758</v>
      </c>
      <c r="J24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1065030.3023516096</v>
      </c>
      <c r="K241" s="431">
        <f ca="1">IF(PaymentSchedule[[#This Row],[PMT NO]]&lt;&gt;"",SUM(INDEX(PaymentSchedule[INTEREST],1,1):PaymentSchedule[[#This Row],[INTEREST]]),"")</f>
        <v>856889.62625307939</v>
      </c>
    </row>
    <row r="242" spans="2:11">
      <c r="B242" s="432">
        <f ca="1">IF(LoanIsGood,IF(ROW()-ROW(PaymentSchedule[[#Headers],[PMT NO]])&gt;ScheduledNumberOfPayments,"",ROW()-ROW(PaymentSchedule[[#Headers],[PMT NO]])),"")</f>
        <v>232</v>
      </c>
      <c r="C242" s="430">
        <f ca="1">IF(PaymentSchedule[[#This Row],[PMT NO]]&lt;&gt;"",EOMONTH(LoanStartDate,ROW(PaymentSchedule[[#This Row],[PMT NO]])-ROW(PaymentSchedule[[#Headers],[PMT NO]])-2)+DAY(LoanStartDate),"")</f>
        <v>50983</v>
      </c>
      <c r="D242" s="431">
        <f ca="1">IF(PaymentSchedule[[#This Row],[PMT NO]]&lt;&gt;"",IF(ROW()-ROW(PaymentSchedule[[#Headers],[BEGINNING BALANCE]])=1,LoanAmount,INDEX(PaymentSchedule[ENDING BALANCE],ROW()-ROW(PaymentSchedule[[#Headers],[BEGINNING BALANCE]])-1)),"")</f>
        <v>1065030.3023516096</v>
      </c>
      <c r="E242" s="431">
        <f ca="1">IF(PaymentSchedule[[#This Row],[PMT NO]]&lt;&gt;"",ScheduledPayment,"")</f>
        <v>9423.6334368029093</v>
      </c>
      <c r="F24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2" s="431">
        <f ca="1">IF(PaymentSchedule[[#This Row],[PMT NO]]&lt;&gt;"",PaymentSchedule[[#This Row],[TOTAL PAYMENT]]-PaymentSchedule[[#This Row],[INTEREST]],"")</f>
        <v>7204.8203069037227</v>
      </c>
      <c r="I242" s="431">
        <f ca="1">IF(PaymentSchedule[[#This Row],[PMT NO]]&lt;&gt;"",PaymentSchedule[[#This Row],[BEGINNING BALANCE]]*(InterestRate/PaymentsPerYear),"")</f>
        <v>2218.8131298991866</v>
      </c>
      <c r="J24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1057825.4820447059</v>
      </c>
      <c r="K242" s="431">
        <f ca="1">IF(PaymentSchedule[[#This Row],[PMT NO]]&lt;&gt;"",SUM(INDEX(PaymentSchedule[INTEREST],1,1):PaymentSchedule[[#This Row],[INTEREST]]),"")</f>
        <v>859108.4393829786</v>
      </c>
    </row>
    <row r="243" spans="2:11">
      <c r="B243" s="432">
        <f ca="1">IF(LoanIsGood,IF(ROW()-ROW(PaymentSchedule[[#Headers],[PMT NO]])&gt;ScheduledNumberOfPayments,"",ROW()-ROW(PaymentSchedule[[#Headers],[PMT NO]])),"")</f>
        <v>233</v>
      </c>
      <c r="C243" s="430">
        <f ca="1">IF(PaymentSchedule[[#This Row],[PMT NO]]&lt;&gt;"",EOMONTH(LoanStartDate,ROW(PaymentSchedule[[#This Row],[PMT NO]])-ROW(PaymentSchedule[[#Headers],[PMT NO]])-2)+DAY(LoanStartDate),"")</f>
        <v>51014</v>
      </c>
      <c r="D243" s="431">
        <f ca="1">IF(PaymentSchedule[[#This Row],[PMT NO]]&lt;&gt;"",IF(ROW()-ROW(PaymentSchedule[[#Headers],[BEGINNING BALANCE]])=1,LoanAmount,INDEX(PaymentSchedule[ENDING BALANCE],ROW()-ROW(PaymentSchedule[[#Headers],[BEGINNING BALANCE]])-1)),"")</f>
        <v>1057825.4820447059</v>
      </c>
      <c r="E243" s="431">
        <f ca="1">IF(PaymentSchedule[[#This Row],[PMT NO]]&lt;&gt;"",ScheduledPayment,"")</f>
        <v>9423.6334368029093</v>
      </c>
      <c r="F24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3" s="431">
        <f ca="1">IF(PaymentSchedule[[#This Row],[PMT NO]]&lt;&gt;"",PaymentSchedule[[#This Row],[TOTAL PAYMENT]]-PaymentSchedule[[#This Row],[INTEREST]],"")</f>
        <v>7219.8303492097721</v>
      </c>
      <c r="I243" s="431">
        <f ca="1">IF(PaymentSchedule[[#This Row],[PMT NO]]&lt;&gt;"",PaymentSchedule[[#This Row],[BEGINNING BALANCE]]*(InterestRate/PaymentsPerYear),"")</f>
        <v>2203.8030875931372</v>
      </c>
      <c r="J24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1050605.6516954962</v>
      </c>
      <c r="K243" s="431">
        <f ca="1">IF(PaymentSchedule[[#This Row],[PMT NO]]&lt;&gt;"",SUM(INDEX(PaymentSchedule[INTEREST],1,1):PaymentSchedule[[#This Row],[INTEREST]]),"")</f>
        <v>861312.24247057177</v>
      </c>
    </row>
    <row r="244" spans="2:11">
      <c r="B244" s="432">
        <f ca="1">IF(LoanIsGood,IF(ROW()-ROW(PaymentSchedule[[#Headers],[PMT NO]])&gt;ScheduledNumberOfPayments,"",ROW()-ROW(PaymentSchedule[[#Headers],[PMT NO]])),"")</f>
        <v>234</v>
      </c>
      <c r="C244" s="430">
        <f ca="1">IF(PaymentSchedule[[#This Row],[PMT NO]]&lt;&gt;"",EOMONTH(LoanStartDate,ROW(PaymentSchedule[[#This Row],[PMT NO]])-ROW(PaymentSchedule[[#Headers],[PMT NO]])-2)+DAY(LoanStartDate),"")</f>
        <v>51044</v>
      </c>
      <c r="D244" s="431">
        <f ca="1">IF(PaymentSchedule[[#This Row],[PMT NO]]&lt;&gt;"",IF(ROW()-ROW(PaymentSchedule[[#Headers],[BEGINNING BALANCE]])=1,LoanAmount,INDEX(PaymentSchedule[ENDING BALANCE],ROW()-ROW(PaymentSchedule[[#Headers],[BEGINNING BALANCE]])-1)),"")</f>
        <v>1050605.6516954962</v>
      </c>
      <c r="E244" s="431">
        <f ca="1">IF(PaymentSchedule[[#This Row],[PMT NO]]&lt;&gt;"",ScheduledPayment,"")</f>
        <v>9423.6334368029093</v>
      </c>
      <c r="F24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4" s="431">
        <f ca="1">IF(PaymentSchedule[[#This Row],[PMT NO]]&lt;&gt;"",PaymentSchedule[[#This Row],[TOTAL PAYMENT]]-PaymentSchedule[[#This Row],[INTEREST]],"")</f>
        <v>7234.8716624372919</v>
      </c>
      <c r="I244" s="431">
        <f ca="1">IF(PaymentSchedule[[#This Row],[PMT NO]]&lt;&gt;"",PaymentSchedule[[#This Row],[BEGINNING BALANCE]]*(InterestRate/PaymentsPerYear),"")</f>
        <v>2188.7617743656169</v>
      </c>
      <c r="J24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1043370.7800330588</v>
      </c>
      <c r="K244" s="431">
        <f ca="1">IF(PaymentSchedule[[#This Row],[PMT NO]]&lt;&gt;"",SUM(INDEX(PaymentSchedule[INTEREST],1,1):PaymentSchedule[[#This Row],[INTEREST]]),"")</f>
        <v>863501.00424493745</v>
      </c>
    </row>
    <row r="245" spans="2:11">
      <c r="B245" s="432">
        <f ca="1">IF(LoanIsGood,IF(ROW()-ROW(PaymentSchedule[[#Headers],[PMT NO]])&gt;ScheduledNumberOfPayments,"",ROW()-ROW(PaymentSchedule[[#Headers],[PMT NO]])),"")</f>
        <v>235</v>
      </c>
      <c r="C245" s="430">
        <f ca="1">IF(PaymentSchedule[[#This Row],[PMT NO]]&lt;&gt;"",EOMONTH(LoanStartDate,ROW(PaymentSchedule[[#This Row],[PMT NO]])-ROW(PaymentSchedule[[#Headers],[PMT NO]])-2)+DAY(LoanStartDate),"")</f>
        <v>51075</v>
      </c>
      <c r="D245" s="431">
        <f ca="1">IF(PaymentSchedule[[#This Row],[PMT NO]]&lt;&gt;"",IF(ROW()-ROW(PaymentSchedule[[#Headers],[BEGINNING BALANCE]])=1,LoanAmount,INDEX(PaymentSchedule[ENDING BALANCE],ROW()-ROW(PaymentSchedule[[#Headers],[BEGINNING BALANCE]])-1)),"")</f>
        <v>1043370.7800330588</v>
      </c>
      <c r="E245" s="431">
        <f ca="1">IF(PaymentSchedule[[#This Row],[PMT NO]]&lt;&gt;"",ScheduledPayment,"")</f>
        <v>9423.6334368029093</v>
      </c>
      <c r="F24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5" s="431">
        <f ca="1">IF(PaymentSchedule[[#This Row],[PMT NO]]&lt;&gt;"",PaymentSchedule[[#This Row],[TOTAL PAYMENT]]-PaymentSchedule[[#This Row],[INTEREST]],"")</f>
        <v>7249.9443117340361</v>
      </c>
      <c r="I245" s="431">
        <f ca="1">IF(PaymentSchedule[[#This Row],[PMT NO]]&lt;&gt;"",PaymentSchedule[[#This Row],[BEGINNING BALANCE]]*(InterestRate/PaymentsPerYear),"")</f>
        <v>2173.6891250688727</v>
      </c>
      <c r="J24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1036120.8357213248</v>
      </c>
      <c r="K245" s="431">
        <f ca="1">IF(PaymentSchedule[[#This Row],[PMT NO]]&lt;&gt;"",SUM(INDEX(PaymentSchedule[INTEREST],1,1):PaymentSchedule[[#This Row],[INTEREST]]),"")</f>
        <v>865674.69337000628</v>
      </c>
    </row>
    <row r="246" spans="2:11">
      <c r="B246" s="432">
        <f ca="1">IF(LoanIsGood,IF(ROW()-ROW(PaymentSchedule[[#Headers],[PMT NO]])&gt;ScheduledNumberOfPayments,"",ROW()-ROW(PaymentSchedule[[#Headers],[PMT NO]])),"")</f>
        <v>236</v>
      </c>
      <c r="C246" s="430">
        <f ca="1">IF(PaymentSchedule[[#This Row],[PMT NO]]&lt;&gt;"",EOMONTH(LoanStartDate,ROW(PaymentSchedule[[#This Row],[PMT NO]])-ROW(PaymentSchedule[[#Headers],[PMT NO]])-2)+DAY(LoanStartDate),"")</f>
        <v>51105</v>
      </c>
      <c r="D246" s="431">
        <f ca="1">IF(PaymentSchedule[[#This Row],[PMT NO]]&lt;&gt;"",IF(ROW()-ROW(PaymentSchedule[[#Headers],[BEGINNING BALANCE]])=1,LoanAmount,INDEX(PaymentSchedule[ENDING BALANCE],ROW()-ROW(PaymentSchedule[[#Headers],[BEGINNING BALANCE]])-1)),"")</f>
        <v>1036120.8357213248</v>
      </c>
      <c r="E246" s="431">
        <f ca="1">IF(PaymentSchedule[[#This Row],[PMT NO]]&lt;&gt;"",ScheduledPayment,"")</f>
        <v>9423.6334368029093</v>
      </c>
      <c r="F24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6" s="431">
        <f ca="1">IF(PaymentSchedule[[#This Row],[PMT NO]]&lt;&gt;"",PaymentSchedule[[#This Row],[TOTAL PAYMENT]]-PaymentSchedule[[#This Row],[INTEREST]],"")</f>
        <v>7265.0483623834825</v>
      </c>
      <c r="I246" s="431">
        <f ca="1">IF(PaymentSchedule[[#This Row],[PMT NO]]&lt;&gt;"",PaymentSchedule[[#This Row],[BEGINNING BALANCE]]*(InterestRate/PaymentsPerYear),"")</f>
        <v>2158.5850744194267</v>
      </c>
      <c r="J24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1028855.7873589413</v>
      </c>
      <c r="K246" s="431">
        <f ca="1">IF(PaymentSchedule[[#This Row],[PMT NO]]&lt;&gt;"",SUM(INDEX(PaymentSchedule[INTEREST],1,1):PaymentSchedule[[#This Row],[INTEREST]]),"")</f>
        <v>867833.27844442567</v>
      </c>
    </row>
    <row r="247" spans="2:11">
      <c r="B247" s="432">
        <f ca="1">IF(LoanIsGood,IF(ROW()-ROW(PaymentSchedule[[#Headers],[PMT NO]])&gt;ScheduledNumberOfPayments,"",ROW()-ROW(PaymentSchedule[[#Headers],[PMT NO]])),"")</f>
        <v>237</v>
      </c>
      <c r="C247" s="430">
        <f ca="1">IF(PaymentSchedule[[#This Row],[PMT NO]]&lt;&gt;"",EOMONTH(LoanStartDate,ROW(PaymentSchedule[[#This Row],[PMT NO]])-ROW(PaymentSchedule[[#Headers],[PMT NO]])-2)+DAY(LoanStartDate),"")</f>
        <v>51136</v>
      </c>
      <c r="D247" s="431">
        <f ca="1">IF(PaymentSchedule[[#This Row],[PMT NO]]&lt;&gt;"",IF(ROW()-ROW(PaymentSchedule[[#Headers],[BEGINNING BALANCE]])=1,LoanAmount,INDEX(PaymentSchedule[ENDING BALANCE],ROW()-ROW(PaymentSchedule[[#Headers],[BEGINNING BALANCE]])-1)),"")</f>
        <v>1028855.7873589413</v>
      </c>
      <c r="E247" s="431">
        <f ca="1">IF(PaymentSchedule[[#This Row],[PMT NO]]&lt;&gt;"",ScheduledPayment,"")</f>
        <v>9423.6334368029093</v>
      </c>
      <c r="F24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7" s="431">
        <f ca="1">IF(PaymentSchedule[[#This Row],[PMT NO]]&lt;&gt;"",PaymentSchedule[[#This Row],[TOTAL PAYMENT]]-PaymentSchedule[[#This Row],[INTEREST]],"")</f>
        <v>7280.1838798051149</v>
      </c>
      <c r="I247" s="431">
        <f ca="1">IF(PaymentSchedule[[#This Row],[PMT NO]]&lt;&gt;"",PaymentSchedule[[#This Row],[BEGINNING BALANCE]]*(InterestRate/PaymentsPerYear),"")</f>
        <v>2143.4495569977944</v>
      </c>
      <c r="J24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1021575.6034791361</v>
      </c>
      <c r="K247" s="431">
        <f ca="1">IF(PaymentSchedule[[#This Row],[PMT NO]]&lt;&gt;"",SUM(INDEX(PaymentSchedule[INTEREST],1,1):PaymentSchedule[[#This Row],[INTEREST]]),"")</f>
        <v>869976.72800142341</v>
      </c>
    </row>
    <row r="248" spans="2:11">
      <c r="B248" s="432">
        <f ca="1">IF(LoanIsGood,IF(ROW()-ROW(PaymentSchedule[[#Headers],[PMT NO]])&gt;ScheduledNumberOfPayments,"",ROW()-ROW(PaymentSchedule[[#Headers],[PMT NO]])),"")</f>
        <v>238</v>
      </c>
      <c r="C248" s="430">
        <f ca="1">IF(PaymentSchedule[[#This Row],[PMT NO]]&lt;&gt;"",EOMONTH(LoanStartDate,ROW(PaymentSchedule[[#This Row],[PMT NO]])-ROW(PaymentSchedule[[#Headers],[PMT NO]])-2)+DAY(LoanStartDate),"")</f>
        <v>51167</v>
      </c>
      <c r="D248" s="431">
        <f ca="1">IF(PaymentSchedule[[#This Row],[PMT NO]]&lt;&gt;"",IF(ROW()-ROW(PaymentSchedule[[#Headers],[BEGINNING BALANCE]])=1,LoanAmount,INDEX(PaymentSchedule[ENDING BALANCE],ROW()-ROW(PaymentSchedule[[#Headers],[BEGINNING BALANCE]])-1)),"")</f>
        <v>1021575.6034791361</v>
      </c>
      <c r="E248" s="431">
        <f ca="1">IF(PaymentSchedule[[#This Row],[PMT NO]]&lt;&gt;"",ScheduledPayment,"")</f>
        <v>9423.6334368029093</v>
      </c>
      <c r="F24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8" s="431">
        <f ca="1">IF(PaymentSchedule[[#This Row],[PMT NO]]&lt;&gt;"",PaymentSchedule[[#This Row],[TOTAL PAYMENT]]-PaymentSchedule[[#This Row],[INTEREST]],"")</f>
        <v>7295.3509295547092</v>
      </c>
      <c r="I248" s="431">
        <f ca="1">IF(PaymentSchedule[[#This Row],[PMT NO]]&lt;&gt;"",PaymentSchedule[[#This Row],[BEGINNING BALANCE]]*(InterestRate/PaymentsPerYear),"")</f>
        <v>2128.2825072482001</v>
      </c>
      <c r="J24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1014280.2525495815</v>
      </c>
      <c r="K248" s="431">
        <f ca="1">IF(PaymentSchedule[[#This Row],[PMT NO]]&lt;&gt;"",SUM(INDEX(PaymentSchedule[INTEREST],1,1):PaymentSchedule[[#This Row],[INTEREST]]),"")</f>
        <v>872105.01050867164</v>
      </c>
    </row>
    <row r="249" spans="2:11">
      <c r="B249" s="432">
        <f ca="1">IF(LoanIsGood,IF(ROW()-ROW(PaymentSchedule[[#Headers],[PMT NO]])&gt;ScheduledNumberOfPayments,"",ROW()-ROW(PaymentSchedule[[#Headers],[PMT NO]])),"")</f>
        <v>239</v>
      </c>
      <c r="C249" s="430">
        <f ca="1">IF(PaymentSchedule[[#This Row],[PMT NO]]&lt;&gt;"",EOMONTH(LoanStartDate,ROW(PaymentSchedule[[#This Row],[PMT NO]])-ROW(PaymentSchedule[[#Headers],[PMT NO]])-2)+DAY(LoanStartDate),"")</f>
        <v>51196</v>
      </c>
      <c r="D249" s="431">
        <f ca="1">IF(PaymentSchedule[[#This Row],[PMT NO]]&lt;&gt;"",IF(ROW()-ROW(PaymentSchedule[[#Headers],[BEGINNING BALANCE]])=1,LoanAmount,INDEX(PaymentSchedule[ENDING BALANCE],ROW()-ROW(PaymentSchedule[[#Headers],[BEGINNING BALANCE]])-1)),"")</f>
        <v>1014280.2525495815</v>
      </c>
      <c r="E249" s="431">
        <f ca="1">IF(PaymentSchedule[[#This Row],[PMT NO]]&lt;&gt;"",ScheduledPayment,"")</f>
        <v>9423.6334368029093</v>
      </c>
      <c r="F24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4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49" s="431">
        <f ca="1">IF(PaymentSchedule[[#This Row],[PMT NO]]&lt;&gt;"",PaymentSchedule[[#This Row],[TOTAL PAYMENT]]-PaymentSchedule[[#This Row],[INTEREST]],"")</f>
        <v>7310.5495773246148</v>
      </c>
      <c r="I249" s="431">
        <f ca="1">IF(PaymentSchedule[[#This Row],[PMT NO]]&lt;&gt;"",PaymentSchedule[[#This Row],[BEGINNING BALANCE]]*(InterestRate/PaymentsPerYear),"")</f>
        <v>2113.0838594782945</v>
      </c>
      <c r="J24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1006969.7029722568</v>
      </c>
      <c r="K249" s="431">
        <f ca="1">IF(PaymentSchedule[[#This Row],[PMT NO]]&lt;&gt;"",SUM(INDEX(PaymentSchedule[INTEREST],1,1):PaymentSchedule[[#This Row],[INTEREST]]),"")</f>
        <v>874218.09436814988</v>
      </c>
    </row>
    <row r="250" spans="2:11">
      <c r="B250" s="432">
        <f ca="1">IF(LoanIsGood,IF(ROW()-ROW(PaymentSchedule[[#Headers],[PMT NO]])&gt;ScheduledNumberOfPayments,"",ROW()-ROW(PaymentSchedule[[#Headers],[PMT NO]])),"")</f>
        <v>240</v>
      </c>
      <c r="C250" s="430">
        <f ca="1">IF(PaymentSchedule[[#This Row],[PMT NO]]&lt;&gt;"",EOMONTH(LoanStartDate,ROW(PaymentSchedule[[#This Row],[PMT NO]])-ROW(PaymentSchedule[[#Headers],[PMT NO]])-2)+DAY(LoanStartDate),"")</f>
        <v>51227</v>
      </c>
      <c r="D250" s="431">
        <f ca="1">IF(PaymentSchedule[[#This Row],[PMT NO]]&lt;&gt;"",IF(ROW()-ROW(PaymentSchedule[[#Headers],[BEGINNING BALANCE]])=1,LoanAmount,INDEX(PaymentSchedule[ENDING BALANCE],ROW()-ROW(PaymentSchedule[[#Headers],[BEGINNING BALANCE]])-1)),"")</f>
        <v>1006969.7029722568</v>
      </c>
      <c r="E250" s="431">
        <f ca="1">IF(PaymentSchedule[[#This Row],[PMT NO]]&lt;&gt;"",ScheduledPayment,"")</f>
        <v>9423.6334368029093</v>
      </c>
      <c r="F25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0" s="431">
        <f ca="1">IF(PaymentSchedule[[#This Row],[PMT NO]]&lt;&gt;"",PaymentSchedule[[#This Row],[TOTAL PAYMENT]]-PaymentSchedule[[#This Row],[INTEREST]],"")</f>
        <v>7325.779888944041</v>
      </c>
      <c r="I250" s="431">
        <f ca="1">IF(PaymentSchedule[[#This Row],[PMT NO]]&lt;&gt;"",PaymentSchedule[[#This Row],[BEGINNING BALANCE]]*(InterestRate/PaymentsPerYear),"")</f>
        <v>2097.8535478588683</v>
      </c>
      <c r="J25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999643.92308331281</v>
      </c>
      <c r="K250" s="431">
        <f ca="1">IF(PaymentSchedule[[#This Row],[PMT NO]]&lt;&gt;"",SUM(INDEX(PaymentSchedule[INTEREST],1,1):PaymentSchedule[[#This Row],[INTEREST]]),"")</f>
        <v>876315.94791600876</v>
      </c>
    </row>
    <row r="251" spans="2:11">
      <c r="B251" s="432">
        <f ca="1">IF(LoanIsGood,IF(ROW()-ROW(PaymentSchedule[[#Headers],[PMT NO]])&gt;ScheduledNumberOfPayments,"",ROW()-ROW(PaymentSchedule[[#Headers],[PMT NO]])),"")</f>
        <v>241</v>
      </c>
      <c r="C251" s="430">
        <f ca="1">IF(PaymentSchedule[[#This Row],[PMT NO]]&lt;&gt;"",EOMONTH(LoanStartDate,ROW(PaymentSchedule[[#This Row],[PMT NO]])-ROW(PaymentSchedule[[#Headers],[PMT NO]])-2)+DAY(LoanStartDate),"")</f>
        <v>51257</v>
      </c>
      <c r="D251" s="431">
        <f ca="1">IF(PaymentSchedule[[#This Row],[PMT NO]]&lt;&gt;"",IF(ROW()-ROW(PaymentSchedule[[#Headers],[BEGINNING BALANCE]])=1,LoanAmount,INDEX(PaymentSchedule[ENDING BALANCE],ROW()-ROW(PaymentSchedule[[#Headers],[BEGINNING BALANCE]])-1)),"")</f>
        <v>999643.92308331281</v>
      </c>
      <c r="E251" s="431">
        <f ca="1">IF(PaymentSchedule[[#This Row],[PMT NO]]&lt;&gt;"",ScheduledPayment,"")</f>
        <v>9423.6334368029093</v>
      </c>
      <c r="F25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1" s="431">
        <f ca="1">IF(PaymentSchedule[[#This Row],[PMT NO]]&lt;&gt;"",PaymentSchedule[[#This Row],[TOTAL PAYMENT]]-PaymentSchedule[[#This Row],[INTEREST]],"")</f>
        <v>7341.0419303793406</v>
      </c>
      <c r="I251" s="431">
        <f ca="1">IF(PaymentSchedule[[#This Row],[PMT NO]]&lt;&gt;"",PaymentSchedule[[#This Row],[BEGINNING BALANCE]]*(InterestRate/PaymentsPerYear),"")</f>
        <v>2082.5915064235683</v>
      </c>
      <c r="J25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992302.88115293346</v>
      </c>
      <c r="K251" s="431">
        <f ca="1">IF(PaymentSchedule[[#This Row],[PMT NO]]&lt;&gt;"",SUM(INDEX(PaymentSchedule[INTEREST],1,1):PaymentSchedule[[#This Row],[INTEREST]]),"")</f>
        <v>878398.53942243231</v>
      </c>
    </row>
    <row r="252" spans="2:11">
      <c r="B252" s="432">
        <f ca="1">IF(LoanIsGood,IF(ROW()-ROW(PaymentSchedule[[#Headers],[PMT NO]])&gt;ScheduledNumberOfPayments,"",ROW()-ROW(PaymentSchedule[[#Headers],[PMT NO]])),"")</f>
        <v>242</v>
      </c>
      <c r="C252" s="430">
        <f ca="1">IF(PaymentSchedule[[#This Row],[PMT NO]]&lt;&gt;"",EOMONTH(LoanStartDate,ROW(PaymentSchedule[[#This Row],[PMT NO]])-ROW(PaymentSchedule[[#Headers],[PMT NO]])-2)+DAY(LoanStartDate),"")</f>
        <v>51288</v>
      </c>
      <c r="D252" s="431">
        <f ca="1">IF(PaymentSchedule[[#This Row],[PMT NO]]&lt;&gt;"",IF(ROW()-ROW(PaymentSchedule[[#Headers],[BEGINNING BALANCE]])=1,LoanAmount,INDEX(PaymentSchedule[ENDING BALANCE],ROW()-ROW(PaymentSchedule[[#Headers],[BEGINNING BALANCE]])-1)),"")</f>
        <v>992302.88115293346</v>
      </c>
      <c r="E252" s="431">
        <f ca="1">IF(PaymentSchedule[[#This Row],[PMT NO]]&lt;&gt;"",ScheduledPayment,"")</f>
        <v>9423.6334368029093</v>
      </c>
      <c r="F25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2" s="431">
        <f ca="1">IF(PaymentSchedule[[#This Row],[PMT NO]]&lt;&gt;"",PaymentSchedule[[#This Row],[TOTAL PAYMENT]]-PaymentSchedule[[#This Row],[INTEREST]],"")</f>
        <v>7356.3357677342974</v>
      </c>
      <c r="I252" s="431">
        <f ca="1">IF(PaymentSchedule[[#This Row],[PMT NO]]&lt;&gt;"",PaymentSchedule[[#This Row],[BEGINNING BALANCE]]*(InterestRate/PaymentsPerYear),"")</f>
        <v>2067.2976690686114</v>
      </c>
      <c r="J25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984946.54538519913</v>
      </c>
      <c r="K252" s="431">
        <f ca="1">IF(PaymentSchedule[[#This Row],[PMT NO]]&lt;&gt;"",SUM(INDEX(PaymentSchedule[INTEREST],1,1):PaymentSchedule[[#This Row],[INTEREST]]),"")</f>
        <v>880465.83709150087</v>
      </c>
    </row>
    <row r="253" spans="2:11">
      <c r="B253" s="432">
        <f ca="1">IF(LoanIsGood,IF(ROW()-ROW(PaymentSchedule[[#Headers],[PMT NO]])&gt;ScheduledNumberOfPayments,"",ROW()-ROW(PaymentSchedule[[#Headers],[PMT NO]])),"")</f>
        <v>243</v>
      </c>
      <c r="C253" s="430">
        <f ca="1">IF(PaymentSchedule[[#This Row],[PMT NO]]&lt;&gt;"",EOMONTH(LoanStartDate,ROW(PaymentSchedule[[#This Row],[PMT NO]])-ROW(PaymentSchedule[[#Headers],[PMT NO]])-2)+DAY(LoanStartDate),"")</f>
        <v>51318</v>
      </c>
      <c r="D253" s="431">
        <f ca="1">IF(PaymentSchedule[[#This Row],[PMT NO]]&lt;&gt;"",IF(ROW()-ROW(PaymentSchedule[[#Headers],[BEGINNING BALANCE]])=1,LoanAmount,INDEX(PaymentSchedule[ENDING BALANCE],ROW()-ROW(PaymentSchedule[[#Headers],[BEGINNING BALANCE]])-1)),"")</f>
        <v>984946.54538519913</v>
      </c>
      <c r="E253" s="431">
        <f ca="1">IF(PaymentSchedule[[#This Row],[PMT NO]]&lt;&gt;"",ScheduledPayment,"")</f>
        <v>9423.6334368029093</v>
      </c>
      <c r="F25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3" s="431">
        <f ca="1">IF(PaymentSchedule[[#This Row],[PMT NO]]&lt;&gt;"",PaymentSchedule[[#This Row],[TOTAL PAYMENT]]-PaymentSchedule[[#This Row],[INTEREST]],"")</f>
        <v>7371.6614672504111</v>
      </c>
      <c r="I253" s="431">
        <f ca="1">IF(PaymentSchedule[[#This Row],[PMT NO]]&lt;&gt;"",PaymentSchedule[[#This Row],[BEGINNING BALANCE]]*(InterestRate/PaymentsPerYear),"")</f>
        <v>2051.9719695524982</v>
      </c>
      <c r="J25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977574.8839179487</v>
      </c>
      <c r="K253" s="431">
        <f ca="1">IF(PaymentSchedule[[#This Row],[PMT NO]]&lt;&gt;"",SUM(INDEX(PaymentSchedule[INTEREST],1,1):PaymentSchedule[[#This Row],[INTEREST]]),"")</f>
        <v>882517.80906105333</v>
      </c>
    </row>
    <row r="254" spans="2:11">
      <c r="B254" s="432">
        <f ca="1">IF(LoanIsGood,IF(ROW()-ROW(PaymentSchedule[[#Headers],[PMT NO]])&gt;ScheduledNumberOfPayments,"",ROW()-ROW(PaymentSchedule[[#Headers],[PMT NO]])),"")</f>
        <v>244</v>
      </c>
      <c r="C254" s="430">
        <f ca="1">IF(PaymentSchedule[[#This Row],[PMT NO]]&lt;&gt;"",EOMONTH(LoanStartDate,ROW(PaymentSchedule[[#This Row],[PMT NO]])-ROW(PaymentSchedule[[#Headers],[PMT NO]])-2)+DAY(LoanStartDate),"")</f>
        <v>51349</v>
      </c>
      <c r="D254" s="431">
        <f ca="1">IF(PaymentSchedule[[#This Row],[PMT NO]]&lt;&gt;"",IF(ROW()-ROW(PaymentSchedule[[#Headers],[BEGINNING BALANCE]])=1,LoanAmount,INDEX(PaymentSchedule[ENDING BALANCE],ROW()-ROW(PaymentSchedule[[#Headers],[BEGINNING BALANCE]])-1)),"")</f>
        <v>977574.8839179487</v>
      </c>
      <c r="E254" s="431">
        <f ca="1">IF(PaymentSchedule[[#This Row],[PMT NO]]&lt;&gt;"",ScheduledPayment,"")</f>
        <v>9423.6334368029093</v>
      </c>
      <c r="F25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4" s="431">
        <f ca="1">IF(PaymentSchedule[[#This Row],[PMT NO]]&lt;&gt;"",PaymentSchedule[[#This Row],[TOTAL PAYMENT]]-PaymentSchedule[[#This Row],[INTEREST]],"")</f>
        <v>7387.0190953071833</v>
      </c>
      <c r="I254" s="431">
        <f ca="1">IF(PaymentSchedule[[#This Row],[PMT NO]]&lt;&gt;"",PaymentSchedule[[#This Row],[BEGINNING BALANCE]]*(InterestRate/PaymentsPerYear),"")</f>
        <v>2036.6143414957264</v>
      </c>
      <c r="J25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970187.86482264148</v>
      </c>
      <c r="K254" s="431">
        <f ca="1">IF(PaymentSchedule[[#This Row],[PMT NO]]&lt;&gt;"",SUM(INDEX(PaymentSchedule[INTEREST],1,1):PaymentSchedule[[#This Row],[INTEREST]]),"")</f>
        <v>884554.423402549</v>
      </c>
    </row>
    <row r="255" spans="2:11">
      <c r="B255" s="432">
        <f ca="1">IF(LoanIsGood,IF(ROW()-ROW(PaymentSchedule[[#Headers],[PMT NO]])&gt;ScheduledNumberOfPayments,"",ROW()-ROW(PaymentSchedule[[#Headers],[PMT NO]])),"")</f>
        <v>245</v>
      </c>
      <c r="C255" s="430">
        <f ca="1">IF(PaymentSchedule[[#This Row],[PMT NO]]&lt;&gt;"",EOMONTH(LoanStartDate,ROW(PaymentSchedule[[#This Row],[PMT NO]])-ROW(PaymentSchedule[[#Headers],[PMT NO]])-2)+DAY(LoanStartDate),"")</f>
        <v>51380</v>
      </c>
      <c r="D255" s="431">
        <f ca="1">IF(PaymentSchedule[[#This Row],[PMT NO]]&lt;&gt;"",IF(ROW()-ROW(PaymentSchedule[[#Headers],[BEGINNING BALANCE]])=1,LoanAmount,INDEX(PaymentSchedule[ENDING BALANCE],ROW()-ROW(PaymentSchedule[[#Headers],[BEGINNING BALANCE]])-1)),"")</f>
        <v>970187.86482264148</v>
      </c>
      <c r="E255" s="431">
        <f ca="1">IF(PaymentSchedule[[#This Row],[PMT NO]]&lt;&gt;"",ScheduledPayment,"")</f>
        <v>9423.6334368029093</v>
      </c>
      <c r="F25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5" s="431">
        <f ca="1">IF(PaymentSchedule[[#This Row],[PMT NO]]&lt;&gt;"",PaymentSchedule[[#This Row],[TOTAL PAYMENT]]-PaymentSchedule[[#This Row],[INTEREST]],"")</f>
        <v>7402.4087184224063</v>
      </c>
      <c r="I255" s="431">
        <f ca="1">IF(PaymentSchedule[[#This Row],[PMT NO]]&lt;&gt;"",PaymentSchedule[[#This Row],[BEGINNING BALANCE]]*(InterestRate/PaymentsPerYear),"")</f>
        <v>2021.224718380503</v>
      </c>
      <c r="J25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962785.45610421908</v>
      </c>
      <c r="K255" s="431">
        <f ca="1">IF(PaymentSchedule[[#This Row],[PMT NO]]&lt;&gt;"",SUM(INDEX(PaymentSchedule[INTEREST],1,1):PaymentSchedule[[#This Row],[INTEREST]]),"")</f>
        <v>886575.64812092949</v>
      </c>
    </row>
    <row r="256" spans="2:11">
      <c r="B256" s="432">
        <f ca="1">IF(LoanIsGood,IF(ROW()-ROW(PaymentSchedule[[#Headers],[PMT NO]])&gt;ScheduledNumberOfPayments,"",ROW()-ROW(PaymentSchedule[[#Headers],[PMT NO]])),"")</f>
        <v>246</v>
      </c>
      <c r="C256" s="430">
        <f ca="1">IF(PaymentSchedule[[#This Row],[PMT NO]]&lt;&gt;"",EOMONTH(LoanStartDate,ROW(PaymentSchedule[[#This Row],[PMT NO]])-ROW(PaymentSchedule[[#Headers],[PMT NO]])-2)+DAY(LoanStartDate),"")</f>
        <v>51410</v>
      </c>
      <c r="D256" s="431">
        <f ca="1">IF(PaymentSchedule[[#This Row],[PMT NO]]&lt;&gt;"",IF(ROW()-ROW(PaymentSchedule[[#Headers],[BEGINNING BALANCE]])=1,LoanAmount,INDEX(PaymentSchedule[ENDING BALANCE],ROW()-ROW(PaymentSchedule[[#Headers],[BEGINNING BALANCE]])-1)),"")</f>
        <v>962785.45610421908</v>
      </c>
      <c r="E256" s="431">
        <f ca="1">IF(PaymentSchedule[[#This Row],[PMT NO]]&lt;&gt;"",ScheduledPayment,"")</f>
        <v>9423.6334368029093</v>
      </c>
      <c r="F25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6" s="431">
        <f ca="1">IF(PaymentSchedule[[#This Row],[PMT NO]]&lt;&gt;"",PaymentSchedule[[#This Row],[TOTAL PAYMENT]]-PaymentSchedule[[#This Row],[INTEREST]],"")</f>
        <v>7417.8304032524529</v>
      </c>
      <c r="I256" s="431">
        <f ca="1">IF(PaymentSchedule[[#This Row],[PMT NO]]&lt;&gt;"",PaymentSchedule[[#This Row],[BEGINNING BALANCE]]*(InterestRate/PaymentsPerYear),"")</f>
        <v>2005.8030335504563</v>
      </c>
      <c r="J25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955367.62570096657</v>
      </c>
      <c r="K256" s="431">
        <f ca="1">IF(PaymentSchedule[[#This Row],[PMT NO]]&lt;&gt;"",SUM(INDEX(PaymentSchedule[INTEREST],1,1):PaymentSchedule[[#This Row],[INTEREST]]),"")</f>
        <v>888581.45115447999</v>
      </c>
    </row>
    <row r="257" spans="2:11">
      <c r="B257" s="432">
        <f ca="1">IF(LoanIsGood,IF(ROW()-ROW(PaymentSchedule[[#Headers],[PMT NO]])&gt;ScheduledNumberOfPayments,"",ROW()-ROW(PaymentSchedule[[#Headers],[PMT NO]])),"")</f>
        <v>247</v>
      </c>
      <c r="C257" s="430">
        <f ca="1">IF(PaymentSchedule[[#This Row],[PMT NO]]&lt;&gt;"",EOMONTH(LoanStartDate,ROW(PaymentSchedule[[#This Row],[PMT NO]])-ROW(PaymentSchedule[[#Headers],[PMT NO]])-2)+DAY(LoanStartDate),"")</f>
        <v>51441</v>
      </c>
      <c r="D257" s="431">
        <f ca="1">IF(PaymentSchedule[[#This Row],[PMT NO]]&lt;&gt;"",IF(ROW()-ROW(PaymentSchedule[[#Headers],[BEGINNING BALANCE]])=1,LoanAmount,INDEX(PaymentSchedule[ENDING BALANCE],ROW()-ROW(PaymentSchedule[[#Headers],[BEGINNING BALANCE]])-1)),"")</f>
        <v>955367.62570096657</v>
      </c>
      <c r="E257" s="431">
        <f ca="1">IF(PaymentSchedule[[#This Row],[PMT NO]]&lt;&gt;"",ScheduledPayment,"")</f>
        <v>9423.6334368029093</v>
      </c>
      <c r="F25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7" s="431">
        <f ca="1">IF(PaymentSchedule[[#This Row],[PMT NO]]&lt;&gt;"",PaymentSchedule[[#This Row],[TOTAL PAYMENT]]-PaymentSchedule[[#This Row],[INTEREST]],"")</f>
        <v>7433.2842165925622</v>
      </c>
      <c r="I257" s="431">
        <f ca="1">IF(PaymentSchedule[[#This Row],[PMT NO]]&lt;&gt;"",PaymentSchedule[[#This Row],[BEGINNING BALANCE]]*(InterestRate/PaymentsPerYear),"")</f>
        <v>1990.3492202103471</v>
      </c>
      <c r="J25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947934.34148437402</v>
      </c>
      <c r="K257" s="431">
        <f ca="1">IF(PaymentSchedule[[#This Row],[PMT NO]]&lt;&gt;"",SUM(INDEX(PaymentSchedule[INTEREST],1,1):PaymentSchedule[[#This Row],[INTEREST]]),"")</f>
        <v>890571.80037469033</v>
      </c>
    </row>
    <row r="258" spans="2:11">
      <c r="B258" s="432">
        <f ca="1">IF(LoanIsGood,IF(ROW()-ROW(PaymentSchedule[[#Headers],[PMT NO]])&gt;ScheduledNumberOfPayments,"",ROW()-ROW(PaymentSchedule[[#Headers],[PMT NO]])),"")</f>
        <v>248</v>
      </c>
      <c r="C258" s="430">
        <f ca="1">IF(PaymentSchedule[[#This Row],[PMT NO]]&lt;&gt;"",EOMONTH(LoanStartDate,ROW(PaymentSchedule[[#This Row],[PMT NO]])-ROW(PaymentSchedule[[#Headers],[PMT NO]])-2)+DAY(LoanStartDate),"")</f>
        <v>51471</v>
      </c>
      <c r="D258" s="431">
        <f ca="1">IF(PaymentSchedule[[#This Row],[PMT NO]]&lt;&gt;"",IF(ROW()-ROW(PaymentSchedule[[#Headers],[BEGINNING BALANCE]])=1,LoanAmount,INDEX(PaymentSchedule[ENDING BALANCE],ROW()-ROW(PaymentSchedule[[#Headers],[BEGINNING BALANCE]])-1)),"")</f>
        <v>947934.34148437402</v>
      </c>
      <c r="E258" s="431">
        <f ca="1">IF(PaymentSchedule[[#This Row],[PMT NO]]&lt;&gt;"",ScheduledPayment,"")</f>
        <v>9423.6334368029093</v>
      </c>
      <c r="F25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8" s="431">
        <f ca="1">IF(PaymentSchedule[[#This Row],[PMT NO]]&lt;&gt;"",PaymentSchedule[[#This Row],[TOTAL PAYMENT]]-PaymentSchedule[[#This Row],[INTEREST]],"")</f>
        <v>7448.7702253771304</v>
      </c>
      <c r="I258" s="431">
        <f ca="1">IF(PaymentSchedule[[#This Row],[PMT NO]]&lt;&gt;"",PaymentSchedule[[#This Row],[BEGINNING BALANCE]]*(InterestRate/PaymentsPerYear),"")</f>
        <v>1974.8632114257791</v>
      </c>
      <c r="J25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940485.57125899685</v>
      </c>
      <c r="K258" s="431">
        <f ca="1">IF(PaymentSchedule[[#This Row],[PMT NO]]&lt;&gt;"",SUM(INDEX(PaymentSchedule[INTEREST],1,1):PaymentSchedule[[#This Row],[INTEREST]]),"")</f>
        <v>892546.66358611616</v>
      </c>
    </row>
    <row r="259" spans="2:11">
      <c r="B259" s="432">
        <f ca="1">IF(LoanIsGood,IF(ROW()-ROW(PaymentSchedule[[#Headers],[PMT NO]])&gt;ScheduledNumberOfPayments,"",ROW()-ROW(PaymentSchedule[[#Headers],[PMT NO]])),"")</f>
        <v>249</v>
      </c>
      <c r="C259" s="430">
        <f ca="1">IF(PaymentSchedule[[#This Row],[PMT NO]]&lt;&gt;"",EOMONTH(LoanStartDate,ROW(PaymentSchedule[[#This Row],[PMT NO]])-ROW(PaymentSchedule[[#Headers],[PMT NO]])-2)+DAY(LoanStartDate),"")</f>
        <v>51502</v>
      </c>
      <c r="D259" s="431">
        <f ca="1">IF(PaymentSchedule[[#This Row],[PMT NO]]&lt;&gt;"",IF(ROW()-ROW(PaymentSchedule[[#Headers],[BEGINNING BALANCE]])=1,LoanAmount,INDEX(PaymentSchedule[ENDING BALANCE],ROW()-ROW(PaymentSchedule[[#Headers],[BEGINNING BALANCE]])-1)),"")</f>
        <v>940485.57125899685</v>
      </c>
      <c r="E259" s="431">
        <f ca="1">IF(PaymentSchedule[[#This Row],[PMT NO]]&lt;&gt;"",ScheduledPayment,"")</f>
        <v>9423.6334368029093</v>
      </c>
      <c r="F25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5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59" s="431">
        <f ca="1">IF(PaymentSchedule[[#This Row],[PMT NO]]&lt;&gt;"",PaymentSchedule[[#This Row],[TOTAL PAYMENT]]-PaymentSchedule[[#This Row],[INTEREST]],"")</f>
        <v>7464.2884966799993</v>
      </c>
      <c r="I259" s="431">
        <f ca="1">IF(PaymentSchedule[[#This Row],[PMT NO]]&lt;&gt;"",PaymentSchedule[[#This Row],[BEGINNING BALANCE]]*(InterestRate/PaymentsPerYear),"")</f>
        <v>1959.34494012291</v>
      </c>
      <c r="J25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933021.28276231687</v>
      </c>
      <c r="K259" s="431">
        <f ca="1">IF(PaymentSchedule[[#This Row],[PMT NO]]&lt;&gt;"",SUM(INDEX(PaymentSchedule[INTEREST],1,1):PaymentSchedule[[#This Row],[INTEREST]]),"")</f>
        <v>894506.00852623908</v>
      </c>
    </row>
    <row r="260" spans="2:11">
      <c r="B260" s="432">
        <f ca="1">IF(LoanIsGood,IF(ROW()-ROW(PaymentSchedule[[#Headers],[PMT NO]])&gt;ScheduledNumberOfPayments,"",ROW()-ROW(PaymentSchedule[[#Headers],[PMT NO]])),"")</f>
        <v>250</v>
      </c>
      <c r="C260" s="430">
        <f ca="1">IF(PaymentSchedule[[#This Row],[PMT NO]]&lt;&gt;"",EOMONTH(LoanStartDate,ROW(PaymentSchedule[[#This Row],[PMT NO]])-ROW(PaymentSchedule[[#Headers],[PMT NO]])-2)+DAY(LoanStartDate),"")</f>
        <v>51533</v>
      </c>
      <c r="D260" s="431">
        <f ca="1">IF(PaymentSchedule[[#This Row],[PMT NO]]&lt;&gt;"",IF(ROW()-ROW(PaymentSchedule[[#Headers],[BEGINNING BALANCE]])=1,LoanAmount,INDEX(PaymentSchedule[ENDING BALANCE],ROW()-ROW(PaymentSchedule[[#Headers],[BEGINNING BALANCE]])-1)),"")</f>
        <v>933021.28276231687</v>
      </c>
      <c r="E260" s="431">
        <f ca="1">IF(PaymentSchedule[[#This Row],[PMT NO]]&lt;&gt;"",ScheduledPayment,"")</f>
        <v>9423.6334368029093</v>
      </c>
      <c r="F26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0" s="431">
        <f ca="1">IF(PaymentSchedule[[#This Row],[PMT NO]]&lt;&gt;"",PaymentSchedule[[#This Row],[TOTAL PAYMENT]]-PaymentSchedule[[#This Row],[INTEREST]],"")</f>
        <v>7479.8390977147492</v>
      </c>
      <c r="I260" s="431">
        <f ca="1">IF(PaymentSchedule[[#This Row],[PMT NO]]&lt;&gt;"",PaymentSchedule[[#This Row],[BEGINNING BALANCE]]*(InterestRate/PaymentsPerYear),"")</f>
        <v>1943.7943390881601</v>
      </c>
      <c r="J26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925541.44366460212</v>
      </c>
      <c r="K260" s="431">
        <f ca="1">IF(PaymentSchedule[[#This Row],[PMT NO]]&lt;&gt;"",SUM(INDEX(PaymentSchedule[INTEREST],1,1):PaymentSchedule[[#This Row],[INTEREST]]),"")</f>
        <v>896449.80286532722</v>
      </c>
    </row>
    <row r="261" spans="2:11">
      <c r="B261" s="432">
        <f ca="1">IF(LoanIsGood,IF(ROW()-ROW(PaymentSchedule[[#Headers],[PMT NO]])&gt;ScheduledNumberOfPayments,"",ROW()-ROW(PaymentSchedule[[#Headers],[PMT NO]])),"")</f>
        <v>251</v>
      </c>
      <c r="C261" s="430">
        <f ca="1">IF(PaymentSchedule[[#This Row],[PMT NO]]&lt;&gt;"",EOMONTH(LoanStartDate,ROW(PaymentSchedule[[#This Row],[PMT NO]])-ROW(PaymentSchedule[[#Headers],[PMT NO]])-2)+DAY(LoanStartDate),"")</f>
        <v>51561</v>
      </c>
      <c r="D261" s="431">
        <f ca="1">IF(PaymentSchedule[[#This Row],[PMT NO]]&lt;&gt;"",IF(ROW()-ROW(PaymentSchedule[[#Headers],[BEGINNING BALANCE]])=1,LoanAmount,INDEX(PaymentSchedule[ENDING BALANCE],ROW()-ROW(PaymentSchedule[[#Headers],[BEGINNING BALANCE]])-1)),"")</f>
        <v>925541.44366460212</v>
      </c>
      <c r="E261" s="431">
        <f ca="1">IF(PaymentSchedule[[#This Row],[PMT NO]]&lt;&gt;"",ScheduledPayment,"")</f>
        <v>9423.6334368029093</v>
      </c>
      <c r="F26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1" s="431">
        <f ca="1">IF(PaymentSchedule[[#This Row],[PMT NO]]&lt;&gt;"",PaymentSchedule[[#This Row],[TOTAL PAYMENT]]-PaymentSchedule[[#This Row],[INTEREST]],"")</f>
        <v>7495.4220958349879</v>
      </c>
      <c r="I261" s="431">
        <f ca="1">IF(PaymentSchedule[[#This Row],[PMT NO]]&lt;&gt;"",PaymentSchedule[[#This Row],[BEGINNING BALANCE]]*(InterestRate/PaymentsPerYear),"")</f>
        <v>1928.2113409679212</v>
      </c>
      <c r="J26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918046.02156876714</v>
      </c>
      <c r="K261" s="431">
        <f ca="1">IF(PaymentSchedule[[#This Row],[PMT NO]]&lt;&gt;"",SUM(INDEX(PaymentSchedule[INTEREST],1,1):PaymentSchedule[[#This Row],[INTEREST]]),"")</f>
        <v>898378.01420629513</v>
      </c>
    </row>
    <row r="262" spans="2:11">
      <c r="B262" s="432">
        <f ca="1">IF(LoanIsGood,IF(ROW()-ROW(PaymentSchedule[[#Headers],[PMT NO]])&gt;ScheduledNumberOfPayments,"",ROW()-ROW(PaymentSchedule[[#Headers],[PMT NO]])),"")</f>
        <v>252</v>
      </c>
      <c r="C262" s="430">
        <f ca="1">IF(PaymentSchedule[[#This Row],[PMT NO]]&lt;&gt;"",EOMONTH(LoanStartDate,ROW(PaymentSchedule[[#This Row],[PMT NO]])-ROW(PaymentSchedule[[#Headers],[PMT NO]])-2)+DAY(LoanStartDate),"")</f>
        <v>51592</v>
      </c>
      <c r="D262" s="431">
        <f ca="1">IF(PaymentSchedule[[#This Row],[PMT NO]]&lt;&gt;"",IF(ROW()-ROW(PaymentSchedule[[#Headers],[BEGINNING BALANCE]])=1,LoanAmount,INDEX(PaymentSchedule[ENDING BALANCE],ROW()-ROW(PaymentSchedule[[#Headers],[BEGINNING BALANCE]])-1)),"")</f>
        <v>918046.02156876714</v>
      </c>
      <c r="E262" s="431">
        <f ca="1">IF(PaymentSchedule[[#This Row],[PMT NO]]&lt;&gt;"",ScheduledPayment,"")</f>
        <v>9423.6334368029093</v>
      </c>
      <c r="F26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2" s="431">
        <f ca="1">IF(PaymentSchedule[[#This Row],[PMT NO]]&lt;&gt;"",PaymentSchedule[[#This Row],[TOTAL PAYMENT]]-PaymentSchedule[[#This Row],[INTEREST]],"")</f>
        <v>7511.0375585346446</v>
      </c>
      <c r="I262" s="431">
        <f ca="1">IF(PaymentSchedule[[#This Row],[PMT NO]]&lt;&gt;"",PaymentSchedule[[#This Row],[BEGINNING BALANCE]]*(InterestRate/PaymentsPerYear),"")</f>
        <v>1912.5958782682649</v>
      </c>
      <c r="J26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910534.9840102325</v>
      </c>
      <c r="K262" s="431">
        <f ca="1">IF(PaymentSchedule[[#This Row],[PMT NO]]&lt;&gt;"",SUM(INDEX(PaymentSchedule[INTEREST],1,1):PaymentSchedule[[#This Row],[INTEREST]]),"")</f>
        <v>900290.61008456338</v>
      </c>
    </row>
    <row r="263" spans="2:11">
      <c r="B263" s="432">
        <f ca="1">IF(LoanIsGood,IF(ROW()-ROW(PaymentSchedule[[#Headers],[PMT NO]])&gt;ScheduledNumberOfPayments,"",ROW()-ROW(PaymentSchedule[[#Headers],[PMT NO]])),"")</f>
        <v>253</v>
      </c>
      <c r="C263" s="430">
        <f ca="1">IF(PaymentSchedule[[#This Row],[PMT NO]]&lt;&gt;"",EOMONTH(LoanStartDate,ROW(PaymentSchedule[[#This Row],[PMT NO]])-ROW(PaymentSchedule[[#Headers],[PMT NO]])-2)+DAY(LoanStartDate),"")</f>
        <v>51622</v>
      </c>
      <c r="D263" s="431">
        <f ca="1">IF(PaymentSchedule[[#This Row],[PMT NO]]&lt;&gt;"",IF(ROW()-ROW(PaymentSchedule[[#Headers],[BEGINNING BALANCE]])=1,LoanAmount,INDEX(PaymentSchedule[ENDING BALANCE],ROW()-ROW(PaymentSchedule[[#Headers],[BEGINNING BALANCE]])-1)),"")</f>
        <v>910534.9840102325</v>
      </c>
      <c r="E263" s="431">
        <f ca="1">IF(PaymentSchedule[[#This Row],[PMT NO]]&lt;&gt;"",ScheduledPayment,"")</f>
        <v>9423.6334368029093</v>
      </c>
      <c r="F26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3" s="431">
        <f ca="1">IF(PaymentSchedule[[#This Row],[PMT NO]]&lt;&gt;"",PaymentSchedule[[#This Row],[TOTAL PAYMENT]]-PaymentSchedule[[#This Row],[INTEREST]],"")</f>
        <v>7526.6855534482584</v>
      </c>
      <c r="I263" s="431">
        <f ca="1">IF(PaymentSchedule[[#This Row],[PMT NO]]&lt;&gt;"",PaymentSchedule[[#This Row],[BEGINNING BALANCE]]*(InterestRate/PaymentsPerYear),"")</f>
        <v>1896.9478833546509</v>
      </c>
      <c r="J26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903008.29845678422</v>
      </c>
      <c r="K263" s="431">
        <f ca="1">IF(PaymentSchedule[[#This Row],[PMT NO]]&lt;&gt;"",SUM(INDEX(PaymentSchedule[INTEREST],1,1):PaymentSchedule[[#This Row],[INTEREST]]),"")</f>
        <v>902187.55796791799</v>
      </c>
    </row>
    <row r="264" spans="2:11">
      <c r="B264" s="432">
        <f ca="1">IF(LoanIsGood,IF(ROW()-ROW(PaymentSchedule[[#Headers],[PMT NO]])&gt;ScheduledNumberOfPayments,"",ROW()-ROW(PaymentSchedule[[#Headers],[PMT NO]])),"")</f>
        <v>254</v>
      </c>
      <c r="C264" s="430">
        <f ca="1">IF(PaymentSchedule[[#This Row],[PMT NO]]&lt;&gt;"",EOMONTH(LoanStartDate,ROW(PaymentSchedule[[#This Row],[PMT NO]])-ROW(PaymentSchedule[[#Headers],[PMT NO]])-2)+DAY(LoanStartDate),"")</f>
        <v>51653</v>
      </c>
      <c r="D264" s="431">
        <f ca="1">IF(PaymentSchedule[[#This Row],[PMT NO]]&lt;&gt;"",IF(ROW()-ROW(PaymentSchedule[[#Headers],[BEGINNING BALANCE]])=1,LoanAmount,INDEX(PaymentSchedule[ENDING BALANCE],ROW()-ROW(PaymentSchedule[[#Headers],[BEGINNING BALANCE]])-1)),"")</f>
        <v>903008.29845678422</v>
      </c>
      <c r="E264" s="431">
        <f ca="1">IF(PaymentSchedule[[#This Row],[PMT NO]]&lt;&gt;"",ScheduledPayment,"")</f>
        <v>9423.6334368029093</v>
      </c>
      <c r="F26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4" s="431">
        <f ca="1">IF(PaymentSchedule[[#This Row],[PMT NO]]&lt;&gt;"",PaymentSchedule[[#This Row],[TOTAL PAYMENT]]-PaymentSchedule[[#This Row],[INTEREST]],"")</f>
        <v>7542.3661483512751</v>
      </c>
      <c r="I264" s="431">
        <f ca="1">IF(PaymentSchedule[[#This Row],[PMT NO]]&lt;&gt;"",PaymentSchedule[[#This Row],[BEGINNING BALANCE]]*(InterestRate/PaymentsPerYear),"")</f>
        <v>1881.2672884516337</v>
      </c>
      <c r="J26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895465.932308433</v>
      </c>
      <c r="K264" s="431">
        <f ca="1">IF(PaymentSchedule[[#This Row],[PMT NO]]&lt;&gt;"",SUM(INDEX(PaymentSchedule[INTEREST],1,1):PaymentSchedule[[#This Row],[INTEREST]]),"")</f>
        <v>904068.82525636966</v>
      </c>
    </row>
    <row r="265" spans="2:11">
      <c r="B265" s="432">
        <f ca="1">IF(LoanIsGood,IF(ROW()-ROW(PaymentSchedule[[#Headers],[PMT NO]])&gt;ScheduledNumberOfPayments,"",ROW()-ROW(PaymentSchedule[[#Headers],[PMT NO]])),"")</f>
        <v>255</v>
      </c>
      <c r="C265" s="430">
        <f ca="1">IF(PaymentSchedule[[#This Row],[PMT NO]]&lt;&gt;"",EOMONTH(LoanStartDate,ROW(PaymentSchedule[[#This Row],[PMT NO]])-ROW(PaymentSchedule[[#Headers],[PMT NO]])-2)+DAY(LoanStartDate),"")</f>
        <v>51683</v>
      </c>
      <c r="D265" s="431">
        <f ca="1">IF(PaymentSchedule[[#This Row],[PMT NO]]&lt;&gt;"",IF(ROW()-ROW(PaymentSchedule[[#Headers],[BEGINNING BALANCE]])=1,LoanAmount,INDEX(PaymentSchedule[ENDING BALANCE],ROW()-ROW(PaymentSchedule[[#Headers],[BEGINNING BALANCE]])-1)),"")</f>
        <v>895465.932308433</v>
      </c>
      <c r="E265" s="431">
        <f ca="1">IF(PaymentSchedule[[#This Row],[PMT NO]]&lt;&gt;"",ScheduledPayment,"")</f>
        <v>9423.6334368029093</v>
      </c>
      <c r="F26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5" s="431">
        <f ca="1">IF(PaymentSchedule[[#This Row],[PMT NO]]&lt;&gt;"",PaymentSchedule[[#This Row],[TOTAL PAYMENT]]-PaymentSchedule[[#This Row],[INTEREST]],"")</f>
        <v>7558.0794111603409</v>
      </c>
      <c r="I265" s="431">
        <f ca="1">IF(PaymentSchedule[[#This Row],[PMT NO]]&lt;&gt;"",PaymentSchedule[[#This Row],[BEGINNING BALANCE]]*(InterestRate/PaymentsPerYear),"")</f>
        <v>1865.5540256425686</v>
      </c>
      <c r="J26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887907.85289727268</v>
      </c>
      <c r="K265" s="431">
        <f ca="1">IF(PaymentSchedule[[#This Row],[PMT NO]]&lt;&gt;"",SUM(INDEX(PaymentSchedule[INTEREST],1,1):PaymentSchedule[[#This Row],[INTEREST]]),"")</f>
        <v>905934.37928201223</v>
      </c>
    </row>
    <row r="266" spans="2:11">
      <c r="B266" s="432">
        <f ca="1">IF(LoanIsGood,IF(ROW()-ROW(PaymentSchedule[[#Headers],[PMT NO]])&gt;ScheduledNumberOfPayments,"",ROW()-ROW(PaymentSchedule[[#Headers],[PMT NO]])),"")</f>
        <v>256</v>
      </c>
      <c r="C266" s="430">
        <f ca="1">IF(PaymentSchedule[[#This Row],[PMT NO]]&lt;&gt;"",EOMONTH(LoanStartDate,ROW(PaymentSchedule[[#This Row],[PMT NO]])-ROW(PaymentSchedule[[#Headers],[PMT NO]])-2)+DAY(LoanStartDate),"")</f>
        <v>51714</v>
      </c>
      <c r="D266" s="431">
        <f ca="1">IF(PaymentSchedule[[#This Row],[PMT NO]]&lt;&gt;"",IF(ROW()-ROW(PaymentSchedule[[#Headers],[BEGINNING BALANCE]])=1,LoanAmount,INDEX(PaymentSchedule[ENDING BALANCE],ROW()-ROW(PaymentSchedule[[#Headers],[BEGINNING BALANCE]])-1)),"")</f>
        <v>887907.85289727268</v>
      </c>
      <c r="E266" s="431">
        <f ca="1">IF(PaymentSchedule[[#This Row],[PMT NO]]&lt;&gt;"",ScheduledPayment,"")</f>
        <v>9423.6334368029093</v>
      </c>
      <c r="F26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6" s="431">
        <f ca="1">IF(PaymentSchedule[[#This Row],[PMT NO]]&lt;&gt;"",PaymentSchedule[[#This Row],[TOTAL PAYMENT]]-PaymentSchedule[[#This Row],[INTEREST]],"")</f>
        <v>7573.8254099335909</v>
      </c>
      <c r="I266" s="431">
        <f ca="1">IF(PaymentSchedule[[#This Row],[PMT NO]]&lt;&gt;"",PaymentSchedule[[#This Row],[BEGINNING BALANCE]]*(InterestRate/PaymentsPerYear),"")</f>
        <v>1849.8080268693182</v>
      </c>
      <c r="J26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880334.0274873391</v>
      </c>
      <c r="K266" s="431">
        <f ca="1">IF(PaymentSchedule[[#This Row],[PMT NO]]&lt;&gt;"",SUM(INDEX(PaymentSchedule[INTEREST],1,1):PaymentSchedule[[#This Row],[INTEREST]]),"")</f>
        <v>907784.18730888155</v>
      </c>
    </row>
    <row r="267" spans="2:11">
      <c r="B267" s="432">
        <f ca="1">IF(LoanIsGood,IF(ROW()-ROW(PaymentSchedule[[#Headers],[PMT NO]])&gt;ScheduledNumberOfPayments,"",ROW()-ROW(PaymentSchedule[[#Headers],[PMT NO]])),"")</f>
        <v>257</v>
      </c>
      <c r="C267" s="430">
        <f ca="1">IF(PaymentSchedule[[#This Row],[PMT NO]]&lt;&gt;"",EOMONTH(LoanStartDate,ROW(PaymentSchedule[[#This Row],[PMT NO]])-ROW(PaymentSchedule[[#Headers],[PMT NO]])-2)+DAY(LoanStartDate),"")</f>
        <v>51745</v>
      </c>
      <c r="D267" s="431">
        <f ca="1">IF(PaymentSchedule[[#This Row],[PMT NO]]&lt;&gt;"",IF(ROW()-ROW(PaymentSchedule[[#Headers],[BEGINNING BALANCE]])=1,LoanAmount,INDEX(PaymentSchedule[ENDING BALANCE],ROW()-ROW(PaymentSchedule[[#Headers],[BEGINNING BALANCE]])-1)),"")</f>
        <v>880334.0274873391</v>
      </c>
      <c r="E267" s="431">
        <f ca="1">IF(PaymentSchedule[[#This Row],[PMT NO]]&lt;&gt;"",ScheduledPayment,"")</f>
        <v>9423.6334368029093</v>
      </c>
      <c r="F26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7" s="431">
        <f ca="1">IF(PaymentSchedule[[#This Row],[PMT NO]]&lt;&gt;"",PaymentSchedule[[#This Row],[TOTAL PAYMENT]]-PaymentSchedule[[#This Row],[INTEREST]],"")</f>
        <v>7589.6042128709523</v>
      </c>
      <c r="I267" s="431">
        <f ca="1">IF(PaymentSchedule[[#This Row],[PMT NO]]&lt;&gt;"",PaymentSchedule[[#This Row],[BEGINNING BALANCE]]*(InterestRate/PaymentsPerYear),"")</f>
        <v>1834.0292239319565</v>
      </c>
      <c r="J26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872744.42327446816</v>
      </c>
      <c r="K267" s="431">
        <f ca="1">IF(PaymentSchedule[[#This Row],[PMT NO]]&lt;&gt;"",SUM(INDEX(PaymentSchedule[INTEREST],1,1):PaymentSchedule[[#This Row],[INTEREST]]),"")</f>
        <v>909618.2165328135</v>
      </c>
    </row>
    <row r="268" spans="2:11">
      <c r="B268" s="432">
        <f ca="1">IF(LoanIsGood,IF(ROW()-ROW(PaymentSchedule[[#Headers],[PMT NO]])&gt;ScheduledNumberOfPayments,"",ROW()-ROW(PaymentSchedule[[#Headers],[PMT NO]])),"")</f>
        <v>258</v>
      </c>
      <c r="C268" s="430">
        <f ca="1">IF(PaymentSchedule[[#This Row],[PMT NO]]&lt;&gt;"",EOMONTH(LoanStartDate,ROW(PaymentSchedule[[#This Row],[PMT NO]])-ROW(PaymentSchedule[[#Headers],[PMT NO]])-2)+DAY(LoanStartDate),"")</f>
        <v>51775</v>
      </c>
      <c r="D268" s="431">
        <f ca="1">IF(PaymentSchedule[[#This Row],[PMT NO]]&lt;&gt;"",IF(ROW()-ROW(PaymentSchedule[[#Headers],[BEGINNING BALANCE]])=1,LoanAmount,INDEX(PaymentSchedule[ENDING BALANCE],ROW()-ROW(PaymentSchedule[[#Headers],[BEGINNING BALANCE]])-1)),"")</f>
        <v>872744.42327446816</v>
      </c>
      <c r="E268" s="431">
        <f ca="1">IF(PaymentSchedule[[#This Row],[PMT NO]]&lt;&gt;"",ScheduledPayment,"")</f>
        <v>9423.6334368029093</v>
      </c>
      <c r="F26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8" s="431">
        <f ca="1">IF(PaymentSchedule[[#This Row],[PMT NO]]&lt;&gt;"",PaymentSchedule[[#This Row],[TOTAL PAYMENT]]-PaymentSchedule[[#This Row],[INTEREST]],"")</f>
        <v>7605.4158883144337</v>
      </c>
      <c r="I268" s="431">
        <f ca="1">IF(PaymentSchedule[[#This Row],[PMT NO]]&lt;&gt;"",PaymentSchedule[[#This Row],[BEGINNING BALANCE]]*(InterestRate/PaymentsPerYear),"")</f>
        <v>1818.2175484884754</v>
      </c>
      <c r="J26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865139.00738615368</v>
      </c>
      <c r="K268" s="431">
        <f ca="1">IF(PaymentSchedule[[#This Row],[PMT NO]]&lt;&gt;"",SUM(INDEX(PaymentSchedule[INTEREST],1,1):PaymentSchedule[[#This Row],[INTEREST]]),"")</f>
        <v>911436.43408130202</v>
      </c>
    </row>
    <row r="269" spans="2:11">
      <c r="B269" s="432">
        <f ca="1">IF(LoanIsGood,IF(ROW()-ROW(PaymentSchedule[[#Headers],[PMT NO]])&gt;ScheduledNumberOfPayments,"",ROW()-ROW(PaymentSchedule[[#Headers],[PMT NO]])),"")</f>
        <v>259</v>
      </c>
      <c r="C269" s="430">
        <f ca="1">IF(PaymentSchedule[[#This Row],[PMT NO]]&lt;&gt;"",EOMONTH(LoanStartDate,ROW(PaymentSchedule[[#This Row],[PMT NO]])-ROW(PaymentSchedule[[#Headers],[PMT NO]])-2)+DAY(LoanStartDate),"")</f>
        <v>51806</v>
      </c>
      <c r="D269" s="431">
        <f ca="1">IF(PaymentSchedule[[#This Row],[PMT NO]]&lt;&gt;"",IF(ROW()-ROW(PaymentSchedule[[#Headers],[BEGINNING BALANCE]])=1,LoanAmount,INDEX(PaymentSchedule[ENDING BALANCE],ROW()-ROW(PaymentSchedule[[#Headers],[BEGINNING BALANCE]])-1)),"")</f>
        <v>865139.00738615368</v>
      </c>
      <c r="E269" s="431">
        <f ca="1">IF(PaymentSchedule[[#This Row],[PMT NO]]&lt;&gt;"",ScheduledPayment,"")</f>
        <v>9423.6334368029093</v>
      </c>
      <c r="F26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6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69" s="431">
        <f ca="1">IF(PaymentSchedule[[#This Row],[PMT NO]]&lt;&gt;"",PaymentSchedule[[#This Row],[TOTAL PAYMENT]]-PaymentSchedule[[#This Row],[INTEREST]],"")</f>
        <v>7621.2605047484221</v>
      </c>
      <c r="I269" s="431">
        <f ca="1">IF(PaymentSchedule[[#This Row],[PMT NO]]&lt;&gt;"",PaymentSchedule[[#This Row],[BEGINNING BALANCE]]*(InterestRate/PaymentsPerYear),"")</f>
        <v>1802.3729320544869</v>
      </c>
      <c r="J26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857517.74688140524</v>
      </c>
      <c r="K269" s="431">
        <f ca="1">IF(PaymentSchedule[[#This Row],[PMT NO]]&lt;&gt;"",SUM(INDEX(PaymentSchedule[INTEREST],1,1):PaymentSchedule[[#This Row],[INTEREST]]),"")</f>
        <v>913238.80701335648</v>
      </c>
    </row>
    <row r="270" spans="2:11">
      <c r="B270" s="432">
        <f ca="1">IF(LoanIsGood,IF(ROW()-ROW(PaymentSchedule[[#Headers],[PMT NO]])&gt;ScheduledNumberOfPayments,"",ROW()-ROW(PaymentSchedule[[#Headers],[PMT NO]])),"")</f>
        <v>260</v>
      </c>
      <c r="C270" s="430">
        <f ca="1">IF(PaymentSchedule[[#This Row],[PMT NO]]&lt;&gt;"",EOMONTH(LoanStartDate,ROW(PaymentSchedule[[#This Row],[PMT NO]])-ROW(PaymentSchedule[[#Headers],[PMT NO]])-2)+DAY(LoanStartDate),"")</f>
        <v>51836</v>
      </c>
      <c r="D270" s="431">
        <f ca="1">IF(PaymentSchedule[[#This Row],[PMT NO]]&lt;&gt;"",IF(ROW()-ROW(PaymentSchedule[[#Headers],[BEGINNING BALANCE]])=1,LoanAmount,INDEX(PaymentSchedule[ENDING BALANCE],ROW()-ROW(PaymentSchedule[[#Headers],[BEGINNING BALANCE]])-1)),"")</f>
        <v>857517.74688140524</v>
      </c>
      <c r="E270" s="431">
        <f ca="1">IF(PaymentSchedule[[#This Row],[PMT NO]]&lt;&gt;"",ScheduledPayment,"")</f>
        <v>9423.6334368029093</v>
      </c>
      <c r="F27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0" s="431">
        <f ca="1">IF(PaymentSchedule[[#This Row],[PMT NO]]&lt;&gt;"",PaymentSchedule[[#This Row],[TOTAL PAYMENT]]-PaymentSchedule[[#This Row],[INTEREST]],"")</f>
        <v>7637.1381307999818</v>
      </c>
      <c r="I270" s="431">
        <f ca="1">IF(PaymentSchedule[[#This Row],[PMT NO]]&lt;&gt;"",PaymentSchedule[[#This Row],[BEGINNING BALANCE]]*(InterestRate/PaymentsPerYear),"")</f>
        <v>1786.4953060029275</v>
      </c>
      <c r="J27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849880.60875060526</v>
      </c>
      <c r="K270" s="431">
        <f ca="1">IF(PaymentSchedule[[#This Row],[PMT NO]]&lt;&gt;"",SUM(INDEX(PaymentSchedule[INTEREST],1,1):PaymentSchedule[[#This Row],[INTEREST]]),"")</f>
        <v>915025.30231935938</v>
      </c>
    </row>
    <row r="271" spans="2:11">
      <c r="B271" s="432">
        <f ca="1">IF(LoanIsGood,IF(ROW()-ROW(PaymentSchedule[[#Headers],[PMT NO]])&gt;ScheduledNumberOfPayments,"",ROW()-ROW(PaymentSchedule[[#Headers],[PMT NO]])),"")</f>
        <v>261</v>
      </c>
      <c r="C271" s="430">
        <f ca="1">IF(PaymentSchedule[[#This Row],[PMT NO]]&lt;&gt;"",EOMONTH(LoanStartDate,ROW(PaymentSchedule[[#This Row],[PMT NO]])-ROW(PaymentSchedule[[#Headers],[PMT NO]])-2)+DAY(LoanStartDate),"")</f>
        <v>51867</v>
      </c>
      <c r="D271" s="431">
        <f ca="1">IF(PaymentSchedule[[#This Row],[PMT NO]]&lt;&gt;"",IF(ROW()-ROW(PaymentSchedule[[#Headers],[BEGINNING BALANCE]])=1,LoanAmount,INDEX(PaymentSchedule[ENDING BALANCE],ROW()-ROW(PaymentSchedule[[#Headers],[BEGINNING BALANCE]])-1)),"")</f>
        <v>849880.60875060526</v>
      </c>
      <c r="E271" s="431">
        <f ca="1">IF(PaymentSchedule[[#This Row],[PMT NO]]&lt;&gt;"",ScheduledPayment,"")</f>
        <v>9423.6334368029093</v>
      </c>
      <c r="F27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1" s="431">
        <f ca="1">IF(PaymentSchedule[[#This Row],[PMT NO]]&lt;&gt;"",PaymentSchedule[[#This Row],[TOTAL PAYMENT]]-PaymentSchedule[[#This Row],[INTEREST]],"")</f>
        <v>7653.0488352391485</v>
      </c>
      <c r="I271" s="431">
        <f ca="1">IF(PaymentSchedule[[#This Row],[PMT NO]]&lt;&gt;"",PaymentSchedule[[#This Row],[BEGINNING BALANCE]]*(InterestRate/PaymentsPerYear),"")</f>
        <v>1770.584601563761</v>
      </c>
      <c r="J27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842227.55991536612</v>
      </c>
      <c r="K271" s="431">
        <f ca="1">IF(PaymentSchedule[[#This Row],[PMT NO]]&lt;&gt;"",SUM(INDEX(PaymentSchedule[INTEREST],1,1):PaymentSchedule[[#This Row],[INTEREST]]),"")</f>
        <v>916795.88692092313</v>
      </c>
    </row>
    <row r="272" spans="2:11">
      <c r="B272" s="432">
        <f ca="1">IF(LoanIsGood,IF(ROW()-ROW(PaymentSchedule[[#Headers],[PMT NO]])&gt;ScheduledNumberOfPayments,"",ROW()-ROW(PaymentSchedule[[#Headers],[PMT NO]])),"")</f>
        <v>262</v>
      </c>
      <c r="C272" s="430">
        <f ca="1">IF(PaymentSchedule[[#This Row],[PMT NO]]&lt;&gt;"",EOMONTH(LoanStartDate,ROW(PaymentSchedule[[#This Row],[PMT NO]])-ROW(PaymentSchedule[[#Headers],[PMT NO]])-2)+DAY(LoanStartDate),"")</f>
        <v>51898</v>
      </c>
      <c r="D272" s="431">
        <f ca="1">IF(PaymentSchedule[[#This Row],[PMT NO]]&lt;&gt;"",IF(ROW()-ROW(PaymentSchedule[[#Headers],[BEGINNING BALANCE]])=1,LoanAmount,INDEX(PaymentSchedule[ENDING BALANCE],ROW()-ROW(PaymentSchedule[[#Headers],[BEGINNING BALANCE]])-1)),"")</f>
        <v>842227.55991536612</v>
      </c>
      <c r="E272" s="431">
        <f ca="1">IF(PaymentSchedule[[#This Row],[PMT NO]]&lt;&gt;"",ScheduledPayment,"")</f>
        <v>9423.6334368029093</v>
      </c>
      <c r="F27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2" s="431">
        <f ca="1">IF(PaymentSchedule[[#This Row],[PMT NO]]&lt;&gt;"",PaymentSchedule[[#This Row],[TOTAL PAYMENT]]-PaymentSchedule[[#This Row],[INTEREST]],"")</f>
        <v>7668.9926869792298</v>
      </c>
      <c r="I272" s="431">
        <f ca="1">IF(PaymentSchedule[[#This Row],[PMT NO]]&lt;&gt;"",PaymentSchedule[[#This Row],[BEGINNING BALANCE]]*(InterestRate/PaymentsPerYear),"")</f>
        <v>1754.6407498236795</v>
      </c>
      <c r="J27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834558.56722838688</v>
      </c>
      <c r="K272" s="431">
        <f ca="1">IF(PaymentSchedule[[#This Row],[PMT NO]]&lt;&gt;"",SUM(INDEX(PaymentSchedule[INTEREST],1,1):PaymentSchedule[[#This Row],[INTEREST]]),"")</f>
        <v>918550.52767074679</v>
      </c>
    </row>
    <row r="273" spans="2:11">
      <c r="B273" s="432">
        <f ca="1">IF(LoanIsGood,IF(ROW()-ROW(PaymentSchedule[[#Headers],[PMT NO]])&gt;ScheduledNumberOfPayments,"",ROW()-ROW(PaymentSchedule[[#Headers],[PMT NO]])),"")</f>
        <v>263</v>
      </c>
      <c r="C273" s="430">
        <f ca="1">IF(PaymentSchedule[[#This Row],[PMT NO]]&lt;&gt;"",EOMONTH(LoanStartDate,ROW(PaymentSchedule[[#This Row],[PMT NO]])-ROW(PaymentSchedule[[#Headers],[PMT NO]])-2)+DAY(LoanStartDate),"")</f>
        <v>51926</v>
      </c>
      <c r="D273" s="431">
        <f ca="1">IF(PaymentSchedule[[#This Row],[PMT NO]]&lt;&gt;"",IF(ROW()-ROW(PaymentSchedule[[#Headers],[BEGINNING BALANCE]])=1,LoanAmount,INDEX(PaymentSchedule[ENDING BALANCE],ROW()-ROW(PaymentSchedule[[#Headers],[BEGINNING BALANCE]])-1)),"")</f>
        <v>834558.56722838688</v>
      </c>
      <c r="E273" s="431">
        <f ca="1">IF(PaymentSchedule[[#This Row],[PMT NO]]&lt;&gt;"",ScheduledPayment,"")</f>
        <v>9423.6334368029093</v>
      </c>
      <c r="F27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3" s="431">
        <f ca="1">IF(PaymentSchedule[[#This Row],[PMT NO]]&lt;&gt;"",PaymentSchedule[[#This Row],[TOTAL PAYMENT]]-PaymentSchedule[[#This Row],[INTEREST]],"")</f>
        <v>7684.9697550771034</v>
      </c>
      <c r="I273" s="431">
        <f ca="1">IF(PaymentSchedule[[#This Row],[PMT NO]]&lt;&gt;"",PaymentSchedule[[#This Row],[BEGINNING BALANCE]]*(InterestRate/PaymentsPerYear),"")</f>
        <v>1738.6636817258059</v>
      </c>
      <c r="J27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826873.59747330972</v>
      </c>
      <c r="K273" s="431">
        <f ca="1">IF(PaymentSchedule[[#This Row],[PMT NO]]&lt;&gt;"",SUM(INDEX(PaymentSchedule[INTEREST],1,1):PaymentSchedule[[#This Row],[INTEREST]]),"")</f>
        <v>920289.19135247264</v>
      </c>
    </row>
    <row r="274" spans="2:11">
      <c r="B274" s="432">
        <f ca="1">IF(LoanIsGood,IF(ROW()-ROW(PaymentSchedule[[#Headers],[PMT NO]])&gt;ScheduledNumberOfPayments,"",ROW()-ROW(PaymentSchedule[[#Headers],[PMT NO]])),"")</f>
        <v>264</v>
      </c>
      <c r="C274" s="430">
        <f ca="1">IF(PaymentSchedule[[#This Row],[PMT NO]]&lt;&gt;"",EOMONTH(LoanStartDate,ROW(PaymentSchedule[[#This Row],[PMT NO]])-ROW(PaymentSchedule[[#Headers],[PMT NO]])-2)+DAY(LoanStartDate),"")</f>
        <v>51957</v>
      </c>
      <c r="D274" s="431">
        <f ca="1">IF(PaymentSchedule[[#This Row],[PMT NO]]&lt;&gt;"",IF(ROW()-ROW(PaymentSchedule[[#Headers],[BEGINNING BALANCE]])=1,LoanAmount,INDEX(PaymentSchedule[ENDING BALANCE],ROW()-ROW(PaymentSchedule[[#Headers],[BEGINNING BALANCE]])-1)),"")</f>
        <v>826873.59747330972</v>
      </c>
      <c r="E274" s="431">
        <f ca="1">IF(PaymentSchedule[[#This Row],[PMT NO]]&lt;&gt;"",ScheduledPayment,"")</f>
        <v>9423.6334368029093</v>
      </c>
      <c r="F27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4" s="431">
        <f ca="1">IF(PaymentSchedule[[#This Row],[PMT NO]]&lt;&gt;"",PaymentSchedule[[#This Row],[TOTAL PAYMENT]]-PaymentSchedule[[#This Row],[INTEREST]],"")</f>
        <v>7700.9801087335145</v>
      </c>
      <c r="I274" s="431">
        <f ca="1">IF(PaymentSchedule[[#This Row],[PMT NO]]&lt;&gt;"",PaymentSchedule[[#This Row],[BEGINNING BALANCE]]*(InterestRate/PaymentsPerYear),"")</f>
        <v>1722.6533280693952</v>
      </c>
      <c r="J27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819172.6173645762</v>
      </c>
      <c r="K274" s="431">
        <f ca="1">IF(PaymentSchedule[[#This Row],[PMT NO]]&lt;&gt;"",SUM(INDEX(PaymentSchedule[INTEREST],1,1):PaymentSchedule[[#This Row],[INTEREST]]),"")</f>
        <v>922011.84468054201</v>
      </c>
    </row>
    <row r="275" spans="2:11">
      <c r="B275" s="432">
        <f ca="1">IF(LoanIsGood,IF(ROW()-ROW(PaymentSchedule[[#Headers],[PMT NO]])&gt;ScheduledNumberOfPayments,"",ROW()-ROW(PaymentSchedule[[#Headers],[PMT NO]])),"")</f>
        <v>265</v>
      </c>
      <c r="C275" s="430">
        <f ca="1">IF(PaymentSchedule[[#This Row],[PMT NO]]&lt;&gt;"",EOMONTH(LoanStartDate,ROW(PaymentSchedule[[#This Row],[PMT NO]])-ROW(PaymentSchedule[[#Headers],[PMT NO]])-2)+DAY(LoanStartDate),"")</f>
        <v>51987</v>
      </c>
      <c r="D275" s="431">
        <f ca="1">IF(PaymentSchedule[[#This Row],[PMT NO]]&lt;&gt;"",IF(ROW()-ROW(PaymentSchedule[[#Headers],[BEGINNING BALANCE]])=1,LoanAmount,INDEX(PaymentSchedule[ENDING BALANCE],ROW()-ROW(PaymentSchedule[[#Headers],[BEGINNING BALANCE]])-1)),"")</f>
        <v>819172.6173645762</v>
      </c>
      <c r="E275" s="431">
        <f ca="1">IF(PaymentSchedule[[#This Row],[PMT NO]]&lt;&gt;"",ScheduledPayment,"")</f>
        <v>9423.6334368029093</v>
      </c>
      <c r="F27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5" s="431">
        <f ca="1">IF(PaymentSchedule[[#This Row],[PMT NO]]&lt;&gt;"",PaymentSchedule[[#This Row],[TOTAL PAYMENT]]-PaymentSchedule[[#This Row],[INTEREST]],"")</f>
        <v>7717.023817293375</v>
      </c>
      <c r="I275" s="431">
        <f ca="1">IF(PaymentSchedule[[#This Row],[PMT NO]]&lt;&gt;"",PaymentSchedule[[#This Row],[BEGINNING BALANCE]]*(InterestRate/PaymentsPerYear),"")</f>
        <v>1706.6096195095338</v>
      </c>
      <c r="J27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811455.59354728286</v>
      </c>
      <c r="K275" s="431">
        <f ca="1">IF(PaymentSchedule[[#This Row],[PMT NO]]&lt;&gt;"",SUM(INDEX(PaymentSchedule[INTEREST],1,1):PaymentSchedule[[#This Row],[INTEREST]]),"")</f>
        <v>923718.45430005156</v>
      </c>
    </row>
    <row r="276" spans="2:11">
      <c r="B276" s="432">
        <f ca="1">IF(LoanIsGood,IF(ROW()-ROW(PaymentSchedule[[#Headers],[PMT NO]])&gt;ScheduledNumberOfPayments,"",ROW()-ROW(PaymentSchedule[[#Headers],[PMT NO]])),"")</f>
        <v>266</v>
      </c>
      <c r="C276" s="430">
        <f ca="1">IF(PaymentSchedule[[#This Row],[PMT NO]]&lt;&gt;"",EOMONTH(LoanStartDate,ROW(PaymentSchedule[[#This Row],[PMT NO]])-ROW(PaymentSchedule[[#Headers],[PMT NO]])-2)+DAY(LoanStartDate),"")</f>
        <v>52018</v>
      </c>
      <c r="D276" s="431">
        <f ca="1">IF(PaymentSchedule[[#This Row],[PMT NO]]&lt;&gt;"",IF(ROW()-ROW(PaymentSchedule[[#Headers],[BEGINNING BALANCE]])=1,LoanAmount,INDEX(PaymentSchedule[ENDING BALANCE],ROW()-ROW(PaymentSchedule[[#Headers],[BEGINNING BALANCE]])-1)),"")</f>
        <v>811455.59354728286</v>
      </c>
      <c r="E276" s="431">
        <f ca="1">IF(PaymentSchedule[[#This Row],[PMT NO]]&lt;&gt;"",ScheduledPayment,"")</f>
        <v>9423.6334368029093</v>
      </c>
      <c r="F27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6" s="431">
        <f ca="1">IF(PaymentSchedule[[#This Row],[PMT NO]]&lt;&gt;"",PaymentSchedule[[#This Row],[TOTAL PAYMENT]]-PaymentSchedule[[#This Row],[INTEREST]],"")</f>
        <v>7733.1009502460702</v>
      </c>
      <c r="I276" s="431">
        <f ca="1">IF(PaymentSchedule[[#This Row],[PMT NO]]&lt;&gt;"",PaymentSchedule[[#This Row],[BEGINNING BALANCE]]*(InterestRate/PaymentsPerYear),"")</f>
        <v>1690.5324865568393</v>
      </c>
      <c r="J27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803722.49259703676</v>
      </c>
      <c r="K276" s="431">
        <f ca="1">IF(PaymentSchedule[[#This Row],[PMT NO]]&lt;&gt;"",SUM(INDEX(PaymentSchedule[INTEREST],1,1):PaymentSchedule[[#This Row],[INTEREST]]),"")</f>
        <v>925408.98678660835</v>
      </c>
    </row>
    <row r="277" spans="2:11">
      <c r="B277" s="432">
        <f ca="1">IF(LoanIsGood,IF(ROW()-ROW(PaymentSchedule[[#Headers],[PMT NO]])&gt;ScheduledNumberOfPayments,"",ROW()-ROW(PaymentSchedule[[#Headers],[PMT NO]])),"")</f>
        <v>267</v>
      </c>
      <c r="C277" s="430">
        <f ca="1">IF(PaymentSchedule[[#This Row],[PMT NO]]&lt;&gt;"",EOMONTH(LoanStartDate,ROW(PaymentSchedule[[#This Row],[PMT NO]])-ROW(PaymentSchedule[[#Headers],[PMT NO]])-2)+DAY(LoanStartDate),"")</f>
        <v>52048</v>
      </c>
      <c r="D277" s="431">
        <f ca="1">IF(PaymentSchedule[[#This Row],[PMT NO]]&lt;&gt;"",IF(ROW()-ROW(PaymentSchedule[[#Headers],[BEGINNING BALANCE]])=1,LoanAmount,INDEX(PaymentSchedule[ENDING BALANCE],ROW()-ROW(PaymentSchedule[[#Headers],[BEGINNING BALANCE]])-1)),"")</f>
        <v>803722.49259703676</v>
      </c>
      <c r="E277" s="431">
        <f ca="1">IF(PaymentSchedule[[#This Row],[PMT NO]]&lt;&gt;"",ScheduledPayment,"")</f>
        <v>9423.6334368029093</v>
      </c>
      <c r="F27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7" s="431">
        <f ca="1">IF(PaymentSchedule[[#This Row],[PMT NO]]&lt;&gt;"",PaymentSchedule[[#This Row],[TOTAL PAYMENT]]-PaymentSchedule[[#This Row],[INTEREST]],"")</f>
        <v>7749.2115772257494</v>
      </c>
      <c r="I277" s="431">
        <f ca="1">IF(PaymentSchedule[[#This Row],[PMT NO]]&lt;&gt;"",PaymentSchedule[[#This Row],[BEGINNING BALANCE]]*(InterestRate/PaymentsPerYear),"")</f>
        <v>1674.4218595771599</v>
      </c>
      <c r="J27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795973.28101981105</v>
      </c>
      <c r="K277" s="431">
        <f ca="1">IF(PaymentSchedule[[#This Row],[PMT NO]]&lt;&gt;"",SUM(INDEX(PaymentSchedule[INTEREST],1,1):PaymentSchedule[[#This Row],[INTEREST]]),"")</f>
        <v>927083.40864618553</v>
      </c>
    </row>
    <row r="278" spans="2:11">
      <c r="B278" s="432">
        <f ca="1">IF(LoanIsGood,IF(ROW()-ROW(PaymentSchedule[[#Headers],[PMT NO]])&gt;ScheduledNumberOfPayments,"",ROW()-ROW(PaymentSchedule[[#Headers],[PMT NO]])),"")</f>
        <v>268</v>
      </c>
      <c r="C278" s="430">
        <f ca="1">IF(PaymentSchedule[[#This Row],[PMT NO]]&lt;&gt;"",EOMONTH(LoanStartDate,ROW(PaymentSchedule[[#This Row],[PMT NO]])-ROW(PaymentSchedule[[#Headers],[PMT NO]])-2)+DAY(LoanStartDate),"")</f>
        <v>52079</v>
      </c>
      <c r="D278" s="431">
        <f ca="1">IF(PaymentSchedule[[#This Row],[PMT NO]]&lt;&gt;"",IF(ROW()-ROW(PaymentSchedule[[#Headers],[BEGINNING BALANCE]])=1,LoanAmount,INDEX(PaymentSchedule[ENDING BALANCE],ROW()-ROW(PaymentSchedule[[#Headers],[BEGINNING BALANCE]])-1)),"")</f>
        <v>795973.28101981105</v>
      </c>
      <c r="E278" s="431">
        <f ca="1">IF(PaymentSchedule[[#This Row],[PMT NO]]&lt;&gt;"",ScheduledPayment,"")</f>
        <v>9423.6334368029093</v>
      </c>
      <c r="F27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8" s="431">
        <f ca="1">IF(PaymentSchedule[[#This Row],[PMT NO]]&lt;&gt;"",PaymentSchedule[[#This Row],[TOTAL PAYMENT]]-PaymentSchedule[[#This Row],[INTEREST]],"")</f>
        <v>7765.3557680116364</v>
      </c>
      <c r="I278" s="431">
        <f ca="1">IF(PaymentSchedule[[#This Row],[PMT NO]]&lt;&gt;"",PaymentSchedule[[#This Row],[BEGINNING BALANCE]]*(InterestRate/PaymentsPerYear),"")</f>
        <v>1658.2776687912731</v>
      </c>
      <c r="J27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788207.9252517994</v>
      </c>
      <c r="K278" s="431">
        <f ca="1">IF(PaymentSchedule[[#This Row],[PMT NO]]&lt;&gt;"",SUM(INDEX(PaymentSchedule[INTEREST],1,1):PaymentSchedule[[#This Row],[INTEREST]]),"")</f>
        <v>928741.68631497677</v>
      </c>
    </row>
    <row r="279" spans="2:11">
      <c r="B279" s="432">
        <f ca="1">IF(LoanIsGood,IF(ROW()-ROW(PaymentSchedule[[#Headers],[PMT NO]])&gt;ScheduledNumberOfPayments,"",ROW()-ROW(PaymentSchedule[[#Headers],[PMT NO]])),"")</f>
        <v>269</v>
      </c>
      <c r="C279" s="430">
        <f ca="1">IF(PaymentSchedule[[#This Row],[PMT NO]]&lt;&gt;"",EOMONTH(LoanStartDate,ROW(PaymentSchedule[[#This Row],[PMT NO]])-ROW(PaymentSchedule[[#Headers],[PMT NO]])-2)+DAY(LoanStartDate),"")</f>
        <v>52110</v>
      </c>
      <c r="D279" s="431">
        <f ca="1">IF(PaymentSchedule[[#This Row],[PMT NO]]&lt;&gt;"",IF(ROW()-ROW(PaymentSchedule[[#Headers],[BEGINNING BALANCE]])=1,LoanAmount,INDEX(PaymentSchedule[ENDING BALANCE],ROW()-ROW(PaymentSchedule[[#Headers],[BEGINNING BALANCE]])-1)),"")</f>
        <v>788207.9252517994</v>
      </c>
      <c r="E279" s="431">
        <f ca="1">IF(PaymentSchedule[[#This Row],[PMT NO]]&lt;&gt;"",ScheduledPayment,"")</f>
        <v>9423.6334368029093</v>
      </c>
      <c r="F27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7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79" s="431">
        <f ca="1">IF(PaymentSchedule[[#This Row],[PMT NO]]&lt;&gt;"",PaymentSchedule[[#This Row],[TOTAL PAYMENT]]-PaymentSchedule[[#This Row],[INTEREST]],"")</f>
        <v>7781.5335925283271</v>
      </c>
      <c r="I279" s="431">
        <f ca="1">IF(PaymentSchedule[[#This Row],[PMT NO]]&lt;&gt;"",PaymentSchedule[[#This Row],[BEGINNING BALANCE]]*(InterestRate/PaymentsPerYear),"")</f>
        <v>1642.099844274582</v>
      </c>
      <c r="J27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780426.39165927109</v>
      </c>
      <c r="K279" s="431">
        <f ca="1">IF(PaymentSchedule[[#This Row],[PMT NO]]&lt;&gt;"",SUM(INDEX(PaymentSchedule[INTEREST],1,1):PaymentSchedule[[#This Row],[INTEREST]]),"")</f>
        <v>930383.78615925135</v>
      </c>
    </row>
    <row r="280" spans="2:11">
      <c r="B280" s="432">
        <f ca="1">IF(LoanIsGood,IF(ROW()-ROW(PaymentSchedule[[#Headers],[PMT NO]])&gt;ScheduledNumberOfPayments,"",ROW()-ROW(PaymentSchedule[[#Headers],[PMT NO]])),"")</f>
        <v>270</v>
      </c>
      <c r="C280" s="430">
        <f ca="1">IF(PaymentSchedule[[#This Row],[PMT NO]]&lt;&gt;"",EOMONTH(LoanStartDate,ROW(PaymentSchedule[[#This Row],[PMT NO]])-ROW(PaymentSchedule[[#Headers],[PMT NO]])-2)+DAY(LoanStartDate),"")</f>
        <v>52140</v>
      </c>
      <c r="D280" s="431">
        <f ca="1">IF(PaymentSchedule[[#This Row],[PMT NO]]&lt;&gt;"",IF(ROW()-ROW(PaymentSchedule[[#Headers],[BEGINNING BALANCE]])=1,LoanAmount,INDEX(PaymentSchedule[ENDING BALANCE],ROW()-ROW(PaymentSchedule[[#Headers],[BEGINNING BALANCE]])-1)),"")</f>
        <v>780426.39165927109</v>
      </c>
      <c r="E280" s="431">
        <f ca="1">IF(PaymentSchedule[[#This Row],[PMT NO]]&lt;&gt;"",ScheduledPayment,"")</f>
        <v>9423.6334368029093</v>
      </c>
      <c r="F28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0" s="431">
        <f ca="1">IF(PaymentSchedule[[#This Row],[PMT NO]]&lt;&gt;"",PaymentSchedule[[#This Row],[TOTAL PAYMENT]]-PaymentSchedule[[#This Row],[INTEREST]],"")</f>
        <v>7797.7451208460943</v>
      </c>
      <c r="I280" s="431">
        <f ca="1">IF(PaymentSchedule[[#This Row],[PMT NO]]&lt;&gt;"",PaymentSchedule[[#This Row],[BEGINNING BALANCE]]*(InterestRate/PaymentsPerYear),"")</f>
        <v>1625.8883159568147</v>
      </c>
      <c r="J28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772628.646538425</v>
      </c>
      <c r="K280" s="431">
        <f ca="1">IF(PaymentSchedule[[#This Row],[PMT NO]]&lt;&gt;"",SUM(INDEX(PaymentSchedule[INTEREST],1,1):PaymentSchedule[[#This Row],[INTEREST]]),"")</f>
        <v>932009.67447520816</v>
      </c>
    </row>
    <row r="281" spans="2:11">
      <c r="B281" s="432">
        <f ca="1">IF(LoanIsGood,IF(ROW()-ROW(PaymentSchedule[[#Headers],[PMT NO]])&gt;ScheduledNumberOfPayments,"",ROW()-ROW(PaymentSchedule[[#Headers],[PMT NO]])),"")</f>
        <v>271</v>
      </c>
      <c r="C281" s="430">
        <f ca="1">IF(PaymentSchedule[[#This Row],[PMT NO]]&lt;&gt;"",EOMONTH(LoanStartDate,ROW(PaymentSchedule[[#This Row],[PMT NO]])-ROW(PaymentSchedule[[#Headers],[PMT NO]])-2)+DAY(LoanStartDate),"")</f>
        <v>52171</v>
      </c>
      <c r="D281" s="431">
        <f ca="1">IF(PaymentSchedule[[#This Row],[PMT NO]]&lt;&gt;"",IF(ROW()-ROW(PaymentSchedule[[#Headers],[BEGINNING BALANCE]])=1,LoanAmount,INDEX(PaymentSchedule[ENDING BALANCE],ROW()-ROW(PaymentSchedule[[#Headers],[BEGINNING BALANCE]])-1)),"")</f>
        <v>772628.646538425</v>
      </c>
      <c r="E281" s="431">
        <f ca="1">IF(PaymentSchedule[[#This Row],[PMT NO]]&lt;&gt;"",ScheduledPayment,"")</f>
        <v>9423.6334368029093</v>
      </c>
      <c r="F28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1" s="431">
        <f ca="1">IF(PaymentSchedule[[#This Row],[PMT NO]]&lt;&gt;"",PaymentSchedule[[#This Row],[TOTAL PAYMENT]]-PaymentSchedule[[#This Row],[INTEREST]],"")</f>
        <v>7813.9904231811906</v>
      </c>
      <c r="I281" s="431">
        <f ca="1">IF(PaymentSchedule[[#This Row],[PMT NO]]&lt;&gt;"",PaymentSchedule[[#This Row],[BEGINNING BALANCE]]*(InterestRate/PaymentsPerYear),"")</f>
        <v>1609.6430136217186</v>
      </c>
      <c r="J28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764814.65611524379</v>
      </c>
      <c r="K281" s="431">
        <f ca="1">IF(PaymentSchedule[[#This Row],[PMT NO]]&lt;&gt;"",SUM(INDEX(PaymentSchedule[INTEREST],1,1):PaymentSchedule[[#This Row],[INTEREST]]),"")</f>
        <v>933619.31748882984</v>
      </c>
    </row>
    <row r="282" spans="2:11">
      <c r="B282" s="432">
        <f ca="1">IF(LoanIsGood,IF(ROW()-ROW(PaymentSchedule[[#Headers],[PMT NO]])&gt;ScheduledNumberOfPayments,"",ROW()-ROW(PaymentSchedule[[#Headers],[PMT NO]])),"")</f>
        <v>272</v>
      </c>
      <c r="C282" s="430">
        <f ca="1">IF(PaymentSchedule[[#This Row],[PMT NO]]&lt;&gt;"",EOMONTH(LoanStartDate,ROW(PaymentSchedule[[#This Row],[PMT NO]])-ROW(PaymentSchedule[[#Headers],[PMT NO]])-2)+DAY(LoanStartDate),"")</f>
        <v>52201</v>
      </c>
      <c r="D282" s="431">
        <f ca="1">IF(PaymentSchedule[[#This Row],[PMT NO]]&lt;&gt;"",IF(ROW()-ROW(PaymentSchedule[[#Headers],[BEGINNING BALANCE]])=1,LoanAmount,INDEX(PaymentSchedule[ENDING BALANCE],ROW()-ROW(PaymentSchedule[[#Headers],[BEGINNING BALANCE]])-1)),"")</f>
        <v>764814.65611524379</v>
      </c>
      <c r="E282" s="431">
        <f ca="1">IF(PaymentSchedule[[#This Row],[PMT NO]]&lt;&gt;"",ScheduledPayment,"")</f>
        <v>9423.6334368029093</v>
      </c>
      <c r="F28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2" s="431">
        <f ca="1">IF(PaymentSchedule[[#This Row],[PMT NO]]&lt;&gt;"",PaymentSchedule[[#This Row],[TOTAL PAYMENT]]-PaymentSchedule[[#This Row],[INTEREST]],"")</f>
        <v>7830.2695698961516</v>
      </c>
      <c r="I282" s="431">
        <f ca="1">IF(PaymentSchedule[[#This Row],[PMT NO]]&lt;&gt;"",PaymentSchedule[[#This Row],[BEGINNING BALANCE]]*(InterestRate/PaymentsPerYear),"")</f>
        <v>1593.3638669067579</v>
      </c>
      <c r="J28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756984.38654534763</v>
      </c>
      <c r="K282" s="431">
        <f ca="1">IF(PaymentSchedule[[#This Row],[PMT NO]]&lt;&gt;"",SUM(INDEX(PaymentSchedule[INTEREST],1,1):PaymentSchedule[[#This Row],[INTEREST]]),"")</f>
        <v>935212.68135573657</v>
      </c>
    </row>
    <row r="283" spans="2:11">
      <c r="B283" s="432">
        <f ca="1">IF(LoanIsGood,IF(ROW()-ROW(PaymentSchedule[[#Headers],[PMT NO]])&gt;ScheduledNumberOfPayments,"",ROW()-ROW(PaymentSchedule[[#Headers],[PMT NO]])),"")</f>
        <v>273</v>
      </c>
      <c r="C283" s="430">
        <f ca="1">IF(PaymentSchedule[[#This Row],[PMT NO]]&lt;&gt;"",EOMONTH(LoanStartDate,ROW(PaymentSchedule[[#This Row],[PMT NO]])-ROW(PaymentSchedule[[#Headers],[PMT NO]])-2)+DAY(LoanStartDate),"")</f>
        <v>52232</v>
      </c>
      <c r="D283" s="431">
        <f ca="1">IF(PaymentSchedule[[#This Row],[PMT NO]]&lt;&gt;"",IF(ROW()-ROW(PaymentSchedule[[#Headers],[BEGINNING BALANCE]])=1,LoanAmount,INDEX(PaymentSchedule[ENDING BALANCE],ROW()-ROW(PaymentSchedule[[#Headers],[BEGINNING BALANCE]])-1)),"")</f>
        <v>756984.38654534763</v>
      </c>
      <c r="E283" s="431">
        <f ca="1">IF(PaymentSchedule[[#This Row],[PMT NO]]&lt;&gt;"",ScheduledPayment,"")</f>
        <v>9423.6334368029093</v>
      </c>
      <c r="F28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3" s="431">
        <f ca="1">IF(PaymentSchedule[[#This Row],[PMT NO]]&lt;&gt;"",PaymentSchedule[[#This Row],[TOTAL PAYMENT]]-PaymentSchedule[[#This Row],[INTEREST]],"")</f>
        <v>7846.5826315001013</v>
      </c>
      <c r="I283" s="431">
        <f ca="1">IF(PaymentSchedule[[#This Row],[PMT NO]]&lt;&gt;"",PaymentSchedule[[#This Row],[BEGINNING BALANCE]]*(InterestRate/PaymentsPerYear),"")</f>
        <v>1577.0508053028075</v>
      </c>
      <c r="J28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749137.80391384754</v>
      </c>
      <c r="K283" s="431">
        <f ca="1">IF(PaymentSchedule[[#This Row],[PMT NO]]&lt;&gt;"",SUM(INDEX(PaymentSchedule[INTEREST],1,1):PaymentSchedule[[#This Row],[INTEREST]]),"")</f>
        <v>936789.73216103937</v>
      </c>
    </row>
    <row r="284" spans="2:11">
      <c r="B284" s="432">
        <f ca="1">IF(LoanIsGood,IF(ROW()-ROW(PaymentSchedule[[#Headers],[PMT NO]])&gt;ScheduledNumberOfPayments,"",ROW()-ROW(PaymentSchedule[[#Headers],[PMT NO]])),"")</f>
        <v>274</v>
      </c>
      <c r="C284" s="430">
        <f ca="1">IF(PaymentSchedule[[#This Row],[PMT NO]]&lt;&gt;"",EOMONTH(LoanStartDate,ROW(PaymentSchedule[[#This Row],[PMT NO]])-ROW(PaymentSchedule[[#Headers],[PMT NO]])-2)+DAY(LoanStartDate),"")</f>
        <v>52263</v>
      </c>
      <c r="D284" s="431">
        <f ca="1">IF(PaymentSchedule[[#This Row],[PMT NO]]&lt;&gt;"",IF(ROW()-ROW(PaymentSchedule[[#Headers],[BEGINNING BALANCE]])=1,LoanAmount,INDEX(PaymentSchedule[ENDING BALANCE],ROW()-ROW(PaymentSchedule[[#Headers],[BEGINNING BALANCE]])-1)),"")</f>
        <v>749137.80391384754</v>
      </c>
      <c r="E284" s="431">
        <f ca="1">IF(PaymentSchedule[[#This Row],[PMT NO]]&lt;&gt;"",ScheduledPayment,"")</f>
        <v>9423.6334368029093</v>
      </c>
      <c r="F28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4" s="431">
        <f ca="1">IF(PaymentSchedule[[#This Row],[PMT NO]]&lt;&gt;"",PaymentSchedule[[#This Row],[TOTAL PAYMENT]]-PaymentSchedule[[#This Row],[INTEREST]],"")</f>
        <v>7862.9296786490604</v>
      </c>
      <c r="I284" s="431">
        <f ca="1">IF(PaymentSchedule[[#This Row],[PMT NO]]&lt;&gt;"",PaymentSchedule[[#This Row],[BEGINNING BALANCE]]*(InterestRate/PaymentsPerYear),"")</f>
        <v>1560.7037581538491</v>
      </c>
      <c r="J28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741274.87423519848</v>
      </c>
      <c r="K284" s="431">
        <f ca="1">IF(PaymentSchedule[[#This Row],[PMT NO]]&lt;&gt;"",SUM(INDEX(PaymentSchedule[INTEREST],1,1):PaymentSchedule[[#This Row],[INTEREST]]),"")</f>
        <v>938350.4359191932</v>
      </c>
    </row>
    <row r="285" spans="2:11">
      <c r="B285" s="432">
        <f ca="1">IF(LoanIsGood,IF(ROW()-ROW(PaymentSchedule[[#Headers],[PMT NO]])&gt;ScheduledNumberOfPayments,"",ROW()-ROW(PaymentSchedule[[#Headers],[PMT NO]])),"")</f>
        <v>275</v>
      </c>
      <c r="C285" s="430">
        <f ca="1">IF(PaymentSchedule[[#This Row],[PMT NO]]&lt;&gt;"",EOMONTH(LoanStartDate,ROW(PaymentSchedule[[#This Row],[PMT NO]])-ROW(PaymentSchedule[[#Headers],[PMT NO]])-2)+DAY(LoanStartDate),"")</f>
        <v>52291</v>
      </c>
      <c r="D285" s="431">
        <f ca="1">IF(PaymentSchedule[[#This Row],[PMT NO]]&lt;&gt;"",IF(ROW()-ROW(PaymentSchedule[[#Headers],[BEGINNING BALANCE]])=1,LoanAmount,INDEX(PaymentSchedule[ENDING BALANCE],ROW()-ROW(PaymentSchedule[[#Headers],[BEGINNING BALANCE]])-1)),"")</f>
        <v>741274.87423519848</v>
      </c>
      <c r="E285" s="431">
        <f ca="1">IF(PaymentSchedule[[#This Row],[PMT NO]]&lt;&gt;"",ScheduledPayment,"")</f>
        <v>9423.6334368029093</v>
      </c>
      <c r="F28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5" s="431">
        <f ca="1">IF(PaymentSchedule[[#This Row],[PMT NO]]&lt;&gt;"",PaymentSchedule[[#This Row],[TOTAL PAYMENT]]-PaymentSchedule[[#This Row],[INTEREST]],"")</f>
        <v>7879.3107821462454</v>
      </c>
      <c r="I285" s="431">
        <f ca="1">IF(PaymentSchedule[[#This Row],[PMT NO]]&lt;&gt;"",PaymentSchedule[[#This Row],[BEGINNING BALANCE]]*(InterestRate/PaymentsPerYear),"")</f>
        <v>1544.3226546566634</v>
      </c>
      <c r="J28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733395.56345305219</v>
      </c>
      <c r="K285" s="431">
        <f ca="1">IF(PaymentSchedule[[#This Row],[PMT NO]]&lt;&gt;"",SUM(INDEX(PaymentSchedule[INTEREST],1,1):PaymentSchedule[[#This Row],[INTEREST]]),"")</f>
        <v>939894.75857384992</v>
      </c>
    </row>
    <row r="286" spans="2:11">
      <c r="B286" s="432">
        <f ca="1">IF(LoanIsGood,IF(ROW()-ROW(PaymentSchedule[[#Headers],[PMT NO]])&gt;ScheduledNumberOfPayments,"",ROW()-ROW(PaymentSchedule[[#Headers],[PMT NO]])),"")</f>
        <v>276</v>
      </c>
      <c r="C286" s="430">
        <f ca="1">IF(PaymentSchedule[[#This Row],[PMT NO]]&lt;&gt;"",EOMONTH(LoanStartDate,ROW(PaymentSchedule[[#This Row],[PMT NO]])-ROW(PaymentSchedule[[#Headers],[PMT NO]])-2)+DAY(LoanStartDate),"")</f>
        <v>52322</v>
      </c>
      <c r="D286" s="431">
        <f ca="1">IF(PaymentSchedule[[#This Row],[PMT NO]]&lt;&gt;"",IF(ROW()-ROW(PaymentSchedule[[#Headers],[BEGINNING BALANCE]])=1,LoanAmount,INDEX(PaymentSchedule[ENDING BALANCE],ROW()-ROW(PaymentSchedule[[#Headers],[BEGINNING BALANCE]])-1)),"")</f>
        <v>733395.56345305219</v>
      </c>
      <c r="E286" s="431">
        <f ca="1">IF(PaymentSchedule[[#This Row],[PMT NO]]&lt;&gt;"",ScheduledPayment,"")</f>
        <v>9423.6334368029093</v>
      </c>
      <c r="F28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6" s="431">
        <f ca="1">IF(PaymentSchedule[[#This Row],[PMT NO]]&lt;&gt;"",PaymentSchedule[[#This Row],[TOTAL PAYMENT]]-PaymentSchedule[[#This Row],[INTEREST]],"")</f>
        <v>7895.7260129423839</v>
      </c>
      <c r="I286" s="431">
        <f ca="1">IF(PaymentSchedule[[#This Row],[PMT NO]]&lt;&gt;"",PaymentSchedule[[#This Row],[BEGINNING BALANCE]]*(InterestRate/PaymentsPerYear),"")</f>
        <v>1527.9074238605253</v>
      </c>
      <c r="J28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725499.83744010981</v>
      </c>
      <c r="K286" s="431">
        <f ca="1">IF(PaymentSchedule[[#This Row],[PMT NO]]&lt;&gt;"",SUM(INDEX(PaymentSchedule[INTEREST],1,1):PaymentSchedule[[#This Row],[INTEREST]]),"")</f>
        <v>941422.66599771043</v>
      </c>
    </row>
    <row r="287" spans="2:11">
      <c r="B287" s="432">
        <f ca="1">IF(LoanIsGood,IF(ROW()-ROW(PaymentSchedule[[#Headers],[PMT NO]])&gt;ScheduledNumberOfPayments,"",ROW()-ROW(PaymentSchedule[[#Headers],[PMT NO]])),"")</f>
        <v>277</v>
      </c>
      <c r="C287" s="430">
        <f ca="1">IF(PaymentSchedule[[#This Row],[PMT NO]]&lt;&gt;"",EOMONTH(LoanStartDate,ROW(PaymentSchedule[[#This Row],[PMT NO]])-ROW(PaymentSchedule[[#Headers],[PMT NO]])-2)+DAY(LoanStartDate),"")</f>
        <v>52352</v>
      </c>
      <c r="D287" s="431">
        <f ca="1">IF(PaymentSchedule[[#This Row],[PMT NO]]&lt;&gt;"",IF(ROW()-ROW(PaymentSchedule[[#Headers],[BEGINNING BALANCE]])=1,LoanAmount,INDEX(PaymentSchedule[ENDING BALANCE],ROW()-ROW(PaymentSchedule[[#Headers],[BEGINNING BALANCE]])-1)),"")</f>
        <v>725499.83744010981</v>
      </c>
      <c r="E287" s="431">
        <f ca="1">IF(PaymentSchedule[[#This Row],[PMT NO]]&lt;&gt;"",ScheduledPayment,"")</f>
        <v>9423.6334368029093</v>
      </c>
      <c r="F28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7" s="431">
        <f ca="1">IF(PaymentSchedule[[#This Row],[PMT NO]]&lt;&gt;"",PaymentSchedule[[#This Row],[TOTAL PAYMENT]]-PaymentSchedule[[#This Row],[INTEREST]],"")</f>
        <v>7912.1754421360138</v>
      </c>
      <c r="I287" s="431">
        <f ca="1">IF(PaymentSchedule[[#This Row],[PMT NO]]&lt;&gt;"",PaymentSchedule[[#This Row],[BEGINNING BALANCE]]*(InterestRate/PaymentsPerYear),"")</f>
        <v>1511.4579946668955</v>
      </c>
      <c r="J28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717587.6619979738</v>
      </c>
      <c r="K287" s="431">
        <f ca="1">IF(PaymentSchedule[[#This Row],[PMT NO]]&lt;&gt;"",SUM(INDEX(PaymentSchedule[INTEREST],1,1):PaymentSchedule[[#This Row],[INTEREST]]),"")</f>
        <v>942934.12399237731</v>
      </c>
    </row>
    <row r="288" spans="2:11">
      <c r="B288" s="432">
        <f ca="1">IF(LoanIsGood,IF(ROW()-ROW(PaymentSchedule[[#Headers],[PMT NO]])&gt;ScheduledNumberOfPayments,"",ROW()-ROW(PaymentSchedule[[#Headers],[PMT NO]])),"")</f>
        <v>278</v>
      </c>
      <c r="C288" s="430">
        <f ca="1">IF(PaymentSchedule[[#This Row],[PMT NO]]&lt;&gt;"",EOMONTH(LoanStartDate,ROW(PaymentSchedule[[#This Row],[PMT NO]])-ROW(PaymentSchedule[[#Headers],[PMT NO]])-2)+DAY(LoanStartDate),"")</f>
        <v>52383</v>
      </c>
      <c r="D288" s="431">
        <f ca="1">IF(PaymentSchedule[[#This Row],[PMT NO]]&lt;&gt;"",IF(ROW()-ROW(PaymentSchedule[[#Headers],[BEGINNING BALANCE]])=1,LoanAmount,INDEX(PaymentSchedule[ENDING BALANCE],ROW()-ROW(PaymentSchedule[[#Headers],[BEGINNING BALANCE]])-1)),"")</f>
        <v>717587.6619979738</v>
      </c>
      <c r="E288" s="431">
        <f ca="1">IF(PaymentSchedule[[#This Row],[PMT NO]]&lt;&gt;"",ScheduledPayment,"")</f>
        <v>9423.6334368029093</v>
      </c>
      <c r="F28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8" s="431">
        <f ca="1">IF(PaymentSchedule[[#This Row],[PMT NO]]&lt;&gt;"",PaymentSchedule[[#This Row],[TOTAL PAYMENT]]-PaymentSchedule[[#This Row],[INTEREST]],"")</f>
        <v>7928.6591409737975</v>
      </c>
      <c r="I288" s="431">
        <f ca="1">IF(PaymentSchedule[[#This Row],[PMT NO]]&lt;&gt;"",PaymentSchedule[[#This Row],[BEGINNING BALANCE]]*(InterestRate/PaymentsPerYear),"")</f>
        <v>1494.9742958291122</v>
      </c>
      <c r="J28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709659.00285699998</v>
      </c>
      <c r="K288" s="431">
        <f ca="1">IF(PaymentSchedule[[#This Row],[PMT NO]]&lt;&gt;"",SUM(INDEX(PaymentSchedule[INTEREST],1,1):PaymentSchedule[[#This Row],[INTEREST]]),"")</f>
        <v>944429.09828820638</v>
      </c>
    </row>
    <row r="289" spans="2:11">
      <c r="B289" s="432">
        <f ca="1">IF(LoanIsGood,IF(ROW()-ROW(PaymentSchedule[[#Headers],[PMT NO]])&gt;ScheduledNumberOfPayments,"",ROW()-ROW(PaymentSchedule[[#Headers],[PMT NO]])),"")</f>
        <v>279</v>
      </c>
      <c r="C289" s="430">
        <f ca="1">IF(PaymentSchedule[[#This Row],[PMT NO]]&lt;&gt;"",EOMONTH(LoanStartDate,ROW(PaymentSchedule[[#This Row],[PMT NO]])-ROW(PaymentSchedule[[#Headers],[PMT NO]])-2)+DAY(LoanStartDate),"")</f>
        <v>52413</v>
      </c>
      <c r="D289" s="431">
        <f ca="1">IF(PaymentSchedule[[#This Row],[PMT NO]]&lt;&gt;"",IF(ROW()-ROW(PaymentSchedule[[#Headers],[BEGINNING BALANCE]])=1,LoanAmount,INDEX(PaymentSchedule[ENDING BALANCE],ROW()-ROW(PaymentSchedule[[#Headers],[BEGINNING BALANCE]])-1)),"")</f>
        <v>709659.00285699998</v>
      </c>
      <c r="E289" s="431">
        <f ca="1">IF(PaymentSchedule[[#This Row],[PMT NO]]&lt;&gt;"",ScheduledPayment,"")</f>
        <v>9423.6334368029093</v>
      </c>
      <c r="F28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8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89" s="431">
        <f ca="1">IF(PaymentSchedule[[#This Row],[PMT NO]]&lt;&gt;"",PaymentSchedule[[#This Row],[TOTAL PAYMENT]]-PaymentSchedule[[#This Row],[INTEREST]],"")</f>
        <v>7945.1771808508256</v>
      </c>
      <c r="I289" s="431">
        <f ca="1">IF(PaymentSchedule[[#This Row],[PMT NO]]&lt;&gt;"",PaymentSchedule[[#This Row],[BEGINNING BALANCE]]*(InterestRate/PaymentsPerYear),"")</f>
        <v>1478.4562559520832</v>
      </c>
      <c r="J28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701713.82567614911</v>
      </c>
      <c r="K289" s="431">
        <f ca="1">IF(PaymentSchedule[[#This Row],[PMT NO]]&lt;&gt;"",SUM(INDEX(PaymentSchedule[INTEREST],1,1):PaymentSchedule[[#This Row],[INTEREST]]),"")</f>
        <v>945907.55454415851</v>
      </c>
    </row>
    <row r="290" spans="2:11">
      <c r="B290" s="432">
        <f ca="1">IF(LoanIsGood,IF(ROW()-ROW(PaymentSchedule[[#Headers],[PMT NO]])&gt;ScheduledNumberOfPayments,"",ROW()-ROW(PaymentSchedule[[#Headers],[PMT NO]])),"")</f>
        <v>280</v>
      </c>
      <c r="C290" s="430">
        <f ca="1">IF(PaymentSchedule[[#This Row],[PMT NO]]&lt;&gt;"",EOMONTH(LoanStartDate,ROW(PaymentSchedule[[#This Row],[PMT NO]])-ROW(PaymentSchedule[[#Headers],[PMT NO]])-2)+DAY(LoanStartDate),"")</f>
        <v>52444</v>
      </c>
      <c r="D290" s="431">
        <f ca="1">IF(PaymentSchedule[[#This Row],[PMT NO]]&lt;&gt;"",IF(ROW()-ROW(PaymentSchedule[[#Headers],[BEGINNING BALANCE]])=1,LoanAmount,INDEX(PaymentSchedule[ENDING BALANCE],ROW()-ROW(PaymentSchedule[[#Headers],[BEGINNING BALANCE]])-1)),"")</f>
        <v>701713.82567614911</v>
      </c>
      <c r="E290" s="431">
        <f ca="1">IF(PaymentSchedule[[#This Row],[PMT NO]]&lt;&gt;"",ScheduledPayment,"")</f>
        <v>9423.6334368029093</v>
      </c>
      <c r="F29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0" s="431">
        <f ca="1">IF(PaymentSchedule[[#This Row],[PMT NO]]&lt;&gt;"",PaymentSchedule[[#This Row],[TOTAL PAYMENT]]-PaymentSchedule[[#This Row],[INTEREST]],"")</f>
        <v>7961.7296333109316</v>
      </c>
      <c r="I290" s="431">
        <f ca="1">IF(PaymentSchedule[[#This Row],[PMT NO]]&lt;&gt;"",PaymentSchedule[[#This Row],[BEGINNING BALANCE]]*(InterestRate/PaymentsPerYear),"")</f>
        <v>1461.9038034919772</v>
      </c>
      <c r="J29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693752.09604283818</v>
      </c>
      <c r="K290" s="431">
        <f ca="1">IF(PaymentSchedule[[#This Row],[PMT NO]]&lt;&gt;"",SUM(INDEX(PaymentSchedule[INTEREST],1,1):PaymentSchedule[[#This Row],[INTEREST]]),"")</f>
        <v>947369.45834765048</v>
      </c>
    </row>
    <row r="291" spans="2:11">
      <c r="B291" s="432">
        <f ca="1">IF(LoanIsGood,IF(ROW()-ROW(PaymentSchedule[[#Headers],[PMT NO]])&gt;ScheduledNumberOfPayments,"",ROW()-ROW(PaymentSchedule[[#Headers],[PMT NO]])),"")</f>
        <v>281</v>
      </c>
      <c r="C291" s="430">
        <f ca="1">IF(PaymentSchedule[[#This Row],[PMT NO]]&lt;&gt;"",EOMONTH(LoanStartDate,ROW(PaymentSchedule[[#This Row],[PMT NO]])-ROW(PaymentSchedule[[#Headers],[PMT NO]])-2)+DAY(LoanStartDate),"")</f>
        <v>52475</v>
      </c>
      <c r="D291" s="431">
        <f ca="1">IF(PaymentSchedule[[#This Row],[PMT NO]]&lt;&gt;"",IF(ROW()-ROW(PaymentSchedule[[#Headers],[BEGINNING BALANCE]])=1,LoanAmount,INDEX(PaymentSchedule[ENDING BALANCE],ROW()-ROW(PaymentSchedule[[#Headers],[BEGINNING BALANCE]])-1)),"")</f>
        <v>693752.09604283818</v>
      </c>
      <c r="E291" s="431">
        <f ca="1">IF(PaymentSchedule[[#This Row],[PMT NO]]&lt;&gt;"",ScheduledPayment,"")</f>
        <v>9423.6334368029093</v>
      </c>
      <c r="F29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1" s="431">
        <f ca="1">IF(PaymentSchedule[[#This Row],[PMT NO]]&lt;&gt;"",PaymentSchedule[[#This Row],[TOTAL PAYMENT]]-PaymentSchedule[[#This Row],[INTEREST]],"")</f>
        <v>7978.3165700469963</v>
      </c>
      <c r="I291" s="431">
        <f ca="1">IF(PaymentSchedule[[#This Row],[PMT NO]]&lt;&gt;"",PaymentSchedule[[#This Row],[BEGINNING BALANCE]]*(InterestRate/PaymentsPerYear),"")</f>
        <v>1445.3168667559128</v>
      </c>
      <c r="J29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685773.77947279124</v>
      </c>
      <c r="K291" s="431">
        <f ca="1">IF(PaymentSchedule[[#This Row],[PMT NO]]&lt;&gt;"",SUM(INDEX(PaymentSchedule[INTEREST],1,1):PaymentSchedule[[#This Row],[INTEREST]]),"")</f>
        <v>948814.77521440643</v>
      </c>
    </row>
    <row r="292" spans="2:11">
      <c r="B292" s="432">
        <f ca="1">IF(LoanIsGood,IF(ROW()-ROW(PaymentSchedule[[#Headers],[PMT NO]])&gt;ScheduledNumberOfPayments,"",ROW()-ROW(PaymentSchedule[[#Headers],[PMT NO]])),"")</f>
        <v>282</v>
      </c>
      <c r="C292" s="430">
        <f ca="1">IF(PaymentSchedule[[#This Row],[PMT NO]]&lt;&gt;"",EOMONTH(LoanStartDate,ROW(PaymentSchedule[[#This Row],[PMT NO]])-ROW(PaymentSchedule[[#Headers],[PMT NO]])-2)+DAY(LoanStartDate),"")</f>
        <v>52505</v>
      </c>
      <c r="D292" s="431">
        <f ca="1">IF(PaymentSchedule[[#This Row],[PMT NO]]&lt;&gt;"",IF(ROW()-ROW(PaymentSchedule[[#Headers],[BEGINNING BALANCE]])=1,LoanAmount,INDEX(PaymentSchedule[ENDING BALANCE],ROW()-ROW(PaymentSchedule[[#Headers],[BEGINNING BALANCE]])-1)),"")</f>
        <v>685773.77947279124</v>
      </c>
      <c r="E292" s="431">
        <f ca="1">IF(PaymentSchedule[[#This Row],[PMT NO]]&lt;&gt;"",ScheduledPayment,"")</f>
        <v>9423.6334368029093</v>
      </c>
      <c r="F29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2" s="431">
        <f ca="1">IF(PaymentSchedule[[#This Row],[PMT NO]]&lt;&gt;"",PaymentSchedule[[#This Row],[TOTAL PAYMENT]]-PaymentSchedule[[#This Row],[INTEREST]],"")</f>
        <v>7994.9380629012612</v>
      </c>
      <c r="I292" s="431">
        <f ca="1">IF(PaymentSchedule[[#This Row],[PMT NO]]&lt;&gt;"",PaymentSchedule[[#This Row],[BEGINNING BALANCE]]*(InterestRate/PaymentsPerYear),"")</f>
        <v>1428.6953739016485</v>
      </c>
      <c r="J29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677778.84140988998</v>
      </c>
      <c r="K292" s="431">
        <f ca="1">IF(PaymentSchedule[[#This Row],[PMT NO]]&lt;&gt;"",SUM(INDEX(PaymentSchedule[INTEREST],1,1):PaymentSchedule[[#This Row],[INTEREST]]),"")</f>
        <v>950243.47058830806</v>
      </c>
    </row>
    <row r="293" spans="2:11">
      <c r="B293" s="432">
        <f ca="1">IF(LoanIsGood,IF(ROW()-ROW(PaymentSchedule[[#Headers],[PMT NO]])&gt;ScheduledNumberOfPayments,"",ROW()-ROW(PaymentSchedule[[#Headers],[PMT NO]])),"")</f>
        <v>283</v>
      </c>
      <c r="C293" s="430">
        <f ca="1">IF(PaymentSchedule[[#This Row],[PMT NO]]&lt;&gt;"",EOMONTH(LoanStartDate,ROW(PaymentSchedule[[#This Row],[PMT NO]])-ROW(PaymentSchedule[[#Headers],[PMT NO]])-2)+DAY(LoanStartDate),"")</f>
        <v>52536</v>
      </c>
      <c r="D293" s="431">
        <f ca="1">IF(PaymentSchedule[[#This Row],[PMT NO]]&lt;&gt;"",IF(ROW()-ROW(PaymentSchedule[[#Headers],[BEGINNING BALANCE]])=1,LoanAmount,INDEX(PaymentSchedule[ENDING BALANCE],ROW()-ROW(PaymentSchedule[[#Headers],[BEGINNING BALANCE]])-1)),"")</f>
        <v>677778.84140988998</v>
      </c>
      <c r="E293" s="431">
        <f ca="1">IF(PaymentSchedule[[#This Row],[PMT NO]]&lt;&gt;"",ScheduledPayment,"")</f>
        <v>9423.6334368029093</v>
      </c>
      <c r="F29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3" s="431">
        <f ca="1">IF(PaymentSchedule[[#This Row],[PMT NO]]&lt;&gt;"",PaymentSchedule[[#This Row],[TOTAL PAYMENT]]-PaymentSchedule[[#This Row],[INTEREST]],"")</f>
        <v>8011.5941838656381</v>
      </c>
      <c r="I293" s="431">
        <f ca="1">IF(PaymentSchedule[[#This Row],[PMT NO]]&lt;&gt;"",PaymentSchedule[[#This Row],[BEGINNING BALANCE]]*(InterestRate/PaymentsPerYear),"")</f>
        <v>1412.0392529372707</v>
      </c>
      <c r="J29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669767.2472260244</v>
      </c>
      <c r="K293" s="431">
        <f ca="1">IF(PaymentSchedule[[#This Row],[PMT NO]]&lt;&gt;"",SUM(INDEX(PaymentSchedule[INTEREST],1,1):PaymentSchedule[[#This Row],[INTEREST]]),"")</f>
        <v>951655.50984124537</v>
      </c>
    </row>
    <row r="294" spans="2:11">
      <c r="B294" s="432">
        <f ca="1">IF(LoanIsGood,IF(ROW()-ROW(PaymentSchedule[[#Headers],[PMT NO]])&gt;ScheduledNumberOfPayments,"",ROW()-ROW(PaymentSchedule[[#Headers],[PMT NO]])),"")</f>
        <v>284</v>
      </c>
      <c r="C294" s="430">
        <f ca="1">IF(PaymentSchedule[[#This Row],[PMT NO]]&lt;&gt;"",EOMONTH(LoanStartDate,ROW(PaymentSchedule[[#This Row],[PMT NO]])-ROW(PaymentSchedule[[#Headers],[PMT NO]])-2)+DAY(LoanStartDate),"")</f>
        <v>52566</v>
      </c>
      <c r="D294" s="431">
        <f ca="1">IF(PaymentSchedule[[#This Row],[PMT NO]]&lt;&gt;"",IF(ROW()-ROW(PaymentSchedule[[#Headers],[BEGINNING BALANCE]])=1,LoanAmount,INDEX(PaymentSchedule[ENDING BALANCE],ROW()-ROW(PaymentSchedule[[#Headers],[BEGINNING BALANCE]])-1)),"")</f>
        <v>669767.2472260244</v>
      </c>
      <c r="E294" s="431">
        <f ca="1">IF(PaymentSchedule[[#This Row],[PMT NO]]&lt;&gt;"",ScheduledPayment,"")</f>
        <v>9423.6334368029093</v>
      </c>
      <c r="F29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4" s="431">
        <f ca="1">IF(PaymentSchedule[[#This Row],[PMT NO]]&lt;&gt;"",PaymentSchedule[[#This Row],[TOTAL PAYMENT]]-PaymentSchedule[[#This Row],[INTEREST]],"")</f>
        <v>8028.2850050820252</v>
      </c>
      <c r="I294" s="431">
        <f ca="1">IF(PaymentSchedule[[#This Row],[PMT NO]]&lt;&gt;"",PaymentSchedule[[#This Row],[BEGINNING BALANCE]]*(InterestRate/PaymentsPerYear),"")</f>
        <v>1395.348431720884</v>
      </c>
      <c r="J29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661738.96222094237</v>
      </c>
      <c r="K294" s="431">
        <f ca="1">IF(PaymentSchedule[[#This Row],[PMT NO]]&lt;&gt;"",SUM(INDEX(PaymentSchedule[INTEREST],1,1):PaymentSchedule[[#This Row],[INTEREST]]),"")</f>
        <v>953050.85827296623</v>
      </c>
    </row>
    <row r="295" spans="2:11">
      <c r="B295" s="432">
        <f ca="1">IF(LoanIsGood,IF(ROW()-ROW(PaymentSchedule[[#Headers],[PMT NO]])&gt;ScheduledNumberOfPayments,"",ROW()-ROW(PaymentSchedule[[#Headers],[PMT NO]])),"")</f>
        <v>285</v>
      </c>
      <c r="C295" s="430">
        <f ca="1">IF(PaymentSchedule[[#This Row],[PMT NO]]&lt;&gt;"",EOMONTH(LoanStartDate,ROW(PaymentSchedule[[#This Row],[PMT NO]])-ROW(PaymentSchedule[[#Headers],[PMT NO]])-2)+DAY(LoanStartDate),"")</f>
        <v>52597</v>
      </c>
      <c r="D295" s="431">
        <f ca="1">IF(PaymentSchedule[[#This Row],[PMT NO]]&lt;&gt;"",IF(ROW()-ROW(PaymentSchedule[[#Headers],[BEGINNING BALANCE]])=1,LoanAmount,INDEX(PaymentSchedule[ENDING BALANCE],ROW()-ROW(PaymentSchedule[[#Headers],[BEGINNING BALANCE]])-1)),"")</f>
        <v>661738.96222094237</v>
      </c>
      <c r="E295" s="431">
        <f ca="1">IF(PaymentSchedule[[#This Row],[PMT NO]]&lt;&gt;"",ScheduledPayment,"")</f>
        <v>9423.6334368029093</v>
      </c>
      <c r="F29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5" s="431">
        <f ca="1">IF(PaymentSchedule[[#This Row],[PMT NO]]&lt;&gt;"",PaymentSchedule[[#This Row],[TOTAL PAYMENT]]-PaymentSchedule[[#This Row],[INTEREST]],"")</f>
        <v>8045.010598842613</v>
      </c>
      <c r="I295" s="431">
        <f ca="1">IF(PaymentSchedule[[#This Row],[PMT NO]]&lt;&gt;"",PaymentSchedule[[#This Row],[BEGINNING BALANCE]]*(InterestRate/PaymentsPerYear),"")</f>
        <v>1378.6228379602967</v>
      </c>
      <c r="J29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653693.95162209973</v>
      </c>
      <c r="K295" s="431">
        <f ca="1">IF(PaymentSchedule[[#This Row],[PMT NO]]&lt;&gt;"",SUM(INDEX(PaymentSchedule[INTEREST],1,1):PaymentSchedule[[#This Row],[INTEREST]]),"")</f>
        <v>954429.48111092648</v>
      </c>
    </row>
    <row r="296" spans="2:11">
      <c r="B296" s="432">
        <f ca="1">IF(LoanIsGood,IF(ROW()-ROW(PaymentSchedule[[#Headers],[PMT NO]])&gt;ScheduledNumberOfPayments,"",ROW()-ROW(PaymentSchedule[[#Headers],[PMT NO]])),"")</f>
        <v>286</v>
      </c>
      <c r="C296" s="430">
        <f ca="1">IF(PaymentSchedule[[#This Row],[PMT NO]]&lt;&gt;"",EOMONTH(LoanStartDate,ROW(PaymentSchedule[[#This Row],[PMT NO]])-ROW(PaymentSchedule[[#Headers],[PMT NO]])-2)+DAY(LoanStartDate),"")</f>
        <v>52628</v>
      </c>
      <c r="D296" s="431">
        <f ca="1">IF(PaymentSchedule[[#This Row],[PMT NO]]&lt;&gt;"",IF(ROW()-ROW(PaymentSchedule[[#Headers],[BEGINNING BALANCE]])=1,LoanAmount,INDEX(PaymentSchedule[ENDING BALANCE],ROW()-ROW(PaymentSchedule[[#Headers],[BEGINNING BALANCE]])-1)),"")</f>
        <v>653693.95162209973</v>
      </c>
      <c r="E296" s="431">
        <f ca="1">IF(PaymentSchedule[[#This Row],[PMT NO]]&lt;&gt;"",ScheduledPayment,"")</f>
        <v>9423.6334368029093</v>
      </c>
      <c r="F29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6" s="431">
        <f ca="1">IF(PaymentSchedule[[#This Row],[PMT NO]]&lt;&gt;"",PaymentSchedule[[#This Row],[TOTAL PAYMENT]]-PaymentSchedule[[#This Row],[INTEREST]],"")</f>
        <v>8061.7710375902016</v>
      </c>
      <c r="I296" s="431">
        <f ca="1">IF(PaymentSchedule[[#This Row],[PMT NO]]&lt;&gt;"",PaymentSchedule[[#This Row],[BEGINNING BALANCE]]*(InterestRate/PaymentsPerYear),"")</f>
        <v>1361.8623992127077</v>
      </c>
      <c r="J29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645632.18058450951</v>
      </c>
      <c r="K296" s="431">
        <f ca="1">IF(PaymentSchedule[[#This Row],[PMT NO]]&lt;&gt;"",SUM(INDEX(PaymentSchedule[INTEREST],1,1):PaymentSchedule[[#This Row],[INTEREST]]),"")</f>
        <v>955791.34351013915</v>
      </c>
    </row>
    <row r="297" spans="2:11">
      <c r="B297" s="432">
        <f ca="1">IF(LoanIsGood,IF(ROW()-ROW(PaymentSchedule[[#Headers],[PMT NO]])&gt;ScheduledNumberOfPayments,"",ROW()-ROW(PaymentSchedule[[#Headers],[PMT NO]])),"")</f>
        <v>287</v>
      </c>
      <c r="C297" s="430">
        <f ca="1">IF(PaymentSchedule[[#This Row],[PMT NO]]&lt;&gt;"",EOMONTH(LoanStartDate,ROW(PaymentSchedule[[#This Row],[PMT NO]])-ROW(PaymentSchedule[[#Headers],[PMT NO]])-2)+DAY(LoanStartDate),"")</f>
        <v>52657</v>
      </c>
      <c r="D297" s="431">
        <f ca="1">IF(PaymentSchedule[[#This Row],[PMT NO]]&lt;&gt;"",IF(ROW()-ROW(PaymentSchedule[[#Headers],[BEGINNING BALANCE]])=1,LoanAmount,INDEX(PaymentSchedule[ENDING BALANCE],ROW()-ROW(PaymentSchedule[[#Headers],[BEGINNING BALANCE]])-1)),"")</f>
        <v>645632.18058450951</v>
      </c>
      <c r="E297" s="431">
        <f ca="1">IF(PaymentSchedule[[#This Row],[PMT NO]]&lt;&gt;"",ScheduledPayment,"")</f>
        <v>9423.6334368029093</v>
      </c>
      <c r="F29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7" s="431">
        <f ca="1">IF(PaymentSchedule[[#This Row],[PMT NO]]&lt;&gt;"",PaymentSchedule[[#This Row],[TOTAL PAYMENT]]-PaymentSchedule[[#This Row],[INTEREST]],"")</f>
        <v>8078.5663939185142</v>
      </c>
      <c r="I297" s="431">
        <f ca="1">IF(PaymentSchedule[[#This Row],[PMT NO]]&lt;&gt;"",PaymentSchedule[[#This Row],[BEGINNING BALANCE]]*(InterestRate/PaymentsPerYear),"")</f>
        <v>1345.0670428843948</v>
      </c>
      <c r="J29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637553.61419059103</v>
      </c>
      <c r="K297" s="431">
        <f ca="1">IF(PaymentSchedule[[#This Row],[PMT NO]]&lt;&gt;"",SUM(INDEX(PaymentSchedule[INTEREST],1,1):PaymentSchedule[[#This Row],[INTEREST]]),"")</f>
        <v>957136.41055302357</v>
      </c>
    </row>
    <row r="298" spans="2:11">
      <c r="B298" s="432">
        <f ca="1">IF(LoanIsGood,IF(ROW()-ROW(PaymentSchedule[[#Headers],[PMT NO]])&gt;ScheduledNumberOfPayments,"",ROW()-ROW(PaymentSchedule[[#Headers],[PMT NO]])),"")</f>
        <v>288</v>
      </c>
      <c r="C298" s="430">
        <f ca="1">IF(PaymentSchedule[[#This Row],[PMT NO]]&lt;&gt;"",EOMONTH(LoanStartDate,ROW(PaymentSchedule[[#This Row],[PMT NO]])-ROW(PaymentSchedule[[#Headers],[PMT NO]])-2)+DAY(LoanStartDate),"")</f>
        <v>52688</v>
      </c>
      <c r="D298" s="431">
        <f ca="1">IF(PaymentSchedule[[#This Row],[PMT NO]]&lt;&gt;"",IF(ROW()-ROW(PaymentSchedule[[#Headers],[BEGINNING BALANCE]])=1,LoanAmount,INDEX(PaymentSchedule[ENDING BALANCE],ROW()-ROW(PaymentSchedule[[#Headers],[BEGINNING BALANCE]])-1)),"")</f>
        <v>637553.61419059103</v>
      </c>
      <c r="E298" s="431">
        <f ca="1">IF(PaymentSchedule[[#This Row],[PMT NO]]&lt;&gt;"",ScheduledPayment,"")</f>
        <v>9423.6334368029093</v>
      </c>
      <c r="F29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8" s="431">
        <f ca="1">IF(PaymentSchedule[[#This Row],[PMT NO]]&lt;&gt;"",PaymentSchedule[[#This Row],[TOTAL PAYMENT]]-PaymentSchedule[[#This Row],[INTEREST]],"")</f>
        <v>8095.3967405725116</v>
      </c>
      <c r="I298" s="431">
        <f ca="1">IF(PaymentSchedule[[#This Row],[PMT NO]]&lt;&gt;"",PaymentSchedule[[#This Row],[BEGINNING BALANCE]]*(InterestRate/PaymentsPerYear),"")</f>
        <v>1328.2366962303979</v>
      </c>
      <c r="J29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629458.21745001851</v>
      </c>
      <c r="K298" s="431">
        <f ca="1">IF(PaymentSchedule[[#This Row],[PMT NO]]&lt;&gt;"",SUM(INDEX(PaymentSchedule[INTEREST],1,1):PaymentSchedule[[#This Row],[INTEREST]]),"")</f>
        <v>958464.64724925393</v>
      </c>
    </row>
    <row r="299" spans="2:11">
      <c r="B299" s="432">
        <f ca="1">IF(LoanIsGood,IF(ROW()-ROW(PaymentSchedule[[#Headers],[PMT NO]])&gt;ScheduledNumberOfPayments,"",ROW()-ROW(PaymentSchedule[[#Headers],[PMT NO]])),"")</f>
        <v>289</v>
      </c>
      <c r="C299" s="430">
        <f ca="1">IF(PaymentSchedule[[#This Row],[PMT NO]]&lt;&gt;"",EOMONTH(LoanStartDate,ROW(PaymentSchedule[[#This Row],[PMT NO]])-ROW(PaymentSchedule[[#Headers],[PMT NO]])-2)+DAY(LoanStartDate),"")</f>
        <v>52718</v>
      </c>
      <c r="D299" s="431">
        <f ca="1">IF(PaymentSchedule[[#This Row],[PMT NO]]&lt;&gt;"",IF(ROW()-ROW(PaymentSchedule[[#Headers],[BEGINNING BALANCE]])=1,LoanAmount,INDEX(PaymentSchedule[ENDING BALANCE],ROW()-ROW(PaymentSchedule[[#Headers],[BEGINNING BALANCE]])-1)),"")</f>
        <v>629458.21745001851</v>
      </c>
      <c r="E299" s="431">
        <f ca="1">IF(PaymentSchedule[[#This Row],[PMT NO]]&lt;&gt;"",ScheduledPayment,"")</f>
        <v>9423.6334368029093</v>
      </c>
      <c r="F29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9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299" s="431">
        <f ca="1">IF(PaymentSchedule[[#This Row],[PMT NO]]&lt;&gt;"",PaymentSchedule[[#This Row],[TOTAL PAYMENT]]-PaymentSchedule[[#This Row],[INTEREST]],"")</f>
        <v>8112.2621504487042</v>
      </c>
      <c r="I299" s="431">
        <f ca="1">IF(PaymentSchedule[[#This Row],[PMT NO]]&lt;&gt;"",PaymentSchedule[[#This Row],[BEGINNING BALANCE]]*(InterestRate/PaymentsPerYear),"")</f>
        <v>1311.3712863542053</v>
      </c>
      <c r="J29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621345.95529956976</v>
      </c>
      <c r="K299" s="431">
        <f ca="1">IF(PaymentSchedule[[#This Row],[PMT NO]]&lt;&gt;"",SUM(INDEX(PaymentSchedule[INTEREST],1,1):PaymentSchedule[[#This Row],[INTEREST]]),"")</f>
        <v>959776.01853560819</v>
      </c>
    </row>
    <row r="300" spans="2:11">
      <c r="B300" s="432">
        <f ca="1">IF(LoanIsGood,IF(ROW()-ROW(PaymentSchedule[[#Headers],[PMT NO]])&gt;ScheduledNumberOfPayments,"",ROW()-ROW(PaymentSchedule[[#Headers],[PMT NO]])),"")</f>
        <v>290</v>
      </c>
      <c r="C300" s="430">
        <f ca="1">IF(PaymentSchedule[[#This Row],[PMT NO]]&lt;&gt;"",EOMONTH(LoanStartDate,ROW(PaymentSchedule[[#This Row],[PMT NO]])-ROW(PaymentSchedule[[#Headers],[PMT NO]])-2)+DAY(LoanStartDate),"")</f>
        <v>52749</v>
      </c>
      <c r="D300" s="431">
        <f ca="1">IF(PaymentSchedule[[#This Row],[PMT NO]]&lt;&gt;"",IF(ROW()-ROW(PaymentSchedule[[#Headers],[BEGINNING BALANCE]])=1,LoanAmount,INDEX(PaymentSchedule[ENDING BALANCE],ROW()-ROW(PaymentSchedule[[#Headers],[BEGINNING BALANCE]])-1)),"")</f>
        <v>621345.95529956976</v>
      </c>
      <c r="E300" s="431">
        <f ca="1">IF(PaymentSchedule[[#This Row],[PMT NO]]&lt;&gt;"",ScheduledPayment,"")</f>
        <v>9423.6334368029093</v>
      </c>
      <c r="F30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0" s="431">
        <f ca="1">IF(PaymentSchedule[[#This Row],[PMT NO]]&lt;&gt;"",PaymentSchedule[[#This Row],[TOTAL PAYMENT]]-PaymentSchedule[[#This Row],[INTEREST]],"")</f>
        <v>8129.162696595472</v>
      </c>
      <c r="I300" s="431">
        <f ca="1">IF(PaymentSchedule[[#This Row],[PMT NO]]&lt;&gt;"",PaymentSchedule[[#This Row],[BEGINNING BALANCE]]*(InterestRate/PaymentsPerYear),"")</f>
        <v>1294.4707402074371</v>
      </c>
      <c r="J30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613216.79260297434</v>
      </c>
      <c r="K300" s="431">
        <f ca="1">IF(PaymentSchedule[[#This Row],[PMT NO]]&lt;&gt;"",SUM(INDEX(PaymentSchedule[INTEREST],1,1):PaymentSchedule[[#This Row],[INTEREST]]),"")</f>
        <v>961070.48927581566</v>
      </c>
    </row>
    <row r="301" spans="2:11">
      <c r="B301" s="432">
        <f ca="1">IF(LoanIsGood,IF(ROW()-ROW(PaymentSchedule[[#Headers],[PMT NO]])&gt;ScheduledNumberOfPayments,"",ROW()-ROW(PaymentSchedule[[#Headers],[PMT NO]])),"")</f>
        <v>291</v>
      </c>
      <c r="C301" s="430">
        <f ca="1">IF(PaymentSchedule[[#This Row],[PMT NO]]&lt;&gt;"",EOMONTH(LoanStartDate,ROW(PaymentSchedule[[#This Row],[PMT NO]])-ROW(PaymentSchedule[[#Headers],[PMT NO]])-2)+DAY(LoanStartDate),"")</f>
        <v>52779</v>
      </c>
      <c r="D301" s="431">
        <f ca="1">IF(PaymentSchedule[[#This Row],[PMT NO]]&lt;&gt;"",IF(ROW()-ROW(PaymentSchedule[[#Headers],[BEGINNING BALANCE]])=1,LoanAmount,INDEX(PaymentSchedule[ENDING BALANCE],ROW()-ROW(PaymentSchedule[[#Headers],[BEGINNING BALANCE]])-1)),"")</f>
        <v>613216.79260297434</v>
      </c>
      <c r="E301" s="431">
        <f ca="1">IF(PaymentSchedule[[#This Row],[PMT NO]]&lt;&gt;"",ScheduledPayment,"")</f>
        <v>9423.6334368029093</v>
      </c>
      <c r="F30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1" s="431">
        <f ca="1">IF(PaymentSchedule[[#This Row],[PMT NO]]&lt;&gt;"",PaymentSchedule[[#This Row],[TOTAL PAYMENT]]-PaymentSchedule[[#This Row],[INTEREST]],"")</f>
        <v>8146.0984522133795</v>
      </c>
      <c r="I301" s="431">
        <f ca="1">IF(PaymentSchedule[[#This Row],[PMT NO]]&lt;&gt;"",PaymentSchedule[[#This Row],[BEGINNING BALANCE]]*(InterestRate/PaymentsPerYear),"")</f>
        <v>1277.5349845895298</v>
      </c>
      <c r="J30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605070.694150761</v>
      </c>
      <c r="K301" s="431">
        <f ca="1">IF(PaymentSchedule[[#This Row],[PMT NO]]&lt;&gt;"",SUM(INDEX(PaymentSchedule[INTEREST],1,1):PaymentSchedule[[#This Row],[INTEREST]]),"")</f>
        <v>962348.02426040522</v>
      </c>
    </row>
    <row r="302" spans="2:11">
      <c r="B302" s="432">
        <f ca="1">IF(LoanIsGood,IF(ROW()-ROW(PaymentSchedule[[#Headers],[PMT NO]])&gt;ScheduledNumberOfPayments,"",ROW()-ROW(PaymentSchedule[[#Headers],[PMT NO]])),"")</f>
        <v>292</v>
      </c>
      <c r="C302" s="430">
        <f ca="1">IF(PaymentSchedule[[#This Row],[PMT NO]]&lt;&gt;"",EOMONTH(LoanStartDate,ROW(PaymentSchedule[[#This Row],[PMT NO]])-ROW(PaymentSchedule[[#Headers],[PMT NO]])-2)+DAY(LoanStartDate),"")</f>
        <v>52810</v>
      </c>
      <c r="D302" s="431">
        <f ca="1">IF(PaymentSchedule[[#This Row],[PMT NO]]&lt;&gt;"",IF(ROW()-ROW(PaymentSchedule[[#Headers],[BEGINNING BALANCE]])=1,LoanAmount,INDEX(PaymentSchedule[ENDING BALANCE],ROW()-ROW(PaymentSchedule[[#Headers],[BEGINNING BALANCE]])-1)),"")</f>
        <v>605070.694150761</v>
      </c>
      <c r="E302" s="431">
        <f ca="1">IF(PaymentSchedule[[#This Row],[PMT NO]]&lt;&gt;"",ScheduledPayment,"")</f>
        <v>9423.6334368029093</v>
      </c>
      <c r="F30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2" s="431">
        <f ca="1">IF(PaymentSchedule[[#This Row],[PMT NO]]&lt;&gt;"",PaymentSchedule[[#This Row],[TOTAL PAYMENT]]-PaymentSchedule[[#This Row],[INTEREST]],"")</f>
        <v>8163.0694906554909</v>
      </c>
      <c r="I302" s="431">
        <f ca="1">IF(PaymentSchedule[[#This Row],[PMT NO]]&lt;&gt;"",PaymentSchedule[[#This Row],[BEGINNING BALANCE]]*(InterestRate/PaymentsPerYear),"")</f>
        <v>1260.5639461474188</v>
      </c>
      <c r="J30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596907.62466010556</v>
      </c>
      <c r="K302" s="431">
        <f ca="1">IF(PaymentSchedule[[#This Row],[PMT NO]]&lt;&gt;"",SUM(INDEX(PaymentSchedule[INTEREST],1,1):PaymentSchedule[[#This Row],[INTEREST]]),"")</f>
        <v>963608.58820655267</v>
      </c>
    </row>
    <row r="303" spans="2:11">
      <c r="B303" s="432">
        <f ca="1">IF(LoanIsGood,IF(ROW()-ROW(PaymentSchedule[[#Headers],[PMT NO]])&gt;ScheduledNumberOfPayments,"",ROW()-ROW(PaymentSchedule[[#Headers],[PMT NO]])),"")</f>
        <v>293</v>
      </c>
      <c r="C303" s="430">
        <f ca="1">IF(PaymentSchedule[[#This Row],[PMT NO]]&lt;&gt;"",EOMONTH(LoanStartDate,ROW(PaymentSchedule[[#This Row],[PMT NO]])-ROW(PaymentSchedule[[#Headers],[PMT NO]])-2)+DAY(LoanStartDate),"")</f>
        <v>52841</v>
      </c>
      <c r="D303" s="431">
        <f ca="1">IF(PaymentSchedule[[#This Row],[PMT NO]]&lt;&gt;"",IF(ROW()-ROW(PaymentSchedule[[#Headers],[BEGINNING BALANCE]])=1,LoanAmount,INDEX(PaymentSchedule[ENDING BALANCE],ROW()-ROW(PaymentSchedule[[#Headers],[BEGINNING BALANCE]])-1)),"")</f>
        <v>596907.62466010556</v>
      </c>
      <c r="E303" s="431">
        <f ca="1">IF(PaymentSchedule[[#This Row],[PMT NO]]&lt;&gt;"",ScheduledPayment,"")</f>
        <v>9423.6334368029093</v>
      </c>
      <c r="F30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3" s="431">
        <f ca="1">IF(PaymentSchedule[[#This Row],[PMT NO]]&lt;&gt;"",PaymentSchedule[[#This Row],[TOTAL PAYMENT]]-PaymentSchedule[[#This Row],[INTEREST]],"")</f>
        <v>8180.0758854276892</v>
      </c>
      <c r="I303" s="431">
        <f ca="1">IF(PaymentSchedule[[#This Row],[PMT NO]]&lt;&gt;"",PaymentSchedule[[#This Row],[BEGINNING BALANCE]]*(InterestRate/PaymentsPerYear),"")</f>
        <v>1243.5575513752199</v>
      </c>
      <c r="J30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588727.54877467791</v>
      </c>
      <c r="K303" s="431">
        <f ca="1">IF(PaymentSchedule[[#This Row],[PMT NO]]&lt;&gt;"",SUM(INDEX(PaymentSchedule[INTEREST],1,1):PaymentSchedule[[#This Row],[INTEREST]]),"")</f>
        <v>964852.14575792791</v>
      </c>
    </row>
    <row r="304" spans="2:11">
      <c r="B304" s="432">
        <f ca="1">IF(LoanIsGood,IF(ROW()-ROW(PaymentSchedule[[#Headers],[PMT NO]])&gt;ScheduledNumberOfPayments,"",ROW()-ROW(PaymentSchedule[[#Headers],[PMT NO]])),"")</f>
        <v>294</v>
      </c>
      <c r="C304" s="430">
        <f ca="1">IF(PaymentSchedule[[#This Row],[PMT NO]]&lt;&gt;"",EOMONTH(LoanStartDate,ROW(PaymentSchedule[[#This Row],[PMT NO]])-ROW(PaymentSchedule[[#Headers],[PMT NO]])-2)+DAY(LoanStartDate),"")</f>
        <v>52871</v>
      </c>
      <c r="D304" s="431">
        <f ca="1">IF(PaymentSchedule[[#This Row],[PMT NO]]&lt;&gt;"",IF(ROW()-ROW(PaymentSchedule[[#Headers],[BEGINNING BALANCE]])=1,LoanAmount,INDEX(PaymentSchedule[ENDING BALANCE],ROW()-ROW(PaymentSchedule[[#Headers],[BEGINNING BALANCE]])-1)),"")</f>
        <v>588727.54877467791</v>
      </c>
      <c r="E304" s="431">
        <f ca="1">IF(PaymentSchedule[[#This Row],[PMT NO]]&lt;&gt;"",ScheduledPayment,"")</f>
        <v>9423.6334368029093</v>
      </c>
      <c r="F30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4" s="431">
        <f ca="1">IF(PaymentSchedule[[#This Row],[PMT NO]]&lt;&gt;"",PaymentSchedule[[#This Row],[TOTAL PAYMENT]]-PaymentSchedule[[#This Row],[INTEREST]],"")</f>
        <v>8197.1177101889971</v>
      </c>
      <c r="I304" s="431">
        <f ca="1">IF(PaymentSchedule[[#This Row],[PMT NO]]&lt;&gt;"",PaymentSchedule[[#This Row],[BEGINNING BALANCE]]*(InterestRate/PaymentsPerYear),"")</f>
        <v>1226.5157266139122</v>
      </c>
      <c r="J30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580530.43106448895</v>
      </c>
      <c r="K304" s="431">
        <f ca="1">IF(PaymentSchedule[[#This Row],[PMT NO]]&lt;&gt;"",SUM(INDEX(PaymentSchedule[INTEREST],1,1):PaymentSchedule[[#This Row],[INTEREST]]),"")</f>
        <v>966078.66148454184</v>
      </c>
    </row>
    <row r="305" spans="2:11">
      <c r="B305" s="432">
        <f ca="1">IF(LoanIsGood,IF(ROW()-ROW(PaymentSchedule[[#Headers],[PMT NO]])&gt;ScheduledNumberOfPayments,"",ROW()-ROW(PaymentSchedule[[#Headers],[PMT NO]])),"")</f>
        <v>295</v>
      </c>
      <c r="C305" s="430">
        <f ca="1">IF(PaymentSchedule[[#This Row],[PMT NO]]&lt;&gt;"",EOMONTH(LoanStartDate,ROW(PaymentSchedule[[#This Row],[PMT NO]])-ROW(PaymentSchedule[[#Headers],[PMT NO]])-2)+DAY(LoanStartDate),"")</f>
        <v>52902</v>
      </c>
      <c r="D305" s="431">
        <f ca="1">IF(PaymentSchedule[[#This Row],[PMT NO]]&lt;&gt;"",IF(ROW()-ROW(PaymentSchedule[[#Headers],[BEGINNING BALANCE]])=1,LoanAmount,INDEX(PaymentSchedule[ENDING BALANCE],ROW()-ROW(PaymentSchedule[[#Headers],[BEGINNING BALANCE]])-1)),"")</f>
        <v>580530.43106448895</v>
      </c>
      <c r="E305" s="431">
        <f ca="1">IF(PaymentSchedule[[#This Row],[PMT NO]]&lt;&gt;"",ScheduledPayment,"")</f>
        <v>9423.6334368029093</v>
      </c>
      <c r="F30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5" s="431">
        <f ca="1">IF(PaymentSchedule[[#This Row],[PMT NO]]&lt;&gt;"",PaymentSchedule[[#This Row],[TOTAL PAYMENT]]-PaymentSchedule[[#This Row],[INTEREST]],"")</f>
        <v>8214.19503875189</v>
      </c>
      <c r="I305" s="431">
        <f ca="1">IF(PaymentSchedule[[#This Row],[PMT NO]]&lt;&gt;"",PaymentSchedule[[#This Row],[BEGINNING BALANCE]]*(InterestRate/PaymentsPerYear),"")</f>
        <v>1209.4383980510186</v>
      </c>
      <c r="J30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572316.23602573702</v>
      </c>
      <c r="K305" s="431">
        <f ca="1">IF(PaymentSchedule[[#This Row],[PMT NO]]&lt;&gt;"",SUM(INDEX(PaymentSchedule[INTEREST],1,1):PaymentSchedule[[#This Row],[INTEREST]]),"")</f>
        <v>967288.09988259291</v>
      </c>
    </row>
    <row r="306" spans="2:11">
      <c r="B306" s="432">
        <f ca="1">IF(LoanIsGood,IF(ROW()-ROW(PaymentSchedule[[#Headers],[PMT NO]])&gt;ScheduledNumberOfPayments,"",ROW()-ROW(PaymentSchedule[[#Headers],[PMT NO]])),"")</f>
        <v>296</v>
      </c>
      <c r="C306" s="430">
        <f ca="1">IF(PaymentSchedule[[#This Row],[PMT NO]]&lt;&gt;"",EOMONTH(LoanStartDate,ROW(PaymentSchedule[[#This Row],[PMT NO]])-ROW(PaymentSchedule[[#Headers],[PMT NO]])-2)+DAY(LoanStartDate),"")</f>
        <v>52932</v>
      </c>
      <c r="D306" s="431">
        <f ca="1">IF(PaymentSchedule[[#This Row],[PMT NO]]&lt;&gt;"",IF(ROW()-ROW(PaymentSchedule[[#Headers],[BEGINNING BALANCE]])=1,LoanAmount,INDEX(PaymentSchedule[ENDING BALANCE],ROW()-ROW(PaymentSchedule[[#Headers],[BEGINNING BALANCE]])-1)),"")</f>
        <v>572316.23602573702</v>
      </c>
      <c r="E306" s="431">
        <f ca="1">IF(PaymentSchedule[[#This Row],[PMT NO]]&lt;&gt;"",ScheduledPayment,"")</f>
        <v>9423.6334368029093</v>
      </c>
      <c r="F30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6" s="431">
        <f ca="1">IF(PaymentSchedule[[#This Row],[PMT NO]]&lt;&gt;"",PaymentSchedule[[#This Row],[TOTAL PAYMENT]]-PaymentSchedule[[#This Row],[INTEREST]],"")</f>
        <v>8231.3079450826244</v>
      </c>
      <c r="I306" s="431">
        <f ca="1">IF(PaymentSchedule[[#This Row],[PMT NO]]&lt;&gt;"",PaymentSchedule[[#This Row],[BEGINNING BALANCE]]*(InterestRate/PaymentsPerYear),"")</f>
        <v>1192.3254917202855</v>
      </c>
      <c r="J30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564084.92808065435</v>
      </c>
      <c r="K306" s="431">
        <f ca="1">IF(PaymentSchedule[[#This Row],[PMT NO]]&lt;&gt;"",SUM(INDEX(PaymentSchedule[INTEREST],1,1):PaymentSchedule[[#This Row],[INTEREST]]),"")</f>
        <v>968480.42537431314</v>
      </c>
    </row>
    <row r="307" spans="2:11">
      <c r="B307" s="432">
        <f ca="1">IF(LoanIsGood,IF(ROW()-ROW(PaymentSchedule[[#Headers],[PMT NO]])&gt;ScheduledNumberOfPayments,"",ROW()-ROW(PaymentSchedule[[#Headers],[PMT NO]])),"")</f>
        <v>297</v>
      </c>
      <c r="C307" s="430">
        <f ca="1">IF(PaymentSchedule[[#This Row],[PMT NO]]&lt;&gt;"",EOMONTH(LoanStartDate,ROW(PaymentSchedule[[#This Row],[PMT NO]])-ROW(PaymentSchedule[[#Headers],[PMT NO]])-2)+DAY(LoanStartDate),"")</f>
        <v>52963</v>
      </c>
      <c r="D307" s="431">
        <f ca="1">IF(PaymentSchedule[[#This Row],[PMT NO]]&lt;&gt;"",IF(ROW()-ROW(PaymentSchedule[[#Headers],[BEGINNING BALANCE]])=1,LoanAmount,INDEX(PaymentSchedule[ENDING BALANCE],ROW()-ROW(PaymentSchedule[[#Headers],[BEGINNING BALANCE]])-1)),"")</f>
        <v>564084.92808065435</v>
      </c>
      <c r="E307" s="431">
        <f ca="1">IF(PaymentSchedule[[#This Row],[PMT NO]]&lt;&gt;"",ScheduledPayment,"")</f>
        <v>9423.6334368029093</v>
      </c>
      <c r="F30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7" s="431">
        <f ca="1">IF(PaymentSchedule[[#This Row],[PMT NO]]&lt;&gt;"",PaymentSchedule[[#This Row],[TOTAL PAYMENT]]-PaymentSchedule[[#This Row],[INTEREST]],"")</f>
        <v>8248.456503301546</v>
      </c>
      <c r="I307" s="431">
        <f ca="1">IF(PaymentSchedule[[#This Row],[PMT NO]]&lt;&gt;"",PaymentSchedule[[#This Row],[BEGINNING BALANCE]]*(InterestRate/PaymentsPerYear),"")</f>
        <v>1175.1769335013632</v>
      </c>
      <c r="J30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555836.47157735284</v>
      </c>
      <c r="K307" s="431">
        <f ca="1">IF(PaymentSchedule[[#This Row],[PMT NO]]&lt;&gt;"",SUM(INDEX(PaymentSchedule[INTEREST],1,1):PaymentSchedule[[#This Row],[INTEREST]]),"")</f>
        <v>969655.60230781452</v>
      </c>
    </row>
    <row r="308" spans="2:11">
      <c r="B308" s="432">
        <f ca="1">IF(LoanIsGood,IF(ROW()-ROW(PaymentSchedule[[#Headers],[PMT NO]])&gt;ScheduledNumberOfPayments,"",ROW()-ROW(PaymentSchedule[[#Headers],[PMT NO]])),"")</f>
        <v>298</v>
      </c>
      <c r="C308" s="430">
        <f ca="1">IF(PaymentSchedule[[#This Row],[PMT NO]]&lt;&gt;"",EOMONTH(LoanStartDate,ROW(PaymentSchedule[[#This Row],[PMT NO]])-ROW(PaymentSchedule[[#Headers],[PMT NO]])-2)+DAY(LoanStartDate),"")</f>
        <v>52994</v>
      </c>
      <c r="D308" s="431">
        <f ca="1">IF(PaymentSchedule[[#This Row],[PMT NO]]&lt;&gt;"",IF(ROW()-ROW(PaymentSchedule[[#Headers],[BEGINNING BALANCE]])=1,LoanAmount,INDEX(PaymentSchedule[ENDING BALANCE],ROW()-ROW(PaymentSchedule[[#Headers],[BEGINNING BALANCE]])-1)),"")</f>
        <v>555836.47157735284</v>
      </c>
      <c r="E308" s="431">
        <f ca="1">IF(PaymentSchedule[[#This Row],[PMT NO]]&lt;&gt;"",ScheduledPayment,"")</f>
        <v>9423.6334368029093</v>
      </c>
      <c r="F30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8" s="431">
        <f ca="1">IF(PaymentSchedule[[#This Row],[PMT NO]]&lt;&gt;"",PaymentSchedule[[#This Row],[TOTAL PAYMENT]]-PaymentSchedule[[#This Row],[INTEREST]],"")</f>
        <v>8265.6407876834237</v>
      </c>
      <c r="I308" s="431">
        <f ca="1">IF(PaymentSchedule[[#This Row],[PMT NO]]&lt;&gt;"",PaymentSchedule[[#This Row],[BEGINNING BALANCE]]*(InterestRate/PaymentsPerYear),"")</f>
        <v>1157.9926491194851</v>
      </c>
      <c r="J30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547570.83078966942</v>
      </c>
      <c r="K308" s="431">
        <f ca="1">IF(PaymentSchedule[[#This Row],[PMT NO]]&lt;&gt;"",SUM(INDEX(PaymentSchedule[INTEREST],1,1):PaymentSchedule[[#This Row],[INTEREST]]),"")</f>
        <v>970813.59495693399</v>
      </c>
    </row>
    <row r="309" spans="2:11">
      <c r="B309" s="432">
        <f ca="1">IF(LoanIsGood,IF(ROW()-ROW(PaymentSchedule[[#Headers],[PMT NO]])&gt;ScheduledNumberOfPayments,"",ROW()-ROW(PaymentSchedule[[#Headers],[PMT NO]])),"")</f>
        <v>299</v>
      </c>
      <c r="C309" s="430">
        <f ca="1">IF(PaymentSchedule[[#This Row],[PMT NO]]&lt;&gt;"",EOMONTH(LoanStartDate,ROW(PaymentSchedule[[#This Row],[PMT NO]])-ROW(PaymentSchedule[[#Headers],[PMT NO]])-2)+DAY(LoanStartDate),"")</f>
        <v>53022</v>
      </c>
      <c r="D309" s="431">
        <f ca="1">IF(PaymentSchedule[[#This Row],[PMT NO]]&lt;&gt;"",IF(ROW()-ROW(PaymentSchedule[[#Headers],[BEGINNING BALANCE]])=1,LoanAmount,INDEX(PaymentSchedule[ENDING BALANCE],ROW()-ROW(PaymentSchedule[[#Headers],[BEGINNING BALANCE]])-1)),"")</f>
        <v>547570.83078966942</v>
      </c>
      <c r="E309" s="431">
        <f ca="1">IF(PaymentSchedule[[#This Row],[PMT NO]]&lt;&gt;"",ScheduledPayment,"")</f>
        <v>9423.6334368029093</v>
      </c>
      <c r="F30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0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09" s="431">
        <f ca="1">IF(PaymentSchedule[[#This Row],[PMT NO]]&lt;&gt;"",PaymentSchedule[[#This Row],[TOTAL PAYMENT]]-PaymentSchedule[[#This Row],[INTEREST]],"")</f>
        <v>8282.860872657764</v>
      </c>
      <c r="I309" s="431">
        <f ca="1">IF(PaymentSchedule[[#This Row],[PMT NO]]&lt;&gt;"",PaymentSchedule[[#This Row],[BEGINNING BALANCE]]*(InterestRate/PaymentsPerYear),"")</f>
        <v>1140.7725641451445</v>
      </c>
      <c r="J30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539287.96991701168</v>
      </c>
      <c r="K309" s="431">
        <f ca="1">IF(PaymentSchedule[[#This Row],[PMT NO]]&lt;&gt;"",SUM(INDEX(PaymentSchedule[INTEREST],1,1):PaymentSchedule[[#This Row],[INTEREST]]),"")</f>
        <v>971954.36752107914</v>
      </c>
    </row>
    <row r="310" spans="2:11">
      <c r="B310" s="432">
        <f ca="1">IF(LoanIsGood,IF(ROW()-ROW(PaymentSchedule[[#Headers],[PMT NO]])&gt;ScheduledNumberOfPayments,"",ROW()-ROW(PaymentSchedule[[#Headers],[PMT NO]])),"")</f>
        <v>300</v>
      </c>
      <c r="C310" s="430">
        <f ca="1">IF(PaymentSchedule[[#This Row],[PMT NO]]&lt;&gt;"",EOMONTH(LoanStartDate,ROW(PaymentSchedule[[#This Row],[PMT NO]])-ROW(PaymentSchedule[[#Headers],[PMT NO]])-2)+DAY(LoanStartDate),"")</f>
        <v>53053</v>
      </c>
      <c r="D310" s="431">
        <f ca="1">IF(PaymentSchedule[[#This Row],[PMT NO]]&lt;&gt;"",IF(ROW()-ROW(PaymentSchedule[[#Headers],[BEGINNING BALANCE]])=1,LoanAmount,INDEX(PaymentSchedule[ENDING BALANCE],ROW()-ROW(PaymentSchedule[[#Headers],[BEGINNING BALANCE]])-1)),"")</f>
        <v>539287.96991701168</v>
      </c>
      <c r="E310" s="431">
        <f ca="1">IF(PaymentSchedule[[#This Row],[PMT NO]]&lt;&gt;"",ScheduledPayment,"")</f>
        <v>9423.6334368029093</v>
      </c>
      <c r="F31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0" s="431">
        <f ca="1">IF(PaymentSchedule[[#This Row],[PMT NO]]&lt;&gt;"",PaymentSchedule[[#This Row],[TOTAL PAYMENT]]-PaymentSchedule[[#This Row],[INTEREST]],"")</f>
        <v>8300.1168328091353</v>
      </c>
      <c r="I310" s="431">
        <f ca="1">IF(PaymentSchedule[[#This Row],[PMT NO]]&lt;&gt;"",PaymentSchedule[[#This Row],[BEGINNING BALANCE]]*(InterestRate/PaymentsPerYear),"")</f>
        <v>1123.5166039937744</v>
      </c>
      <c r="J31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530987.85308420251</v>
      </c>
      <c r="K310" s="431">
        <f ca="1">IF(PaymentSchedule[[#This Row],[PMT NO]]&lt;&gt;"",SUM(INDEX(PaymentSchedule[INTEREST],1,1):PaymentSchedule[[#This Row],[INTEREST]]),"")</f>
        <v>973077.88412507286</v>
      </c>
    </row>
    <row r="311" spans="2:11">
      <c r="B311" s="432">
        <f ca="1">IF(LoanIsGood,IF(ROW()-ROW(PaymentSchedule[[#Headers],[PMT NO]])&gt;ScheduledNumberOfPayments,"",ROW()-ROW(PaymentSchedule[[#Headers],[PMT NO]])),"")</f>
        <v>301</v>
      </c>
      <c r="C311" s="430">
        <f ca="1">IF(PaymentSchedule[[#This Row],[PMT NO]]&lt;&gt;"",EOMONTH(LoanStartDate,ROW(PaymentSchedule[[#This Row],[PMT NO]])-ROW(PaymentSchedule[[#Headers],[PMT NO]])-2)+DAY(LoanStartDate),"")</f>
        <v>53083</v>
      </c>
      <c r="D311" s="431">
        <f ca="1">IF(PaymentSchedule[[#This Row],[PMT NO]]&lt;&gt;"",IF(ROW()-ROW(PaymentSchedule[[#Headers],[BEGINNING BALANCE]])=1,LoanAmount,INDEX(PaymentSchedule[ENDING BALANCE],ROW()-ROW(PaymentSchedule[[#Headers],[BEGINNING BALANCE]])-1)),"")</f>
        <v>530987.85308420251</v>
      </c>
      <c r="E311" s="431">
        <f ca="1">IF(PaymentSchedule[[#This Row],[PMT NO]]&lt;&gt;"",ScheduledPayment,"")</f>
        <v>9423.6334368029093</v>
      </c>
      <c r="F31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1" s="431">
        <f ca="1">IF(PaymentSchedule[[#This Row],[PMT NO]]&lt;&gt;"",PaymentSchedule[[#This Row],[TOTAL PAYMENT]]-PaymentSchedule[[#This Row],[INTEREST]],"")</f>
        <v>8317.4087428774874</v>
      </c>
      <c r="I311" s="431">
        <f ca="1">IF(PaymentSchedule[[#This Row],[PMT NO]]&lt;&gt;"",PaymentSchedule[[#This Row],[BEGINNING BALANCE]]*(InterestRate/PaymentsPerYear),"")</f>
        <v>1106.2246939254219</v>
      </c>
      <c r="J31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522670.44434132503</v>
      </c>
      <c r="K311" s="431">
        <f ca="1">IF(PaymentSchedule[[#This Row],[PMT NO]]&lt;&gt;"",SUM(INDEX(PaymentSchedule[INTEREST],1,1):PaymentSchedule[[#This Row],[INTEREST]]),"")</f>
        <v>974184.10881899833</v>
      </c>
    </row>
    <row r="312" spans="2:11">
      <c r="B312" s="432">
        <f ca="1">IF(LoanIsGood,IF(ROW()-ROW(PaymentSchedule[[#Headers],[PMT NO]])&gt;ScheduledNumberOfPayments,"",ROW()-ROW(PaymentSchedule[[#Headers],[PMT NO]])),"")</f>
        <v>302</v>
      </c>
      <c r="C312" s="430">
        <f ca="1">IF(PaymentSchedule[[#This Row],[PMT NO]]&lt;&gt;"",EOMONTH(LoanStartDate,ROW(PaymentSchedule[[#This Row],[PMT NO]])-ROW(PaymentSchedule[[#Headers],[PMT NO]])-2)+DAY(LoanStartDate),"")</f>
        <v>53114</v>
      </c>
      <c r="D312" s="431">
        <f ca="1">IF(PaymentSchedule[[#This Row],[PMT NO]]&lt;&gt;"",IF(ROW()-ROW(PaymentSchedule[[#Headers],[BEGINNING BALANCE]])=1,LoanAmount,INDEX(PaymentSchedule[ENDING BALANCE],ROW()-ROW(PaymentSchedule[[#Headers],[BEGINNING BALANCE]])-1)),"")</f>
        <v>522670.44434132503</v>
      </c>
      <c r="E312" s="431">
        <f ca="1">IF(PaymentSchedule[[#This Row],[PMT NO]]&lt;&gt;"",ScheduledPayment,"")</f>
        <v>9423.6334368029093</v>
      </c>
      <c r="F31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2" s="431">
        <f ca="1">IF(PaymentSchedule[[#This Row],[PMT NO]]&lt;&gt;"",PaymentSchedule[[#This Row],[TOTAL PAYMENT]]-PaymentSchedule[[#This Row],[INTEREST]],"")</f>
        <v>8334.736677758483</v>
      </c>
      <c r="I312" s="431">
        <f ca="1">IF(PaymentSchedule[[#This Row],[PMT NO]]&lt;&gt;"",PaymentSchedule[[#This Row],[BEGINNING BALANCE]]*(InterestRate/PaymentsPerYear),"")</f>
        <v>1088.8967590444272</v>
      </c>
      <c r="J31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514335.70766356657</v>
      </c>
      <c r="K312" s="431">
        <f ca="1">IF(PaymentSchedule[[#This Row],[PMT NO]]&lt;&gt;"",SUM(INDEX(PaymentSchedule[INTEREST],1,1):PaymentSchedule[[#This Row],[INTEREST]]),"")</f>
        <v>975273.00557804271</v>
      </c>
    </row>
    <row r="313" spans="2:11">
      <c r="B313" s="432">
        <f ca="1">IF(LoanIsGood,IF(ROW()-ROW(PaymentSchedule[[#Headers],[PMT NO]])&gt;ScheduledNumberOfPayments,"",ROW()-ROW(PaymentSchedule[[#Headers],[PMT NO]])),"")</f>
        <v>303</v>
      </c>
      <c r="C313" s="430">
        <f ca="1">IF(PaymentSchedule[[#This Row],[PMT NO]]&lt;&gt;"",EOMONTH(LoanStartDate,ROW(PaymentSchedule[[#This Row],[PMT NO]])-ROW(PaymentSchedule[[#Headers],[PMT NO]])-2)+DAY(LoanStartDate),"")</f>
        <v>53144</v>
      </c>
      <c r="D313" s="431">
        <f ca="1">IF(PaymentSchedule[[#This Row],[PMT NO]]&lt;&gt;"",IF(ROW()-ROW(PaymentSchedule[[#Headers],[BEGINNING BALANCE]])=1,LoanAmount,INDEX(PaymentSchedule[ENDING BALANCE],ROW()-ROW(PaymentSchedule[[#Headers],[BEGINNING BALANCE]])-1)),"")</f>
        <v>514335.70766356657</v>
      </c>
      <c r="E313" s="431">
        <f ca="1">IF(PaymentSchedule[[#This Row],[PMT NO]]&lt;&gt;"",ScheduledPayment,"")</f>
        <v>9423.6334368029093</v>
      </c>
      <c r="F31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3" s="431">
        <f ca="1">IF(PaymentSchedule[[#This Row],[PMT NO]]&lt;&gt;"",PaymentSchedule[[#This Row],[TOTAL PAYMENT]]-PaymentSchedule[[#This Row],[INTEREST]],"")</f>
        <v>8352.1007125038122</v>
      </c>
      <c r="I313" s="431">
        <f ca="1">IF(PaymentSchedule[[#This Row],[PMT NO]]&lt;&gt;"",PaymentSchedule[[#This Row],[BEGINNING BALANCE]]*(InterestRate/PaymentsPerYear),"")</f>
        <v>1071.532724299097</v>
      </c>
      <c r="J31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505983.60695106274</v>
      </c>
      <c r="K313" s="431">
        <f ca="1">IF(PaymentSchedule[[#This Row],[PMT NO]]&lt;&gt;"",SUM(INDEX(PaymentSchedule[INTEREST],1,1):PaymentSchedule[[#This Row],[INTEREST]]),"")</f>
        <v>976344.53830234183</v>
      </c>
    </row>
    <row r="314" spans="2:11">
      <c r="B314" s="432">
        <f ca="1">IF(LoanIsGood,IF(ROW()-ROW(PaymentSchedule[[#Headers],[PMT NO]])&gt;ScheduledNumberOfPayments,"",ROW()-ROW(PaymentSchedule[[#Headers],[PMT NO]])),"")</f>
        <v>304</v>
      </c>
      <c r="C314" s="430">
        <f ca="1">IF(PaymentSchedule[[#This Row],[PMT NO]]&lt;&gt;"",EOMONTH(LoanStartDate,ROW(PaymentSchedule[[#This Row],[PMT NO]])-ROW(PaymentSchedule[[#Headers],[PMT NO]])-2)+DAY(LoanStartDate),"")</f>
        <v>53175</v>
      </c>
      <c r="D314" s="431">
        <f ca="1">IF(PaymentSchedule[[#This Row],[PMT NO]]&lt;&gt;"",IF(ROW()-ROW(PaymentSchedule[[#Headers],[BEGINNING BALANCE]])=1,LoanAmount,INDEX(PaymentSchedule[ENDING BALANCE],ROW()-ROW(PaymentSchedule[[#Headers],[BEGINNING BALANCE]])-1)),"")</f>
        <v>505983.60695106274</v>
      </c>
      <c r="E314" s="431">
        <f ca="1">IF(PaymentSchedule[[#This Row],[PMT NO]]&lt;&gt;"",ScheduledPayment,"")</f>
        <v>9423.6334368029093</v>
      </c>
      <c r="F31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4" s="431">
        <f ca="1">IF(PaymentSchedule[[#This Row],[PMT NO]]&lt;&gt;"",PaymentSchedule[[#This Row],[TOTAL PAYMENT]]-PaymentSchedule[[#This Row],[INTEREST]],"")</f>
        <v>8369.5009223215293</v>
      </c>
      <c r="I314" s="431">
        <f ca="1">IF(PaymentSchedule[[#This Row],[PMT NO]]&lt;&gt;"",PaymentSchedule[[#This Row],[BEGINNING BALANCE]]*(InterestRate/PaymentsPerYear),"")</f>
        <v>1054.1325144813807</v>
      </c>
      <c r="J31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497614.10602874123</v>
      </c>
      <c r="K314" s="431">
        <f ca="1">IF(PaymentSchedule[[#This Row],[PMT NO]]&lt;&gt;"",SUM(INDEX(PaymentSchedule[INTEREST],1,1):PaymentSchedule[[#This Row],[INTEREST]]),"")</f>
        <v>977398.67081682326</v>
      </c>
    </row>
    <row r="315" spans="2:11">
      <c r="B315" s="432">
        <f ca="1">IF(LoanIsGood,IF(ROW()-ROW(PaymentSchedule[[#Headers],[PMT NO]])&gt;ScheduledNumberOfPayments,"",ROW()-ROW(PaymentSchedule[[#Headers],[PMT NO]])),"")</f>
        <v>305</v>
      </c>
      <c r="C315" s="430">
        <f ca="1">IF(PaymentSchedule[[#This Row],[PMT NO]]&lt;&gt;"",EOMONTH(LoanStartDate,ROW(PaymentSchedule[[#This Row],[PMT NO]])-ROW(PaymentSchedule[[#Headers],[PMT NO]])-2)+DAY(LoanStartDate),"")</f>
        <v>53206</v>
      </c>
      <c r="D315" s="431">
        <f ca="1">IF(PaymentSchedule[[#This Row],[PMT NO]]&lt;&gt;"",IF(ROW()-ROW(PaymentSchedule[[#Headers],[BEGINNING BALANCE]])=1,LoanAmount,INDEX(PaymentSchedule[ENDING BALANCE],ROW()-ROW(PaymentSchedule[[#Headers],[BEGINNING BALANCE]])-1)),"")</f>
        <v>497614.10602874123</v>
      </c>
      <c r="E315" s="431">
        <f ca="1">IF(PaymentSchedule[[#This Row],[PMT NO]]&lt;&gt;"",ScheduledPayment,"")</f>
        <v>9423.6334368029093</v>
      </c>
      <c r="F31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5" s="431">
        <f ca="1">IF(PaymentSchedule[[#This Row],[PMT NO]]&lt;&gt;"",PaymentSchedule[[#This Row],[TOTAL PAYMENT]]-PaymentSchedule[[#This Row],[INTEREST]],"")</f>
        <v>8386.9373825763651</v>
      </c>
      <c r="I315" s="431">
        <f ca="1">IF(PaymentSchedule[[#This Row],[PMT NO]]&lt;&gt;"",PaymentSchedule[[#This Row],[BEGINNING BALANCE]]*(InterestRate/PaymentsPerYear),"")</f>
        <v>1036.6960542265442</v>
      </c>
      <c r="J31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489227.16864616488</v>
      </c>
      <c r="K315" s="431">
        <f ca="1">IF(PaymentSchedule[[#This Row],[PMT NO]]&lt;&gt;"",SUM(INDEX(PaymentSchedule[INTEREST],1,1):PaymentSchedule[[#This Row],[INTEREST]]),"")</f>
        <v>978435.36687104986</v>
      </c>
    </row>
    <row r="316" spans="2:11">
      <c r="B316" s="432">
        <f ca="1">IF(LoanIsGood,IF(ROW()-ROW(PaymentSchedule[[#Headers],[PMT NO]])&gt;ScheduledNumberOfPayments,"",ROW()-ROW(PaymentSchedule[[#Headers],[PMT NO]])),"")</f>
        <v>306</v>
      </c>
      <c r="C316" s="430">
        <f ca="1">IF(PaymentSchedule[[#This Row],[PMT NO]]&lt;&gt;"",EOMONTH(LoanStartDate,ROW(PaymentSchedule[[#This Row],[PMT NO]])-ROW(PaymentSchedule[[#Headers],[PMT NO]])-2)+DAY(LoanStartDate),"")</f>
        <v>53236</v>
      </c>
      <c r="D316" s="431">
        <f ca="1">IF(PaymentSchedule[[#This Row],[PMT NO]]&lt;&gt;"",IF(ROW()-ROW(PaymentSchedule[[#Headers],[BEGINNING BALANCE]])=1,LoanAmount,INDEX(PaymentSchedule[ENDING BALANCE],ROW()-ROW(PaymentSchedule[[#Headers],[BEGINNING BALANCE]])-1)),"")</f>
        <v>489227.16864616488</v>
      </c>
      <c r="E316" s="431">
        <f ca="1">IF(PaymentSchedule[[#This Row],[PMT NO]]&lt;&gt;"",ScheduledPayment,"")</f>
        <v>9423.6334368029093</v>
      </c>
      <c r="F31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6" s="431">
        <f ca="1">IF(PaymentSchedule[[#This Row],[PMT NO]]&lt;&gt;"",PaymentSchedule[[#This Row],[TOTAL PAYMENT]]-PaymentSchedule[[#This Row],[INTEREST]],"")</f>
        <v>8404.4101687900657</v>
      </c>
      <c r="I316" s="431">
        <f ca="1">IF(PaymentSchedule[[#This Row],[PMT NO]]&lt;&gt;"",PaymentSchedule[[#This Row],[BEGINNING BALANCE]]*(InterestRate/PaymentsPerYear),"")</f>
        <v>1019.2232680128435</v>
      </c>
      <c r="J31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480822.75847737479</v>
      </c>
      <c r="K316" s="431">
        <f ca="1">IF(PaymentSchedule[[#This Row],[PMT NO]]&lt;&gt;"",SUM(INDEX(PaymentSchedule[INTEREST],1,1):PaymentSchedule[[#This Row],[INTEREST]]),"")</f>
        <v>979454.59013906273</v>
      </c>
    </row>
    <row r="317" spans="2:11">
      <c r="B317" s="432">
        <f ca="1">IF(LoanIsGood,IF(ROW()-ROW(PaymentSchedule[[#Headers],[PMT NO]])&gt;ScheduledNumberOfPayments,"",ROW()-ROW(PaymentSchedule[[#Headers],[PMT NO]])),"")</f>
        <v>307</v>
      </c>
      <c r="C317" s="430">
        <f ca="1">IF(PaymentSchedule[[#This Row],[PMT NO]]&lt;&gt;"",EOMONTH(LoanStartDate,ROW(PaymentSchedule[[#This Row],[PMT NO]])-ROW(PaymentSchedule[[#Headers],[PMT NO]])-2)+DAY(LoanStartDate),"")</f>
        <v>53267</v>
      </c>
      <c r="D317" s="431">
        <f ca="1">IF(PaymentSchedule[[#This Row],[PMT NO]]&lt;&gt;"",IF(ROW()-ROW(PaymentSchedule[[#Headers],[BEGINNING BALANCE]])=1,LoanAmount,INDEX(PaymentSchedule[ENDING BALANCE],ROW()-ROW(PaymentSchedule[[#Headers],[BEGINNING BALANCE]])-1)),"")</f>
        <v>480822.75847737479</v>
      </c>
      <c r="E317" s="431">
        <f ca="1">IF(PaymentSchedule[[#This Row],[PMT NO]]&lt;&gt;"",ScheduledPayment,"")</f>
        <v>9423.6334368029093</v>
      </c>
      <c r="F31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7" s="431">
        <f ca="1">IF(PaymentSchedule[[#This Row],[PMT NO]]&lt;&gt;"",PaymentSchedule[[#This Row],[TOTAL PAYMENT]]-PaymentSchedule[[#This Row],[INTEREST]],"")</f>
        <v>8421.9193566417125</v>
      </c>
      <c r="I317" s="431">
        <f ca="1">IF(PaymentSchedule[[#This Row],[PMT NO]]&lt;&gt;"",PaymentSchedule[[#This Row],[BEGINNING BALANCE]]*(InterestRate/PaymentsPerYear),"")</f>
        <v>1001.7140801611974</v>
      </c>
      <c r="J31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472400.83912073309</v>
      </c>
      <c r="K317" s="431">
        <f ca="1">IF(PaymentSchedule[[#This Row],[PMT NO]]&lt;&gt;"",SUM(INDEX(PaymentSchedule[INTEREST],1,1):PaymentSchedule[[#This Row],[INTEREST]]),"")</f>
        <v>980456.30421922391</v>
      </c>
    </row>
    <row r="318" spans="2:11">
      <c r="B318" s="432">
        <f ca="1">IF(LoanIsGood,IF(ROW()-ROW(PaymentSchedule[[#Headers],[PMT NO]])&gt;ScheduledNumberOfPayments,"",ROW()-ROW(PaymentSchedule[[#Headers],[PMT NO]])),"")</f>
        <v>308</v>
      </c>
      <c r="C318" s="430">
        <f ca="1">IF(PaymentSchedule[[#This Row],[PMT NO]]&lt;&gt;"",EOMONTH(LoanStartDate,ROW(PaymentSchedule[[#This Row],[PMT NO]])-ROW(PaymentSchedule[[#Headers],[PMT NO]])-2)+DAY(LoanStartDate),"")</f>
        <v>53297</v>
      </c>
      <c r="D318" s="431">
        <f ca="1">IF(PaymentSchedule[[#This Row],[PMT NO]]&lt;&gt;"",IF(ROW()-ROW(PaymentSchedule[[#Headers],[BEGINNING BALANCE]])=1,LoanAmount,INDEX(PaymentSchedule[ENDING BALANCE],ROW()-ROW(PaymentSchedule[[#Headers],[BEGINNING BALANCE]])-1)),"")</f>
        <v>472400.83912073309</v>
      </c>
      <c r="E318" s="431">
        <f ca="1">IF(PaymentSchedule[[#This Row],[PMT NO]]&lt;&gt;"",ScheduledPayment,"")</f>
        <v>9423.6334368029093</v>
      </c>
      <c r="F31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8" s="431">
        <f ca="1">IF(PaymentSchedule[[#This Row],[PMT NO]]&lt;&gt;"",PaymentSchedule[[#This Row],[TOTAL PAYMENT]]-PaymentSchedule[[#This Row],[INTEREST]],"")</f>
        <v>8439.4650219680479</v>
      </c>
      <c r="I318" s="431">
        <f ca="1">IF(PaymentSchedule[[#This Row],[PMT NO]]&lt;&gt;"",PaymentSchedule[[#This Row],[BEGINNING BALANCE]]*(InterestRate/PaymentsPerYear),"")</f>
        <v>984.16841483486053</v>
      </c>
      <c r="J31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463961.37409876502</v>
      </c>
      <c r="K318" s="431">
        <f ca="1">IF(PaymentSchedule[[#This Row],[PMT NO]]&lt;&gt;"",SUM(INDEX(PaymentSchedule[INTEREST],1,1):PaymentSchedule[[#This Row],[INTEREST]]),"")</f>
        <v>981440.47263405879</v>
      </c>
    </row>
    <row r="319" spans="2:11">
      <c r="B319" s="432">
        <f ca="1">IF(LoanIsGood,IF(ROW()-ROW(PaymentSchedule[[#Headers],[PMT NO]])&gt;ScheduledNumberOfPayments,"",ROW()-ROW(PaymentSchedule[[#Headers],[PMT NO]])),"")</f>
        <v>309</v>
      </c>
      <c r="C319" s="430">
        <f ca="1">IF(PaymentSchedule[[#This Row],[PMT NO]]&lt;&gt;"",EOMONTH(LoanStartDate,ROW(PaymentSchedule[[#This Row],[PMT NO]])-ROW(PaymentSchedule[[#Headers],[PMT NO]])-2)+DAY(LoanStartDate),"")</f>
        <v>53328</v>
      </c>
      <c r="D319" s="431">
        <f ca="1">IF(PaymentSchedule[[#This Row],[PMT NO]]&lt;&gt;"",IF(ROW()-ROW(PaymentSchedule[[#Headers],[BEGINNING BALANCE]])=1,LoanAmount,INDEX(PaymentSchedule[ENDING BALANCE],ROW()-ROW(PaymentSchedule[[#Headers],[BEGINNING BALANCE]])-1)),"")</f>
        <v>463961.37409876502</v>
      </c>
      <c r="E319" s="431">
        <f ca="1">IF(PaymentSchedule[[#This Row],[PMT NO]]&lt;&gt;"",ScheduledPayment,"")</f>
        <v>9423.6334368029093</v>
      </c>
      <c r="F31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1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19" s="431">
        <f ca="1">IF(PaymentSchedule[[#This Row],[PMT NO]]&lt;&gt;"",PaymentSchedule[[#This Row],[TOTAL PAYMENT]]-PaymentSchedule[[#This Row],[INTEREST]],"")</f>
        <v>8457.0472407638154</v>
      </c>
      <c r="I319" s="431">
        <f ca="1">IF(PaymentSchedule[[#This Row],[PMT NO]]&lt;&gt;"",PaymentSchedule[[#This Row],[BEGINNING BALANCE]]*(InterestRate/PaymentsPerYear),"")</f>
        <v>966.58619603909381</v>
      </c>
      <c r="J31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455504.32685800118</v>
      </c>
      <c r="K319" s="431">
        <f ca="1">IF(PaymentSchedule[[#This Row],[PMT NO]]&lt;&gt;"",SUM(INDEX(PaymentSchedule[INTEREST],1,1):PaymentSchedule[[#This Row],[INTEREST]]),"")</f>
        <v>982407.0588300979</v>
      </c>
    </row>
    <row r="320" spans="2:11">
      <c r="B320" s="432">
        <f ca="1">IF(LoanIsGood,IF(ROW()-ROW(PaymentSchedule[[#Headers],[PMT NO]])&gt;ScheduledNumberOfPayments,"",ROW()-ROW(PaymentSchedule[[#Headers],[PMT NO]])),"")</f>
        <v>310</v>
      </c>
      <c r="C320" s="430">
        <f ca="1">IF(PaymentSchedule[[#This Row],[PMT NO]]&lt;&gt;"",EOMONTH(LoanStartDate,ROW(PaymentSchedule[[#This Row],[PMT NO]])-ROW(PaymentSchedule[[#Headers],[PMT NO]])-2)+DAY(LoanStartDate),"")</f>
        <v>53359</v>
      </c>
      <c r="D320" s="431">
        <f ca="1">IF(PaymentSchedule[[#This Row],[PMT NO]]&lt;&gt;"",IF(ROW()-ROW(PaymentSchedule[[#Headers],[BEGINNING BALANCE]])=1,LoanAmount,INDEX(PaymentSchedule[ENDING BALANCE],ROW()-ROW(PaymentSchedule[[#Headers],[BEGINNING BALANCE]])-1)),"")</f>
        <v>455504.32685800118</v>
      </c>
      <c r="E320" s="431">
        <f ca="1">IF(PaymentSchedule[[#This Row],[PMT NO]]&lt;&gt;"",ScheduledPayment,"")</f>
        <v>9423.6334368029093</v>
      </c>
      <c r="F32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0" s="431">
        <f ca="1">IF(PaymentSchedule[[#This Row],[PMT NO]]&lt;&gt;"",PaymentSchedule[[#This Row],[TOTAL PAYMENT]]-PaymentSchedule[[#This Row],[INTEREST]],"")</f>
        <v>8474.6660891820738</v>
      </c>
      <c r="I320" s="431">
        <f ca="1">IF(PaymentSchedule[[#This Row],[PMT NO]]&lt;&gt;"",PaymentSchedule[[#This Row],[BEGINNING BALANCE]]*(InterestRate/PaymentsPerYear),"")</f>
        <v>948.96734762083577</v>
      </c>
      <c r="J32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447029.6607688191</v>
      </c>
      <c r="K320" s="431">
        <f ca="1">IF(PaymentSchedule[[#This Row],[PMT NO]]&lt;&gt;"",SUM(INDEX(PaymentSchedule[INTEREST],1,1):PaymentSchedule[[#This Row],[INTEREST]]),"")</f>
        <v>983356.02617771877</v>
      </c>
    </row>
    <row r="321" spans="2:11">
      <c r="B321" s="432">
        <f ca="1">IF(LoanIsGood,IF(ROW()-ROW(PaymentSchedule[[#Headers],[PMT NO]])&gt;ScheduledNumberOfPayments,"",ROW()-ROW(PaymentSchedule[[#Headers],[PMT NO]])),"")</f>
        <v>311</v>
      </c>
      <c r="C321" s="430">
        <f ca="1">IF(PaymentSchedule[[#This Row],[PMT NO]]&lt;&gt;"",EOMONTH(LoanStartDate,ROW(PaymentSchedule[[#This Row],[PMT NO]])-ROW(PaymentSchedule[[#Headers],[PMT NO]])-2)+DAY(LoanStartDate),"")</f>
        <v>53387</v>
      </c>
      <c r="D321" s="431">
        <f ca="1">IF(PaymentSchedule[[#This Row],[PMT NO]]&lt;&gt;"",IF(ROW()-ROW(PaymentSchedule[[#Headers],[BEGINNING BALANCE]])=1,LoanAmount,INDEX(PaymentSchedule[ENDING BALANCE],ROW()-ROW(PaymentSchedule[[#Headers],[BEGINNING BALANCE]])-1)),"")</f>
        <v>447029.6607688191</v>
      </c>
      <c r="E321" s="431">
        <f ca="1">IF(PaymentSchedule[[#This Row],[PMT NO]]&lt;&gt;"",ScheduledPayment,"")</f>
        <v>9423.6334368029093</v>
      </c>
      <c r="F32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1" s="431">
        <f ca="1">IF(PaymentSchedule[[#This Row],[PMT NO]]&lt;&gt;"",PaymentSchedule[[#This Row],[TOTAL PAYMENT]]-PaymentSchedule[[#This Row],[INTEREST]],"")</f>
        <v>8492.3216435345366</v>
      </c>
      <c r="I321" s="431">
        <f ca="1">IF(PaymentSchedule[[#This Row],[PMT NO]]&lt;&gt;"",PaymentSchedule[[#This Row],[BEGINNING BALANCE]]*(InterestRate/PaymentsPerYear),"")</f>
        <v>931.31179326837309</v>
      </c>
      <c r="J32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438537.33912528458</v>
      </c>
      <c r="K321" s="431">
        <f ca="1">IF(PaymentSchedule[[#This Row],[PMT NO]]&lt;&gt;"",SUM(INDEX(PaymentSchedule[INTEREST],1,1):PaymentSchedule[[#This Row],[INTEREST]]),"")</f>
        <v>984287.3379709872</v>
      </c>
    </row>
    <row r="322" spans="2:11">
      <c r="B322" s="432">
        <f ca="1">IF(LoanIsGood,IF(ROW()-ROW(PaymentSchedule[[#Headers],[PMT NO]])&gt;ScheduledNumberOfPayments,"",ROW()-ROW(PaymentSchedule[[#Headers],[PMT NO]])),"")</f>
        <v>312</v>
      </c>
      <c r="C322" s="430">
        <f ca="1">IF(PaymentSchedule[[#This Row],[PMT NO]]&lt;&gt;"",EOMONTH(LoanStartDate,ROW(PaymentSchedule[[#This Row],[PMT NO]])-ROW(PaymentSchedule[[#Headers],[PMT NO]])-2)+DAY(LoanStartDate),"")</f>
        <v>53418</v>
      </c>
      <c r="D322" s="431">
        <f ca="1">IF(PaymentSchedule[[#This Row],[PMT NO]]&lt;&gt;"",IF(ROW()-ROW(PaymentSchedule[[#Headers],[BEGINNING BALANCE]])=1,LoanAmount,INDEX(PaymentSchedule[ENDING BALANCE],ROW()-ROW(PaymentSchedule[[#Headers],[BEGINNING BALANCE]])-1)),"")</f>
        <v>438537.33912528458</v>
      </c>
      <c r="E322" s="431">
        <f ca="1">IF(PaymentSchedule[[#This Row],[PMT NO]]&lt;&gt;"",ScheduledPayment,"")</f>
        <v>9423.6334368029093</v>
      </c>
      <c r="F32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2" s="431">
        <f ca="1">IF(PaymentSchedule[[#This Row],[PMT NO]]&lt;&gt;"",PaymentSchedule[[#This Row],[TOTAL PAYMENT]]-PaymentSchedule[[#This Row],[INTEREST]],"")</f>
        <v>8510.0139802919002</v>
      </c>
      <c r="I322" s="431">
        <f ca="1">IF(PaymentSchedule[[#This Row],[PMT NO]]&lt;&gt;"",PaymentSchedule[[#This Row],[BEGINNING BALANCE]]*(InterestRate/PaymentsPerYear),"")</f>
        <v>913.6194565110095</v>
      </c>
      <c r="J32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430027.32514499268</v>
      </c>
      <c r="K322" s="431">
        <f ca="1">IF(PaymentSchedule[[#This Row],[PMT NO]]&lt;&gt;"",SUM(INDEX(PaymentSchedule[INTEREST],1,1):PaymentSchedule[[#This Row],[INTEREST]]),"")</f>
        <v>985200.95742749819</v>
      </c>
    </row>
    <row r="323" spans="2:11">
      <c r="B323" s="432">
        <f ca="1">IF(LoanIsGood,IF(ROW()-ROW(PaymentSchedule[[#Headers],[PMT NO]])&gt;ScheduledNumberOfPayments,"",ROW()-ROW(PaymentSchedule[[#Headers],[PMT NO]])),"")</f>
        <v>313</v>
      </c>
      <c r="C323" s="430">
        <f ca="1">IF(PaymentSchedule[[#This Row],[PMT NO]]&lt;&gt;"",EOMONTH(LoanStartDate,ROW(PaymentSchedule[[#This Row],[PMT NO]])-ROW(PaymentSchedule[[#Headers],[PMT NO]])-2)+DAY(LoanStartDate),"")</f>
        <v>53448</v>
      </c>
      <c r="D323" s="431">
        <f ca="1">IF(PaymentSchedule[[#This Row],[PMT NO]]&lt;&gt;"",IF(ROW()-ROW(PaymentSchedule[[#Headers],[BEGINNING BALANCE]])=1,LoanAmount,INDEX(PaymentSchedule[ENDING BALANCE],ROW()-ROW(PaymentSchedule[[#Headers],[BEGINNING BALANCE]])-1)),"")</f>
        <v>430027.32514499268</v>
      </c>
      <c r="E323" s="431">
        <f ca="1">IF(PaymentSchedule[[#This Row],[PMT NO]]&lt;&gt;"",ScheduledPayment,"")</f>
        <v>9423.6334368029093</v>
      </c>
      <c r="F32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3" s="431">
        <f ca="1">IF(PaymentSchedule[[#This Row],[PMT NO]]&lt;&gt;"",PaymentSchedule[[#This Row],[TOTAL PAYMENT]]-PaymentSchedule[[#This Row],[INTEREST]],"")</f>
        <v>8527.7431760841755</v>
      </c>
      <c r="I323" s="431">
        <f ca="1">IF(PaymentSchedule[[#This Row],[PMT NO]]&lt;&gt;"",PaymentSchedule[[#This Row],[BEGINNING BALANCE]]*(InterestRate/PaymentsPerYear),"")</f>
        <v>895.89026071873468</v>
      </c>
      <c r="J32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421499.58196890849</v>
      </c>
      <c r="K323" s="431">
        <f ca="1">IF(PaymentSchedule[[#This Row],[PMT NO]]&lt;&gt;"",SUM(INDEX(PaymentSchedule[INTEREST],1,1):PaymentSchedule[[#This Row],[INTEREST]]),"")</f>
        <v>986096.84768821695</v>
      </c>
    </row>
    <row r="324" spans="2:11">
      <c r="B324" s="432">
        <f ca="1">IF(LoanIsGood,IF(ROW()-ROW(PaymentSchedule[[#Headers],[PMT NO]])&gt;ScheduledNumberOfPayments,"",ROW()-ROW(PaymentSchedule[[#Headers],[PMT NO]])),"")</f>
        <v>314</v>
      </c>
      <c r="C324" s="430">
        <f ca="1">IF(PaymentSchedule[[#This Row],[PMT NO]]&lt;&gt;"",EOMONTH(LoanStartDate,ROW(PaymentSchedule[[#This Row],[PMT NO]])-ROW(PaymentSchedule[[#Headers],[PMT NO]])-2)+DAY(LoanStartDate),"")</f>
        <v>53479</v>
      </c>
      <c r="D324" s="431">
        <f ca="1">IF(PaymentSchedule[[#This Row],[PMT NO]]&lt;&gt;"",IF(ROW()-ROW(PaymentSchedule[[#Headers],[BEGINNING BALANCE]])=1,LoanAmount,INDEX(PaymentSchedule[ENDING BALANCE],ROW()-ROW(PaymentSchedule[[#Headers],[BEGINNING BALANCE]])-1)),"")</f>
        <v>421499.58196890849</v>
      </c>
      <c r="E324" s="431">
        <f ca="1">IF(PaymentSchedule[[#This Row],[PMT NO]]&lt;&gt;"",ScheduledPayment,"")</f>
        <v>9423.6334368029093</v>
      </c>
      <c r="F32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4" s="431">
        <f ca="1">IF(PaymentSchedule[[#This Row],[PMT NO]]&lt;&gt;"",PaymentSchedule[[#This Row],[TOTAL PAYMENT]]-PaymentSchedule[[#This Row],[INTEREST]],"")</f>
        <v>8545.509307701017</v>
      </c>
      <c r="I324" s="431">
        <f ca="1">IF(PaymentSchedule[[#This Row],[PMT NO]]&lt;&gt;"",PaymentSchedule[[#This Row],[BEGINNING BALANCE]]*(InterestRate/PaymentsPerYear),"")</f>
        <v>878.12412910189266</v>
      </c>
      <c r="J32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412954.07266120746</v>
      </c>
      <c r="K324" s="431">
        <f ca="1">IF(PaymentSchedule[[#This Row],[PMT NO]]&lt;&gt;"",SUM(INDEX(PaymentSchedule[INTEREST],1,1):PaymentSchedule[[#This Row],[INTEREST]]),"")</f>
        <v>986974.97181731882</v>
      </c>
    </row>
    <row r="325" spans="2:11">
      <c r="B325" s="432">
        <f ca="1">IF(LoanIsGood,IF(ROW()-ROW(PaymentSchedule[[#Headers],[PMT NO]])&gt;ScheduledNumberOfPayments,"",ROW()-ROW(PaymentSchedule[[#Headers],[PMT NO]])),"")</f>
        <v>315</v>
      </c>
      <c r="C325" s="430">
        <f ca="1">IF(PaymentSchedule[[#This Row],[PMT NO]]&lt;&gt;"",EOMONTH(LoanStartDate,ROW(PaymentSchedule[[#This Row],[PMT NO]])-ROW(PaymentSchedule[[#Headers],[PMT NO]])-2)+DAY(LoanStartDate),"")</f>
        <v>53509</v>
      </c>
      <c r="D325" s="431">
        <f ca="1">IF(PaymentSchedule[[#This Row],[PMT NO]]&lt;&gt;"",IF(ROW()-ROW(PaymentSchedule[[#Headers],[BEGINNING BALANCE]])=1,LoanAmount,INDEX(PaymentSchedule[ENDING BALANCE],ROW()-ROW(PaymentSchedule[[#Headers],[BEGINNING BALANCE]])-1)),"")</f>
        <v>412954.07266120746</v>
      </c>
      <c r="E325" s="431">
        <f ca="1">IF(PaymentSchedule[[#This Row],[PMT NO]]&lt;&gt;"",ScheduledPayment,"")</f>
        <v>9423.6334368029093</v>
      </c>
      <c r="F32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5" s="431">
        <f ca="1">IF(PaymentSchedule[[#This Row],[PMT NO]]&lt;&gt;"",PaymentSchedule[[#This Row],[TOTAL PAYMENT]]-PaymentSchedule[[#This Row],[INTEREST]],"")</f>
        <v>8563.312452092061</v>
      </c>
      <c r="I325" s="431">
        <f ca="1">IF(PaymentSchedule[[#This Row],[PMT NO]]&lt;&gt;"",PaymentSchedule[[#This Row],[BEGINNING BALANCE]]*(InterestRate/PaymentsPerYear),"")</f>
        <v>860.32098471084885</v>
      </c>
      <c r="J32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404390.7602091154</v>
      </c>
      <c r="K325" s="431">
        <f ca="1">IF(PaymentSchedule[[#This Row],[PMT NO]]&lt;&gt;"",SUM(INDEX(PaymentSchedule[INTEREST],1,1):PaymentSchedule[[#This Row],[INTEREST]]),"")</f>
        <v>987835.29280202964</v>
      </c>
    </row>
    <row r="326" spans="2:11">
      <c r="B326" s="432">
        <f ca="1">IF(LoanIsGood,IF(ROW()-ROW(PaymentSchedule[[#Headers],[PMT NO]])&gt;ScheduledNumberOfPayments,"",ROW()-ROW(PaymentSchedule[[#Headers],[PMT NO]])),"")</f>
        <v>316</v>
      </c>
      <c r="C326" s="430">
        <f ca="1">IF(PaymentSchedule[[#This Row],[PMT NO]]&lt;&gt;"",EOMONTH(LoanStartDate,ROW(PaymentSchedule[[#This Row],[PMT NO]])-ROW(PaymentSchedule[[#Headers],[PMT NO]])-2)+DAY(LoanStartDate),"")</f>
        <v>53540</v>
      </c>
      <c r="D326" s="431">
        <f ca="1">IF(PaymentSchedule[[#This Row],[PMT NO]]&lt;&gt;"",IF(ROW()-ROW(PaymentSchedule[[#Headers],[BEGINNING BALANCE]])=1,LoanAmount,INDEX(PaymentSchedule[ENDING BALANCE],ROW()-ROW(PaymentSchedule[[#Headers],[BEGINNING BALANCE]])-1)),"")</f>
        <v>404390.7602091154</v>
      </c>
      <c r="E326" s="431">
        <f ca="1">IF(PaymentSchedule[[#This Row],[PMT NO]]&lt;&gt;"",ScheduledPayment,"")</f>
        <v>9423.6334368029093</v>
      </c>
      <c r="F32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6" s="431">
        <f ca="1">IF(PaymentSchedule[[#This Row],[PMT NO]]&lt;&gt;"",PaymentSchedule[[#This Row],[TOTAL PAYMENT]]-PaymentSchedule[[#This Row],[INTEREST]],"")</f>
        <v>8581.1526863672516</v>
      </c>
      <c r="I326" s="431">
        <f ca="1">IF(PaymentSchedule[[#This Row],[PMT NO]]&lt;&gt;"",PaymentSchedule[[#This Row],[BEGINNING BALANCE]]*(InterestRate/PaymentsPerYear),"")</f>
        <v>842.48075043565711</v>
      </c>
      <c r="J32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395809.60752274812</v>
      </c>
      <c r="K326" s="431">
        <f ca="1">IF(PaymentSchedule[[#This Row],[PMT NO]]&lt;&gt;"",SUM(INDEX(PaymentSchedule[INTEREST],1,1):PaymentSchedule[[#This Row],[INTEREST]]),"")</f>
        <v>988677.77355246525</v>
      </c>
    </row>
    <row r="327" spans="2:11">
      <c r="B327" s="432">
        <f ca="1">IF(LoanIsGood,IF(ROW()-ROW(PaymentSchedule[[#Headers],[PMT NO]])&gt;ScheduledNumberOfPayments,"",ROW()-ROW(PaymentSchedule[[#Headers],[PMT NO]])),"")</f>
        <v>317</v>
      </c>
      <c r="C327" s="430">
        <f ca="1">IF(PaymentSchedule[[#This Row],[PMT NO]]&lt;&gt;"",EOMONTH(LoanStartDate,ROW(PaymentSchedule[[#This Row],[PMT NO]])-ROW(PaymentSchedule[[#Headers],[PMT NO]])-2)+DAY(LoanStartDate),"")</f>
        <v>53571</v>
      </c>
      <c r="D327" s="431">
        <f ca="1">IF(PaymentSchedule[[#This Row],[PMT NO]]&lt;&gt;"",IF(ROW()-ROW(PaymentSchedule[[#Headers],[BEGINNING BALANCE]])=1,LoanAmount,INDEX(PaymentSchedule[ENDING BALANCE],ROW()-ROW(PaymentSchedule[[#Headers],[BEGINNING BALANCE]])-1)),"")</f>
        <v>395809.60752274812</v>
      </c>
      <c r="E327" s="431">
        <f ca="1">IF(PaymentSchedule[[#This Row],[PMT NO]]&lt;&gt;"",ScheduledPayment,"")</f>
        <v>9423.6334368029093</v>
      </c>
      <c r="F32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7" s="431">
        <f ca="1">IF(PaymentSchedule[[#This Row],[PMT NO]]&lt;&gt;"",PaymentSchedule[[#This Row],[TOTAL PAYMENT]]-PaymentSchedule[[#This Row],[INTEREST]],"")</f>
        <v>8599.030087797184</v>
      </c>
      <c r="I327" s="431">
        <f ca="1">IF(PaymentSchedule[[#This Row],[PMT NO]]&lt;&gt;"",PaymentSchedule[[#This Row],[BEGINNING BALANCE]]*(InterestRate/PaymentsPerYear),"")</f>
        <v>824.60334900572525</v>
      </c>
      <c r="J32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387210.57743495092</v>
      </c>
      <c r="K327" s="431">
        <f ca="1">IF(PaymentSchedule[[#This Row],[PMT NO]]&lt;&gt;"",SUM(INDEX(PaymentSchedule[INTEREST],1,1):PaymentSchedule[[#This Row],[INTEREST]]),"")</f>
        <v>989502.37690147094</v>
      </c>
    </row>
    <row r="328" spans="2:11">
      <c r="B328" s="432">
        <f ca="1">IF(LoanIsGood,IF(ROW()-ROW(PaymentSchedule[[#Headers],[PMT NO]])&gt;ScheduledNumberOfPayments,"",ROW()-ROW(PaymentSchedule[[#Headers],[PMT NO]])),"")</f>
        <v>318</v>
      </c>
      <c r="C328" s="430">
        <f ca="1">IF(PaymentSchedule[[#This Row],[PMT NO]]&lt;&gt;"",EOMONTH(LoanStartDate,ROW(PaymentSchedule[[#This Row],[PMT NO]])-ROW(PaymentSchedule[[#Headers],[PMT NO]])-2)+DAY(LoanStartDate),"")</f>
        <v>53601</v>
      </c>
      <c r="D328" s="431">
        <f ca="1">IF(PaymentSchedule[[#This Row],[PMT NO]]&lt;&gt;"",IF(ROW()-ROW(PaymentSchedule[[#Headers],[BEGINNING BALANCE]])=1,LoanAmount,INDEX(PaymentSchedule[ENDING BALANCE],ROW()-ROW(PaymentSchedule[[#Headers],[BEGINNING BALANCE]])-1)),"")</f>
        <v>387210.57743495092</v>
      </c>
      <c r="E328" s="431">
        <f ca="1">IF(PaymentSchedule[[#This Row],[PMT NO]]&lt;&gt;"",ScheduledPayment,"")</f>
        <v>9423.6334368029093</v>
      </c>
      <c r="F32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8" s="431">
        <f ca="1">IF(PaymentSchedule[[#This Row],[PMT NO]]&lt;&gt;"",PaymentSchedule[[#This Row],[TOTAL PAYMENT]]-PaymentSchedule[[#This Row],[INTEREST]],"")</f>
        <v>8616.9447338134287</v>
      </c>
      <c r="I328" s="431">
        <f ca="1">IF(PaymentSchedule[[#This Row],[PMT NO]]&lt;&gt;"",PaymentSchedule[[#This Row],[BEGINNING BALANCE]]*(InterestRate/PaymentsPerYear),"")</f>
        <v>806.68870298948104</v>
      </c>
      <c r="J32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378593.63270113751</v>
      </c>
      <c r="K328" s="431">
        <f ca="1">IF(PaymentSchedule[[#This Row],[PMT NO]]&lt;&gt;"",SUM(INDEX(PaymentSchedule[INTEREST],1,1):PaymentSchedule[[#This Row],[INTEREST]]),"")</f>
        <v>990309.06560446043</v>
      </c>
    </row>
    <row r="329" spans="2:11">
      <c r="B329" s="432">
        <f ca="1">IF(LoanIsGood,IF(ROW()-ROW(PaymentSchedule[[#Headers],[PMT NO]])&gt;ScheduledNumberOfPayments,"",ROW()-ROW(PaymentSchedule[[#Headers],[PMT NO]])),"")</f>
        <v>319</v>
      </c>
      <c r="C329" s="430">
        <f ca="1">IF(PaymentSchedule[[#This Row],[PMT NO]]&lt;&gt;"",EOMONTH(LoanStartDate,ROW(PaymentSchedule[[#This Row],[PMT NO]])-ROW(PaymentSchedule[[#Headers],[PMT NO]])-2)+DAY(LoanStartDate),"")</f>
        <v>53632</v>
      </c>
      <c r="D329" s="431">
        <f ca="1">IF(PaymentSchedule[[#This Row],[PMT NO]]&lt;&gt;"",IF(ROW()-ROW(PaymentSchedule[[#Headers],[BEGINNING BALANCE]])=1,LoanAmount,INDEX(PaymentSchedule[ENDING BALANCE],ROW()-ROW(PaymentSchedule[[#Headers],[BEGINNING BALANCE]])-1)),"")</f>
        <v>378593.63270113751</v>
      </c>
      <c r="E329" s="431">
        <f ca="1">IF(PaymentSchedule[[#This Row],[PMT NO]]&lt;&gt;"",ScheduledPayment,"")</f>
        <v>9423.6334368029093</v>
      </c>
      <c r="F32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2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29" s="431">
        <f ca="1">IF(PaymentSchedule[[#This Row],[PMT NO]]&lt;&gt;"",PaymentSchedule[[#This Row],[TOTAL PAYMENT]]-PaymentSchedule[[#This Row],[INTEREST]],"")</f>
        <v>8634.896702008873</v>
      </c>
      <c r="I329" s="431">
        <f ca="1">IF(PaymentSchedule[[#This Row],[PMT NO]]&lt;&gt;"",PaymentSchedule[[#This Row],[BEGINNING BALANCE]]*(InterestRate/PaymentsPerYear),"")</f>
        <v>788.73673479403647</v>
      </c>
      <c r="J32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369958.73599912866</v>
      </c>
      <c r="K329" s="431">
        <f ca="1">IF(PaymentSchedule[[#This Row],[PMT NO]]&lt;&gt;"",SUM(INDEX(PaymentSchedule[INTEREST],1,1):PaymentSchedule[[#This Row],[INTEREST]]),"")</f>
        <v>991097.80233925441</v>
      </c>
    </row>
    <row r="330" spans="2:11">
      <c r="B330" s="432">
        <f ca="1">IF(LoanIsGood,IF(ROW()-ROW(PaymentSchedule[[#Headers],[PMT NO]])&gt;ScheduledNumberOfPayments,"",ROW()-ROW(PaymentSchedule[[#Headers],[PMT NO]])),"")</f>
        <v>320</v>
      </c>
      <c r="C330" s="430">
        <f ca="1">IF(PaymentSchedule[[#This Row],[PMT NO]]&lt;&gt;"",EOMONTH(LoanStartDate,ROW(PaymentSchedule[[#This Row],[PMT NO]])-ROW(PaymentSchedule[[#Headers],[PMT NO]])-2)+DAY(LoanStartDate),"")</f>
        <v>53662</v>
      </c>
      <c r="D330" s="431">
        <f ca="1">IF(PaymentSchedule[[#This Row],[PMT NO]]&lt;&gt;"",IF(ROW()-ROW(PaymentSchedule[[#Headers],[BEGINNING BALANCE]])=1,LoanAmount,INDEX(PaymentSchedule[ENDING BALANCE],ROW()-ROW(PaymentSchedule[[#Headers],[BEGINNING BALANCE]])-1)),"")</f>
        <v>369958.73599912866</v>
      </c>
      <c r="E330" s="431">
        <f ca="1">IF(PaymentSchedule[[#This Row],[PMT NO]]&lt;&gt;"",ScheduledPayment,"")</f>
        <v>9423.6334368029093</v>
      </c>
      <c r="F33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0" s="431">
        <f ca="1">IF(PaymentSchedule[[#This Row],[PMT NO]]&lt;&gt;"",PaymentSchedule[[#This Row],[TOTAL PAYMENT]]-PaymentSchedule[[#This Row],[INTEREST]],"")</f>
        <v>8652.8860701380581</v>
      </c>
      <c r="I330" s="431">
        <f ca="1">IF(PaymentSchedule[[#This Row],[PMT NO]]&lt;&gt;"",PaymentSchedule[[#This Row],[BEGINNING BALANCE]]*(InterestRate/PaymentsPerYear),"")</f>
        <v>770.74736666485137</v>
      </c>
      <c r="J33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361305.84992899059</v>
      </c>
      <c r="K330" s="431">
        <f ca="1">IF(PaymentSchedule[[#This Row],[PMT NO]]&lt;&gt;"",SUM(INDEX(PaymentSchedule[INTEREST],1,1):PaymentSchedule[[#This Row],[INTEREST]]),"")</f>
        <v>991868.54970591923</v>
      </c>
    </row>
    <row r="331" spans="2:11">
      <c r="B331" s="432">
        <f ca="1">IF(LoanIsGood,IF(ROW()-ROW(PaymentSchedule[[#Headers],[PMT NO]])&gt;ScheduledNumberOfPayments,"",ROW()-ROW(PaymentSchedule[[#Headers],[PMT NO]])),"")</f>
        <v>321</v>
      </c>
      <c r="C331" s="430">
        <f ca="1">IF(PaymentSchedule[[#This Row],[PMT NO]]&lt;&gt;"",EOMONTH(LoanStartDate,ROW(PaymentSchedule[[#This Row],[PMT NO]])-ROW(PaymentSchedule[[#Headers],[PMT NO]])-2)+DAY(LoanStartDate),"")</f>
        <v>53693</v>
      </c>
      <c r="D331" s="431">
        <f ca="1">IF(PaymentSchedule[[#This Row],[PMT NO]]&lt;&gt;"",IF(ROW()-ROW(PaymentSchedule[[#Headers],[BEGINNING BALANCE]])=1,LoanAmount,INDEX(PaymentSchedule[ENDING BALANCE],ROW()-ROW(PaymentSchedule[[#Headers],[BEGINNING BALANCE]])-1)),"")</f>
        <v>361305.84992899059</v>
      </c>
      <c r="E331" s="431">
        <f ca="1">IF(PaymentSchedule[[#This Row],[PMT NO]]&lt;&gt;"",ScheduledPayment,"")</f>
        <v>9423.6334368029093</v>
      </c>
      <c r="F33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1" s="431">
        <f ca="1">IF(PaymentSchedule[[#This Row],[PMT NO]]&lt;&gt;"",PaymentSchedule[[#This Row],[TOTAL PAYMENT]]-PaymentSchedule[[#This Row],[INTEREST]],"")</f>
        <v>8670.9129161175115</v>
      </c>
      <c r="I331" s="431">
        <f ca="1">IF(PaymentSchedule[[#This Row],[PMT NO]]&lt;&gt;"",PaymentSchedule[[#This Row],[BEGINNING BALANCE]]*(InterestRate/PaymentsPerYear),"")</f>
        <v>752.7205206853971</v>
      </c>
      <c r="J33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352634.93701287307</v>
      </c>
      <c r="K331" s="431">
        <f ca="1">IF(PaymentSchedule[[#This Row],[PMT NO]]&lt;&gt;"",SUM(INDEX(PaymentSchedule[INTEREST],1,1):PaymentSchedule[[#This Row],[INTEREST]]),"")</f>
        <v>992621.27022660465</v>
      </c>
    </row>
    <row r="332" spans="2:11">
      <c r="B332" s="432">
        <f ca="1">IF(LoanIsGood,IF(ROW()-ROW(PaymentSchedule[[#Headers],[PMT NO]])&gt;ScheduledNumberOfPayments,"",ROW()-ROW(PaymentSchedule[[#Headers],[PMT NO]])),"")</f>
        <v>322</v>
      </c>
      <c r="C332" s="430">
        <f ca="1">IF(PaymentSchedule[[#This Row],[PMT NO]]&lt;&gt;"",EOMONTH(LoanStartDate,ROW(PaymentSchedule[[#This Row],[PMT NO]])-ROW(PaymentSchedule[[#Headers],[PMT NO]])-2)+DAY(LoanStartDate),"")</f>
        <v>53724</v>
      </c>
      <c r="D332" s="431">
        <f ca="1">IF(PaymentSchedule[[#This Row],[PMT NO]]&lt;&gt;"",IF(ROW()-ROW(PaymentSchedule[[#Headers],[BEGINNING BALANCE]])=1,LoanAmount,INDEX(PaymentSchedule[ENDING BALANCE],ROW()-ROW(PaymentSchedule[[#Headers],[BEGINNING BALANCE]])-1)),"")</f>
        <v>352634.93701287307</v>
      </c>
      <c r="E332" s="431">
        <f ca="1">IF(PaymentSchedule[[#This Row],[PMT NO]]&lt;&gt;"",ScheduledPayment,"")</f>
        <v>9423.6334368029093</v>
      </c>
      <c r="F33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2" s="431">
        <f ca="1">IF(PaymentSchedule[[#This Row],[PMT NO]]&lt;&gt;"",PaymentSchedule[[#This Row],[TOTAL PAYMENT]]-PaymentSchedule[[#This Row],[INTEREST]],"")</f>
        <v>8688.9773180260909</v>
      </c>
      <c r="I332" s="431">
        <f ca="1">IF(PaymentSchedule[[#This Row],[PMT NO]]&lt;&gt;"",PaymentSchedule[[#This Row],[BEGINNING BALANCE]]*(InterestRate/PaymentsPerYear),"")</f>
        <v>734.65611877681886</v>
      </c>
      <c r="J33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343945.959694847</v>
      </c>
      <c r="K332" s="431">
        <f ca="1">IF(PaymentSchedule[[#This Row],[PMT NO]]&lt;&gt;"",SUM(INDEX(PaymentSchedule[INTEREST],1,1):PaymentSchedule[[#This Row],[INTEREST]]),"")</f>
        <v>993355.92634538142</v>
      </c>
    </row>
    <row r="333" spans="2:11">
      <c r="B333" s="432">
        <f ca="1">IF(LoanIsGood,IF(ROW()-ROW(PaymentSchedule[[#Headers],[PMT NO]])&gt;ScheduledNumberOfPayments,"",ROW()-ROW(PaymentSchedule[[#Headers],[PMT NO]])),"")</f>
        <v>323</v>
      </c>
      <c r="C333" s="430">
        <f ca="1">IF(PaymentSchedule[[#This Row],[PMT NO]]&lt;&gt;"",EOMONTH(LoanStartDate,ROW(PaymentSchedule[[#This Row],[PMT NO]])-ROW(PaymentSchedule[[#Headers],[PMT NO]])-2)+DAY(LoanStartDate),"")</f>
        <v>53752</v>
      </c>
      <c r="D333" s="431">
        <f ca="1">IF(PaymentSchedule[[#This Row],[PMT NO]]&lt;&gt;"",IF(ROW()-ROW(PaymentSchedule[[#Headers],[BEGINNING BALANCE]])=1,LoanAmount,INDEX(PaymentSchedule[ENDING BALANCE],ROW()-ROW(PaymentSchedule[[#Headers],[BEGINNING BALANCE]])-1)),"")</f>
        <v>343945.959694847</v>
      </c>
      <c r="E333" s="431">
        <f ca="1">IF(PaymentSchedule[[#This Row],[PMT NO]]&lt;&gt;"",ScheduledPayment,"")</f>
        <v>9423.6334368029093</v>
      </c>
      <c r="F33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3" s="431">
        <f ca="1">IF(PaymentSchedule[[#This Row],[PMT NO]]&lt;&gt;"",PaymentSchedule[[#This Row],[TOTAL PAYMENT]]-PaymentSchedule[[#This Row],[INTEREST]],"")</f>
        <v>8707.0793541053117</v>
      </c>
      <c r="I333" s="431">
        <f ca="1">IF(PaymentSchedule[[#This Row],[PMT NO]]&lt;&gt;"",PaymentSchedule[[#This Row],[BEGINNING BALANCE]]*(InterestRate/PaymentsPerYear),"")</f>
        <v>716.55408269759789</v>
      </c>
      <c r="J33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335238.88034074171</v>
      </c>
      <c r="K333" s="431">
        <f ca="1">IF(PaymentSchedule[[#This Row],[PMT NO]]&lt;&gt;"",SUM(INDEX(PaymentSchedule[INTEREST],1,1):PaymentSchedule[[#This Row],[INTEREST]]),"")</f>
        <v>994072.48042807903</v>
      </c>
    </row>
    <row r="334" spans="2:11">
      <c r="B334" s="432">
        <f ca="1">IF(LoanIsGood,IF(ROW()-ROW(PaymentSchedule[[#Headers],[PMT NO]])&gt;ScheduledNumberOfPayments,"",ROW()-ROW(PaymentSchedule[[#Headers],[PMT NO]])),"")</f>
        <v>324</v>
      </c>
      <c r="C334" s="430">
        <f ca="1">IF(PaymentSchedule[[#This Row],[PMT NO]]&lt;&gt;"",EOMONTH(LoanStartDate,ROW(PaymentSchedule[[#This Row],[PMT NO]])-ROW(PaymentSchedule[[#Headers],[PMT NO]])-2)+DAY(LoanStartDate),"")</f>
        <v>53783</v>
      </c>
      <c r="D334" s="431">
        <f ca="1">IF(PaymentSchedule[[#This Row],[PMT NO]]&lt;&gt;"",IF(ROW()-ROW(PaymentSchedule[[#Headers],[BEGINNING BALANCE]])=1,LoanAmount,INDEX(PaymentSchedule[ENDING BALANCE],ROW()-ROW(PaymentSchedule[[#Headers],[BEGINNING BALANCE]])-1)),"")</f>
        <v>335238.88034074171</v>
      </c>
      <c r="E334" s="431">
        <f ca="1">IF(PaymentSchedule[[#This Row],[PMT NO]]&lt;&gt;"",ScheduledPayment,"")</f>
        <v>9423.6334368029093</v>
      </c>
      <c r="F33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4" s="431">
        <f ca="1">IF(PaymentSchedule[[#This Row],[PMT NO]]&lt;&gt;"",PaymentSchedule[[#This Row],[TOTAL PAYMENT]]-PaymentSchedule[[#This Row],[INTEREST]],"")</f>
        <v>8725.2191027596982</v>
      </c>
      <c r="I334" s="431">
        <f ca="1">IF(PaymentSchedule[[#This Row],[PMT NO]]&lt;&gt;"",PaymentSchedule[[#This Row],[BEGINNING BALANCE]]*(InterestRate/PaymentsPerYear),"")</f>
        <v>698.41433404321185</v>
      </c>
      <c r="J33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326513.66123798204</v>
      </c>
      <c r="K334" s="431">
        <f ca="1">IF(PaymentSchedule[[#This Row],[PMT NO]]&lt;&gt;"",SUM(INDEX(PaymentSchedule[INTEREST],1,1):PaymentSchedule[[#This Row],[INTEREST]]),"")</f>
        <v>994770.89476212219</v>
      </c>
    </row>
    <row r="335" spans="2:11">
      <c r="B335" s="432">
        <f ca="1">IF(LoanIsGood,IF(ROW()-ROW(PaymentSchedule[[#Headers],[PMT NO]])&gt;ScheduledNumberOfPayments,"",ROW()-ROW(PaymentSchedule[[#Headers],[PMT NO]])),"")</f>
        <v>325</v>
      </c>
      <c r="C335" s="430">
        <f ca="1">IF(PaymentSchedule[[#This Row],[PMT NO]]&lt;&gt;"",EOMONTH(LoanStartDate,ROW(PaymentSchedule[[#This Row],[PMT NO]])-ROW(PaymentSchedule[[#Headers],[PMT NO]])-2)+DAY(LoanStartDate),"")</f>
        <v>53813</v>
      </c>
      <c r="D335" s="431">
        <f ca="1">IF(PaymentSchedule[[#This Row],[PMT NO]]&lt;&gt;"",IF(ROW()-ROW(PaymentSchedule[[#Headers],[BEGINNING BALANCE]])=1,LoanAmount,INDEX(PaymentSchedule[ENDING BALANCE],ROW()-ROW(PaymentSchedule[[#Headers],[BEGINNING BALANCE]])-1)),"")</f>
        <v>326513.66123798204</v>
      </c>
      <c r="E335" s="431">
        <f ca="1">IF(PaymentSchedule[[#This Row],[PMT NO]]&lt;&gt;"",ScheduledPayment,"")</f>
        <v>9423.6334368029093</v>
      </c>
      <c r="F33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5" s="431">
        <f ca="1">IF(PaymentSchedule[[#This Row],[PMT NO]]&lt;&gt;"",PaymentSchedule[[#This Row],[TOTAL PAYMENT]]-PaymentSchedule[[#This Row],[INTEREST]],"")</f>
        <v>8743.3966425571125</v>
      </c>
      <c r="I335" s="431">
        <f ca="1">IF(PaymentSchedule[[#This Row],[PMT NO]]&lt;&gt;"",PaymentSchedule[[#This Row],[BEGINNING BALANCE]]*(InterestRate/PaymentsPerYear),"")</f>
        <v>680.23679424579586</v>
      </c>
      <c r="J33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317770.26459542493</v>
      </c>
      <c r="K335" s="431">
        <f ca="1">IF(PaymentSchedule[[#This Row],[PMT NO]]&lt;&gt;"",SUM(INDEX(PaymentSchedule[INTEREST],1,1):PaymentSchedule[[#This Row],[INTEREST]]),"")</f>
        <v>995451.13155636797</v>
      </c>
    </row>
    <row r="336" spans="2:11">
      <c r="B336" s="432">
        <f ca="1">IF(LoanIsGood,IF(ROW()-ROW(PaymentSchedule[[#Headers],[PMT NO]])&gt;ScheduledNumberOfPayments,"",ROW()-ROW(PaymentSchedule[[#Headers],[PMT NO]])),"")</f>
        <v>326</v>
      </c>
      <c r="C336" s="430">
        <f ca="1">IF(PaymentSchedule[[#This Row],[PMT NO]]&lt;&gt;"",EOMONTH(LoanStartDate,ROW(PaymentSchedule[[#This Row],[PMT NO]])-ROW(PaymentSchedule[[#Headers],[PMT NO]])-2)+DAY(LoanStartDate),"")</f>
        <v>53844</v>
      </c>
      <c r="D336" s="431">
        <f ca="1">IF(PaymentSchedule[[#This Row],[PMT NO]]&lt;&gt;"",IF(ROW()-ROW(PaymentSchedule[[#Headers],[BEGINNING BALANCE]])=1,LoanAmount,INDEX(PaymentSchedule[ENDING BALANCE],ROW()-ROW(PaymentSchedule[[#Headers],[BEGINNING BALANCE]])-1)),"")</f>
        <v>317770.26459542493</v>
      </c>
      <c r="E336" s="431">
        <f ca="1">IF(PaymentSchedule[[#This Row],[PMT NO]]&lt;&gt;"",ScheduledPayment,"")</f>
        <v>9423.6334368029093</v>
      </c>
      <c r="F33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6" s="431">
        <f ca="1">IF(PaymentSchedule[[#This Row],[PMT NO]]&lt;&gt;"",PaymentSchedule[[#This Row],[TOTAL PAYMENT]]-PaymentSchedule[[#This Row],[INTEREST]],"")</f>
        <v>8761.6120522291076</v>
      </c>
      <c r="I336" s="431">
        <f ca="1">IF(PaymentSchedule[[#This Row],[PMT NO]]&lt;&gt;"",PaymentSchedule[[#This Row],[BEGINNING BALANCE]]*(InterestRate/PaymentsPerYear),"")</f>
        <v>662.02138457380192</v>
      </c>
      <c r="J33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309008.65254319581</v>
      </c>
      <c r="K336" s="431">
        <f ca="1">IF(PaymentSchedule[[#This Row],[PMT NO]]&lt;&gt;"",SUM(INDEX(PaymentSchedule[INTEREST],1,1):PaymentSchedule[[#This Row],[INTEREST]]),"")</f>
        <v>996113.15294094174</v>
      </c>
    </row>
    <row r="337" spans="2:11">
      <c r="B337" s="432">
        <f ca="1">IF(LoanIsGood,IF(ROW()-ROW(PaymentSchedule[[#Headers],[PMT NO]])&gt;ScheduledNumberOfPayments,"",ROW()-ROW(PaymentSchedule[[#Headers],[PMT NO]])),"")</f>
        <v>327</v>
      </c>
      <c r="C337" s="430">
        <f ca="1">IF(PaymentSchedule[[#This Row],[PMT NO]]&lt;&gt;"",EOMONTH(LoanStartDate,ROW(PaymentSchedule[[#This Row],[PMT NO]])-ROW(PaymentSchedule[[#Headers],[PMT NO]])-2)+DAY(LoanStartDate),"")</f>
        <v>53874</v>
      </c>
      <c r="D337" s="431">
        <f ca="1">IF(PaymentSchedule[[#This Row],[PMT NO]]&lt;&gt;"",IF(ROW()-ROW(PaymentSchedule[[#Headers],[BEGINNING BALANCE]])=1,LoanAmount,INDEX(PaymentSchedule[ENDING BALANCE],ROW()-ROW(PaymentSchedule[[#Headers],[BEGINNING BALANCE]])-1)),"")</f>
        <v>309008.65254319581</v>
      </c>
      <c r="E337" s="431">
        <f ca="1">IF(PaymentSchedule[[#This Row],[PMT NO]]&lt;&gt;"",ScheduledPayment,"")</f>
        <v>9423.6334368029093</v>
      </c>
      <c r="F33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7" s="431">
        <f ca="1">IF(PaymentSchedule[[#This Row],[PMT NO]]&lt;&gt;"",PaymentSchedule[[#This Row],[TOTAL PAYMENT]]-PaymentSchedule[[#This Row],[INTEREST]],"")</f>
        <v>8779.8654106712511</v>
      </c>
      <c r="I337" s="431">
        <f ca="1">IF(PaymentSchedule[[#This Row],[PMT NO]]&lt;&gt;"",PaymentSchedule[[#This Row],[BEGINNING BALANCE]]*(InterestRate/PaymentsPerYear),"")</f>
        <v>643.76802613165796</v>
      </c>
      <c r="J33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300228.78713252454</v>
      </c>
      <c r="K337" s="431">
        <f ca="1">IF(PaymentSchedule[[#This Row],[PMT NO]]&lt;&gt;"",SUM(INDEX(PaymentSchedule[INTEREST],1,1):PaymentSchedule[[#This Row],[INTEREST]]),"")</f>
        <v>996756.92096707341</v>
      </c>
    </row>
    <row r="338" spans="2:11">
      <c r="B338" s="432">
        <f ca="1">IF(LoanIsGood,IF(ROW()-ROW(PaymentSchedule[[#Headers],[PMT NO]])&gt;ScheduledNumberOfPayments,"",ROW()-ROW(PaymentSchedule[[#Headers],[PMT NO]])),"")</f>
        <v>328</v>
      </c>
      <c r="C338" s="430">
        <f ca="1">IF(PaymentSchedule[[#This Row],[PMT NO]]&lt;&gt;"",EOMONTH(LoanStartDate,ROW(PaymentSchedule[[#This Row],[PMT NO]])-ROW(PaymentSchedule[[#Headers],[PMT NO]])-2)+DAY(LoanStartDate),"")</f>
        <v>53905</v>
      </c>
      <c r="D338" s="431">
        <f ca="1">IF(PaymentSchedule[[#This Row],[PMT NO]]&lt;&gt;"",IF(ROW()-ROW(PaymentSchedule[[#Headers],[BEGINNING BALANCE]])=1,LoanAmount,INDEX(PaymentSchedule[ENDING BALANCE],ROW()-ROW(PaymentSchedule[[#Headers],[BEGINNING BALANCE]])-1)),"")</f>
        <v>300228.78713252454</v>
      </c>
      <c r="E338" s="431">
        <f ca="1">IF(PaymentSchedule[[#This Row],[PMT NO]]&lt;&gt;"",ScheduledPayment,"")</f>
        <v>9423.6334368029093</v>
      </c>
      <c r="F33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8" s="431">
        <f ca="1">IF(PaymentSchedule[[#This Row],[PMT NO]]&lt;&gt;"",PaymentSchedule[[#This Row],[TOTAL PAYMENT]]-PaymentSchedule[[#This Row],[INTEREST]],"")</f>
        <v>8798.1567969434836</v>
      </c>
      <c r="I338" s="431">
        <f ca="1">IF(PaymentSchedule[[#This Row],[PMT NO]]&lt;&gt;"",PaymentSchedule[[#This Row],[BEGINNING BALANCE]]*(InterestRate/PaymentsPerYear),"")</f>
        <v>625.47663985942609</v>
      </c>
      <c r="J33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291430.63033558102</v>
      </c>
      <c r="K338" s="431">
        <f ca="1">IF(PaymentSchedule[[#This Row],[PMT NO]]&lt;&gt;"",SUM(INDEX(PaymentSchedule[INTEREST],1,1):PaymentSchedule[[#This Row],[INTEREST]]),"")</f>
        <v>997382.39760693279</v>
      </c>
    </row>
    <row r="339" spans="2:11">
      <c r="B339" s="432">
        <f ca="1">IF(LoanIsGood,IF(ROW()-ROW(PaymentSchedule[[#Headers],[PMT NO]])&gt;ScheduledNumberOfPayments,"",ROW()-ROW(PaymentSchedule[[#Headers],[PMT NO]])),"")</f>
        <v>329</v>
      </c>
      <c r="C339" s="430">
        <f ca="1">IF(PaymentSchedule[[#This Row],[PMT NO]]&lt;&gt;"",EOMONTH(LoanStartDate,ROW(PaymentSchedule[[#This Row],[PMT NO]])-ROW(PaymentSchedule[[#Headers],[PMT NO]])-2)+DAY(LoanStartDate),"")</f>
        <v>53936</v>
      </c>
      <c r="D339" s="431">
        <f ca="1">IF(PaymentSchedule[[#This Row],[PMT NO]]&lt;&gt;"",IF(ROW()-ROW(PaymentSchedule[[#Headers],[BEGINNING BALANCE]])=1,LoanAmount,INDEX(PaymentSchedule[ENDING BALANCE],ROW()-ROW(PaymentSchedule[[#Headers],[BEGINNING BALANCE]])-1)),"")</f>
        <v>291430.63033558102</v>
      </c>
      <c r="E339" s="431">
        <f ca="1">IF(PaymentSchedule[[#This Row],[PMT NO]]&lt;&gt;"",ScheduledPayment,"")</f>
        <v>9423.6334368029093</v>
      </c>
      <c r="F33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3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39" s="431">
        <f ca="1">IF(PaymentSchedule[[#This Row],[PMT NO]]&lt;&gt;"",PaymentSchedule[[#This Row],[TOTAL PAYMENT]]-PaymentSchedule[[#This Row],[INTEREST]],"")</f>
        <v>8816.4862902704481</v>
      </c>
      <c r="I339" s="431">
        <f ca="1">IF(PaymentSchedule[[#This Row],[PMT NO]]&lt;&gt;"",PaymentSchedule[[#This Row],[BEGINNING BALANCE]]*(InterestRate/PaymentsPerYear),"")</f>
        <v>607.14714653246051</v>
      </c>
      <c r="J33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282614.14404531056</v>
      </c>
      <c r="K339" s="431">
        <f ca="1">IF(PaymentSchedule[[#This Row],[PMT NO]]&lt;&gt;"",SUM(INDEX(PaymentSchedule[INTEREST],1,1):PaymentSchedule[[#This Row],[INTEREST]]),"")</f>
        <v>997989.54475346522</v>
      </c>
    </row>
    <row r="340" spans="2:11">
      <c r="B340" s="432">
        <f ca="1">IF(LoanIsGood,IF(ROW()-ROW(PaymentSchedule[[#Headers],[PMT NO]])&gt;ScheduledNumberOfPayments,"",ROW()-ROW(PaymentSchedule[[#Headers],[PMT NO]])),"")</f>
        <v>330</v>
      </c>
      <c r="C340" s="430">
        <f ca="1">IF(PaymentSchedule[[#This Row],[PMT NO]]&lt;&gt;"",EOMONTH(LoanStartDate,ROW(PaymentSchedule[[#This Row],[PMT NO]])-ROW(PaymentSchedule[[#Headers],[PMT NO]])-2)+DAY(LoanStartDate),"")</f>
        <v>53966</v>
      </c>
      <c r="D340" s="431">
        <f ca="1">IF(PaymentSchedule[[#This Row],[PMT NO]]&lt;&gt;"",IF(ROW()-ROW(PaymentSchedule[[#Headers],[BEGINNING BALANCE]])=1,LoanAmount,INDEX(PaymentSchedule[ENDING BALANCE],ROW()-ROW(PaymentSchedule[[#Headers],[BEGINNING BALANCE]])-1)),"")</f>
        <v>282614.14404531056</v>
      </c>
      <c r="E340" s="431">
        <f ca="1">IF(PaymentSchedule[[#This Row],[PMT NO]]&lt;&gt;"",ScheduledPayment,"")</f>
        <v>9423.6334368029093</v>
      </c>
      <c r="F34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0" s="431">
        <f ca="1">IF(PaymentSchedule[[#This Row],[PMT NO]]&lt;&gt;"",PaymentSchedule[[#This Row],[TOTAL PAYMENT]]-PaymentSchedule[[#This Row],[INTEREST]],"")</f>
        <v>8834.853970041846</v>
      </c>
      <c r="I340" s="431">
        <f ca="1">IF(PaymentSchedule[[#This Row],[PMT NO]]&lt;&gt;"",PaymentSchedule[[#This Row],[BEGINNING BALANCE]]*(InterestRate/PaymentsPerYear),"")</f>
        <v>588.77946676106365</v>
      </c>
      <c r="J34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273779.29007526871</v>
      </c>
      <c r="K340" s="431">
        <f ca="1">IF(PaymentSchedule[[#This Row],[PMT NO]]&lt;&gt;"",SUM(INDEX(PaymentSchedule[INTEREST],1,1):PaymentSchedule[[#This Row],[INTEREST]]),"")</f>
        <v>998578.32422022626</v>
      </c>
    </row>
    <row r="341" spans="2:11">
      <c r="B341" s="432">
        <f ca="1">IF(LoanIsGood,IF(ROW()-ROW(PaymentSchedule[[#Headers],[PMT NO]])&gt;ScheduledNumberOfPayments,"",ROW()-ROW(PaymentSchedule[[#Headers],[PMT NO]])),"")</f>
        <v>331</v>
      </c>
      <c r="C341" s="430">
        <f ca="1">IF(PaymentSchedule[[#This Row],[PMT NO]]&lt;&gt;"",EOMONTH(LoanStartDate,ROW(PaymentSchedule[[#This Row],[PMT NO]])-ROW(PaymentSchedule[[#Headers],[PMT NO]])-2)+DAY(LoanStartDate),"")</f>
        <v>53997</v>
      </c>
      <c r="D341" s="431">
        <f ca="1">IF(PaymentSchedule[[#This Row],[PMT NO]]&lt;&gt;"",IF(ROW()-ROW(PaymentSchedule[[#Headers],[BEGINNING BALANCE]])=1,LoanAmount,INDEX(PaymentSchedule[ENDING BALANCE],ROW()-ROW(PaymentSchedule[[#Headers],[BEGINNING BALANCE]])-1)),"")</f>
        <v>273779.29007526871</v>
      </c>
      <c r="E341" s="431">
        <f ca="1">IF(PaymentSchedule[[#This Row],[PMT NO]]&lt;&gt;"",ScheduledPayment,"")</f>
        <v>9423.6334368029093</v>
      </c>
      <c r="F34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1" s="431">
        <f ca="1">IF(PaymentSchedule[[#This Row],[PMT NO]]&lt;&gt;"",PaymentSchedule[[#This Row],[TOTAL PAYMENT]]-PaymentSchedule[[#This Row],[INTEREST]],"")</f>
        <v>8853.2599158127668</v>
      </c>
      <c r="I341" s="431">
        <f ca="1">IF(PaymentSchedule[[#This Row],[PMT NO]]&lt;&gt;"",PaymentSchedule[[#This Row],[BEGINNING BALANCE]]*(InterestRate/PaymentsPerYear),"")</f>
        <v>570.37352099014311</v>
      </c>
      <c r="J34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264926.03015945596</v>
      </c>
      <c r="K341" s="431">
        <f ca="1">IF(PaymentSchedule[[#This Row],[PMT NO]]&lt;&gt;"",SUM(INDEX(PaymentSchedule[INTEREST],1,1):PaymentSchedule[[#This Row],[INTEREST]]),"")</f>
        <v>999148.6977412164</v>
      </c>
    </row>
    <row r="342" spans="2:11">
      <c r="B342" s="432">
        <f ca="1">IF(LoanIsGood,IF(ROW()-ROW(PaymentSchedule[[#Headers],[PMT NO]])&gt;ScheduledNumberOfPayments,"",ROW()-ROW(PaymentSchedule[[#Headers],[PMT NO]])),"")</f>
        <v>332</v>
      </c>
      <c r="C342" s="430">
        <f ca="1">IF(PaymentSchedule[[#This Row],[PMT NO]]&lt;&gt;"",EOMONTH(LoanStartDate,ROW(PaymentSchedule[[#This Row],[PMT NO]])-ROW(PaymentSchedule[[#Headers],[PMT NO]])-2)+DAY(LoanStartDate),"")</f>
        <v>54027</v>
      </c>
      <c r="D342" s="431">
        <f ca="1">IF(PaymentSchedule[[#This Row],[PMT NO]]&lt;&gt;"",IF(ROW()-ROW(PaymentSchedule[[#Headers],[BEGINNING BALANCE]])=1,LoanAmount,INDEX(PaymentSchedule[ENDING BALANCE],ROW()-ROW(PaymentSchedule[[#Headers],[BEGINNING BALANCE]])-1)),"")</f>
        <v>264926.03015945596</v>
      </c>
      <c r="E342" s="431">
        <f ca="1">IF(PaymentSchedule[[#This Row],[PMT NO]]&lt;&gt;"",ScheduledPayment,"")</f>
        <v>9423.6334368029093</v>
      </c>
      <c r="F34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2" s="431">
        <f ca="1">IF(PaymentSchedule[[#This Row],[PMT NO]]&lt;&gt;"",PaymentSchedule[[#This Row],[TOTAL PAYMENT]]-PaymentSchedule[[#This Row],[INTEREST]],"")</f>
        <v>8871.7042073040429</v>
      </c>
      <c r="I342" s="431">
        <f ca="1">IF(PaymentSchedule[[#This Row],[PMT NO]]&lt;&gt;"",PaymentSchedule[[#This Row],[BEGINNING BALANCE]]*(InterestRate/PaymentsPerYear),"")</f>
        <v>551.92922949886656</v>
      </c>
      <c r="J34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256054.32595215191</v>
      </c>
      <c r="K342" s="431">
        <f ca="1">IF(PaymentSchedule[[#This Row],[PMT NO]]&lt;&gt;"",SUM(INDEX(PaymentSchedule[INTEREST],1,1):PaymentSchedule[[#This Row],[INTEREST]]),"")</f>
        <v>999700.62697071524</v>
      </c>
    </row>
    <row r="343" spans="2:11">
      <c r="B343" s="432">
        <f ca="1">IF(LoanIsGood,IF(ROW()-ROW(PaymentSchedule[[#Headers],[PMT NO]])&gt;ScheduledNumberOfPayments,"",ROW()-ROW(PaymentSchedule[[#Headers],[PMT NO]])),"")</f>
        <v>333</v>
      </c>
      <c r="C343" s="430">
        <f ca="1">IF(PaymentSchedule[[#This Row],[PMT NO]]&lt;&gt;"",EOMONTH(LoanStartDate,ROW(PaymentSchedule[[#This Row],[PMT NO]])-ROW(PaymentSchedule[[#Headers],[PMT NO]])-2)+DAY(LoanStartDate),"")</f>
        <v>54058</v>
      </c>
      <c r="D343" s="431">
        <f ca="1">IF(PaymentSchedule[[#This Row],[PMT NO]]&lt;&gt;"",IF(ROW()-ROW(PaymentSchedule[[#Headers],[BEGINNING BALANCE]])=1,LoanAmount,INDEX(PaymentSchedule[ENDING BALANCE],ROW()-ROW(PaymentSchedule[[#Headers],[BEGINNING BALANCE]])-1)),"")</f>
        <v>256054.32595215191</v>
      </c>
      <c r="E343" s="431">
        <f ca="1">IF(PaymentSchedule[[#This Row],[PMT NO]]&lt;&gt;"",ScheduledPayment,"")</f>
        <v>9423.6334368029093</v>
      </c>
      <c r="F34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3" s="431">
        <f ca="1">IF(PaymentSchedule[[#This Row],[PMT NO]]&lt;&gt;"",PaymentSchedule[[#This Row],[TOTAL PAYMENT]]-PaymentSchedule[[#This Row],[INTEREST]],"")</f>
        <v>8890.1869244025929</v>
      </c>
      <c r="I343" s="431">
        <f ca="1">IF(PaymentSchedule[[#This Row],[PMT NO]]&lt;&gt;"",PaymentSchedule[[#This Row],[BEGINNING BALANCE]]*(InterestRate/PaymentsPerYear),"")</f>
        <v>533.44651240031646</v>
      </c>
      <c r="J34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247164.1390277493</v>
      </c>
      <c r="K343" s="431">
        <f ca="1">IF(PaymentSchedule[[#This Row],[PMT NO]]&lt;&gt;"",SUM(INDEX(PaymentSchedule[INTEREST],1,1):PaymentSchedule[[#This Row],[INTEREST]]),"")</f>
        <v>1000234.0734831155</v>
      </c>
    </row>
    <row r="344" spans="2:11">
      <c r="B344" s="432">
        <f ca="1">IF(LoanIsGood,IF(ROW()-ROW(PaymentSchedule[[#Headers],[PMT NO]])&gt;ScheduledNumberOfPayments,"",ROW()-ROW(PaymentSchedule[[#Headers],[PMT NO]])),"")</f>
        <v>334</v>
      </c>
      <c r="C344" s="430">
        <f ca="1">IF(PaymentSchedule[[#This Row],[PMT NO]]&lt;&gt;"",EOMONTH(LoanStartDate,ROW(PaymentSchedule[[#This Row],[PMT NO]])-ROW(PaymentSchedule[[#Headers],[PMT NO]])-2)+DAY(LoanStartDate),"")</f>
        <v>54089</v>
      </c>
      <c r="D344" s="431">
        <f ca="1">IF(PaymentSchedule[[#This Row],[PMT NO]]&lt;&gt;"",IF(ROW()-ROW(PaymentSchedule[[#Headers],[BEGINNING BALANCE]])=1,LoanAmount,INDEX(PaymentSchedule[ENDING BALANCE],ROW()-ROW(PaymentSchedule[[#Headers],[BEGINNING BALANCE]])-1)),"")</f>
        <v>247164.1390277493</v>
      </c>
      <c r="E344" s="431">
        <f ca="1">IF(PaymentSchedule[[#This Row],[PMT NO]]&lt;&gt;"",ScheduledPayment,"")</f>
        <v>9423.6334368029093</v>
      </c>
      <c r="F34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4" s="431">
        <f ca="1">IF(PaymentSchedule[[#This Row],[PMT NO]]&lt;&gt;"",PaymentSchedule[[#This Row],[TOTAL PAYMENT]]-PaymentSchedule[[#This Row],[INTEREST]],"")</f>
        <v>8908.7081471617657</v>
      </c>
      <c r="I344" s="431">
        <f ca="1">IF(PaymentSchedule[[#This Row],[PMT NO]]&lt;&gt;"",PaymentSchedule[[#This Row],[BEGINNING BALANCE]]*(InterestRate/PaymentsPerYear),"")</f>
        <v>514.92528964114433</v>
      </c>
      <c r="J34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238255.43088058755</v>
      </c>
      <c r="K344" s="431">
        <f ca="1">IF(PaymentSchedule[[#This Row],[PMT NO]]&lt;&gt;"",SUM(INDEX(PaymentSchedule[INTEREST],1,1):PaymentSchedule[[#This Row],[INTEREST]]),"")</f>
        <v>1000748.9987727567</v>
      </c>
    </row>
    <row r="345" spans="2:11">
      <c r="B345" s="432">
        <f ca="1">IF(LoanIsGood,IF(ROW()-ROW(PaymentSchedule[[#Headers],[PMT NO]])&gt;ScheduledNumberOfPayments,"",ROW()-ROW(PaymentSchedule[[#Headers],[PMT NO]])),"")</f>
        <v>335</v>
      </c>
      <c r="C345" s="430">
        <f ca="1">IF(PaymentSchedule[[#This Row],[PMT NO]]&lt;&gt;"",EOMONTH(LoanStartDate,ROW(PaymentSchedule[[#This Row],[PMT NO]])-ROW(PaymentSchedule[[#Headers],[PMT NO]])-2)+DAY(LoanStartDate),"")</f>
        <v>54118</v>
      </c>
      <c r="D345" s="431">
        <f ca="1">IF(PaymentSchedule[[#This Row],[PMT NO]]&lt;&gt;"",IF(ROW()-ROW(PaymentSchedule[[#Headers],[BEGINNING BALANCE]])=1,LoanAmount,INDEX(PaymentSchedule[ENDING BALANCE],ROW()-ROW(PaymentSchedule[[#Headers],[BEGINNING BALANCE]])-1)),"")</f>
        <v>238255.43088058755</v>
      </c>
      <c r="E345" s="431">
        <f ca="1">IF(PaymentSchedule[[#This Row],[PMT NO]]&lt;&gt;"",ScheduledPayment,"")</f>
        <v>9423.6334368029093</v>
      </c>
      <c r="F34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5" s="431">
        <f ca="1">IF(PaymentSchedule[[#This Row],[PMT NO]]&lt;&gt;"",PaymentSchedule[[#This Row],[TOTAL PAYMENT]]-PaymentSchedule[[#This Row],[INTEREST]],"")</f>
        <v>8927.2679558016844</v>
      </c>
      <c r="I345" s="431">
        <f ca="1">IF(PaymentSchedule[[#This Row],[PMT NO]]&lt;&gt;"",PaymentSchedule[[#This Row],[BEGINNING BALANCE]]*(InterestRate/PaymentsPerYear),"")</f>
        <v>496.36548100122405</v>
      </c>
      <c r="J34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229328.16292478587</v>
      </c>
      <c r="K345" s="431">
        <f ca="1">IF(PaymentSchedule[[#This Row],[PMT NO]]&lt;&gt;"",SUM(INDEX(PaymentSchedule[INTEREST],1,1):PaymentSchedule[[#This Row],[INTEREST]]),"")</f>
        <v>1001245.3642537579</v>
      </c>
    </row>
    <row r="346" spans="2:11">
      <c r="B346" s="432">
        <f ca="1">IF(LoanIsGood,IF(ROW()-ROW(PaymentSchedule[[#Headers],[PMT NO]])&gt;ScheduledNumberOfPayments,"",ROW()-ROW(PaymentSchedule[[#Headers],[PMT NO]])),"")</f>
        <v>336</v>
      </c>
      <c r="C346" s="430">
        <f ca="1">IF(PaymentSchedule[[#This Row],[PMT NO]]&lt;&gt;"",EOMONTH(LoanStartDate,ROW(PaymentSchedule[[#This Row],[PMT NO]])-ROW(PaymentSchedule[[#Headers],[PMT NO]])-2)+DAY(LoanStartDate),"")</f>
        <v>54149</v>
      </c>
      <c r="D346" s="431">
        <f ca="1">IF(PaymentSchedule[[#This Row],[PMT NO]]&lt;&gt;"",IF(ROW()-ROW(PaymentSchedule[[#Headers],[BEGINNING BALANCE]])=1,LoanAmount,INDEX(PaymentSchedule[ENDING BALANCE],ROW()-ROW(PaymentSchedule[[#Headers],[BEGINNING BALANCE]])-1)),"")</f>
        <v>229328.16292478587</v>
      </c>
      <c r="E346" s="431">
        <f ca="1">IF(PaymentSchedule[[#This Row],[PMT NO]]&lt;&gt;"",ScheduledPayment,"")</f>
        <v>9423.6334368029093</v>
      </c>
      <c r="F34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6" s="431">
        <f ca="1">IF(PaymentSchedule[[#This Row],[PMT NO]]&lt;&gt;"",PaymentSchedule[[#This Row],[TOTAL PAYMENT]]-PaymentSchedule[[#This Row],[INTEREST]],"")</f>
        <v>8945.866430709606</v>
      </c>
      <c r="I346" s="431">
        <f ca="1">IF(PaymentSchedule[[#This Row],[PMT NO]]&lt;&gt;"",PaymentSchedule[[#This Row],[BEGINNING BALANCE]]*(InterestRate/PaymentsPerYear),"")</f>
        <v>477.76700609330391</v>
      </c>
      <c r="J34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220382.29649407626</v>
      </c>
      <c r="K346" s="431">
        <f ca="1">IF(PaymentSchedule[[#This Row],[PMT NO]]&lt;&gt;"",SUM(INDEX(PaymentSchedule[INTEREST],1,1):PaymentSchedule[[#This Row],[INTEREST]]),"")</f>
        <v>1001723.1312598512</v>
      </c>
    </row>
    <row r="347" spans="2:11">
      <c r="B347" s="432">
        <f ca="1">IF(LoanIsGood,IF(ROW()-ROW(PaymentSchedule[[#Headers],[PMT NO]])&gt;ScheduledNumberOfPayments,"",ROW()-ROW(PaymentSchedule[[#Headers],[PMT NO]])),"")</f>
        <v>337</v>
      </c>
      <c r="C347" s="430">
        <f ca="1">IF(PaymentSchedule[[#This Row],[PMT NO]]&lt;&gt;"",EOMONTH(LoanStartDate,ROW(PaymentSchedule[[#This Row],[PMT NO]])-ROW(PaymentSchedule[[#Headers],[PMT NO]])-2)+DAY(LoanStartDate),"")</f>
        <v>54179</v>
      </c>
      <c r="D347" s="431">
        <f ca="1">IF(PaymentSchedule[[#This Row],[PMT NO]]&lt;&gt;"",IF(ROW()-ROW(PaymentSchedule[[#Headers],[BEGINNING BALANCE]])=1,LoanAmount,INDEX(PaymentSchedule[ENDING BALANCE],ROW()-ROW(PaymentSchedule[[#Headers],[BEGINNING BALANCE]])-1)),"")</f>
        <v>220382.29649407626</v>
      </c>
      <c r="E347" s="431">
        <f ca="1">IF(PaymentSchedule[[#This Row],[PMT NO]]&lt;&gt;"",ScheduledPayment,"")</f>
        <v>9423.6334368029093</v>
      </c>
      <c r="F34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7" s="431">
        <f ca="1">IF(PaymentSchedule[[#This Row],[PMT NO]]&lt;&gt;"",PaymentSchedule[[#This Row],[TOTAL PAYMENT]]-PaymentSchedule[[#This Row],[INTEREST]],"")</f>
        <v>8964.5036524402512</v>
      </c>
      <c r="I347" s="431">
        <f ca="1">IF(PaymentSchedule[[#This Row],[PMT NO]]&lt;&gt;"",PaymentSchedule[[#This Row],[BEGINNING BALANCE]]*(InterestRate/PaymentsPerYear),"")</f>
        <v>459.12978436265888</v>
      </c>
      <c r="J34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211417.79284163602</v>
      </c>
      <c r="K347" s="431">
        <f ca="1">IF(PaymentSchedule[[#This Row],[PMT NO]]&lt;&gt;"",SUM(INDEX(PaymentSchedule[INTEREST],1,1):PaymentSchedule[[#This Row],[INTEREST]]),"")</f>
        <v>1002182.2610442138</v>
      </c>
    </row>
    <row r="348" spans="2:11">
      <c r="B348" s="432">
        <f ca="1">IF(LoanIsGood,IF(ROW()-ROW(PaymentSchedule[[#Headers],[PMT NO]])&gt;ScheduledNumberOfPayments,"",ROW()-ROW(PaymentSchedule[[#Headers],[PMT NO]])),"")</f>
        <v>338</v>
      </c>
      <c r="C348" s="430">
        <f ca="1">IF(PaymentSchedule[[#This Row],[PMT NO]]&lt;&gt;"",EOMONTH(LoanStartDate,ROW(PaymentSchedule[[#This Row],[PMT NO]])-ROW(PaymentSchedule[[#Headers],[PMT NO]])-2)+DAY(LoanStartDate),"")</f>
        <v>54210</v>
      </c>
      <c r="D348" s="431">
        <f ca="1">IF(PaymentSchedule[[#This Row],[PMT NO]]&lt;&gt;"",IF(ROW()-ROW(PaymentSchedule[[#Headers],[BEGINNING BALANCE]])=1,LoanAmount,INDEX(PaymentSchedule[ENDING BALANCE],ROW()-ROW(PaymentSchedule[[#Headers],[BEGINNING BALANCE]])-1)),"")</f>
        <v>211417.79284163602</v>
      </c>
      <c r="E348" s="431">
        <f ca="1">IF(PaymentSchedule[[#This Row],[PMT NO]]&lt;&gt;"",ScheduledPayment,"")</f>
        <v>9423.6334368029093</v>
      </c>
      <c r="F34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8" s="431">
        <f ca="1">IF(PaymentSchedule[[#This Row],[PMT NO]]&lt;&gt;"",PaymentSchedule[[#This Row],[TOTAL PAYMENT]]-PaymentSchedule[[#This Row],[INTEREST]],"")</f>
        <v>8983.179701716168</v>
      </c>
      <c r="I348" s="431">
        <f ca="1">IF(PaymentSchedule[[#This Row],[PMT NO]]&lt;&gt;"",PaymentSchedule[[#This Row],[BEGINNING BALANCE]]*(InterestRate/PaymentsPerYear),"")</f>
        <v>440.45373508674169</v>
      </c>
      <c r="J34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202434.61313991985</v>
      </c>
      <c r="K348" s="431">
        <f ca="1">IF(PaymentSchedule[[#This Row],[PMT NO]]&lt;&gt;"",SUM(INDEX(PaymentSchedule[INTEREST],1,1):PaymentSchedule[[#This Row],[INTEREST]]),"")</f>
        <v>1002622.7147793005</v>
      </c>
    </row>
    <row r="349" spans="2:11">
      <c r="B349" s="432">
        <f ca="1">IF(LoanIsGood,IF(ROW()-ROW(PaymentSchedule[[#Headers],[PMT NO]])&gt;ScheduledNumberOfPayments,"",ROW()-ROW(PaymentSchedule[[#Headers],[PMT NO]])),"")</f>
        <v>339</v>
      </c>
      <c r="C349" s="430">
        <f ca="1">IF(PaymentSchedule[[#This Row],[PMT NO]]&lt;&gt;"",EOMONTH(LoanStartDate,ROW(PaymentSchedule[[#This Row],[PMT NO]])-ROW(PaymentSchedule[[#Headers],[PMT NO]])-2)+DAY(LoanStartDate),"")</f>
        <v>54240</v>
      </c>
      <c r="D349" s="431">
        <f ca="1">IF(PaymentSchedule[[#This Row],[PMT NO]]&lt;&gt;"",IF(ROW()-ROW(PaymentSchedule[[#Headers],[BEGINNING BALANCE]])=1,LoanAmount,INDEX(PaymentSchedule[ENDING BALANCE],ROW()-ROW(PaymentSchedule[[#Headers],[BEGINNING BALANCE]])-1)),"")</f>
        <v>202434.61313991985</v>
      </c>
      <c r="E349" s="431">
        <f ca="1">IF(PaymentSchedule[[#This Row],[PMT NO]]&lt;&gt;"",ScheduledPayment,"")</f>
        <v>9423.6334368029093</v>
      </c>
      <c r="F34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4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49" s="431">
        <f ca="1">IF(PaymentSchedule[[#This Row],[PMT NO]]&lt;&gt;"",PaymentSchedule[[#This Row],[TOTAL PAYMENT]]-PaymentSchedule[[#This Row],[INTEREST]],"")</f>
        <v>9001.8946594280769</v>
      </c>
      <c r="I349" s="431">
        <f ca="1">IF(PaymentSchedule[[#This Row],[PMT NO]]&lt;&gt;"",PaymentSchedule[[#This Row],[BEGINNING BALANCE]]*(InterestRate/PaymentsPerYear),"")</f>
        <v>421.73877737483303</v>
      </c>
      <c r="J34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193432.71848049178</v>
      </c>
      <c r="K349" s="431">
        <f ca="1">IF(PaymentSchedule[[#This Row],[PMT NO]]&lt;&gt;"",SUM(INDEX(PaymentSchedule[INTEREST],1,1):PaymentSchedule[[#This Row],[INTEREST]]),"")</f>
        <v>1003044.4535566753</v>
      </c>
    </row>
    <row r="350" spans="2:11">
      <c r="B350" s="432">
        <f ca="1">IF(LoanIsGood,IF(ROW()-ROW(PaymentSchedule[[#Headers],[PMT NO]])&gt;ScheduledNumberOfPayments,"",ROW()-ROW(PaymentSchedule[[#Headers],[PMT NO]])),"")</f>
        <v>340</v>
      </c>
      <c r="C350" s="430">
        <f ca="1">IF(PaymentSchedule[[#This Row],[PMT NO]]&lt;&gt;"",EOMONTH(LoanStartDate,ROW(PaymentSchedule[[#This Row],[PMT NO]])-ROW(PaymentSchedule[[#Headers],[PMT NO]])-2)+DAY(LoanStartDate),"")</f>
        <v>54271</v>
      </c>
      <c r="D350" s="431">
        <f ca="1">IF(PaymentSchedule[[#This Row],[PMT NO]]&lt;&gt;"",IF(ROW()-ROW(PaymentSchedule[[#Headers],[BEGINNING BALANCE]])=1,LoanAmount,INDEX(PaymentSchedule[ENDING BALANCE],ROW()-ROW(PaymentSchedule[[#Headers],[BEGINNING BALANCE]])-1)),"")</f>
        <v>193432.71848049178</v>
      </c>
      <c r="E350" s="431">
        <f ca="1">IF(PaymentSchedule[[#This Row],[PMT NO]]&lt;&gt;"",ScheduledPayment,"")</f>
        <v>9423.6334368029093</v>
      </c>
      <c r="F35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0" s="431">
        <f ca="1">IF(PaymentSchedule[[#This Row],[PMT NO]]&lt;&gt;"",PaymentSchedule[[#This Row],[TOTAL PAYMENT]]-PaymentSchedule[[#This Row],[INTEREST]],"")</f>
        <v>9020.6486066352172</v>
      </c>
      <c r="I350" s="431">
        <f ca="1">IF(PaymentSchedule[[#This Row],[PMT NO]]&lt;&gt;"",PaymentSchedule[[#This Row],[BEGINNING BALANCE]]*(InterestRate/PaymentsPerYear),"")</f>
        <v>402.9848301676912</v>
      </c>
      <c r="J35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184412.06987385656</v>
      </c>
      <c r="K350" s="431">
        <f ca="1">IF(PaymentSchedule[[#This Row],[PMT NO]]&lt;&gt;"",SUM(INDEX(PaymentSchedule[INTEREST],1,1):PaymentSchedule[[#This Row],[INTEREST]]),"")</f>
        <v>1003447.4383868431</v>
      </c>
    </row>
    <row r="351" spans="2:11">
      <c r="B351" s="432">
        <f ca="1">IF(LoanIsGood,IF(ROW()-ROW(PaymentSchedule[[#Headers],[PMT NO]])&gt;ScheduledNumberOfPayments,"",ROW()-ROW(PaymentSchedule[[#Headers],[PMT NO]])),"")</f>
        <v>341</v>
      </c>
      <c r="C351" s="430">
        <f ca="1">IF(PaymentSchedule[[#This Row],[PMT NO]]&lt;&gt;"",EOMONTH(LoanStartDate,ROW(PaymentSchedule[[#This Row],[PMT NO]])-ROW(PaymentSchedule[[#Headers],[PMT NO]])-2)+DAY(LoanStartDate),"")</f>
        <v>54302</v>
      </c>
      <c r="D351" s="431">
        <f ca="1">IF(PaymentSchedule[[#This Row],[PMT NO]]&lt;&gt;"",IF(ROW()-ROW(PaymentSchedule[[#Headers],[BEGINNING BALANCE]])=1,LoanAmount,INDEX(PaymentSchedule[ENDING BALANCE],ROW()-ROW(PaymentSchedule[[#Headers],[BEGINNING BALANCE]])-1)),"")</f>
        <v>184412.06987385656</v>
      </c>
      <c r="E351" s="431">
        <f ca="1">IF(PaymentSchedule[[#This Row],[PMT NO]]&lt;&gt;"",ScheduledPayment,"")</f>
        <v>9423.6334368029093</v>
      </c>
      <c r="F35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1" s="431">
        <f ca="1">IF(PaymentSchedule[[#This Row],[PMT NO]]&lt;&gt;"",PaymentSchedule[[#This Row],[TOTAL PAYMENT]]-PaymentSchedule[[#This Row],[INTEREST]],"")</f>
        <v>9039.4416245657085</v>
      </c>
      <c r="I351" s="431">
        <f ca="1">IF(PaymentSchedule[[#This Row],[PMT NO]]&lt;&gt;"",PaymentSchedule[[#This Row],[BEGINNING BALANCE]]*(InterestRate/PaymentsPerYear),"")</f>
        <v>384.19181223720113</v>
      </c>
      <c r="J35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175372.62824929084</v>
      </c>
      <c r="K351" s="431">
        <f ca="1">IF(PaymentSchedule[[#This Row],[PMT NO]]&lt;&gt;"",SUM(INDEX(PaymentSchedule[INTEREST],1,1):PaymentSchedule[[#This Row],[INTEREST]]),"")</f>
        <v>1003831.6301990803</v>
      </c>
    </row>
    <row r="352" spans="2:11">
      <c r="B352" s="432">
        <f ca="1">IF(LoanIsGood,IF(ROW()-ROW(PaymentSchedule[[#Headers],[PMT NO]])&gt;ScheduledNumberOfPayments,"",ROW()-ROW(PaymentSchedule[[#Headers],[PMT NO]])),"")</f>
        <v>342</v>
      </c>
      <c r="C352" s="430">
        <f ca="1">IF(PaymentSchedule[[#This Row],[PMT NO]]&lt;&gt;"",EOMONTH(LoanStartDate,ROW(PaymentSchedule[[#This Row],[PMT NO]])-ROW(PaymentSchedule[[#Headers],[PMT NO]])-2)+DAY(LoanStartDate),"")</f>
        <v>54332</v>
      </c>
      <c r="D352" s="431">
        <f ca="1">IF(PaymentSchedule[[#This Row],[PMT NO]]&lt;&gt;"",IF(ROW()-ROW(PaymentSchedule[[#Headers],[BEGINNING BALANCE]])=1,LoanAmount,INDEX(PaymentSchedule[ENDING BALANCE],ROW()-ROW(PaymentSchedule[[#Headers],[BEGINNING BALANCE]])-1)),"")</f>
        <v>175372.62824929084</v>
      </c>
      <c r="E352" s="431">
        <f ca="1">IF(PaymentSchedule[[#This Row],[PMT NO]]&lt;&gt;"",ScheduledPayment,"")</f>
        <v>9423.6334368029093</v>
      </c>
      <c r="F35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2" s="431">
        <f ca="1">IF(PaymentSchedule[[#This Row],[PMT NO]]&lt;&gt;"",PaymentSchedule[[#This Row],[TOTAL PAYMENT]]-PaymentSchedule[[#This Row],[INTEREST]],"")</f>
        <v>9058.2737946168872</v>
      </c>
      <c r="I352" s="431">
        <f ca="1">IF(PaymentSchedule[[#This Row],[PMT NO]]&lt;&gt;"",PaymentSchedule[[#This Row],[BEGINNING BALANCE]]*(InterestRate/PaymentsPerYear),"")</f>
        <v>365.3596421860226</v>
      </c>
      <c r="J35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166314.35445467394</v>
      </c>
      <c r="K352" s="431">
        <f ca="1">IF(PaymentSchedule[[#This Row],[PMT NO]]&lt;&gt;"",SUM(INDEX(PaymentSchedule[INTEREST],1,1):PaymentSchedule[[#This Row],[INTEREST]]),"")</f>
        <v>1004196.9898412663</v>
      </c>
    </row>
    <row r="353" spans="2:11">
      <c r="B353" s="432">
        <f ca="1">IF(LoanIsGood,IF(ROW()-ROW(PaymentSchedule[[#Headers],[PMT NO]])&gt;ScheduledNumberOfPayments,"",ROW()-ROW(PaymentSchedule[[#Headers],[PMT NO]])),"")</f>
        <v>343</v>
      </c>
      <c r="C353" s="430">
        <f ca="1">IF(PaymentSchedule[[#This Row],[PMT NO]]&lt;&gt;"",EOMONTH(LoanStartDate,ROW(PaymentSchedule[[#This Row],[PMT NO]])-ROW(PaymentSchedule[[#Headers],[PMT NO]])-2)+DAY(LoanStartDate),"")</f>
        <v>54363</v>
      </c>
      <c r="D353" s="431">
        <f ca="1">IF(PaymentSchedule[[#This Row],[PMT NO]]&lt;&gt;"",IF(ROW()-ROW(PaymentSchedule[[#Headers],[BEGINNING BALANCE]])=1,LoanAmount,INDEX(PaymentSchedule[ENDING BALANCE],ROW()-ROW(PaymentSchedule[[#Headers],[BEGINNING BALANCE]])-1)),"")</f>
        <v>166314.35445467394</v>
      </c>
      <c r="E353" s="431">
        <f ca="1">IF(PaymentSchedule[[#This Row],[PMT NO]]&lt;&gt;"",ScheduledPayment,"")</f>
        <v>9423.6334368029093</v>
      </c>
      <c r="F35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3" s="431">
        <f ca="1">IF(PaymentSchedule[[#This Row],[PMT NO]]&lt;&gt;"",PaymentSchedule[[#This Row],[TOTAL PAYMENT]]-PaymentSchedule[[#This Row],[INTEREST]],"")</f>
        <v>9077.1451983556726</v>
      </c>
      <c r="I353" s="431">
        <f ca="1">IF(PaymentSchedule[[#This Row],[PMT NO]]&lt;&gt;"",PaymentSchedule[[#This Row],[BEGINNING BALANCE]]*(InterestRate/PaymentsPerYear),"")</f>
        <v>346.48823844723739</v>
      </c>
      <c r="J35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157237.20925631828</v>
      </c>
      <c r="K353" s="431">
        <f ca="1">IF(PaymentSchedule[[#This Row],[PMT NO]]&lt;&gt;"",SUM(INDEX(PaymentSchedule[INTEREST],1,1):PaymentSchedule[[#This Row],[INTEREST]]),"")</f>
        <v>1004543.4780797135</v>
      </c>
    </row>
    <row r="354" spans="2:11">
      <c r="B354" s="432">
        <f ca="1">IF(LoanIsGood,IF(ROW()-ROW(PaymentSchedule[[#Headers],[PMT NO]])&gt;ScheduledNumberOfPayments,"",ROW()-ROW(PaymentSchedule[[#Headers],[PMT NO]])),"")</f>
        <v>344</v>
      </c>
      <c r="C354" s="430">
        <f ca="1">IF(PaymentSchedule[[#This Row],[PMT NO]]&lt;&gt;"",EOMONTH(LoanStartDate,ROW(PaymentSchedule[[#This Row],[PMT NO]])-ROW(PaymentSchedule[[#Headers],[PMT NO]])-2)+DAY(LoanStartDate),"")</f>
        <v>54393</v>
      </c>
      <c r="D354" s="431">
        <f ca="1">IF(PaymentSchedule[[#This Row],[PMT NO]]&lt;&gt;"",IF(ROW()-ROW(PaymentSchedule[[#Headers],[BEGINNING BALANCE]])=1,LoanAmount,INDEX(PaymentSchedule[ENDING BALANCE],ROW()-ROW(PaymentSchedule[[#Headers],[BEGINNING BALANCE]])-1)),"")</f>
        <v>157237.20925631828</v>
      </c>
      <c r="E354" s="431">
        <f ca="1">IF(PaymentSchedule[[#This Row],[PMT NO]]&lt;&gt;"",ScheduledPayment,"")</f>
        <v>9423.6334368029093</v>
      </c>
      <c r="F35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4" s="431">
        <f ca="1">IF(PaymentSchedule[[#This Row],[PMT NO]]&lt;&gt;"",PaymentSchedule[[#This Row],[TOTAL PAYMENT]]-PaymentSchedule[[#This Row],[INTEREST]],"")</f>
        <v>9096.0559175189137</v>
      </c>
      <c r="I354" s="431">
        <f ca="1">IF(PaymentSchedule[[#This Row],[PMT NO]]&lt;&gt;"",PaymentSchedule[[#This Row],[BEGINNING BALANCE]]*(InterestRate/PaymentsPerYear),"")</f>
        <v>327.57751928399642</v>
      </c>
      <c r="J35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148141.15333879937</v>
      </c>
      <c r="K354" s="431">
        <f ca="1">IF(PaymentSchedule[[#This Row],[PMT NO]]&lt;&gt;"",SUM(INDEX(PaymentSchedule[INTEREST],1,1):PaymentSchedule[[#This Row],[INTEREST]]),"")</f>
        <v>1004871.0555989975</v>
      </c>
    </row>
    <row r="355" spans="2:11">
      <c r="B355" s="432">
        <f ca="1">IF(LoanIsGood,IF(ROW()-ROW(PaymentSchedule[[#Headers],[PMT NO]])&gt;ScheduledNumberOfPayments,"",ROW()-ROW(PaymentSchedule[[#Headers],[PMT NO]])),"")</f>
        <v>345</v>
      </c>
      <c r="C355" s="430">
        <f ca="1">IF(PaymentSchedule[[#This Row],[PMT NO]]&lt;&gt;"",EOMONTH(LoanStartDate,ROW(PaymentSchedule[[#This Row],[PMT NO]])-ROW(PaymentSchedule[[#Headers],[PMT NO]])-2)+DAY(LoanStartDate),"")</f>
        <v>54424</v>
      </c>
      <c r="D355" s="431">
        <f ca="1">IF(PaymentSchedule[[#This Row],[PMT NO]]&lt;&gt;"",IF(ROW()-ROW(PaymentSchedule[[#Headers],[BEGINNING BALANCE]])=1,LoanAmount,INDEX(PaymentSchedule[ENDING BALANCE],ROW()-ROW(PaymentSchedule[[#Headers],[BEGINNING BALANCE]])-1)),"")</f>
        <v>148141.15333879937</v>
      </c>
      <c r="E355" s="431">
        <f ca="1">IF(PaymentSchedule[[#This Row],[PMT NO]]&lt;&gt;"",ScheduledPayment,"")</f>
        <v>9423.6334368029093</v>
      </c>
      <c r="F35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5" s="431">
        <f ca="1">IF(PaymentSchedule[[#This Row],[PMT NO]]&lt;&gt;"",PaymentSchedule[[#This Row],[TOTAL PAYMENT]]-PaymentSchedule[[#This Row],[INTEREST]],"")</f>
        <v>9115.0060340137443</v>
      </c>
      <c r="I355" s="431">
        <f ca="1">IF(PaymentSchedule[[#This Row],[PMT NO]]&lt;&gt;"",PaymentSchedule[[#This Row],[BEGINNING BALANCE]]*(InterestRate/PaymentsPerYear),"")</f>
        <v>308.62740278916533</v>
      </c>
      <c r="J35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139026.14730478561</v>
      </c>
      <c r="K355" s="431">
        <f ca="1">IF(PaymentSchedule[[#This Row],[PMT NO]]&lt;&gt;"",SUM(INDEX(PaymentSchedule[INTEREST],1,1):PaymentSchedule[[#This Row],[INTEREST]]),"")</f>
        <v>1005179.6830017867</v>
      </c>
    </row>
    <row r="356" spans="2:11">
      <c r="B356" s="432">
        <f ca="1">IF(LoanIsGood,IF(ROW()-ROW(PaymentSchedule[[#Headers],[PMT NO]])&gt;ScheduledNumberOfPayments,"",ROW()-ROW(PaymentSchedule[[#Headers],[PMT NO]])),"")</f>
        <v>346</v>
      </c>
      <c r="C356" s="430">
        <f ca="1">IF(PaymentSchedule[[#This Row],[PMT NO]]&lt;&gt;"",EOMONTH(LoanStartDate,ROW(PaymentSchedule[[#This Row],[PMT NO]])-ROW(PaymentSchedule[[#Headers],[PMT NO]])-2)+DAY(LoanStartDate),"")</f>
        <v>54455</v>
      </c>
      <c r="D356" s="431">
        <f ca="1">IF(PaymentSchedule[[#This Row],[PMT NO]]&lt;&gt;"",IF(ROW()-ROW(PaymentSchedule[[#Headers],[BEGINNING BALANCE]])=1,LoanAmount,INDEX(PaymentSchedule[ENDING BALANCE],ROW()-ROW(PaymentSchedule[[#Headers],[BEGINNING BALANCE]])-1)),"")</f>
        <v>139026.14730478561</v>
      </c>
      <c r="E356" s="431">
        <f ca="1">IF(PaymentSchedule[[#This Row],[PMT NO]]&lt;&gt;"",ScheduledPayment,"")</f>
        <v>9423.6334368029093</v>
      </c>
      <c r="F35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6" s="431">
        <f ca="1">IF(PaymentSchedule[[#This Row],[PMT NO]]&lt;&gt;"",PaymentSchedule[[#This Row],[TOTAL PAYMENT]]-PaymentSchedule[[#This Row],[INTEREST]],"")</f>
        <v>9133.9956299179394</v>
      </c>
      <c r="I356" s="431">
        <f ca="1">IF(PaymentSchedule[[#This Row],[PMT NO]]&lt;&gt;"",PaymentSchedule[[#This Row],[BEGINNING BALANCE]]*(InterestRate/PaymentsPerYear),"")</f>
        <v>289.63780688497002</v>
      </c>
      <c r="J35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129892.15167486767</v>
      </c>
      <c r="K356" s="431">
        <f ca="1">IF(PaymentSchedule[[#This Row],[PMT NO]]&lt;&gt;"",SUM(INDEX(PaymentSchedule[INTEREST],1,1):PaymentSchedule[[#This Row],[INTEREST]]),"")</f>
        <v>1005469.3208086716</v>
      </c>
    </row>
    <row r="357" spans="2:11">
      <c r="B357" s="432">
        <f ca="1">IF(LoanIsGood,IF(ROW()-ROW(PaymentSchedule[[#Headers],[PMT NO]])&gt;ScheduledNumberOfPayments,"",ROW()-ROW(PaymentSchedule[[#Headers],[PMT NO]])),"")</f>
        <v>347</v>
      </c>
      <c r="C357" s="430">
        <f ca="1">IF(PaymentSchedule[[#This Row],[PMT NO]]&lt;&gt;"",EOMONTH(LoanStartDate,ROW(PaymentSchedule[[#This Row],[PMT NO]])-ROW(PaymentSchedule[[#Headers],[PMT NO]])-2)+DAY(LoanStartDate),"")</f>
        <v>54483</v>
      </c>
      <c r="D357" s="431">
        <f ca="1">IF(PaymentSchedule[[#This Row],[PMT NO]]&lt;&gt;"",IF(ROW()-ROW(PaymentSchedule[[#Headers],[BEGINNING BALANCE]])=1,LoanAmount,INDEX(PaymentSchedule[ENDING BALANCE],ROW()-ROW(PaymentSchedule[[#Headers],[BEGINNING BALANCE]])-1)),"")</f>
        <v>129892.15167486767</v>
      </c>
      <c r="E357" s="431">
        <f ca="1">IF(PaymentSchedule[[#This Row],[PMT NO]]&lt;&gt;"",ScheduledPayment,"")</f>
        <v>9423.6334368029093</v>
      </c>
      <c r="F35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7" s="431">
        <f ca="1">IF(PaymentSchedule[[#This Row],[PMT NO]]&lt;&gt;"",PaymentSchedule[[#This Row],[TOTAL PAYMENT]]-PaymentSchedule[[#This Row],[INTEREST]],"")</f>
        <v>9153.0247874802681</v>
      </c>
      <c r="I357" s="431">
        <f ca="1">IF(PaymentSchedule[[#This Row],[PMT NO]]&lt;&gt;"",PaymentSchedule[[#This Row],[BEGINNING BALANCE]]*(InterestRate/PaymentsPerYear),"")</f>
        <v>270.60864932264099</v>
      </c>
      <c r="J35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120739.12688738739</v>
      </c>
      <c r="K357" s="431">
        <f ca="1">IF(PaymentSchedule[[#This Row],[PMT NO]]&lt;&gt;"",SUM(INDEX(PaymentSchedule[INTEREST],1,1):PaymentSchedule[[#This Row],[INTEREST]]),"")</f>
        <v>1005739.9294579943</v>
      </c>
    </row>
    <row r="358" spans="2:11">
      <c r="B358" s="432">
        <f ca="1">IF(LoanIsGood,IF(ROW()-ROW(PaymentSchedule[[#Headers],[PMT NO]])&gt;ScheduledNumberOfPayments,"",ROW()-ROW(PaymentSchedule[[#Headers],[PMT NO]])),"")</f>
        <v>348</v>
      </c>
      <c r="C358" s="430">
        <f ca="1">IF(PaymentSchedule[[#This Row],[PMT NO]]&lt;&gt;"",EOMONTH(LoanStartDate,ROW(PaymentSchedule[[#This Row],[PMT NO]])-ROW(PaymentSchedule[[#Headers],[PMT NO]])-2)+DAY(LoanStartDate),"")</f>
        <v>54514</v>
      </c>
      <c r="D358" s="431">
        <f ca="1">IF(PaymentSchedule[[#This Row],[PMT NO]]&lt;&gt;"",IF(ROW()-ROW(PaymentSchedule[[#Headers],[BEGINNING BALANCE]])=1,LoanAmount,INDEX(PaymentSchedule[ENDING BALANCE],ROW()-ROW(PaymentSchedule[[#Headers],[BEGINNING BALANCE]])-1)),"")</f>
        <v>120739.12688738739</v>
      </c>
      <c r="E358" s="431">
        <f ca="1">IF(PaymentSchedule[[#This Row],[PMT NO]]&lt;&gt;"",ScheduledPayment,"")</f>
        <v>9423.6334368029093</v>
      </c>
      <c r="F35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8" s="431">
        <f ca="1">IF(PaymentSchedule[[#This Row],[PMT NO]]&lt;&gt;"",PaymentSchedule[[#This Row],[TOTAL PAYMENT]]-PaymentSchedule[[#This Row],[INTEREST]],"")</f>
        <v>9172.0935891208519</v>
      </c>
      <c r="I358" s="431">
        <f ca="1">IF(PaymentSchedule[[#This Row],[PMT NO]]&lt;&gt;"",PaymentSchedule[[#This Row],[BEGINNING BALANCE]]*(InterestRate/PaymentsPerYear),"")</f>
        <v>251.53984768205706</v>
      </c>
      <c r="J35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111567.03329826654</v>
      </c>
      <c r="K358" s="431">
        <f ca="1">IF(PaymentSchedule[[#This Row],[PMT NO]]&lt;&gt;"",SUM(INDEX(PaymentSchedule[INTEREST],1,1):PaymentSchedule[[#This Row],[INTEREST]]),"")</f>
        <v>1005991.4693056764</v>
      </c>
    </row>
    <row r="359" spans="2:11">
      <c r="B359" s="432">
        <f ca="1">IF(LoanIsGood,IF(ROW()-ROW(PaymentSchedule[[#Headers],[PMT NO]])&gt;ScheduledNumberOfPayments,"",ROW()-ROW(PaymentSchedule[[#Headers],[PMT NO]])),"")</f>
        <v>349</v>
      </c>
      <c r="C359" s="430">
        <f ca="1">IF(PaymentSchedule[[#This Row],[PMT NO]]&lt;&gt;"",EOMONTH(LoanStartDate,ROW(PaymentSchedule[[#This Row],[PMT NO]])-ROW(PaymentSchedule[[#Headers],[PMT NO]])-2)+DAY(LoanStartDate),"")</f>
        <v>54544</v>
      </c>
      <c r="D359" s="431">
        <f ca="1">IF(PaymentSchedule[[#This Row],[PMT NO]]&lt;&gt;"",IF(ROW()-ROW(PaymentSchedule[[#Headers],[BEGINNING BALANCE]])=1,LoanAmount,INDEX(PaymentSchedule[ENDING BALANCE],ROW()-ROW(PaymentSchedule[[#Headers],[BEGINNING BALANCE]])-1)),"")</f>
        <v>111567.03329826654</v>
      </c>
      <c r="E359" s="431">
        <f ca="1">IF(PaymentSchedule[[#This Row],[PMT NO]]&lt;&gt;"",ScheduledPayment,"")</f>
        <v>9423.6334368029093</v>
      </c>
      <c r="F35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5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59" s="431">
        <f ca="1">IF(PaymentSchedule[[#This Row],[PMT NO]]&lt;&gt;"",PaymentSchedule[[#This Row],[TOTAL PAYMENT]]-PaymentSchedule[[#This Row],[INTEREST]],"")</f>
        <v>9191.2021174315214</v>
      </c>
      <c r="I359" s="431">
        <f ca="1">IF(PaymentSchedule[[#This Row],[PMT NO]]&lt;&gt;"",PaymentSchedule[[#This Row],[BEGINNING BALANCE]]*(InterestRate/PaymentsPerYear),"")</f>
        <v>232.43131937138864</v>
      </c>
      <c r="J35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102375.83118083503</v>
      </c>
      <c r="K359" s="431">
        <f ca="1">IF(PaymentSchedule[[#This Row],[PMT NO]]&lt;&gt;"",SUM(INDEX(PaymentSchedule[INTEREST],1,1):PaymentSchedule[[#This Row],[INTEREST]]),"")</f>
        <v>1006223.9006250477</v>
      </c>
    </row>
    <row r="360" spans="2:11">
      <c r="B360" s="432">
        <f ca="1">IF(LoanIsGood,IF(ROW()-ROW(PaymentSchedule[[#Headers],[PMT NO]])&gt;ScheduledNumberOfPayments,"",ROW()-ROW(PaymentSchedule[[#Headers],[PMT NO]])),"")</f>
        <v>350</v>
      </c>
      <c r="C360" s="430">
        <f ca="1">IF(PaymentSchedule[[#This Row],[PMT NO]]&lt;&gt;"",EOMONTH(LoanStartDate,ROW(PaymentSchedule[[#This Row],[PMT NO]])-ROW(PaymentSchedule[[#Headers],[PMT NO]])-2)+DAY(LoanStartDate),"")</f>
        <v>54575</v>
      </c>
      <c r="D360" s="431">
        <f ca="1">IF(PaymentSchedule[[#This Row],[PMT NO]]&lt;&gt;"",IF(ROW()-ROW(PaymentSchedule[[#Headers],[BEGINNING BALANCE]])=1,LoanAmount,INDEX(PaymentSchedule[ENDING BALANCE],ROW()-ROW(PaymentSchedule[[#Headers],[BEGINNING BALANCE]])-1)),"")</f>
        <v>102375.83118083503</v>
      </c>
      <c r="E360" s="431">
        <f ca="1">IF(PaymentSchedule[[#This Row],[PMT NO]]&lt;&gt;"",ScheduledPayment,"")</f>
        <v>9423.6334368029093</v>
      </c>
      <c r="F36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0" s="431">
        <f ca="1">IF(PaymentSchedule[[#This Row],[PMT NO]]&lt;&gt;"",PaymentSchedule[[#This Row],[TOTAL PAYMENT]]-PaymentSchedule[[#This Row],[INTEREST]],"")</f>
        <v>9210.3504551761689</v>
      </c>
      <c r="I360" s="431">
        <f ca="1">IF(PaymentSchedule[[#This Row],[PMT NO]]&lt;&gt;"",PaymentSchedule[[#This Row],[BEGINNING BALANCE]]*(InterestRate/PaymentsPerYear),"")</f>
        <v>213.28298162673963</v>
      </c>
      <c r="J36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93165.480725658854</v>
      </c>
      <c r="K360" s="431">
        <f ca="1">IF(PaymentSchedule[[#This Row],[PMT NO]]&lt;&gt;"",SUM(INDEX(PaymentSchedule[INTEREST],1,1):PaymentSchedule[[#This Row],[INTEREST]]),"")</f>
        <v>1006437.1836066744</v>
      </c>
    </row>
    <row r="361" spans="2:11">
      <c r="B361" s="432">
        <f ca="1">IF(LoanIsGood,IF(ROW()-ROW(PaymentSchedule[[#Headers],[PMT NO]])&gt;ScheduledNumberOfPayments,"",ROW()-ROW(PaymentSchedule[[#Headers],[PMT NO]])),"")</f>
        <v>351</v>
      </c>
      <c r="C361" s="430">
        <f ca="1">IF(PaymentSchedule[[#This Row],[PMT NO]]&lt;&gt;"",EOMONTH(LoanStartDate,ROW(PaymentSchedule[[#This Row],[PMT NO]])-ROW(PaymentSchedule[[#Headers],[PMT NO]])-2)+DAY(LoanStartDate),"")</f>
        <v>54605</v>
      </c>
      <c r="D361" s="431">
        <f ca="1">IF(PaymentSchedule[[#This Row],[PMT NO]]&lt;&gt;"",IF(ROW()-ROW(PaymentSchedule[[#Headers],[BEGINNING BALANCE]])=1,LoanAmount,INDEX(PaymentSchedule[ENDING BALANCE],ROW()-ROW(PaymentSchedule[[#Headers],[BEGINNING BALANCE]])-1)),"")</f>
        <v>93165.480725658854</v>
      </c>
      <c r="E361" s="431">
        <f ca="1">IF(PaymentSchedule[[#This Row],[PMT NO]]&lt;&gt;"",ScheduledPayment,"")</f>
        <v>9423.6334368029093</v>
      </c>
      <c r="F361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1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1" s="431">
        <f ca="1">IF(PaymentSchedule[[#This Row],[PMT NO]]&lt;&gt;"",PaymentSchedule[[#This Row],[TOTAL PAYMENT]]-PaymentSchedule[[#This Row],[INTEREST]],"")</f>
        <v>9229.5386852911197</v>
      </c>
      <c r="I361" s="431">
        <f ca="1">IF(PaymentSchedule[[#This Row],[PMT NO]]&lt;&gt;"",PaymentSchedule[[#This Row],[BEGINNING BALANCE]]*(InterestRate/PaymentsPerYear),"")</f>
        <v>194.09475151178927</v>
      </c>
      <c r="J361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83935.942040367736</v>
      </c>
      <c r="K361" s="431">
        <f ca="1">IF(PaymentSchedule[[#This Row],[PMT NO]]&lt;&gt;"",SUM(INDEX(PaymentSchedule[INTEREST],1,1):PaymentSchedule[[#This Row],[INTEREST]]),"")</f>
        <v>1006631.2783581862</v>
      </c>
    </row>
    <row r="362" spans="2:11">
      <c r="B362" s="432">
        <f ca="1">IF(LoanIsGood,IF(ROW()-ROW(PaymentSchedule[[#Headers],[PMT NO]])&gt;ScheduledNumberOfPayments,"",ROW()-ROW(PaymentSchedule[[#Headers],[PMT NO]])),"")</f>
        <v>352</v>
      </c>
      <c r="C362" s="430">
        <f ca="1">IF(PaymentSchedule[[#This Row],[PMT NO]]&lt;&gt;"",EOMONTH(LoanStartDate,ROW(PaymentSchedule[[#This Row],[PMT NO]])-ROW(PaymentSchedule[[#Headers],[PMT NO]])-2)+DAY(LoanStartDate),"")</f>
        <v>54636</v>
      </c>
      <c r="D362" s="431">
        <f ca="1">IF(PaymentSchedule[[#This Row],[PMT NO]]&lt;&gt;"",IF(ROW()-ROW(PaymentSchedule[[#Headers],[BEGINNING BALANCE]])=1,LoanAmount,INDEX(PaymentSchedule[ENDING BALANCE],ROW()-ROW(PaymentSchedule[[#Headers],[BEGINNING BALANCE]])-1)),"")</f>
        <v>83935.942040367736</v>
      </c>
      <c r="E362" s="431">
        <f ca="1">IF(PaymentSchedule[[#This Row],[PMT NO]]&lt;&gt;"",ScheduledPayment,"")</f>
        <v>9423.6334368029093</v>
      </c>
      <c r="F362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2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2" s="431">
        <f ca="1">IF(PaymentSchedule[[#This Row],[PMT NO]]&lt;&gt;"",PaymentSchedule[[#This Row],[TOTAL PAYMENT]]-PaymentSchedule[[#This Row],[INTEREST]],"")</f>
        <v>9248.7668908854757</v>
      </c>
      <c r="I362" s="431">
        <f ca="1">IF(PaymentSchedule[[#This Row],[PMT NO]]&lt;&gt;"",PaymentSchedule[[#This Row],[BEGINNING BALANCE]]*(InterestRate/PaymentsPerYear),"")</f>
        <v>174.86654591743277</v>
      </c>
      <c r="J362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74687.175149482267</v>
      </c>
      <c r="K362" s="431">
        <f ca="1">IF(PaymentSchedule[[#This Row],[PMT NO]]&lt;&gt;"",SUM(INDEX(PaymentSchedule[INTEREST],1,1):PaymentSchedule[[#This Row],[INTEREST]]),"")</f>
        <v>1006806.1449041037</v>
      </c>
    </row>
    <row r="363" spans="2:11">
      <c r="B363" s="432">
        <f ca="1">IF(LoanIsGood,IF(ROW()-ROW(PaymentSchedule[[#Headers],[PMT NO]])&gt;ScheduledNumberOfPayments,"",ROW()-ROW(PaymentSchedule[[#Headers],[PMT NO]])),"")</f>
        <v>353</v>
      </c>
      <c r="C363" s="430">
        <f ca="1">IF(PaymentSchedule[[#This Row],[PMT NO]]&lt;&gt;"",EOMONTH(LoanStartDate,ROW(PaymentSchedule[[#This Row],[PMT NO]])-ROW(PaymentSchedule[[#Headers],[PMT NO]])-2)+DAY(LoanStartDate),"")</f>
        <v>54667</v>
      </c>
      <c r="D363" s="431">
        <f ca="1">IF(PaymentSchedule[[#This Row],[PMT NO]]&lt;&gt;"",IF(ROW()-ROW(PaymentSchedule[[#Headers],[BEGINNING BALANCE]])=1,LoanAmount,INDEX(PaymentSchedule[ENDING BALANCE],ROW()-ROW(PaymentSchedule[[#Headers],[BEGINNING BALANCE]])-1)),"")</f>
        <v>74687.175149482267</v>
      </c>
      <c r="E363" s="431">
        <f ca="1">IF(PaymentSchedule[[#This Row],[PMT NO]]&lt;&gt;"",ScheduledPayment,"")</f>
        <v>9423.6334368029093</v>
      </c>
      <c r="F363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3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3" s="431">
        <f ca="1">IF(PaymentSchedule[[#This Row],[PMT NO]]&lt;&gt;"",PaymentSchedule[[#This Row],[TOTAL PAYMENT]]-PaymentSchedule[[#This Row],[INTEREST]],"")</f>
        <v>9268.0351552414886</v>
      </c>
      <c r="I363" s="431">
        <f ca="1">IF(PaymentSchedule[[#This Row],[PMT NO]]&lt;&gt;"",PaymentSchedule[[#This Row],[BEGINNING BALANCE]]*(InterestRate/PaymentsPerYear),"")</f>
        <v>155.5982815614214</v>
      </c>
      <c r="J363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65419.139994240781</v>
      </c>
      <c r="K363" s="431">
        <f ca="1">IF(PaymentSchedule[[#This Row],[PMT NO]]&lt;&gt;"",SUM(INDEX(PaymentSchedule[INTEREST],1,1):PaymentSchedule[[#This Row],[INTEREST]]),"")</f>
        <v>1006961.7431856651</v>
      </c>
    </row>
    <row r="364" spans="2:11">
      <c r="B364" s="432">
        <f ca="1">IF(LoanIsGood,IF(ROW()-ROW(PaymentSchedule[[#Headers],[PMT NO]])&gt;ScheduledNumberOfPayments,"",ROW()-ROW(PaymentSchedule[[#Headers],[PMT NO]])),"")</f>
        <v>354</v>
      </c>
      <c r="C364" s="430">
        <f ca="1">IF(PaymentSchedule[[#This Row],[PMT NO]]&lt;&gt;"",EOMONTH(LoanStartDate,ROW(PaymentSchedule[[#This Row],[PMT NO]])-ROW(PaymentSchedule[[#Headers],[PMT NO]])-2)+DAY(LoanStartDate),"")</f>
        <v>54697</v>
      </c>
      <c r="D364" s="431">
        <f ca="1">IF(PaymentSchedule[[#This Row],[PMT NO]]&lt;&gt;"",IF(ROW()-ROW(PaymentSchedule[[#Headers],[BEGINNING BALANCE]])=1,LoanAmount,INDEX(PaymentSchedule[ENDING BALANCE],ROW()-ROW(PaymentSchedule[[#Headers],[BEGINNING BALANCE]])-1)),"")</f>
        <v>65419.139994240781</v>
      </c>
      <c r="E364" s="431">
        <f ca="1">IF(PaymentSchedule[[#This Row],[PMT NO]]&lt;&gt;"",ScheduledPayment,"")</f>
        <v>9423.6334368029093</v>
      </c>
      <c r="F364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4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4" s="431">
        <f ca="1">IF(PaymentSchedule[[#This Row],[PMT NO]]&lt;&gt;"",PaymentSchedule[[#This Row],[TOTAL PAYMENT]]-PaymentSchedule[[#This Row],[INTEREST]],"")</f>
        <v>9287.3435618149069</v>
      </c>
      <c r="I364" s="431">
        <f ca="1">IF(PaymentSchedule[[#This Row],[PMT NO]]&lt;&gt;"",PaymentSchedule[[#This Row],[BEGINNING BALANCE]]*(InterestRate/PaymentsPerYear),"")</f>
        <v>136.28987498800163</v>
      </c>
      <c r="J364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56131.796432425872</v>
      </c>
      <c r="K364" s="431">
        <f ca="1">IF(PaymentSchedule[[#This Row],[PMT NO]]&lt;&gt;"",SUM(INDEX(PaymentSchedule[INTEREST],1,1):PaymentSchedule[[#This Row],[INTEREST]]),"")</f>
        <v>1007098.0330606531</v>
      </c>
    </row>
    <row r="365" spans="2:11">
      <c r="B365" s="432">
        <f ca="1">IF(LoanIsGood,IF(ROW()-ROW(PaymentSchedule[[#Headers],[PMT NO]])&gt;ScheduledNumberOfPayments,"",ROW()-ROW(PaymentSchedule[[#Headers],[PMT NO]])),"")</f>
        <v>355</v>
      </c>
      <c r="C365" s="430">
        <f ca="1">IF(PaymentSchedule[[#This Row],[PMT NO]]&lt;&gt;"",EOMONTH(LoanStartDate,ROW(PaymentSchedule[[#This Row],[PMT NO]])-ROW(PaymentSchedule[[#Headers],[PMT NO]])-2)+DAY(LoanStartDate),"")</f>
        <v>54728</v>
      </c>
      <c r="D365" s="431">
        <f ca="1">IF(PaymentSchedule[[#This Row],[PMT NO]]&lt;&gt;"",IF(ROW()-ROW(PaymentSchedule[[#Headers],[BEGINNING BALANCE]])=1,LoanAmount,INDEX(PaymentSchedule[ENDING BALANCE],ROW()-ROW(PaymentSchedule[[#Headers],[BEGINNING BALANCE]])-1)),"")</f>
        <v>56131.796432425872</v>
      </c>
      <c r="E365" s="431">
        <f ca="1">IF(PaymentSchedule[[#This Row],[PMT NO]]&lt;&gt;"",ScheduledPayment,"")</f>
        <v>9423.6334368029093</v>
      </c>
      <c r="F365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5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5" s="431">
        <f ca="1">IF(PaymentSchedule[[#This Row],[PMT NO]]&lt;&gt;"",PaymentSchedule[[#This Row],[TOTAL PAYMENT]]-PaymentSchedule[[#This Row],[INTEREST]],"")</f>
        <v>9306.6921942353547</v>
      </c>
      <c r="I365" s="431">
        <f ca="1">IF(PaymentSchedule[[#This Row],[PMT NO]]&lt;&gt;"",PaymentSchedule[[#This Row],[BEGINNING BALANCE]]*(InterestRate/PaymentsPerYear),"")</f>
        <v>116.9412425675539</v>
      </c>
      <c r="J365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46825.104238190514</v>
      </c>
      <c r="K365" s="431">
        <f ca="1">IF(PaymentSchedule[[#This Row],[PMT NO]]&lt;&gt;"",SUM(INDEX(PaymentSchedule[INTEREST],1,1):PaymentSchedule[[#This Row],[INTEREST]]),"")</f>
        <v>1007214.9743032206</v>
      </c>
    </row>
    <row r="366" spans="2:11">
      <c r="B366" s="432">
        <f ca="1">IF(LoanIsGood,IF(ROW()-ROW(PaymentSchedule[[#Headers],[PMT NO]])&gt;ScheduledNumberOfPayments,"",ROW()-ROW(PaymentSchedule[[#Headers],[PMT NO]])),"")</f>
        <v>356</v>
      </c>
      <c r="C366" s="430">
        <f ca="1">IF(PaymentSchedule[[#This Row],[PMT NO]]&lt;&gt;"",EOMONTH(LoanStartDate,ROW(PaymentSchedule[[#This Row],[PMT NO]])-ROW(PaymentSchedule[[#Headers],[PMT NO]])-2)+DAY(LoanStartDate),"")</f>
        <v>54758</v>
      </c>
      <c r="D366" s="431">
        <f ca="1">IF(PaymentSchedule[[#This Row],[PMT NO]]&lt;&gt;"",IF(ROW()-ROW(PaymentSchedule[[#Headers],[BEGINNING BALANCE]])=1,LoanAmount,INDEX(PaymentSchedule[ENDING BALANCE],ROW()-ROW(PaymentSchedule[[#Headers],[BEGINNING BALANCE]])-1)),"")</f>
        <v>46825.104238190514</v>
      </c>
      <c r="E366" s="431">
        <f ca="1">IF(PaymentSchedule[[#This Row],[PMT NO]]&lt;&gt;"",ScheduledPayment,"")</f>
        <v>9423.6334368029093</v>
      </c>
      <c r="F366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6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6" s="431">
        <f ca="1">IF(PaymentSchedule[[#This Row],[PMT NO]]&lt;&gt;"",PaymentSchedule[[#This Row],[TOTAL PAYMENT]]-PaymentSchedule[[#This Row],[INTEREST]],"")</f>
        <v>9326.0811363066787</v>
      </c>
      <c r="I366" s="431">
        <f ca="1">IF(PaymentSchedule[[#This Row],[PMT NO]]&lt;&gt;"",PaymentSchedule[[#This Row],[BEGINNING BALANCE]]*(InterestRate/PaymentsPerYear),"")</f>
        <v>97.552300496230231</v>
      </c>
      <c r="J366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37499.023101883839</v>
      </c>
      <c r="K366" s="431">
        <f ca="1">IF(PaymentSchedule[[#This Row],[PMT NO]]&lt;&gt;"",SUM(INDEX(PaymentSchedule[INTEREST],1,1):PaymentSchedule[[#This Row],[INTEREST]]),"")</f>
        <v>1007312.5266037169</v>
      </c>
    </row>
    <row r="367" spans="2:11">
      <c r="B367" s="432">
        <f ca="1">IF(LoanIsGood,IF(ROW()-ROW(PaymentSchedule[[#Headers],[PMT NO]])&gt;ScheduledNumberOfPayments,"",ROW()-ROW(PaymentSchedule[[#Headers],[PMT NO]])),"")</f>
        <v>357</v>
      </c>
      <c r="C367" s="430">
        <f ca="1">IF(PaymentSchedule[[#This Row],[PMT NO]]&lt;&gt;"",EOMONTH(LoanStartDate,ROW(PaymentSchedule[[#This Row],[PMT NO]])-ROW(PaymentSchedule[[#Headers],[PMT NO]])-2)+DAY(LoanStartDate),"")</f>
        <v>54789</v>
      </c>
      <c r="D367" s="431">
        <f ca="1">IF(PaymentSchedule[[#This Row],[PMT NO]]&lt;&gt;"",IF(ROW()-ROW(PaymentSchedule[[#Headers],[BEGINNING BALANCE]])=1,LoanAmount,INDEX(PaymentSchedule[ENDING BALANCE],ROW()-ROW(PaymentSchedule[[#Headers],[BEGINNING BALANCE]])-1)),"")</f>
        <v>37499.023101883839</v>
      </c>
      <c r="E367" s="431">
        <f ca="1">IF(PaymentSchedule[[#This Row],[PMT NO]]&lt;&gt;"",ScheduledPayment,"")</f>
        <v>9423.6334368029093</v>
      </c>
      <c r="F367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7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7" s="431">
        <f ca="1">IF(PaymentSchedule[[#This Row],[PMT NO]]&lt;&gt;"",PaymentSchedule[[#This Row],[TOTAL PAYMENT]]-PaymentSchedule[[#This Row],[INTEREST]],"")</f>
        <v>9345.5104720073177</v>
      </c>
      <c r="I367" s="431">
        <f ca="1">IF(PaymentSchedule[[#This Row],[PMT NO]]&lt;&gt;"",PaymentSchedule[[#This Row],[BEGINNING BALANCE]]*(InterestRate/PaymentsPerYear),"")</f>
        <v>78.122964795591329</v>
      </c>
      <c r="J367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28153.512629876521</v>
      </c>
      <c r="K367" s="431">
        <f ca="1">IF(PaymentSchedule[[#This Row],[PMT NO]]&lt;&gt;"",SUM(INDEX(PaymentSchedule[INTEREST],1,1):PaymentSchedule[[#This Row],[INTEREST]]),"")</f>
        <v>1007390.6495685125</v>
      </c>
    </row>
    <row r="368" spans="2:11">
      <c r="B368" s="432">
        <f ca="1">IF(LoanIsGood,IF(ROW()-ROW(PaymentSchedule[[#Headers],[PMT NO]])&gt;ScheduledNumberOfPayments,"",ROW()-ROW(PaymentSchedule[[#Headers],[PMT NO]])),"")</f>
        <v>358</v>
      </c>
      <c r="C368" s="430">
        <f ca="1">IF(PaymentSchedule[[#This Row],[PMT NO]]&lt;&gt;"",EOMONTH(LoanStartDate,ROW(PaymentSchedule[[#This Row],[PMT NO]])-ROW(PaymentSchedule[[#Headers],[PMT NO]])-2)+DAY(LoanStartDate),"")</f>
        <v>54820</v>
      </c>
      <c r="D368" s="431">
        <f ca="1">IF(PaymentSchedule[[#This Row],[PMT NO]]&lt;&gt;"",IF(ROW()-ROW(PaymentSchedule[[#Headers],[BEGINNING BALANCE]])=1,LoanAmount,INDEX(PaymentSchedule[ENDING BALANCE],ROW()-ROW(PaymentSchedule[[#Headers],[BEGINNING BALANCE]])-1)),"")</f>
        <v>28153.512629876521</v>
      </c>
      <c r="E368" s="431">
        <f ca="1">IF(PaymentSchedule[[#This Row],[PMT NO]]&lt;&gt;"",ScheduledPayment,"")</f>
        <v>9423.6334368029093</v>
      </c>
      <c r="F368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8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8" s="431">
        <f ca="1">IF(PaymentSchedule[[#This Row],[PMT NO]]&lt;&gt;"",PaymentSchedule[[#This Row],[TOTAL PAYMENT]]-PaymentSchedule[[#This Row],[INTEREST]],"")</f>
        <v>9364.9802854906666</v>
      </c>
      <c r="I368" s="431">
        <f ca="1">IF(PaymentSchedule[[#This Row],[PMT NO]]&lt;&gt;"",PaymentSchedule[[#This Row],[BEGINNING BALANCE]]*(InterestRate/PaymentsPerYear),"")</f>
        <v>58.653151312242748</v>
      </c>
      <c r="J368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18788.532344385854</v>
      </c>
      <c r="K368" s="431">
        <f ca="1">IF(PaymentSchedule[[#This Row],[PMT NO]]&lt;&gt;"",SUM(INDEX(PaymentSchedule[INTEREST],1,1):PaymentSchedule[[#This Row],[INTEREST]]),"")</f>
        <v>1007449.3027198247</v>
      </c>
    </row>
    <row r="369" spans="2:11">
      <c r="B369" s="432">
        <f ca="1">IF(LoanIsGood,IF(ROW()-ROW(PaymentSchedule[[#Headers],[PMT NO]])&gt;ScheduledNumberOfPayments,"",ROW()-ROW(PaymentSchedule[[#Headers],[PMT NO]])),"")</f>
        <v>359</v>
      </c>
      <c r="C369" s="430">
        <f ca="1">IF(PaymentSchedule[[#This Row],[PMT NO]]&lt;&gt;"",EOMONTH(LoanStartDate,ROW(PaymentSchedule[[#This Row],[PMT NO]])-ROW(PaymentSchedule[[#Headers],[PMT NO]])-2)+DAY(LoanStartDate),"")</f>
        <v>54848</v>
      </c>
      <c r="D369" s="431">
        <f ca="1">IF(PaymentSchedule[[#This Row],[PMT NO]]&lt;&gt;"",IF(ROW()-ROW(PaymentSchedule[[#Headers],[BEGINNING BALANCE]])=1,LoanAmount,INDEX(PaymentSchedule[ENDING BALANCE],ROW()-ROW(PaymentSchedule[[#Headers],[BEGINNING BALANCE]])-1)),"")</f>
        <v>18788.532344385854</v>
      </c>
      <c r="E369" s="431">
        <f ca="1">IF(PaymentSchedule[[#This Row],[PMT NO]]&lt;&gt;"",ScheduledPayment,"")</f>
        <v>9423.6334368029093</v>
      </c>
      <c r="F369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69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9423.6334368029093</v>
      </c>
      <c r="H369" s="431">
        <f ca="1">IF(PaymentSchedule[[#This Row],[PMT NO]]&lt;&gt;"",PaymentSchedule[[#This Row],[TOTAL PAYMENT]]-PaymentSchedule[[#This Row],[INTEREST]],"")</f>
        <v>9384.4906610854396</v>
      </c>
      <c r="I369" s="431">
        <f ca="1">IF(PaymentSchedule[[#This Row],[PMT NO]]&lt;&gt;"",PaymentSchedule[[#This Row],[BEGINNING BALANCE]]*(InterestRate/PaymentsPerYear),"")</f>
        <v>39.142775717470528</v>
      </c>
      <c r="J369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9404.0416833004147</v>
      </c>
      <c r="K369" s="431">
        <f ca="1">IF(PaymentSchedule[[#This Row],[PMT NO]]&lt;&gt;"",SUM(INDEX(PaymentSchedule[INTEREST],1,1):PaymentSchedule[[#This Row],[INTEREST]]),"")</f>
        <v>1007488.4454955421</v>
      </c>
    </row>
    <row r="370" spans="2:11">
      <c r="B370" s="432">
        <f ca="1">IF(LoanIsGood,IF(ROW()-ROW(PaymentSchedule[[#Headers],[PMT NO]])&gt;ScheduledNumberOfPayments,"",ROW()-ROW(PaymentSchedule[[#Headers],[PMT NO]])),"")</f>
        <v>360</v>
      </c>
      <c r="C370" s="430">
        <f ca="1">IF(PaymentSchedule[[#This Row],[PMT NO]]&lt;&gt;"",EOMONTH(LoanStartDate,ROW(PaymentSchedule[[#This Row],[PMT NO]])-ROW(PaymentSchedule[[#Headers],[PMT NO]])-2)+DAY(LoanStartDate),"")</f>
        <v>54879</v>
      </c>
      <c r="D370" s="431">
        <f ca="1">IF(PaymentSchedule[[#This Row],[PMT NO]]&lt;&gt;"",IF(ROW()-ROW(PaymentSchedule[[#Headers],[BEGINNING BALANCE]])=1,LoanAmount,INDEX(PaymentSchedule[ENDING BALANCE],ROW()-ROW(PaymentSchedule[[#Headers],[BEGINNING BALANCE]])-1)),"")</f>
        <v>9404.0416833004147</v>
      </c>
      <c r="E370" s="431">
        <f ca="1">IF(PaymentSchedule[[#This Row],[PMT NO]]&lt;&gt;"",ScheduledPayment,"")</f>
        <v>9423.6334368029093</v>
      </c>
      <c r="F370" s="431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370" s="431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9404.0416833004147</v>
      </c>
      <c r="H370" s="431">
        <f ca="1">IF(PaymentSchedule[[#This Row],[PMT NO]]&lt;&gt;"",PaymentSchedule[[#This Row],[TOTAL PAYMENT]]-PaymentSchedule[[#This Row],[INTEREST]],"")</f>
        <v>9384.4499297935381</v>
      </c>
      <c r="I370" s="431">
        <f ca="1">IF(PaymentSchedule[[#This Row],[PMT NO]]&lt;&gt;"",PaymentSchedule[[#This Row],[BEGINNING BALANCE]]*(InterestRate/PaymentsPerYear),"")</f>
        <v>19.591753506875865</v>
      </c>
      <c r="J370" s="431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370" s="431">
        <f ca="1">IF(PaymentSchedule[[#This Row],[PMT NO]]&lt;&gt;"",SUM(INDEX(PaymentSchedule[INTEREST],1,1):PaymentSchedule[[#This Row],[INTEREST]]),"")</f>
        <v>1007508.0372490491</v>
      </c>
    </row>
  </sheetData>
  <mergeCells count="12">
    <mergeCell ref="C6:D6"/>
    <mergeCell ref="G7:H7"/>
    <mergeCell ref="C8:D8"/>
    <mergeCell ref="G2:H2"/>
    <mergeCell ref="G3:H3"/>
    <mergeCell ref="G4:H4"/>
    <mergeCell ref="G5:H5"/>
    <mergeCell ref="G6:H6"/>
    <mergeCell ref="H8:I8"/>
    <mergeCell ref="C2:D2"/>
    <mergeCell ref="C4:D4"/>
    <mergeCell ref="C5:D5"/>
  </mergeCells>
  <conditionalFormatting sqref="B11:K370">
    <cfRule type="expression" dxfId="12" priority="1">
      <formula>($B11="")+(($D11=0)*($F11=0))</formula>
    </cfRule>
  </conditionalFormatting>
  <dataValidations count="24">
    <dataValidation allowBlank="1" showInputMessage="1" showErrorMessage="1" prompt="Enter the name of the lender in this cell" sqref="H8:I8" xr:uid="{00000000-0002-0000-0000-000019000000}"/>
    <dataValidation allowBlank="1" showInputMessage="1" showErrorMessage="1" prompt="Cumulative interest is automatically updated in this column" sqref="K10" xr:uid="{00000000-0002-0000-0000-000018000000}"/>
    <dataValidation allowBlank="1" showInputMessage="1" showErrorMessage="1" prompt="Ending balance is automatically updated in this column" sqref="J10" xr:uid="{00000000-0002-0000-0000-000017000000}"/>
    <dataValidation allowBlank="1" showInputMessage="1" showErrorMessage="1" prompt="Interest is automatically updated in this column" sqref="I10" xr:uid="{00000000-0002-0000-0000-000016000000}"/>
    <dataValidation allowBlank="1" showInputMessage="1" showErrorMessage="1" prompt="Principal is automatically updated in this column" sqref="H10" xr:uid="{00000000-0002-0000-0000-000015000000}"/>
    <dataValidation allowBlank="1" showInputMessage="1" showErrorMessage="1" prompt="Total payment is automatically updated in this column" sqref="G10" xr:uid="{00000000-0002-0000-0000-000014000000}"/>
    <dataValidation allowBlank="1" showInputMessage="1" showErrorMessage="1" prompt="Extra payment is automatically updated in this column" sqref="F10" xr:uid="{00000000-0002-0000-0000-000013000000}"/>
    <dataValidation allowBlank="1" showInputMessage="1" showErrorMessage="1" prompt="Scheduled payment is automatically updated in this column" sqref="E10" xr:uid="{00000000-0002-0000-0000-000012000000}"/>
    <dataValidation allowBlank="1" showInputMessage="1" showErrorMessage="1" prompt="Beginning balance is automatically updated in this column" sqref="D10" xr:uid="{00000000-0002-0000-0000-000011000000}"/>
    <dataValidation allowBlank="1" showInputMessage="1" showErrorMessage="1" prompt="Payment date is automatically updated in this column" sqref="C10" xr:uid="{00000000-0002-0000-0000-000010000000}"/>
    <dataValidation allowBlank="1" showInputMessage="1" showErrorMessage="1" prompt="Payment number is automatically updated in this column" sqref="B10" xr:uid="{00000000-0002-0000-0000-00000F000000}"/>
    <dataValidation allowBlank="1" showInputMessage="1" showErrorMessage="1" prompt="Automatically updated total early payments" sqref="I5:I6" xr:uid="{00000000-0002-0000-0000-00000E000000}"/>
    <dataValidation allowBlank="1" showInputMessage="1" showErrorMessage="1" prompt="Loan Summary fields from I3 to I7 are automatically adjusted based on the values entered. Enter the Lender's name in I9" sqref="G1" xr:uid="{00000000-0002-0000-0000-00000C000000}"/>
    <dataValidation allowBlank="1" showInputMessage="1" showErrorMessage="1" prompt="Enter loan values in cells E3 to E7 and E9. Description of each loan value is in column C. Payment Schedule table starting in cell B11 will automatically update" sqref="C1" xr:uid="{00000000-0002-0000-0000-00000B000000}"/>
    <dataValidation allowBlank="1" showInputMessage="1" showErrorMessage="1" prompt="Automatically updated actual number of payments" sqref="I4" xr:uid="{00000000-0002-0000-0000-000009000000}"/>
    <dataValidation allowBlank="1" showInputMessage="1" showErrorMessage="1" prompt="Automatically updated scheduled number of payments" sqref="I3" xr:uid="{00000000-0002-0000-0000-000008000000}"/>
    <dataValidation allowBlank="1" showInputMessage="1" showErrorMessage="1" prompt="Automatically updated scheduled payment amount" sqref="I2" xr:uid="{00000000-0002-0000-0000-000007000000}"/>
    <dataValidation allowBlank="1" showInputMessage="1" showErrorMessage="1" prompt="Automatically calculated total interest" sqref="I7" xr:uid="{00000000-0002-0000-0000-000006000000}"/>
    <dataValidation allowBlank="1" showInputMessage="1" showErrorMessage="1" prompt="Enter the amount of extra payment in this cell" sqref="E8" xr:uid="{00000000-0002-0000-0000-000005000000}"/>
    <dataValidation allowBlank="1" showInputMessage="1" showErrorMessage="1" prompt="Enter the start date of loan in this cell" sqref="E6" xr:uid="{00000000-0002-0000-0000-000004000000}"/>
    <dataValidation allowBlank="1" showInputMessage="1" showErrorMessage="1" prompt="Enter the number of payments to be made in a year in this cell" sqref="E5" xr:uid="{00000000-0002-0000-0000-000003000000}"/>
    <dataValidation allowBlank="1" showInputMessage="1" showErrorMessage="1" prompt="Enter loan period in years in this cell" sqref="E4" xr:uid="{00000000-0002-0000-0000-000002000000}"/>
    <dataValidation allowBlank="1" showInputMessage="1" showErrorMessage="1" prompt="Enter interest rate to be paid annually in this cell" sqref="E3" xr:uid="{00000000-0002-0000-0000-000001000000}"/>
    <dataValidation allowBlank="1" showInputMessage="1" showErrorMessage="1" prompt="Enter Loan Amount in this cell" sqref="E2" xr:uid="{00000000-0002-0000-0000-000000000000}"/>
  </dataValidations>
  <hyperlinks>
    <hyperlink ref="D3" r:id="rId1" display="[SEE CURRENT]" xr:uid="{A22FA69F-7741-014D-A877-96643E93A922}"/>
  </hyperlinks>
  <printOptions horizontalCentered="1"/>
  <pageMargins left="0.4" right="0.4" top="0.4" bottom="0.5" header="0.3" footer="0.3"/>
  <pageSetup scale="79" fitToHeight="0" orientation="landscape" r:id="rId2"/>
  <headerFooter differentFirst="1">
    <oddFooter>Page &amp;P of &amp;N</oddFooter>
  </headerFooter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B3:W61"/>
  <sheetViews>
    <sheetView topLeftCell="F1" zoomScale="311" zoomScaleNormal="311" zoomScalePageLayoutView="70" workbookViewId="0">
      <selection activeCell="J147" sqref="J147"/>
    </sheetView>
  </sheetViews>
  <sheetFormatPr defaultColWidth="8.85546875" defaultRowHeight="12.75"/>
  <cols>
    <col min="1" max="1" width="2.28515625" customWidth="1"/>
    <col min="2" max="2" width="24.28515625" customWidth="1"/>
    <col min="3" max="3" width="14.42578125" customWidth="1"/>
    <col min="4" max="4" width="15.28515625" style="67" customWidth="1"/>
    <col min="5" max="5" width="16.42578125" style="67" customWidth="1"/>
    <col min="6" max="6" width="13" style="67" customWidth="1"/>
    <col min="7" max="7" width="15.42578125" style="67" customWidth="1"/>
    <col min="8" max="8" width="16.42578125" style="67" customWidth="1"/>
    <col min="9" max="9" width="13.42578125" style="67" customWidth="1"/>
    <col min="10" max="10" width="23.42578125" style="67" customWidth="1"/>
    <col min="11" max="11" width="18.42578125" style="67" customWidth="1"/>
    <col min="12" max="12" width="14" style="67" customWidth="1"/>
    <col min="13" max="13" width="13.28515625" style="67" customWidth="1"/>
    <col min="14" max="14" width="15.28515625" style="67" customWidth="1"/>
    <col min="15" max="15" width="14.28515625" style="67" customWidth="1"/>
    <col min="16" max="16" width="16.140625" style="67" customWidth="1"/>
    <col min="17" max="19" width="16.42578125" style="67" customWidth="1"/>
    <col min="20" max="20" width="17.140625" style="67" customWidth="1"/>
    <col min="21" max="23" width="8.85546875" style="67"/>
  </cols>
  <sheetData>
    <row r="3" spans="2:20">
      <c r="B3" s="70" t="s">
        <v>11846</v>
      </c>
      <c r="H3" s="71"/>
      <c r="J3" s="72" t="s">
        <v>11847</v>
      </c>
      <c r="T3" s="71"/>
    </row>
    <row r="4" spans="2:20">
      <c r="B4" s="70"/>
      <c r="H4" s="71"/>
      <c r="J4" s="72"/>
      <c r="T4" s="71"/>
    </row>
    <row r="5" spans="2:20">
      <c r="B5" s="70"/>
      <c r="H5" s="71"/>
      <c r="J5" s="72"/>
      <c r="T5" s="71"/>
    </row>
    <row r="6" spans="2:20">
      <c r="B6" s="70"/>
      <c r="H6" s="71"/>
      <c r="J6" s="72"/>
      <c r="T6" s="71"/>
    </row>
    <row r="7" spans="2:20">
      <c r="B7" s="70"/>
      <c r="C7" s="30" t="s">
        <v>11694</v>
      </c>
      <c r="D7" s="73" t="s">
        <v>11848</v>
      </c>
      <c r="E7" s="73" t="s">
        <v>11849</v>
      </c>
      <c r="F7" s="73" t="s">
        <v>11850</v>
      </c>
      <c r="G7" s="73" t="s">
        <v>11851</v>
      </c>
      <c r="H7" s="74" t="s">
        <v>11852</v>
      </c>
      <c r="J7" s="72"/>
      <c r="K7" s="73" t="s">
        <v>11694</v>
      </c>
      <c r="L7" s="73" t="s">
        <v>11848</v>
      </c>
      <c r="M7" s="73" t="s">
        <v>11849</v>
      </c>
      <c r="N7" s="73" t="s">
        <v>11850</v>
      </c>
      <c r="O7" s="73" t="s">
        <v>11851</v>
      </c>
      <c r="P7" s="73" t="s">
        <v>11852</v>
      </c>
      <c r="Q7" s="73" t="s">
        <v>11853</v>
      </c>
      <c r="R7" s="73" t="s">
        <v>11854</v>
      </c>
      <c r="S7" s="73" t="s">
        <v>11855</v>
      </c>
      <c r="T7" s="74" t="s">
        <v>11856</v>
      </c>
    </row>
    <row r="8" spans="2:20">
      <c r="B8" s="70"/>
      <c r="H8" s="71"/>
      <c r="J8" s="72"/>
      <c r="T8" s="71"/>
    </row>
    <row r="9" spans="2:20">
      <c r="B9" s="70" t="s">
        <v>11656</v>
      </c>
      <c r="C9" s="67"/>
      <c r="D9" s="67">
        <v>212000</v>
      </c>
      <c r="E9" s="67">
        <v>205000</v>
      </c>
      <c r="F9" s="67">
        <v>200000</v>
      </c>
      <c r="G9" s="67">
        <v>190000</v>
      </c>
      <c r="H9" s="71">
        <v>180000</v>
      </c>
      <c r="J9" s="72" t="s">
        <v>11857</v>
      </c>
      <c r="K9" s="67">
        <v>550000</v>
      </c>
      <c r="L9" s="67">
        <v>250000</v>
      </c>
      <c r="M9" s="67">
        <v>275000</v>
      </c>
      <c r="N9" s="67">
        <v>300000</v>
      </c>
      <c r="O9" s="67">
        <v>325000</v>
      </c>
      <c r="P9" s="67">
        <v>350000</v>
      </c>
      <c r="Q9" s="67">
        <v>375000</v>
      </c>
      <c r="R9" s="67">
        <v>400000</v>
      </c>
      <c r="S9" s="67">
        <v>425000</v>
      </c>
      <c r="T9" s="71">
        <v>450000</v>
      </c>
    </row>
    <row r="10" spans="2:20">
      <c r="B10" s="70"/>
      <c r="C10" s="67"/>
      <c r="H10" s="71"/>
      <c r="J10" s="72"/>
      <c r="T10" s="71"/>
    </row>
    <row r="11" spans="2:20">
      <c r="B11" s="70" t="s">
        <v>482</v>
      </c>
      <c r="C11" s="75">
        <v>223000</v>
      </c>
      <c r="D11" s="75">
        <v>223000</v>
      </c>
      <c r="E11" s="75">
        <v>223000</v>
      </c>
      <c r="F11" s="75">
        <v>223000</v>
      </c>
      <c r="G11" s="75">
        <v>223000</v>
      </c>
      <c r="H11" s="76">
        <v>223000</v>
      </c>
      <c r="J11" s="72" t="s">
        <v>11858</v>
      </c>
      <c r="K11" s="75">
        <f>0.1*K9</f>
        <v>55000</v>
      </c>
      <c r="L11" s="75">
        <f>0.1*L9</f>
        <v>25000</v>
      </c>
      <c r="M11" s="75">
        <f t="shared" ref="M11:T11" si="0">0.1*M9</f>
        <v>27500</v>
      </c>
      <c r="N11" s="75">
        <f t="shared" si="0"/>
        <v>30000</v>
      </c>
      <c r="O11" s="75">
        <f t="shared" si="0"/>
        <v>32500</v>
      </c>
      <c r="P11" s="75">
        <f t="shared" si="0"/>
        <v>35000</v>
      </c>
      <c r="Q11" s="75">
        <f>0.1*Q9</f>
        <v>37500</v>
      </c>
      <c r="R11" s="75">
        <f t="shared" si="0"/>
        <v>40000</v>
      </c>
      <c r="S11" s="75">
        <f t="shared" si="0"/>
        <v>42500</v>
      </c>
      <c r="T11" s="76">
        <f t="shared" si="0"/>
        <v>45000</v>
      </c>
    </row>
    <row r="12" spans="2:20">
      <c r="B12" s="70" t="s">
        <v>11859</v>
      </c>
      <c r="C12" s="75">
        <f t="shared" ref="C12:H12" si="1">C11-C9</f>
        <v>223000</v>
      </c>
      <c r="D12" s="75">
        <f t="shared" si="1"/>
        <v>11000</v>
      </c>
      <c r="E12" s="75">
        <f t="shared" si="1"/>
        <v>18000</v>
      </c>
      <c r="F12" s="75">
        <f t="shared" si="1"/>
        <v>23000</v>
      </c>
      <c r="G12" s="75">
        <f t="shared" si="1"/>
        <v>33000</v>
      </c>
      <c r="H12" s="76">
        <f t="shared" si="1"/>
        <v>43000</v>
      </c>
      <c r="J12" s="72" t="s">
        <v>482</v>
      </c>
      <c r="K12" s="75">
        <f>K9-K11</f>
        <v>495000</v>
      </c>
      <c r="L12" s="75">
        <f>L9-L11</f>
        <v>225000</v>
      </c>
      <c r="M12" s="75">
        <f t="shared" ref="M12:T12" si="2">M9-M11</f>
        <v>247500</v>
      </c>
      <c r="N12" s="75">
        <f t="shared" si="2"/>
        <v>270000</v>
      </c>
      <c r="O12" s="75">
        <f t="shared" si="2"/>
        <v>292500</v>
      </c>
      <c r="P12" s="75">
        <f t="shared" si="2"/>
        <v>315000</v>
      </c>
      <c r="Q12" s="75">
        <f>Q9-Q11</f>
        <v>337500</v>
      </c>
      <c r="R12" s="75">
        <f t="shared" si="2"/>
        <v>360000</v>
      </c>
      <c r="S12" s="75">
        <f t="shared" si="2"/>
        <v>382500</v>
      </c>
      <c r="T12" s="76">
        <f t="shared" si="2"/>
        <v>405000</v>
      </c>
    </row>
    <row r="13" spans="2:20">
      <c r="B13" s="70" t="s">
        <v>11860</v>
      </c>
      <c r="C13" s="75">
        <v>1000</v>
      </c>
      <c r="D13" s="75">
        <v>1000</v>
      </c>
      <c r="E13" s="75">
        <v>1000</v>
      </c>
      <c r="F13" s="75">
        <v>1000</v>
      </c>
      <c r="G13" s="75">
        <v>1000</v>
      </c>
      <c r="H13" s="76">
        <v>1000</v>
      </c>
      <c r="J13" s="72" t="s">
        <v>11861</v>
      </c>
      <c r="K13" s="75">
        <v>1075</v>
      </c>
      <c r="L13" s="75">
        <v>1075</v>
      </c>
      <c r="M13" s="75">
        <v>1193</v>
      </c>
      <c r="N13" s="75">
        <v>1289</v>
      </c>
      <c r="O13" s="75">
        <v>1432</v>
      </c>
      <c r="P13" s="75">
        <v>1503</v>
      </c>
      <c r="Q13" s="75">
        <v>1718</v>
      </c>
      <c r="R13" s="75">
        <v>1718</v>
      </c>
      <c r="S13" s="75">
        <v>1718</v>
      </c>
      <c r="T13" s="76">
        <v>1933</v>
      </c>
    </row>
    <row r="14" spans="2:20">
      <c r="B14" s="70" t="s">
        <v>11862</v>
      </c>
      <c r="C14" s="75">
        <f t="shared" ref="C14:H14" si="3">0.05*C9</f>
        <v>0</v>
      </c>
      <c r="D14" s="75">
        <f t="shared" si="3"/>
        <v>10600</v>
      </c>
      <c r="E14" s="75">
        <f t="shared" si="3"/>
        <v>10250</v>
      </c>
      <c r="F14" s="75">
        <f t="shared" si="3"/>
        <v>10000</v>
      </c>
      <c r="G14" s="75">
        <f t="shared" si="3"/>
        <v>9500</v>
      </c>
      <c r="H14" s="76">
        <f t="shared" si="3"/>
        <v>9000</v>
      </c>
      <c r="J14" s="72" t="s">
        <v>11863</v>
      </c>
      <c r="K14" s="75">
        <f>16.11*K9/12000</f>
        <v>738.375</v>
      </c>
      <c r="L14" s="75">
        <f>16.11*L9/12000</f>
        <v>335.625</v>
      </c>
      <c r="M14" s="75">
        <f t="shared" ref="M14:T14" si="4">16.11*M9/12000</f>
        <v>369.1875</v>
      </c>
      <c r="N14" s="75">
        <f t="shared" si="4"/>
        <v>402.75</v>
      </c>
      <c r="O14" s="75">
        <f t="shared" si="4"/>
        <v>436.3125</v>
      </c>
      <c r="P14" s="75">
        <f t="shared" si="4"/>
        <v>469.875</v>
      </c>
      <c r="Q14" s="75">
        <f>16.11*Q9/12000</f>
        <v>503.4375</v>
      </c>
      <c r="R14" s="75">
        <f t="shared" si="4"/>
        <v>537</v>
      </c>
      <c r="S14" s="75">
        <f t="shared" si="4"/>
        <v>570.5625</v>
      </c>
      <c r="T14" s="76">
        <f t="shared" si="4"/>
        <v>604.125</v>
      </c>
    </row>
    <row r="15" spans="2:20">
      <c r="B15" s="70" t="s">
        <v>11864</v>
      </c>
      <c r="C15" s="75">
        <f t="shared" ref="C15:H15" si="5">4.56*C9/1000</f>
        <v>0</v>
      </c>
      <c r="D15" s="75">
        <f t="shared" si="5"/>
        <v>966.71999999999991</v>
      </c>
      <c r="E15" s="75">
        <f t="shared" si="5"/>
        <v>934.79999999999984</v>
      </c>
      <c r="F15" s="75">
        <f t="shared" si="5"/>
        <v>911.99999999999989</v>
      </c>
      <c r="G15" s="75">
        <f t="shared" si="5"/>
        <v>866.39999999999986</v>
      </c>
      <c r="H15" s="76">
        <f t="shared" si="5"/>
        <v>820.79999999999984</v>
      </c>
      <c r="J15" s="72" t="s">
        <v>402</v>
      </c>
      <c r="K15" s="77">
        <v>100</v>
      </c>
      <c r="L15" s="77">
        <v>100</v>
      </c>
      <c r="M15" s="77">
        <v>100</v>
      </c>
      <c r="N15" s="77">
        <v>100</v>
      </c>
      <c r="O15" s="77">
        <v>100</v>
      </c>
      <c r="P15" s="77">
        <v>100</v>
      </c>
      <c r="Q15" s="77">
        <v>100</v>
      </c>
      <c r="R15" s="77">
        <v>100</v>
      </c>
      <c r="S15" s="77">
        <v>100</v>
      </c>
      <c r="T15" s="78">
        <v>100</v>
      </c>
    </row>
    <row r="16" spans="2:20">
      <c r="B16" s="70" t="s">
        <v>11865</v>
      </c>
      <c r="C16" s="77">
        <v>50</v>
      </c>
      <c r="D16" s="77">
        <v>50</v>
      </c>
      <c r="E16" s="77">
        <v>50</v>
      </c>
      <c r="F16" s="77">
        <v>50</v>
      </c>
      <c r="G16" s="77">
        <v>50</v>
      </c>
      <c r="H16" s="78">
        <v>50</v>
      </c>
      <c r="J16" s="72" t="s">
        <v>11866</v>
      </c>
      <c r="K16" s="77">
        <v>350</v>
      </c>
      <c r="L16" s="77">
        <v>350</v>
      </c>
      <c r="M16" s="77">
        <v>350</v>
      </c>
      <c r="N16" s="77">
        <v>350</v>
      </c>
      <c r="O16" s="77">
        <v>350</v>
      </c>
      <c r="P16" s="77">
        <v>350</v>
      </c>
      <c r="Q16" s="77">
        <v>350</v>
      </c>
      <c r="R16" s="77">
        <v>350</v>
      </c>
      <c r="S16" s="77">
        <v>350</v>
      </c>
      <c r="T16" s="78">
        <v>350</v>
      </c>
    </row>
    <row r="17" spans="2:20">
      <c r="B17" s="70" t="s">
        <v>11867</v>
      </c>
      <c r="C17" s="77">
        <v>50</v>
      </c>
      <c r="D17" s="77">
        <v>50</v>
      </c>
      <c r="E17" s="77">
        <v>50</v>
      </c>
      <c r="F17" s="77">
        <v>50</v>
      </c>
      <c r="G17" s="77">
        <v>50</v>
      </c>
      <c r="H17" s="78">
        <v>50</v>
      </c>
      <c r="J17" s="72" t="s">
        <v>11868</v>
      </c>
      <c r="K17" s="77">
        <v>50</v>
      </c>
      <c r="L17" s="77">
        <v>50</v>
      </c>
      <c r="M17" s="77">
        <v>50</v>
      </c>
      <c r="N17" s="77">
        <v>50</v>
      </c>
      <c r="O17" s="77">
        <v>50</v>
      </c>
      <c r="P17" s="77">
        <v>50</v>
      </c>
      <c r="Q17" s="77">
        <v>50</v>
      </c>
      <c r="R17" s="77">
        <v>50</v>
      </c>
      <c r="S17" s="77">
        <v>50</v>
      </c>
      <c r="T17" s="78">
        <v>50</v>
      </c>
    </row>
    <row r="18" spans="2:20">
      <c r="B18" s="70" t="s">
        <v>11869</v>
      </c>
      <c r="C18" s="77">
        <v>50</v>
      </c>
      <c r="D18" s="77">
        <v>50</v>
      </c>
      <c r="E18" s="77">
        <v>50</v>
      </c>
      <c r="F18" s="77">
        <v>50</v>
      </c>
      <c r="G18" s="77">
        <v>50</v>
      </c>
      <c r="H18" s="78">
        <v>50</v>
      </c>
      <c r="J18" s="72" t="s">
        <v>11870</v>
      </c>
      <c r="K18" s="77">
        <v>40</v>
      </c>
      <c r="L18" s="77">
        <v>40</v>
      </c>
      <c r="M18" s="77">
        <v>40</v>
      </c>
      <c r="N18" s="77">
        <v>40</v>
      </c>
      <c r="O18" s="77">
        <v>40</v>
      </c>
      <c r="P18" s="77">
        <v>40</v>
      </c>
      <c r="Q18" s="77">
        <v>40</v>
      </c>
      <c r="R18" s="77">
        <v>40</v>
      </c>
      <c r="S18" s="77">
        <v>40</v>
      </c>
      <c r="T18" s="78">
        <v>40</v>
      </c>
    </row>
    <row r="19" spans="2:20">
      <c r="B19" s="70" t="s">
        <v>11871</v>
      </c>
      <c r="C19" s="77">
        <v>1200</v>
      </c>
      <c r="D19" s="77">
        <v>1200</v>
      </c>
      <c r="E19" s="77">
        <v>1200</v>
      </c>
      <c r="F19" s="77">
        <v>1200</v>
      </c>
      <c r="G19" s="77">
        <v>1200</v>
      </c>
      <c r="H19" s="78">
        <v>1200</v>
      </c>
      <c r="J19" s="72" t="s">
        <v>11872</v>
      </c>
      <c r="K19" s="77">
        <v>30</v>
      </c>
      <c r="L19" s="77">
        <v>30</v>
      </c>
      <c r="M19" s="77">
        <v>30</v>
      </c>
      <c r="N19" s="77">
        <v>30</v>
      </c>
      <c r="O19" s="77">
        <v>30</v>
      </c>
      <c r="P19" s="77">
        <v>30</v>
      </c>
      <c r="Q19" s="77">
        <v>30</v>
      </c>
      <c r="R19" s="77">
        <v>30</v>
      </c>
      <c r="S19" s="77">
        <v>30</v>
      </c>
      <c r="T19" s="78">
        <v>30</v>
      </c>
    </row>
    <row r="20" spans="2:20">
      <c r="B20" s="70" t="s">
        <v>11873</v>
      </c>
      <c r="C20" s="77">
        <v>250</v>
      </c>
      <c r="D20" s="77">
        <v>250</v>
      </c>
      <c r="E20" s="77">
        <v>250</v>
      </c>
      <c r="F20" s="77">
        <v>250</v>
      </c>
      <c r="G20" s="77">
        <v>250</v>
      </c>
      <c r="H20" s="78">
        <v>250</v>
      </c>
      <c r="J20" s="72" t="s">
        <v>11874</v>
      </c>
      <c r="K20" s="77">
        <v>50</v>
      </c>
      <c r="L20" s="77">
        <v>50</v>
      </c>
      <c r="M20" s="77">
        <v>50</v>
      </c>
      <c r="N20" s="77">
        <v>50</v>
      </c>
      <c r="O20" s="77">
        <v>50</v>
      </c>
      <c r="P20" s="77">
        <v>50</v>
      </c>
      <c r="Q20" s="77">
        <v>50</v>
      </c>
      <c r="R20" s="77">
        <v>50</v>
      </c>
      <c r="S20" s="77">
        <v>50</v>
      </c>
      <c r="T20" s="78">
        <v>50</v>
      </c>
    </row>
    <row r="21" spans="2:20">
      <c r="B21" s="70" t="s">
        <v>11875</v>
      </c>
      <c r="C21" s="77">
        <v>600</v>
      </c>
      <c r="D21" s="77">
        <v>600</v>
      </c>
      <c r="E21" s="77">
        <v>600</v>
      </c>
      <c r="F21" s="77">
        <v>600</v>
      </c>
      <c r="G21" s="77">
        <v>600</v>
      </c>
      <c r="H21" s="78">
        <v>600</v>
      </c>
      <c r="J21" s="72" t="s">
        <v>11876</v>
      </c>
      <c r="K21" s="77">
        <v>175</v>
      </c>
      <c r="L21" s="77">
        <v>175</v>
      </c>
      <c r="M21" s="77">
        <v>175</v>
      </c>
      <c r="N21" s="77">
        <v>175</v>
      </c>
      <c r="O21" s="77">
        <v>175</v>
      </c>
      <c r="P21" s="77">
        <v>175</v>
      </c>
      <c r="Q21" s="77">
        <v>175</v>
      </c>
      <c r="R21" s="77">
        <v>175</v>
      </c>
      <c r="S21" s="77">
        <v>175</v>
      </c>
      <c r="T21" s="78">
        <v>175</v>
      </c>
    </row>
    <row r="22" spans="2:20">
      <c r="B22" s="70" t="s">
        <v>11877</v>
      </c>
      <c r="C22" s="77">
        <v>200</v>
      </c>
      <c r="D22" s="77">
        <v>200</v>
      </c>
      <c r="E22" s="77">
        <v>200</v>
      </c>
      <c r="F22" s="77">
        <v>200</v>
      </c>
      <c r="G22" s="77">
        <v>200</v>
      </c>
      <c r="H22" s="78">
        <v>200</v>
      </c>
      <c r="J22" s="72" t="s">
        <v>11878</v>
      </c>
      <c r="K22" s="77">
        <v>550</v>
      </c>
      <c r="L22" s="77">
        <v>550</v>
      </c>
      <c r="M22" s="77">
        <v>550</v>
      </c>
      <c r="N22" s="77">
        <v>550</v>
      </c>
      <c r="O22" s="77">
        <v>550</v>
      </c>
      <c r="P22" s="77">
        <v>550</v>
      </c>
      <c r="Q22" s="77">
        <v>550</v>
      </c>
      <c r="R22" s="77">
        <v>550</v>
      </c>
      <c r="S22" s="77">
        <v>550</v>
      </c>
      <c r="T22" s="78">
        <v>550</v>
      </c>
    </row>
    <row r="23" spans="2:20">
      <c r="B23" s="70" t="s">
        <v>11879</v>
      </c>
      <c r="C23" s="77">
        <v>1000</v>
      </c>
      <c r="D23" s="77">
        <v>1000</v>
      </c>
      <c r="E23" s="77">
        <v>1000</v>
      </c>
      <c r="F23" s="77">
        <v>1000</v>
      </c>
      <c r="G23" s="77">
        <v>1000</v>
      </c>
      <c r="H23" s="78">
        <v>1000</v>
      </c>
      <c r="J23" s="72" t="s">
        <v>11880</v>
      </c>
      <c r="K23" s="77">
        <v>750</v>
      </c>
      <c r="L23" s="77">
        <v>750</v>
      </c>
      <c r="M23" s="77">
        <v>750</v>
      </c>
      <c r="N23" s="77">
        <v>750</v>
      </c>
      <c r="O23" s="77">
        <v>750</v>
      </c>
      <c r="P23" s="77">
        <v>750</v>
      </c>
      <c r="Q23" s="77">
        <v>750</v>
      </c>
      <c r="R23" s="77">
        <v>750</v>
      </c>
      <c r="S23" s="77">
        <v>750</v>
      </c>
      <c r="T23" s="78">
        <v>750</v>
      </c>
    </row>
    <row r="24" spans="2:20">
      <c r="B24" s="70" t="s">
        <v>11881</v>
      </c>
      <c r="C24" s="77">
        <v>300</v>
      </c>
      <c r="D24" s="77">
        <v>300</v>
      </c>
      <c r="E24" s="77">
        <v>300</v>
      </c>
      <c r="F24" s="77">
        <v>300</v>
      </c>
      <c r="G24" s="77">
        <v>300</v>
      </c>
      <c r="H24" s="78">
        <v>300</v>
      </c>
      <c r="J24" s="72" t="s">
        <v>11882</v>
      </c>
      <c r="K24" s="77">
        <v>1600</v>
      </c>
      <c r="L24" s="77">
        <v>1600</v>
      </c>
      <c r="M24" s="77">
        <v>1600</v>
      </c>
      <c r="N24" s="77">
        <v>1600</v>
      </c>
      <c r="O24" s="77">
        <v>1600</v>
      </c>
      <c r="P24" s="77">
        <v>1600</v>
      </c>
      <c r="Q24" s="77">
        <v>1600</v>
      </c>
      <c r="R24" s="77">
        <v>1600</v>
      </c>
      <c r="S24" s="77">
        <v>1600</v>
      </c>
      <c r="T24" s="78">
        <v>1600</v>
      </c>
    </row>
    <row r="25" spans="2:20">
      <c r="B25" s="70" t="s">
        <v>11883</v>
      </c>
      <c r="C25" s="77">
        <v>337</v>
      </c>
      <c r="D25" s="77">
        <v>337</v>
      </c>
      <c r="E25" s="77">
        <v>337</v>
      </c>
      <c r="F25" s="77">
        <v>337</v>
      </c>
      <c r="G25" s="77">
        <v>337</v>
      </c>
      <c r="H25" s="78">
        <v>337</v>
      </c>
      <c r="J25" s="72" t="s">
        <v>11884</v>
      </c>
      <c r="K25" s="77">
        <v>50</v>
      </c>
      <c r="L25" s="77">
        <v>50</v>
      </c>
      <c r="M25" s="77">
        <v>50</v>
      </c>
      <c r="N25" s="77">
        <v>50</v>
      </c>
      <c r="O25" s="77">
        <v>50</v>
      </c>
      <c r="P25" s="77">
        <v>50</v>
      </c>
      <c r="Q25" s="77">
        <v>50</v>
      </c>
      <c r="R25" s="77">
        <v>50</v>
      </c>
      <c r="S25" s="77">
        <v>50</v>
      </c>
      <c r="T25" s="78">
        <v>50</v>
      </c>
    </row>
    <row r="26" spans="2:20">
      <c r="B26" s="70"/>
      <c r="C26" s="77"/>
      <c r="D26" s="77"/>
      <c r="E26" s="77"/>
      <c r="F26" s="77"/>
      <c r="G26" s="77"/>
      <c r="H26" s="78"/>
      <c r="J26" s="72" t="s">
        <v>11885</v>
      </c>
      <c r="K26" s="77">
        <v>5000</v>
      </c>
      <c r="L26" s="77">
        <v>5000</v>
      </c>
      <c r="M26" s="77">
        <v>5000</v>
      </c>
      <c r="N26" s="77">
        <v>5000</v>
      </c>
      <c r="O26" s="77">
        <v>5000</v>
      </c>
      <c r="P26" s="77">
        <v>5000</v>
      </c>
      <c r="Q26" s="77">
        <v>5000</v>
      </c>
      <c r="R26" s="77">
        <v>5000</v>
      </c>
      <c r="S26" s="77">
        <v>5000</v>
      </c>
      <c r="T26" s="77">
        <v>5000</v>
      </c>
    </row>
    <row r="27" spans="2:20">
      <c r="B27" s="70"/>
      <c r="C27" s="77"/>
      <c r="D27" s="77"/>
      <c r="E27" s="77"/>
      <c r="F27" s="77"/>
      <c r="G27" s="77"/>
      <c r="H27" s="78"/>
      <c r="J27" s="72" t="s">
        <v>606</v>
      </c>
      <c r="K27" s="77">
        <v>3000</v>
      </c>
      <c r="L27" s="77">
        <v>3000</v>
      </c>
      <c r="M27" s="77">
        <v>3000</v>
      </c>
      <c r="N27" s="77">
        <v>3000</v>
      </c>
      <c r="O27" s="77">
        <v>3000</v>
      </c>
      <c r="P27" s="77">
        <v>3000</v>
      </c>
      <c r="Q27" s="77">
        <v>3000</v>
      </c>
      <c r="R27" s="77">
        <v>3000</v>
      </c>
      <c r="S27" s="77">
        <v>3000</v>
      </c>
      <c r="T27" s="77">
        <v>3000</v>
      </c>
    </row>
    <row r="28" spans="2:20">
      <c r="B28" s="70"/>
      <c r="C28" s="67"/>
      <c r="H28" s="71"/>
      <c r="J28" s="98" t="s">
        <v>11886</v>
      </c>
      <c r="K28" s="67">
        <v>500</v>
      </c>
      <c r="L28" s="67">
        <v>500</v>
      </c>
      <c r="M28" s="67">
        <v>500</v>
      </c>
      <c r="N28" s="67">
        <v>500</v>
      </c>
      <c r="O28" s="67">
        <v>500</v>
      </c>
      <c r="P28" s="67">
        <v>500</v>
      </c>
      <c r="Q28" s="67">
        <v>500</v>
      </c>
      <c r="R28" s="67">
        <v>500</v>
      </c>
      <c r="S28" s="67">
        <v>500</v>
      </c>
      <c r="T28" s="67">
        <v>500</v>
      </c>
    </row>
    <row r="29" spans="2:20">
      <c r="B29" s="70"/>
      <c r="C29" s="67"/>
      <c r="H29" s="71"/>
      <c r="J29" s="72"/>
      <c r="T29" s="71"/>
    </row>
    <row r="30" spans="2:20">
      <c r="B30" s="79"/>
      <c r="C30" s="80"/>
      <c r="D30" s="80"/>
      <c r="E30" s="80"/>
      <c r="F30" s="80"/>
      <c r="G30" s="80"/>
      <c r="H30" s="81"/>
      <c r="J30" s="82"/>
      <c r="K30" s="80"/>
      <c r="L30" s="80"/>
      <c r="M30" s="80"/>
      <c r="N30" s="80"/>
      <c r="O30" s="80"/>
      <c r="P30" s="80"/>
      <c r="Q30" s="80"/>
      <c r="R30" s="80"/>
      <c r="S30" s="80"/>
      <c r="T30" s="81"/>
    </row>
    <row r="31" spans="2:20">
      <c r="B31" s="79" t="s">
        <v>288</v>
      </c>
      <c r="C31" s="80">
        <f t="shared" ref="C31:H31" si="6">SUM(C12:C30)</f>
        <v>228037</v>
      </c>
      <c r="D31" s="80">
        <f t="shared" si="6"/>
        <v>27603.72</v>
      </c>
      <c r="E31" s="80">
        <f t="shared" si="6"/>
        <v>34221.800000000003</v>
      </c>
      <c r="F31" s="80">
        <f t="shared" si="6"/>
        <v>38949</v>
      </c>
      <c r="G31" s="80">
        <f t="shared" si="6"/>
        <v>48403.4</v>
      </c>
      <c r="H31" s="81">
        <f t="shared" si="6"/>
        <v>57857.8</v>
      </c>
      <c r="J31" s="79" t="s">
        <v>288</v>
      </c>
      <c r="K31" s="80">
        <f t="shared" ref="K31:T31" si="7">SUM(K13:K30)+K11</f>
        <v>69058.375</v>
      </c>
      <c r="L31" s="80">
        <f t="shared" si="7"/>
        <v>38655.625</v>
      </c>
      <c r="M31" s="80">
        <f t="shared" si="7"/>
        <v>41307.1875</v>
      </c>
      <c r="N31" s="80">
        <f t="shared" si="7"/>
        <v>43936.75</v>
      </c>
      <c r="O31" s="80">
        <f t="shared" si="7"/>
        <v>46613.3125</v>
      </c>
      <c r="P31" s="80">
        <f t="shared" si="7"/>
        <v>49217.875</v>
      </c>
      <c r="Q31" s="80">
        <f>SUM(Q13:Q30)+Q11</f>
        <v>51966.4375</v>
      </c>
      <c r="R31" s="80">
        <f t="shared" si="7"/>
        <v>54500</v>
      </c>
      <c r="S31" s="80">
        <f t="shared" si="7"/>
        <v>57033.5625</v>
      </c>
      <c r="T31" s="81">
        <f t="shared" si="7"/>
        <v>59782.125</v>
      </c>
    </row>
    <row r="36" spans="2:3">
      <c r="B36" t="s">
        <v>11887</v>
      </c>
      <c r="C36" s="67">
        <f>D31+L31</f>
        <v>66259.345000000001</v>
      </c>
    </row>
    <row r="37" spans="2:3">
      <c r="B37" t="s">
        <v>11888</v>
      </c>
      <c r="C37" s="67">
        <f>H31+R31</f>
        <v>112357.8</v>
      </c>
    </row>
    <row r="38" spans="2:3">
      <c r="B38" t="s">
        <v>11889</v>
      </c>
      <c r="C38" s="67">
        <f>G31+O31</f>
        <v>95016.712499999994</v>
      </c>
    </row>
    <row r="42" spans="2:3">
      <c r="B42" s="7" t="s">
        <v>11890</v>
      </c>
      <c r="C42" s="30">
        <v>2204</v>
      </c>
    </row>
    <row r="43" spans="2:3">
      <c r="B43" s="7" t="s">
        <v>11857</v>
      </c>
      <c r="C43" s="84">
        <v>425000</v>
      </c>
    </row>
    <row r="44" spans="2:3" ht="13.5" thickBot="1"/>
    <row r="45" spans="2:3">
      <c r="B45" s="69"/>
      <c r="C45" s="68"/>
    </row>
    <row r="46" spans="2:3">
      <c r="B46" s="72" t="s">
        <v>11847</v>
      </c>
      <c r="C46" s="85"/>
    </row>
    <row r="50" spans="2:9">
      <c r="B50" s="72"/>
      <c r="C50" s="87" t="s">
        <v>11891</v>
      </c>
      <c r="D50" s="87" t="s">
        <v>11892</v>
      </c>
      <c r="E50" s="87" t="s">
        <v>11893</v>
      </c>
      <c r="F50" s="87" t="s">
        <v>11894</v>
      </c>
      <c r="G50" s="87" t="s">
        <v>11895</v>
      </c>
      <c r="H50" s="88" t="s">
        <v>11896</v>
      </c>
      <c r="I50" s="89" t="s">
        <v>11897</v>
      </c>
    </row>
    <row r="51" spans="2:9">
      <c r="B51" s="72"/>
      <c r="C51" s="90">
        <v>0.04</v>
      </c>
      <c r="D51" s="90">
        <v>4.2500000000000003E-2</v>
      </c>
      <c r="E51" s="90">
        <v>4.4999999999999998E-2</v>
      </c>
      <c r="F51" s="90">
        <v>4.4749999999999998E-2</v>
      </c>
      <c r="G51" s="90">
        <v>0.05</v>
      </c>
      <c r="H51" s="90">
        <v>5.2499999999999998E-2</v>
      </c>
      <c r="I51" s="91">
        <v>5.5E-2</v>
      </c>
    </row>
    <row r="52" spans="2:9">
      <c r="B52" s="72" t="s">
        <v>11857</v>
      </c>
      <c r="C52" s="85">
        <f t="shared" ref="C52:I52" si="8">$C$43</f>
        <v>425000</v>
      </c>
      <c r="D52" s="85">
        <f t="shared" si="8"/>
        <v>425000</v>
      </c>
      <c r="E52" s="85">
        <f t="shared" si="8"/>
        <v>425000</v>
      </c>
      <c r="F52" s="85">
        <f t="shared" si="8"/>
        <v>425000</v>
      </c>
      <c r="G52" s="85">
        <f t="shared" si="8"/>
        <v>425000</v>
      </c>
      <c r="H52" s="85">
        <f t="shared" si="8"/>
        <v>425000</v>
      </c>
      <c r="I52" s="86">
        <f t="shared" si="8"/>
        <v>425000</v>
      </c>
    </row>
    <row r="53" spans="2:9">
      <c r="B53" s="72" t="s">
        <v>11898</v>
      </c>
      <c r="C53" s="125">
        <v>0.2</v>
      </c>
      <c r="D53" s="125"/>
      <c r="E53" s="125"/>
      <c r="F53" s="125"/>
      <c r="G53" s="125"/>
      <c r="H53" s="125"/>
      <c r="I53" s="126"/>
    </row>
    <row r="54" spans="2:9">
      <c r="B54" s="72" t="s">
        <v>11899</v>
      </c>
      <c r="C54" s="92">
        <f>$C$53*C52</f>
        <v>85000</v>
      </c>
      <c r="D54" s="92">
        <f t="shared" ref="D54:I54" si="9">$C$53*D52</f>
        <v>85000</v>
      </c>
      <c r="E54" s="92">
        <f t="shared" si="9"/>
        <v>85000</v>
      </c>
      <c r="F54" s="92">
        <f t="shared" si="9"/>
        <v>85000</v>
      </c>
      <c r="G54" s="92">
        <f t="shared" si="9"/>
        <v>85000</v>
      </c>
      <c r="H54" s="92">
        <f t="shared" si="9"/>
        <v>85000</v>
      </c>
      <c r="I54" s="93">
        <f t="shared" si="9"/>
        <v>85000</v>
      </c>
    </row>
    <row r="55" spans="2:9">
      <c r="B55" s="72" t="s">
        <v>482</v>
      </c>
      <c r="C55" s="92">
        <f>C52-C54</f>
        <v>340000</v>
      </c>
      <c r="D55" s="92">
        <f t="shared" ref="D55:I55" si="10">D52-D54</f>
        <v>340000</v>
      </c>
      <c r="E55" s="92">
        <f t="shared" si="10"/>
        <v>340000</v>
      </c>
      <c r="F55" s="92">
        <f t="shared" si="10"/>
        <v>340000</v>
      </c>
      <c r="G55" s="92">
        <f t="shared" si="10"/>
        <v>340000</v>
      </c>
      <c r="H55" s="92">
        <f t="shared" si="10"/>
        <v>340000</v>
      </c>
      <c r="I55" s="93">
        <f t="shared" si="10"/>
        <v>340000</v>
      </c>
    </row>
    <row r="56" spans="2:9">
      <c r="B56" s="72" t="s">
        <v>11863</v>
      </c>
      <c r="C56" s="92">
        <f>18.11*C52/12000</f>
        <v>641.39583333333337</v>
      </c>
      <c r="D56" s="92">
        <f t="shared" ref="D56:I56" si="11">16.11*D52/12000</f>
        <v>570.5625</v>
      </c>
      <c r="E56" s="92">
        <f t="shared" si="11"/>
        <v>570.5625</v>
      </c>
      <c r="F56" s="92">
        <f t="shared" si="11"/>
        <v>570.5625</v>
      </c>
      <c r="G56" s="92">
        <f t="shared" si="11"/>
        <v>570.5625</v>
      </c>
      <c r="H56" s="92">
        <f t="shared" si="11"/>
        <v>570.5625</v>
      </c>
      <c r="I56" s="93">
        <f t="shared" si="11"/>
        <v>570.5625</v>
      </c>
    </row>
    <row r="57" spans="2:9">
      <c r="B57" s="72" t="s">
        <v>402</v>
      </c>
      <c r="C57" s="94">
        <v>100</v>
      </c>
      <c r="D57" s="94">
        <v>100</v>
      </c>
      <c r="E57" s="94">
        <v>100</v>
      </c>
      <c r="F57" s="94">
        <v>100</v>
      </c>
      <c r="G57" s="94">
        <v>100</v>
      </c>
      <c r="H57" s="94">
        <v>100</v>
      </c>
      <c r="I57" s="95">
        <v>100</v>
      </c>
    </row>
    <row r="58" spans="2:9">
      <c r="B58" s="72" t="s">
        <v>11900</v>
      </c>
      <c r="C58" s="96">
        <f t="shared" ref="C58:I58" si="12">-PMT(C51/12,360,C55)</f>
        <v>1623.2120045825623</v>
      </c>
      <c r="D58" s="96">
        <f t="shared" si="12"/>
        <v>1672.5956296702443</v>
      </c>
      <c r="E58" s="96">
        <f t="shared" si="12"/>
        <v>1722.7300534079943</v>
      </c>
      <c r="F58" s="96">
        <f t="shared" si="12"/>
        <v>1717.6832298525371</v>
      </c>
      <c r="G58" s="96">
        <f t="shared" si="12"/>
        <v>1825.1935182412726</v>
      </c>
      <c r="H58" s="96">
        <f t="shared" si="12"/>
        <v>1877.4925872824542</v>
      </c>
      <c r="I58" s="97">
        <f t="shared" si="12"/>
        <v>1930.4826045798097</v>
      </c>
    </row>
    <row r="59" spans="2:9">
      <c r="B59" s="83"/>
      <c r="C59" s="85"/>
      <c r="D59" s="85"/>
      <c r="E59" s="85"/>
      <c r="F59" s="85"/>
      <c r="G59" s="85"/>
      <c r="H59" s="85"/>
      <c r="I59" s="86"/>
    </row>
    <row r="60" spans="2:9">
      <c r="B60" s="72" t="s">
        <v>11901</v>
      </c>
      <c r="C60" s="85">
        <f t="shared" ref="C60:I60" si="13">SUM(C56:C58)</f>
        <v>2364.6078379158957</v>
      </c>
      <c r="D60" s="85">
        <f t="shared" si="13"/>
        <v>2343.1581296702443</v>
      </c>
      <c r="E60" s="85">
        <f t="shared" si="13"/>
        <v>2393.2925534079941</v>
      </c>
      <c r="F60" s="85">
        <f t="shared" si="13"/>
        <v>2388.2457298525369</v>
      </c>
      <c r="G60" s="85">
        <f t="shared" si="13"/>
        <v>2495.7560182412726</v>
      </c>
      <c r="H60" s="85">
        <f t="shared" si="13"/>
        <v>2548.0550872824542</v>
      </c>
      <c r="I60" s="86">
        <f t="shared" si="13"/>
        <v>2601.04510457981</v>
      </c>
    </row>
    <row r="61" spans="2:9">
      <c r="B61" s="72" t="s">
        <v>11902</v>
      </c>
      <c r="C61" s="85">
        <f>C54+SUM(L16:L28)</f>
        <v>97145</v>
      </c>
      <c r="D61" s="85">
        <f>D54+SUM(M16:M28)</f>
        <v>97145</v>
      </c>
      <c r="E61" s="85">
        <f>E54+SUM(N16:N28)</f>
        <v>97145</v>
      </c>
      <c r="F61" s="85">
        <f>F54+SUM(O16:O28)</f>
        <v>97145</v>
      </c>
      <c r="G61" s="85">
        <f>G54+SUM(P16:P28)</f>
        <v>97145</v>
      </c>
      <c r="H61" s="85">
        <f>H54+SUM(R16:R28)</f>
        <v>97145</v>
      </c>
      <c r="I61" s="85">
        <f>I54+SUM(T16:T28)</f>
        <v>97145</v>
      </c>
    </row>
  </sheetData>
  <dataValidations count="1">
    <dataValidation type="list" allowBlank="1" showInputMessage="1" showErrorMessage="1" sqref="C43" xr:uid="{00000000-0002-0000-1E00-000000000000}">
      <formula1>$K$9:$T$9</formula1>
    </dataValidation>
  </dataValidation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AB56-E4E8-491C-AFC3-F56CE1BB3F5A}">
  <dimension ref="A1:A6"/>
  <sheetViews>
    <sheetView workbookViewId="0">
      <selection activeCell="E17" sqref="E17"/>
    </sheetView>
  </sheetViews>
  <sheetFormatPr defaultRowHeight="12.75"/>
  <sheetData>
    <row r="1" spans="1:1" ht="30">
      <c r="A1" s="2118" t="s">
        <v>11903</v>
      </c>
    </row>
    <row r="2" spans="1:1">
      <c r="A2" t="s">
        <v>11904</v>
      </c>
    </row>
    <row r="5" spans="1:1" ht="18">
      <c r="A5" s="2119" t="s">
        <v>11905</v>
      </c>
    </row>
    <row r="6" spans="1:1">
      <c r="A6" t="e" cm="1" vm="1">
        <f t="array" aca="1" ref="A6" ca="1">_xlfn._xlws.PY(0,1,Monthly!A156:P228)</f>
        <v>#VALUE!</v>
      </c>
    </row>
  </sheetData>
  <pageMargins left="0.7" right="0.7" top="0.75" bottom="0.75" header="0.3" footer="0.3"/>
  <customProperties>
    <customPr name="isPythonAnalysisShee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Pradhans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ExpRep</dc:title>
  <dc:subject>Exp Report</dc:subject>
  <dc:creator>Rahul Pradhan</dc:creator>
  <cp:keywords/>
  <dc:description/>
  <cp:lastModifiedBy/>
  <cp:revision/>
  <dcterms:created xsi:type="dcterms:W3CDTF">2004-06-02T18:51:22Z</dcterms:created>
  <dcterms:modified xsi:type="dcterms:W3CDTF">2026-03-27T17:29:49Z</dcterms:modified>
  <cp:category/>
  <cp:contentStatus/>
</cp:coreProperties>
</file>